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comments29.xml" ContentType="application/vnd.openxmlformats-officedocument.spreadsheetml.comments+xml"/>
  <Override PartName="/xl/drawings/drawing28.xml" ContentType="application/vnd.openxmlformats-officedocument.drawing+xml"/>
  <Override PartName="/xl/drawings/drawing64.xml" ContentType="application/vnd.openxmlformats-officedocument.drawing+xml"/>
  <Default Extension="xml" ContentType="application/xml"/>
  <Override PartName="/xl/drawings/drawing2.xml" ContentType="application/vnd.openxmlformats-officedocument.drawing+xml"/>
  <Override PartName="/xl/comments18.xml" ContentType="application/vnd.openxmlformats-officedocument.spreadsheetml.comments+xml"/>
  <Override PartName="/xl/charts/chart49.xml" ContentType="application/vnd.openxmlformats-officedocument.drawingml.chart+xml"/>
  <Override PartName="/xl/drawings/drawing53.xml" ContentType="application/vnd.openxmlformats-officedocument.drawing+xml"/>
  <Override PartName="/xl/comments65.xml" ContentType="application/vnd.openxmlformats-officedocument.spreadsheetml.comments+xml"/>
  <Override PartName="/xl/worksheets/sheet3.xml" ContentType="application/vnd.openxmlformats-officedocument.spreadsheetml.worksheet+xml"/>
  <Override PartName="/xl/worksheets/sheet98.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drawings/drawing42.xml" ContentType="application/vnd.openxmlformats-officedocument.drawing+xml"/>
  <Override PartName="/xl/comments54.xml" ContentType="application/vnd.openxmlformats-officedocument.spreadsheetml.comments+xml"/>
  <Override PartName="/xl/worksheets/sheet87.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comments43.xml" ContentType="application/vnd.openxmlformats-officedocument.spreadsheetml.comments+xml"/>
  <Override PartName="/xl/charts/chart63.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comments21.xml" ContentType="application/vnd.openxmlformats-officedocument.spreadsheetml.comments+xml"/>
  <Override PartName="/xl/comments32.xml" ContentType="application/vnd.openxmlformats-officedocument.spreadsheetml.comments+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omments10.xml" ContentType="application/vnd.openxmlformats-officedocument.spreadsheetml.comments+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36.xml" ContentType="application/vnd.openxmlformats-officedocument.drawing+xml"/>
  <Override PartName="/xl/comments48.xml" ContentType="application/vnd.openxmlformats-officedocument.spreadsheetml.comments+xml"/>
  <Override PartName="/xl/drawings/drawing47.xml" ContentType="application/vnd.openxmlformats-officedocument.drawing+xml"/>
  <Override PartName="/xl/comments59.xml" ContentType="application/vnd.openxmlformats-officedocument.spreadsheetml.comments+xml"/>
  <Override PartName="/xl/worksheets/sheet10.xml" ContentType="application/vnd.openxmlformats-officedocument.spreadsheetml.worksheet+xml"/>
  <Override PartName="/xl/comments5.xml" ContentType="application/vnd.openxmlformats-officedocument.spreadsheetml.comments+xml"/>
  <Override PartName="/xl/charts/chart1.xml" ContentType="application/vnd.openxmlformats-officedocument.drawingml.chart+xml"/>
  <Override PartName="/xl/drawings/drawing25.xml" ContentType="application/vnd.openxmlformats-officedocument.drawing+xml"/>
  <Override PartName="/xl/comments37.xml" ContentType="application/vnd.openxmlformats-officedocument.spreadsheetml.comments+xml"/>
  <Override PartName="/xl/charts/chart57.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drawings/drawing14.xml" ContentType="application/vnd.openxmlformats-officedocument.drawing+xml"/>
  <Override PartName="/xl/comments26.xml" ContentType="application/vnd.openxmlformats-officedocument.spreadsheetml.comments+xml"/>
  <Override PartName="/xl/charts/chart46.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comments15.xml" ContentType="application/vnd.openxmlformats-officedocument.spreadsheetml.comments+xml"/>
  <Override PartName="/xl/charts/chart35.xml" ContentType="application/vnd.openxmlformats-officedocument.drawingml.chart+xml"/>
  <Override PartName="/xl/comments51.xml" ContentType="application/vnd.openxmlformats-officedocument.spreadsheetml.comments+xml"/>
  <Override PartName="/xl/drawings/drawing50.xml" ContentType="application/vnd.openxmlformats-officedocument.drawing+xml"/>
  <Override PartName="/xl/comments62.xml" ContentType="application/vnd.openxmlformats-officedocument.spreadsheetml.comments+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omments40.xml" ContentType="application/vnd.openxmlformats-officedocument.spreadsheetml.comments+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xml"/>
  <Override PartName="/xl/worksheets/sheet40.xml" ContentType="application/vnd.openxmlformats-officedocument.spreadsheetml.worksheet+xml"/>
  <Override PartName="/xl/drawings/drawing4.xml" ContentType="application/vnd.openxmlformats-officedocument.drawing+xml"/>
  <Override PartName="/xl/drawings/drawing55.xml" ContentType="application/vnd.openxmlformats-officedocument.drawing+xml"/>
  <Override PartName="/xl/comments67.xml" ContentType="application/vnd.openxmlformats-officedocument.spreadsheetml.comments+xml"/>
  <Override PartName="/xl/worksheets/sheet5.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xml"/>
  <Override PartName="/xl/comments56.xml" ContentType="application/vnd.openxmlformats-officedocument.spreadsheetml.comments+xml"/>
  <Override PartName="/xl/worksheets/sheet89.xml" ContentType="application/vnd.openxmlformats-officedocument.spreadsheetml.worksheet+xml"/>
  <Override PartName="/xl/comments2.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comments45.xml" ContentType="application/vnd.openxmlformats-officedocument.spreadsheetml.comments+xml"/>
  <Override PartName="/xl/charts/chart65.xml" ContentType="application/vnd.openxmlformats-officedocument.drawingml.chart+xml"/>
  <Override PartName="/xl/worksheets/sheet78.xml" ContentType="application/vnd.openxmlformats-officedocument.spreadsheetml.worksheet+xml"/>
  <Override PartName="/xl/drawings/drawing11.xml" ContentType="application/vnd.openxmlformats-officedocument.drawing+xml"/>
  <Override PartName="/xl/comments23.xml" ContentType="application/vnd.openxmlformats-officedocument.spreadsheetml.comments+xml"/>
  <Override PartName="/xl/comments34.xml" ContentType="application/vnd.openxmlformats-officedocument.spreadsheetml.comments+xml"/>
  <Override PartName="/xl/charts/chart54.xml" ContentType="application/vnd.openxmlformats-officedocument.drawingml.chart+xml"/>
  <Override PartName="/xl/comments70.xml" ContentType="application/vnd.openxmlformats-officedocument.spreadsheetml.comments+xml"/>
  <Override PartName="/xl/worksheets/sheet67.xml" ContentType="application/vnd.openxmlformats-officedocument.spreadsheetml.worksheet+xml"/>
  <Override PartName="/xl/comments12.xml" ContentType="application/vnd.openxmlformats-officedocument.spreadsheetml.comments+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charts/chart21.xml" ContentType="application/vnd.openxmlformats-officedocument.drawingml.chart+xml"/>
  <Override PartName="/xl/comments30.xml" ContentType="application/vnd.openxmlformats-officedocument.spreadsheetml.comments+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drawings/drawing27.xml" ContentType="application/vnd.openxmlformats-officedocument.drawing+xml"/>
  <Override PartName="/xl/comments39.xml" ContentType="application/vnd.openxmlformats-officedocument.spreadsheetml.comments+xml"/>
  <Override PartName="/xl/drawings/drawing45.xml" ContentType="application/vnd.openxmlformats-officedocument.drawing+xml"/>
  <Override PartName="/xl/drawings/drawing56.xml" ContentType="application/vnd.openxmlformats-officedocument.drawing+xml"/>
  <Override PartName="/xl/charts/chart59.xml" ContentType="application/vnd.openxmlformats-officedocument.drawingml.chart+xml"/>
  <Override PartName="/xl/comments68.xml" ContentType="application/vnd.openxmlformats-officedocument.spreadsheetml.comments+xml"/>
  <Override PartName="/xl/drawings/drawing16.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comments46.xml" ContentType="application/vnd.openxmlformats-officedocument.spreadsheetml.comments+xml"/>
  <Override PartName="/xl/charts/chart48.xml" ContentType="application/vnd.openxmlformats-officedocument.drawingml.chart+xml"/>
  <Override PartName="/xl/comments57.xml" ContentType="application/vnd.openxmlformats-officedocument.spreadsheetml.comments+xml"/>
  <Override PartName="/xl/drawings/drawing63.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charts/chart19.xml" ContentType="application/vnd.openxmlformats-officedocument.drawingml.chart+xml"/>
  <Override PartName="/xl/drawings/drawing23.xml" ContentType="application/vnd.openxmlformats-officedocument.drawing+xml"/>
  <Override PartName="/xl/comments35.xml" ContentType="application/vnd.openxmlformats-officedocument.spreadsheetml.comments+xml"/>
  <Override PartName="/xl/charts/chart37.xml" ContentType="application/vnd.openxmlformats-officedocument.drawingml.chart+xml"/>
  <Override PartName="/xl/drawings/drawing41.xml" ContentType="application/vnd.openxmlformats-officedocument.drawing+xml"/>
  <Override PartName="/xl/drawings/drawing52.xml" ContentType="application/vnd.openxmlformats-officedocument.drawing+xml"/>
  <Override PartName="/xl/charts/chart55.xml" ContentType="application/vnd.openxmlformats-officedocument.drawingml.chart+xml"/>
  <Override PartName="/xl/comments64.xml" ContentType="application/vnd.openxmlformats-officedocument.spreadsheetml.comments+xml"/>
  <Override PartName="/xl/charts/chart66.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drawings/drawing12.xml" ContentType="application/vnd.openxmlformats-officedocument.drawing+xml"/>
  <Override PartName="/xl/comments24.xml" ContentType="application/vnd.openxmlformats-officedocument.spreadsheetml.comments+xml"/>
  <Override PartName="/xl/charts/chart26.xml" ContentType="application/vnd.openxmlformats-officedocument.drawingml.chart+xml"/>
  <Override PartName="/xl/drawings/drawing30.xml" ContentType="application/vnd.openxmlformats-officedocument.drawing+xml"/>
  <Override PartName="/xl/comments42.xml" ContentType="application/vnd.openxmlformats-officedocument.spreadsheetml.comments+xml"/>
  <Override PartName="/xl/charts/chart44.xml" ContentType="application/vnd.openxmlformats-officedocument.drawingml.chart+xml"/>
  <Override PartName="/xl/comments53.xml" ContentType="application/vnd.openxmlformats-officedocument.spreadsheetml.comments+xml"/>
  <Override PartName="/xl/comments71.xml" ContentType="application/vnd.openxmlformats-officedocument.spreadsheetml.comments+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omments13.xml" ContentType="application/vnd.openxmlformats-officedocument.spreadsheetml.comments+xml"/>
  <Override PartName="/xl/charts/chart15.xml" ContentType="application/vnd.openxmlformats-officedocument.drawingml.chart+xml"/>
  <Override PartName="/xl/comments31.xml" ContentType="application/vnd.openxmlformats-officedocument.spreadsheetml.comments+xml"/>
  <Override PartName="/xl/charts/chart33.xml" ContentType="application/vnd.openxmlformats-officedocument.drawingml.chart+xml"/>
  <Override PartName="/xl/charts/chart51.xml" ContentType="application/vnd.openxmlformats-officedocument.drawingml.chart+xml"/>
  <Override PartName="/xl/comments60.xml" ContentType="application/vnd.openxmlformats-officedocument.spreadsheetml.comments+xml"/>
  <Override PartName="/xl/charts/chart62.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omments20.xml" ContentType="application/vnd.openxmlformats-officedocument.spreadsheetml.comments+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drawings/drawing68.xml" ContentType="application/vnd.openxmlformats-officedocument.drawing+xml"/>
  <Override PartName="/xl/worksheets/sheet42.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comments69.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comments58.xml" ContentType="application/vnd.openxmlformats-officedocument.spreadsheetml.comments+xml"/>
  <Override PartName="/xl/comments4.xml" ContentType="application/vnd.openxmlformats-officedocument.spreadsheetml.comments+xml"/>
  <Override PartName="/xl/drawings/drawing35.xml" ContentType="application/vnd.openxmlformats-officedocument.drawing+xml"/>
  <Override PartName="/xl/comments47.xml" ContentType="application/vnd.openxmlformats-officedocument.spreadsheetml.comments+xml"/>
  <Override PartName="/xl/charts/chart67.xml" ContentType="application/vnd.openxmlformats-officedocument.drawingml.chart+xml"/>
  <Override PartName="/xl/drawings/drawing13.xml" ContentType="application/vnd.openxmlformats-officedocument.drawing+xml"/>
  <Override PartName="/xl/comments25.xml" ContentType="application/vnd.openxmlformats-officedocument.spreadsheetml.comments+xml"/>
  <Override PartName="/xl/drawings/drawing24.xml" ContentType="application/vnd.openxmlformats-officedocument.drawing+xml"/>
  <Override PartName="/xl/comments36.xml" ContentType="application/vnd.openxmlformats-officedocument.spreadsheetml.comments+xml"/>
  <Override PartName="/xl/charts/chart56.xml" ContentType="application/vnd.openxmlformats-officedocument.drawingml.chart+xml"/>
  <Override PartName="/xl/drawings/drawing60.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harts/chart34.xml" ContentType="application/vnd.openxmlformats-officedocument.drawingml.chart+xml"/>
  <Override PartName="/xl/charts/chart45.xml" ContentType="application/vnd.openxmlformats-officedocument.drawingml.chart+xml"/>
  <Override PartName="/xl/comments61.xml" ContentType="application/vnd.openxmlformats-officedocument.spreadsheetml.comments+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omments50.xml" ContentType="application/vnd.openxmlformats-officedocument.spreadsheetml.comments+xml"/>
  <Override PartName="/xl/worksheets/sheet36.xml" ContentType="application/vnd.openxmlformats-officedocument.spreadsheetml.worksheet+xml"/>
  <Override PartName="/xl/worksheets/sheet83.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omments9.xml" ContentType="application/vnd.openxmlformats-officedocument.spreadsheetml.comments+xml"/>
  <Override PartName="/xl/charts/chart5.xml" ContentType="application/vnd.openxmlformats-officedocument.drawingml.chart+xml"/>
  <Override PartName="/xl/drawings/drawing29.xml" ContentType="application/vnd.openxmlformats-officedocument.drawing+xml"/>
  <Override PartName="/xl/drawings/drawing18.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omments19.xml" ContentType="application/vnd.openxmlformats-officedocument.spreadsheetml.comments+xml"/>
  <Override PartName="/xl/charts/chart39.xml" ContentType="application/vnd.openxmlformats-officedocument.drawingml.chart+xml"/>
  <Override PartName="/xl/drawings/drawing43.xml" ContentType="application/vnd.openxmlformats-officedocument.drawing+xml"/>
  <Override PartName="/xl/drawings/drawing54.xml" ContentType="application/vnd.openxmlformats-officedocument.drawing+xml"/>
  <Override PartName="/xl/comments66.xml" ContentType="application/vnd.openxmlformats-officedocument.spreadsheetml.comments+xml"/>
  <Override PartName="/xl/worksheets/sheet99.xml" ContentType="application/vnd.openxmlformats-officedocument.spreadsheetml.worksheet+xml"/>
  <Override PartName="/xl/charts/chart28.xml" ContentType="application/vnd.openxmlformats-officedocument.drawingml.chart+xml"/>
  <Override PartName="/xl/drawings/drawing32.xml" ContentType="application/vnd.openxmlformats-officedocument.drawing+xml"/>
  <Override PartName="/xl/comments44.xml" ContentType="application/vnd.openxmlformats-officedocument.spreadsheetml.comments+xml"/>
  <Override PartName="/xl/comments55.xml" ContentType="application/vnd.openxmlformats-officedocument.spreadsheetml.comments+xml"/>
  <Override PartName="/xl/worksheets/sheet77.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omments33.xml" ContentType="application/vnd.openxmlformats-officedocument.spreadsheetml.comments+xml"/>
  <Override PartName="/xl/charts/chart53.xml" ContentType="application/vnd.openxmlformats-officedocument.drawingml.chart+xml"/>
  <Override PartName="/xl/charts/chart64.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omments22.xml" ContentType="application/vnd.openxmlformats-officedocument.spreadsheetml.comments+xml"/>
  <Override PartName="/xl/charts/chart42.xml" ContentType="application/vnd.openxmlformats-officedocument.drawingml.chart+xml"/>
  <Override PartName="/xl/worksheets/sheet55.xml" ContentType="application/vnd.openxmlformats-officedocument.spreadsheetml.worksheet+xml"/>
  <Override PartName="/xl/comments11.xml" ContentType="application/vnd.openxmlformats-officedocument.spreadsheetml.comments+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comments6.xml" ContentType="application/vnd.openxmlformats-officedocument.spreadsheetml.comments+xml"/>
  <Override PartName="/xl/charts/chart2.xml" ContentType="application/vnd.openxmlformats-officedocument.drawingml.chart+xml"/>
  <Override PartName="/xl/drawings/drawing37.xml" ContentType="application/vnd.openxmlformats-officedocument.drawing+xml"/>
  <Override PartName="/xl/comments49.xml" ContentType="application/vnd.openxmlformats-officedocument.spreadsheetml.comments+xml"/>
  <Default Extension="rels" ContentType="application/vnd.openxmlformats-package.relationships+xml"/>
  <Override PartName="/xl/drawings/drawing15.xml" ContentType="application/vnd.openxmlformats-officedocument.drawing+xml"/>
  <Override PartName="/xl/comments27.xml" ContentType="application/vnd.openxmlformats-officedocument.spreadsheetml.comments+xml"/>
  <Override PartName="/xl/drawings/drawing26.xml" ContentType="application/vnd.openxmlformats-officedocument.drawing+xml"/>
  <Override PartName="/xl/comments38.xml" ContentType="application/vnd.openxmlformats-officedocument.spreadsheetml.comments+xml"/>
  <Override PartName="/xl/charts/chart58.xml" ContentType="application/vnd.openxmlformats-officedocument.drawingml.chart+xml"/>
  <Override PartName="/xl/drawings/drawing62.xml" ContentType="application/vnd.openxmlformats-officedocument.drawing+xml"/>
  <Override PartName="/xl/externalLinks/externalLink3.xml" ContentType="application/vnd.openxmlformats-officedocument.spreadsheetml.externalLink+xml"/>
  <Override PartName="/xl/comments16.xml" ContentType="application/vnd.openxmlformats-officedocument.spreadsheetml.comments+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xml"/>
  <Override PartName="/xl/comments63.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xml"/>
  <Override PartName="/xl/comments52.xml" ContentType="application/vnd.openxmlformats-officedocument.spreadsheetml.comments+xml"/>
  <Override PartName="/xl/worksheets/sheet38.xml" ContentType="application/vnd.openxmlformats-officedocument.spreadsheetml.worksheet+xml"/>
  <Override PartName="/xl/worksheets/sheet85.xml" ContentType="application/vnd.openxmlformats-officedocument.spreadsheetml.worksheet+xml"/>
  <Override PartName="/xl/charts/chart14.xml" ContentType="application/vnd.openxmlformats-officedocument.drawingml.chart+xml"/>
  <Override PartName="/xl/comments41.xml" ContentType="application/vnd.openxmlformats-officedocument.spreadsheetml.comments+xml"/>
  <Override PartName="/xl/charts/chart61.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 yWindow="5820" windowWidth="25260" windowHeight="5880" tabRatio="919"/>
  </bookViews>
  <sheets>
    <sheet name="GC" sheetId="12" r:id="rId1"/>
    <sheet name="C1" sheetId="13" r:id="rId2"/>
    <sheet name="Gen_Ass_SC" sheetId="14" r:id="rId3"/>
    <sheet name="I-1" sheetId="107" r:id="rId4"/>
    <sheet name="I-2 DA" sheetId="25" r:id="rId5"/>
    <sheet name="I-3 Allocated" sheetId="26" r:id="rId6"/>
    <sheet name="Data_SC" sheetId="15" r:id="rId7"/>
    <sheet name="I-4 History" sheetId="7" state="hidden" r:id="rId8"/>
    <sheet name="I-5 Future DA" sheetId="113" r:id="rId9"/>
    <sheet name="I-6 Future A" sheetId="114" r:id="rId10"/>
    <sheet name="Scen_Ass_SC" sheetId="16" r:id="rId11"/>
    <sheet name="I-7 Escalations" sheetId="8" r:id="rId12"/>
    <sheet name="Workings_SC" sheetId="18" r:id="rId13"/>
    <sheet name="A-1" sheetId="67" r:id="rId14"/>
    <sheet name="A-2" sheetId="68" r:id="rId15"/>
    <sheet name="A-3" sheetId="69" r:id="rId16"/>
    <sheet name="A-4" sheetId="70" r:id="rId17"/>
    <sheet name="A-5" sheetId="71" r:id="rId18"/>
    <sheet name="A-6" sheetId="72" r:id="rId19"/>
    <sheet name="A-7" sheetId="73" r:id="rId20"/>
    <sheet name="A-8" sheetId="74" r:id="rId21"/>
    <sheet name="A-9" sheetId="75" r:id="rId22"/>
    <sheet name="A-10" sheetId="76" r:id="rId23"/>
    <sheet name="A-11" sheetId="77" r:id="rId24"/>
    <sheet name="A-12" sheetId="78" r:id="rId25"/>
    <sheet name="A-13" sheetId="81" r:id="rId26"/>
    <sheet name="A-14" sheetId="82" r:id="rId27"/>
    <sheet name="A-15" sheetId="83" r:id="rId28"/>
    <sheet name="A-16" sheetId="84" r:id="rId29"/>
    <sheet name="A-17" sheetId="85" r:id="rId30"/>
    <sheet name="A-18" sheetId="86" r:id="rId31"/>
    <sheet name="A-19" sheetId="87" r:id="rId32"/>
    <sheet name="A-20" sheetId="88" r:id="rId33"/>
    <sheet name="A-21" sheetId="79" r:id="rId34"/>
    <sheet name="A-22" sheetId="80" r:id="rId35"/>
    <sheet name="A-23" sheetId="89" r:id="rId36"/>
    <sheet name="A-24" sheetId="90" r:id="rId37"/>
    <sheet name="A-25" sheetId="91" r:id="rId38"/>
    <sheet name="A-26" sheetId="92" r:id="rId39"/>
    <sheet name="A-27" sheetId="93" r:id="rId40"/>
    <sheet name="A-28" sheetId="94" r:id="rId41"/>
    <sheet name="A-29" sheetId="95" r:id="rId42"/>
    <sheet name="A-30" sheetId="96" r:id="rId43"/>
    <sheet name="A-31" sheetId="97" r:id="rId44"/>
    <sheet name="A-32" sheetId="98" r:id="rId45"/>
    <sheet name="A-33" sheetId="99" r:id="rId46"/>
    <sheet name="A-34" sheetId="100" r:id="rId47"/>
    <sheet name="A-35" sheetId="101" r:id="rId48"/>
    <sheet name="A-36" sheetId="102" r:id="rId49"/>
    <sheet name="A-37" sheetId="108" r:id="rId50"/>
    <sheet name="A-38" sheetId="109" r:id="rId51"/>
    <sheet name="A-39" sheetId="127" r:id="rId52"/>
    <sheet name="A-40" sheetId="128" r:id="rId53"/>
    <sheet name="A-41" sheetId="129" r:id="rId54"/>
    <sheet name="DA-1" sheetId="32" r:id="rId55"/>
    <sheet name="DA-2" sheetId="38" r:id="rId56"/>
    <sheet name="DA-3" sheetId="39" r:id="rId57"/>
    <sheet name="DA-4" sheetId="40" r:id="rId58"/>
    <sheet name="DA-5" sheetId="41" r:id="rId59"/>
    <sheet name="DA-6" sheetId="42" r:id="rId60"/>
    <sheet name="DA-7" sheetId="43" r:id="rId61"/>
    <sheet name="DA-8" sheetId="44" r:id="rId62"/>
    <sheet name="DA-9" sheetId="45" r:id="rId63"/>
    <sheet name="DA-10" sheetId="46" r:id="rId64"/>
    <sheet name="DA-11" sheetId="47" r:id="rId65"/>
    <sheet name="DA-12" sheetId="48" r:id="rId66"/>
    <sheet name="DA-13" sheetId="49" r:id="rId67"/>
    <sheet name="DA-14" sheetId="50" r:id="rId68"/>
    <sheet name="DA-15" sheetId="51" r:id="rId69"/>
    <sheet name="DA-16" sheetId="52" r:id="rId70"/>
    <sheet name="DA-17" sheetId="53" r:id="rId71"/>
    <sheet name="DA-18" sheetId="54" r:id="rId72"/>
    <sheet name="DA-19" sheetId="55" r:id="rId73"/>
    <sheet name="DA-20" sheetId="56" r:id="rId74"/>
    <sheet name="DA-21" sheetId="57" r:id="rId75"/>
    <sheet name="DA-22" sheetId="58" r:id="rId76"/>
    <sheet name="DA-23" sheetId="59" r:id="rId77"/>
    <sheet name="DA-24" sheetId="60" r:id="rId78"/>
    <sheet name="Reports_SC" sheetId="19" r:id="rId79"/>
    <sheet name="R1 Opex Detail" sheetId="105" r:id="rId80"/>
    <sheet name="R2" sheetId="63" r:id="rId81"/>
    <sheet name="R3" sheetId="104" r:id="rId82"/>
    <sheet name="R4 Variations" sheetId="106" r:id="rId83"/>
    <sheet name="R5 Escalations" sheetId="111" r:id="rId84"/>
    <sheet name="R6 Escalations" sheetId="112" r:id="rId85"/>
    <sheet name="R7" sheetId="119" r:id="rId86"/>
    <sheet name="Reports $2015_SC" sheetId="132" r:id="rId87"/>
    <sheet name="R2 ($2015)" sheetId="140" r:id="rId88"/>
    <sheet name="R3 ($2015)" sheetId="141" r:id="rId89"/>
    <sheet name="R4 Variations ($2015)" sheetId="135" r:id="rId90"/>
    <sheet name="R6 Escalations ($2015)" sheetId="136" r:id="rId91"/>
    <sheet name="R7 ($2015)" sheetId="142" r:id="rId92"/>
    <sheet name="Export" sheetId="126" r:id="rId93"/>
    <sheet name="E1" sheetId="130" r:id="rId94"/>
    <sheet name="E2" sheetId="131" r:id="rId95"/>
    <sheet name="Reference" sheetId="28" r:id="rId96"/>
    <sheet name="Ref-1" sheetId="29" r:id="rId97"/>
    <sheet name="Ref-2" sheetId="37" r:id="rId98"/>
    <sheet name="HelpText" sheetId="139" r:id="rId99"/>
    <sheet name="Crosschecks" sheetId="23" r:id="rId100"/>
    <sheet name="CK1" sheetId="24" r:id="rId101"/>
  </sheets>
  <externalReferences>
    <externalReference r:id="rId102"/>
    <externalReference r:id="rId103"/>
    <externalReference r:id="rId104"/>
  </externalReferences>
  <definedNames>
    <definedName name="_LU_DataVersion">GC!$D$46</definedName>
    <definedName name="_LU_Version">GC!$D$48</definedName>
    <definedName name="aaaaa" hidden="1">{"Allocation of Cash Flows",#N/A,FALSE,"Cash Flow Worksheet"}</definedName>
    <definedName name="abcde" hidden="1">{"Allocation of Cash Flows",#N/A,FALSE,"Cash Flow Worksheet"}</definedName>
    <definedName name="Array_ColOffset_Header" localSheetId="13">{"-7","-6","-5","-4","-3","-2","-1","0"}</definedName>
    <definedName name="Array_ColOffset_Header" localSheetId="22">{"-7","-6","-5","-4","-3","-2","-1","0"}</definedName>
    <definedName name="Array_ColOffset_Header" localSheetId="23">{"-7","-6","-5","-4","-3","-2","-1","0"}</definedName>
    <definedName name="Array_ColOffset_Header" localSheetId="24">{"-7","-6","-5","-4","-3","-2","-1","0"}</definedName>
    <definedName name="Array_ColOffset_Header" localSheetId="25">{"-7","-6","-5","-4","-3","-2","-1","0"}</definedName>
    <definedName name="Array_ColOffset_Header" localSheetId="26">{"-7","-6","-5","-4","-3","-2","-1","0"}</definedName>
    <definedName name="Array_ColOffset_Header" localSheetId="27">{"-7","-6","-5","-4","-3","-2","-1","0"}</definedName>
    <definedName name="Array_ColOffset_Header" localSheetId="28">{"-7","-6","-5","-4","-3","-2","-1","0"}</definedName>
    <definedName name="Array_ColOffset_Header" localSheetId="29">{"-7","-6","-5","-4","-3","-2","-1","0"}</definedName>
    <definedName name="Array_ColOffset_Header" localSheetId="30">{"-7","-6","-5","-4","-3","-2","-1","0"}</definedName>
    <definedName name="Array_ColOffset_Header" localSheetId="31">{"-7","-6","-5","-4","-3","-2","-1","0"}</definedName>
    <definedName name="Array_ColOffset_Header" localSheetId="14">{"-7","-6","-5","-4","-3","-2","-1","0"}</definedName>
    <definedName name="Array_ColOffset_Header" localSheetId="32">{"-7","-6","-5","-4","-3","-2","-1","0"}</definedName>
    <definedName name="Array_ColOffset_Header" localSheetId="33">{"-7","-6","-5","-4","-3","-2","-1","0"}</definedName>
    <definedName name="Array_ColOffset_Header" localSheetId="34">{"-7","-6","-5","-4","-3","-2","-1","0"}</definedName>
    <definedName name="Array_ColOffset_Header" localSheetId="35">{"-7","-6","-5","-4","-3","-2","-1","0"}</definedName>
    <definedName name="Array_ColOffset_Header" localSheetId="36">{"-7","-6","-5","-4","-3","-2","-1","0"}</definedName>
    <definedName name="Array_ColOffset_Header" localSheetId="37">{"-7","-6","-5","-4","-3","-2","-1","0"}</definedName>
    <definedName name="Array_ColOffset_Header" localSheetId="38">{"-7","-6","-5","-4","-3","-2","-1","0"}</definedName>
    <definedName name="Array_ColOffset_Header" localSheetId="39">{"-7","-6","-5","-4","-3","-2","-1","0"}</definedName>
    <definedName name="Array_ColOffset_Header" localSheetId="40">{"-7","-6","-5","-4","-3","-2","-1","0"}</definedName>
    <definedName name="Array_ColOffset_Header" localSheetId="41">{"-7","-6","-5","-4","-3","-2","-1","0"}</definedName>
    <definedName name="Array_ColOffset_Header" localSheetId="15">{"-7","-6","-5","-4","-3","-2","-1","0"}</definedName>
    <definedName name="Array_ColOffset_Header" localSheetId="42">{"-7","-6","-5","-4","-3","-2","-1","0"}</definedName>
    <definedName name="Array_ColOffset_Header" localSheetId="43">{"-7","-6","-5","-4","-3","-2","-1","0"}</definedName>
    <definedName name="Array_ColOffset_Header" localSheetId="44">{"-7","-6","-5","-4","-3","-2","-1","0"}</definedName>
    <definedName name="Array_ColOffset_Header" localSheetId="45">{"-7","-6","-5","-4","-3","-2","-1","0"}</definedName>
    <definedName name="Array_ColOffset_Header" localSheetId="46">{"-7","-6","-5","-4","-3","-2","-1","0"}</definedName>
    <definedName name="Array_ColOffset_Header" localSheetId="47">{"-7","-6","-5","-4","-3","-2","-1","0"}</definedName>
    <definedName name="Array_ColOffset_Header" localSheetId="48">{"-7","-6","-5","-4","-3","-2","-1","0"}</definedName>
    <definedName name="Array_ColOffset_Header" localSheetId="49">{"-7","-6","-5","-4","-3","-2","-1","0"}</definedName>
    <definedName name="Array_ColOffset_Header" localSheetId="50">{"-7","-6","-5","-4","-3","-2","-1","0"}</definedName>
    <definedName name="Array_ColOffset_Header" localSheetId="51">{"-7","-6","-5","-4","-3","-2","-1","0"}</definedName>
    <definedName name="Array_ColOffset_Header" localSheetId="16">{"-7","-6","-5","-4","-3","-2","-1","0"}</definedName>
    <definedName name="Array_ColOffset_Header" localSheetId="52">{"-7","-6","-5","-4","-3","-2","-1","0"}</definedName>
    <definedName name="Array_ColOffset_Header" localSheetId="53">{"-7","-6","-5","-4","-3","-2","-1","0"}</definedName>
    <definedName name="Array_ColOffset_Header" localSheetId="17">{"-7","-6","-5","-4","-3","-2","-1","0"}</definedName>
    <definedName name="Array_ColOffset_Header" localSheetId="18">{"-7","-6","-5","-4","-3","-2","-1","0"}</definedName>
    <definedName name="Array_ColOffset_Header" localSheetId="19">{"-7","-6","-5","-4","-3","-2","-1","0"}</definedName>
    <definedName name="Array_ColOffset_Header" localSheetId="20">{"-7","-6","-5","-4","-3","-2","-1","0"}</definedName>
    <definedName name="Array_ColOffset_Header" localSheetId="21">{"-7","-6","-5","-4","-3","-2","-1","0"}</definedName>
    <definedName name="Array_ColOffset_Header" localSheetId="64">{"-7","-6","-5","-4","-3","-2","-1","0"}</definedName>
    <definedName name="Array_ColOffset_Header" localSheetId="65">{"-7","-6","-5","-4","-3","-2","-1","0"}</definedName>
    <definedName name="Array_ColOffset_Header" localSheetId="66">{"-7","-6","-5","-4","-3","-2","-1","0"}</definedName>
    <definedName name="Array_ColOffset_Header" localSheetId="68">{"-7","-6","-5","-4","-3","-2","-1","0"}</definedName>
    <definedName name="Array_ColOffset_Header" localSheetId="69">{"-7","-6","-5","-4","-3","-2","-1","0"}</definedName>
    <definedName name="Array_ColOffset_Header" localSheetId="71">{"-7","-6","-5","-4","-3","-2","-1","0"}</definedName>
    <definedName name="Array_ColOffset_Header" localSheetId="72">{"-7","-6","-5","-4","-3","-2","-1","0"}</definedName>
    <definedName name="Array_ColOffset_Header" localSheetId="55">{"-7","-6","-5","-4","-3","-2","-1","0"}</definedName>
    <definedName name="Array_ColOffset_Header" localSheetId="74">{"-7","-6","-5","-4","-3","-2","-1","0"}</definedName>
    <definedName name="Array_ColOffset_Header" localSheetId="75">{"-7","-6","-5","-4","-3","-2","-1","0"}</definedName>
    <definedName name="Array_ColOffset_Header" localSheetId="76">{"-7","-6","-5","-4","-3","-2","-1","0"}</definedName>
    <definedName name="Array_ColOffset_Header" localSheetId="56">{"-7","-6","-5","-4","-3","-2","-1","0"}</definedName>
    <definedName name="Array_ColOffset_Header" localSheetId="58">{"-7","-6","-5","-4","-3","-2","-1","0"}</definedName>
    <definedName name="Array_ColOffset_Header" localSheetId="59">{"-7","-6","-5","-4","-3","-2","-1","0"}</definedName>
    <definedName name="Array_ColOffset_Header" localSheetId="61">{"-7","-6","-5","-4","-3","-2","-1","0"}</definedName>
    <definedName name="Array_ColOffset_Header" localSheetId="62">{"-7","-6","-5","-4","-3","-2","-1","0"}</definedName>
    <definedName name="Array_ColOffset_Header" localSheetId="93">{"-7","-6","-5","-4","-3","-2","-1","0"}</definedName>
    <definedName name="Array_ColOffset_Header" localSheetId="9">{"-7","-6","-5","-4","-3","-2","-1","0"}</definedName>
    <definedName name="Array_ColOffset_Header" localSheetId="79">{"-7","-6","-5","-4","-3","-2","-1","0"}</definedName>
    <definedName name="Array_ColOffset_Header" localSheetId="80">{"-7","-6","-5","-4","-3","-2","-1","0"}</definedName>
    <definedName name="Array_ColOffset_Header" localSheetId="87">{"-7","-6","-5","-4","-3","-2","-1","0"}</definedName>
    <definedName name="Array_ColOffset_Header" localSheetId="81">{"-7","-6","-5","-4","-3","-2","-1","0"}</definedName>
    <definedName name="Array_ColOffset_Header" localSheetId="88">{"-7","-6","-5","-4","-3","-2","-1","0"}</definedName>
    <definedName name="Array_ColOffset_Header" localSheetId="82">{"-7","-6","-5","-4","-3","-2","-1","0"}</definedName>
    <definedName name="Array_ColOffset_Header" localSheetId="89">{"-7","-6","-5","-4","-3","-2","-1","0"}</definedName>
    <definedName name="Array_ColOffset_Header" localSheetId="83">{"-7","-6","-5","-4","-3","-2","-1","0"}</definedName>
    <definedName name="Array_ColOffset_Header" localSheetId="84">{"-7","-6","-5","-4","-3","-2","-1","0"}</definedName>
    <definedName name="Array_ColOffset_Header" localSheetId="90">{"-7","-6","-5","-4","-3","-2","-1","0"}</definedName>
    <definedName name="Array_ColOffset_Header" localSheetId="85">{"-7","-6","-5","-4","-3","-2","-1","0"}</definedName>
    <definedName name="Array_ColOffset_Header" localSheetId="91">{"-7","-6","-5","-4","-3","-2","-1","0"}</definedName>
    <definedName name="Array_ColOffset_Header" localSheetId="86">{"-7","-6","-5","-4","-3","-2","-1","0"}</definedName>
    <definedName name="Array_ColOffset_Header">{"-7","-6","-5","-4","-3","-2","-1","0"}</definedName>
    <definedName name="Array_ColOffset_Header2">{"0","1","2","3","4","5","6"}</definedName>
    <definedName name="AS2DocOpenMode" hidden="1">"AS2DocumentEdit"</definedName>
    <definedName name="EscalationDescription_General">'I-7 Escalations'!$B$11:$B$15</definedName>
    <definedName name="EscalationDescription_Input_Cost">'I-7 Escalations'!$B$24:$B$44</definedName>
    <definedName name="Escalations_General_Costs">'I-7 Escalations'!$B$11:$M$15</definedName>
    <definedName name="Escalations_Specific_Costs">'I-7 Escalations'!$B$24:$M$44</definedName>
    <definedName name="Future_AOpexStart">'I-6 Future A'!$D$4</definedName>
    <definedName name="Future_DAOpexStart">'I-5 Future DA'!$D$4</definedName>
    <definedName name="InfoClassification">GC!$D$46</definedName>
    <definedName name="jordan" hidden="1">{"Allocation of Cash Flows",#N/A,FALSE,"Cash Flow Worksheet"}</definedName>
    <definedName name="List_AllocatedCosts">'I-3 Allocated'!$B$4:$D$45</definedName>
    <definedName name="List_AllocOpexListStart">'I-3 Allocated'!$B$4</definedName>
    <definedName name="List_AllocOpexStart">'I-4 History'!$L$226</definedName>
    <definedName name="List_DAOpexStart">'I-2 DA'!$B$6</definedName>
    <definedName name="List_DirectlyAttributedServices">'I-2 DA'!$B$7:$C$30</definedName>
    <definedName name="List_NWOpexStart">'I-4 History'!$L$5</definedName>
    <definedName name="LU_BaseYearDollars">'Ref-1'!$B$45</definedName>
    <definedName name="LU_CostCategory">'Ref-1'!$A$26:$A$31</definedName>
    <definedName name="LU_Escalation">'I-1'!$H$31</definedName>
    <definedName name="LU_Guide">GC!$A$34</definedName>
    <definedName name="LU_PTRMDollarDenomination">'Ref-1'!$B$47</definedName>
    <definedName name="LU_TemplateDollarDenomination">'Ref-1'!$B$46</definedName>
    <definedName name="LU_TemplateYearHeader">'Ref-1'!$N$39:$U$39</definedName>
    <definedName name="LU_TemplateYearHeader2">'Ref-1'!$O$39:$U$39</definedName>
    <definedName name="LU_TemplateYearHeader3">'Ref-1'!$G$39:$M$39</definedName>
    <definedName name="Model_Name">GC!$D$40</definedName>
    <definedName name="OrganisationName">GC!$D$39</definedName>
    <definedName name="_xlnm.Print_Area" localSheetId="13">'A-1'!$A$1:$I$240</definedName>
    <definedName name="_xlnm.Print_Area" localSheetId="22">'A-10'!$A$1:$I$239</definedName>
    <definedName name="_xlnm.Print_Area" localSheetId="23">'A-11'!$A$1:$I$239</definedName>
    <definedName name="_xlnm.Print_Area" localSheetId="24">'A-12'!$A$1:$I$239</definedName>
    <definedName name="_xlnm.Print_Area" localSheetId="25">'A-13'!$A$1:$I$239</definedName>
    <definedName name="_xlnm.Print_Area" localSheetId="26">'A-14'!$A$1:$I$239</definedName>
    <definedName name="_xlnm.Print_Area" localSheetId="27">'A-15'!$A$1:$I$239</definedName>
    <definedName name="_xlnm.Print_Area" localSheetId="28">'A-16'!$A$1:$I$239</definedName>
    <definedName name="_xlnm.Print_Area" localSheetId="29">'A-17'!$A$1:$I$239</definedName>
    <definedName name="_xlnm.Print_Area" localSheetId="30">'A-18'!$A$1:$I$239</definedName>
    <definedName name="_xlnm.Print_Area" localSheetId="31">'A-19'!$A$1:$I$239</definedName>
    <definedName name="_xlnm.Print_Area" localSheetId="14">'A-2'!$A$1:$I$239</definedName>
    <definedName name="_xlnm.Print_Area" localSheetId="32">'A-20'!$A$1:$I$239</definedName>
    <definedName name="_xlnm.Print_Area" localSheetId="33">'A-21'!$A$1:$I$239</definedName>
    <definedName name="_xlnm.Print_Area" localSheetId="34">'A-22'!$A$1:$I$239</definedName>
    <definedName name="_xlnm.Print_Area" localSheetId="35">'A-23'!$A$1:$I$239</definedName>
    <definedName name="_xlnm.Print_Area" localSheetId="36">'A-24'!$A$1:$I$239</definedName>
    <definedName name="_xlnm.Print_Area" localSheetId="37">'A-25'!$A$1:$I$239</definedName>
    <definedName name="_xlnm.Print_Area" localSheetId="38">'A-26'!$A$1:$I$239</definedName>
    <definedName name="_xlnm.Print_Area" localSheetId="39">'A-27'!$A$1:$I$239</definedName>
    <definedName name="_xlnm.Print_Area" localSheetId="40">'A-28'!$A$1:$I$239</definedName>
    <definedName name="_xlnm.Print_Area" localSheetId="41">'A-29'!$A$1:$I$239</definedName>
    <definedName name="_xlnm.Print_Area" localSheetId="15">'A-3'!$A$1:$I$239</definedName>
    <definedName name="_xlnm.Print_Area" localSheetId="42">'A-30'!$A$1:$I$239</definedName>
    <definedName name="_xlnm.Print_Area" localSheetId="43">'A-31'!$A$1:$I$239</definedName>
    <definedName name="_xlnm.Print_Area" localSheetId="44">'A-32'!$A$1:$I$239</definedName>
    <definedName name="_xlnm.Print_Area" localSheetId="45">'A-33'!$A$1:$I$239</definedName>
    <definedName name="_xlnm.Print_Area" localSheetId="46">'A-34'!$A$1:$I$239</definedName>
    <definedName name="_xlnm.Print_Area" localSheetId="47">'A-35'!$A$1:$I$239</definedName>
    <definedName name="_xlnm.Print_Area" localSheetId="48">'A-36'!$A$1:$I$239</definedName>
    <definedName name="_xlnm.Print_Area" localSheetId="49">'A-37'!$A$1:$I$239</definedName>
    <definedName name="_xlnm.Print_Area" localSheetId="50">'A-38'!$A$1:$I$239</definedName>
    <definedName name="_xlnm.Print_Area" localSheetId="51">'A-39'!$A$1:$I$239</definedName>
    <definedName name="_xlnm.Print_Area" localSheetId="16">'A-4'!$A$1:$I$239</definedName>
    <definedName name="_xlnm.Print_Area" localSheetId="52">'A-40'!$A$1:$I$239</definedName>
    <definedName name="_xlnm.Print_Area" localSheetId="53">'A-41'!$A$1:$I$239</definedName>
    <definedName name="_xlnm.Print_Area" localSheetId="17">'A-5'!$A$1:$I$239</definedName>
    <definedName name="_xlnm.Print_Area" localSheetId="18">'A-6'!$A$1:$I$239</definedName>
    <definedName name="_xlnm.Print_Area" localSheetId="19">'A-7'!$A$1:$I$239</definedName>
    <definedName name="_xlnm.Print_Area" localSheetId="20">'A-8'!$A$1:$I$239</definedName>
    <definedName name="_xlnm.Print_Area" localSheetId="21">'A-9'!$A$1:$I$239</definedName>
    <definedName name="_xlnm.Print_Area" localSheetId="1">'C1'!$A$1:$J$57</definedName>
    <definedName name="_xlnm.Print_Area" localSheetId="100">'CK1'!$B$1:$K$32</definedName>
    <definedName name="_xlnm.Print_Area" localSheetId="54">'DA-1'!$A$1:$I$239</definedName>
    <definedName name="_xlnm.Print_Area" localSheetId="63">'DA-10'!$A$1:$I$239</definedName>
    <definedName name="_xlnm.Print_Area" localSheetId="64">'DA-11'!$A$1:$I$239</definedName>
    <definedName name="_xlnm.Print_Area" localSheetId="65">'DA-12'!$A$1:$I$239</definedName>
    <definedName name="_xlnm.Print_Area" localSheetId="66">'DA-13'!$A$1:$I$239</definedName>
    <definedName name="_xlnm.Print_Area" localSheetId="67">'DA-14'!$A$1:$I$239</definedName>
    <definedName name="_xlnm.Print_Area" localSheetId="68">'DA-15'!$A$1:$I$239</definedName>
    <definedName name="_xlnm.Print_Area" localSheetId="69">'DA-16'!$A$1:$I$239</definedName>
    <definedName name="_xlnm.Print_Area" localSheetId="70">'DA-17'!$A$1:$I$239</definedName>
    <definedName name="_xlnm.Print_Area" localSheetId="71">'DA-18'!$A$1:$I$239</definedName>
    <definedName name="_xlnm.Print_Area" localSheetId="72">'DA-19'!$A$1:$I$239</definedName>
    <definedName name="_xlnm.Print_Area" localSheetId="55">'DA-2'!$A$1:$I$239</definedName>
    <definedName name="_xlnm.Print_Area" localSheetId="73">'DA-20'!$A$1:$I$239</definedName>
    <definedName name="_xlnm.Print_Area" localSheetId="74">'DA-21'!$A$1:$I$239</definedName>
    <definedName name="_xlnm.Print_Area" localSheetId="75">'DA-22'!$A$1:$I$239</definedName>
    <definedName name="_xlnm.Print_Area" localSheetId="76">'DA-23'!$A$1:$I$239</definedName>
    <definedName name="_xlnm.Print_Area" localSheetId="77">'DA-24'!$A$1:$I$239</definedName>
    <definedName name="_xlnm.Print_Area" localSheetId="56">'DA-3'!$A$1:$I$239</definedName>
    <definedName name="_xlnm.Print_Area" localSheetId="57">'DA-4'!$A$1:$I$239</definedName>
    <definedName name="_xlnm.Print_Area" localSheetId="58">'DA-5'!$A$1:$I$239</definedName>
    <definedName name="_xlnm.Print_Area" localSheetId="59">'DA-6'!$A$1:$I$239</definedName>
    <definedName name="_xlnm.Print_Area" localSheetId="60">'DA-7'!$A$1:$I$239</definedName>
    <definedName name="_xlnm.Print_Area" localSheetId="61">'DA-8'!$A$1:$I$239</definedName>
    <definedName name="_xlnm.Print_Area" localSheetId="62">'DA-9'!$A$1:$I$239</definedName>
    <definedName name="_xlnm.Print_Area" localSheetId="6">Data_SC!$B$1:$P$29</definedName>
    <definedName name="_xlnm.Print_Area" localSheetId="93" xml:space="preserve">             'E1'!$B$1:$S$622</definedName>
    <definedName name="_xlnm.Print_Area" localSheetId="94">'E2'!$A$1:$U$76</definedName>
    <definedName name="_xlnm.Print_Area" localSheetId="92">Export!$A$1:$M$27</definedName>
    <definedName name="_xlnm.Print_Area" localSheetId="0">GC!$A$1:$S$52</definedName>
    <definedName name="_xlnm.Print_Area" localSheetId="2">Gen_Ass_SC!$B$1:$P$30</definedName>
    <definedName name="_xlnm.Print_Area" localSheetId="3">'I-1'!$A$1:$X$40</definedName>
    <definedName name="_xlnm.Print_Area" localSheetId="4">'I-2 DA'!$A$1:$F$31</definedName>
    <definedName name="_xlnm.Print_Area" localSheetId="5">'I-3 Allocated'!$A$1:$D$45</definedName>
    <definedName name="_xlnm.Print_Area" localSheetId="7">'I-4 History'!$B$1:$L$614</definedName>
    <definedName name="_xlnm.Print_Area" localSheetId="8">'I-5 Future DA'!$B$1:$L$238</definedName>
    <definedName name="_xlnm.Print_Area" localSheetId="9">'I-6 Future A'!$B$1:$L$393</definedName>
    <definedName name="_xlnm.Print_Area" localSheetId="11">'I-7 Escalations'!$A$1:$N$46</definedName>
    <definedName name="_xlnm.Print_Area" localSheetId="79" xml:space="preserve">             'R1 Opex Detail'!$B$1:$S$622</definedName>
    <definedName name="_xlnm.Print_Area" localSheetId="80">'R2'!$A$1:$I$119</definedName>
    <definedName name="_xlnm.Print_Area" localSheetId="87">'R2 ($2015)'!$A$1:$I$71</definedName>
    <definedName name="_xlnm.Print_Area" localSheetId="81">'R3'!$A$1:$I$125</definedName>
    <definedName name="_xlnm.Print_Area" localSheetId="88">'R3 ($2015)'!$A$1:$I$73</definedName>
    <definedName name="_xlnm.Print_Area" localSheetId="82">'R4 Variations'!$B$1:$N$816</definedName>
    <definedName name="_xlnm.Print_Area" localSheetId="89">'R4 Variations ($2015)'!$B$1:$N$816</definedName>
    <definedName name="_xlnm.Print_Area" localSheetId="83">'R5 Escalations'!$B$1:$K$1018</definedName>
    <definedName name="_xlnm.Print_Area" localSheetId="84">'R6 Escalations'!$A$1:$I$49</definedName>
    <definedName name="_xlnm.Print_Area" localSheetId="90">'R6 Escalations ($2015)'!$A$1:$I$48</definedName>
    <definedName name="_xlnm.Print_Area" localSheetId="85">'R7'!$A$1:$L$12</definedName>
    <definedName name="_xlnm.Print_Area" localSheetId="91">'R7 ($2015)'!$A$1:$I$73</definedName>
    <definedName name="_xlnm.Print_Area" localSheetId="96">'Ref-1'!$A$1:$U$47</definedName>
    <definedName name="_xlnm.Print_Area" localSheetId="97">'Ref-2'!$A$1:$F$66</definedName>
    <definedName name="_xlnm.Print_Area" localSheetId="86">'Reports $2015_SC'!$B$1:$P$30</definedName>
    <definedName name="_xlnm.Print_Area" localSheetId="78">Reports_SC!$B$1:$P$30</definedName>
    <definedName name="_xlnm.Print_Area" localSheetId="10">Scen_Ass_SC!$B$1:$P$30</definedName>
    <definedName name="_xlnm.Print_Area" localSheetId="12">Workings_SC!$B$1:$P$30</definedName>
    <definedName name="_xlnm.Print_Titles" localSheetId="13">'A-1'!$1:$2</definedName>
    <definedName name="_xlnm.Print_Titles" localSheetId="22">'A-10'!$1:$2</definedName>
    <definedName name="_xlnm.Print_Titles" localSheetId="23">'A-11'!$1:$2</definedName>
    <definedName name="_xlnm.Print_Titles" localSheetId="24">'A-12'!$1:$2</definedName>
    <definedName name="_xlnm.Print_Titles" localSheetId="25">'A-13'!$1:$2</definedName>
    <definedName name="_xlnm.Print_Titles" localSheetId="26">'A-14'!$1:$2</definedName>
    <definedName name="_xlnm.Print_Titles" localSheetId="27">'A-15'!$1:$2</definedName>
    <definedName name="_xlnm.Print_Titles" localSheetId="28">'A-16'!$1:$2</definedName>
    <definedName name="_xlnm.Print_Titles" localSheetId="29">'A-17'!$1:$2</definedName>
    <definedName name="_xlnm.Print_Titles" localSheetId="30">'A-18'!$1:$2</definedName>
    <definedName name="_xlnm.Print_Titles" localSheetId="31">'A-19'!$1:$2</definedName>
    <definedName name="_xlnm.Print_Titles" localSheetId="14">'A-2'!$1:$2</definedName>
    <definedName name="_xlnm.Print_Titles" localSheetId="32">'A-20'!$1:$2</definedName>
    <definedName name="_xlnm.Print_Titles" localSheetId="33">'A-21'!$1:$2</definedName>
    <definedName name="_xlnm.Print_Titles" localSheetId="34">'A-22'!$1:$2</definedName>
    <definedName name="_xlnm.Print_Titles" localSheetId="35">'A-23'!$1:$2</definedName>
    <definedName name="_xlnm.Print_Titles" localSheetId="36">'A-24'!$1:$2</definedName>
    <definedName name="_xlnm.Print_Titles" localSheetId="37">'A-25'!$1:$2</definedName>
    <definedName name="_xlnm.Print_Titles" localSheetId="38">'A-26'!$1:$2</definedName>
    <definedName name="_xlnm.Print_Titles" localSheetId="39">'A-27'!$1:$2</definedName>
    <definedName name="_xlnm.Print_Titles" localSheetId="40">'A-28'!$1:$2</definedName>
    <definedName name="_xlnm.Print_Titles" localSheetId="41">'A-29'!$1:$2</definedName>
    <definedName name="_xlnm.Print_Titles" localSheetId="15">'A-3'!$1:$2</definedName>
    <definedName name="_xlnm.Print_Titles" localSheetId="42">'A-30'!$1:$2</definedName>
    <definedName name="_xlnm.Print_Titles" localSheetId="43">'A-31'!$1:$2</definedName>
    <definedName name="_xlnm.Print_Titles" localSheetId="44">'A-32'!$1:$2</definedName>
    <definedName name="_xlnm.Print_Titles" localSheetId="45">'A-33'!$1:$2</definedName>
    <definedName name="_xlnm.Print_Titles" localSheetId="46">'A-34'!$1:$2</definedName>
    <definedName name="_xlnm.Print_Titles" localSheetId="47">'A-35'!$1:$2</definedName>
    <definedName name="_xlnm.Print_Titles" localSheetId="48">'A-36'!$1:$2</definedName>
    <definedName name="_xlnm.Print_Titles" localSheetId="49">'A-37'!$1:$2</definedName>
    <definedName name="_xlnm.Print_Titles" localSheetId="50">'A-38'!$1:$2</definedName>
    <definedName name="_xlnm.Print_Titles" localSheetId="51">'A-39'!$1:$2</definedName>
    <definedName name="_xlnm.Print_Titles" localSheetId="16">'A-4'!$1:$2</definedName>
    <definedName name="_xlnm.Print_Titles" localSheetId="52">'A-40'!$1:$2</definedName>
    <definedName name="_xlnm.Print_Titles" localSheetId="53">'A-41'!$1:$2</definedName>
    <definedName name="_xlnm.Print_Titles" localSheetId="17">'A-5'!$1:$2</definedName>
    <definedName name="_xlnm.Print_Titles" localSheetId="18">'A-6'!$1:$2</definedName>
    <definedName name="_xlnm.Print_Titles" localSheetId="19">'A-7'!$1:$2</definedName>
    <definedName name="_xlnm.Print_Titles" localSheetId="20">'A-8'!$1:$2</definedName>
    <definedName name="_xlnm.Print_Titles" localSheetId="21">'A-9'!$1:$2</definedName>
    <definedName name="_xlnm.Print_Titles" localSheetId="1">'C1'!$1:$3</definedName>
    <definedName name="_xlnm.Print_Titles" localSheetId="100">'CK1'!$1:$4</definedName>
    <definedName name="_xlnm.Print_Titles" localSheetId="54">'DA-1'!$1:$2</definedName>
    <definedName name="_xlnm.Print_Titles" localSheetId="63">'DA-10'!$1:$2</definedName>
    <definedName name="_xlnm.Print_Titles" localSheetId="64">'DA-11'!$1:$2</definedName>
    <definedName name="_xlnm.Print_Titles" localSheetId="65">'DA-12'!$1:$2</definedName>
    <definedName name="_xlnm.Print_Titles" localSheetId="66">'DA-13'!$1:$2</definedName>
    <definedName name="_xlnm.Print_Titles" localSheetId="67">'DA-14'!$1:$2</definedName>
    <definedName name="_xlnm.Print_Titles" localSheetId="68">'DA-15'!$1:$2</definedName>
    <definedName name="_xlnm.Print_Titles" localSheetId="69">'DA-16'!$1:$2</definedName>
    <definedName name="_xlnm.Print_Titles" localSheetId="70">'DA-17'!$1:$2</definedName>
    <definedName name="_xlnm.Print_Titles" localSheetId="71">'DA-18'!$1:$2</definedName>
    <definedName name="_xlnm.Print_Titles" localSheetId="72">'DA-19'!$1:$2</definedName>
    <definedName name="_xlnm.Print_Titles" localSheetId="55">'DA-2'!$1:$2</definedName>
    <definedName name="_xlnm.Print_Titles" localSheetId="73">'DA-20'!$1:$2</definedName>
    <definedName name="_xlnm.Print_Titles" localSheetId="74">'DA-21'!$1:$2</definedName>
    <definedName name="_xlnm.Print_Titles" localSheetId="75">'DA-22'!$1:$2</definedName>
    <definedName name="_xlnm.Print_Titles" localSheetId="76">'DA-23'!$1:$2</definedName>
    <definedName name="_xlnm.Print_Titles" localSheetId="77">'DA-24'!$1:$2</definedName>
    <definedName name="_xlnm.Print_Titles" localSheetId="56">'DA-3'!$1:$2</definedName>
    <definedName name="_xlnm.Print_Titles" localSheetId="57">'DA-4'!$1:$2</definedName>
    <definedName name="_xlnm.Print_Titles" localSheetId="58">'DA-5'!$1:$2</definedName>
    <definedName name="_xlnm.Print_Titles" localSheetId="59">'DA-6'!$1:$2</definedName>
    <definedName name="_xlnm.Print_Titles" localSheetId="60">'DA-7'!$1:$2</definedName>
    <definedName name="_xlnm.Print_Titles" localSheetId="61">'DA-8'!$1:$2</definedName>
    <definedName name="_xlnm.Print_Titles" localSheetId="62">'DA-9'!$1:$2</definedName>
    <definedName name="_xlnm.Print_Titles" localSheetId="93">'E1'!$1:$4</definedName>
    <definedName name="_xlnm.Print_Titles" localSheetId="7">'I-4 History'!$1:$4</definedName>
    <definedName name="_xlnm.Print_Titles" localSheetId="8">'I-5 Future DA'!$1:$4</definedName>
    <definedName name="_xlnm.Print_Titles" localSheetId="9">'I-6 Future A'!$1:$4</definedName>
    <definedName name="_xlnm.Print_Titles" localSheetId="11">'I-7 Escalations'!$1:$2</definedName>
    <definedName name="_xlnm.Print_Titles" localSheetId="79">'R1 Opex Detail'!$1:$4</definedName>
    <definedName name="_xlnm.Print_Titles" localSheetId="80">'R2'!$1:$2</definedName>
    <definedName name="_xlnm.Print_Titles" localSheetId="87">'R2 ($2015)'!$1:$2</definedName>
    <definedName name="_xlnm.Print_Titles" localSheetId="81">'R3'!$1:$2</definedName>
    <definedName name="_xlnm.Print_Titles" localSheetId="88">'R3 ($2015)'!$1:$2</definedName>
    <definedName name="_xlnm.Print_Titles" localSheetId="82">'R4 Variations'!$1:$4</definedName>
    <definedName name="_xlnm.Print_Titles" localSheetId="89">'R4 Variations ($2015)'!$1:$4</definedName>
    <definedName name="_xlnm.Print_Titles" localSheetId="83">'R5 Escalations'!$1:$4</definedName>
    <definedName name="_xlnm.Print_Titles" localSheetId="84">'R6 Escalations'!$1:$3</definedName>
    <definedName name="_xlnm.Print_Titles" localSheetId="90">'R6 Escalations ($2015)'!$1:$3</definedName>
    <definedName name="_xlnm.Print_Titles" localSheetId="85">'R7'!$1:$2</definedName>
    <definedName name="_xlnm.Print_Titles" localSheetId="91">'R7 ($2015)'!$1:$2</definedName>
    <definedName name="SAPBEXrevision" hidden="1">1</definedName>
    <definedName name="SAPBEXsysID" hidden="1">"ES0"</definedName>
    <definedName name="SAPBEXwbID" hidden="1">"3PXB9R7138JZ9WRNHYFOG0QH1"</definedName>
    <definedName name="scrHelpMain">HelpText!$A$3</definedName>
    <definedName name="scrHelpVersionNotes">HelpText!$A$100</definedName>
    <definedName name="scrToDo">HelpText!$A$150</definedName>
    <definedName name="scrToDoDeveloper">HelpText!$A$200</definedName>
    <definedName name="Variation_BlankNew">'Ref-1'!$A$18:$J$33</definedName>
    <definedName name="Variation_Insert" localSheetId="13">'A-1'!$A$196</definedName>
    <definedName name="Variation_Insert" localSheetId="22">'A-10'!$A$195</definedName>
    <definedName name="Variation_Insert" localSheetId="23">'A-11'!$A$195</definedName>
    <definedName name="Variation_Insert" localSheetId="24">'A-12'!$A$195</definedName>
    <definedName name="Variation_Insert" localSheetId="25">'A-13'!$A$195</definedName>
    <definedName name="Variation_Insert" localSheetId="26">'A-14'!$A$195</definedName>
    <definedName name="Variation_Insert" localSheetId="27">'A-15'!$A$195</definedName>
    <definedName name="Variation_Insert" localSheetId="28">'A-16'!$A$195</definedName>
    <definedName name="Variation_Insert" localSheetId="29">'A-17'!$A$195</definedName>
    <definedName name="Variation_Insert" localSheetId="30">'A-18'!$A$195</definedName>
    <definedName name="Variation_Insert" localSheetId="31">'A-19'!$A$195</definedName>
    <definedName name="Variation_Insert" localSheetId="14">'A-2'!$A$195</definedName>
    <definedName name="Variation_Insert" localSheetId="32">'A-20'!$A$195</definedName>
    <definedName name="Variation_Insert" localSheetId="33">'A-21'!$A$195</definedName>
    <definedName name="Variation_Insert" localSheetId="34">'A-22'!$A$195</definedName>
    <definedName name="Variation_Insert" localSheetId="35">'A-23'!$A$195</definedName>
    <definedName name="Variation_Insert" localSheetId="36">'A-24'!$A$195</definedName>
    <definedName name="Variation_Insert" localSheetId="37">'A-25'!$A$195</definedName>
    <definedName name="Variation_Insert" localSheetId="38">'A-26'!$A$195</definedName>
    <definedName name="Variation_Insert" localSheetId="39">'A-27'!$A$195</definedName>
    <definedName name="Variation_Insert" localSheetId="40">'A-28'!$A$195</definedName>
    <definedName name="Variation_Insert" localSheetId="41">'A-29'!$A$195</definedName>
    <definedName name="Variation_Insert" localSheetId="15">'A-3'!$A$195</definedName>
    <definedName name="Variation_Insert" localSheetId="42">'A-30'!$A$195</definedName>
    <definedName name="Variation_Insert" localSheetId="43">'A-31'!$A$195</definedName>
    <definedName name="Variation_Insert" localSheetId="44">'A-32'!$A$195</definedName>
    <definedName name="Variation_Insert" localSheetId="45">'A-33'!$A$195</definedName>
    <definedName name="Variation_Insert" localSheetId="46">'A-34'!$A$195</definedName>
    <definedName name="Variation_Insert" localSheetId="47">'A-35'!$A$195</definedName>
    <definedName name="Variation_Insert" localSheetId="48">'A-36'!$A$195</definedName>
    <definedName name="Variation_Insert" localSheetId="49">'A-37'!$A$195</definedName>
    <definedName name="Variation_Insert" localSheetId="50">'A-38'!$A$195</definedName>
    <definedName name="Variation_Insert" localSheetId="51">'A-39'!$A$195</definedName>
    <definedName name="Variation_Insert" localSheetId="16">'A-4'!$A$195</definedName>
    <definedName name="Variation_Insert" localSheetId="52">'A-40'!$A$195</definedName>
    <definedName name="Variation_Insert" localSheetId="53">'A-41'!$A$195</definedName>
    <definedName name="Variation_Insert" localSheetId="17">'A-5'!$A$195</definedName>
    <definedName name="Variation_Insert" localSheetId="18">'A-6'!$A$195</definedName>
    <definedName name="Variation_Insert" localSheetId="19">'A-7'!$A$195</definedName>
    <definedName name="Variation_Insert" localSheetId="20">'A-8'!$A$195</definedName>
    <definedName name="Variation_Insert" localSheetId="21">'A-9'!$A$195</definedName>
    <definedName name="Variation_Insert" localSheetId="54">'DA-1'!$A$195</definedName>
    <definedName name="Variation_Insert" localSheetId="63">'DA-10'!$A$195</definedName>
    <definedName name="Variation_Insert" localSheetId="64">'DA-11'!$A$195</definedName>
    <definedName name="Variation_Insert" localSheetId="65">'DA-12'!$A$195</definedName>
    <definedName name="Variation_Insert" localSheetId="66">'DA-13'!$A$195</definedName>
    <definedName name="Variation_Insert" localSheetId="67">'DA-14'!$A$195</definedName>
    <definedName name="Variation_Insert" localSheetId="68">'DA-15'!$A$195</definedName>
    <definedName name="Variation_Insert" localSheetId="69">'DA-16'!$A$195</definedName>
    <definedName name="Variation_Insert" localSheetId="70">'DA-17'!$A$195</definedName>
    <definedName name="Variation_Insert" localSheetId="71">'DA-18'!$A$195</definedName>
    <definedName name="Variation_Insert" localSheetId="72">'DA-19'!$A$195</definedName>
    <definedName name="Variation_Insert" localSheetId="55">'DA-2'!$A$195</definedName>
    <definedName name="Variation_Insert" localSheetId="73">'DA-20'!$A$195</definedName>
    <definedName name="Variation_Insert" localSheetId="74">'DA-21'!$A$195</definedName>
    <definedName name="Variation_Insert" localSheetId="75">'DA-22'!$A$195</definedName>
    <definedName name="Variation_Insert" localSheetId="76">'DA-23'!$A$195</definedName>
    <definedName name="Variation_Insert" localSheetId="77">'DA-24'!$A$195</definedName>
    <definedName name="Variation_Insert" localSheetId="56">'DA-3'!$A$195</definedName>
    <definedName name="Variation_Insert" localSheetId="57">'DA-4'!$A$195</definedName>
    <definedName name="Variation_Insert" localSheetId="58">'DA-5'!$A$195</definedName>
    <definedName name="Variation_Insert" localSheetId="59">'DA-6'!$A$195</definedName>
    <definedName name="Variation_Insert" localSheetId="60">'DA-7'!$A$195</definedName>
    <definedName name="Variation_Insert" localSheetId="61">'DA-8'!$A$195</definedName>
    <definedName name="Variation_Insert" localSheetId="62">'DA-9'!$A$195</definedName>
    <definedName name="wrn.Allocation._.of._.Cash._.Flows." hidden="1">{"Allocation of Cash Flows",#N/A,FALSE,"Cash Flow Worksheet"}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xx" hidden="1">{"Allocation of Cash Flows",#N/A,FALSE,"Cash Flow Worksheet"}</definedName>
    <definedName name="xxx" hidden="1">{"Allocation of Cash Flows",#N/A,FALSE,"Cash Flow Worksheet"}</definedName>
    <definedName name="xxxx" hidden="1">{"Allocation of Cash Flows",#N/A,FALSE,"Cash Flow Worksheet"}</definedName>
    <definedName name="xxxxx" hidden="1">{"Allocation of Cash Flows",#N/A,FALSE,"Cash Flow Worksheet"}</definedName>
    <definedName name="xxxxxx" hidden="1">{"Allocation of Cash Flows",#N/A,FALSE,"Cash Flow Worksheet"}</definedName>
    <definedName name="xxxxxxxx" hidden="1">{"Allocation of Cash Flows",#N/A,FALSE,"Cash Flow Worksheet"}</definedName>
  </definedNames>
  <calcPr calcId="125725"/>
</workbook>
</file>

<file path=xl/calcChain.xml><?xml version="1.0" encoding="utf-8"?>
<calcChain xmlns="http://schemas.openxmlformats.org/spreadsheetml/2006/main">
  <c r="I188" i="59"/>
  <c r="H188"/>
  <c r="G188"/>
  <c r="F188"/>
  <c r="E188"/>
  <c r="I186"/>
  <c r="H186"/>
  <c r="G186"/>
  <c r="F186"/>
  <c r="E186"/>
  <c r="I185"/>
  <c r="H185"/>
  <c r="G185"/>
  <c r="F185"/>
  <c r="E185"/>
  <c r="E185" i="58" a="1"/>
  <c r="F185" s="1"/>
  <c r="F187"/>
  <c r="E185" i="53" a="1"/>
  <c r="E185" s="1"/>
  <c r="F185"/>
  <c r="I185"/>
  <c r="H186"/>
  <c r="E187"/>
  <c r="H187"/>
  <c r="G188"/>
  <c r="I188"/>
  <c r="G189"/>
  <c r="F190"/>
  <c r="H190"/>
  <c r="E185" i="52" a="1"/>
  <c r="E185" s="1"/>
  <c r="E185" i="45" a="1"/>
  <c r="F185" s="1"/>
  <c r="F187"/>
  <c r="E185" i="32" a="1"/>
  <c r="E185" s="1"/>
  <c r="G185"/>
  <c r="I185"/>
  <c r="H186"/>
  <c r="F187"/>
  <c r="H187"/>
  <c r="G188"/>
  <c r="E189"/>
  <c r="G189"/>
  <c r="F190"/>
  <c r="I190"/>
  <c r="E185" i="129" a="1"/>
  <c r="E185" s="1"/>
  <c r="E185" i="109" a="1"/>
  <c r="F185" s="1"/>
  <c r="G188"/>
  <c r="E185" i="108" a="1"/>
  <c r="E185" s="1"/>
  <c r="H187"/>
  <c r="F190"/>
  <c r="E185" i="102" a="1"/>
  <c r="G189" s="1"/>
  <c r="F185"/>
  <c r="I185"/>
  <c r="E186"/>
  <c r="G186"/>
  <c r="E187"/>
  <c r="F187"/>
  <c r="H187"/>
  <c r="F188"/>
  <c r="G188"/>
  <c r="I188"/>
  <c r="H189"/>
  <c r="I189"/>
  <c r="G190"/>
  <c r="E185" i="101" a="1"/>
  <c r="F185" s="1"/>
  <c r="G188"/>
  <c r="E185" i="100" a="1"/>
  <c r="E185" s="1"/>
  <c r="I185"/>
  <c r="H186"/>
  <c r="H187"/>
  <c r="G188"/>
  <c r="G189"/>
  <c r="F190"/>
  <c r="E185" i="99" a="1"/>
  <c r="F185" s="1"/>
  <c r="G187"/>
  <c r="F190"/>
  <c r="E185" i="98" a="1"/>
  <c r="F185" s="1"/>
  <c r="I187"/>
  <c r="F190"/>
  <c r="E185" i="97" a="1"/>
  <c r="E185" s="1"/>
  <c r="E185" i="96" a="1"/>
  <c r="F185" s="1"/>
  <c r="E185" i="95" a="1"/>
  <c r="F185" s="1"/>
  <c r="E185" i="94" a="1"/>
  <c r="E185" s="1"/>
  <c r="H186"/>
  <c r="G188"/>
  <c r="F190"/>
  <c r="E185" i="93" a="1"/>
  <c r="F185" s="1"/>
  <c r="H186"/>
  <c r="G188"/>
  <c r="F190"/>
  <c r="E185" i="92" a="1"/>
  <c r="F185" s="1"/>
  <c r="E186"/>
  <c r="I187"/>
  <c r="G188"/>
  <c r="F190"/>
  <c r="E185" i="91" a="1"/>
  <c r="E185" s="1"/>
  <c r="E185" i="90" a="1"/>
  <c r="F185" s="1"/>
  <c r="H186"/>
  <c r="E185" i="89" a="1"/>
  <c r="F185" s="1"/>
  <c r="E186"/>
  <c r="F187"/>
  <c r="G188"/>
  <c r="H189"/>
  <c r="I190"/>
  <c r="E185" i="80" a="1"/>
  <c r="E185" s="1"/>
  <c r="I187"/>
  <c r="F190"/>
  <c r="E185" i="79" a="1"/>
  <c r="F185" s="1"/>
  <c r="E185" i="88" a="1"/>
  <c r="F185" s="1"/>
  <c r="G185"/>
  <c r="G188"/>
  <c r="F190"/>
  <c r="I190"/>
  <c r="E185" i="87" a="1"/>
  <c r="E185" s="1"/>
  <c r="E186"/>
  <c r="I187"/>
  <c r="G188"/>
  <c r="H189"/>
  <c r="E185" i="86" a="1"/>
  <c r="F185" s="1"/>
  <c r="F190"/>
  <c r="E185" i="85" a="1"/>
  <c r="F185" s="1"/>
  <c r="F187"/>
  <c r="E185" i="83" a="1"/>
  <c r="E185" s="1"/>
  <c r="E185" i="82" a="1"/>
  <c r="F185" s="1"/>
  <c r="H186"/>
  <c r="G188"/>
  <c r="F190"/>
  <c r="E185" i="81" a="1"/>
  <c r="F185" s="1"/>
  <c r="E185" i="78" a="1"/>
  <c r="E185" s="1"/>
  <c r="H186"/>
  <c r="G188"/>
  <c r="F190"/>
  <c r="E185" i="77" a="1"/>
  <c r="F185" s="1"/>
  <c r="I187"/>
  <c r="E185" i="76" a="1"/>
  <c r="F185" s="1"/>
  <c r="E185" i="75" a="1"/>
  <c r="E185" s="1"/>
  <c r="F185"/>
  <c r="I185"/>
  <c r="E186"/>
  <c r="G186"/>
  <c r="E187"/>
  <c r="F187"/>
  <c r="H187"/>
  <c r="F188"/>
  <c r="G188"/>
  <c r="I188"/>
  <c r="G189"/>
  <c r="H189"/>
  <c r="E190"/>
  <c r="I190"/>
  <c r="E185" i="74" a="1"/>
  <c r="F185" s="1"/>
  <c r="I187"/>
  <c r="E185" i="73" a="1"/>
  <c r="F185" s="1"/>
  <c r="E185" i="72" a="1"/>
  <c r="E185" s="1"/>
  <c r="H186"/>
  <c r="H187"/>
  <c r="G189"/>
  <c r="E190"/>
  <c r="E185" i="71" a="1"/>
  <c r="E185" s="1"/>
  <c r="E185" i="70" a="1"/>
  <c r="E185" s="1"/>
  <c r="E185" i="69" a="1"/>
  <c r="F185" s="1"/>
  <c r="E185" i="68" a="1"/>
  <c r="E185" s="1"/>
  <c r="E185" i="67" a="1"/>
  <c r="E185" s="1"/>
  <c r="G185"/>
  <c r="I185"/>
  <c r="G186"/>
  <c r="H186"/>
  <c r="F187"/>
  <c r="H187"/>
  <c r="F188"/>
  <c r="G188"/>
  <c r="G189"/>
  <c r="F190"/>
  <c r="E185" i="60" a="1"/>
  <c r="F185" s="1"/>
  <c r="E185" i="57" a="1"/>
  <c r="E185" s="1"/>
  <c r="E185" i="56" a="1"/>
  <c r="F185" s="1"/>
  <c r="E185" i="54" a="1"/>
  <c r="F185" s="1"/>
  <c r="G188"/>
  <c r="E185" i="51" a="1"/>
  <c r="F185" s="1"/>
  <c r="H189"/>
  <c r="E185" i="50" a="1"/>
  <c r="F185" s="1"/>
  <c r="H185"/>
  <c r="F186"/>
  <c r="F187"/>
  <c r="G187"/>
  <c r="G188"/>
  <c r="E189"/>
  <c r="I189"/>
  <c r="F190"/>
  <c r="E185" i="49" a="1"/>
  <c r="F185" s="1"/>
  <c r="E185" i="48" a="1"/>
  <c r="E185" s="1"/>
  <c r="G185"/>
  <c r="H185"/>
  <c r="F186"/>
  <c r="G186"/>
  <c r="E188"/>
  <c r="F188"/>
  <c r="I188"/>
  <c r="E189"/>
  <c r="H189"/>
  <c r="I189"/>
  <c r="G190"/>
  <c r="H190"/>
  <c r="E185" i="47" a="1"/>
  <c r="F185" s="1"/>
  <c r="E185" i="46" a="1"/>
  <c r="F185" s="1"/>
  <c r="E185" i="44" a="1"/>
  <c r="G185" s="1"/>
  <c r="E185" i="43" a="1"/>
  <c r="F185" s="1"/>
  <c r="E185"/>
  <c r="H185"/>
  <c r="E186"/>
  <c r="H186"/>
  <c r="I186"/>
  <c r="G187"/>
  <c r="I187"/>
  <c r="G188"/>
  <c r="H188"/>
  <c r="F189"/>
  <c r="H189"/>
  <c r="F190"/>
  <c r="G190"/>
  <c r="E185" i="42" a="1"/>
  <c r="F185" s="1"/>
  <c r="E185" i="41" a="1"/>
  <c r="E185" s="1"/>
  <c r="E186"/>
  <c r="H186"/>
  <c r="F187"/>
  <c r="G188"/>
  <c r="E189"/>
  <c r="H189"/>
  <c r="I190"/>
  <c r="E185" i="40" a="1"/>
  <c r="F185" s="1"/>
  <c r="E186"/>
  <c r="E188"/>
  <c r="H189"/>
  <c r="E185" i="39" a="1"/>
  <c r="F185" s="1"/>
  <c r="E185" i="38" a="1"/>
  <c r="F185" s="1"/>
  <c r="E186"/>
  <c r="I187"/>
  <c r="H189"/>
  <c r="C53" i="8"/>
  <c r="C52"/>
  <c r="C51"/>
  <c r="C50"/>
  <c r="I27"/>
  <c r="H27"/>
  <c r="G27"/>
  <c r="F27"/>
  <c r="E27"/>
  <c r="I26"/>
  <c r="H26"/>
  <c r="G26"/>
  <c r="F26"/>
  <c r="E26"/>
  <c r="I25"/>
  <c r="H25"/>
  <c r="G25"/>
  <c r="F25"/>
  <c r="E25"/>
  <c r="I24"/>
  <c r="H24"/>
  <c r="G24"/>
  <c r="F24"/>
  <c r="E24"/>
  <c r="I15"/>
  <c r="H15"/>
  <c r="G15"/>
  <c r="F15"/>
  <c r="E15"/>
  <c r="I14"/>
  <c r="H14"/>
  <c r="G14"/>
  <c r="F14"/>
  <c r="E14"/>
  <c r="I13"/>
  <c r="H13"/>
  <c r="G13"/>
  <c r="F13"/>
  <c r="E13"/>
  <c r="I12"/>
  <c r="H12"/>
  <c r="G12"/>
  <c r="F12"/>
  <c r="E12"/>
  <c r="I11"/>
  <c r="H11"/>
  <c r="G11"/>
  <c r="F11"/>
  <c r="E11"/>
  <c r="J359" i="114"/>
  <c r="I359"/>
  <c r="H359"/>
  <c r="G359"/>
  <c r="F359"/>
  <c r="E359"/>
  <c r="O115" i="128"/>
  <c r="O114"/>
  <c r="O116"/>
  <c r="O117"/>
  <c r="O118"/>
  <c r="N114"/>
  <c r="N115"/>
  <c r="N116"/>
  <c r="N117"/>
  <c r="N118"/>
  <c r="J127" i="113"/>
  <c r="I127"/>
  <c r="H127"/>
  <c r="G127"/>
  <c r="F127"/>
  <c r="E127"/>
  <c r="F190" i="57" l="1"/>
  <c r="G189"/>
  <c r="G188"/>
  <c r="H187"/>
  <c r="H186"/>
  <c r="I185"/>
  <c r="G190" i="40"/>
  <c r="G188"/>
  <c r="I186"/>
  <c r="H190" i="57"/>
  <c r="H189"/>
  <c r="I188"/>
  <c r="I187"/>
  <c r="E187"/>
  <c r="E186"/>
  <c r="F185"/>
  <c r="F190" i="38"/>
  <c r="G188"/>
  <c r="H186"/>
  <c r="I190"/>
  <c r="E189"/>
  <c r="F187"/>
  <c r="G185"/>
  <c r="I190" i="40"/>
  <c r="F189"/>
  <c r="F187"/>
  <c r="H185"/>
  <c r="F190" i="48"/>
  <c r="G189"/>
  <c r="H188"/>
  <c r="I186"/>
  <c r="E186"/>
  <c r="F185"/>
  <c r="I190" i="50"/>
  <c r="F189"/>
  <c r="E188"/>
  <c r="H186"/>
  <c r="G185"/>
  <c r="F187" i="51"/>
  <c r="I187" i="54"/>
  <c r="I190" i="57"/>
  <c r="E190"/>
  <c r="E189"/>
  <c r="F188"/>
  <c r="F187"/>
  <c r="G186"/>
  <c r="G185"/>
  <c r="G190" i="44"/>
  <c r="H189"/>
  <c r="I188"/>
  <c r="E188"/>
  <c r="F187"/>
  <c r="G186"/>
  <c r="H185"/>
  <c r="G188" i="47"/>
  <c r="I190" i="56"/>
  <c r="H189"/>
  <c r="G188"/>
  <c r="F187"/>
  <c r="E186"/>
  <c r="H187" i="83"/>
  <c r="H190" i="44"/>
  <c r="I189"/>
  <c r="E189"/>
  <c r="F188"/>
  <c r="G187"/>
  <c r="H186"/>
  <c r="I185"/>
  <c r="E185"/>
  <c r="F189" i="47"/>
  <c r="H185"/>
  <c r="F190" i="51"/>
  <c r="I187"/>
  <c r="G185"/>
  <c r="I189" i="56"/>
  <c r="H188"/>
  <c r="G187"/>
  <c r="F186"/>
  <c r="E185"/>
  <c r="H187" i="78"/>
  <c r="I187" i="82"/>
  <c r="I190" i="83"/>
  <c r="F188"/>
  <c r="G185"/>
  <c r="F190" i="87"/>
  <c r="H186"/>
  <c r="E189" i="89"/>
  <c r="H186"/>
  <c r="G188" i="90"/>
  <c r="H187" i="94"/>
  <c r="G188" i="95"/>
  <c r="H186" i="97"/>
  <c r="G188" i="99"/>
  <c r="H185"/>
  <c r="E190" i="100"/>
  <c r="F188"/>
  <c r="G186"/>
  <c r="F190" i="101"/>
  <c r="I190" i="102"/>
  <c r="E189"/>
  <c r="I187"/>
  <c r="H186"/>
  <c r="G185"/>
  <c r="E189" i="108"/>
  <c r="F190" i="109"/>
  <c r="I190" i="129"/>
  <c r="E189"/>
  <c r="F187"/>
  <c r="G185"/>
  <c r="E190" i="32"/>
  <c r="F188"/>
  <c r="G186"/>
  <c r="F190" i="45"/>
  <c r="G189" i="52"/>
  <c r="I185"/>
  <c r="H189" i="53"/>
  <c r="I187"/>
  <c r="E186"/>
  <c r="F190" i="58"/>
  <c r="G188" i="52"/>
  <c r="I189" i="40"/>
  <c r="H188"/>
  <c r="G187"/>
  <c r="F186"/>
  <c r="E185"/>
  <c r="I190" i="44"/>
  <c r="E190"/>
  <c r="F189"/>
  <c r="G188"/>
  <c r="H187"/>
  <c r="I186"/>
  <c r="E186"/>
  <c r="F185"/>
  <c r="F190" i="47"/>
  <c r="H186"/>
  <c r="I190" i="51"/>
  <c r="G188"/>
  <c r="E186"/>
  <c r="H189" i="54"/>
  <c r="E186"/>
  <c r="F190" i="56"/>
  <c r="E189"/>
  <c r="I187"/>
  <c r="H186"/>
  <c r="G185"/>
  <c r="G190" i="72"/>
  <c r="F188"/>
  <c r="G185"/>
  <c r="E189" i="83"/>
  <c r="G186"/>
  <c r="H187" i="97"/>
  <c r="E189" i="99"/>
  <c r="F186"/>
  <c r="G189" i="129"/>
  <c r="H187"/>
  <c r="I185"/>
  <c r="F190" i="52"/>
  <c r="H186"/>
  <c r="F190" i="83"/>
  <c r="F190" i="129"/>
  <c r="G188"/>
  <c r="H186"/>
  <c r="F190" i="40"/>
  <c r="E189"/>
  <c r="I187"/>
  <c r="H186"/>
  <c r="G185"/>
  <c r="F190" i="41"/>
  <c r="I187"/>
  <c r="G185"/>
  <c r="F190" i="44"/>
  <c r="G189"/>
  <c r="H188"/>
  <c r="I187"/>
  <c r="E187"/>
  <c r="F186"/>
  <c r="G187" i="47"/>
  <c r="I190" i="48"/>
  <c r="E190"/>
  <c r="F189"/>
  <c r="G188"/>
  <c r="H186"/>
  <c r="I185"/>
  <c r="E189" i="51"/>
  <c r="H186"/>
  <c r="F190" i="54"/>
  <c r="H186"/>
  <c r="G190" i="56"/>
  <c r="F189"/>
  <c r="E188"/>
  <c r="I186"/>
  <c r="H185"/>
  <c r="E189" i="72"/>
  <c r="G186"/>
  <c r="F190" i="74"/>
  <c r="F190" i="75"/>
  <c r="E189"/>
  <c r="I187"/>
  <c r="H186"/>
  <c r="G185"/>
  <c r="F190" i="77"/>
  <c r="G189" i="78"/>
  <c r="I185"/>
  <c r="H189" i="82"/>
  <c r="E186"/>
  <c r="G189" i="83"/>
  <c r="H186"/>
  <c r="F190" i="85"/>
  <c r="H186" i="86"/>
  <c r="F187" i="88"/>
  <c r="F190" i="89"/>
  <c r="I187"/>
  <c r="G185"/>
  <c r="G189" i="94"/>
  <c r="I185"/>
  <c r="I189" i="99"/>
  <c r="F187"/>
  <c r="I190" i="100"/>
  <c r="E189"/>
  <c r="F187"/>
  <c r="G185"/>
  <c r="H186" i="101"/>
  <c r="G186" i="108"/>
  <c r="H186" i="109"/>
  <c r="E190" i="129"/>
  <c r="F188"/>
  <c r="G186"/>
  <c r="H187" i="52"/>
  <c r="H190" i="41"/>
  <c r="E190"/>
  <c r="G189"/>
  <c r="I188"/>
  <c r="F188"/>
  <c r="H187"/>
  <c r="E187"/>
  <c r="G186"/>
  <c r="I185"/>
  <c r="F185"/>
  <c r="I190" i="47"/>
  <c r="I189"/>
  <c r="E189"/>
  <c r="E188"/>
  <c r="F187"/>
  <c r="F186"/>
  <c r="G185"/>
  <c r="G188" i="77"/>
  <c r="E186"/>
  <c r="G188" i="98"/>
  <c r="E186"/>
  <c r="I190" i="101"/>
  <c r="E189"/>
  <c r="F187"/>
  <c r="G185"/>
  <c r="I190" i="108"/>
  <c r="G189"/>
  <c r="F188"/>
  <c r="H186"/>
  <c r="G185"/>
  <c r="I190" i="45"/>
  <c r="G188"/>
  <c r="G185"/>
  <c r="H190" i="52"/>
  <c r="H189"/>
  <c r="I188"/>
  <c r="I187"/>
  <c r="E187"/>
  <c r="E186"/>
  <c r="F185"/>
  <c r="G190" i="38"/>
  <c r="I189"/>
  <c r="F189"/>
  <c r="H188"/>
  <c r="E188"/>
  <c r="G187"/>
  <c r="I186"/>
  <c r="F186"/>
  <c r="H185"/>
  <c r="E185"/>
  <c r="G190" i="51"/>
  <c r="I189"/>
  <c r="F189"/>
  <c r="H188"/>
  <c r="E188"/>
  <c r="G187"/>
  <c r="I186"/>
  <c r="F186"/>
  <c r="H185"/>
  <c r="E185"/>
  <c r="H190" i="67"/>
  <c r="H189"/>
  <c r="I188"/>
  <c r="I187"/>
  <c r="E187"/>
  <c r="E186"/>
  <c r="F185"/>
  <c r="H190" i="72"/>
  <c r="I189"/>
  <c r="G188"/>
  <c r="F187"/>
  <c r="I185"/>
  <c r="G188" i="74"/>
  <c r="E186"/>
  <c r="H189" i="77"/>
  <c r="H186"/>
  <c r="I190" i="78"/>
  <c r="H189"/>
  <c r="I188"/>
  <c r="I187"/>
  <c r="E187"/>
  <c r="E186"/>
  <c r="F185"/>
  <c r="E190" i="83"/>
  <c r="G188"/>
  <c r="F187"/>
  <c r="I185"/>
  <c r="I190" i="85"/>
  <c r="G188"/>
  <c r="G185"/>
  <c r="G188" i="86"/>
  <c r="E189" i="88"/>
  <c r="H186"/>
  <c r="G188" i="80"/>
  <c r="E186"/>
  <c r="H189" i="92"/>
  <c r="H186"/>
  <c r="I190" i="93"/>
  <c r="E189"/>
  <c r="F187"/>
  <c r="G185"/>
  <c r="H190" i="94"/>
  <c r="H189"/>
  <c r="I188"/>
  <c r="I187"/>
  <c r="E187"/>
  <c r="E186"/>
  <c r="F185"/>
  <c r="H186" i="95"/>
  <c r="G189" i="97"/>
  <c r="I185"/>
  <c r="H189" i="98"/>
  <c r="H186"/>
  <c r="I190" i="99"/>
  <c r="F189"/>
  <c r="E188"/>
  <c r="H186"/>
  <c r="G185"/>
  <c r="H189" i="101"/>
  <c r="I187"/>
  <c r="E186"/>
  <c r="E190" i="108"/>
  <c r="G188"/>
  <c r="F187"/>
  <c r="I185"/>
  <c r="I190" i="109"/>
  <c r="E189"/>
  <c r="F187"/>
  <c r="G185"/>
  <c r="H190" i="129"/>
  <c r="H189"/>
  <c r="I188"/>
  <c r="I187"/>
  <c r="E187"/>
  <c r="E186"/>
  <c r="F185"/>
  <c r="E189" i="45"/>
  <c r="H186"/>
  <c r="I190" i="52"/>
  <c r="E190"/>
  <c r="E189"/>
  <c r="F188"/>
  <c r="F187"/>
  <c r="G186"/>
  <c r="G185"/>
  <c r="I190" i="53"/>
  <c r="E190"/>
  <c r="E189"/>
  <c r="F188"/>
  <c r="F187"/>
  <c r="G186"/>
  <c r="G185"/>
  <c r="I190" i="58"/>
  <c r="G188"/>
  <c r="G185"/>
  <c r="H190" i="38"/>
  <c r="E190"/>
  <c r="G189"/>
  <c r="I188"/>
  <c r="F188"/>
  <c r="H187"/>
  <c r="E187"/>
  <c r="G186"/>
  <c r="I185"/>
  <c r="G190" i="41"/>
  <c r="I189"/>
  <c r="F189"/>
  <c r="H188"/>
  <c r="E188"/>
  <c r="G187"/>
  <c r="I186"/>
  <c r="F186"/>
  <c r="H185"/>
  <c r="I190" i="43"/>
  <c r="I189"/>
  <c r="E189"/>
  <c r="E188"/>
  <c r="F187"/>
  <c r="F186"/>
  <c r="G185"/>
  <c r="G190" i="47"/>
  <c r="H189"/>
  <c r="H188"/>
  <c r="I187"/>
  <c r="I186"/>
  <c r="E186"/>
  <c r="E185"/>
  <c r="G190" i="50"/>
  <c r="H189"/>
  <c r="H188"/>
  <c r="I187"/>
  <c r="I186"/>
  <c r="E186"/>
  <c r="E185"/>
  <c r="H190" i="51"/>
  <c r="E190"/>
  <c r="G189"/>
  <c r="I188"/>
  <c r="F188"/>
  <c r="H187"/>
  <c r="E187"/>
  <c r="G186"/>
  <c r="I185"/>
  <c r="I190" i="54"/>
  <c r="E189"/>
  <c r="F187"/>
  <c r="G185"/>
  <c r="I190" i="67"/>
  <c r="E190"/>
  <c r="E189"/>
  <c r="H189" i="74"/>
  <c r="H186"/>
  <c r="E190" i="78"/>
  <c r="E189"/>
  <c r="F188"/>
  <c r="F187"/>
  <c r="G186"/>
  <c r="G185"/>
  <c r="E189" i="85"/>
  <c r="H186"/>
  <c r="H189" i="80"/>
  <c r="H186"/>
  <c r="H189" i="93"/>
  <c r="I187"/>
  <c r="E186"/>
  <c r="I190" i="94"/>
  <c r="E190"/>
  <c r="E189"/>
  <c r="F188"/>
  <c r="F187"/>
  <c r="G186"/>
  <c r="G185"/>
  <c r="H189" i="109"/>
  <c r="I187"/>
  <c r="E186"/>
  <c r="E189" i="58"/>
  <c r="H186"/>
  <c r="F28" i="8"/>
  <c r="F190" i="70"/>
  <c r="G189"/>
  <c r="G188"/>
  <c r="H187"/>
  <c r="H186"/>
  <c r="I185"/>
  <c r="I190" i="73"/>
  <c r="E189"/>
  <c r="F187"/>
  <c r="E186"/>
  <c r="F190" i="81"/>
  <c r="G188"/>
  <c r="H186"/>
  <c r="F190" i="91"/>
  <c r="G189"/>
  <c r="G188"/>
  <c r="H187"/>
  <c r="H186"/>
  <c r="I185"/>
  <c r="H189" i="96"/>
  <c r="I187"/>
  <c r="I186"/>
  <c r="E186"/>
  <c r="G190" i="69"/>
  <c r="I189"/>
  <c r="F189"/>
  <c r="H188"/>
  <c r="E188"/>
  <c r="G187"/>
  <c r="I186"/>
  <c r="F186"/>
  <c r="H185"/>
  <c r="E185"/>
  <c r="H190" i="70"/>
  <c r="H189"/>
  <c r="I188"/>
  <c r="I187"/>
  <c r="E187"/>
  <c r="E186"/>
  <c r="F185"/>
  <c r="F187" i="71"/>
  <c r="G185"/>
  <c r="H189" i="73"/>
  <c r="I187"/>
  <c r="G186"/>
  <c r="G185"/>
  <c r="I190" i="76"/>
  <c r="E189"/>
  <c r="F187"/>
  <c r="G185"/>
  <c r="I190" i="81"/>
  <c r="E189"/>
  <c r="F187"/>
  <c r="G185"/>
  <c r="H189" i="85"/>
  <c r="I187"/>
  <c r="E186"/>
  <c r="I190" i="86"/>
  <c r="E189"/>
  <c r="F187"/>
  <c r="G185"/>
  <c r="H189" i="88"/>
  <c r="I187"/>
  <c r="E186"/>
  <c r="I190" i="79"/>
  <c r="E189"/>
  <c r="F187"/>
  <c r="G185"/>
  <c r="I190" i="90"/>
  <c r="E189"/>
  <c r="F187"/>
  <c r="G185"/>
  <c r="H190" i="91"/>
  <c r="H189"/>
  <c r="I188"/>
  <c r="I187"/>
  <c r="E187"/>
  <c r="E186"/>
  <c r="F185"/>
  <c r="I190" i="95"/>
  <c r="E189"/>
  <c r="F187"/>
  <c r="G185"/>
  <c r="F190" i="96"/>
  <c r="G188"/>
  <c r="F187"/>
  <c r="F186"/>
  <c r="G185"/>
  <c r="H190" i="97"/>
  <c r="H189"/>
  <c r="I188"/>
  <c r="I187"/>
  <c r="E187"/>
  <c r="E186"/>
  <c r="F185"/>
  <c r="H189" i="45"/>
  <c r="I187"/>
  <c r="E186"/>
  <c r="H189" i="58"/>
  <c r="I187"/>
  <c r="E186"/>
  <c r="I190" i="69"/>
  <c r="F190"/>
  <c r="H189"/>
  <c r="E189"/>
  <c r="G188"/>
  <c r="I187"/>
  <c r="F187"/>
  <c r="H186"/>
  <c r="E186"/>
  <c r="G185"/>
  <c r="H186" i="71"/>
  <c r="F190" i="76"/>
  <c r="G188"/>
  <c r="H186"/>
  <c r="F190" i="79"/>
  <c r="G188"/>
  <c r="H186"/>
  <c r="F190" i="90"/>
  <c r="F190" i="95"/>
  <c r="F190" i="97"/>
  <c r="G188"/>
  <c r="H190" i="69"/>
  <c r="E190"/>
  <c r="G189"/>
  <c r="I188"/>
  <c r="F188"/>
  <c r="H187"/>
  <c r="E187"/>
  <c r="G186"/>
  <c r="I185"/>
  <c r="I190" i="70"/>
  <c r="E190"/>
  <c r="E189"/>
  <c r="F188"/>
  <c r="F187"/>
  <c r="G186"/>
  <c r="G185"/>
  <c r="I187" i="71"/>
  <c r="E186"/>
  <c r="I190" i="72"/>
  <c r="F190"/>
  <c r="H189"/>
  <c r="I188"/>
  <c r="I187"/>
  <c r="E187"/>
  <c r="E186"/>
  <c r="F185"/>
  <c r="F190" i="73"/>
  <c r="G188"/>
  <c r="H186"/>
  <c r="I185"/>
  <c r="I190" i="74"/>
  <c r="E189"/>
  <c r="F187"/>
  <c r="G185"/>
  <c r="H189" i="76"/>
  <c r="I187"/>
  <c r="E186"/>
  <c r="I190" i="77"/>
  <c r="E189"/>
  <c r="F187"/>
  <c r="G185"/>
  <c r="H189" i="81"/>
  <c r="I187"/>
  <c r="E186"/>
  <c r="I190" i="82"/>
  <c r="E189"/>
  <c r="F187"/>
  <c r="G185"/>
  <c r="H190" i="83"/>
  <c r="H189"/>
  <c r="I188"/>
  <c r="I187"/>
  <c r="E187"/>
  <c r="E186"/>
  <c r="F185"/>
  <c r="H189" i="86"/>
  <c r="I187"/>
  <c r="E186"/>
  <c r="I190" i="87"/>
  <c r="E189"/>
  <c r="F187"/>
  <c r="G185"/>
  <c r="H189" i="79"/>
  <c r="I187"/>
  <c r="E186"/>
  <c r="I190" i="80"/>
  <c r="E189"/>
  <c r="F187"/>
  <c r="G185"/>
  <c r="H189" i="90"/>
  <c r="I187"/>
  <c r="E186"/>
  <c r="I190" i="91"/>
  <c r="E190"/>
  <c r="E189"/>
  <c r="F188"/>
  <c r="F187"/>
  <c r="G186"/>
  <c r="G185"/>
  <c r="I190" i="92"/>
  <c r="E189"/>
  <c r="F187"/>
  <c r="G185"/>
  <c r="H189" i="95"/>
  <c r="I187"/>
  <c r="E186"/>
  <c r="I190" i="96"/>
  <c r="E189"/>
  <c r="G187"/>
  <c r="H186"/>
  <c r="H185"/>
  <c r="I190" i="97"/>
  <c r="E190"/>
  <c r="E189"/>
  <c r="F188"/>
  <c r="F187"/>
  <c r="G186"/>
  <c r="G185"/>
  <c r="I190" i="98"/>
  <c r="E189"/>
  <c r="F187"/>
  <c r="G185"/>
  <c r="G190" i="99"/>
  <c r="H189"/>
  <c r="H188"/>
  <c r="I187"/>
  <c r="I186"/>
  <c r="E186"/>
  <c r="E185"/>
  <c r="H190" i="100"/>
  <c r="H189"/>
  <c r="I188"/>
  <c r="I187"/>
  <c r="E187"/>
  <c r="E186"/>
  <c r="F185"/>
  <c r="F190" i="102"/>
  <c r="F189"/>
  <c r="H188"/>
  <c r="E188"/>
  <c r="G187"/>
  <c r="I186"/>
  <c r="F186"/>
  <c r="H185"/>
  <c r="E185"/>
  <c r="H190" i="108"/>
  <c r="H189"/>
  <c r="I188"/>
  <c r="I187"/>
  <c r="E187"/>
  <c r="E186"/>
  <c r="F185"/>
  <c r="G190" i="129"/>
  <c r="I189"/>
  <c r="F189"/>
  <c r="H188"/>
  <c r="E188"/>
  <c r="G187"/>
  <c r="I186"/>
  <c r="F186"/>
  <c r="H185"/>
  <c r="H190" i="32"/>
  <c r="H189"/>
  <c r="I188"/>
  <c r="I187"/>
  <c r="E187"/>
  <c r="E186"/>
  <c r="F185"/>
  <c r="G190" i="52"/>
  <c r="I189"/>
  <c r="F189"/>
  <c r="H188"/>
  <c r="E188"/>
  <c r="G187"/>
  <c r="I186"/>
  <c r="F186"/>
  <c r="H185"/>
  <c r="I190" i="71"/>
  <c r="F190"/>
  <c r="H189"/>
  <c r="E189"/>
  <c r="G188"/>
  <c r="G190" i="67"/>
  <c r="I189"/>
  <c r="F189"/>
  <c r="H188"/>
  <c r="E188"/>
  <c r="G187"/>
  <c r="I186"/>
  <c r="F186"/>
  <c r="H185"/>
  <c r="H190" i="68"/>
  <c r="E190"/>
  <c r="G189"/>
  <c r="I188"/>
  <c r="F188"/>
  <c r="H187"/>
  <c r="E187"/>
  <c r="G186"/>
  <c r="I185"/>
  <c r="F185"/>
  <c r="G190" i="70"/>
  <c r="I189"/>
  <c r="F189"/>
  <c r="H188"/>
  <c r="E188"/>
  <c r="G187"/>
  <c r="I186"/>
  <c r="F186"/>
  <c r="H185"/>
  <c r="H190" i="71"/>
  <c r="E190"/>
  <c r="G189"/>
  <c r="I188"/>
  <c r="F188"/>
  <c r="H187"/>
  <c r="E187"/>
  <c r="G186"/>
  <c r="I185"/>
  <c r="F185"/>
  <c r="I190" i="68"/>
  <c r="F190"/>
  <c r="H189"/>
  <c r="E189"/>
  <c r="G188"/>
  <c r="I187"/>
  <c r="F187"/>
  <c r="H186"/>
  <c r="E186"/>
  <c r="G185"/>
  <c r="G190"/>
  <c r="I189"/>
  <c r="F189"/>
  <c r="H188"/>
  <c r="E188"/>
  <c r="G187"/>
  <c r="I186"/>
  <c r="F186"/>
  <c r="H185"/>
  <c r="G190" i="71"/>
  <c r="I189"/>
  <c r="F189"/>
  <c r="H188"/>
  <c r="E188"/>
  <c r="G187"/>
  <c r="I186"/>
  <c r="F186"/>
  <c r="H185"/>
  <c r="G190" i="74"/>
  <c r="I189"/>
  <c r="F189"/>
  <c r="H188"/>
  <c r="E188"/>
  <c r="G187"/>
  <c r="I186"/>
  <c r="F186"/>
  <c r="H185"/>
  <c r="E185"/>
  <c r="H190" i="75"/>
  <c r="G190" i="77"/>
  <c r="I189"/>
  <c r="F189"/>
  <c r="H188"/>
  <c r="E188"/>
  <c r="G187"/>
  <c r="I186"/>
  <c r="F186"/>
  <c r="H185"/>
  <c r="E185"/>
  <c r="H190" i="78"/>
  <c r="G190" i="82"/>
  <c r="I189"/>
  <c r="F189"/>
  <c r="H188"/>
  <c r="E188"/>
  <c r="G187"/>
  <c r="I186"/>
  <c r="F186"/>
  <c r="H185"/>
  <c r="E185"/>
  <c r="G190" i="86"/>
  <c r="I189"/>
  <c r="F189"/>
  <c r="H188"/>
  <c r="E188"/>
  <c r="G187"/>
  <c r="I186"/>
  <c r="F186"/>
  <c r="H185"/>
  <c r="E185"/>
  <c r="H190" i="87"/>
  <c r="E190"/>
  <c r="G189"/>
  <c r="I188"/>
  <c r="F188"/>
  <c r="H187"/>
  <c r="E187"/>
  <c r="G186"/>
  <c r="I185"/>
  <c r="F185"/>
  <c r="G190" i="79"/>
  <c r="I189"/>
  <c r="F189"/>
  <c r="H188"/>
  <c r="E188"/>
  <c r="G187"/>
  <c r="I186"/>
  <c r="F186"/>
  <c r="H185"/>
  <c r="E185"/>
  <c r="H190" i="80"/>
  <c r="E190"/>
  <c r="G189"/>
  <c r="I188"/>
  <c r="F188"/>
  <c r="H187"/>
  <c r="E187"/>
  <c r="G186"/>
  <c r="I185"/>
  <c r="F185"/>
  <c r="G190" i="90"/>
  <c r="I189"/>
  <c r="F189"/>
  <c r="H188"/>
  <c r="E188"/>
  <c r="G187"/>
  <c r="I186"/>
  <c r="F186"/>
  <c r="H185"/>
  <c r="E185"/>
  <c r="G190" i="93"/>
  <c r="I189"/>
  <c r="F189"/>
  <c r="H188"/>
  <c r="E188"/>
  <c r="G187"/>
  <c r="I186"/>
  <c r="F186"/>
  <c r="H185"/>
  <c r="E185"/>
  <c r="G190" i="96"/>
  <c r="I189"/>
  <c r="F189"/>
  <c r="H188"/>
  <c r="E188"/>
  <c r="E185"/>
  <c r="G190" i="73"/>
  <c r="I189"/>
  <c r="F189"/>
  <c r="H188"/>
  <c r="E188"/>
  <c r="G187"/>
  <c r="I186"/>
  <c r="F186"/>
  <c r="H185"/>
  <c r="E185"/>
  <c r="H190" i="74"/>
  <c r="E190"/>
  <c r="G189"/>
  <c r="I188"/>
  <c r="F188"/>
  <c r="H187"/>
  <c r="E187"/>
  <c r="G186"/>
  <c r="I185"/>
  <c r="G190" i="76"/>
  <c r="I189"/>
  <c r="F189"/>
  <c r="H188"/>
  <c r="E188"/>
  <c r="G187"/>
  <c r="I186"/>
  <c r="F186"/>
  <c r="H185"/>
  <c r="E185"/>
  <c r="H190" i="77"/>
  <c r="E190"/>
  <c r="G189"/>
  <c r="I188"/>
  <c r="F188"/>
  <c r="H187"/>
  <c r="E187"/>
  <c r="G186"/>
  <c r="I185"/>
  <c r="G190" i="81"/>
  <c r="I189"/>
  <c r="F189"/>
  <c r="H188"/>
  <c r="E188"/>
  <c r="G187"/>
  <c r="I186"/>
  <c r="F186"/>
  <c r="H185"/>
  <c r="E185"/>
  <c r="H190" i="82"/>
  <c r="E190"/>
  <c r="G189"/>
  <c r="I188"/>
  <c r="F188"/>
  <c r="H187"/>
  <c r="E187"/>
  <c r="G186"/>
  <c r="I185"/>
  <c r="G190" i="85"/>
  <c r="I189"/>
  <c r="F189"/>
  <c r="H188"/>
  <c r="E188"/>
  <c r="G187"/>
  <c r="I186"/>
  <c r="F186"/>
  <c r="H185"/>
  <c r="E185"/>
  <c r="H190" i="86"/>
  <c r="E190"/>
  <c r="G189"/>
  <c r="I188"/>
  <c r="F188"/>
  <c r="H187"/>
  <c r="E187"/>
  <c r="G186"/>
  <c r="I185"/>
  <c r="G190" i="88"/>
  <c r="I189"/>
  <c r="F189"/>
  <c r="H188"/>
  <c r="E188"/>
  <c r="G187"/>
  <c r="I186"/>
  <c r="F186"/>
  <c r="H185"/>
  <c r="E185"/>
  <c r="H190" i="79"/>
  <c r="E190"/>
  <c r="G189"/>
  <c r="I188"/>
  <c r="F188"/>
  <c r="H187"/>
  <c r="E187"/>
  <c r="G186"/>
  <c r="I185"/>
  <c r="G190" i="89"/>
  <c r="I189"/>
  <c r="F189"/>
  <c r="H188"/>
  <c r="E188"/>
  <c r="G187"/>
  <c r="I186"/>
  <c r="F186"/>
  <c r="H185"/>
  <c r="E185"/>
  <c r="H190" i="90"/>
  <c r="E190"/>
  <c r="G189"/>
  <c r="I188"/>
  <c r="F188"/>
  <c r="H187"/>
  <c r="E187"/>
  <c r="G186"/>
  <c r="I185"/>
  <c r="G190" i="92"/>
  <c r="I189"/>
  <c r="F189"/>
  <c r="H188"/>
  <c r="E188"/>
  <c r="G187"/>
  <c r="I186"/>
  <c r="F186"/>
  <c r="H185"/>
  <c r="E185"/>
  <c r="H190" i="93"/>
  <c r="E190"/>
  <c r="G189"/>
  <c r="I188"/>
  <c r="F188"/>
  <c r="H187"/>
  <c r="E187"/>
  <c r="G186"/>
  <c r="I185"/>
  <c r="G190" i="95"/>
  <c r="I189"/>
  <c r="F189"/>
  <c r="H188"/>
  <c r="E188"/>
  <c r="G187"/>
  <c r="I186"/>
  <c r="F186"/>
  <c r="H185"/>
  <c r="E185"/>
  <c r="H190" i="96"/>
  <c r="E190"/>
  <c r="G189"/>
  <c r="I188"/>
  <c r="F188"/>
  <c r="H187"/>
  <c r="E187"/>
  <c r="G186"/>
  <c r="I185"/>
  <c r="G190" i="98"/>
  <c r="I189"/>
  <c r="F189"/>
  <c r="H188"/>
  <c r="E188"/>
  <c r="G187"/>
  <c r="I186"/>
  <c r="F186"/>
  <c r="H185"/>
  <c r="E185"/>
  <c r="H190" i="99"/>
  <c r="E190"/>
  <c r="G189"/>
  <c r="I188"/>
  <c r="F188"/>
  <c r="H187"/>
  <c r="E187"/>
  <c r="G186"/>
  <c r="I185"/>
  <c r="G190" i="101"/>
  <c r="I189"/>
  <c r="F189"/>
  <c r="H188"/>
  <c r="E188"/>
  <c r="G187"/>
  <c r="I186"/>
  <c r="F186"/>
  <c r="H185"/>
  <c r="E185"/>
  <c r="H190" i="102"/>
  <c r="E190"/>
  <c r="G190" i="109"/>
  <c r="I189"/>
  <c r="F189"/>
  <c r="H188"/>
  <c r="E188"/>
  <c r="G187"/>
  <c r="I186"/>
  <c r="F186"/>
  <c r="H185"/>
  <c r="E185"/>
  <c r="G190" i="45"/>
  <c r="I189"/>
  <c r="F189"/>
  <c r="H188"/>
  <c r="E188"/>
  <c r="G187"/>
  <c r="I186"/>
  <c r="F186"/>
  <c r="H185"/>
  <c r="E185"/>
  <c r="G190" i="58"/>
  <c r="I189"/>
  <c r="F189"/>
  <c r="H188"/>
  <c r="E188"/>
  <c r="G187"/>
  <c r="I186"/>
  <c r="F186"/>
  <c r="H185"/>
  <c r="E185"/>
  <c r="F189" i="72"/>
  <c r="H188"/>
  <c r="E188"/>
  <c r="G187"/>
  <c r="I186"/>
  <c r="F186"/>
  <c r="H185"/>
  <c r="H190" i="73"/>
  <c r="E190"/>
  <c r="G189"/>
  <c r="I188"/>
  <c r="F188"/>
  <c r="H187"/>
  <c r="E187"/>
  <c r="G190" i="75"/>
  <c r="I189"/>
  <c r="F189"/>
  <c r="H188"/>
  <c r="E188"/>
  <c r="G187"/>
  <c r="I186"/>
  <c r="F186"/>
  <c r="H185"/>
  <c r="H190" i="76"/>
  <c r="E190"/>
  <c r="G189"/>
  <c r="I188"/>
  <c r="F188"/>
  <c r="H187"/>
  <c r="E187"/>
  <c r="G186"/>
  <c r="I185"/>
  <c r="G190" i="78"/>
  <c r="I189"/>
  <c r="F189"/>
  <c r="H188"/>
  <c r="E188"/>
  <c r="G187"/>
  <c r="I186"/>
  <c r="F186"/>
  <c r="H185"/>
  <c r="H190" i="81"/>
  <c r="E190"/>
  <c r="G189"/>
  <c r="I188"/>
  <c r="F188"/>
  <c r="H187"/>
  <c r="E187"/>
  <c r="G186"/>
  <c r="I185"/>
  <c r="G190" i="83"/>
  <c r="I189"/>
  <c r="F189"/>
  <c r="H188"/>
  <c r="E188"/>
  <c r="G187"/>
  <c r="I186"/>
  <c r="F186"/>
  <c r="H185"/>
  <c r="H190" i="85"/>
  <c r="E190"/>
  <c r="G189"/>
  <c r="I188"/>
  <c r="F188"/>
  <c r="H187"/>
  <c r="E187"/>
  <c r="G186"/>
  <c r="I185"/>
  <c r="G190" i="87"/>
  <c r="I189"/>
  <c r="F189"/>
  <c r="H188"/>
  <c r="E188"/>
  <c r="G187"/>
  <c r="I186"/>
  <c r="F186"/>
  <c r="H185"/>
  <c r="H190" i="88"/>
  <c r="E190"/>
  <c r="G189"/>
  <c r="I188"/>
  <c r="F188"/>
  <c r="H187"/>
  <c r="E187"/>
  <c r="G186"/>
  <c r="I185"/>
  <c r="G190" i="80"/>
  <c r="I189"/>
  <c r="F189"/>
  <c r="H188"/>
  <c r="E188"/>
  <c r="G187"/>
  <c r="I186"/>
  <c r="F186"/>
  <c r="H185"/>
  <c r="H190" i="89"/>
  <c r="E190"/>
  <c r="G189"/>
  <c r="I188"/>
  <c r="F188"/>
  <c r="H187"/>
  <c r="E187"/>
  <c r="G186"/>
  <c r="I185"/>
  <c r="G190" i="91"/>
  <c r="I189"/>
  <c r="F189"/>
  <c r="H188"/>
  <c r="E188"/>
  <c r="G187"/>
  <c r="I186"/>
  <c r="F186"/>
  <c r="H185"/>
  <c r="H190" i="92"/>
  <c r="E190"/>
  <c r="G189"/>
  <c r="I188"/>
  <c r="F188"/>
  <c r="H187"/>
  <c r="E187"/>
  <c r="G186"/>
  <c r="I185"/>
  <c r="G190" i="94"/>
  <c r="I189"/>
  <c r="F189"/>
  <c r="H188"/>
  <c r="E188"/>
  <c r="G187"/>
  <c r="I186"/>
  <c r="F186"/>
  <c r="H185"/>
  <c r="H190" i="95"/>
  <c r="E190"/>
  <c r="G189"/>
  <c r="I188"/>
  <c r="F188"/>
  <c r="H187"/>
  <c r="E187"/>
  <c r="G186"/>
  <c r="I185"/>
  <c r="G190" i="97"/>
  <c r="I189"/>
  <c r="F189"/>
  <c r="H188"/>
  <c r="E188"/>
  <c r="G187"/>
  <c r="I186"/>
  <c r="F186"/>
  <c r="H185"/>
  <c r="H190" i="98"/>
  <c r="E190"/>
  <c r="G189"/>
  <c r="I188"/>
  <c r="F188"/>
  <c r="H187"/>
  <c r="E187"/>
  <c r="G186"/>
  <c r="I185"/>
  <c r="G190" i="100"/>
  <c r="I189"/>
  <c r="F189"/>
  <c r="H188"/>
  <c r="E188"/>
  <c r="G187"/>
  <c r="I186"/>
  <c r="F186"/>
  <c r="H185"/>
  <c r="H190" i="101"/>
  <c r="E190"/>
  <c r="G189"/>
  <c r="I188"/>
  <c r="F188"/>
  <c r="H187"/>
  <c r="E187"/>
  <c r="G186"/>
  <c r="I185"/>
  <c r="G190" i="108"/>
  <c r="I189"/>
  <c r="F189"/>
  <c r="H188"/>
  <c r="E188"/>
  <c r="G187"/>
  <c r="I186"/>
  <c r="F186"/>
  <c r="H185"/>
  <c r="H190" i="109"/>
  <c r="E190"/>
  <c r="G189"/>
  <c r="I188"/>
  <c r="F188"/>
  <c r="H187"/>
  <c r="E187"/>
  <c r="G186"/>
  <c r="I185"/>
  <c r="G190" i="32"/>
  <c r="I189"/>
  <c r="F189"/>
  <c r="H188"/>
  <c r="E188"/>
  <c r="G187"/>
  <c r="I186"/>
  <c r="F186"/>
  <c r="H185"/>
  <c r="H190" i="45"/>
  <c r="E190"/>
  <c r="G189"/>
  <c r="I188"/>
  <c r="F188"/>
  <c r="H187"/>
  <c r="E187"/>
  <c r="G186"/>
  <c r="I185"/>
  <c r="G190" i="53"/>
  <c r="I189"/>
  <c r="F189"/>
  <c r="H188"/>
  <c r="E188"/>
  <c r="G187"/>
  <c r="I186"/>
  <c r="F186"/>
  <c r="H185"/>
  <c r="H190" i="58"/>
  <c r="E190"/>
  <c r="G189"/>
  <c r="I188"/>
  <c r="F188"/>
  <c r="H187"/>
  <c r="E187"/>
  <c r="G186"/>
  <c r="I185"/>
  <c r="I190" i="46"/>
  <c r="F190"/>
  <c r="H189"/>
  <c r="E189"/>
  <c r="G188"/>
  <c r="I187"/>
  <c r="F187"/>
  <c r="H186"/>
  <c r="E186"/>
  <c r="G185"/>
  <c r="E186" i="49"/>
  <c r="F190" i="42"/>
  <c r="E189"/>
  <c r="I187"/>
  <c r="H186"/>
  <c r="G185"/>
  <c r="G190" i="39"/>
  <c r="I189"/>
  <c r="F189"/>
  <c r="H188"/>
  <c r="E188"/>
  <c r="G187"/>
  <c r="I186"/>
  <c r="F186"/>
  <c r="H185"/>
  <c r="E185"/>
  <c r="H190" i="40"/>
  <c r="E190"/>
  <c r="G189"/>
  <c r="I188"/>
  <c r="F188"/>
  <c r="H187"/>
  <c r="E187"/>
  <c r="G186"/>
  <c r="I185"/>
  <c r="G190" i="42"/>
  <c r="I189"/>
  <c r="F189"/>
  <c r="H188"/>
  <c r="E188"/>
  <c r="G187"/>
  <c r="I186"/>
  <c r="F186"/>
  <c r="H185"/>
  <c r="E185"/>
  <c r="H190" i="43"/>
  <c r="E190"/>
  <c r="G189"/>
  <c r="I188"/>
  <c r="F188"/>
  <c r="H187"/>
  <c r="E187"/>
  <c r="G186"/>
  <c r="I185"/>
  <c r="G190" i="46"/>
  <c r="I189"/>
  <c r="F189"/>
  <c r="H188"/>
  <c r="E188"/>
  <c r="G187"/>
  <c r="I186"/>
  <c r="F186"/>
  <c r="H185"/>
  <c r="E185"/>
  <c r="H190" i="47"/>
  <c r="E190"/>
  <c r="G189"/>
  <c r="I188"/>
  <c r="F188"/>
  <c r="H187"/>
  <c r="E187"/>
  <c r="G186"/>
  <c r="I185"/>
  <c r="G190" i="49"/>
  <c r="I189"/>
  <c r="F189"/>
  <c r="H188"/>
  <c r="E188"/>
  <c r="G187"/>
  <c r="I186"/>
  <c r="F186"/>
  <c r="H185"/>
  <c r="E185"/>
  <c r="H190" i="50"/>
  <c r="E190"/>
  <c r="G189"/>
  <c r="I188"/>
  <c r="F188"/>
  <c r="H187"/>
  <c r="E187"/>
  <c r="G186"/>
  <c r="I185"/>
  <c r="G190" i="54"/>
  <c r="I189"/>
  <c r="F189"/>
  <c r="H188"/>
  <c r="E188"/>
  <c r="G187"/>
  <c r="I186"/>
  <c r="F186"/>
  <c r="H185"/>
  <c r="E185"/>
  <c r="H190" i="56"/>
  <c r="E190"/>
  <c r="G189"/>
  <c r="I188"/>
  <c r="F188"/>
  <c r="H187"/>
  <c r="E187"/>
  <c r="G186"/>
  <c r="I185"/>
  <c r="G190" i="60"/>
  <c r="I189"/>
  <c r="F189"/>
  <c r="H188"/>
  <c r="E188"/>
  <c r="G187"/>
  <c r="I186"/>
  <c r="F186"/>
  <c r="H185"/>
  <c r="E185"/>
  <c r="I190" i="39"/>
  <c r="F190"/>
  <c r="H189"/>
  <c r="E189"/>
  <c r="G188"/>
  <c r="I187"/>
  <c r="F187"/>
  <c r="H186"/>
  <c r="E186"/>
  <c r="G185"/>
  <c r="I190" i="42"/>
  <c r="H189"/>
  <c r="G188"/>
  <c r="F187"/>
  <c r="E186"/>
  <c r="I190" i="49"/>
  <c r="F190"/>
  <c r="H189"/>
  <c r="E189"/>
  <c r="G188"/>
  <c r="I187"/>
  <c r="F187"/>
  <c r="H186"/>
  <c r="G185"/>
  <c r="I190" i="60"/>
  <c r="F190"/>
  <c r="H189"/>
  <c r="E189"/>
  <c r="G188"/>
  <c r="I187"/>
  <c r="F187"/>
  <c r="H186"/>
  <c r="E186"/>
  <c r="G185"/>
  <c r="H190" i="39"/>
  <c r="E190"/>
  <c r="G189"/>
  <c r="I188"/>
  <c r="F188"/>
  <c r="H187"/>
  <c r="E187"/>
  <c r="G186"/>
  <c r="I185"/>
  <c r="H190" i="42"/>
  <c r="E190"/>
  <c r="G189"/>
  <c r="I188"/>
  <c r="F188"/>
  <c r="H187"/>
  <c r="E187"/>
  <c r="G186"/>
  <c r="I185"/>
  <c r="H190" i="46"/>
  <c r="E190"/>
  <c r="G189"/>
  <c r="I188"/>
  <c r="F188"/>
  <c r="H187"/>
  <c r="E187"/>
  <c r="G186"/>
  <c r="I185"/>
  <c r="H190" i="49"/>
  <c r="E190"/>
  <c r="G189"/>
  <c r="I188"/>
  <c r="F188"/>
  <c r="H187"/>
  <c r="E187"/>
  <c r="G186"/>
  <c r="I185"/>
  <c r="H190" i="54"/>
  <c r="E190"/>
  <c r="G189"/>
  <c r="I188"/>
  <c r="F188"/>
  <c r="H187"/>
  <c r="E187"/>
  <c r="G186"/>
  <c r="I185"/>
  <c r="G190" i="57"/>
  <c r="I189"/>
  <c r="F189"/>
  <c r="H188"/>
  <c r="E188"/>
  <c r="G187"/>
  <c r="I186"/>
  <c r="F186"/>
  <c r="H185"/>
  <c r="H190" i="60"/>
  <c r="E190"/>
  <c r="G189"/>
  <c r="I188"/>
  <c r="F188"/>
  <c r="H187"/>
  <c r="E187"/>
  <c r="G186"/>
  <c r="I185"/>
  <c r="H28" i="8"/>
  <c r="G28"/>
  <c r="I28"/>
  <c r="E28"/>
  <c r="J142" i="114"/>
  <c r="I142"/>
  <c r="H142"/>
  <c r="G142"/>
  <c r="F142"/>
  <c r="E142"/>
  <c r="J209" i="113"/>
  <c r="I209"/>
  <c r="H209"/>
  <c r="G209"/>
  <c r="F209"/>
  <c r="E209"/>
  <c r="J206"/>
  <c r="I206"/>
  <c r="H206"/>
  <c r="G206"/>
  <c r="F206"/>
  <c r="E206"/>
  <c r="P114" i="128" l="1"/>
  <c r="P115"/>
  <c r="P116"/>
  <c r="P117"/>
  <c r="P118"/>
  <c r="Q114"/>
  <c r="Q115"/>
  <c r="Q116"/>
  <c r="Q117"/>
  <c r="Q118"/>
  <c r="R114"/>
  <c r="R115"/>
  <c r="R116"/>
  <c r="R117"/>
  <c r="R118"/>
  <c r="S114"/>
  <c r="S115"/>
  <c r="S116"/>
  <c r="S117"/>
  <c r="S118"/>
  <c r="T114"/>
  <c r="T115"/>
  <c r="T116"/>
  <c r="T117"/>
  <c r="T118"/>
  <c r="T113"/>
  <c r="S113"/>
  <c r="R113"/>
  <c r="Q113"/>
  <c r="P113"/>
  <c r="O113"/>
  <c r="N113"/>
  <c r="C54" i="8" l="1"/>
  <c r="C86" i="44" l="1" a="1"/>
  <c r="C86"/>
  <c r="D161" i="92" l="1"/>
  <c r="E43" i="13"/>
  <c r="E40"/>
  <c r="E39"/>
  <c r="E368" i="114"/>
  <c r="J77" i="44" l="1"/>
  <c r="D8" i="109" l="1"/>
  <c r="D8" i="100"/>
  <c r="D8" i="99"/>
  <c r="D8" i="98"/>
  <c r="D8" i="90"/>
  <c r="D8" i="80"/>
  <c r="D8" i="88"/>
  <c r="D8" i="78"/>
  <c r="D8" i="76"/>
  <c r="D8" i="75"/>
  <c r="D8" i="74"/>
  <c r="D8" i="73"/>
  <c r="D8" i="72"/>
  <c r="G8" i="54"/>
  <c r="T66" i="131"/>
  <c r="S66"/>
  <c r="R66"/>
  <c r="Q66"/>
  <c r="P66"/>
  <c r="N66"/>
  <c r="M66"/>
  <c r="L66"/>
  <c r="K66"/>
  <c r="J66"/>
  <c r="H66"/>
  <c r="G66"/>
  <c r="F66"/>
  <c r="E66"/>
  <c r="D66"/>
  <c r="U52"/>
  <c r="O52"/>
  <c r="I52"/>
  <c r="I51"/>
  <c r="I49"/>
  <c r="T10"/>
  <c r="S10"/>
  <c r="R10"/>
  <c r="Q10"/>
  <c r="P10"/>
  <c r="N10"/>
  <c r="M10"/>
  <c r="L10"/>
  <c r="K10"/>
  <c r="J10"/>
  <c r="H10"/>
  <c r="G10"/>
  <c r="F10"/>
  <c r="E10"/>
  <c r="D10"/>
  <c r="S615" i="130"/>
  <c r="R615"/>
  <c r="Q615"/>
  <c r="P615"/>
  <c r="O615"/>
  <c r="N615"/>
  <c r="M615"/>
  <c r="L615"/>
  <c r="K615"/>
  <c r="J615"/>
  <c r="I615"/>
  <c r="H615"/>
  <c r="G615"/>
  <c r="F615"/>
  <c r="E615"/>
  <c r="D615"/>
  <c r="C552"/>
  <c r="C606" s="1"/>
  <c r="C513"/>
  <c r="C551" s="1"/>
  <c r="C377"/>
  <c r="C512" s="1"/>
  <c r="C285"/>
  <c r="C376" s="1"/>
  <c r="C266"/>
  <c r="C284" s="1"/>
  <c r="C229"/>
  <c r="C265" s="1"/>
  <c r="S4"/>
  <c r="R4"/>
  <c r="Q4"/>
  <c r="P4"/>
  <c r="O4"/>
  <c r="N4"/>
  <c r="M4"/>
  <c r="L4"/>
  <c r="K4"/>
  <c r="J4"/>
  <c r="I4"/>
  <c r="H4"/>
  <c r="G4"/>
  <c r="F4"/>
  <c r="E4"/>
  <c r="D4"/>
  <c r="S3"/>
  <c r="M2"/>
  <c r="I61" i="142"/>
  <c r="H61"/>
  <c r="G61"/>
  <c r="F61"/>
  <c r="E61"/>
  <c r="I4"/>
  <c r="H4"/>
  <c r="G4"/>
  <c r="F4"/>
  <c r="E4"/>
  <c r="I1"/>
  <c r="C39" i="136" a="1"/>
  <c r="H39" s="1"/>
  <c r="I38"/>
  <c r="B31"/>
  <c r="B30"/>
  <c r="B29"/>
  <c r="B28"/>
  <c r="B27"/>
  <c r="B26"/>
  <c r="B25"/>
  <c r="B24"/>
  <c r="B23"/>
  <c r="B22"/>
  <c r="B21"/>
  <c r="B20"/>
  <c r="B19"/>
  <c r="C17" a="1"/>
  <c r="G17" s="1"/>
  <c r="I16"/>
  <c r="B12"/>
  <c r="B11"/>
  <c r="B10"/>
  <c r="B9"/>
  <c r="B8"/>
  <c r="C7" a="1"/>
  <c r="I7" s="1"/>
  <c r="I6"/>
  <c r="C728" i="135"/>
  <c r="C796" s="1"/>
  <c r="C677"/>
  <c r="C727" s="1"/>
  <c r="C496"/>
  <c r="C676" s="1"/>
  <c r="C375"/>
  <c r="C495" s="1"/>
  <c r="C350"/>
  <c r="C374" s="1"/>
  <c r="C301"/>
  <c r="C349" s="1"/>
  <c r="D4" a="1"/>
  <c r="J4" s="1"/>
  <c r="K2"/>
  <c r="I61" i="141"/>
  <c r="H61"/>
  <c r="G61"/>
  <c r="F61"/>
  <c r="E61"/>
  <c r="I4"/>
  <c r="H4"/>
  <c r="G4"/>
  <c r="F4"/>
  <c r="E4"/>
  <c r="I1"/>
  <c r="I4" i="140"/>
  <c r="H4"/>
  <c r="G4"/>
  <c r="F4"/>
  <c r="E4"/>
  <c r="I1"/>
  <c r="C40" i="112" a="1"/>
  <c r="G40" s="1"/>
  <c r="I39"/>
  <c r="AA31"/>
  <c r="AB31" s="1"/>
  <c r="AC31" s="1"/>
  <c r="AD31" s="1"/>
  <c r="AE31" s="1"/>
  <c r="AF31" s="1"/>
  <c r="AA30"/>
  <c r="AB30" s="1"/>
  <c r="AC30" s="1"/>
  <c r="AD30" s="1"/>
  <c r="AE30" s="1"/>
  <c r="AF30" s="1"/>
  <c r="AA29"/>
  <c r="AB29" s="1"/>
  <c r="AC29" s="1"/>
  <c r="AD29" s="1"/>
  <c r="AE29" s="1"/>
  <c r="AF29" s="1"/>
  <c r="AA28"/>
  <c r="AB28" s="1"/>
  <c r="AC28" s="1"/>
  <c r="AD28" s="1"/>
  <c r="AE28" s="1"/>
  <c r="AF28" s="1"/>
  <c r="B31"/>
  <c r="B30"/>
  <c r="B29"/>
  <c r="B28"/>
  <c r="AA27"/>
  <c r="AB27" s="1"/>
  <c r="AC27" s="1"/>
  <c r="AD27" s="1"/>
  <c r="AE27" s="1"/>
  <c r="AF27" s="1"/>
  <c r="AA26"/>
  <c r="AB26" s="1"/>
  <c r="AC26" s="1"/>
  <c r="AD26" s="1"/>
  <c r="AE26" s="1"/>
  <c r="AF26" s="1"/>
  <c r="B27"/>
  <c r="B26"/>
  <c r="AA25"/>
  <c r="AB25" s="1"/>
  <c r="AC25" s="1"/>
  <c r="AD25" s="1"/>
  <c r="AE25" s="1"/>
  <c r="AF25" s="1"/>
  <c r="AA24"/>
  <c r="AB24" s="1"/>
  <c r="AC24" s="1"/>
  <c r="AD24" s="1"/>
  <c r="AE24" s="1"/>
  <c r="AF24" s="1"/>
  <c r="AA23"/>
  <c r="AB23" s="1"/>
  <c r="AC23" s="1"/>
  <c r="AD23" s="1"/>
  <c r="AE23" s="1"/>
  <c r="AF23" s="1"/>
  <c r="AA22"/>
  <c r="AB22" s="1"/>
  <c r="AC22" s="1"/>
  <c r="AD22" s="1"/>
  <c r="AE22" s="1"/>
  <c r="AF22" s="1"/>
  <c r="AA21"/>
  <c r="AB21" s="1"/>
  <c r="AC21" s="1"/>
  <c r="AD21" s="1"/>
  <c r="AE21" s="1"/>
  <c r="AF21" s="1"/>
  <c r="AA20"/>
  <c r="AB20" s="1"/>
  <c r="AC20" s="1"/>
  <c r="AD20" s="1"/>
  <c r="AE20" s="1"/>
  <c r="AF20" s="1"/>
  <c r="AA19"/>
  <c r="AB19" s="1"/>
  <c r="AC19" s="1"/>
  <c r="AD19" s="1"/>
  <c r="AE19" s="1"/>
  <c r="AF19" s="1"/>
  <c r="B25"/>
  <c r="B24"/>
  <c r="B23"/>
  <c r="B22"/>
  <c r="B21"/>
  <c r="B20"/>
  <c r="B19"/>
  <c r="R17"/>
  <c r="Q17"/>
  <c r="P17"/>
  <c r="O17"/>
  <c r="N17"/>
  <c r="M17"/>
  <c r="C17" a="1"/>
  <c r="F17" s="1"/>
  <c r="R16"/>
  <c r="I16"/>
  <c r="B12"/>
  <c r="B11"/>
  <c r="B10"/>
  <c r="B9"/>
  <c r="B8"/>
  <c r="AA12"/>
  <c r="AB12" s="1"/>
  <c r="AC12" s="1"/>
  <c r="AD12" s="1"/>
  <c r="AE12" s="1"/>
  <c r="AF12" s="1"/>
  <c r="AA11"/>
  <c r="AB11" s="1"/>
  <c r="AC11" s="1"/>
  <c r="AD11" s="1"/>
  <c r="AE11" s="1"/>
  <c r="AF11" s="1"/>
  <c r="AA10"/>
  <c r="AB10" s="1"/>
  <c r="AC10" s="1"/>
  <c r="AD10" s="1"/>
  <c r="AE10" s="1"/>
  <c r="AF10" s="1"/>
  <c r="AA9"/>
  <c r="AB9" s="1"/>
  <c r="AC9" s="1"/>
  <c r="AD9" s="1"/>
  <c r="AE9" s="1"/>
  <c r="AF9" s="1"/>
  <c r="AA8"/>
  <c r="AB8" s="1"/>
  <c r="AC8" s="1"/>
  <c r="AD8" s="1"/>
  <c r="AE8" s="1"/>
  <c r="AF8" s="1"/>
  <c r="AF7"/>
  <c r="AE7"/>
  <c r="AD7"/>
  <c r="AC7"/>
  <c r="AB7"/>
  <c r="AA7"/>
  <c r="Y7"/>
  <c r="X7"/>
  <c r="W7"/>
  <c r="V7"/>
  <c r="U7"/>
  <c r="T7"/>
  <c r="R7"/>
  <c r="Q7"/>
  <c r="P7"/>
  <c r="O7"/>
  <c r="N7"/>
  <c r="M7"/>
  <c r="C7" a="1"/>
  <c r="H7" s="1"/>
  <c r="Y6"/>
  <c r="R6"/>
  <c r="I6"/>
  <c r="C994" i="111" a="1"/>
  <c r="D998" s="1"/>
  <c r="C987" a="1"/>
  <c r="C987" s="1"/>
  <c r="C979" a="1"/>
  <c r="D984" s="1"/>
  <c r="C972" a="1"/>
  <c r="C972" s="1"/>
  <c r="C964" a="1"/>
  <c r="D968" s="1"/>
  <c r="C957" a="1"/>
  <c r="C949" a="1"/>
  <c r="C942" a="1"/>
  <c r="D947" s="1"/>
  <c r="C934" a="1"/>
  <c r="D939" s="1"/>
  <c r="C927" a="1"/>
  <c r="C927" s="1"/>
  <c r="C919" a="1"/>
  <c r="C921" s="1"/>
  <c r="C912" a="1"/>
  <c r="C909"/>
  <c r="C1000" s="1"/>
  <c r="C902" a="1"/>
  <c r="D907" s="1"/>
  <c r="C895" a="1"/>
  <c r="D900" s="1"/>
  <c r="C887" a="1"/>
  <c r="C888" s="1"/>
  <c r="C880" a="1"/>
  <c r="D885" s="1"/>
  <c r="C872" a="1"/>
  <c r="D877" s="1"/>
  <c r="C865" a="1"/>
  <c r="C857" a="1"/>
  <c r="C857" s="1"/>
  <c r="C850" a="1"/>
  <c r="C847"/>
  <c r="C908" s="1"/>
  <c r="C840" a="1"/>
  <c r="D842" s="1"/>
  <c r="C833" a="1"/>
  <c r="C825" a="1"/>
  <c r="D830" s="1"/>
  <c r="C818" a="1"/>
  <c r="C810" a="1"/>
  <c r="D813" s="1"/>
  <c r="C803" a="1"/>
  <c r="C803" s="1"/>
  <c r="C795" a="1"/>
  <c r="D798" s="1"/>
  <c r="C788" a="1"/>
  <c r="C793" s="1"/>
  <c r="C780" a="1"/>
  <c r="D784" s="1"/>
  <c r="C773" a="1"/>
  <c r="C773" s="1"/>
  <c r="C765" a="1"/>
  <c r="D769" s="1"/>
  <c r="C758" a="1"/>
  <c r="C750" a="1"/>
  <c r="C743" a="1"/>
  <c r="C743" s="1"/>
  <c r="C735" a="1"/>
  <c r="D740" s="1"/>
  <c r="C728" a="1"/>
  <c r="D730" s="1"/>
  <c r="C720" a="1"/>
  <c r="C713" a="1"/>
  <c r="D718" s="1"/>
  <c r="C705" a="1"/>
  <c r="D708" s="1"/>
  <c r="C698" a="1"/>
  <c r="D703" s="1"/>
  <c r="C690" a="1"/>
  <c r="C683" a="1"/>
  <c r="D688" s="1"/>
  <c r="C675" a="1"/>
  <c r="C668" a="1"/>
  <c r="C668" s="1"/>
  <c r="C660" a="1"/>
  <c r="C653" a="1"/>
  <c r="C653" s="1"/>
  <c r="C645" a="1"/>
  <c r="C638" a="1"/>
  <c r="C638" s="1"/>
  <c r="C630" a="1"/>
  <c r="C623" a="1"/>
  <c r="C623" s="1"/>
  <c r="C620"/>
  <c r="C846" s="1"/>
  <c r="C613" a="1"/>
  <c r="D618" s="1"/>
  <c r="C606" a="1"/>
  <c r="C611" s="1"/>
  <c r="C598" a="1"/>
  <c r="D603" s="1"/>
  <c r="C591" a="1"/>
  <c r="C591" s="1"/>
  <c r="C583" a="1"/>
  <c r="D586" s="1"/>
  <c r="C576" a="1"/>
  <c r="C568" a="1"/>
  <c r="C561" a="1"/>
  <c r="C561" s="1"/>
  <c r="C553" a="1"/>
  <c r="D558" s="1"/>
  <c r="C546" a="1"/>
  <c r="C546" s="1"/>
  <c r="C538" a="1"/>
  <c r="D541" s="1"/>
  <c r="C531" a="1"/>
  <c r="C523" a="1"/>
  <c r="D528" s="1"/>
  <c r="C516" a="1"/>
  <c r="C508" a="1"/>
  <c r="D513" s="1"/>
  <c r="C501" a="1"/>
  <c r="C493" a="1"/>
  <c r="D498" s="1"/>
  <c r="C486" a="1"/>
  <c r="C478" a="1"/>
  <c r="D483" s="1"/>
  <c r="C471" a="1"/>
  <c r="C468"/>
  <c r="C619" s="1"/>
  <c r="C461" a="1"/>
  <c r="D466" s="1"/>
  <c r="C454" a="1"/>
  <c r="D459" s="1"/>
  <c r="C446" a="1"/>
  <c r="D451" s="1"/>
  <c r="C439" a="1"/>
  <c r="C436"/>
  <c r="C467" s="1"/>
  <c r="C429" a="1"/>
  <c r="D434" s="1"/>
  <c r="C422" a="1"/>
  <c r="D427" s="1"/>
  <c r="C414" a="1"/>
  <c r="C407" a="1"/>
  <c r="C407" s="1"/>
  <c r="C399" a="1"/>
  <c r="D404" s="1"/>
  <c r="C392" a="1"/>
  <c r="C392" s="1"/>
  <c r="C384" a="1"/>
  <c r="D388" s="1"/>
  <c r="C377" a="1"/>
  <c r="C374"/>
  <c r="C435" s="1"/>
  <c r="C364" a="1"/>
  <c r="D369" s="1"/>
  <c r="C357" a="1"/>
  <c r="D362" s="1"/>
  <c r="C348" a="1"/>
  <c r="D353" s="1"/>
  <c r="C341" a="1"/>
  <c r="D346" s="1"/>
  <c r="C333" a="1"/>
  <c r="D338" s="1"/>
  <c r="C326" a="1"/>
  <c r="D331" s="1"/>
  <c r="C318" a="1"/>
  <c r="D323" s="1"/>
  <c r="C311" a="1"/>
  <c r="C303" a="1"/>
  <c r="D308" s="1"/>
  <c r="C296" a="1"/>
  <c r="C288" a="1"/>
  <c r="D293" s="1"/>
  <c r="C281" a="1"/>
  <c r="C273" a="1"/>
  <c r="D278" s="1"/>
  <c r="C266" a="1"/>
  <c r="C258" a="1"/>
  <c r="D263" s="1"/>
  <c r="C251" a="1"/>
  <c r="C243" a="1"/>
  <c r="D248" s="1"/>
  <c r="C236" a="1"/>
  <c r="C228" a="1"/>
  <c r="D233" s="1"/>
  <c r="C221" a="1"/>
  <c r="C213" a="1"/>
  <c r="D218" s="1"/>
  <c r="C206" a="1"/>
  <c r="C198" a="1"/>
  <c r="D203" s="1"/>
  <c r="C191" a="1"/>
  <c r="C183" a="1"/>
  <c r="D188" s="1"/>
  <c r="C176" a="1"/>
  <c r="C168" a="1"/>
  <c r="D173" s="1"/>
  <c r="C161" a="1"/>
  <c r="C151" a="1"/>
  <c r="D156" s="1"/>
  <c r="C144" a="1"/>
  <c r="D149" s="1"/>
  <c r="C136" a="1"/>
  <c r="D141" s="1"/>
  <c r="C129" a="1"/>
  <c r="D134" s="1"/>
  <c r="C121" a="1"/>
  <c r="D126" s="1"/>
  <c r="C114" a="1"/>
  <c r="D119" s="1"/>
  <c r="C106" a="1"/>
  <c r="D111" s="1"/>
  <c r="C99" a="1"/>
  <c r="D104" s="1"/>
  <c r="C91" a="1"/>
  <c r="D96" s="1"/>
  <c r="C84" a="1"/>
  <c r="D89" s="1"/>
  <c r="C76" a="1"/>
  <c r="D81" s="1"/>
  <c r="C69" a="1"/>
  <c r="D74" s="1"/>
  <c r="C61" a="1"/>
  <c r="D66" s="1"/>
  <c r="C54" a="1"/>
  <c r="D59" s="1"/>
  <c r="C46" a="1"/>
  <c r="D51" s="1"/>
  <c r="C39" a="1"/>
  <c r="D44" s="1"/>
  <c r="C31" a="1"/>
  <c r="D36" s="1"/>
  <c r="C24" a="1"/>
  <c r="D29" s="1"/>
  <c r="C16" a="1"/>
  <c r="D21" s="1"/>
  <c r="C9" a="1"/>
  <c r="D14" s="1"/>
  <c r="P4" a="1"/>
  <c r="U4" s="1"/>
  <c r="E4" a="1"/>
  <c r="J4" s="1"/>
  <c r="V3"/>
  <c r="K3"/>
  <c r="C728" i="106"/>
  <c r="C796" s="1"/>
  <c r="C677"/>
  <c r="C727" s="1"/>
  <c r="C496"/>
  <c r="C676" s="1"/>
  <c r="C375"/>
  <c r="C495" s="1"/>
  <c r="C350"/>
  <c r="C374" s="1"/>
  <c r="C301"/>
  <c r="C349" s="1"/>
  <c r="D4" a="1"/>
  <c r="J4" s="1"/>
  <c r="K2"/>
  <c r="B84" i="104" a="1"/>
  <c r="G84" s="1"/>
  <c r="H83"/>
  <c r="G83"/>
  <c r="F83"/>
  <c r="E83"/>
  <c r="D83"/>
  <c r="C83"/>
  <c r="B83"/>
  <c r="B82" a="1"/>
  <c r="G82" s="1"/>
  <c r="B61" a="1"/>
  <c r="G61" s="1"/>
  <c r="B4" a="1"/>
  <c r="G4" s="1"/>
  <c r="I1"/>
  <c r="B84" i="63" a="1"/>
  <c r="G84" s="1"/>
  <c r="H83"/>
  <c r="G83"/>
  <c r="F83"/>
  <c r="E83"/>
  <c r="D83"/>
  <c r="C83"/>
  <c r="B83"/>
  <c r="B82" a="1"/>
  <c r="G82" s="1"/>
  <c r="B61" a="1"/>
  <c r="G61" s="1"/>
  <c r="B59"/>
  <c r="B4" a="1"/>
  <c r="H4" s="1"/>
  <c r="I1"/>
  <c r="S615" i="105"/>
  <c r="R615"/>
  <c r="Q615"/>
  <c r="P615"/>
  <c r="O615"/>
  <c r="N615"/>
  <c r="M615"/>
  <c r="L615"/>
  <c r="K615"/>
  <c r="J615"/>
  <c r="I615"/>
  <c r="H615"/>
  <c r="G615"/>
  <c r="F615"/>
  <c r="E615"/>
  <c r="D615"/>
  <c r="K604"/>
  <c r="K604" i="130" s="1"/>
  <c r="J604" i="105"/>
  <c r="J604" i="130" s="1"/>
  <c r="I604" i="105"/>
  <c r="I604" i="130" s="1"/>
  <c r="H604" i="105"/>
  <c r="H604" i="130" s="1"/>
  <c r="G604" i="105"/>
  <c r="G604" i="130" s="1"/>
  <c r="F604" i="105"/>
  <c r="F604" i="130" s="1"/>
  <c r="E604" i="105"/>
  <c r="E604" i="130" s="1"/>
  <c r="D604" i="105"/>
  <c r="D604" i="130" s="1"/>
  <c r="K603" i="105"/>
  <c r="K603" i="130" s="1"/>
  <c r="J603" i="105"/>
  <c r="J603" i="130" s="1"/>
  <c r="I603" i="105"/>
  <c r="I603" i="130" s="1"/>
  <c r="H603" i="105"/>
  <c r="H603" i="130" s="1"/>
  <c r="G603" i="105"/>
  <c r="G603" i="130" s="1"/>
  <c r="F603" i="105"/>
  <c r="F603" i="130" s="1"/>
  <c r="E603" i="105"/>
  <c r="E603" i="130" s="1"/>
  <c r="D603" i="105"/>
  <c r="D603" i="130" s="1"/>
  <c r="K602" i="105"/>
  <c r="K602" i="130" s="1"/>
  <c r="J602" i="105"/>
  <c r="J602" i="130" s="1"/>
  <c r="I602" i="105"/>
  <c r="I602" i="130" s="1"/>
  <c r="H602" i="105"/>
  <c r="H602" i="130" s="1"/>
  <c r="G602" i="105"/>
  <c r="G602" i="130" s="1"/>
  <c r="F602" i="105"/>
  <c r="E602"/>
  <c r="E602" i="130" s="1"/>
  <c r="D602" i="105"/>
  <c r="D602" i="130" s="1"/>
  <c r="K601" i="105"/>
  <c r="K601" i="130" s="1"/>
  <c r="J601" i="105"/>
  <c r="J601" i="130" s="1"/>
  <c r="I601" i="105"/>
  <c r="I601" i="130" s="1"/>
  <c r="H601" i="105"/>
  <c r="H601" i="130" s="1"/>
  <c r="G601" i="105"/>
  <c r="G601" i="130" s="1"/>
  <c r="F601" i="105"/>
  <c r="F601" i="130" s="1"/>
  <c r="E601" i="105"/>
  <c r="E601" i="130" s="1"/>
  <c r="D601" i="105"/>
  <c r="D601" i="130" s="1"/>
  <c r="K600" i="105"/>
  <c r="K600" i="130" s="1"/>
  <c r="J600" i="105"/>
  <c r="J600" i="130" s="1"/>
  <c r="I600" i="105"/>
  <c r="I600" i="130" s="1"/>
  <c r="H600" i="105"/>
  <c r="H600" i="130" s="1"/>
  <c r="G600" i="105"/>
  <c r="G600" i="130" s="1"/>
  <c r="F600" i="105"/>
  <c r="F600" i="130" s="1"/>
  <c r="E600" i="105"/>
  <c r="E600" i="130" s="1"/>
  <c r="D600" i="105"/>
  <c r="D600" i="130" s="1"/>
  <c r="K599" i="105"/>
  <c r="J599"/>
  <c r="J599" i="130" s="1"/>
  <c r="I599" i="105"/>
  <c r="H599"/>
  <c r="G599"/>
  <c r="G599" i="130" s="1"/>
  <c r="F599" i="105"/>
  <c r="F599" i="130" s="1"/>
  <c r="E599" i="105"/>
  <c r="D599"/>
  <c r="D599" i="130" s="1"/>
  <c r="K595" i="105"/>
  <c r="K595" i="130" s="1"/>
  <c r="J595" i="105"/>
  <c r="J595" i="130" s="1"/>
  <c r="I595" i="105"/>
  <c r="I595" i="130" s="1"/>
  <c r="H595" i="105"/>
  <c r="H595" i="130" s="1"/>
  <c r="G595" i="105"/>
  <c r="G595" i="130" s="1"/>
  <c r="F595" i="105"/>
  <c r="F595" i="130" s="1"/>
  <c r="E595" i="105"/>
  <c r="E595" i="130" s="1"/>
  <c r="D595" i="105"/>
  <c r="D595" i="130" s="1"/>
  <c r="K594" i="105"/>
  <c r="K594" i="130" s="1"/>
  <c r="J594" i="105"/>
  <c r="J594" i="130" s="1"/>
  <c r="I594" i="105"/>
  <c r="I594" i="130" s="1"/>
  <c r="H594" i="105"/>
  <c r="H594" i="130" s="1"/>
  <c r="G594" i="105"/>
  <c r="G594" i="130" s="1"/>
  <c r="F594" i="105"/>
  <c r="F594" i="130" s="1"/>
  <c r="E594" i="105"/>
  <c r="E594" i="130" s="1"/>
  <c r="D594" i="105"/>
  <c r="D594" i="130" s="1"/>
  <c r="K593" i="105"/>
  <c r="K593" i="130" s="1"/>
  <c r="J593" i="105"/>
  <c r="J593" i="130" s="1"/>
  <c r="I593" i="105"/>
  <c r="I593" i="130" s="1"/>
  <c r="H593" i="105"/>
  <c r="H593" i="130" s="1"/>
  <c r="G593" i="105"/>
  <c r="G593" i="130" s="1"/>
  <c r="F593" i="105"/>
  <c r="F593" i="130" s="1"/>
  <c r="E593" i="105"/>
  <c r="E593" i="130" s="1"/>
  <c r="D593" i="105"/>
  <c r="D593" i="130" s="1"/>
  <c r="K592" i="105"/>
  <c r="K592" i="130" s="1"/>
  <c r="J592" i="105"/>
  <c r="J592" i="130" s="1"/>
  <c r="I592" i="105"/>
  <c r="I592" i="130" s="1"/>
  <c r="H592" i="105"/>
  <c r="H592" i="130" s="1"/>
  <c r="G592" i="105"/>
  <c r="G592" i="130" s="1"/>
  <c r="F592" i="105"/>
  <c r="F592" i="130" s="1"/>
  <c r="E592" i="105"/>
  <c r="E592" i="130" s="1"/>
  <c r="D592" i="105"/>
  <c r="D592" i="130" s="1"/>
  <c r="K591" i="105"/>
  <c r="K591" i="130" s="1"/>
  <c r="J591" i="105"/>
  <c r="J591" i="130" s="1"/>
  <c r="I591" i="105"/>
  <c r="I591" i="130" s="1"/>
  <c r="H591" i="105"/>
  <c r="H591" i="130" s="1"/>
  <c r="G591" i="105"/>
  <c r="G591" i="130" s="1"/>
  <c r="F591" i="105"/>
  <c r="F591" i="130" s="1"/>
  <c r="E591" i="105"/>
  <c r="E591" i="130" s="1"/>
  <c r="D591" i="105"/>
  <c r="D591" i="130" s="1"/>
  <c r="K590" i="105"/>
  <c r="K590" i="130" s="1"/>
  <c r="J590" i="105"/>
  <c r="J590" i="130" s="1"/>
  <c r="I590" i="105"/>
  <c r="H590"/>
  <c r="H590" i="130" s="1"/>
  <c r="G590" i="105"/>
  <c r="G590" i="130" s="1"/>
  <c r="F590" i="105"/>
  <c r="E590"/>
  <c r="E590" i="130" s="1"/>
  <c r="D590" i="105"/>
  <c r="D590" i="130" s="1"/>
  <c r="K586" i="105"/>
  <c r="K586" i="130" s="1"/>
  <c r="J586" i="105"/>
  <c r="J586" i="130" s="1"/>
  <c r="I586" i="105"/>
  <c r="I586" i="130" s="1"/>
  <c r="H586" i="105"/>
  <c r="H586" i="130" s="1"/>
  <c r="G586" i="105"/>
  <c r="G586" i="130" s="1"/>
  <c r="F586" i="105"/>
  <c r="F586" i="130" s="1"/>
  <c r="E586" i="105"/>
  <c r="E586" i="130" s="1"/>
  <c r="D586" i="105"/>
  <c r="D586" i="130" s="1"/>
  <c r="K585" i="105"/>
  <c r="K585" i="130" s="1"/>
  <c r="J585" i="105"/>
  <c r="J585" i="130" s="1"/>
  <c r="I585" i="105"/>
  <c r="I585" i="130" s="1"/>
  <c r="H585" i="105"/>
  <c r="H585" i="130" s="1"/>
  <c r="G585" i="105"/>
  <c r="G585" i="130" s="1"/>
  <c r="F585" i="105"/>
  <c r="F585" i="130" s="1"/>
  <c r="E585" i="105"/>
  <c r="E585" i="130" s="1"/>
  <c r="D585" i="105"/>
  <c r="D585" i="130" s="1"/>
  <c r="K584" i="105"/>
  <c r="K584" i="130" s="1"/>
  <c r="J584" i="105"/>
  <c r="J584" i="130" s="1"/>
  <c r="I584" i="105"/>
  <c r="I584" i="130" s="1"/>
  <c r="H584" i="105"/>
  <c r="H584" i="130" s="1"/>
  <c r="G584" i="105"/>
  <c r="G584" i="130" s="1"/>
  <c r="F584" i="105"/>
  <c r="E584"/>
  <c r="E584" i="130" s="1"/>
  <c r="D584" i="105"/>
  <c r="D584" i="130" s="1"/>
  <c r="K583" i="105"/>
  <c r="K583" i="130" s="1"/>
  <c r="J583" i="105"/>
  <c r="J583" i="130" s="1"/>
  <c r="I583" i="105"/>
  <c r="I583" i="130" s="1"/>
  <c r="H583" i="105"/>
  <c r="H583" i="130" s="1"/>
  <c r="G583" i="105"/>
  <c r="G583" i="130" s="1"/>
  <c r="F583" i="105"/>
  <c r="F583" i="130" s="1"/>
  <c r="E583" i="105"/>
  <c r="E583" i="130" s="1"/>
  <c r="D583" i="105"/>
  <c r="D583" i="130" s="1"/>
  <c r="K582" i="105"/>
  <c r="K582" i="130" s="1"/>
  <c r="J582" i="105"/>
  <c r="J582" i="130" s="1"/>
  <c r="I582" i="105"/>
  <c r="I582" i="130" s="1"/>
  <c r="H582" i="105"/>
  <c r="H582" i="130" s="1"/>
  <c r="G582" i="105"/>
  <c r="G582" i="130" s="1"/>
  <c r="F582" i="105"/>
  <c r="F582" i="130" s="1"/>
  <c r="E582" i="105"/>
  <c r="E582" i="130" s="1"/>
  <c r="D582" i="105"/>
  <c r="D582" i="130" s="1"/>
  <c r="K581" i="105"/>
  <c r="K581" i="130" s="1"/>
  <c r="J581" i="105"/>
  <c r="J581" i="130" s="1"/>
  <c r="I581" i="105"/>
  <c r="H581"/>
  <c r="H581" i="130" s="1"/>
  <c r="G581" i="105"/>
  <c r="G581" i="130" s="1"/>
  <c r="F581" i="105"/>
  <c r="F581" i="130" s="1"/>
  <c r="E581" i="105"/>
  <c r="E581" i="130" s="1"/>
  <c r="D581" i="105"/>
  <c r="D581" i="130" s="1"/>
  <c r="K577" i="105"/>
  <c r="K577" i="130" s="1"/>
  <c r="J577" i="105"/>
  <c r="J577" i="130" s="1"/>
  <c r="I577" i="105"/>
  <c r="I577" i="130" s="1"/>
  <c r="H577" i="105"/>
  <c r="H577" i="130" s="1"/>
  <c r="G577" i="105"/>
  <c r="G577" i="130" s="1"/>
  <c r="F577" i="105"/>
  <c r="F577" i="130" s="1"/>
  <c r="E577" i="105"/>
  <c r="E577" i="130" s="1"/>
  <c r="D577" i="105"/>
  <c r="D577" i="130" s="1"/>
  <c r="K576" i="105"/>
  <c r="K576" i="130" s="1"/>
  <c r="J576" i="105"/>
  <c r="J576" i="130" s="1"/>
  <c r="I576" i="105"/>
  <c r="I576" i="130" s="1"/>
  <c r="H576" i="105"/>
  <c r="H576" i="130" s="1"/>
  <c r="G576" i="105"/>
  <c r="G576" i="130" s="1"/>
  <c r="F576" i="105"/>
  <c r="F576" i="130" s="1"/>
  <c r="E576" i="105"/>
  <c r="E576" i="130" s="1"/>
  <c r="D576" i="105"/>
  <c r="D576" i="130" s="1"/>
  <c r="K575" i="105"/>
  <c r="K575" i="130" s="1"/>
  <c r="J575" i="105"/>
  <c r="J575" i="130" s="1"/>
  <c r="I575" i="105"/>
  <c r="I575" i="130" s="1"/>
  <c r="H575" i="105"/>
  <c r="H575" i="130" s="1"/>
  <c r="G575" i="105"/>
  <c r="G575" i="130" s="1"/>
  <c r="F575" i="105"/>
  <c r="F575" i="130" s="1"/>
  <c r="E575" i="105"/>
  <c r="E575" i="130" s="1"/>
  <c r="D575" i="105"/>
  <c r="D575" i="130" s="1"/>
  <c r="K574" i="105"/>
  <c r="K574" i="130" s="1"/>
  <c r="J574" i="105"/>
  <c r="J574" i="130" s="1"/>
  <c r="I574" i="105"/>
  <c r="I574" i="130" s="1"/>
  <c r="H574" i="105"/>
  <c r="H574" i="130" s="1"/>
  <c r="G574" i="105"/>
  <c r="G574" i="130" s="1"/>
  <c r="F574" i="105"/>
  <c r="F574" i="130" s="1"/>
  <c r="E574" i="105"/>
  <c r="E574" i="130" s="1"/>
  <c r="D574" i="105"/>
  <c r="D574" i="130" s="1"/>
  <c r="K573" i="105"/>
  <c r="K573" i="130" s="1"/>
  <c r="J573" i="105"/>
  <c r="J573" i="130" s="1"/>
  <c r="I573" i="105"/>
  <c r="I573" i="130" s="1"/>
  <c r="H573" i="105"/>
  <c r="H573" i="130" s="1"/>
  <c r="G573" i="105"/>
  <c r="G573" i="130" s="1"/>
  <c r="F573" i="105"/>
  <c r="F573" i="130" s="1"/>
  <c r="E573" i="105"/>
  <c r="E573" i="130" s="1"/>
  <c r="D573" i="105"/>
  <c r="D573" i="130" s="1"/>
  <c r="K572" i="105"/>
  <c r="J572"/>
  <c r="J572" i="130" s="1"/>
  <c r="I572" i="105"/>
  <c r="H572"/>
  <c r="G572"/>
  <c r="G572" i="130" s="1"/>
  <c r="F572" i="105"/>
  <c r="F572" i="130" s="1"/>
  <c r="E572" i="105"/>
  <c r="D572"/>
  <c r="D572" i="130" s="1"/>
  <c r="K568" i="105"/>
  <c r="K568" i="130" s="1"/>
  <c r="J568" i="105"/>
  <c r="J568" i="130" s="1"/>
  <c r="I568" i="105"/>
  <c r="I568" i="130" s="1"/>
  <c r="H568" i="105"/>
  <c r="H568" i="130" s="1"/>
  <c r="G568" i="105"/>
  <c r="G568" i="130" s="1"/>
  <c r="F568" i="105"/>
  <c r="F568" i="130" s="1"/>
  <c r="E568" i="105"/>
  <c r="E568" i="130" s="1"/>
  <c r="D568" i="105"/>
  <c r="D568" i="130" s="1"/>
  <c r="K567" i="105"/>
  <c r="K567" i="130" s="1"/>
  <c r="J567" i="105"/>
  <c r="J567" i="130" s="1"/>
  <c r="I567" i="105"/>
  <c r="I567" i="130" s="1"/>
  <c r="H567" i="105"/>
  <c r="H567" i="130" s="1"/>
  <c r="G567" i="105"/>
  <c r="G567" i="130" s="1"/>
  <c r="F567" i="105"/>
  <c r="F567" i="130" s="1"/>
  <c r="E567" i="105"/>
  <c r="E567" i="130" s="1"/>
  <c r="D567" i="105"/>
  <c r="D567" i="130" s="1"/>
  <c r="K566" i="105"/>
  <c r="K566" i="130" s="1"/>
  <c r="J566" i="105"/>
  <c r="J566" i="130" s="1"/>
  <c r="I566" i="105"/>
  <c r="I566" i="130" s="1"/>
  <c r="H566" i="105"/>
  <c r="H566" i="130" s="1"/>
  <c r="G566" i="105"/>
  <c r="G566" i="130" s="1"/>
  <c r="F566" i="105"/>
  <c r="F566" i="130" s="1"/>
  <c r="E566" i="105"/>
  <c r="E566" i="130" s="1"/>
  <c r="D566" i="105"/>
  <c r="D566" i="130" s="1"/>
  <c r="K565" i="105"/>
  <c r="K565" i="130" s="1"/>
  <c r="J565" i="105"/>
  <c r="J565" i="130" s="1"/>
  <c r="I565" i="105"/>
  <c r="I565" i="130" s="1"/>
  <c r="H565" i="105"/>
  <c r="H565" i="130" s="1"/>
  <c r="G565" i="105"/>
  <c r="G565" i="130" s="1"/>
  <c r="F565" i="105"/>
  <c r="F565" i="130" s="1"/>
  <c r="E565" i="105"/>
  <c r="E565" i="130" s="1"/>
  <c r="D565" i="105"/>
  <c r="D565" i="130" s="1"/>
  <c r="K564" i="105"/>
  <c r="K564" i="130" s="1"/>
  <c r="J564" i="105"/>
  <c r="J564" i="130" s="1"/>
  <c r="I564" i="105"/>
  <c r="I564" i="130" s="1"/>
  <c r="H564" i="105"/>
  <c r="H564" i="130" s="1"/>
  <c r="G564" i="105"/>
  <c r="G564" i="130" s="1"/>
  <c r="F564" i="105"/>
  <c r="F564" i="130" s="1"/>
  <c r="E564" i="105"/>
  <c r="E564" i="130" s="1"/>
  <c r="D564" i="105"/>
  <c r="D564" i="130" s="1"/>
  <c r="K563" i="105"/>
  <c r="K563" i="130" s="1"/>
  <c r="J563" i="105"/>
  <c r="J563" i="130" s="1"/>
  <c r="I563" i="105"/>
  <c r="H563"/>
  <c r="H563" i="130" s="1"/>
  <c r="G563" i="105"/>
  <c r="G563" i="130" s="1"/>
  <c r="F563" i="105"/>
  <c r="E563"/>
  <c r="E563" i="130" s="1"/>
  <c r="D563" i="105"/>
  <c r="D563" i="130" s="1"/>
  <c r="K559" i="105"/>
  <c r="K559" i="130" s="1"/>
  <c r="J559" i="105"/>
  <c r="J559" i="130" s="1"/>
  <c r="I559" i="105"/>
  <c r="I559" i="130" s="1"/>
  <c r="H559" i="105"/>
  <c r="H559" i="130" s="1"/>
  <c r="G559" i="105"/>
  <c r="G559" i="130" s="1"/>
  <c r="F559" i="105"/>
  <c r="F559" i="130" s="1"/>
  <c r="E559" i="105"/>
  <c r="E559" i="130" s="1"/>
  <c r="D559" i="105"/>
  <c r="D559" i="130" s="1"/>
  <c r="K558" i="105"/>
  <c r="K558" i="130" s="1"/>
  <c r="J558" i="105"/>
  <c r="J558" i="130" s="1"/>
  <c r="I558" i="105"/>
  <c r="I558" i="130" s="1"/>
  <c r="H558" i="105"/>
  <c r="H558" i="130" s="1"/>
  <c r="G558" i="105"/>
  <c r="G558" i="130" s="1"/>
  <c r="F558" i="105"/>
  <c r="F558" i="130" s="1"/>
  <c r="E558" i="105"/>
  <c r="E558" i="130" s="1"/>
  <c r="D558" i="105"/>
  <c r="D558" i="130" s="1"/>
  <c r="K557" i="105"/>
  <c r="K557" i="130" s="1"/>
  <c r="J557" i="105"/>
  <c r="J557" i="130" s="1"/>
  <c r="I557" i="105"/>
  <c r="I557" i="130" s="1"/>
  <c r="H557" i="105"/>
  <c r="H557" i="130" s="1"/>
  <c r="G557" i="105"/>
  <c r="G557" i="130" s="1"/>
  <c r="F557" i="105"/>
  <c r="E557"/>
  <c r="E557" i="130" s="1"/>
  <c r="D557" i="105"/>
  <c r="D557" i="130" s="1"/>
  <c r="K556" i="105"/>
  <c r="K556" i="130" s="1"/>
  <c r="J556" i="105"/>
  <c r="J556" i="130" s="1"/>
  <c r="I556" i="105"/>
  <c r="I556" i="130" s="1"/>
  <c r="H556" i="105"/>
  <c r="H556" i="130" s="1"/>
  <c r="G556" i="105"/>
  <c r="G556" i="130" s="1"/>
  <c r="F556" i="105"/>
  <c r="F556" i="130" s="1"/>
  <c r="E556" i="105"/>
  <c r="E556" i="130" s="1"/>
  <c r="D556" i="105"/>
  <c r="D556" i="130" s="1"/>
  <c r="K555" i="105"/>
  <c r="K555" i="130" s="1"/>
  <c r="J555" i="105"/>
  <c r="J555" i="130" s="1"/>
  <c r="I555" i="105"/>
  <c r="I555" i="130" s="1"/>
  <c r="H555" i="105"/>
  <c r="H555" i="130" s="1"/>
  <c r="G555" i="105"/>
  <c r="G555" i="130" s="1"/>
  <c r="F555" i="105"/>
  <c r="F555" i="130" s="1"/>
  <c r="E555" i="105"/>
  <c r="E555" i="130" s="1"/>
  <c r="D555" i="105"/>
  <c r="D555" i="130" s="1"/>
  <c r="K554" i="105"/>
  <c r="K554" i="130" s="1"/>
  <c r="J554" i="105"/>
  <c r="J554" i="130" s="1"/>
  <c r="I554" i="105"/>
  <c r="I554" i="130" s="1"/>
  <c r="H554" i="105"/>
  <c r="H554" i="130" s="1"/>
  <c r="G554" i="105"/>
  <c r="G554" i="130" s="1"/>
  <c r="F554" i="105"/>
  <c r="F554" i="130" s="1"/>
  <c r="E554" i="105"/>
  <c r="E554" i="130" s="1"/>
  <c r="D554" i="105"/>
  <c r="D554" i="130" s="1"/>
  <c r="C552" i="105"/>
  <c r="C606" s="1"/>
  <c r="K548"/>
  <c r="K548" i="130" s="1"/>
  <c r="J548" i="105"/>
  <c r="J548" i="130" s="1"/>
  <c r="I548" i="105"/>
  <c r="I548" i="130" s="1"/>
  <c r="H548" i="105"/>
  <c r="H548" i="130" s="1"/>
  <c r="G548" i="105"/>
  <c r="G548" i="130" s="1"/>
  <c r="F548" i="105"/>
  <c r="F548" i="130" s="1"/>
  <c r="E548" i="105"/>
  <c r="E548" i="130" s="1"/>
  <c r="D548" i="105"/>
  <c r="D548" i="130" s="1"/>
  <c r="K547" i="105"/>
  <c r="K547" i="130" s="1"/>
  <c r="J547" i="105"/>
  <c r="J547" i="130" s="1"/>
  <c r="I547" i="105"/>
  <c r="I547" i="130" s="1"/>
  <c r="H547" i="105"/>
  <c r="H547" i="130" s="1"/>
  <c r="G547" i="105"/>
  <c r="G547" i="130" s="1"/>
  <c r="F547" i="105"/>
  <c r="F547" i="130" s="1"/>
  <c r="E547" i="105"/>
  <c r="E547" i="130" s="1"/>
  <c r="D547" i="105"/>
  <c r="D547" i="130" s="1"/>
  <c r="K546" i="105"/>
  <c r="K546" i="130" s="1"/>
  <c r="J546" i="105"/>
  <c r="J546" i="130" s="1"/>
  <c r="I546" i="105"/>
  <c r="I546" i="130" s="1"/>
  <c r="H546" i="105"/>
  <c r="H546" i="130" s="1"/>
  <c r="G546" i="105"/>
  <c r="G546" i="130" s="1"/>
  <c r="F546" i="105"/>
  <c r="F546" i="130" s="1"/>
  <c r="E546" i="105"/>
  <c r="E546" i="130" s="1"/>
  <c r="D546" i="105"/>
  <c r="D546" i="130" s="1"/>
  <c r="K545" i="105"/>
  <c r="K545" i="130" s="1"/>
  <c r="J545" i="105"/>
  <c r="J545" i="130" s="1"/>
  <c r="I545" i="105"/>
  <c r="I545" i="130" s="1"/>
  <c r="H545" i="105"/>
  <c r="H545" i="130" s="1"/>
  <c r="G545" i="105"/>
  <c r="G545" i="130" s="1"/>
  <c r="F545" i="105"/>
  <c r="F545" i="130" s="1"/>
  <c r="E545" i="105"/>
  <c r="E545" i="130" s="1"/>
  <c r="D545" i="105"/>
  <c r="D545" i="130" s="1"/>
  <c r="K544" i="105"/>
  <c r="K544" i="130" s="1"/>
  <c r="J544" i="105"/>
  <c r="J544" i="130" s="1"/>
  <c r="I544" i="105"/>
  <c r="I544" i="130" s="1"/>
  <c r="H544" i="105"/>
  <c r="H544" i="130" s="1"/>
  <c r="G544" i="105"/>
  <c r="G544" i="130" s="1"/>
  <c r="F544" i="105"/>
  <c r="F544" i="130" s="1"/>
  <c r="E544" i="105"/>
  <c r="E544" i="130" s="1"/>
  <c r="D544" i="105"/>
  <c r="D544" i="130" s="1"/>
  <c r="K543" i="105"/>
  <c r="K543" i="130" s="1"/>
  <c r="J543" i="105"/>
  <c r="J543" i="130" s="1"/>
  <c r="I543" i="105"/>
  <c r="H543"/>
  <c r="H543" i="130" s="1"/>
  <c r="G543" i="105"/>
  <c r="G543" i="130" s="1"/>
  <c r="F543" i="105"/>
  <c r="E543"/>
  <c r="E543" i="130" s="1"/>
  <c r="D543" i="105"/>
  <c r="D543" i="130" s="1"/>
  <c r="K539" i="105"/>
  <c r="K539" i="130" s="1"/>
  <c r="J539" i="105"/>
  <c r="J539" i="130" s="1"/>
  <c r="I539" i="105"/>
  <c r="I539" i="130" s="1"/>
  <c r="H539" i="105"/>
  <c r="H539" i="130" s="1"/>
  <c r="G539" i="105"/>
  <c r="G539" i="130" s="1"/>
  <c r="F539" i="105"/>
  <c r="F539" i="130" s="1"/>
  <c r="E539" i="105"/>
  <c r="E539" i="130" s="1"/>
  <c r="D539" i="105"/>
  <c r="D539" i="130" s="1"/>
  <c r="K538" i="105"/>
  <c r="K538" i="130" s="1"/>
  <c r="J538" i="105"/>
  <c r="J538" i="130" s="1"/>
  <c r="I538" i="105"/>
  <c r="I538" i="130" s="1"/>
  <c r="H538" i="105"/>
  <c r="H538" i="130" s="1"/>
  <c r="G538" i="105"/>
  <c r="G538" i="130" s="1"/>
  <c r="F538" i="105"/>
  <c r="F538" i="130" s="1"/>
  <c r="E538" i="105"/>
  <c r="E538" i="130" s="1"/>
  <c r="D538" i="105"/>
  <c r="D538" i="130" s="1"/>
  <c r="K537" i="105"/>
  <c r="K537" i="130" s="1"/>
  <c r="J537" i="105"/>
  <c r="J537" i="130" s="1"/>
  <c r="I537" i="105"/>
  <c r="I537" i="130" s="1"/>
  <c r="H537" i="105"/>
  <c r="H537" i="130" s="1"/>
  <c r="G537" i="105"/>
  <c r="G537" i="130" s="1"/>
  <c r="F537" i="105"/>
  <c r="E537"/>
  <c r="E537" i="130" s="1"/>
  <c r="D537" i="105"/>
  <c r="D537" i="130" s="1"/>
  <c r="K536" i="105"/>
  <c r="K536" i="130" s="1"/>
  <c r="J536" i="105"/>
  <c r="J536" i="130" s="1"/>
  <c r="I536" i="105"/>
  <c r="I536" i="130" s="1"/>
  <c r="H536" i="105"/>
  <c r="H536" i="130" s="1"/>
  <c r="G536" i="105"/>
  <c r="G536" i="130" s="1"/>
  <c r="F536" i="105"/>
  <c r="F536" i="130" s="1"/>
  <c r="E536" i="105"/>
  <c r="E536" i="130" s="1"/>
  <c r="D536" i="105"/>
  <c r="D536" i="130" s="1"/>
  <c r="K535" i="105"/>
  <c r="K535" i="130" s="1"/>
  <c r="J535" i="105"/>
  <c r="J535" i="130" s="1"/>
  <c r="I535" i="105"/>
  <c r="I535" i="130" s="1"/>
  <c r="H535" i="105"/>
  <c r="H535" i="130" s="1"/>
  <c r="G535" i="105"/>
  <c r="G535" i="130" s="1"/>
  <c r="F535" i="105"/>
  <c r="F535" i="130" s="1"/>
  <c r="E535" i="105"/>
  <c r="E535" i="130" s="1"/>
  <c r="D535" i="105"/>
  <c r="D535" i="130" s="1"/>
  <c r="K534" i="105"/>
  <c r="K534" i="130" s="1"/>
  <c r="J534" i="105"/>
  <c r="I534"/>
  <c r="H534"/>
  <c r="H534" i="130" s="1"/>
  <c r="G534" i="105"/>
  <c r="F534"/>
  <c r="F534" i="130" s="1"/>
  <c r="E534" i="105"/>
  <c r="E534" i="130" s="1"/>
  <c r="D534" i="105"/>
  <c r="K530"/>
  <c r="K530" i="130" s="1"/>
  <c r="J530" i="105"/>
  <c r="J530" i="130" s="1"/>
  <c r="I530" i="105"/>
  <c r="I530" i="130" s="1"/>
  <c r="H530" i="105"/>
  <c r="H530" i="130" s="1"/>
  <c r="G530" i="105"/>
  <c r="G530" i="130" s="1"/>
  <c r="F530" i="105"/>
  <c r="F530" i="130" s="1"/>
  <c r="E530" i="105"/>
  <c r="E530" i="130" s="1"/>
  <c r="D530" i="105"/>
  <c r="D530" i="130" s="1"/>
  <c r="K529" i="105"/>
  <c r="K529" i="130" s="1"/>
  <c r="J529" i="105"/>
  <c r="J529" i="130" s="1"/>
  <c r="I529" i="105"/>
  <c r="I529" i="130" s="1"/>
  <c r="H529" i="105"/>
  <c r="H529" i="130" s="1"/>
  <c r="G529" i="105"/>
  <c r="G529" i="130" s="1"/>
  <c r="F529" i="105"/>
  <c r="F529" i="130" s="1"/>
  <c r="E529" i="105"/>
  <c r="E529" i="130" s="1"/>
  <c r="D529" i="105"/>
  <c r="D529" i="130" s="1"/>
  <c r="K528" i="105"/>
  <c r="K528" i="130" s="1"/>
  <c r="J528" i="105"/>
  <c r="J528" i="130" s="1"/>
  <c r="I528" i="105"/>
  <c r="I528" i="130" s="1"/>
  <c r="H528" i="105"/>
  <c r="H528" i="130" s="1"/>
  <c r="G528" i="105"/>
  <c r="G528" i="130" s="1"/>
  <c r="F528" i="105"/>
  <c r="F528" i="130" s="1"/>
  <c r="E528" i="105"/>
  <c r="E528" i="130" s="1"/>
  <c r="D528" i="105"/>
  <c r="D528" i="130" s="1"/>
  <c r="K527" i="105"/>
  <c r="K527" i="130" s="1"/>
  <c r="J527" i="105"/>
  <c r="J527" i="130" s="1"/>
  <c r="I527" i="105"/>
  <c r="I527" i="130" s="1"/>
  <c r="H527" i="105"/>
  <c r="H527" i="130" s="1"/>
  <c r="G527" i="105"/>
  <c r="G527" i="130" s="1"/>
  <c r="F527" i="105"/>
  <c r="F527" i="130" s="1"/>
  <c r="E527" i="105"/>
  <c r="E527" i="130" s="1"/>
  <c r="D527" i="105"/>
  <c r="D527" i="130" s="1"/>
  <c r="K526" i="105"/>
  <c r="K526" i="130" s="1"/>
  <c r="J526" i="105"/>
  <c r="J526" i="130" s="1"/>
  <c r="I526" i="105"/>
  <c r="I526" i="130" s="1"/>
  <c r="H526" i="105"/>
  <c r="H526" i="130" s="1"/>
  <c r="G526" i="105"/>
  <c r="G526" i="130" s="1"/>
  <c r="F526" i="105"/>
  <c r="F526" i="130" s="1"/>
  <c r="E526" i="105"/>
  <c r="E526" i="130" s="1"/>
  <c r="D526" i="105"/>
  <c r="D526" i="130" s="1"/>
  <c r="K525" i="105"/>
  <c r="J525"/>
  <c r="J525" i="130" s="1"/>
  <c r="I525" i="105"/>
  <c r="H525"/>
  <c r="G525"/>
  <c r="G525" i="130" s="1"/>
  <c r="F525" i="105"/>
  <c r="F525" i="130" s="1"/>
  <c r="E525" i="105"/>
  <c r="D525"/>
  <c r="D525" i="130" s="1"/>
  <c r="K521" i="105"/>
  <c r="K521" i="130" s="1"/>
  <c r="J521" i="105"/>
  <c r="J521" i="130" s="1"/>
  <c r="I521" i="105"/>
  <c r="I521" i="130" s="1"/>
  <c r="H521" i="105"/>
  <c r="H521" i="130" s="1"/>
  <c r="G521" i="105"/>
  <c r="G521" i="130" s="1"/>
  <c r="F521" i="105"/>
  <c r="F521" i="130" s="1"/>
  <c r="E521" i="105"/>
  <c r="E521" i="130" s="1"/>
  <c r="D521" i="105"/>
  <c r="D521" i="130" s="1"/>
  <c r="K520" i="105"/>
  <c r="K520" i="130" s="1"/>
  <c r="J520" i="105"/>
  <c r="J520" i="130" s="1"/>
  <c r="I520" i="105"/>
  <c r="I520" i="130" s="1"/>
  <c r="H520" i="105"/>
  <c r="H520" i="130" s="1"/>
  <c r="G520" i="105"/>
  <c r="G520" i="130" s="1"/>
  <c r="F520" i="105"/>
  <c r="F520" i="130" s="1"/>
  <c r="E520" i="105"/>
  <c r="E520" i="130" s="1"/>
  <c r="D520" i="105"/>
  <c r="D520" i="130" s="1"/>
  <c r="K519" i="105"/>
  <c r="K519" i="130" s="1"/>
  <c r="J519" i="105"/>
  <c r="J519" i="130" s="1"/>
  <c r="I519" i="105"/>
  <c r="I519" i="130" s="1"/>
  <c r="H519" i="105"/>
  <c r="H519" i="130" s="1"/>
  <c r="G519" i="105"/>
  <c r="G519" i="130" s="1"/>
  <c r="F519" i="105"/>
  <c r="F519" i="130" s="1"/>
  <c r="E519" i="105"/>
  <c r="E519" i="130" s="1"/>
  <c r="D519" i="105"/>
  <c r="D519" i="130" s="1"/>
  <c r="K518" i="105"/>
  <c r="K518" i="130" s="1"/>
  <c r="J518" i="105"/>
  <c r="J518" i="130" s="1"/>
  <c r="I518" i="105"/>
  <c r="I518" i="130" s="1"/>
  <c r="H518" i="105"/>
  <c r="H518" i="130" s="1"/>
  <c r="G518" i="105"/>
  <c r="G518" i="130" s="1"/>
  <c r="F518" i="105"/>
  <c r="F518" i="130" s="1"/>
  <c r="E518" i="105"/>
  <c r="E518" i="130" s="1"/>
  <c r="D518" i="105"/>
  <c r="D518" i="130" s="1"/>
  <c r="K517" i="105"/>
  <c r="K517" i="130" s="1"/>
  <c r="J517" i="105"/>
  <c r="J517" i="130" s="1"/>
  <c r="I517" i="105"/>
  <c r="I517" i="130" s="1"/>
  <c r="H517" i="105"/>
  <c r="H517" i="130" s="1"/>
  <c r="G517" i="105"/>
  <c r="G517" i="130" s="1"/>
  <c r="F517" i="105"/>
  <c r="F517" i="130" s="1"/>
  <c r="E517" i="105"/>
  <c r="E517" i="130" s="1"/>
  <c r="D517" i="105"/>
  <c r="D517" i="130" s="1"/>
  <c r="K516" i="105"/>
  <c r="K516" i="130" s="1"/>
  <c r="J516" i="105"/>
  <c r="J516" i="130" s="1"/>
  <c r="I516" i="105"/>
  <c r="I516" i="130" s="1"/>
  <c r="H516" i="105"/>
  <c r="H516" i="130" s="1"/>
  <c r="G516" i="105"/>
  <c r="G516" i="130" s="1"/>
  <c r="F516" i="105"/>
  <c r="F516" i="130" s="1"/>
  <c r="E516" i="105"/>
  <c r="E516" i="130" s="1"/>
  <c r="D516" i="105"/>
  <c r="D516" i="130" s="1"/>
  <c r="C513" i="105"/>
  <c r="C551" s="1"/>
  <c r="K510"/>
  <c r="K510" i="130" s="1"/>
  <c r="J510" i="105"/>
  <c r="J510" i="130" s="1"/>
  <c r="I510" i="105"/>
  <c r="I510" i="130" s="1"/>
  <c r="H510" i="105"/>
  <c r="H510" i="130" s="1"/>
  <c r="G510" i="105"/>
  <c r="G510" i="130" s="1"/>
  <c r="F510" i="105"/>
  <c r="F510" i="130" s="1"/>
  <c r="E510" i="105"/>
  <c r="E510" i="130" s="1"/>
  <c r="D510" i="105"/>
  <c r="D510" i="130" s="1"/>
  <c r="K509" i="105"/>
  <c r="K509" i="130" s="1"/>
  <c r="J509" i="105"/>
  <c r="J509" i="130" s="1"/>
  <c r="I509" i="105"/>
  <c r="I509" i="130" s="1"/>
  <c r="H509" i="105"/>
  <c r="H509" i="130" s="1"/>
  <c r="G509" i="105"/>
  <c r="G509" i="130" s="1"/>
  <c r="F509" i="105"/>
  <c r="F509" i="130" s="1"/>
  <c r="E509" i="105"/>
  <c r="E509" i="130" s="1"/>
  <c r="D509" i="105"/>
  <c r="D509" i="130" s="1"/>
  <c r="K508" i="105"/>
  <c r="K508" i="130" s="1"/>
  <c r="J508" i="105"/>
  <c r="J508" i="130" s="1"/>
  <c r="I508" i="105"/>
  <c r="I508" i="130" s="1"/>
  <c r="H508" i="105"/>
  <c r="H508" i="130" s="1"/>
  <c r="G508" i="105"/>
  <c r="G508" i="130" s="1"/>
  <c r="F508" i="105"/>
  <c r="F508" i="130" s="1"/>
  <c r="E508" i="105"/>
  <c r="E508" i="130" s="1"/>
  <c r="D508" i="105"/>
  <c r="D508" i="130" s="1"/>
  <c r="K507" i="105"/>
  <c r="K507" i="130" s="1"/>
  <c r="J507" i="105"/>
  <c r="J507" i="130" s="1"/>
  <c r="I507" i="105"/>
  <c r="I507" i="130" s="1"/>
  <c r="H507" i="105"/>
  <c r="H507" i="130" s="1"/>
  <c r="G507" i="105"/>
  <c r="G507" i="130" s="1"/>
  <c r="F507" i="105"/>
  <c r="F507" i="130" s="1"/>
  <c r="E507" i="105"/>
  <c r="E507" i="130" s="1"/>
  <c r="D507" i="105"/>
  <c r="D507" i="130" s="1"/>
  <c r="K506" i="105"/>
  <c r="K506" i="130" s="1"/>
  <c r="J506" i="105"/>
  <c r="J506" i="130" s="1"/>
  <c r="I506" i="105"/>
  <c r="I506" i="130" s="1"/>
  <c r="H506" i="105"/>
  <c r="H506" i="130" s="1"/>
  <c r="G506" i="105"/>
  <c r="G506" i="130" s="1"/>
  <c r="F506" i="105"/>
  <c r="F506" i="130" s="1"/>
  <c r="E506" i="105"/>
  <c r="E506" i="130" s="1"/>
  <c r="D506" i="105"/>
  <c r="D506" i="130" s="1"/>
  <c r="K505" i="105"/>
  <c r="J505"/>
  <c r="J505" i="130" s="1"/>
  <c r="I505" i="105"/>
  <c r="I505" i="130" s="1"/>
  <c r="H505" i="105"/>
  <c r="G505"/>
  <c r="G505" i="130" s="1"/>
  <c r="F505" i="105"/>
  <c r="F505" i="130" s="1"/>
  <c r="E505" i="105"/>
  <c r="E505" i="130" s="1"/>
  <c r="D505" i="105"/>
  <c r="D505" i="130" s="1"/>
  <c r="K501" i="105"/>
  <c r="K501" i="130" s="1"/>
  <c r="J501" i="105"/>
  <c r="J501" i="130" s="1"/>
  <c r="I501" i="105"/>
  <c r="I501" i="130" s="1"/>
  <c r="H501" i="105"/>
  <c r="H501" i="130" s="1"/>
  <c r="G501" i="105"/>
  <c r="G501" i="130" s="1"/>
  <c r="F501" i="105"/>
  <c r="F501" i="130" s="1"/>
  <c r="E501" i="105"/>
  <c r="E501" i="130" s="1"/>
  <c r="D501" i="105"/>
  <c r="D501" i="130" s="1"/>
  <c r="K500" i="105"/>
  <c r="K500" i="130" s="1"/>
  <c r="J500" i="105"/>
  <c r="J500" i="130" s="1"/>
  <c r="I500" i="105"/>
  <c r="I500" i="130" s="1"/>
  <c r="H500" i="105"/>
  <c r="H500" i="130" s="1"/>
  <c r="G500" i="105"/>
  <c r="G500" i="130" s="1"/>
  <c r="F500" i="105"/>
  <c r="F500" i="130" s="1"/>
  <c r="E500" i="105"/>
  <c r="E500" i="130" s="1"/>
  <c r="D500" i="105"/>
  <c r="D500" i="130" s="1"/>
  <c r="K499" i="105"/>
  <c r="K499" i="130" s="1"/>
  <c r="J499" i="105"/>
  <c r="J499" i="130" s="1"/>
  <c r="I499" i="105"/>
  <c r="I499" i="130" s="1"/>
  <c r="H499" i="105"/>
  <c r="H499" i="130" s="1"/>
  <c r="G499" i="105"/>
  <c r="G499" i="130" s="1"/>
  <c r="F499" i="105"/>
  <c r="F499" i="130" s="1"/>
  <c r="E499" i="105"/>
  <c r="E499" i="130" s="1"/>
  <c r="D499" i="105"/>
  <c r="D499" i="130" s="1"/>
  <c r="K498" i="105"/>
  <c r="K498" i="130" s="1"/>
  <c r="J498" i="105"/>
  <c r="J498" i="130" s="1"/>
  <c r="I498" i="105"/>
  <c r="I498" i="130" s="1"/>
  <c r="H498" i="105"/>
  <c r="H498" i="130" s="1"/>
  <c r="G498" i="105"/>
  <c r="G498" i="130" s="1"/>
  <c r="F498" i="105"/>
  <c r="F498" i="130" s="1"/>
  <c r="E498" i="105"/>
  <c r="E498" i="130" s="1"/>
  <c r="D498" i="105"/>
  <c r="D498" i="130" s="1"/>
  <c r="K497" i="105"/>
  <c r="K497" i="130" s="1"/>
  <c r="J497" i="105"/>
  <c r="J497" i="130" s="1"/>
  <c r="I497" i="105"/>
  <c r="I497" i="130" s="1"/>
  <c r="H497" i="105"/>
  <c r="H497" i="130" s="1"/>
  <c r="G497" i="105"/>
  <c r="G497" i="130" s="1"/>
  <c r="F497" i="105"/>
  <c r="F497" i="130" s="1"/>
  <c r="E497" i="105"/>
  <c r="E497" i="130" s="1"/>
  <c r="D497" i="105"/>
  <c r="D497" i="130" s="1"/>
  <c r="K496" i="105"/>
  <c r="J496"/>
  <c r="I496"/>
  <c r="H496"/>
  <c r="H496" i="130" s="1"/>
  <c r="G496" i="105"/>
  <c r="F496"/>
  <c r="E496"/>
  <c r="D496"/>
  <c r="K492"/>
  <c r="K492" i="130" s="1"/>
  <c r="J492" i="105"/>
  <c r="J492" i="130" s="1"/>
  <c r="I492" i="105"/>
  <c r="I492" i="130" s="1"/>
  <c r="H492" i="105"/>
  <c r="H492" i="130" s="1"/>
  <c r="G492" i="105"/>
  <c r="G492" i="130" s="1"/>
  <c r="F492" i="105"/>
  <c r="F492" i="130" s="1"/>
  <c r="E492" i="105"/>
  <c r="E492" i="130" s="1"/>
  <c r="D492" i="105"/>
  <c r="D492" i="130" s="1"/>
  <c r="K491" i="105"/>
  <c r="K491" i="130" s="1"/>
  <c r="J491" i="105"/>
  <c r="J491" i="130" s="1"/>
  <c r="I491" i="105"/>
  <c r="I491" i="130" s="1"/>
  <c r="H491" i="105"/>
  <c r="H491" i="130" s="1"/>
  <c r="G491" i="105"/>
  <c r="G491" i="130" s="1"/>
  <c r="F491" i="105"/>
  <c r="F491" i="130" s="1"/>
  <c r="E491" i="105"/>
  <c r="E491" i="130" s="1"/>
  <c r="D491" i="105"/>
  <c r="D491" i="130" s="1"/>
  <c r="K490" i="105"/>
  <c r="K490" i="130" s="1"/>
  <c r="J490" i="105"/>
  <c r="J490" i="130" s="1"/>
  <c r="I490" i="105"/>
  <c r="I490" i="130" s="1"/>
  <c r="H490" i="105"/>
  <c r="H490" i="130" s="1"/>
  <c r="G490" i="105"/>
  <c r="G490" i="130" s="1"/>
  <c r="F490" i="105"/>
  <c r="F490" i="130" s="1"/>
  <c r="E490" i="105"/>
  <c r="E490" i="130" s="1"/>
  <c r="D490" i="105"/>
  <c r="D490" i="130" s="1"/>
  <c r="K489" i="105"/>
  <c r="K489" i="130" s="1"/>
  <c r="J489" i="105"/>
  <c r="J489" i="130" s="1"/>
  <c r="I489" i="105"/>
  <c r="I489" i="130" s="1"/>
  <c r="H489" i="105"/>
  <c r="H489" i="130" s="1"/>
  <c r="G489" i="105"/>
  <c r="G489" i="130" s="1"/>
  <c r="F489" i="105"/>
  <c r="F489" i="130" s="1"/>
  <c r="E489" i="105"/>
  <c r="E489" i="130" s="1"/>
  <c r="D489" i="105"/>
  <c r="D489" i="130" s="1"/>
  <c r="K488" i="105"/>
  <c r="K488" i="130" s="1"/>
  <c r="J488" i="105"/>
  <c r="J488" i="130" s="1"/>
  <c r="I488" i="105"/>
  <c r="I488" i="130" s="1"/>
  <c r="H488" i="105"/>
  <c r="H488" i="130" s="1"/>
  <c r="G488" i="105"/>
  <c r="G488" i="130" s="1"/>
  <c r="F488" i="105"/>
  <c r="F488" i="130" s="1"/>
  <c r="E488" i="105"/>
  <c r="E488" i="130" s="1"/>
  <c r="D488" i="105"/>
  <c r="D488" i="130" s="1"/>
  <c r="K487" i="105"/>
  <c r="K487" i="130" s="1"/>
  <c r="J487" i="105"/>
  <c r="J487" i="130" s="1"/>
  <c r="I487" i="105"/>
  <c r="I487" i="130" s="1"/>
  <c r="H487" i="105"/>
  <c r="G487"/>
  <c r="G487" i="130" s="1"/>
  <c r="F487" i="105"/>
  <c r="E487"/>
  <c r="D487"/>
  <c r="D487" i="130" s="1"/>
  <c r="K483" i="105"/>
  <c r="K483" i="130" s="1"/>
  <c r="J483" i="105"/>
  <c r="J483" i="130" s="1"/>
  <c r="I483" i="105"/>
  <c r="I483" i="130" s="1"/>
  <c r="H483" i="105"/>
  <c r="H483" i="130" s="1"/>
  <c r="G483" i="105"/>
  <c r="G483" i="130" s="1"/>
  <c r="F483" i="105"/>
  <c r="F483" i="130" s="1"/>
  <c r="E483" i="105"/>
  <c r="E483" i="130" s="1"/>
  <c r="D483" i="105"/>
  <c r="D483" i="130" s="1"/>
  <c r="K482" i="105"/>
  <c r="K482" i="130" s="1"/>
  <c r="J482" i="105"/>
  <c r="J482" i="130" s="1"/>
  <c r="I482" i="105"/>
  <c r="I482" i="130" s="1"/>
  <c r="H482" i="105"/>
  <c r="H482" i="130" s="1"/>
  <c r="G482" i="105"/>
  <c r="G482" i="130" s="1"/>
  <c r="F482" i="105"/>
  <c r="F482" i="130" s="1"/>
  <c r="E482" i="105"/>
  <c r="E482" i="130" s="1"/>
  <c r="D482" i="105"/>
  <c r="D482" i="130" s="1"/>
  <c r="K481" i="105"/>
  <c r="K481" i="130" s="1"/>
  <c r="J481" i="105"/>
  <c r="J481" i="130" s="1"/>
  <c r="I481" i="105"/>
  <c r="I481" i="130" s="1"/>
  <c r="H481" i="105"/>
  <c r="H481" i="130" s="1"/>
  <c r="G481" i="105"/>
  <c r="G481" i="130" s="1"/>
  <c r="F481" i="105"/>
  <c r="F481" i="130" s="1"/>
  <c r="E481" i="105"/>
  <c r="E481" i="130" s="1"/>
  <c r="D481" i="105"/>
  <c r="D481" i="130" s="1"/>
  <c r="K480" i="105"/>
  <c r="K480" i="130" s="1"/>
  <c r="J480" i="105"/>
  <c r="J480" i="130" s="1"/>
  <c r="I480" i="105"/>
  <c r="I480" i="130" s="1"/>
  <c r="H480" i="105"/>
  <c r="H480" i="130" s="1"/>
  <c r="G480" i="105"/>
  <c r="G480" i="130" s="1"/>
  <c r="F480" i="105"/>
  <c r="F480" i="130" s="1"/>
  <c r="E480" i="105"/>
  <c r="E480" i="130" s="1"/>
  <c r="D480" i="105"/>
  <c r="D480" i="130" s="1"/>
  <c r="K479" i="105"/>
  <c r="K479" i="130" s="1"/>
  <c r="J479" i="105"/>
  <c r="J479" i="130" s="1"/>
  <c r="I479" i="105"/>
  <c r="I479" i="130" s="1"/>
  <c r="H479" i="105"/>
  <c r="H479" i="130" s="1"/>
  <c r="G479" i="105"/>
  <c r="G479" i="130" s="1"/>
  <c r="F479" i="105"/>
  <c r="F479" i="130" s="1"/>
  <c r="E479" i="105"/>
  <c r="E479" i="130" s="1"/>
  <c r="D479" i="105"/>
  <c r="D479" i="130" s="1"/>
  <c r="K478" i="105"/>
  <c r="J478"/>
  <c r="J478" i="130" s="1"/>
  <c r="I478" i="105"/>
  <c r="I478" i="130" s="1"/>
  <c r="H478" i="105"/>
  <c r="G478"/>
  <c r="G478" i="130" s="1"/>
  <c r="F478" i="105"/>
  <c r="F478" i="130" s="1"/>
  <c r="E478" i="105"/>
  <c r="E478" i="130" s="1"/>
  <c r="D478" i="105"/>
  <c r="D478" i="130" s="1"/>
  <c r="K474" i="105"/>
  <c r="K474" i="130" s="1"/>
  <c r="J474" i="105"/>
  <c r="J474" i="130" s="1"/>
  <c r="I474" i="105"/>
  <c r="I474" i="130" s="1"/>
  <c r="H474" i="105"/>
  <c r="H474" i="130" s="1"/>
  <c r="G474" i="105"/>
  <c r="G474" i="130" s="1"/>
  <c r="F474" i="105"/>
  <c r="F474" i="130" s="1"/>
  <c r="E474" i="105"/>
  <c r="E474" i="130" s="1"/>
  <c r="D474" i="105"/>
  <c r="D474" i="130" s="1"/>
  <c r="K473" i="105"/>
  <c r="K473" i="130" s="1"/>
  <c r="J473" i="105"/>
  <c r="J473" i="130" s="1"/>
  <c r="I473" i="105"/>
  <c r="I473" i="130" s="1"/>
  <c r="H473" i="105"/>
  <c r="H473" i="130" s="1"/>
  <c r="G473" i="105"/>
  <c r="G473" i="130" s="1"/>
  <c r="F473" i="105"/>
  <c r="F473" i="130" s="1"/>
  <c r="E473" i="105"/>
  <c r="E473" i="130" s="1"/>
  <c r="D473" i="105"/>
  <c r="D473" i="130" s="1"/>
  <c r="K472" i="105"/>
  <c r="K472" i="130" s="1"/>
  <c r="J472" i="105"/>
  <c r="J472" i="130" s="1"/>
  <c r="I472" i="105"/>
  <c r="I472" i="130" s="1"/>
  <c r="H472" i="105"/>
  <c r="H472" i="130" s="1"/>
  <c r="G472" i="105"/>
  <c r="G472" i="130" s="1"/>
  <c r="F472" i="105"/>
  <c r="F472" i="130" s="1"/>
  <c r="E472" i="105"/>
  <c r="E472" i="130" s="1"/>
  <c r="D472" i="105"/>
  <c r="D472" i="130" s="1"/>
  <c r="K471" i="105"/>
  <c r="K471" i="130" s="1"/>
  <c r="J471" i="105"/>
  <c r="J471" i="130" s="1"/>
  <c r="I471" i="105"/>
  <c r="I471" i="130" s="1"/>
  <c r="H471" i="105"/>
  <c r="H471" i="130" s="1"/>
  <c r="G471" i="105"/>
  <c r="G471" i="130" s="1"/>
  <c r="F471" i="105"/>
  <c r="F471" i="130" s="1"/>
  <c r="E471" i="105"/>
  <c r="E471" i="130" s="1"/>
  <c r="D471" i="105"/>
  <c r="D471" i="130" s="1"/>
  <c r="K470" i="105"/>
  <c r="K470" i="130" s="1"/>
  <c r="J470" i="105"/>
  <c r="J470" i="130" s="1"/>
  <c r="I470" i="105"/>
  <c r="I470" i="130" s="1"/>
  <c r="H470" i="105"/>
  <c r="H470" i="130" s="1"/>
  <c r="G470" i="105"/>
  <c r="G470" i="130" s="1"/>
  <c r="F470" i="105"/>
  <c r="F470" i="130" s="1"/>
  <c r="E470" i="105"/>
  <c r="E470" i="130" s="1"/>
  <c r="D470" i="105"/>
  <c r="D470" i="130" s="1"/>
  <c r="K469" i="105"/>
  <c r="J469"/>
  <c r="I469"/>
  <c r="H469"/>
  <c r="H469" i="130" s="1"/>
  <c r="G469" i="105"/>
  <c r="F469"/>
  <c r="E469"/>
  <c r="D469"/>
  <c r="K465"/>
  <c r="K465" i="130" s="1"/>
  <c r="J465" i="105"/>
  <c r="J465" i="130" s="1"/>
  <c r="I465" i="105"/>
  <c r="I465" i="130" s="1"/>
  <c r="H465" i="105"/>
  <c r="H465" i="130" s="1"/>
  <c r="G465" i="105"/>
  <c r="G465" i="130" s="1"/>
  <c r="F465" i="105"/>
  <c r="F465" i="130" s="1"/>
  <c r="E465" i="105"/>
  <c r="E465" i="130" s="1"/>
  <c r="D465" i="105"/>
  <c r="D465" i="130" s="1"/>
  <c r="K464" i="105"/>
  <c r="K464" i="130" s="1"/>
  <c r="J464" i="105"/>
  <c r="J464" i="130" s="1"/>
  <c r="I464" i="105"/>
  <c r="I464" i="130" s="1"/>
  <c r="H464" i="105"/>
  <c r="H464" i="130" s="1"/>
  <c r="G464" i="105"/>
  <c r="G464" i="130" s="1"/>
  <c r="F464" i="105"/>
  <c r="F464" i="130" s="1"/>
  <c r="E464" i="105"/>
  <c r="E464" i="130" s="1"/>
  <c r="D464" i="105"/>
  <c r="D464" i="130" s="1"/>
  <c r="K463" i="105"/>
  <c r="K463" i="130" s="1"/>
  <c r="J463" i="105"/>
  <c r="J463" i="130" s="1"/>
  <c r="I463" i="105"/>
  <c r="I463" i="130" s="1"/>
  <c r="H463" i="105"/>
  <c r="H463" i="130" s="1"/>
  <c r="G463" i="105"/>
  <c r="F463"/>
  <c r="F463" i="130" s="1"/>
  <c r="E463" i="105"/>
  <c r="E463" i="130" s="1"/>
  <c r="D463" i="105"/>
  <c r="K462"/>
  <c r="K462" i="130" s="1"/>
  <c r="J462" i="105"/>
  <c r="J462" i="130" s="1"/>
  <c r="I462" i="105"/>
  <c r="I462" i="130" s="1"/>
  <c r="H462" i="105"/>
  <c r="H462" i="130" s="1"/>
  <c r="G462" i="105"/>
  <c r="G462" i="130" s="1"/>
  <c r="F462" i="105"/>
  <c r="F462" i="130" s="1"/>
  <c r="E462" i="105"/>
  <c r="E462" i="130" s="1"/>
  <c r="D462" i="105"/>
  <c r="D462" i="130" s="1"/>
  <c r="K461" i="105"/>
  <c r="K461" i="130" s="1"/>
  <c r="J461" i="105"/>
  <c r="J461" i="130" s="1"/>
  <c r="I461" i="105"/>
  <c r="I461" i="130" s="1"/>
  <c r="H461" i="105"/>
  <c r="H461" i="130" s="1"/>
  <c r="G461" i="105"/>
  <c r="G461" i="130" s="1"/>
  <c r="F461" i="105"/>
  <c r="F461" i="130" s="1"/>
  <c r="E461" i="105"/>
  <c r="E461" i="130" s="1"/>
  <c r="D461" i="105"/>
  <c r="D461" i="130" s="1"/>
  <c r="K460" i="105"/>
  <c r="K460" i="130" s="1"/>
  <c r="J460" i="105"/>
  <c r="I460"/>
  <c r="H460"/>
  <c r="H460" i="130" s="1"/>
  <c r="G460" i="105"/>
  <c r="G460" i="130" s="1"/>
  <c r="F460" i="105"/>
  <c r="E460"/>
  <c r="E460" i="130" s="1"/>
  <c r="D460" i="105"/>
  <c r="D460" i="130" s="1"/>
  <c r="K456" i="105"/>
  <c r="K456" i="130" s="1"/>
  <c r="J456" i="105"/>
  <c r="J456" i="130" s="1"/>
  <c r="I456" i="105"/>
  <c r="I456" i="130" s="1"/>
  <c r="H456" i="105"/>
  <c r="H456" i="130" s="1"/>
  <c r="G456" i="105"/>
  <c r="G456" i="130" s="1"/>
  <c r="F456" i="105"/>
  <c r="F456" i="130" s="1"/>
  <c r="E456" i="105"/>
  <c r="E456" i="130" s="1"/>
  <c r="D456" i="105"/>
  <c r="D456" i="130" s="1"/>
  <c r="K455" i="105"/>
  <c r="K455" i="130" s="1"/>
  <c r="J455" i="105"/>
  <c r="J455" i="130" s="1"/>
  <c r="I455" i="105"/>
  <c r="I455" i="130" s="1"/>
  <c r="H455" i="105"/>
  <c r="H455" i="130" s="1"/>
  <c r="G455" i="105"/>
  <c r="G455" i="130" s="1"/>
  <c r="F455" i="105"/>
  <c r="F455" i="130" s="1"/>
  <c r="E455" i="105"/>
  <c r="E455" i="130" s="1"/>
  <c r="D455" i="105"/>
  <c r="D455" i="130" s="1"/>
  <c r="K454" i="105"/>
  <c r="K454" i="130" s="1"/>
  <c r="J454" i="105"/>
  <c r="J454" i="130" s="1"/>
  <c r="I454" i="105"/>
  <c r="I454" i="130" s="1"/>
  <c r="H454" i="105"/>
  <c r="H454" i="130" s="1"/>
  <c r="G454" i="105"/>
  <c r="G454" i="130" s="1"/>
  <c r="F454" i="105"/>
  <c r="F454" i="130" s="1"/>
  <c r="E454" i="105"/>
  <c r="E454" i="130" s="1"/>
  <c r="D454" i="105"/>
  <c r="D454" i="130" s="1"/>
  <c r="K453" i="105"/>
  <c r="K453" i="130" s="1"/>
  <c r="J453" i="105"/>
  <c r="J453" i="130" s="1"/>
  <c r="I453" i="105"/>
  <c r="I453" i="130" s="1"/>
  <c r="H453" i="105"/>
  <c r="H453" i="130" s="1"/>
  <c r="G453" i="105"/>
  <c r="G453" i="130" s="1"/>
  <c r="F453" i="105"/>
  <c r="F453" i="130" s="1"/>
  <c r="E453" i="105"/>
  <c r="E453" i="130" s="1"/>
  <c r="D453" i="105"/>
  <c r="D453" i="130" s="1"/>
  <c r="K452" i="105"/>
  <c r="K452" i="130" s="1"/>
  <c r="J452" i="105"/>
  <c r="J452" i="130" s="1"/>
  <c r="I452" i="105"/>
  <c r="I452" i="130" s="1"/>
  <c r="H452" i="105"/>
  <c r="H452" i="130" s="1"/>
  <c r="G452" i="105"/>
  <c r="G452" i="130" s="1"/>
  <c r="F452" i="105"/>
  <c r="F452" i="130" s="1"/>
  <c r="E452" i="105"/>
  <c r="E452" i="130" s="1"/>
  <c r="D452" i="105"/>
  <c r="D452" i="130" s="1"/>
  <c r="K451" i="105"/>
  <c r="K451" i="130" s="1"/>
  <c r="J451" i="105"/>
  <c r="I451"/>
  <c r="I451" i="130" s="1"/>
  <c r="H451" i="105"/>
  <c r="H451" i="130" s="1"/>
  <c r="G451" i="105"/>
  <c r="F451"/>
  <c r="F451" i="130" s="1"/>
  <c r="E451" i="105"/>
  <c r="E451" i="130" s="1"/>
  <c r="D451" i="105"/>
  <c r="K447"/>
  <c r="K447" i="130" s="1"/>
  <c r="J447" i="105"/>
  <c r="J447" i="130" s="1"/>
  <c r="I447" i="105"/>
  <c r="I447" i="130" s="1"/>
  <c r="H447" i="105"/>
  <c r="H447" i="130" s="1"/>
  <c r="G447" i="105"/>
  <c r="G447" i="130" s="1"/>
  <c r="F447" i="105"/>
  <c r="F447" i="130" s="1"/>
  <c r="E447" i="105"/>
  <c r="E447" i="130" s="1"/>
  <c r="D447" i="105"/>
  <c r="D447" i="130" s="1"/>
  <c r="K446" i="105"/>
  <c r="K446" i="130" s="1"/>
  <c r="J446" i="105"/>
  <c r="J446" i="130" s="1"/>
  <c r="I446" i="105"/>
  <c r="I446" i="130" s="1"/>
  <c r="H446" i="105"/>
  <c r="H446" i="130" s="1"/>
  <c r="G446" i="105"/>
  <c r="G446" i="130" s="1"/>
  <c r="F446" i="105"/>
  <c r="F446" i="130" s="1"/>
  <c r="E446" i="105"/>
  <c r="E446" i="130" s="1"/>
  <c r="D446" i="105"/>
  <c r="D446" i="130" s="1"/>
  <c r="K445" i="105"/>
  <c r="K445" i="130" s="1"/>
  <c r="J445" i="105"/>
  <c r="J445" i="130" s="1"/>
  <c r="I445" i="105"/>
  <c r="I445" i="130" s="1"/>
  <c r="H445" i="105"/>
  <c r="H445" i="130" s="1"/>
  <c r="G445" i="105"/>
  <c r="G445" i="130" s="1"/>
  <c r="F445" i="105"/>
  <c r="F445" i="130" s="1"/>
  <c r="E445" i="105"/>
  <c r="E445" i="130" s="1"/>
  <c r="D445" i="105"/>
  <c r="D445" i="130" s="1"/>
  <c r="K444" i="105"/>
  <c r="K444" i="130" s="1"/>
  <c r="J444" i="105"/>
  <c r="J444" i="130" s="1"/>
  <c r="I444" i="105"/>
  <c r="I444" i="130" s="1"/>
  <c r="H444" i="105"/>
  <c r="H444" i="130" s="1"/>
  <c r="G444" i="105"/>
  <c r="G444" i="130" s="1"/>
  <c r="F444" i="105"/>
  <c r="F444" i="130" s="1"/>
  <c r="E444" i="105"/>
  <c r="E444" i="130" s="1"/>
  <c r="D444" i="105"/>
  <c r="D444" i="130" s="1"/>
  <c r="K443" i="105"/>
  <c r="K443" i="130" s="1"/>
  <c r="J443" i="105"/>
  <c r="J443" i="130" s="1"/>
  <c r="I443" i="105"/>
  <c r="I443" i="130" s="1"/>
  <c r="H443" i="105"/>
  <c r="H443" i="130" s="1"/>
  <c r="G443" i="105"/>
  <c r="G443" i="130" s="1"/>
  <c r="F443" i="105"/>
  <c r="F443" i="130" s="1"/>
  <c r="E443" i="105"/>
  <c r="E443" i="130" s="1"/>
  <c r="D443" i="105"/>
  <c r="D443" i="130" s="1"/>
  <c r="K442" i="105"/>
  <c r="J442"/>
  <c r="I442"/>
  <c r="I442" i="130" s="1"/>
  <c r="H442" i="105"/>
  <c r="G442"/>
  <c r="F442"/>
  <c r="F442" i="130" s="1"/>
  <c r="E442" i="105"/>
  <c r="D442"/>
  <c r="D442" i="130" s="1"/>
  <c r="K438" i="105"/>
  <c r="K438" i="130" s="1"/>
  <c r="J438" i="105"/>
  <c r="J438" i="130" s="1"/>
  <c r="I438" i="105"/>
  <c r="I438" i="130" s="1"/>
  <c r="H438" i="105"/>
  <c r="H438" i="130" s="1"/>
  <c r="G438" i="105"/>
  <c r="G438" i="130" s="1"/>
  <c r="F438" i="105"/>
  <c r="F438" i="130" s="1"/>
  <c r="E438" i="105"/>
  <c r="E438" i="130" s="1"/>
  <c r="D438" i="105"/>
  <c r="D438" i="130" s="1"/>
  <c r="K437" i="105"/>
  <c r="K437" i="130" s="1"/>
  <c r="J437" i="105"/>
  <c r="J437" i="130" s="1"/>
  <c r="I437" i="105"/>
  <c r="I437" i="130" s="1"/>
  <c r="H437" i="105"/>
  <c r="H437" i="130" s="1"/>
  <c r="G437" i="105"/>
  <c r="G437" i="130" s="1"/>
  <c r="F437" i="105"/>
  <c r="F437" i="130" s="1"/>
  <c r="E437" i="105"/>
  <c r="E437" i="130" s="1"/>
  <c r="D437" i="105"/>
  <c r="D437" i="130" s="1"/>
  <c r="K436" i="105"/>
  <c r="K436" i="130" s="1"/>
  <c r="J436" i="105"/>
  <c r="J436" i="130" s="1"/>
  <c r="I436" i="105"/>
  <c r="I436" i="130" s="1"/>
  <c r="H436" i="105"/>
  <c r="H436" i="130" s="1"/>
  <c r="G436" i="105"/>
  <c r="F436"/>
  <c r="F436" i="130" s="1"/>
  <c r="E436" i="105"/>
  <c r="E436" i="130" s="1"/>
  <c r="D436" i="105"/>
  <c r="K435"/>
  <c r="K435" i="130" s="1"/>
  <c r="J435" i="105"/>
  <c r="J435" i="130" s="1"/>
  <c r="I435" i="105"/>
  <c r="I435" i="130" s="1"/>
  <c r="H435" i="105"/>
  <c r="H435" i="130" s="1"/>
  <c r="G435" i="105"/>
  <c r="G435" i="130" s="1"/>
  <c r="F435" i="105"/>
  <c r="F435" i="130" s="1"/>
  <c r="E435" i="105"/>
  <c r="E435" i="130" s="1"/>
  <c r="D435" i="105"/>
  <c r="D435" i="130" s="1"/>
  <c r="K434" i="105"/>
  <c r="K434" i="130" s="1"/>
  <c r="J434" i="105"/>
  <c r="J434" i="130" s="1"/>
  <c r="I434" i="105"/>
  <c r="I434" i="130" s="1"/>
  <c r="H434" i="105"/>
  <c r="H434" i="130" s="1"/>
  <c r="G434" i="105"/>
  <c r="G434" i="130" s="1"/>
  <c r="F434" i="105"/>
  <c r="F434" i="130" s="1"/>
  <c r="E434" i="105"/>
  <c r="E434" i="130" s="1"/>
  <c r="D434" i="105"/>
  <c r="D434" i="130" s="1"/>
  <c r="K433" i="105"/>
  <c r="K433" i="130" s="1"/>
  <c r="J433" i="105"/>
  <c r="I433"/>
  <c r="H433"/>
  <c r="H433" i="130" s="1"/>
  <c r="G433" i="105"/>
  <c r="G433" i="130" s="1"/>
  <c r="F433" i="105"/>
  <c r="E433"/>
  <c r="E433" i="130" s="1"/>
  <c r="D433" i="105"/>
  <c r="D433" i="130" s="1"/>
  <c r="K429" i="105"/>
  <c r="K429" i="130" s="1"/>
  <c r="J429" i="105"/>
  <c r="J429" i="130" s="1"/>
  <c r="I429" i="105"/>
  <c r="I429" i="130" s="1"/>
  <c r="H429" i="105"/>
  <c r="H429" i="130" s="1"/>
  <c r="G429" i="105"/>
  <c r="G429" i="130" s="1"/>
  <c r="F429" i="105"/>
  <c r="F429" i="130" s="1"/>
  <c r="E429" i="105"/>
  <c r="E429" i="130" s="1"/>
  <c r="D429" i="105"/>
  <c r="D429" i="130" s="1"/>
  <c r="K428" i="105"/>
  <c r="K428" i="130" s="1"/>
  <c r="J428" i="105"/>
  <c r="J428" i="130" s="1"/>
  <c r="I428" i="105"/>
  <c r="I428" i="130" s="1"/>
  <c r="H428" i="105"/>
  <c r="H428" i="130" s="1"/>
  <c r="G428" i="105"/>
  <c r="G428" i="130" s="1"/>
  <c r="F428" i="105"/>
  <c r="F428" i="130" s="1"/>
  <c r="E428" i="105"/>
  <c r="E428" i="130" s="1"/>
  <c r="D428" i="105"/>
  <c r="D428" i="130" s="1"/>
  <c r="K427" i="105"/>
  <c r="K427" i="130" s="1"/>
  <c r="J427" i="105"/>
  <c r="J427" i="130" s="1"/>
  <c r="I427" i="105"/>
  <c r="I427" i="130" s="1"/>
  <c r="H427" i="105"/>
  <c r="H427" i="130" s="1"/>
  <c r="G427" i="105"/>
  <c r="G427" i="130" s="1"/>
  <c r="F427" i="105"/>
  <c r="F427" i="130" s="1"/>
  <c r="E427" i="105"/>
  <c r="E427" i="130" s="1"/>
  <c r="D427" i="105"/>
  <c r="D427" i="130" s="1"/>
  <c r="K426" i="105"/>
  <c r="K426" i="130" s="1"/>
  <c r="J426" i="105"/>
  <c r="J426" i="130" s="1"/>
  <c r="I426" i="105"/>
  <c r="I426" i="130" s="1"/>
  <c r="H426" i="105"/>
  <c r="H426" i="130" s="1"/>
  <c r="G426" i="105"/>
  <c r="G426" i="130" s="1"/>
  <c r="F426" i="105"/>
  <c r="F426" i="130" s="1"/>
  <c r="E426" i="105"/>
  <c r="E426" i="130" s="1"/>
  <c r="D426" i="105"/>
  <c r="D426" i="130" s="1"/>
  <c r="K425" i="105"/>
  <c r="K425" i="130" s="1"/>
  <c r="J425" i="105"/>
  <c r="J425" i="130" s="1"/>
  <c r="I425" i="105"/>
  <c r="I425" i="130" s="1"/>
  <c r="H425" i="105"/>
  <c r="H425" i="130" s="1"/>
  <c r="G425" i="105"/>
  <c r="G425" i="130" s="1"/>
  <c r="F425" i="105"/>
  <c r="F425" i="130" s="1"/>
  <c r="E425" i="105"/>
  <c r="E425" i="130" s="1"/>
  <c r="D425" i="105"/>
  <c r="D425" i="130" s="1"/>
  <c r="K424" i="105"/>
  <c r="K424" i="130" s="1"/>
  <c r="J424" i="105"/>
  <c r="J424" i="130" s="1"/>
  <c r="I424" i="105"/>
  <c r="I424" i="130" s="1"/>
  <c r="H424" i="105"/>
  <c r="H424" i="130" s="1"/>
  <c r="G424" i="105"/>
  <c r="F424"/>
  <c r="F424" i="130" s="1"/>
  <c r="E424" i="105"/>
  <c r="E424" i="130" s="1"/>
  <c r="D424" i="105"/>
  <c r="K420"/>
  <c r="K420" i="130" s="1"/>
  <c r="J420" i="105"/>
  <c r="J420" i="130" s="1"/>
  <c r="I420" i="105"/>
  <c r="I420" i="130" s="1"/>
  <c r="H420" i="105"/>
  <c r="H420" i="130" s="1"/>
  <c r="G420" i="105"/>
  <c r="G420" i="130" s="1"/>
  <c r="F420" i="105"/>
  <c r="F420" i="130" s="1"/>
  <c r="E420" i="105"/>
  <c r="E420" i="130" s="1"/>
  <c r="D420" i="105"/>
  <c r="D420" i="130" s="1"/>
  <c r="K419" i="105"/>
  <c r="K419" i="130" s="1"/>
  <c r="J419" i="105"/>
  <c r="J419" i="130" s="1"/>
  <c r="I419" i="105"/>
  <c r="I419" i="130" s="1"/>
  <c r="H419" i="105"/>
  <c r="H419" i="130" s="1"/>
  <c r="G419" i="105"/>
  <c r="G419" i="130" s="1"/>
  <c r="F419" i="105"/>
  <c r="F419" i="130" s="1"/>
  <c r="E419" i="105"/>
  <c r="E419" i="130" s="1"/>
  <c r="D419" i="105"/>
  <c r="D419" i="130" s="1"/>
  <c r="K418" i="105"/>
  <c r="K418" i="130" s="1"/>
  <c r="J418" i="105"/>
  <c r="J418" i="130" s="1"/>
  <c r="I418" i="105"/>
  <c r="I418" i="130" s="1"/>
  <c r="H418" i="105"/>
  <c r="H418" i="130" s="1"/>
  <c r="G418" i="105"/>
  <c r="G418" i="130" s="1"/>
  <c r="F418" i="105"/>
  <c r="F418" i="130" s="1"/>
  <c r="E418" i="105"/>
  <c r="E418" i="130" s="1"/>
  <c r="D418" i="105"/>
  <c r="D418" i="130" s="1"/>
  <c r="K417" i="105"/>
  <c r="K417" i="130" s="1"/>
  <c r="J417" i="105"/>
  <c r="J417" i="130" s="1"/>
  <c r="I417" i="105"/>
  <c r="I417" i="130" s="1"/>
  <c r="H417" i="105"/>
  <c r="H417" i="130" s="1"/>
  <c r="G417" i="105"/>
  <c r="G417" i="130" s="1"/>
  <c r="F417" i="105"/>
  <c r="F417" i="130" s="1"/>
  <c r="E417" i="105"/>
  <c r="E417" i="130" s="1"/>
  <c r="D417" i="105"/>
  <c r="D417" i="130" s="1"/>
  <c r="K416" i="105"/>
  <c r="K416" i="130" s="1"/>
  <c r="J416" i="105"/>
  <c r="J416" i="130" s="1"/>
  <c r="I416" i="105"/>
  <c r="I416" i="130" s="1"/>
  <c r="H416" i="105"/>
  <c r="H416" i="130" s="1"/>
  <c r="G416" i="105"/>
  <c r="G416" i="130" s="1"/>
  <c r="F416" i="105"/>
  <c r="F416" i="130" s="1"/>
  <c r="E416" i="105"/>
  <c r="E416" i="130" s="1"/>
  <c r="D416" i="105"/>
  <c r="D416" i="130" s="1"/>
  <c r="K415" i="105"/>
  <c r="J415"/>
  <c r="I415"/>
  <c r="I415" i="130" s="1"/>
  <c r="H415" i="105"/>
  <c r="G415"/>
  <c r="F415"/>
  <c r="F415" i="130" s="1"/>
  <c r="E415" i="105"/>
  <c r="D415"/>
  <c r="D415" i="130" s="1"/>
  <c r="K411" i="105"/>
  <c r="K411" i="130" s="1"/>
  <c r="J411" i="105"/>
  <c r="J411" i="130" s="1"/>
  <c r="I411" i="105"/>
  <c r="I411" i="130" s="1"/>
  <c r="H411" i="105"/>
  <c r="H411" i="130" s="1"/>
  <c r="G411" i="105"/>
  <c r="G411" i="130" s="1"/>
  <c r="F411" i="105"/>
  <c r="F411" i="130" s="1"/>
  <c r="E411" i="105"/>
  <c r="E411" i="130" s="1"/>
  <c r="D411" i="105"/>
  <c r="D411" i="130" s="1"/>
  <c r="K410" i="105"/>
  <c r="K410" i="130" s="1"/>
  <c r="J410" i="105"/>
  <c r="J410" i="130" s="1"/>
  <c r="I410" i="105"/>
  <c r="I410" i="130" s="1"/>
  <c r="H410" i="105"/>
  <c r="H410" i="130" s="1"/>
  <c r="G410" i="105"/>
  <c r="G410" i="130" s="1"/>
  <c r="F410" i="105"/>
  <c r="F410" i="130" s="1"/>
  <c r="E410" i="105"/>
  <c r="E410" i="130" s="1"/>
  <c r="D410" i="105"/>
  <c r="D410" i="130" s="1"/>
  <c r="K409" i="105"/>
  <c r="K409" i="130" s="1"/>
  <c r="J409" i="105"/>
  <c r="J409" i="130" s="1"/>
  <c r="I409" i="105"/>
  <c r="I409" i="130" s="1"/>
  <c r="H409" i="105"/>
  <c r="H409" i="130" s="1"/>
  <c r="G409" i="105"/>
  <c r="F409"/>
  <c r="F409" i="130" s="1"/>
  <c r="E409" i="105"/>
  <c r="E409" i="130" s="1"/>
  <c r="D409" i="105"/>
  <c r="K408"/>
  <c r="K408" i="130" s="1"/>
  <c r="J408" i="105"/>
  <c r="J408" i="130" s="1"/>
  <c r="I408" i="105"/>
  <c r="I408" i="130" s="1"/>
  <c r="H408" i="105"/>
  <c r="H408" i="130" s="1"/>
  <c r="G408" i="105"/>
  <c r="G408" i="130" s="1"/>
  <c r="F408" i="105"/>
  <c r="F408" i="130" s="1"/>
  <c r="E408" i="105"/>
  <c r="E408" i="130" s="1"/>
  <c r="D408" i="105"/>
  <c r="D408" i="130" s="1"/>
  <c r="K407" i="105"/>
  <c r="K407" i="130" s="1"/>
  <c r="J407" i="105"/>
  <c r="J407" i="130" s="1"/>
  <c r="I407" i="105"/>
  <c r="I407" i="130" s="1"/>
  <c r="H407" i="105"/>
  <c r="H407" i="130" s="1"/>
  <c r="G407" i="105"/>
  <c r="G407" i="130" s="1"/>
  <c r="F407" i="105"/>
  <c r="F407" i="130" s="1"/>
  <c r="E407" i="105"/>
  <c r="E407" i="130" s="1"/>
  <c r="D407" i="105"/>
  <c r="D407" i="130" s="1"/>
  <c r="K406" i="105"/>
  <c r="K406" i="130" s="1"/>
  <c r="J406" i="105"/>
  <c r="J406" i="130" s="1"/>
  <c r="I406" i="105"/>
  <c r="H406"/>
  <c r="H406" i="130" s="1"/>
  <c r="G406" i="105"/>
  <c r="G406" i="130" s="1"/>
  <c r="F406" i="105"/>
  <c r="E406"/>
  <c r="E406" i="130" s="1"/>
  <c r="D406" i="105"/>
  <c r="D406" i="130" s="1"/>
  <c r="K402" i="105"/>
  <c r="K402" i="130" s="1"/>
  <c r="J402" i="105"/>
  <c r="J402" i="130" s="1"/>
  <c r="I402" i="105"/>
  <c r="I402" i="130" s="1"/>
  <c r="H402" i="105"/>
  <c r="H402" i="130" s="1"/>
  <c r="G402" i="105"/>
  <c r="G402" i="130" s="1"/>
  <c r="F402" i="105"/>
  <c r="F402" i="130" s="1"/>
  <c r="E402" i="105"/>
  <c r="E402" i="130" s="1"/>
  <c r="D402" i="105"/>
  <c r="D402" i="130" s="1"/>
  <c r="K401" i="105"/>
  <c r="K401" i="130" s="1"/>
  <c r="J401" i="105"/>
  <c r="J401" i="130" s="1"/>
  <c r="I401" i="105"/>
  <c r="I401" i="130" s="1"/>
  <c r="H401" i="105"/>
  <c r="H401" i="130" s="1"/>
  <c r="G401" i="105"/>
  <c r="G401" i="130" s="1"/>
  <c r="F401" i="105"/>
  <c r="F401" i="130" s="1"/>
  <c r="E401" i="105"/>
  <c r="E401" i="130" s="1"/>
  <c r="D401" i="105"/>
  <c r="D401" i="130" s="1"/>
  <c r="K400" i="105"/>
  <c r="K400" i="130" s="1"/>
  <c r="J400" i="105"/>
  <c r="J400" i="130" s="1"/>
  <c r="I400" i="105"/>
  <c r="I400" i="130" s="1"/>
  <c r="H400" i="105"/>
  <c r="H400" i="130" s="1"/>
  <c r="G400" i="105"/>
  <c r="G400" i="130" s="1"/>
  <c r="F400" i="105"/>
  <c r="F400" i="130" s="1"/>
  <c r="E400" i="105"/>
  <c r="E400" i="130" s="1"/>
  <c r="D400" i="105"/>
  <c r="D400" i="130" s="1"/>
  <c r="K399" i="105"/>
  <c r="K399" i="130" s="1"/>
  <c r="J399" i="105"/>
  <c r="J399" i="130" s="1"/>
  <c r="I399" i="105"/>
  <c r="I399" i="130" s="1"/>
  <c r="H399" i="105"/>
  <c r="H399" i="130" s="1"/>
  <c r="G399" i="105"/>
  <c r="G399" i="130" s="1"/>
  <c r="F399" i="105"/>
  <c r="F399" i="130" s="1"/>
  <c r="E399" i="105"/>
  <c r="E399" i="130" s="1"/>
  <c r="D399" i="105"/>
  <c r="D399" i="130" s="1"/>
  <c r="K398" i="105"/>
  <c r="K398" i="130" s="1"/>
  <c r="J398" i="105"/>
  <c r="J398" i="130" s="1"/>
  <c r="I398" i="105"/>
  <c r="I398" i="130" s="1"/>
  <c r="H398" i="105"/>
  <c r="H398" i="130" s="1"/>
  <c r="G398" i="105"/>
  <c r="G398" i="130" s="1"/>
  <c r="F398" i="105"/>
  <c r="F398" i="130" s="1"/>
  <c r="E398" i="105"/>
  <c r="E398" i="130" s="1"/>
  <c r="D398" i="105"/>
  <c r="D398" i="130" s="1"/>
  <c r="K397" i="105"/>
  <c r="K397" i="130" s="1"/>
  <c r="J397" i="105"/>
  <c r="I397"/>
  <c r="I397" i="130" s="1"/>
  <c r="H397" i="105"/>
  <c r="H397" i="130" s="1"/>
  <c r="G397" i="105"/>
  <c r="F397"/>
  <c r="F397" i="130" s="1"/>
  <c r="E397" i="105"/>
  <c r="E397" i="130" s="1"/>
  <c r="D397" i="105"/>
  <c r="K393"/>
  <c r="K393" i="130" s="1"/>
  <c r="J393" i="105"/>
  <c r="J393" i="130" s="1"/>
  <c r="I393" i="105"/>
  <c r="I393" i="130" s="1"/>
  <c r="H393" i="105"/>
  <c r="H393" i="130" s="1"/>
  <c r="G393" i="105"/>
  <c r="G393" i="130" s="1"/>
  <c r="F393" i="105"/>
  <c r="F393" i="130" s="1"/>
  <c r="E393" i="105"/>
  <c r="E393" i="130" s="1"/>
  <c r="D393" i="105"/>
  <c r="D393" i="130" s="1"/>
  <c r="K392" i="105"/>
  <c r="K392" i="130" s="1"/>
  <c r="J392" i="105"/>
  <c r="J392" i="130" s="1"/>
  <c r="I392" i="105"/>
  <c r="I392" i="130" s="1"/>
  <c r="H392" i="105"/>
  <c r="H392" i="130" s="1"/>
  <c r="G392" i="105"/>
  <c r="G392" i="130" s="1"/>
  <c r="F392" i="105"/>
  <c r="F392" i="130" s="1"/>
  <c r="E392" i="105"/>
  <c r="E392" i="130" s="1"/>
  <c r="D392" i="105"/>
  <c r="D392" i="130" s="1"/>
  <c r="K391" i="105"/>
  <c r="K391" i="130" s="1"/>
  <c r="J391" i="105"/>
  <c r="J391" i="130" s="1"/>
  <c r="I391" i="105"/>
  <c r="I391" i="130" s="1"/>
  <c r="H391" i="105"/>
  <c r="H391" i="130" s="1"/>
  <c r="G391" i="105"/>
  <c r="G391" i="130" s="1"/>
  <c r="F391" i="105"/>
  <c r="F391" i="130" s="1"/>
  <c r="E391" i="105"/>
  <c r="E391" i="130" s="1"/>
  <c r="D391" i="105"/>
  <c r="D391" i="130" s="1"/>
  <c r="K390" i="105"/>
  <c r="K390" i="130" s="1"/>
  <c r="J390" i="105"/>
  <c r="J390" i="130" s="1"/>
  <c r="I390" i="105"/>
  <c r="I390" i="130" s="1"/>
  <c r="H390" i="105"/>
  <c r="H390" i="130" s="1"/>
  <c r="G390" i="105"/>
  <c r="G390" i="130" s="1"/>
  <c r="F390" i="105"/>
  <c r="F390" i="130" s="1"/>
  <c r="E390" i="105"/>
  <c r="E390" i="130" s="1"/>
  <c r="D390" i="105"/>
  <c r="D390" i="130" s="1"/>
  <c r="K389" i="105"/>
  <c r="K389" i="130" s="1"/>
  <c r="J389" i="105"/>
  <c r="J389" i="130" s="1"/>
  <c r="I389" i="105"/>
  <c r="I389" i="130" s="1"/>
  <c r="H389" i="105"/>
  <c r="H389" i="130" s="1"/>
  <c r="G389" i="105"/>
  <c r="G389" i="130" s="1"/>
  <c r="F389" i="105"/>
  <c r="F389" i="130" s="1"/>
  <c r="E389" i="105"/>
  <c r="E389" i="130" s="1"/>
  <c r="D389" i="105"/>
  <c r="D389" i="130" s="1"/>
  <c r="K388" i="105"/>
  <c r="J388"/>
  <c r="I388"/>
  <c r="I388" i="130" s="1"/>
  <c r="H388" i="105"/>
  <c r="H388" i="130" s="1"/>
  <c r="G388" i="105"/>
  <c r="F388"/>
  <c r="F388" i="130" s="1"/>
  <c r="E388" i="105"/>
  <c r="D388"/>
  <c r="D388" i="130" s="1"/>
  <c r="K384" i="105"/>
  <c r="K384" i="130" s="1"/>
  <c r="J384" i="105"/>
  <c r="J384" i="130" s="1"/>
  <c r="I384" i="105"/>
  <c r="I384" i="130" s="1"/>
  <c r="H384" i="105"/>
  <c r="H384" i="130" s="1"/>
  <c r="G384" i="105"/>
  <c r="G384" i="130" s="1"/>
  <c r="F384" i="105"/>
  <c r="F384" i="130" s="1"/>
  <c r="E384" i="105"/>
  <c r="E384" i="130" s="1"/>
  <c r="D384" i="105"/>
  <c r="D384" i="130" s="1"/>
  <c r="K383" i="105"/>
  <c r="K383" i="130" s="1"/>
  <c r="J383" i="105"/>
  <c r="J383" i="130" s="1"/>
  <c r="I383" i="105"/>
  <c r="I383" i="130" s="1"/>
  <c r="H383" i="105"/>
  <c r="H383" i="130" s="1"/>
  <c r="G383" i="105"/>
  <c r="G383" i="130" s="1"/>
  <c r="F383" i="105"/>
  <c r="F383" i="130" s="1"/>
  <c r="E383" i="105"/>
  <c r="E383" i="130" s="1"/>
  <c r="D383" i="105"/>
  <c r="D383" i="130" s="1"/>
  <c r="K382" i="105"/>
  <c r="K382" i="130" s="1"/>
  <c r="J382" i="105"/>
  <c r="J382" i="130" s="1"/>
  <c r="I382" i="105"/>
  <c r="I382" i="130" s="1"/>
  <c r="H382" i="105"/>
  <c r="H382" i="130" s="1"/>
  <c r="G382" i="105"/>
  <c r="F382"/>
  <c r="F382" i="130" s="1"/>
  <c r="E382" i="105"/>
  <c r="E382" i="130" s="1"/>
  <c r="D382" i="105"/>
  <c r="K381"/>
  <c r="K381" i="130" s="1"/>
  <c r="J381" i="105"/>
  <c r="J381" i="130" s="1"/>
  <c r="I381" i="105"/>
  <c r="I381" i="130" s="1"/>
  <c r="H381" i="105"/>
  <c r="H381" i="130" s="1"/>
  <c r="G381" i="105"/>
  <c r="G381" i="130" s="1"/>
  <c r="F381" i="105"/>
  <c r="F381" i="130" s="1"/>
  <c r="E381" i="105"/>
  <c r="E381" i="130" s="1"/>
  <c r="D381" i="105"/>
  <c r="D381" i="130" s="1"/>
  <c r="K380" i="105"/>
  <c r="K380" i="130" s="1"/>
  <c r="J380" i="105"/>
  <c r="J380" i="130" s="1"/>
  <c r="I380" i="105"/>
  <c r="I380" i="130" s="1"/>
  <c r="H380" i="105"/>
  <c r="H380" i="130" s="1"/>
  <c r="G380" i="105"/>
  <c r="G380" i="130" s="1"/>
  <c r="F380" i="105"/>
  <c r="F380" i="130" s="1"/>
  <c r="E380" i="105"/>
  <c r="E380" i="130" s="1"/>
  <c r="D380" i="105"/>
  <c r="D380" i="130" s="1"/>
  <c r="K379" i="105"/>
  <c r="K379" i="130" s="1"/>
  <c r="J379" i="105"/>
  <c r="J379" i="130" s="1"/>
  <c r="I379" i="105"/>
  <c r="I379" i="130" s="1"/>
  <c r="H379" i="105"/>
  <c r="H379" i="130" s="1"/>
  <c r="G379" i="105"/>
  <c r="G379" i="130" s="1"/>
  <c r="F379" i="105"/>
  <c r="F379" i="130" s="1"/>
  <c r="E379" i="105"/>
  <c r="E379" i="130" s="1"/>
  <c r="D379" i="105"/>
  <c r="D379" i="130" s="1"/>
  <c r="C377" i="105"/>
  <c r="C512" s="1"/>
  <c r="K373"/>
  <c r="K373" i="130" s="1"/>
  <c r="J373" i="105"/>
  <c r="J373" i="130" s="1"/>
  <c r="I373" i="105"/>
  <c r="I373" i="130" s="1"/>
  <c r="H373" i="105"/>
  <c r="H373" i="130" s="1"/>
  <c r="G373" i="105"/>
  <c r="G373" i="130" s="1"/>
  <c r="F373" i="105"/>
  <c r="F373" i="130" s="1"/>
  <c r="E373" i="105"/>
  <c r="E373" i="130" s="1"/>
  <c r="D373" i="105"/>
  <c r="D373" i="130" s="1"/>
  <c r="K372" i="105"/>
  <c r="K372" i="130" s="1"/>
  <c r="J372" i="105"/>
  <c r="J372" i="130" s="1"/>
  <c r="I372" i="105"/>
  <c r="I372" i="130" s="1"/>
  <c r="H372" i="105"/>
  <c r="H372" i="130" s="1"/>
  <c r="G372" i="105"/>
  <c r="G372" i="130" s="1"/>
  <c r="F372" i="105"/>
  <c r="F372" i="130" s="1"/>
  <c r="E372" i="105"/>
  <c r="E372" i="130" s="1"/>
  <c r="D372" i="105"/>
  <c r="D372" i="130" s="1"/>
  <c r="K371" i="105"/>
  <c r="K371" i="130" s="1"/>
  <c r="J371" i="105"/>
  <c r="J371" i="130" s="1"/>
  <c r="I371" i="105"/>
  <c r="I371" i="130" s="1"/>
  <c r="H371" i="105"/>
  <c r="H371" i="130" s="1"/>
  <c r="G371" i="105"/>
  <c r="G371" i="130" s="1"/>
  <c r="F371" i="105"/>
  <c r="F371" i="130" s="1"/>
  <c r="E371" i="105"/>
  <c r="E371" i="130" s="1"/>
  <c r="D371" i="105"/>
  <c r="D371" i="130" s="1"/>
  <c r="K370" i="105"/>
  <c r="K370" i="130" s="1"/>
  <c r="J370" i="105"/>
  <c r="J370" i="130" s="1"/>
  <c r="I370" i="105"/>
  <c r="I370" i="130" s="1"/>
  <c r="H370" i="105"/>
  <c r="H370" i="130" s="1"/>
  <c r="G370" i="105"/>
  <c r="G370" i="130" s="1"/>
  <c r="F370" i="105"/>
  <c r="F370" i="130" s="1"/>
  <c r="E370" i="105"/>
  <c r="E370" i="130" s="1"/>
  <c r="D370" i="105"/>
  <c r="D370" i="130" s="1"/>
  <c r="K369" i="105"/>
  <c r="K369" i="130" s="1"/>
  <c r="J369" i="105"/>
  <c r="J369" i="130" s="1"/>
  <c r="I369" i="105"/>
  <c r="I369" i="130" s="1"/>
  <c r="H369" i="105"/>
  <c r="H369" i="130" s="1"/>
  <c r="G369" i="105"/>
  <c r="G369" i="130" s="1"/>
  <c r="F369" i="105"/>
  <c r="F369" i="130" s="1"/>
  <c r="E369" i="105"/>
  <c r="E369" i="130" s="1"/>
  <c r="D369" i="105"/>
  <c r="D369" i="130" s="1"/>
  <c r="K368" i="105"/>
  <c r="K368" i="130" s="1"/>
  <c r="J368" i="105"/>
  <c r="I368"/>
  <c r="I368" i="130" s="1"/>
  <c r="H368" i="105"/>
  <c r="H368" i="130" s="1"/>
  <c r="G368" i="105"/>
  <c r="F368"/>
  <c r="F368" i="130" s="1"/>
  <c r="E368" i="105"/>
  <c r="E368" i="130" s="1"/>
  <c r="D368" i="105"/>
  <c r="K364"/>
  <c r="K364" i="130" s="1"/>
  <c r="J364" i="105"/>
  <c r="J364" i="130" s="1"/>
  <c r="I364" i="105"/>
  <c r="I364" i="130" s="1"/>
  <c r="H364" i="105"/>
  <c r="H364" i="130" s="1"/>
  <c r="G364" i="105"/>
  <c r="G364" i="130" s="1"/>
  <c r="F364" i="105"/>
  <c r="F364" i="130" s="1"/>
  <c r="E364" i="105"/>
  <c r="E364" i="130" s="1"/>
  <c r="D364" i="105"/>
  <c r="D364" i="130" s="1"/>
  <c r="K363" i="105"/>
  <c r="K363" i="130" s="1"/>
  <c r="J363" i="105"/>
  <c r="J363" i="130" s="1"/>
  <c r="I363" i="105"/>
  <c r="I363" i="130" s="1"/>
  <c r="H363" i="105"/>
  <c r="H363" i="130" s="1"/>
  <c r="G363" i="105"/>
  <c r="G363" i="130" s="1"/>
  <c r="F363" i="105"/>
  <c r="F363" i="130" s="1"/>
  <c r="E363" i="105"/>
  <c r="E363" i="130" s="1"/>
  <c r="D363" i="105"/>
  <c r="D363" i="130" s="1"/>
  <c r="K362" i="105"/>
  <c r="K362" i="130" s="1"/>
  <c r="J362" i="105"/>
  <c r="J362" i="130" s="1"/>
  <c r="I362" i="105"/>
  <c r="I362" i="130" s="1"/>
  <c r="H362" i="105"/>
  <c r="H362" i="130" s="1"/>
  <c r="G362" i="105"/>
  <c r="G362" i="130" s="1"/>
  <c r="F362" i="105"/>
  <c r="F362" i="130" s="1"/>
  <c r="E362" i="105"/>
  <c r="E362" i="130" s="1"/>
  <c r="D362" i="105"/>
  <c r="D362" i="130" s="1"/>
  <c r="K361" i="105"/>
  <c r="K361" i="130" s="1"/>
  <c r="J361" i="105"/>
  <c r="J361" i="130" s="1"/>
  <c r="I361" i="105"/>
  <c r="I361" i="130" s="1"/>
  <c r="H361" i="105"/>
  <c r="H361" i="130" s="1"/>
  <c r="G361" i="105"/>
  <c r="G361" i="130" s="1"/>
  <c r="F361" i="105"/>
  <c r="F361" i="130" s="1"/>
  <c r="E361" i="105"/>
  <c r="E361" i="130" s="1"/>
  <c r="D361" i="105"/>
  <c r="D361" i="130" s="1"/>
  <c r="K360" i="105"/>
  <c r="K360" i="130" s="1"/>
  <c r="J360" i="105"/>
  <c r="J360" i="130" s="1"/>
  <c r="I360" i="105"/>
  <c r="I360" i="130" s="1"/>
  <c r="H360" i="105"/>
  <c r="H360" i="130" s="1"/>
  <c r="G360" i="105"/>
  <c r="G360" i="130" s="1"/>
  <c r="F360" i="105"/>
  <c r="F360" i="130" s="1"/>
  <c r="E360" i="105"/>
  <c r="E360" i="130" s="1"/>
  <c r="D360" i="105"/>
  <c r="D360" i="130" s="1"/>
  <c r="K359" i="105"/>
  <c r="J359"/>
  <c r="I359"/>
  <c r="I359" i="130" s="1"/>
  <c r="H359" i="105"/>
  <c r="G359"/>
  <c r="F359"/>
  <c r="F359" i="130" s="1"/>
  <c r="E359" i="105"/>
  <c r="D359"/>
  <c r="D359" i="130" s="1"/>
  <c r="K355" i="105"/>
  <c r="K355" i="130" s="1"/>
  <c r="J355" i="105"/>
  <c r="J355" i="130" s="1"/>
  <c r="I355" i="105"/>
  <c r="I355" i="130" s="1"/>
  <c r="H355" i="105"/>
  <c r="H355" i="130" s="1"/>
  <c r="G355" i="105"/>
  <c r="G355" i="130" s="1"/>
  <c r="F355" i="105"/>
  <c r="F355" i="130" s="1"/>
  <c r="E355" i="105"/>
  <c r="E355" i="130" s="1"/>
  <c r="D355" i="105"/>
  <c r="D355" i="130" s="1"/>
  <c r="K354" i="105"/>
  <c r="K354" i="130" s="1"/>
  <c r="J354" i="105"/>
  <c r="J354" i="130" s="1"/>
  <c r="I354" i="105"/>
  <c r="I354" i="130" s="1"/>
  <c r="H354" i="105"/>
  <c r="H354" i="130" s="1"/>
  <c r="G354" i="105"/>
  <c r="G354" i="130" s="1"/>
  <c r="F354" i="105"/>
  <c r="F354" i="130" s="1"/>
  <c r="E354" i="105"/>
  <c r="E354" i="130" s="1"/>
  <c r="D354" i="105"/>
  <c r="D354" i="130" s="1"/>
  <c r="K353" i="105"/>
  <c r="K353" i="130" s="1"/>
  <c r="J353" i="105"/>
  <c r="J353" i="130" s="1"/>
  <c r="I353" i="105"/>
  <c r="I353" i="130" s="1"/>
  <c r="H353" i="105"/>
  <c r="H353" i="130" s="1"/>
  <c r="G353" i="105"/>
  <c r="F353"/>
  <c r="F353" i="130" s="1"/>
  <c r="E353" i="105"/>
  <c r="E353" i="130" s="1"/>
  <c r="D353" i="105"/>
  <c r="K352"/>
  <c r="K352" i="130" s="1"/>
  <c r="J352" i="105"/>
  <c r="J352" i="130" s="1"/>
  <c r="I352" i="105"/>
  <c r="I352" i="130" s="1"/>
  <c r="H352" i="105"/>
  <c r="H352" i="130" s="1"/>
  <c r="G352" i="105"/>
  <c r="G352" i="130" s="1"/>
  <c r="F352" i="105"/>
  <c r="F352" i="130" s="1"/>
  <c r="E352" i="105"/>
  <c r="E352" i="130" s="1"/>
  <c r="D352" i="105"/>
  <c r="D352" i="130" s="1"/>
  <c r="K351" i="105"/>
  <c r="K351" i="130" s="1"/>
  <c r="J351" i="105"/>
  <c r="J351" i="130" s="1"/>
  <c r="I351" i="105"/>
  <c r="I351" i="130" s="1"/>
  <c r="H351" i="105"/>
  <c r="H351" i="130" s="1"/>
  <c r="G351" i="105"/>
  <c r="G351" i="130" s="1"/>
  <c r="F351" i="105"/>
  <c r="F351" i="130" s="1"/>
  <c r="E351" i="105"/>
  <c r="E351" i="130" s="1"/>
  <c r="D351" i="105"/>
  <c r="D351" i="130" s="1"/>
  <c r="K350" i="105"/>
  <c r="K350" i="130" s="1"/>
  <c r="J350" i="105"/>
  <c r="I350"/>
  <c r="H350"/>
  <c r="H350" i="130" s="1"/>
  <c r="G350" i="105"/>
  <c r="G350" i="130" s="1"/>
  <c r="F350" i="105"/>
  <c r="E350"/>
  <c r="E350" i="130" s="1"/>
  <c r="D350" i="105"/>
  <c r="D350" i="130" s="1"/>
  <c r="K346" i="105"/>
  <c r="K346" i="130" s="1"/>
  <c r="J346" i="105"/>
  <c r="J346" i="130" s="1"/>
  <c r="I346" i="105"/>
  <c r="I346" i="130" s="1"/>
  <c r="H346" i="105"/>
  <c r="H346" i="130" s="1"/>
  <c r="G346" i="105"/>
  <c r="G346" i="130" s="1"/>
  <c r="F346" i="105"/>
  <c r="F346" i="130" s="1"/>
  <c r="E346" i="105"/>
  <c r="E346" i="130" s="1"/>
  <c r="D346" i="105"/>
  <c r="D346" i="130" s="1"/>
  <c r="K345" i="105"/>
  <c r="K345" i="130" s="1"/>
  <c r="J345" i="105"/>
  <c r="J345" i="130" s="1"/>
  <c r="I345" i="105"/>
  <c r="I345" i="130" s="1"/>
  <c r="H345" i="105"/>
  <c r="H345" i="130" s="1"/>
  <c r="G345" i="105"/>
  <c r="G345" i="130" s="1"/>
  <c r="F345" i="105"/>
  <c r="F345" i="130" s="1"/>
  <c r="E345" i="105"/>
  <c r="E345" i="130" s="1"/>
  <c r="D345" i="105"/>
  <c r="D345" i="130" s="1"/>
  <c r="K344" i="105"/>
  <c r="K344" i="130" s="1"/>
  <c r="J344" i="105"/>
  <c r="J344" i="130" s="1"/>
  <c r="I344" i="105"/>
  <c r="I344" i="130" s="1"/>
  <c r="H344" i="105"/>
  <c r="H344" i="130" s="1"/>
  <c r="G344" i="105"/>
  <c r="G344" i="130" s="1"/>
  <c r="F344" i="105"/>
  <c r="F344" i="130" s="1"/>
  <c r="E344" i="105"/>
  <c r="E344" i="130" s="1"/>
  <c r="D344" i="105"/>
  <c r="D344" i="130" s="1"/>
  <c r="K343" i="105"/>
  <c r="K343" i="130" s="1"/>
  <c r="J343" i="105"/>
  <c r="J343" i="130" s="1"/>
  <c r="I343" i="105"/>
  <c r="I343" i="130" s="1"/>
  <c r="H343" i="105"/>
  <c r="H343" i="130" s="1"/>
  <c r="G343" i="105"/>
  <c r="G343" i="130" s="1"/>
  <c r="F343" i="105"/>
  <c r="F343" i="130" s="1"/>
  <c r="E343" i="105"/>
  <c r="E343" i="130" s="1"/>
  <c r="D343" i="105"/>
  <c r="D343" i="130" s="1"/>
  <c r="K342" i="105"/>
  <c r="K342" i="130" s="1"/>
  <c r="J342" i="105"/>
  <c r="J342" i="130" s="1"/>
  <c r="I342" i="105"/>
  <c r="I342" i="130" s="1"/>
  <c r="H342" i="105"/>
  <c r="H342" i="130" s="1"/>
  <c r="G342" i="105"/>
  <c r="G342" i="130" s="1"/>
  <c r="F342" i="105"/>
  <c r="F342" i="130" s="1"/>
  <c r="E342" i="105"/>
  <c r="E342" i="130" s="1"/>
  <c r="D342" i="105"/>
  <c r="D342" i="130" s="1"/>
  <c r="K341" i="105"/>
  <c r="K341" i="130" s="1"/>
  <c r="J341" i="105"/>
  <c r="I341"/>
  <c r="I341" i="130" s="1"/>
  <c r="H341" i="105"/>
  <c r="H341" i="130" s="1"/>
  <c r="G341" i="105"/>
  <c r="F341"/>
  <c r="F341" i="130" s="1"/>
  <c r="E341" i="105"/>
  <c r="E341" i="130" s="1"/>
  <c r="D341" i="105"/>
  <c r="K337"/>
  <c r="K337" i="130" s="1"/>
  <c r="J337" i="105"/>
  <c r="J337" i="130" s="1"/>
  <c r="I337" i="105"/>
  <c r="I337" i="130" s="1"/>
  <c r="H337" i="105"/>
  <c r="H337" i="130" s="1"/>
  <c r="G337" i="105"/>
  <c r="G337" i="130" s="1"/>
  <c r="F337" i="105"/>
  <c r="F337" i="130" s="1"/>
  <c r="E337" i="105"/>
  <c r="E337" i="130" s="1"/>
  <c r="D337" i="105"/>
  <c r="D337" i="130" s="1"/>
  <c r="K336" i="105"/>
  <c r="K336" i="130" s="1"/>
  <c r="J336" i="105"/>
  <c r="J336" i="130" s="1"/>
  <c r="I336" i="105"/>
  <c r="I336" i="130" s="1"/>
  <c r="H336" i="105"/>
  <c r="H336" i="130" s="1"/>
  <c r="G336" i="105"/>
  <c r="G336" i="130" s="1"/>
  <c r="F336" i="105"/>
  <c r="F336" i="130" s="1"/>
  <c r="E336" i="105"/>
  <c r="E336" i="130" s="1"/>
  <c r="D336" i="105"/>
  <c r="D336" i="130" s="1"/>
  <c r="K335" i="105"/>
  <c r="K335" i="130" s="1"/>
  <c r="J335" i="105"/>
  <c r="J335" i="130" s="1"/>
  <c r="I335" i="105"/>
  <c r="I335" i="130" s="1"/>
  <c r="H335" i="105"/>
  <c r="H335" i="130" s="1"/>
  <c r="G335" i="105"/>
  <c r="G335" i="130" s="1"/>
  <c r="F335" i="105"/>
  <c r="F335" i="130" s="1"/>
  <c r="E335" i="105"/>
  <c r="E335" i="130" s="1"/>
  <c r="D335" i="105"/>
  <c r="D335" i="130" s="1"/>
  <c r="K334" i="105"/>
  <c r="K334" i="130" s="1"/>
  <c r="J334" i="105"/>
  <c r="J334" i="130" s="1"/>
  <c r="I334" i="105"/>
  <c r="I334" i="130" s="1"/>
  <c r="H334" i="105"/>
  <c r="H334" i="130" s="1"/>
  <c r="G334" i="105"/>
  <c r="G334" i="130" s="1"/>
  <c r="F334" i="105"/>
  <c r="F334" i="130" s="1"/>
  <c r="E334" i="105"/>
  <c r="E334" i="130" s="1"/>
  <c r="D334" i="105"/>
  <c r="D334" i="130" s="1"/>
  <c r="K333" i="105"/>
  <c r="K333" i="130" s="1"/>
  <c r="J333" i="105"/>
  <c r="J333" i="130" s="1"/>
  <c r="I333" i="105"/>
  <c r="I333" i="130" s="1"/>
  <c r="H333" i="105"/>
  <c r="H333" i="130" s="1"/>
  <c r="G333" i="105"/>
  <c r="G333" i="130" s="1"/>
  <c r="F333" i="105"/>
  <c r="F333" i="130" s="1"/>
  <c r="E333" i="105"/>
  <c r="E333" i="130" s="1"/>
  <c r="D333" i="105"/>
  <c r="D333" i="130" s="1"/>
  <c r="K332" i="105"/>
  <c r="J332"/>
  <c r="I332"/>
  <c r="I332" i="130" s="1"/>
  <c r="H332" i="105"/>
  <c r="G332"/>
  <c r="F332"/>
  <c r="F332" i="130" s="1"/>
  <c r="E332" i="105"/>
  <c r="D332"/>
  <c r="D332" i="130" s="1"/>
  <c r="K328" i="105"/>
  <c r="K328" i="130" s="1"/>
  <c r="J328" i="105"/>
  <c r="J328" i="130" s="1"/>
  <c r="I328" i="105"/>
  <c r="I328" i="130" s="1"/>
  <c r="H328" i="105"/>
  <c r="H328" i="130" s="1"/>
  <c r="G328" i="105"/>
  <c r="G328" i="130" s="1"/>
  <c r="F328" i="105"/>
  <c r="F328" i="130" s="1"/>
  <c r="E328" i="105"/>
  <c r="E328" i="130" s="1"/>
  <c r="D328" i="105"/>
  <c r="D328" i="130" s="1"/>
  <c r="K327" i="105"/>
  <c r="K327" i="130" s="1"/>
  <c r="J327" i="105"/>
  <c r="J327" i="130" s="1"/>
  <c r="I327" i="105"/>
  <c r="I327" i="130" s="1"/>
  <c r="H327" i="105"/>
  <c r="H327" i="130" s="1"/>
  <c r="G327" i="105"/>
  <c r="G327" i="130" s="1"/>
  <c r="F327" i="105"/>
  <c r="F327" i="130" s="1"/>
  <c r="E327" i="105"/>
  <c r="E327" i="130" s="1"/>
  <c r="D327" i="105"/>
  <c r="D327" i="130" s="1"/>
  <c r="K326" i="105"/>
  <c r="K326" i="130" s="1"/>
  <c r="J326" i="105"/>
  <c r="J326" i="130" s="1"/>
  <c r="I326" i="105"/>
  <c r="I326" i="130" s="1"/>
  <c r="H326" i="105"/>
  <c r="H326" i="130" s="1"/>
  <c r="G326" i="105"/>
  <c r="F326"/>
  <c r="F326" i="130" s="1"/>
  <c r="E326" i="105"/>
  <c r="E326" i="130" s="1"/>
  <c r="D326" i="105"/>
  <c r="K325"/>
  <c r="K325" i="130" s="1"/>
  <c r="J325" i="105"/>
  <c r="J325" i="130" s="1"/>
  <c r="I325" i="105"/>
  <c r="I325" i="130" s="1"/>
  <c r="H325" i="105"/>
  <c r="H325" i="130" s="1"/>
  <c r="G325" i="105"/>
  <c r="G325" i="130" s="1"/>
  <c r="F325" i="105"/>
  <c r="F325" i="130" s="1"/>
  <c r="E325" i="105"/>
  <c r="E325" i="130" s="1"/>
  <c r="D325" i="105"/>
  <c r="D325" i="130" s="1"/>
  <c r="K324" i="105"/>
  <c r="K324" i="130" s="1"/>
  <c r="J324" i="105"/>
  <c r="J324" i="130" s="1"/>
  <c r="I324" i="105"/>
  <c r="I324" i="130" s="1"/>
  <c r="H324" i="105"/>
  <c r="H324" i="130" s="1"/>
  <c r="G324" i="105"/>
  <c r="G324" i="130" s="1"/>
  <c r="F324" i="105"/>
  <c r="F324" i="130" s="1"/>
  <c r="E324" i="105"/>
  <c r="E324" i="130" s="1"/>
  <c r="D324" i="105"/>
  <c r="D324" i="130" s="1"/>
  <c r="K323" i="105"/>
  <c r="K323" i="130" s="1"/>
  <c r="J323" i="105"/>
  <c r="I323"/>
  <c r="H323"/>
  <c r="H323" i="130" s="1"/>
  <c r="G323" i="105"/>
  <c r="G323" i="130" s="1"/>
  <c r="F323" i="105"/>
  <c r="F323" i="130" s="1"/>
  <c r="E323" i="105"/>
  <c r="E323" i="130" s="1"/>
  <c r="D323" i="105"/>
  <c r="D323" i="130" s="1"/>
  <c r="K319" i="105"/>
  <c r="K319" i="130" s="1"/>
  <c r="J319" i="105"/>
  <c r="J319" i="130" s="1"/>
  <c r="I319" i="105"/>
  <c r="I319" i="130" s="1"/>
  <c r="H319" i="105"/>
  <c r="H319" i="130" s="1"/>
  <c r="G319" i="105"/>
  <c r="G319" i="130" s="1"/>
  <c r="F319" i="105"/>
  <c r="F319" i="130" s="1"/>
  <c r="E319" i="105"/>
  <c r="E319" i="130" s="1"/>
  <c r="D319" i="105"/>
  <c r="D319" i="130" s="1"/>
  <c r="K318" i="105"/>
  <c r="K318" i="130" s="1"/>
  <c r="J318" i="105"/>
  <c r="J318" i="130" s="1"/>
  <c r="I318" i="105"/>
  <c r="I318" i="130" s="1"/>
  <c r="H318" i="105"/>
  <c r="H318" i="130" s="1"/>
  <c r="G318" i="105"/>
  <c r="G318" i="130" s="1"/>
  <c r="F318" i="105"/>
  <c r="F318" i="130" s="1"/>
  <c r="E318" i="105"/>
  <c r="E318" i="130" s="1"/>
  <c r="D318" i="105"/>
  <c r="D318" i="130" s="1"/>
  <c r="K317" i="105"/>
  <c r="K317" i="130" s="1"/>
  <c r="J317" i="105"/>
  <c r="J317" i="130" s="1"/>
  <c r="I317" i="105"/>
  <c r="I317" i="130" s="1"/>
  <c r="H317" i="105"/>
  <c r="H317" i="130" s="1"/>
  <c r="G317" i="105"/>
  <c r="G317" i="130" s="1"/>
  <c r="F317" i="105"/>
  <c r="F317" i="130" s="1"/>
  <c r="E317" i="105"/>
  <c r="E317" i="130" s="1"/>
  <c r="D317" i="105"/>
  <c r="D317" i="130" s="1"/>
  <c r="K316" i="105"/>
  <c r="K316" i="130" s="1"/>
  <c r="J316" i="105"/>
  <c r="J316" i="130" s="1"/>
  <c r="I316" i="105"/>
  <c r="I316" i="130" s="1"/>
  <c r="H316" i="105"/>
  <c r="H316" i="130" s="1"/>
  <c r="G316" i="105"/>
  <c r="G316" i="130" s="1"/>
  <c r="F316" i="105"/>
  <c r="F316" i="130" s="1"/>
  <c r="E316" i="105"/>
  <c r="E316" i="130" s="1"/>
  <c r="D316" i="105"/>
  <c r="D316" i="130" s="1"/>
  <c r="K315" i="105"/>
  <c r="K315" i="130" s="1"/>
  <c r="J315" i="105"/>
  <c r="J315" i="130" s="1"/>
  <c r="I315" i="105"/>
  <c r="I315" i="130" s="1"/>
  <c r="H315" i="105"/>
  <c r="H315" i="130" s="1"/>
  <c r="G315" i="105"/>
  <c r="G315" i="130" s="1"/>
  <c r="F315" i="105"/>
  <c r="F315" i="130" s="1"/>
  <c r="E315" i="105"/>
  <c r="E315" i="130" s="1"/>
  <c r="D315" i="105"/>
  <c r="D315" i="130" s="1"/>
  <c r="K314" i="105"/>
  <c r="K314" i="130" s="1"/>
  <c r="J314" i="105"/>
  <c r="I314"/>
  <c r="I314" i="130" s="1"/>
  <c r="H314" i="105"/>
  <c r="H314" i="130" s="1"/>
  <c r="G314" i="105"/>
  <c r="F314"/>
  <c r="F314" i="130" s="1"/>
  <c r="E314" i="105"/>
  <c r="E314" i="130" s="1"/>
  <c r="D314" i="105"/>
  <c r="K310"/>
  <c r="K310" i="130" s="1"/>
  <c r="J310" i="105"/>
  <c r="J310" i="130" s="1"/>
  <c r="I310" i="105"/>
  <c r="I310" i="130" s="1"/>
  <c r="H310" i="105"/>
  <c r="H310" i="130" s="1"/>
  <c r="G310" i="105"/>
  <c r="G310" i="130" s="1"/>
  <c r="F310" i="105"/>
  <c r="F310" i="130" s="1"/>
  <c r="E310" i="105"/>
  <c r="E310" i="130" s="1"/>
  <c r="D310" i="105"/>
  <c r="D310" i="130" s="1"/>
  <c r="K309" i="105"/>
  <c r="K309" i="130" s="1"/>
  <c r="J309" i="105"/>
  <c r="J309" i="130" s="1"/>
  <c r="I309" i="105"/>
  <c r="I309" i="130" s="1"/>
  <c r="H309" i="105"/>
  <c r="H309" i="130" s="1"/>
  <c r="G309" i="105"/>
  <c r="G309" i="130" s="1"/>
  <c r="F309" i="105"/>
  <c r="F309" i="130" s="1"/>
  <c r="E309" i="105"/>
  <c r="E309" i="130" s="1"/>
  <c r="D309" i="105"/>
  <c r="D309" i="130" s="1"/>
  <c r="K308" i="105"/>
  <c r="K308" i="130" s="1"/>
  <c r="J308" i="105"/>
  <c r="J308" i="130" s="1"/>
  <c r="I308" i="105"/>
  <c r="I308" i="130" s="1"/>
  <c r="H308" i="105"/>
  <c r="H308" i="130" s="1"/>
  <c r="G308" i="105"/>
  <c r="G308" i="130" s="1"/>
  <c r="F308" i="105"/>
  <c r="F308" i="130" s="1"/>
  <c r="E308" i="105"/>
  <c r="E308" i="130" s="1"/>
  <c r="D308" i="105"/>
  <c r="D308" i="130" s="1"/>
  <c r="K307" i="105"/>
  <c r="K307" i="130" s="1"/>
  <c r="J307" i="105"/>
  <c r="J307" i="130" s="1"/>
  <c r="I307" i="105"/>
  <c r="I307" i="130" s="1"/>
  <c r="H307" i="105"/>
  <c r="H307" i="130" s="1"/>
  <c r="G307" i="105"/>
  <c r="G307" i="130" s="1"/>
  <c r="F307" i="105"/>
  <c r="F307" i="130" s="1"/>
  <c r="E307" i="105"/>
  <c r="E307" i="130" s="1"/>
  <c r="D307" i="105"/>
  <c r="D307" i="130" s="1"/>
  <c r="K306" i="105"/>
  <c r="K306" i="130" s="1"/>
  <c r="J306" i="105"/>
  <c r="J306" i="130" s="1"/>
  <c r="I306" i="105"/>
  <c r="I306" i="130" s="1"/>
  <c r="H306" i="105"/>
  <c r="H306" i="130" s="1"/>
  <c r="G306" i="105"/>
  <c r="G306" i="130" s="1"/>
  <c r="F306" i="105"/>
  <c r="F306" i="130" s="1"/>
  <c r="E306" i="105"/>
  <c r="E306" i="130" s="1"/>
  <c r="D306" i="105"/>
  <c r="D306" i="130" s="1"/>
  <c r="K305" i="105"/>
  <c r="J305"/>
  <c r="I305"/>
  <c r="I305" i="130" s="1"/>
  <c r="H305" i="105"/>
  <c r="G305"/>
  <c r="F305"/>
  <c r="F305" i="130" s="1"/>
  <c r="E305" i="105"/>
  <c r="D305"/>
  <c r="D305" i="130" s="1"/>
  <c r="K301" i="105"/>
  <c r="K301" i="130" s="1"/>
  <c r="J301" i="105"/>
  <c r="J301" i="130" s="1"/>
  <c r="I301" i="105"/>
  <c r="I301" i="130" s="1"/>
  <c r="H301" i="105"/>
  <c r="H301" i="130" s="1"/>
  <c r="G301" i="105"/>
  <c r="G301" i="130" s="1"/>
  <c r="F301" i="105"/>
  <c r="F301" i="130" s="1"/>
  <c r="E301" i="105"/>
  <c r="E301" i="130" s="1"/>
  <c r="D301" i="105"/>
  <c r="D301" i="130" s="1"/>
  <c r="K300" i="105"/>
  <c r="K300" i="130" s="1"/>
  <c r="J300" i="105"/>
  <c r="J300" i="130" s="1"/>
  <c r="I300" i="105"/>
  <c r="I300" i="130" s="1"/>
  <c r="H300" i="105"/>
  <c r="H300" i="130" s="1"/>
  <c r="G300" i="105"/>
  <c r="G300" i="130" s="1"/>
  <c r="F300" i="105"/>
  <c r="F300" i="130" s="1"/>
  <c r="E300" i="105"/>
  <c r="E300" i="130" s="1"/>
  <c r="D300" i="105"/>
  <c r="D300" i="130" s="1"/>
  <c r="K299" i="105"/>
  <c r="K299" i="130" s="1"/>
  <c r="J299" i="105"/>
  <c r="J299" i="130" s="1"/>
  <c r="I299" i="105"/>
  <c r="I299" i="130" s="1"/>
  <c r="H299" i="105"/>
  <c r="H299" i="130" s="1"/>
  <c r="G299" i="105"/>
  <c r="G299" i="130" s="1"/>
  <c r="F299" i="105"/>
  <c r="F299" i="130" s="1"/>
  <c r="E299" i="105"/>
  <c r="E299" i="130" s="1"/>
  <c r="D299" i="105"/>
  <c r="D299" i="130" s="1"/>
  <c r="K298" i="105"/>
  <c r="K298" i="130" s="1"/>
  <c r="J298" i="105"/>
  <c r="J298" i="130" s="1"/>
  <c r="I298" i="105"/>
  <c r="I298" i="130" s="1"/>
  <c r="H298" i="105"/>
  <c r="H298" i="130" s="1"/>
  <c r="G298" i="105"/>
  <c r="G298" i="130" s="1"/>
  <c r="F298" i="105"/>
  <c r="F298" i="130" s="1"/>
  <c r="E298" i="105"/>
  <c r="E298" i="130" s="1"/>
  <c r="D298" i="105"/>
  <c r="D298" i="130" s="1"/>
  <c r="K297" i="105"/>
  <c r="K297" i="130" s="1"/>
  <c r="J297" i="105"/>
  <c r="J297" i="130" s="1"/>
  <c r="I297" i="105"/>
  <c r="I297" i="130" s="1"/>
  <c r="H297" i="105"/>
  <c r="H297" i="130" s="1"/>
  <c r="G297" i="105"/>
  <c r="G297" i="130" s="1"/>
  <c r="F297" i="105"/>
  <c r="F297" i="130" s="1"/>
  <c r="E297" i="105"/>
  <c r="E297" i="130" s="1"/>
  <c r="D297" i="105"/>
  <c r="D297" i="130" s="1"/>
  <c r="K296" i="105"/>
  <c r="K296" i="130" s="1"/>
  <c r="J296" i="105"/>
  <c r="I296"/>
  <c r="I296" i="130" s="1"/>
  <c r="H296" i="105"/>
  <c r="H296" i="130" s="1"/>
  <c r="G296" i="105"/>
  <c r="G296" i="130" s="1"/>
  <c r="F296" i="105"/>
  <c r="F296" i="130" s="1"/>
  <c r="E296" i="105"/>
  <c r="E296" i="130" s="1"/>
  <c r="D296" i="105"/>
  <c r="K292"/>
  <c r="K292" i="130" s="1"/>
  <c r="J292" i="105"/>
  <c r="J292" i="130" s="1"/>
  <c r="I292" i="105"/>
  <c r="I292" i="130" s="1"/>
  <c r="H292" i="105"/>
  <c r="H292" i="130" s="1"/>
  <c r="G292" i="105"/>
  <c r="G292" i="130" s="1"/>
  <c r="F292" i="105"/>
  <c r="F292" i="130" s="1"/>
  <c r="E292" i="105"/>
  <c r="E292" i="130" s="1"/>
  <c r="D292" i="105"/>
  <c r="D292" i="130" s="1"/>
  <c r="K291" i="105"/>
  <c r="K291" i="130" s="1"/>
  <c r="J291" i="105"/>
  <c r="J291" i="130" s="1"/>
  <c r="I291" i="105"/>
  <c r="I291" i="130" s="1"/>
  <c r="H291" i="105"/>
  <c r="H291" i="130" s="1"/>
  <c r="G291" i="105"/>
  <c r="G291" i="130" s="1"/>
  <c r="F291" i="105"/>
  <c r="F291" i="130" s="1"/>
  <c r="E291" i="105"/>
  <c r="E291" i="130" s="1"/>
  <c r="D291" i="105"/>
  <c r="D291" i="130" s="1"/>
  <c r="K290" i="105"/>
  <c r="K290" i="130" s="1"/>
  <c r="J290" i="105"/>
  <c r="J290" i="130" s="1"/>
  <c r="I290" i="105"/>
  <c r="I290" i="130" s="1"/>
  <c r="H290" i="105"/>
  <c r="H290" i="130" s="1"/>
  <c r="G290" i="105"/>
  <c r="G290" i="130" s="1"/>
  <c r="F290" i="105"/>
  <c r="F290" i="130" s="1"/>
  <c r="E290" i="105"/>
  <c r="E290" i="130" s="1"/>
  <c r="D290" i="105"/>
  <c r="D290" i="130" s="1"/>
  <c r="K289" i="105"/>
  <c r="K289" i="130" s="1"/>
  <c r="J289" i="105"/>
  <c r="J289" i="130" s="1"/>
  <c r="I289" i="105"/>
  <c r="I289" i="130" s="1"/>
  <c r="H289" i="105"/>
  <c r="H289" i="130" s="1"/>
  <c r="G289" i="105"/>
  <c r="G289" i="130" s="1"/>
  <c r="F289" i="105"/>
  <c r="F289" i="130" s="1"/>
  <c r="E289" i="105"/>
  <c r="E289" i="130" s="1"/>
  <c r="D289" i="105"/>
  <c r="D289" i="130" s="1"/>
  <c r="K288" i="105"/>
  <c r="K288" i="130" s="1"/>
  <c r="J288" i="105"/>
  <c r="J288" i="130" s="1"/>
  <c r="I288" i="105"/>
  <c r="I288" i="130" s="1"/>
  <c r="H288" i="105"/>
  <c r="H288" i="130" s="1"/>
  <c r="G288" i="105"/>
  <c r="G288" i="130" s="1"/>
  <c r="F288" i="105"/>
  <c r="F288" i="130" s="1"/>
  <c r="E288" i="105"/>
  <c r="E288" i="130" s="1"/>
  <c r="D288" i="105"/>
  <c r="D288" i="130" s="1"/>
  <c r="K287" i="105"/>
  <c r="K287" i="130" s="1"/>
  <c r="J287" i="105"/>
  <c r="J287" i="130" s="1"/>
  <c r="I287" i="105"/>
  <c r="I287" i="130" s="1"/>
  <c r="H287" i="105"/>
  <c r="H287" i="130" s="1"/>
  <c r="G287" i="105"/>
  <c r="G287" i="130" s="1"/>
  <c r="F287" i="105"/>
  <c r="F287" i="130" s="1"/>
  <c r="E287" i="105"/>
  <c r="E287" i="130" s="1"/>
  <c r="D287" i="105"/>
  <c r="D287" i="130" s="1"/>
  <c r="C285" i="105"/>
  <c r="C376" s="1"/>
  <c r="K282"/>
  <c r="K282" i="130" s="1"/>
  <c r="J282" i="105"/>
  <c r="J282" i="130" s="1"/>
  <c r="I282" i="105"/>
  <c r="I282" i="130" s="1"/>
  <c r="H282" i="105"/>
  <c r="H282" i="130" s="1"/>
  <c r="G282" i="105"/>
  <c r="G282" i="130" s="1"/>
  <c r="F282" i="105"/>
  <c r="F282" i="130" s="1"/>
  <c r="E282" i="105"/>
  <c r="E282" i="130" s="1"/>
  <c r="D282" i="105"/>
  <c r="D282" i="130" s="1"/>
  <c r="K281" i="105"/>
  <c r="K281" i="130" s="1"/>
  <c r="J281" i="105"/>
  <c r="J281" i="130" s="1"/>
  <c r="I281" i="105"/>
  <c r="I281" i="130" s="1"/>
  <c r="H281" i="105"/>
  <c r="H281" i="130" s="1"/>
  <c r="G281" i="105"/>
  <c r="G281" i="130" s="1"/>
  <c r="F281" i="105"/>
  <c r="F281" i="130" s="1"/>
  <c r="E281" i="105"/>
  <c r="E281" i="130" s="1"/>
  <c r="D281" i="105"/>
  <c r="D281" i="130" s="1"/>
  <c r="K280" i="105"/>
  <c r="K280" i="130" s="1"/>
  <c r="J280" i="105"/>
  <c r="J280" i="130" s="1"/>
  <c r="I280" i="105"/>
  <c r="I280" i="130" s="1"/>
  <c r="H280" i="105"/>
  <c r="H280" i="130" s="1"/>
  <c r="G280" i="105"/>
  <c r="G280" i="130" s="1"/>
  <c r="F280" i="105"/>
  <c r="F280" i="130" s="1"/>
  <c r="E280" i="105"/>
  <c r="E280" i="130" s="1"/>
  <c r="D280" i="105"/>
  <c r="D280" i="130" s="1"/>
  <c r="K279" i="105"/>
  <c r="K279" i="130" s="1"/>
  <c r="J279" i="105"/>
  <c r="J279" i="130" s="1"/>
  <c r="I279" i="105"/>
  <c r="I279" i="130" s="1"/>
  <c r="H279" i="105"/>
  <c r="H279" i="130" s="1"/>
  <c r="G279" i="105"/>
  <c r="G279" i="130" s="1"/>
  <c r="F279" i="105"/>
  <c r="F279" i="130" s="1"/>
  <c r="E279" i="105"/>
  <c r="E279" i="130" s="1"/>
  <c r="D279" i="105"/>
  <c r="D279" i="130" s="1"/>
  <c r="K278" i="105"/>
  <c r="K278" i="130" s="1"/>
  <c r="J278" i="105"/>
  <c r="J278" i="130" s="1"/>
  <c r="I278" i="105"/>
  <c r="I278" i="130" s="1"/>
  <c r="H278" i="105"/>
  <c r="H278" i="130" s="1"/>
  <c r="G278" i="105"/>
  <c r="G278" i="130" s="1"/>
  <c r="F278" i="105"/>
  <c r="F278" i="130" s="1"/>
  <c r="E278" i="105"/>
  <c r="E278" i="130" s="1"/>
  <c r="D278" i="105"/>
  <c r="D278" i="130" s="1"/>
  <c r="K277" i="105"/>
  <c r="K277" i="130" s="1"/>
  <c r="J277" i="105"/>
  <c r="I277"/>
  <c r="H277"/>
  <c r="H277" i="130" s="1"/>
  <c r="G277" i="105"/>
  <c r="G277" i="130" s="1"/>
  <c r="F277" i="105"/>
  <c r="E277"/>
  <c r="E277" i="130" s="1"/>
  <c r="D277" i="105"/>
  <c r="D277" i="130" s="1"/>
  <c r="K273" i="105"/>
  <c r="K273" i="130" s="1"/>
  <c r="J273" i="105"/>
  <c r="J273" i="130" s="1"/>
  <c r="I273" i="105"/>
  <c r="I273" i="130" s="1"/>
  <c r="H273" i="105"/>
  <c r="H273" i="130" s="1"/>
  <c r="G273" i="105"/>
  <c r="G273" i="130" s="1"/>
  <c r="F273" i="105"/>
  <c r="F273" i="130" s="1"/>
  <c r="E273" i="105"/>
  <c r="E273" i="130" s="1"/>
  <c r="D273" i="105"/>
  <c r="D273" i="130" s="1"/>
  <c r="K272" i="105"/>
  <c r="K272" i="130" s="1"/>
  <c r="J272" i="105"/>
  <c r="J272" i="130" s="1"/>
  <c r="I272" i="105"/>
  <c r="I272" i="130" s="1"/>
  <c r="H272" i="105"/>
  <c r="H272" i="130" s="1"/>
  <c r="G272" i="105"/>
  <c r="G272" i="130" s="1"/>
  <c r="F272" i="105"/>
  <c r="F272" i="130" s="1"/>
  <c r="E272" i="105"/>
  <c r="E272" i="130" s="1"/>
  <c r="D272" i="105"/>
  <c r="D272" i="130" s="1"/>
  <c r="K271" i="105"/>
  <c r="K271" i="130" s="1"/>
  <c r="J271" i="105"/>
  <c r="J271" i="130" s="1"/>
  <c r="I271" i="105"/>
  <c r="I271" i="130" s="1"/>
  <c r="H271" i="105"/>
  <c r="H271" i="130" s="1"/>
  <c r="G271" i="105"/>
  <c r="G271" i="130" s="1"/>
  <c r="F271" i="105"/>
  <c r="F271" i="130" s="1"/>
  <c r="E271" i="105"/>
  <c r="E271" i="130" s="1"/>
  <c r="D271" i="105"/>
  <c r="D271" i="130" s="1"/>
  <c r="K270" i="105"/>
  <c r="K270" i="130" s="1"/>
  <c r="J270" i="105"/>
  <c r="J270" i="130" s="1"/>
  <c r="I270" i="105"/>
  <c r="I270" i="130" s="1"/>
  <c r="H270" i="105"/>
  <c r="H270" i="130" s="1"/>
  <c r="G270" i="105"/>
  <c r="G270" i="130" s="1"/>
  <c r="F270" i="105"/>
  <c r="F270" i="130" s="1"/>
  <c r="E270" i="105"/>
  <c r="E270" i="130" s="1"/>
  <c r="D270" i="105"/>
  <c r="D270" i="130" s="1"/>
  <c r="K269" i="105"/>
  <c r="K269" i="130" s="1"/>
  <c r="J269" i="105"/>
  <c r="J269" i="130" s="1"/>
  <c r="I269" i="105"/>
  <c r="I269" i="130" s="1"/>
  <c r="H269" i="105"/>
  <c r="H269" i="130" s="1"/>
  <c r="G269" i="105"/>
  <c r="G269" i="130" s="1"/>
  <c r="F269" i="105"/>
  <c r="F269" i="130" s="1"/>
  <c r="E269" i="105"/>
  <c r="E269" i="130" s="1"/>
  <c r="D269" i="105"/>
  <c r="D269" i="130" s="1"/>
  <c r="K268" i="105"/>
  <c r="K268" i="130" s="1"/>
  <c r="J268" i="105"/>
  <c r="J268" i="130" s="1"/>
  <c r="I268" i="105"/>
  <c r="I268" i="130" s="1"/>
  <c r="H268" i="105"/>
  <c r="H268" i="130" s="1"/>
  <c r="G268" i="105"/>
  <c r="F268"/>
  <c r="F268" i="130" s="1"/>
  <c r="E268" i="105"/>
  <c r="E268" i="130" s="1"/>
  <c r="D268" i="105"/>
  <c r="D268" i="130" s="1"/>
  <c r="C266" i="105"/>
  <c r="C284" s="1"/>
  <c r="K263"/>
  <c r="K263" i="130" s="1"/>
  <c r="J263" i="105"/>
  <c r="J263" i="130" s="1"/>
  <c r="I263" i="105"/>
  <c r="I263" i="130" s="1"/>
  <c r="H263" i="105"/>
  <c r="H263" i="130" s="1"/>
  <c r="G263" i="105"/>
  <c r="G263" i="130" s="1"/>
  <c r="F263" i="105"/>
  <c r="F263" i="130" s="1"/>
  <c r="E263" i="105"/>
  <c r="E263" i="130" s="1"/>
  <c r="D263" i="105"/>
  <c r="D263" i="130" s="1"/>
  <c r="K262" i="105"/>
  <c r="K262" i="130" s="1"/>
  <c r="J262" i="105"/>
  <c r="J262" i="130" s="1"/>
  <c r="I262" i="105"/>
  <c r="I262" i="130" s="1"/>
  <c r="H262" i="105"/>
  <c r="H262" i="130" s="1"/>
  <c r="G262" i="105"/>
  <c r="G262" i="130" s="1"/>
  <c r="F262" i="105"/>
  <c r="F262" i="130" s="1"/>
  <c r="E262" i="105"/>
  <c r="E262" i="130" s="1"/>
  <c r="D262" i="105"/>
  <c r="D262" i="130" s="1"/>
  <c r="K261" i="105"/>
  <c r="K261" i="130" s="1"/>
  <c r="J261" i="105"/>
  <c r="J261" i="130" s="1"/>
  <c r="I261" i="105"/>
  <c r="I261" i="130" s="1"/>
  <c r="H261" i="105"/>
  <c r="H261" i="130" s="1"/>
  <c r="G261" i="105"/>
  <c r="G261" i="130" s="1"/>
  <c r="F261" i="105"/>
  <c r="F261" i="130" s="1"/>
  <c r="E261" i="105"/>
  <c r="E261" i="130" s="1"/>
  <c r="D261" i="105"/>
  <c r="D261" i="130" s="1"/>
  <c r="K260" i="105"/>
  <c r="K260" i="130" s="1"/>
  <c r="J260" i="105"/>
  <c r="J260" i="130" s="1"/>
  <c r="I260" i="105"/>
  <c r="I260" i="130" s="1"/>
  <c r="H260" i="105"/>
  <c r="H260" i="130" s="1"/>
  <c r="G260" i="105"/>
  <c r="G260" i="130" s="1"/>
  <c r="F260" i="105"/>
  <c r="F260" i="130" s="1"/>
  <c r="E260" i="105"/>
  <c r="E260" i="130" s="1"/>
  <c r="D260" i="105"/>
  <c r="D260" i="130" s="1"/>
  <c r="K259" i="105"/>
  <c r="K259" i="130" s="1"/>
  <c r="J259" i="105"/>
  <c r="J259" i="130" s="1"/>
  <c r="I259" i="105"/>
  <c r="I259" i="130" s="1"/>
  <c r="H259" i="105"/>
  <c r="H259" i="130" s="1"/>
  <c r="G259" i="105"/>
  <c r="G259" i="130" s="1"/>
  <c r="F259" i="105"/>
  <c r="F259" i="130" s="1"/>
  <c r="E259" i="105"/>
  <c r="E259" i="130" s="1"/>
  <c r="D259" i="105"/>
  <c r="D259" i="130" s="1"/>
  <c r="K258" i="105"/>
  <c r="J258"/>
  <c r="I258"/>
  <c r="I258" i="130" s="1"/>
  <c r="H258" i="105"/>
  <c r="G258"/>
  <c r="F258"/>
  <c r="F258" i="130" s="1"/>
  <c r="E258" i="105"/>
  <c r="D258"/>
  <c r="D258" i="130" s="1"/>
  <c r="K254" i="105"/>
  <c r="K254" i="130" s="1"/>
  <c r="J254" i="105"/>
  <c r="J254" i="130" s="1"/>
  <c r="I254" i="105"/>
  <c r="I254" i="130" s="1"/>
  <c r="H254" i="105"/>
  <c r="H254" i="130" s="1"/>
  <c r="G254" i="105"/>
  <c r="G254" i="130" s="1"/>
  <c r="F254" i="105"/>
  <c r="F254" i="130" s="1"/>
  <c r="E254" i="105"/>
  <c r="E254" i="130" s="1"/>
  <c r="D254" i="105"/>
  <c r="D254" i="130" s="1"/>
  <c r="K253" i="105"/>
  <c r="K253" i="130" s="1"/>
  <c r="J253" i="105"/>
  <c r="J253" i="130" s="1"/>
  <c r="I253" i="105"/>
  <c r="I253" i="130" s="1"/>
  <c r="H253" i="105"/>
  <c r="H253" i="130" s="1"/>
  <c r="G253" i="105"/>
  <c r="G253" i="130" s="1"/>
  <c r="F253" i="105"/>
  <c r="F253" i="130" s="1"/>
  <c r="E253" i="105"/>
  <c r="E253" i="130" s="1"/>
  <c r="D253" i="105"/>
  <c r="D253" i="130" s="1"/>
  <c r="K252" i="105"/>
  <c r="K252" i="130" s="1"/>
  <c r="J252" i="105"/>
  <c r="J252" i="130" s="1"/>
  <c r="I252" i="105"/>
  <c r="I252" i="130" s="1"/>
  <c r="H252" i="105"/>
  <c r="H252" i="130" s="1"/>
  <c r="G252" i="105"/>
  <c r="F252"/>
  <c r="F252" i="130" s="1"/>
  <c r="E252" i="105"/>
  <c r="E252" i="130" s="1"/>
  <c r="D252" i="105"/>
  <c r="K251"/>
  <c r="K251" i="130" s="1"/>
  <c r="J251" i="105"/>
  <c r="J251" i="130" s="1"/>
  <c r="I251" i="105"/>
  <c r="I251" i="130" s="1"/>
  <c r="H251" i="105"/>
  <c r="H251" i="130" s="1"/>
  <c r="G251" i="105"/>
  <c r="G251" i="130" s="1"/>
  <c r="F251" i="105"/>
  <c r="F251" i="130" s="1"/>
  <c r="E251" i="105"/>
  <c r="E251" i="130" s="1"/>
  <c r="D251" i="105"/>
  <c r="D251" i="130" s="1"/>
  <c r="K250" i="105"/>
  <c r="K250" i="130" s="1"/>
  <c r="J250" i="105"/>
  <c r="J250" i="130" s="1"/>
  <c r="I250" i="105"/>
  <c r="I250" i="130" s="1"/>
  <c r="H250" i="105"/>
  <c r="H250" i="130" s="1"/>
  <c r="G250" i="105"/>
  <c r="G250" i="130" s="1"/>
  <c r="F250" i="105"/>
  <c r="F250" i="130" s="1"/>
  <c r="E250" i="105"/>
  <c r="E250" i="130" s="1"/>
  <c r="D250" i="105"/>
  <c r="D250" i="130" s="1"/>
  <c r="K249" i="105"/>
  <c r="K249" i="130" s="1"/>
  <c r="J249" i="105"/>
  <c r="I249"/>
  <c r="H249"/>
  <c r="H249" i="130" s="1"/>
  <c r="G249" i="105"/>
  <c r="G249" i="130" s="1"/>
  <c r="F249" i="105"/>
  <c r="E249"/>
  <c r="E249" i="130" s="1"/>
  <c r="D249" i="105"/>
  <c r="D249" i="130" s="1"/>
  <c r="K245" i="105"/>
  <c r="K245" i="130" s="1"/>
  <c r="J245" i="105"/>
  <c r="J245" i="130" s="1"/>
  <c r="I245" i="105"/>
  <c r="I245" i="130" s="1"/>
  <c r="H245" i="105"/>
  <c r="H245" i="130" s="1"/>
  <c r="G245" i="105"/>
  <c r="G245" i="130" s="1"/>
  <c r="F245" i="105"/>
  <c r="F245" i="130" s="1"/>
  <c r="E245" i="105"/>
  <c r="E245" i="130" s="1"/>
  <c r="D245" i="105"/>
  <c r="D245" i="130" s="1"/>
  <c r="K244" i="105"/>
  <c r="K244" i="130" s="1"/>
  <c r="J244" i="105"/>
  <c r="J244" i="130" s="1"/>
  <c r="I244" i="105"/>
  <c r="I244" i="130" s="1"/>
  <c r="H244" i="105"/>
  <c r="H244" i="130" s="1"/>
  <c r="G244" i="105"/>
  <c r="G244" i="130" s="1"/>
  <c r="F244" i="105"/>
  <c r="F244" i="130" s="1"/>
  <c r="E244" i="105"/>
  <c r="E244" i="130" s="1"/>
  <c r="D244" i="105"/>
  <c r="D244" i="130" s="1"/>
  <c r="K243" i="105"/>
  <c r="K243" i="130" s="1"/>
  <c r="J243" i="105"/>
  <c r="J243" i="130" s="1"/>
  <c r="I243" i="105"/>
  <c r="I243" i="130" s="1"/>
  <c r="H243" i="105"/>
  <c r="H243" i="130" s="1"/>
  <c r="G243" i="105"/>
  <c r="G243" i="130" s="1"/>
  <c r="F243" i="105"/>
  <c r="F243" i="130" s="1"/>
  <c r="E243" i="105"/>
  <c r="E243" i="130" s="1"/>
  <c r="D243" i="105"/>
  <c r="D243" i="130" s="1"/>
  <c r="K242" i="105"/>
  <c r="K242" i="130" s="1"/>
  <c r="J242" i="105"/>
  <c r="J242" i="130" s="1"/>
  <c r="I242" i="105"/>
  <c r="I242" i="130" s="1"/>
  <c r="H242" i="105"/>
  <c r="H242" i="130" s="1"/>
  <c r="G242" i="105"/>
  <c r="G242" i="130" s="1"/>
  <c r="F242" i="105"/>
  <c r="F242" i="130" s="1"/>
  <c r="E242" i="105"/>
  <c r="E242" i="130" s="1"/>
  <c r="D242" i="105"/>
  <c r="D242" i="130" s="1"/>
  <c r="K241" i="105"/>
  <c r="K241" i="130" s="1"/>
  <c r="J241" i="105"/>
  <c r="J241" i="130" s="1"/>
  <c r="I241" i="105"/>
  <c r="I241" i="130" s="1"/>
  <c r="H241" i="105"/>
  <c r="H241" i="130" s="1"/>
  <c r="G241" i="105"/>
  <c r="G241" i="130" s="1"/>
  <c r="F241" i="105"/>
  <c r="F241" i="130" s="1"/>
  <c r="E241" i="105"/>
  <c r="E241" i="130" s="1"/>
  <c r="D241" i="105"/>
  <c r="D241" i="130" s="1"/>
  <c r="K240" i="105"/>
  <c r="K240" i="130" s="1"/>
  <c r="J240" i="105"/>
  <c r="J240" i="130" s="1"/>
  <c r="I240" i="105"/>
  <c r="I240" i="130" s="1"/>
  <c r="H240" i="105"/>
  <c r="H240" i="130" s="1"/>
  <c r="G240" i="105"/>
  <c r="F240"/>
  <c r="F240" i="130" s="1"/>
  <c r="E240" i="105"/>
  <c r="E240" i="130" s="1"/>
  <c r="D240" i="105"/>
  <c r="K236"/>
  <c r="K236" i="130" s="1"/>
  <c r="J236" i="105"/>
  <c r="J236" i="130" s="1"/>
  <c r="I236" i="105"/>
  <c r="I236" i="130" s="1"/>
  <c r="H236" i="105"/>
  <c r="H236" i="130" s="1"/>
  <c r="G236" i="105"/>
  <c r="G236" i="130" s="1"/>
  <c r="F236" i="105"/>
  <c r="F236" i="130" s="1"/>
  <c r="E236" i="105"/>
  <c r="E236" i="130" s="1"/>
  <c r="D236" i="105"/>
  <c r="D236" i="130" s="1"/>
  <c r="K235" i="105"/>
  <c r="K235" i="130" s="1"/>
  <c r="J235" i="105"/>
  <c r="J235" i="130" s="1"/>
  <c r="I235" i="105"/>
  <c r="I235" i="130" s="1"/>
  <c r="H235" i="105"/>
  <c r="H235" i="130" s="1"/>
  <c r="G235" i="105"/>
  <c r="G235" i="130" s="1"/>
  <c r="F235" i="105"/>
  <c r="F235" i="130" s="1"/>
  <c r="E235" i="105"/>
  <c r="E235" i="130" s="1"/>
  <c r="D235" i="105"/>
  <c r="D235" i="130" s="1"/>
  <c r="K234" i="105"/>
  <c r="K234" i="130" s="1"/>
  <c r="J234" i="105"/>
  <c r="J234" i="130" s="1"/>
  <c r="I234" i="105"/>
  <c r="I234" i="130" s="1"/>
  <c r="H234" i="105"/>
  <c r="H234" i="130" s="1"/>
  <c r="G234" i="105"/>
  <c r="G234" i="130" s="1"/>
  <c r="F234" i="105"/>
  <c r="F234" i="130" s="1"/>
  <c r="E234" i="105"/>
  <c r="E234" i="130" s="1"/>
  <c r="D234" i="105"/>
  <c r="D234" i="130" s="1"/>
  <c r="K233" i="105"/>
  <c r="K233" i="130" s="1"/>
  <c r="J233" i="105"/>
  <c r="J233" i="130" s="1"/>
  <c r="I233" i="105"/>
  <c r="I233" i="130" s="1"/>
  <c r="H233" i="105"/>
  <c r="H233" i="130" s="1"/>
  <c r="G233" i="105"/>
  <c r="G233" i="130" s="1"/>
  <c r="F233" i="105"/>
  <c r="F233" i="130" s="1"/>
  <c r="E233" i="105"/>
  <c r="E233" i="130" s="1"/>
  <c r="D233" i="105"/>
  <c r="D233" i="130" s="1"/>
  <c r="K232" i="105"/>
  <c r="K232" i="130" s="1"/>
  <c r="J232" i="105"/>
  <c r="J232" i="130" s="1"/>
  <c r="I232" i="105"/>
  <c r="I232" i="130" s="1"/>
  <c r="H232" i="105"/>
  <c r="H232" i="130" s="1"/>
  <c r="G232" i="105"/>
  <c r="G232" i="130" s="1"/>
  <c r="F232" i="105"/>
  <c r="F232" i="130" s="1"/>
  <c r="E232" i="105"/>
  <c r="E232" i="130" s="1"/>
  <c r="D232" i="105"/>
  <c r="D232" i="130" s="1"/>
  <c r="K231" i="105"/>
  <c r="K231" i="130" s="1"/>
  <c r="J231" i="105"/>
  <c r="J231" i="130" s="1"/>
  <c r="I231" i="105"/>
  <c r="I231" i="130" s="1"/>
  <c r="H231" i="105"/>
  <c r="H231" i="130" s="1"/>
  <c r="G231" i="105"/>
  <c r="G231" i="130" s="1"/>
  <c r="F231" i="105"/>
  <c r="F231" i="130" s="1"/>
  <c r="E231" i="105"/>
  <c r="E231" i="130" s="1"/>
  <c r="D231" i="105"/>
  <c r="D231" i="130" s="1"/>
  <c r="C229" i="105"/>
  <c r="C265" s="1"/>
  <c r="K222"/>
  <c r="K222" i="130" s="1"/>
  <c r="J222" i="105"/>
  <c r="J222" i="130" s="1"/>
  <c r="I222" i="105"/>
  <c r="I222" i="130" s="1"/>
  <c r="H222" i="105"/>
  <c r="H222" i="130" s="1"/>
  <c r="G222" i="105"/>
  <c r="G222" i="130" s="1"/>
  <c r="F222" i="105"/>
  <c r="F222" i="130" s="1"/>
  <c r="E222" i="105"/>
  <c r="E222" i="130" s="1"/>
  <c r="D222" i="105"/>
  <c r="D222" i="130" s="1"/>
  <c r="K221" i="105"/>
  <c r="K221" i="130" s="1"/>
  <c r="J221" i="105"/>
  <c r="J221" i="130" s="1"/>
  <c r="I221" i="105"/>
  <c r="I221" i="130" s="1"/>
  <c r="H221" i="105"/>
  <c r="H221" i="130" s="1"/>
  <c r="G221" i="105"/>
  <c r="G221" i="130" s="1"/>
  <c r="F221" i="105"/>
  <c r="F221" i="130" s="1"/>
  <c r="E221" i="105"/>
  <c r="E221" i="130" s="1"/>
  <c r="D221" i="105"/>
  <c r="D221" i="130" s="1"/>
  <c r="K220" i="105"/>
  <c r="K220" i="130" s="1"/>
  <c r="J220" i="105"/>
  <c r="J220" i="130" s="1"/>
  <c r="I220" i="105"/>
  <c r="I220" i="130" s="1"/>
  <c r="H220" i="105"/>
  <c r="H220" i="130" s="1"/>
  <c r="G220" i="105"/>
  <c r="G220" i="130" s="1"/>
  <c r="F220" i="105"/>
  <c r="F220" i="130" s="1"/>
  <c r="E220" i="105"/>
  <c r="E220" i="130" s="1"/>
  <c r="D220" i="105"/>
  <c r="D220" i="130" s="1"/>
  <c r="K219" i="105"/>
  <c r="K219" i="130" s="1"/>
  <c r="J219" i="105"/>
  <c r="J219" i="130" s="1"/>
  <c r="I219" i="105"/>
  <c r="I219" i="130" s="1"/>
  <c r="H219" i="105"/>
  <c r="H219" i="130" s="1"/>
  <c r="G219" i="105"/>
  <c r="G219" i="130" s="1"/>
  <c r="F219" i="105"/>
  <c r="F219" i="130" s="1"/>
  <c r="E219" i="105"/>
  <c r="E219" i="130" s="1"/>
  <c r="D219" i="105"/>
  <c r="D219" i="130" s="1"/>
  <c r="K218" i="105"/>
  <c r="K218" i="130" s="1"/>
  <c r="J218" i="105"/>
  <c r="J218" i="130" s="1"/>
  <c r="I218" i="105"/>
  <c r="I218" i="130" s="1"/>
  <c r="H218" i="105"/>
  <c r="H218" i="130" s="1"/>
  <c r="G218" i="105"/>
  <c r="G218" i="130" s="1"/>
  <c r="F218" i="105"/>
  <c r="F218" i="130" s="1"/>
  <c r="E218" i="105"/>
  <c r="E218" i="130" s="1"/>
  <c r="D218" i="105"/>
  <c r="D218" i="130" s="1"/>
  <c r="K217" i="105"/>
  <c r="J217"/>
  <c r="I217"/>
  <c r="I217" i="130" s="1"/>
  <c r="H217" i="105"/>
  <c r="G217"/>
  <c r="F217"/>
  <c r="F217" i="130" s="1"/>
  <c r="E217" i="105"/>
  <c r="D217"/>
  <c r="D217" i="130" s="1"/>
  <c r="K213" i="105"/>
  <c r="K213" i="130" s="1"/>
  <c r="J213" i="105"/>
  <c r="J213" i="130" s="1"/>
  <c r="I213" i="105"/>
  <c r="I213" i="130" s="1"/>
  <c r="H213" i="105"/>
  <c r="H213" i="130" s="1"/>
  <c r="G213" i="105"/>
  <c r="G213" i="130" s="1"/>
  <c r="F213" i="105"/>
  <c r="F213" i="130" s="1"/>
  <c r="E213" i="105"/>
  <c r="E213" i="130" s="1"/>
  <c r="D213" i="105"/>
  <c r="D213" i="130" s="1"/>
  <c r="K212" i="105"/>
  <c r="K212" i="130" s="1"/>
  <c r="J212" i="105"/>
  <c r="J212" i="130" s="1"/>
  <c r="I212" i="105"/>
  <c r="I212" i="130" s="1"/>
  <c r="H212" i="105"/>
  <c r="H212" i="130" s="1"/>
  <c r="G212" i="105"/>
  <c r="G212" i="130" s="1"/>
  <c r="F212" i="105"/>
  <c r="F212" i="130" s="1"/>
  <c r="E212" i="105"/>
  <c r="E212" i="130" s="1"/>
  <c r="D212" i="105"/>
  <c r="D212" i="130" s="1"/>
  <c r="K211" i="105"/>
  <c r="K211" i="130" s="1"/>
  <c r="J211" i="105"/>
  <c r="J211" i="130" s="1"/>
  <c r="I211" i="105"/>
  <c r="I211" i="130" s="1"/>
  <c r="H211" i="105"/>
  <c r="H211" i="130" s="1"/>
  <c r="G211" i="105"/>
  <c r="G211" i="130" s="1"/>
  <c r="F211" i="105"/>
  <c r="F211" i="130" s="1"/>
  <c r="E211" i="105"/>
  <c r="E211" i="130" s="1"/>
  <c r="D211" i="105"/>
  <c r="D211" i="130" s="1"/>
  <c r="K210" i="105"/>
  <c r="K210" i="130" s="1"/>
  <c r="J210" i="105"/>
  <c r="J210" i="130" s="1"/>
  <c r="I210" i="105"/>
  <c r="I210" i="130" s="1"/>
  <c r="H210" i="105"/>
  <c r="H210" i="130" s="1"/>
  <c r="G210" i="105"/>
  <c r="G210" i="130" s="1"/>
  <c r="F210" i="105"/>
  <c r="F210" i="130" s="1"/>
  <c r="E210" i="105"/>
  <c r="E210" i="130" s="1"/>
  <c r="D210" i="105"/>
  <c r="D210" i="130" s="1"/>
  <c r="K209" i="105"/>
  <c r="K209" i="130" s="1"/>
  <c r="J209" i="105"/>
  <c r="J209" i="130" s="1"/>
  <c r="I209" i="105"/>
  <c r="I209" i="130" s="1"/>
  <c r="H209" i="105"/>
  <c r="H209" i="130" s="1"/>
  <c r="G209" i="105"/>
  <c r="G209" i="130" s="1"/>
  <c r="F209" i="105"/>
  <c r="F209" i="130" s="1"/>
  <c r="E209" i="105"/>
  <c r="E209" i="130" s="1"/>
  <c r="D209" i="105"/>
  <c r="D209" i="130" s="1"/>
  <c r="K208" i="105"/>
  <c r="K208" i="130" s="1"/>
  <c r="J208" i="105"/>
  <c r="I208"/>
  <c r="H208"/>
  <c r="H208" i="130" s="1"/>
  <c r="G208" i="105"/>
  <c r="G208" i="130" s="1"/>
  <c r="F208" i="105"/>
  <c r="E208"/>
  <c r="E208" i="130" s="1"/>
  <c r="D208" i="105"/>
  <c r="D208" i="130" s="1"/>
  <c r="K204" i="105"/>
  <c r="K204" i="130" s="1"/>
  <c r="J204" i="105"/>
  <c r="J204" i="130" s="1"/>
  <c r="I204" i="105"/>
  <c r="I204" i="130" s="1"/>
  <c r="H204" i="105"/>
  <c r="H204" i="130" s="1"/>
  <c r="G204" i="105"/>
  <c r="G204" i="130" s="1"/>
  <c r="F204" i="105"/>
  <c r="F204" i="130" s="1"/>
  <c r="E204" i="105"/>
  <c r="E204" i="130" s="1"/>
  <c r="D204" i="105"/>
  <c r="D204" i="130" s="1"/>
  <c r="K203" i="105"/>
  <c r="K203" i="130" s="1"/>
  <c r="J203" i="105"/>
  <c r="J203" i="130" s="1"/>
  <c r="I203" i="105"/>
  <c r="I203" i="130" s="1"/>
  <c r="H203" i="105"/>
  <c r="H203" i="130" s="1"/>
  <c r="G203" i="105"/>
  <c r="G203" i="130" s="1"/>
  <c r="F203" i="105"/>
  <c r="F203" i="130" s="1"/>
  <c r="E203" i="105"/>
  <c r="E203" i="130" s="1"/>
  <c r="D203" i="105"/>
  <c r="D203" i="130" s="1"/>
  <c r="K202" i="105"/>
  <c r="K202" i="130" s="1"/>
  <c r="J202" i="105"/>
  <c r="J202" i="130" s="1"/>
  <c r="I202" i="105"/>
  <c r="I202" i="130" s="1"/>
  <c r="H202" i="105"/>
  <c r="H202" i="130" s="1"/>
  <c r="G202" i="105"/>
  <c r="G202" i="130" s="1"/>
  <c r="F202" i="105"/>
  <c r="F202" i="130" s="1"/>
  <c r="E202" i="105"/>
  <c r="E202" i="130" s="1"/>
  <c r="D202" i="105"/>
  <c r="D202" i="130" s="1"/>
  <c r="K201" i="105"/>
  <c r="K201" i="130" s="1"/>
  <c r="J201" i="105"/>
  <c r="J201" i="130" s="1"/>
  <c r="I201" i="105"/>
  <c r="I201" i="130" s="1"/>
  <c r="H201" i="105"/>
  <c r="H201" i="130" s="1"/>
  <c r="G201" i="105"/>
  <c r="G201" i="130" s="1"/>
  <c r="F201" i="105"/>
  <c r="F201" i="130" s="1"/>
  <c r="E201" i="105"/>
  <c r="E201" i="130" s="1"/>
  <c r="D201" i="105"/>
  <c r="D201" i="130" s="1"/>
  <c r="K200" i="105"/>
  <c r="K200" i="130" s="1"/>
  <c r="J200" i="105"/>
  <c r="J200" i="130" s="1"/>
  <c r="I200" i="105"/>
  <c r="I200" i="130" s="1"/>
  <c r="H200" i="105"/>
  <c r="H200" i="130" s="1"/>
  <c r="G200" i="105"/>
  <c r="G200" i="130" s="1"/>
  <c r="F200" i="105"/>
  <c r="F200" i="130" s="1"/>
  <c r="E200" i="105"/>
  <c r="E200" i="130" s="1"/>
  <c r="D200" i="105"/>
  <c r="D200" i="130" s="1"/>
  <c r="K199" i="105"/>
  <c r="K199" i="130" s="1"/>
  <c r="J199" i="105"/>
  <c r="J199" i="130" s="1"/>
  <c r="I199" i="105"/>
  <c r="I199" i="130" s="1"/>
  <c r="H199" i="105"/>
  <c r="H199" i="130" s="1"/>
  <c r="G199" i="105"/>
  <c r="G199" i="130" s="1"/>
  <c r="F199" i="105"/>
  <c r="F199" i="130" s="1"/>
  <c r="E199" i="105"/>
  <c r="E199" i="130" s="1"/>
  <c r="D199" i="105"/>
  <c r="K195"/>
  <c r="K195" i="130" s="1"/>
  <c r="J195" i="105"/>
  <c r="J195" i="130" s="1"/>
  <c r="I195" i="105"/>
  <c r="I195" i="130" s="1"/>
  <c r="H195" i="105"/>
  <c r="H195" i="130" s="1"/>
  <c r="G195" i="105"/>
  <c r="G195" i="130" s="1"/>
  <c r="F195" i="105"/>
  <c r="F195" i="130" s="1"/>
  <c r="E195" i="105"/>
  <c r="E195" i="130" s="1"/>
  <c r="D195" i="105"/>
  <c r="D195" i="130" s="1"/>
  <c r="K194" i="105"/>
  <c r="K194" i="130" s="1"/>
  <c r="J194" i="105"/>
  <c r="J194" i="130" s="1"/>
  <c r="I194" i="105"/>
  <c r="I194" i="130" s="1"/>
  <c r="H194" i="105"/>
  <c r="H194" i="130" s="1"/>
  <c r="G194" i="105"/>
  <c r="G194" i="130" s="1"/>
  <c r="F194" i="105"/>
  <c r="F194" i="130" s="1"/>
  <c r="E194" i="105"/>
  <c r="E194" i="130" s="1"/>
  <c r="D194" i="105"/>
  <c r="D194" i="130" s="1"/>
  <c r="K193" i="105"/>
  <c r="K193" i="130" s="1"/>
  <c r="J193" i="105"/>
  <c r="J193" i="130" s="1"/>
  <c r="I193" i="105"/>
  <c r="I193" i="130" s="1"/>
  <c r="H193" i="105"/>
  <c r="H193" i="130" s="1"/>
  <c r="G193" i="105"/>
  <c r="G193" i="130" s="1"/>
  <c r="F193" i="105"/>
  <c r="F193" i="130" s="1"/>
  <c r="E193" i="105"/>
  <c r="E193" i="130" s="1"/>
  <c r="D193" i="105"/>
  <c r="D193" i="130" s="1"/>
  <c r="K192" i="105"/>
  <c r="K192" i="130" s="1"/>
  <c r="J192" i="105"/>
  <c r="J192" i="130" s="1"/>
  <c r="I192" i="105"/>
  <c r="I192" i="130" s="1"/>
  <c r="H192" i="105"/>
  <c r="H192" i="130" s="1"/>
  <c r="G192" i="105"/>
  <c r="G192" i="130" s="1"/>
  <c r="F192" i="105"/>
  <c r="F192" i="130" s="1"/>
  <c r="E192" i="105"/>
  <c r="E192" i="130" s="1"/>
  <c r="D192" i="105"/>
  <c r="D192" i="130" s="1"/>
  <c r="K191" i="105"/>
  <c r="K191" i="130" s="1"/>
  <c r="J191" i="105"/>
  <c r="J191" i="130" s="1"/>
  <c r="I191" i="105"/>
  <c r="I191" i="130" s="1"/>
  <c r="H191" i="105"/>
  <c r="H191" i="130" s="1"/>
  <c r="G191" i="105"/>
  <c r="G191" i="130" s="1"/>
  <c r="F191" i="105"/>
  <c r="F191" i="130" s="1"/>
  <c r="E191" i="105"/>
  <c r="E191" i="130" s="1"/>
  <c r="D191" i="105"/>
  <c r="D191" i="130" s="1"/>
  <c r="K190" i="105"/>
  <c r="J190"/>
  <c r="I190"/>
  <c r="I190" i="130" s="1"/>
  <c r="H190" i="105"/>
  <c r="G190"/>
  <c r="F190"/>
  <c r="F190" i="130" s="1"/>
  <c r="E190" i="105"/>
  <c r="D190"/>
  <c r="D190" i="130" s="1"/>
  <c r="K186" i="105"/>
  <c r="K186" i="130" s="1"/>
  <c r="J186" i="105"/>
  <c r="J186" i="130" s="1"/>
  <c r="I186" i="105"/>
  <c r="I186" i="130" s="1"/>
  <c r="H186" i="105"/>
  <c r="H186" i="130" s="1"/>
  <c r="G186" i="105"/>
  <c r="G186" i="130" s="1"/>
  <c r="F186" i="105"/>
  <c r="F186" i="130" s="1"/>
  <c r="E186" i="105"/>
  <c r="E186" i="130" s="1"/>
  <c r="D186" i="105"/>
  <c r="D186" i="130" s="1"/>
  <c r="K185" i="105"/>
  <c r="K185" i="130" s="1"/>
  <c r="J185" i="105"/>
  <c r="J185" i="130" s="1"/>
  <c r="I185" i="105"/>
  <c r="I185" i="130" s="1"/>
  <c r="H185" i="105"/>
  <c r="H185" i="130" s="1"/>
  <c r="G185" i="105"/>
  <c r="G185" i="130" s="1"/>
  <c r="F185" i="105"/>
  <c r="F185" i="130" s="1"/>
  <c r="E185" i="105"/>
  <c r="E185" i="130" s="1"/>
  <c r="D185" i="105"/>
  <c r="D185" i="130" s="1"/>
  <c r="K184" i="105"/>
  <c r="K184" i="130" s="1"/>
  <c r="J184" i="105"/>
  <c r="J184" i="130" s="1"/>
  <c r="I184" i="105"/>
  <c r="I184" i="130" s="1"/>
  <c r="H184" i="105"/>
  <c r="H184" i="130" s="1"/>
  <c r="G184" i="105"/>
  <c r="G184" i="130" s="1"/>
  <c r="F184" i="105"/>
  <c r="F184" i="130" s="1"/>
  <c r="E184" i="105"/>
  <c r="E184" i="130" s="1"/>
  <c r="D184" i="105"/>
  <c r="D184" i="130" s="1"/>
  <c r="K183" i="105"/>
  <c r="K183" i="130" s="1"/>
  <c r="J183" i="105"/>
  <c r="J183" i="130" s="1"/>
  <c r="I183" i="105"/>
  <c r="I183" i="130" s="1"/>
  <c r="H183" i="105"/>
  <c r="H183" i="130" s="1"/>
  <c r="G183" i="105"/>
  <c r="G183" i="130" s="1"/>
  <c r="F183" i="105"/>
  <c r="F183" i="130" s="1"/>
  <c r="E183" i="105"/>
  <c r="E183" i="130" s="1"/>
  <c r="D183" i="105"/>
  <c r="D183" i="130" s="1"/>
  <c r="K182" i="105"/>
  <c r="K182" i="130" s="1"/>
  <c r="J182" i="105"/>
  <c r="J182" i="130" s="1"/>
  <c r="I182" i="105"/>
  <c r="I182" i="130" s="1"/>
  <c r="H182" i="105"/>
  <c r="H182" i="130" s="1"/>
  <c r="G182" i="105"/>
  <c r="G182" i="130" s="1"/>
  <c r="F182" i="105"/>
  <c r="F182" i="130" s="1"/>
  <c r="E182" i="105"/>
  <c r="E182" i="130" s="1"/>
  <c r="D182" i="105"/>
  <c r="D182" i="130" s="1"/>
  <c r="K181" i="105"/>
  <c r="K181" i="130" s="1"/>
  <c r="J181" i="105"/>
  <c r="I181"/>
  <c r="H181"/>
  <c r="H181" i="130" s="1"/>
  <c r="G181" i="105"/>
  <c r="G181" i="130" s="1"/>
  <c r="F181" i="105"/>
  <c r="E181"/>
  <c r="E181" i="130" s="1"/>
  <c r="D181" i="105"/>
  <c r="D181" i="130" s="1"/>
  <c r="K177" i="105"/>
  <c r="K177" i="130" s="1"/>
  <c r="J177" i="105"/>
  <c r="J177" i="130" s="1"/>
  <c r="I177" i="105"/>
  <c r="I177" i="130" s="1"/>
  <c r="H177" i="105"/>
  <c r="H177" i="130" s="1"/>
  <c r="G177" i="105"/>
  <c r="G177" i="130" s="1"/>
  <c r="F177" i="105"/>
  <c r="F177" i="130" s="1"/>
  <c r="E177" i="105"/>
  <c r="E177" i="130" s="1"/>
  <c r="D177" i="105"/>
  <c r="D177" i="130" s="1"/>
  <c r="K176" i="105"/>
  <c r="K176" i="130" s="1"/>
  <c r="J176" i="105"/>
  <c r="J176" i="130" s="1"/>
  <c r="I176" i="105"/>
  <c r="I176" i="130" s="1"/>
  <c r="H176" i="105"/>
  <c r="H176" i="130" s="1"/>
  <c r="G176" i="105"/>
  <c r="G176" i="130" s="1"/>
  <c r="F176" i="105"/>
  <c r="F176" i="130" s="1"/>
  <c r="E176" i="105"/>
  <c r="E176" i="130" s="1"/>
  <c r="D176" i="105"/>
  <c r="D176" i="130" s="1"/>
  <c r="K175" i="105"/>
  <c r="K175" i="130" s="1"/>
  <c r="J175" i="105"/>
  <c r="J175" i="130" s="1"/>
  <c r="I175" i="105"/>
  <c r="I175" i="130" s="1"/>
  <c r="H175" i="105"/>
  <c r="H175" i="130" s="1"/>
  <c r="G175" i="105"/>
  <c r="G175" i="130" s="1"/>
  <c r="F175" i="105"/>
  <c r="F175" i="130" s="1"/>
  <c r="E175" i="105"/>
  <c r="E175" i="130" s="1"/>
  <c r="D175" i="105"/>
  <c r="D175" i="130" s="1"/>
  <c r="K174" i="105"/>
  <c r="K174" i="130" s="1"/>
  <c r="J174" i="105"/>
  <c r="J174" i="130" s="1"/>
  <c r="I174" i="105"/>
  <c r="I174" i="130" s="1"/>
  <c r="H174" i="105"/>
  <c r="H174" i="130" s="1"/>
  <c r="G174" i="105"/>
  <c r="G174" i="130" s="1"/>
  <c r="F174" i="105"/>
  <c r="F174" i="130" s="1"/>
  <c r="E174" i="105"/>
  <c r="E174" i="130" s="1"/>
  <c r="D174" i="105"/>
  <c r="D174" i="130" s="1"/>
  <c r="K173" i="105"/>
  <c r="K173" i="130" s="1"/>
  <c r="J173" i="105"/>
  <c r="J173" i="130" s="1"/>
  <c r="I173" i="105"/>
  <c r="I173" i="130" s="1"/>
  <c r="H173" i="105"/>
  <c r="H173" i="130" s="1"/>
  <c r="G173" i="105"/>
  <c r="G173" i="130" s="1"/>
  <c r="F173" i="105"/>
  <c r="F173" i="130" s="1"/>
  <c r="E173" i="105"/>
  <c r="E173" i="130" s="1"/>
  <c r="D173" i="105"/>
  <c r="D173" i="130" s="1"/>
  <c r="K172" i="105"/>
  <c r="K172" i="130" s="1"/>
  <c r="J172" i="105"/>
  <c r="J172" i="130" s="1"/>
  <c r="I172" i="105"/>
  <c r="H172"/>
  <c r="H172" i="130" s="1"/>
  <c r="G172" i="105"/>
  <c r="G172" i="130" s="1"/>
  <c r="F172" i="105"/>
  <c r="E172"/>
  <c r="E172" i="130" s="1"/>
  <c r="D172" i="105"/>
  <c r="K168"/>
  <c r="K168" i="130" s="1"/>
  <c r="J168" i="105"/>
  <c r="J168" i="130" s="1"/>
  <c r="I168" i="105"/>
  <c r="I168" i="130" s="1"/>
  <c r="H168" i="105"/>
  <c r="H168" i="130" s="1"/>
  <c r="G168" i="105"/>
  <c r="G168" i="130" s="1"/>
  <c r="F168" i="105"/>
  <c r="F168" i="130" s="1"/>
  <c r="E168" i="105"/>
  <c r="E168" i="130" s="1"/>
  <c r="D168" i="105"/>
  <c r="D168" i="130" s="1"/>
  <c r="K167" i="105"/>
  <c r="K167" i="130" s="1"/>
  <c r="J167" i="105"/>
  <c r="J167" i="130" s="1"/>
  <c r="I167" i="105"/>
  <c r="I167" i="130" s="1"/>
  <c r="H167" i="105"/>
  <c r="H167" i="130" s="1"/>
  <c r="G167" i="105"/>
  <c r="G167" i="130" s="1"/>
  <c r="F167" i="105"/>
  <c r="F167" i="130" s="1"/>
  <c r="E167" i="105"/>
  <c r="E167" i="130" s="1"/>
  <c r="D167" i="105"/>
  <c r="D167" i="130" s="1"/>
  <c r="K166" i="105"/>
  <c r="K166" i="130" s="1"/>
  <c r="J166" i="105"/>
  <c r="J166" i="130" s="1"/>
  <c r="I166" i="105"/>
  <c r="I166" i="130" s="1"/>
  <c r="H166" i="105"/>
  <c r="H166" i="130" s="1"/>
  <c r="G166" i="105"/>
  <c r="G166" i="130" s="1"/>
  <c r="F166" i="105"/>
  <c r="F166" i="130" s="1"/>
  <c r="E166" i="105"/>
  <c r="E166" i="130" s="1"/>
  <c r="D166" i="105"/>
  <c r="D166" i="130" s="1"/>
  <c r="K165" i="105"/>
  <c r="K165" i="130" s="1"/>
  <c r="J165" i="105"/>
  <c r="J165" i="130" s="1"/>
  <c r="I165" i="105"/>
  <c r="I165" i="130" s="1"/>
  <c r="H165" i="105"/>
  <c r="H165" i="130" s="1"/>
  <c r="G165" i="105"/>
  <c r="G165" i="130" s="1"/>
  <c r="F165" i="105"/>
  <c r="F165" i="130" s="1"/>
  <c r="E165" i="105"/>
  <c r="E165" i="130" s="1"/>
  <c r="D165" i="105"/>
  <c r="D165" i="130" s="1"/>
  <c r="K164" i="105"/>
  <c r="K164" i="130" s="1"/>
  <c r="J164" i="105"/>
  <c r="J164" i="130" s="1"/>
  <c r="I164" i="105"/>
  <c r="I164" i="130" s="1"/>
  <c r="H164" i="105"/>
  <c r="H164" i="130" s="1"/>
  <c r="G164" i="105"/>
  <c r="G164" i="130" s="1"/>
  <c r="F164" i="105"/>
  <c r="F164" i="130" s="1"/>
  <c r="E164" i="105"/>
  <c r="E164" i="130" s="1"/>
  <c r="D164" i="105"/>
  <c r="D164" i="130" s="1"/>
  <c r="K163" i="105"/>
  <c r="K163" i="130" s="1"/>
  <c r="J163" i="105"/>
  <c r="I163"/>
  <c r="H163"/>
  <c r="G163"/>
  <c r="F163"/>
  <c r="E163"/>
  <c r="D163"/>
  <c r="K159"/>
  <c r="K159" i="130" s="1"/>
  <c r="J159" i="105"/>
  <c r="J159" i="130" s="1"/>
  <c r="I159" i="105"/>
  <c r="I159" i="130" s="1"/>
  <c r="H159" i="105"/>
  <c r="H159" i="130" s="1"/>
  <c r="G159" i="105"/>
  <c r="G159" i="130" s="1"/>
  <c r="F159" i="105"/>
  <c r="F159" i="130" s="1"/>
  <c r="E159" i="105"/>
  <c r="E159" i="130" s="1"/>
  <c r="D159" i="105"/>
  <c r="D159" i="130" s="1"/>
  <c r="K158" i="105"/>
  <c r="K158" i="130" s="1"/>
  <c r="J158" i="105"/>
  <c r="J158" i="130" s="1"/>
  <c r="I158" i="105"/>
  <c r="I158" i="130" s="1"/>
  <c r="H158" i="105"/>
  <c r="H158" i="130" s="1"/>
  <c r="G158" i="105"/>
  <c r="G158" i="130" s="1"/>
  <c r="F158" i="105"/>
  <c r="F158" i="130" s="1"/>
  <c r="E158" i="105"/>
  <c r="E158" i="130" s="1"/>
  <c r="D158" i="105"/>
  <c r="D158" i="130" s="1"/>
  <c r="K157" i="105"/>
  <c r="K157" i="130" s="1"/>
  <c r="J157" i="105"/>
  <c r="J157" i="130" s="1"/>
  <c r="I157" i="105"/>
  <c r="I157" i="130" s="1"/>
  <c r="H157" i="105"/>
  <c r="H157" i="130" s="1"/>
  <c r="G157" i="105"/>
  <c r="G157" i="130" s="1"/>
  <c r="F157" i="105"/>
  <c r="F157" i="130" s="1"/>
  <c r="E157" i="105"/>
  <c r="E157" i="130" s="1"/>
  <c r="D157" i="105"/>
  <c r="D157" i="130" s="1"/>
  <c r="K156" i="105"/>
  <c r="K156" i="130" s="1"/>
  <c r="J156" i="105"/>
  <c r="J156" i="130" s="1"/>
  <c r="I156" i="105"/>
  <c r="I156" i="130" s="1"/>
  <c r="H156" i="105"/>
  <c r="H156" i="130" s="1"/>
  <c r="G156" i="105"/>
  <c r="G156" i="130" s="1"/>
  <c r="F156" i="105"/>
  <c r="F156" i="130" s="1"/>
  <c r="E156" i="105"/>
  <c r="E156" i="130" s="1"/>
  <c r="D156" i="105"/>
  <c r="D156" i="130" s="1"/>
  <c r="K155" i="105"/>
  <c r="K155" i="130" s="1"/>
  <c r="J155" i="105"/>
  <c r="J155" i="130" s="1"/>
  <c r="I155" i="105"/>
  <c r="I155" i="130" s="1"/>
  <c r="H155" i="105"/>
  <c r="H155" i="130" s="1"/>
  <c r="G155" i="105"/>
  <c r="G155" i="130" s="1"/>
  <c r="F155" i="105"/>
  <c r="F155" i="130" s="1"/>
  <c r="E155" i="105"/>
  <c r="E155" i="130" s="1"/>
  <c r="D155" i="105"/>
  <c r="D155" i="130" s="1"/>
  <c r="K154" i="105"/>
  <c r="J154"/>
  <c r="I154"/>
  <c r="H154"/>
  <c r="G154"/>
  <c r="F154"/>
  <c r="E154"/>
  <c r="E154" i="130" s="1"/>
  <c r="D154" i="105"/>
  <c r="K150"/>
  <c r="K150" i="130" s="1"/>
  <c r="J150" i="105"/>
  <c r="J150" i="130" s="1"/>
  <c r="I150" i="105"/>
  <c r="I150" i="130" s="1"/>
  <c r="H150" i="105"/>
  <c r="H150" i="130" s="1"/>
  <c r="G150" i="105"/>
  <c r="G150" i="130" s="1"/>
  <c r="F150" i="105"/>
  <c r="F150" i="130" s="1"/>
  <c r="E150" i="105"/>
  <c r="E150" i="130" s="1"/>
  <c r="D150" i="105"/>
  <c r="D150" i="130" s="1"/>
  <c r="K149" i="105"/>
  <c r="K149" i="130" s="1"/>
  <c r="J149" i="105"/>
  <c r="J149" i="130" s="1"/>
  <c r="I149" i="105"/>
  <c r="I149" i="130" s="1"/>
  <c r="H149" i="105"/>
  <c r="H149" i="130" s="1"/>
  <c r="G149" i="105"/>
  <c r="G149" i="130" s="1"/>
  <c r="F149" i="105"/>
  <c r="F149" i="130" s="1"/>
  <c r="E149" i="105"/>
  <c r="E149" i="130" s="1"/>
  <c r="D149" i="105"/>
  <c r="D149" i="130" s="1"/>
  <c r="K148" i="105"/>
  <c r="K148" i="130" s="1"/>
  <c r="J148" i="105"/>
  <c r="J148" i="130" s="1"/>
  <c r="I148" i="105"/>
  <c r="I148" i="130" s="1"/>
  <c r="H148" i="105"/>
  <c r="H148" i="130" s="1"/>
  <c r="G148" i="105"/>
  <c r="G148" i="130" s="1"/>
  <c r="F148" i="105"/>
  <c r="F148" i="130" s="1"/>
  <c r="E148" i="105"/>
  <c r="E148" i="130" s="1"/>
  <c r="D148" i="105"/>
  <c r="D148" i="130" s="1"/>
  <c r="K147" i="105"/>
  <c r="K147" i="130" s="1"/>
  <c r="J147" i="105"/>
  <c r="J147" i="130" s="1"/>
  <c r="I147" i="105"/>
  <c r="I147" i="130" s="1"/>
  <c r="H147" i="105"/>
  <c r="H147" i="130" s="1"/>
  <c r="G147" i="105"/>
  <c r="G147" i="130" s="1"/>
  <c r="F147" i="105"/>
  <c r="F147" i="130" s="1"/>
  <c r="E147" i="105"/>
  <c r="E147" i="130" s="1"/>
  <c r="D147" i="105"/>
  <c r="D147" i="130" s="1"/>
  <c r="K146" i="105"/>
  <c r="K146" i="130" s="1"/>
  <c r="J146" i="105"/>
  <c r="J146" i="130" s="1"/>
  <c r="I146" i="105"/>
  <c r="I146" i="130" s="1"/>
  <c r="H146" i="105"/>
  <c r="H146" i="130" s="1"/>
  <c r="G146" i="105"/>
  <c r="G146" i="130" s="1"/>
  <c r="F146" i="105"/>
  <c r="F146" i="130" s="1"/>
  <c r="E146" i="105"/>
  <c r="E146" i="130" s="1"/>
  <c r="D146" i="105"/>
  <c r="D146" i="130" s="1"/>
  <c r="K145" i="105"/>
  <c r="J145"/>
  <c r="I145"/>
  <c r="I145" i="130" s="1"/>
  <c r="H145" i="105"/>
  <c r="G145"/>
  <c r="F145"/>
  <c r="E145"/>
  <c r="D145"/>
  <c r="K141"/>
  <c r="K141" i="130" s="1"/>
  <c r="J141" i="105"/>
  <c r="J141" i="130" s="1"/>
  <c r="I141" i="105"/>
  <c r="I141" i="130" s="1"/>
  <c r="H141" i="105"/>
  <c r="H141" i="130" s="1"/>
  <c r="G141" i="105"/>
  <c r="G141" i="130" s="1"/>
  <c r="F141" i="105"/>
  <c r="F141" i="130" s="1"/>
  <c r="E141" i="105"/>
  <c r="E141" i="130" s="1"/>
  <c r="D141" i="105"/>
  <c r="D141" i="130" s="1"/>
  <c r="K140" i="105"/>
  <c r="K140" i="130" s="1"/>
  <c r="J140" i="105"/>
  <c r="J140" i="130" s="1"/>
  <c r="I140" i="105"/>
  <c r="I140" i="130" s="1"/>
  <c r="H140" i="105"/>
  <c r="H140" i="130" s="1"/>
  <c r="G140" i="105"/>
  <c r="G140" i="130" s="1"/>
  <c r="F140" i="105"/>
  <c r="F140" i="130" s="1"/>
  <c r="E140" i="105"/>
  <c r="E140" i="130" s="1"/>
  <c r="D140" i="105"/>
  <c r="D140" i="130" s="1"/>
  <c r="K139" i="105"/>
  <c r="K139" i="130" s="1"/>
  <c r="J139" i="105"/>
  <c r="J139" i="130" s="1"/>
  <c r="I139" i="105"/>
  <c r="I139" i="130" s="1"/>
  <c r="H139" i="105"/>
  <c r="H139" i="130" s="1"/>
  <c r="G139" i="105"/>
  <c r="G139" i="130" s="1"/>
  <c r="F139" i="105"/>
  <c r="F139" i="130" s="1"/>
  <c r="E139" i="105"/>
  <c r="E139" i="130" s="1"/>
  <c r="D139" i="105"/>
  <c r="D139" i="130" s="1"/>
  <c r="K138" i="105"/>
  <c r="K138" i="130" s="1"/>
  <c r="J138" i="105"/>
  <c r="J138" i="130" s="1"/>
  <c r="I138" i="105"/>
  <c r="I138" i="130" s="1"/>
  <c r="H138" i="105"/>
  <c r="H138" i="130" s="1"/>
  <c r="G138" i="105"/>
  <c r="G138" i="130" s="1"/>
  <c r="F138" i="105"/>
  <c r="F138" i="130" s="1"/>
  <c r="E138" i="105"/>
  <c r="E138" i="130" s="1"/>
  <c r="D138" i="105"/>
  <c r="D138" i="130" s="1"/>
  <c r="K137" i="105"/>
  <c r="K137" i="130" s="1"/>
  <c r="J137" i="105"/>
  <c r="J137" i="130" s="1"/>
  <c r="I137" i="105"/>
  <c r="I137" i="130" s="1"/>
  <c r="H137" i="105"/>
  <c r="H137" i="130" s="1"/>
  <c r="G137" i="105"/>
  <c r="G137" i="130" s="1"/>
  <c r="F137" i="105"/>
  <c r="F137" i="130" s="1"/>
  <c r="E137" i="105"/>
  <c r="E137" i="130" s="1"/>
  <c r="D137" i="105"/>
  <c r="D137" i="130" s="1"/>
  <c r="K136" i="105"/>
  <c r="J136"/>
  <c r="I136"/>
  <c r="H136"/>
  <c r="G136"/>
  <c r="F136"/>
  <c r="F136" i="130" s="1"/>
  <c r="E136" i="105"/>
  <c r="D136"/>
  <c r="K132"/>
  <c r="K132" i="130" s="1"/>
  <c r="J132" i="105"/>
  <c r="J132" i="130" s="1"/>
  <c r="I132" i="105"/>
  <c r="I132" i="130" s="1"/>
  <c r="H132" i="105"/>
  <c r="H132" i="130" s="1"/>
  <c r="G132" i="105"/>
  <c r="G132" i="130" s="1"/>
  <c r="F132" i="105"/>
  <c r="F132" i="130" s="1"/>
  <c r="E132" i="105"/>
  <c r="E132" i="130" s="1"/>
  <c r="D132" i="105"/>
  <c r="D132" i="130" s="1"/>
  <c r="K131" i="105"/>
  <c r="K131" i="130" s="1"/>
  <c r="J131" i="105"/>
  <c r="J131" i="130" s="1"/>
  <c r="I131" i="105"/>
  <c r="I131" i="130" s="1"/>
  <c r="H131" i="105"/>
  <c r="H131" i="130" s="1"/>
  <c r="G131" i="105"/>
  <c r="G131" i="130" s="1"/>
  <c r="F131" i="105"/>
  <c r="F131" i="130" s="1"/>
  <c r="E131" i="105"/>
  <c r="E131" i="130" s="1"/>
  <c r="D131" i="105"/>
  <c r="D131" i="130" s="1"/>
  <c r="K130" i="105"/>
  <c r="K130" i="130" s="1"/>
  <c r="J130" i="105"/>
  <c r="J130" i="130" s="1"/>
  <c r="I130" i="105"/>
  <c r="I130" i="130" s="1"/>
  <c r="H130" i="105"/>
  <c r="H130" i="130" s="1"/>
  <c r="G130" i="105"/>
  <c r="G130" i="130" s="1"/>
  <c r="F130" i="105"/>
  <c r="E130"/>
  <c r="E130" i="130" s="1"/>
  <c r="D130" i="105"/>
  <c r="D130" i="130" s="1"/>
  <c r="K129" i="105"/>
  <c r="K129" i="130" s="1"/>
  <c r="J129" i="105"/>
  <c r="J129" i="130" s="1"/>
  <c r="I129" i="105"/>
  <c r="I129" i="130" s="1"/>
  <c r="H129" i="105"/>
  <c r="H129" i="130" s="1"/>
  <c r="G129" i="105"/>
  <c r="G129" i="130" s="1"/>
  <c r="F129" i="105"/>
  <c r="F129" i="130" s="1"/>
  <c r="E129" i="105"/>
  <c r="E129" i="130" s="1"/>
  <c r="D129" i="105"/>
  <c r="D129" i="130" s="1"/>
  <c r="K128" i="105"/>
  <c r="K128" i="130" s="1"/>
  <c r="J128" i="105"/>
  <c r="J128" i="130" s="1"/>
  <c r="I128" i="105"/>
  <c r="I128" i="130" s="1"/>
  <c r="H128" i="105"/>
  <c r="H128" i="130" s="1"/>
  <c r="G128" i="105"/>
  <c r="G128" i="130" s="1"/>
  <c r="F128" i="105"/>
  <c r="F128" i="130" s="1"/>
  <c r="E128" i="105"/>
  <c r="E128" i="130" s="1"/>
  <c r="D128" i="105"/>
  <c r="D128" i="130" s="1"/>
  <c r="K127" i="105"/>
  <c r="J127"/>
  <c r="I127"/>
  <c r="I127" i="130" s="1"/>
  <c r="H127" i="105"/>
  <c r="G127"/>
  <c r="F127"/>
  <c r="F127" i="130" s="1"/>
  <c r="E127" i="105"/>
  <c r="D127"/>
  <c r="K123"/>
  <c r="K123" i="130" s="1"/>
  <c r="J123" i="105"/>
  <c r="J123" i="130" s="1"/>
  <c r="I123" i="105"/>
  <c r="I123" i="130" s="1"/>
  <c r="H123" i="105"/>
  <c r="H123" i="130" s="1"/>
  <c r="G123" i="105"/>
  <c r="G123" i="130" s="1"/>
  <c r="F123" i="105"/>
  <c r="F123" i="130" s="1"/>
  <c r="E123" i="105"/>
  <c r="E123" i="130" s="1"/>
  <c r="D123" i="105"/>
  <c r="D123" i="130" s="1"/>
  <c r="K122" i="105"/>
  <c r="K122" i="130" s="1"/>
  <c r="J122" i="105"/>
  <c r="J122" i="130" s="1"/>
  <c r="I122" i="105"/>
  <c r="I122" i="130" s="1"/>
  <c r="H122" i="105"/>
  <c r="H122" i="130" s="1"/>
  <c r="G122" i="105"/>
  <c r="G122" i="130" s="1"/>
  <c r="F122" i="105"/>
  <c r="F122" i="130" s="1"/>
  <c r="E122" i="105"/>
  <c r="E122" i="130" s="1"/>
  <c r="D122" i="105"/>
  <c r="D122" i="130" s="1"/>
  <c r="K121" i="105"/>
  <c r="K121" i="130" s="1"/>
  <c r="J121" i="105"/>
  <c r="J121" i="130" s="1"/>
  <c r="I121" i="105"/>
  <c r="I121" i="130" s="1"/>
  <c r="H121" i="105"/>
  <c r="H121" i="130" s="1"/>
  <c r="G121" i="105"/>
  <c r="G121" i="130" s="1"/>
  <c r="F121" i="105"/>
  <c r="F121" i="130" s="1"/>
  <c r="E121" i="105"/>
  <c r="E121" i="130" s="1"/>
  <c r="D121" i="105"/>
  <c r="D121" i="130" s="1"/>
  <c r="K120" i="105"/>
  <c r="K120" i="130" s="1"/>
  <c r="J120" i="105"/>
  <c r="J120" i="130" s="1"/>
  <c r="I120" i="105"/>
  <c r="I120" i="130" s="1"/>
  <c r="H120" i="105"/>
  <c r="H120" i="130" s="1"/>
  <c r="G120" i="105"/>
  <c r="G120" i="130" s="1"/>
  <c r="F120" i="105"/>
  <c r="F120" i="130" s="1"/>
  <c r="E120" i="105"/>
  <c r="E120" i="130" s="1"/>
  <c r="D120" i="105"/>
  <c r="D120" i="130" s="1"/>
  <c r="K119" i="105"/>
  <c r="K119" i="130" s="1"/>
  <c r="J119" i="105"/>
  <c r="J119" i="130" s="1"/>
  <c r="I119" i="105"/>
  <c r="I119" i="130" s="1"/>
  <c r="H119" i="105"/>
  <c r="H119" i="130" s="1"/>
  <c r="G119" i="105"/>
  <c r="G119" i="130" s="1"/>
  <c r="F119" i="105"/>
  <c r="F119" i="130" s="1"/>
  <c r="E119" i="105"/>
  <c r="E119" i="130" s="1"/>
  <c r="D119" i="105"/>
  <c r="D119" i="130" s="1"/>
  <c r="K118" i="105"/>
  <c r="J118"/>
  <c r="J118" i="130" s="1"/>
  <c r="I118" i="105"/>
  <c r="H118"/>
  <c r="G118"/>
  <c r="G118" i="130" s="1"/>
  <c r="F118" i="105"/>
  <c r="E118"/>
  <c r="D118"/>
  <c r="D118" i="130" s="1"/>
  <c r="K114" i="105"/>
  <c r="K114" i="130" s="1"/>
  <c r="J114" i="105"/>
  <c r="J114" i="130" s="1"/>
  <c r="I114" i="105"/>
  <c r="I114" i="130" s="1"/>
  <c r="H114" i="105"/>
  <c r="H114" i="130" s="1"/>
  <c r="G114" i="105"/>
  <c r="G114" i="130" s="1"/>
  <c r="F114" i="105"/>
  <c r="F114" i="130" s="1"/>
  <c r="E114" i="105"/>
  <c r="E114" i="130" s="1"/>
  <c r="D114" i="105"/>
  <c r="D114" i="130" s="1"/>
  <c r="K113" i="105"/>
  <c r="K113" i="130" s="1"/>
  <c r="J113" i="105"/>
  <c r="J113" i="130" s="1"/>
  <c r="I113" i="105"/>
  <c r="I113" i="130" s="1"/>
  <c r="H113" i="105"/>
  <c r="H113" i="130" s="1"/>
  <c r="G113" i="105"/>
  <c r="G113" i="130" s="1"/>
  <c r="F113" i="105"/>
  <c r="F113" i="130" s="1"/>
  <c r="E113" i="105"/>
  <c r="E113" i="130" s="1"/>
  <c r="D113" i="105"/>
  <c r="D113" i="130" s="1"/>
  <c r="K112" i="105"/>
  <c r="K112" i="130" s="1"/>
  <c r="J112" i="105"/>
  <c r="J112" i="130" s="1"/>
  <c r="I112" i="105"/>
  <c r="I112" i="130" s="1"/>
  <c r="H112" i="105"/>
  <c r="H112" i="130" s="1"/>
  <c r="G112" i="105"/>
  <c r="G112" i="130" s="1"/>
  <c r="F112" i="105"/>
  <c r="F112" i="130" s="1"/>
  <c r="E112" i="105"/>
  <c r="E112" i="130" s="1"/>
  <c r="D112" i="105"/>
  <c r="D112" i="130" s="1"/>
  <c r="K111" i="105"/>
  <c r="K111" i="130" s="1"/>
  <c r="J111" i="105"/>
  <c r="J111" i="130" s="1"/>
  <c r="I111" i="105"/>
  <c r="I111" i="130" s="1"/>
  <c r="H111" i="105"/>
  <c r="H111" i="130" s="1"/>
  <c r="G111" i="105"/>
  <c r="G111" i="130" s="1"/>
  <c r="F111" i="105"/>
  <c r="F111" i="130" s="1"/>
  <c r="E111" i="105"/>
  <c r="E111" i="130" s="1"/>
  <c r="D111" i="105"/>
  <c r="D111" i="130" s="1"/>
  <c r="K110" i="105"/>
  <c r="K110" i="130" s="1"/>
  <c r="J110" i="105"/>
  <c r="J110" i="130" s="1"/>
  <c r="I110" i="105"/>
  <c r="I110" i="130" s="1"/>
  <c r="H110" i="105"/>
  <c r="H110" i="130" s="1"/>
  <c r="G110" i="105"/>
  <c r="G110" i="130" s="1"/>
  <c r="F110" i="105"/>
  <c r="F110" i="130" s="1"/>
  <c r="E110" i="105"/>
  <c r="E110" i="130" s="1"/>
  <c r="D110" i="105"/>
  <c r="D110" i="130" s="1"/>
  <c r="K109" i="105"/>
  <c r="K109" i="130" s="1"/>
  <c r="J109" i="105"/>
  <c r="I109"/>
  <c r="H109"/>
  <c r="H109" i="130" s="1"/>
  <c r="G109" i="105"/>
  <c r="F109"/>
  <c r="E109"/>
  <c r="E109" i="130" s="1"/>
  <c r="D109" i="105"/>
  <c r="K105"/>
  <c r="K105" i="130" s="1"/>
  <c r="J105" i="105"/>
  <c r="J105" i="130" s="1"/>
  <c r="I105" i="105"/>
  <c r="I105" i="130" s="1"/>
  <c r="H105" i="105"/>
  <c r="H105" i="130" s="1"/>
  <c r="G105" i="105"/>
  <c r="G105" i="130" s="1"/>
  <c r="F105" i="105"/>
  <c r="F105" i="130" s="1"/>
  <c r="E105" i="105"/>
  <c r="E105" i="130" s="1"/>
  <c r="D105" i="105"/>
  <c r="D105" i="130" s="1"/>
  <c r="K104" i="105"/>
  <c r="K104" i="130" s="1"/>
  <c r="J104" i="105"/>
  <c r="J104" i="130" s="1"/>
  <c r="I104" i="105"/>
  <c r="I104" i="130" s="1"/>
  <c r="H104" i="105"/>
  <c r="H104" i="130" s="1"/>
  <c r="G104" i="105"/>
  <c r="G104" i="130" s="1"/>
  <c r="F104" i="105"/>
  <c r="F104" i="130" s="1"/>
  <c r="E104" i="105"/>
  <c r="E104" i="130" s="1"/>
  <c r="D104" i="105"/>
  <c r="D104" i="130" s="1"/>
  <c r="K103" i="105"/>
  <c r="K103" i="130" s="1"/>
  <c r="J103" i="105"/>
  <c r="J103" i="130" s="1"/>
  <c r="I103" i="105"/>
  <c r="I103" i="130" s="1"/>
  <c r="H103" i="105"/>
  <c r="H103" i="130" s="1"/>
  <c r="G103" i="105"/>
  <c r="G103" i="130" s="1"/>
  <c r="F103" i="105"/>
  <c r="E103"/>
  <c r="E103" i="130" s="1"/>
  <c r="D103" i="105"/>
  <c r="D103" i="130" s="1"/>
  <c r="K102" i="105"/>
  <c r="K102" i="130" s="1"/>
  <c r="J102" i="105"/>
  <c r="J102" i="130" s="1"/>
  <c r="I102" i="105"/>
  <c r="I102" i="130" s="1"/>
  <c r="H102" i="105"/>
  <c r="H102" i="130" s="1"/>
  <c r="G102" i="105"/>
  <c r="G102" i="130" s="1"/>
  <c r="F102" i="105"/>
  <c r="F102" i="130" s="1"/>
  <c r="E102" i="105"/>
  <c r="E102" i="130" s="1"/>
  <c r="D102" i="105"/>
  <c r="D102" i="130" s="1"/>
  <c r="K101" i="105"/>
  <c r="K101" i="130" s="1"/>
  <c r="J101" i="105"/>
  <c r="J101" i="130" s="1"/>
  <c r="I101" i="105"/>
  <c r="I101" i="130" s="1"/>
  <c r="H101" i="105"/>
  <c r="H101" i="130" s="1"/>
  <c r="G101" i="105"/>
  <c r="G101" i="130" s="1"/>
  <c r="F101" i="105"/>
  <c r="F101" i="130" s="1"/>
  <c r="E101" i="105"/>
  <c r="E101" i="130" s="1"/>
  <c r="D101" i="105"/>
  <c r="D101" i="130" s="1"/>
  <c r="K100" i="105"/>
  <c r="K100" i="130" s="1"/>
  <c r="J100" i="105"/>
  <c r="J100" i="130" s="1"/>
  <c r="I100" i="105"/>
  <c r="I100" i="130" s="1"/>
  <c r="H100" i="105"/>
  <c r="H100" i="130" s="1"/>
  <c r="G100" i="105"/>
  <c r="G100" i="130" s="1"/>
  <c r="F100" i="105"/>
  <c r="F100" i="130" s="1"/>
  <c r="E100" i="105"/>
  <c r="E100" i="130" s="1"/>
  <c r="D100" i="105"/>
  <c r="D100" i="130" s="1"/>
  <c r="K94" i="105"/>
  <c r="K94" i="130" s="1"/>
  <c r="J94" i="105"/>
  <c r="J94" i="130" s="1"/>
  <c r="I94" i="105"/>
  <c r="I94" i="130" s="1"/>
  <c r="H94" i="105"/>
  <c r="H94" i="130" s="1"/>
  <c r="G94" i="105"/>
  <c r="G94" i="130" s="1"/>
  <c r="F94" i="105"/>
  <c r="F94" i="130" s="1"/>
  <c r="E94" i="105"/>
  <c r="E94" i="130" s="1"/>
  <c r="D94" i="105"/>
  <c r="D94" i="130" s="1"/>
  <c r="K93" i="105"/>
  <c r="K93" i="130" s="1"/>
  <c r="J93" i="105"/>
  <c r="J93" i="130" s="1"/>
  <c r="I93" i="105"/>
  <c r="I93" i="130" s="1"/>
  <c r="H93" i="105"/>
  <c r="H93" i="130" s="1"/>
  <c r="G93" i="105"/>
  <c r="G93" i="130" s="1"/>
  <c r="F93" i="105"/>
  <c r="F93" i="130" s="1"/>
  <c r="E93" i="105"/>
  <c r="E93" i="130" s="1"/>
  <c r="D93" i="105"/>
  <c r="D93" i="130" s="1"/>
  <c r="K92" i="105"/>
  <c r="K92" i="130" s="1"/>
  <c r="J92" i="105"/>
  <c r="J92" i="130" s="1"/>
  <c r="I92" i="105"/>
  <c r="I92" i="130" s="1"/>
  <c r="H92" i="105"/>
  <c r="H92" i="130" s="1"/>
  <c r="G92" i="105"/>
  <c r="G92" i="130" s="1"/>
  <c r="F92" i="105"/>
  <c r="F92" i="130" s="1"/>
  <c r="E92" i="105"/>
  <c r="E92" i="130" s="1"/>
  <c r="D92" i="105"/>
  <c r="D92" i="130" s="1"/>
  <c r="K91" i="105"/>
  <c r="K91" i="130" s="1"/>
  <c r="J91" i="105"/>
  <c r="J91" i="130" s="1"/>
  <c r="I91" i="105"/>
  <c r="I91" i="130" s="1"/>
  <c r="H91" i="105"/>
  <c r="H91" i="130" s="1"/>
  <c r="G91" i="105"/>
  <c r="G91" i="130" s="1"/>
  <c r="F91" i="105"/>
  <c r="F91" i="130" s="1"/>
  <c r="E91" i="105"/>
  <c r="E91" i="130" s="1"/>
  <c r="D91" i="105"/>
  <c r="D91" i="130" s="1"/>
  <c r="K90" i="105"/>
  <c r="K90" i="130" s="1"/>
  <c r="J90" i="105"/>
  <c r="J90" i="130" s="1"/>
  <c r="I90" i="105"/>
  <c r="I90" i="130" s="1"/>
  <c r="H90" i="105"/>
  <c r="H90" i="130" s="1"/>
  <c r="G90" i="105"/>
  <c r="G90" i="130" s="1"/>
  <c r="F90" i="105"/>
  <c r="F90" i="130" s="1"/>
  <c r="E90" i="105"/>
  <c r="E90" i="130" s="1"/>
  <c r="D90" i="105"/>
  <c r="D90" i="130" s="1"/>
  <c r="K89" i="105"/>
  <c r="K89" i="130" s="1"/>
  <c r="J89" i="105"/>
  <c r="J89" i="130" s="1"/>
  <c r="I89" i="105"/>
  <c r="H89"/>
  <c r="G89"/>
  <c r="G89" i="130" s="1"/>
  <c r="F89" i="105"/>
  <c r="E89"/>
  <c r="D89"/>
  <c r="D89" i="130" s="1"/>
  <c r="K85" i="105"/>
  <c r="K85" i="130" s="1"/>
  <c r="J85" i="105"/>
  <c r="J85" i="130" s="1"/>
  <c r="I85" i="105"/>
  <c r="I85" i="130" s="1"/>
  <c r="H85" i="105"/>
  <c r="H85" i="130" s="1"/>
  <c r="G85" i="105"/>
  <c r="G85" i="130" s="1"/>
  <c r="F85" i="105"/>
  <c r="F85" i="130" s="1"/>
  <c r="E85" i="105"/>
  <c r="E85" i="130" s="1"/>
  <c r="D85" i="105"/>
  <c r="D85" i="130" s="1"/>
  <c r="K84" i="105"/>
  <c r="K84" i="130" s="1"/>
  <c r="J84" i="105"/>
  <c r="J84" i="130" s="1"/>
  <c r="I84" i="105"/>
  <c r="I84" i="130" s="1"/>
  <c r="H84" i="105"/>
  <c r="H84" i="130" s="1"/>
  <c r="G84" i="105"/>
  <c r="G84" i="130" s="1"/>
  <c r="F84" i="105"/>
  <c r="F84" i="130" s="1"/>
  <c r="E84" i="105"/>
  <c r="E84" i="130" s="1"/>
  <c r="D84" i="105"/>
  <c r="D84" i="130" s="1"/>
  <c r="K83" i="105"/>
  <c r="K83" i="130" s="1"/>
  <c r="J83" i="105"/>
  <c r="J83" i="130" s="1"/>
  <c r="I83" i="105"/>
  <c r="I83" i="130" s="1"/>
  <c r="H83" i="105"/>
  <c r="H83" i="130" s="1"/>
  <c r="G83" i="105"/>
  <c r="G83" i="130" s="1"/>
  <c r="F83" i="105"/>
  <c r="F83" i="130" s="1"/>
  <c r="E83" i="105"/>
  <c r="E83" i="130" s="1"/>
  <c r="D83" i="105"/>
  <c r="D83" i="130" s="1"/>
  <c r="K82" i="105"/>
  <c r="K82" i="130" s="1"/>
  <c r="J82" i="105"/>
  <c r="J82" i="130" s="1"/>
  <c r="I82" i="105"/>
  <c r="I82" i="130" s="1"/>
  <c r="H82" i="105"/>
  <c r="H82" i="130" s="1"/>
  <c r="G82" i="105"/>
  <c r="G82" i="130" s="1"/>
  <c r="F82" i="105"/>
  <c r="F82" i="130" s="1"/>
  <c r="E82" i="105"/>
  <c r="E82" i="130" s="1"/>
  <c r="D82" i="105"/>
  <c r="D82" i="130" s="1"/>
  <c r="K81" i="105"/>
  <c r="K81" i="130" s="1"/>
  <c r="J81" i="105"/>
  <c r="J81" i="130" s="1"/>
  <c r="I81" i="105"/>
  <c r="I81" i="130" s="1"/>
  <c r="H81" i="105"/>
  <c r="H81" i="130" s="1"/>
  <c r="G81" i="105"/>
  <c r="G81" i="130" s="1"/>
  <c r="F81" i="105"/>
  <c r="F81" i="130" s="1"/>
  <c r="E81" i="105"/>
  <c r="E81" i="130" s="1"/>
  <c r="D81" i="105"/>
  <c r="D81" i="130" s="1"/>
  <c r="K80" i="105"/>
  <c r="K80" i="130" s="1"/>
  <c r="J80" i="105"/>
  <c r="J80" i="130" s="1"/>
  <c r="I80" i="105"/>
  <c r="H80"/>
  <c r="H80" i="130" s="1"/>
  <c r="G80" i="105"/>
  <c r="G80" i="130" s="1"/>
  <c r="F80" i="105"/>
  <c r="E80"/>
  <c r="E80" i="130" s="1"/>
  <c r="D80" i="105"/>
  <c r="D80" i="130" s="1"/>
  <c r="K76" i="105"/>
  <c r="K76" i="130" s="1"/>
  <c r="J76" i="105"/>
  <c r="J76" i="130" s="1"/>
  <c r="I76" i="105"/>
  <c r="I76" i="130" s="1"/>
  <c r="H76" i="105"/>
  <c r="H76" i="130" s="1"/>
  <c r="G76" i="105"/>
  <c r="G76" i="130" s="1"/>
  <c r="F76" i="105"/>
  <c r="F76" i="130" s="1"/>
  <c r="E76" i="105"/>
  <c r="E76" i="130" s="1"/>
  <c r="D76" i="105"/>
  <c r="D76" i="130" s="1"/>
  <c r="K75" i="105"/>
  <c r="K75" i="130" s="1"/>
  <c r="J75" i="105"/>
  <c r="J75" i="130" s="1"/>
  <c r="I75" i="105"/>
  <c r="I75" i="130" s="1"/>
  <c r="H75" i="105"/>
  <c r="H75" i="130" s="1"/>
  <c r="G75" i="105"/>
  <c r="G75" i="130" s="1"/>
  <c r="F75" i="105"/>
  <c r="F75" i="130" s="1"/>
  <c r="E75" i="105"/>
  <c r="E75" i="130" s="1"/>
  <c r="D75" i="105"/>
  <c r="D75" i="130" s="1"/>
  <c r="K74" i="105"/>
  <c r="K74" i="130" s="1"/>
  <c r="J74" i="105"/>
  <c r="J74" i="130" s="1"/>
  <c r="I74" i="105"/>
  <c r="I74" i="130" s="1"/>
  <c r="H74" i="105"/>
  <c r="H74" i="130" s="1"/>
  <c r="G74" i="105"/>
  <c r="G74" i="130" s="1"/>
  <c r="F74" i="105"/>
  <c r="F74" i="130" s="1"/>
  <c r="E74" i="105"/>
  <c r="E74" i="130" s="1"/>
  <c r="D74" i="105"/>
  <c r="D74" i="130" s="1"/>
  <c r="K73" i="105"/>
  <c r="K73" i="130" s="1"/>
  <c r="J73" i="105"/>
  <c r="J73" i="130" s="1"/>
  <c r="I73" i="105"/>
  <c r="I73" i="130" s="1"/>
  <c r="H73" i="105"/>
  <c r="H73" i="130" s="1"/>
  <c r="G73" i="105"/>
  <c r="G73" i="130" s="1"/>
  <c r="F73" i="105"/>
  <c r="F73" i="130" s="1"/>
  <c r="E73" i="105"/>
  <c r="E73" i="130" s="1"/>
  <c r="D73" i="105"/>
  <c r="D73" i="130" s="1"/>
  <c r="K72" i="105"/>
  <c r="K72" i="130" s="1"/>
  <c r="J72" i="105"/>
  <c r="J72" i="130" s="1"/>
  <c r="I72" i="105"/>
  <c r="I72" i="130" s="1"/>
  <c r="H72" i="105"/>
  <c r="H72" i="130" s="1"/>
  <c r="G72" i="105"/>
  <c r="G72" i="130" s="1"/>
  <c r="F72" i="105"/>
  <c r="F72" i="130" s="1"/>
  <c r="E72" i="105"/>
  <c r="E72" i="130" s="1"/>
  <c r="D72" i="105"/>
  <c r="D72" i="130" s="1"/>
  <c r="K71" i="105"/>
  <c r="J71"/>
  <c r="J71" i="130" s="1"/>
  <c r="I71" i="105"/>
  <c r="I71" i="130" s="1"/>
  <c r="H71" i="105"/>
  <c r="G71"/>
  <c r="G71" i="130" s="1"/>
  <c r="F71" i="105"/>
  <c r="F71" i="130" s="1"/>
  <c r="E71" i="105"/>
  <c r="D71"/>
  <c r="D71" i="130" s="1"/>
  <c r="K67" i="105"/>
  <c r="K67" i="130" s="1"/>
  <c r="J67" i="105"/>
  <c r="J67" i="130" s="1"/>
  <c r="I67" i="105"/>
  <c r="I67" i="130" s="1"/>
  <c r="H67" i="105"/>
  <c r="H67" i="130" s="1"/>
  <c r="G67" i="105"/>
  <c r="G67" i="130" s="1"/>
  <c r="F67" i="105"/>
  <c r="F67" i="130" s="1"/>
  <c r="E67" i="105"/>
  <c r="E67" i="130" s="1"/>
  <c r="D67" i="105"/>
  <c r="D67" i="130" s="1"/>
  <c r="K66" i="105"/>
  <c r="K66" i="130" s="1"/>
  <c r="J66" i="105"/>
  <c r="J66" i="130" s="1"/>
  <c r="I66" i="105"/>
  <c r="I66" i="130" s="1"/>
  <c r="H66" i="105"/>
  <c r="H66" i="130" s="1"/>
  <c r="G66" i="105"/>
  <c r="G66" i="130" s="1"/>
  <c r="F66" i="105"/>
  <c r="F66" i="130" s="1"/>
  <c r="E66" i="105"/>
  <c r="E66" i="130" s="1"/>
  <c r="D66" i="105"/>
  <c r="D66" i="130" s="1"/>
  <c r="K65" i="105"/>
  <c r="K65" i="130" s="1"/>
  <c r="J65" i="105"/>
  <c r="J65" i="130" s="1"/>
  <c r="I65" i="105"/>
  <c r="I65" i="130" s="1"/>
  <c r="H65" i="105"/>
  <c r="H65" i="130" s="1"/>
  <c r="G65" i="105"/>
  <c r="G65" i="130" s="1"/>
  <c r="F65" i="105"/>
  <c r="F65" i="130" s="1"/>
  <c r="E65" i="105"/>
  <c r="E65" i="130" s="1"/>
  <c r="D65" i="105"/>
  <c r="D65" i="130" s="1"/>
  <c r="K64" i="105"/>
  <c r="K64" i="130" s="1"/>
  <c r="J64" i="105"/>
  <c r="J64" i="130" s="1"/>
  <c r="I64" i="105"/>
  <c r="I64" i="130" s="1"/>
  <c r="H64" i="105"/>
  <c r="H64" i="130" s="1"/>
  <c r="G64" i="105"/>
  <c r="G64" i="130" s="1"/>
  <c r="F64" i="105"/>
  <c r="F64" i="130" s="1"/>
  <c r="E64" i="105"/>
  <c r="E64" i="130" s="1"/>
  <c r="D64" i="105"/>
  <c r="D64" i="130" s="1"/>
  <c r="K63" i="105"/>
  <c r="K63" i="130" s="1"/>
  <c r="J63" i="105"/>
  <c r="J63" i="130" s="1"/>
  <c r="I63" i="105"/>
  <c r="I63" i="130" s="1"/>
  <c r="H63" i="105"/>
  <c r="H63" i="130" s="1"/>
  <c r="G63" i="105"/>
  <c r="G63" i="130" s="1"/>
  <c r="F63" i="105"/>
  <c r="F63" i="130" s="1"/>
  <c r="E63" i="105"/>
  <c r="E63" i="130" s="1"/>
  <c r="D63" i="105"/>
  <c r="D63" i="130" s="1"/>
  <c r="K62" i="105"/>
  <c r="K62" i="130" s="1"/>
  <c r="J62" i="105"/>
  <c r="J62" i="130" s="1"/>
  <c r="I62" i="105"/>
  <c r="H62"/>
  <c r="G62"/>
  <c r="G62" i="130" s="1"/>
  <c r="F62" i="105"/>
  <c r="E62"/>
  <c r="D62"/>
  <c r="D62" i="130" s="1"/>
  <c r="K58" i="105"/>
  <c r="K58" i="130" s="1"/>
  <c r="J58" i="105"/>
  <c r="J58" i="130" s="1"/>
  <c r="I58" i="105"/>
  <c r="I58" i="130" s="1"/>
  <c r="H58" i="105"/>
  <c r="H58" i="130" s="1"/>
  <c r="G58" i="105"/>
  <c r="G58" i="130" s="1"/>
  <c r="F58" i="105"/>
  <c r="F58" i="130" s="1"/>
  <c r="E58" i="105"/>
  <c r="E58" i="130" s="1"/>
  <c r="D58" i="105"/>
  <c r="D58" i="130" s="1"/>
  <c r="K57" i="105"/>
  <c r="K57" i="130" s="1"/>
  <c r="J57" i="105"/>
  <c r="J57" i="130" s="1"/>
  <c r="I57" i="105"/>
  <c r="I57" i="130" s="1"/>
  <c r="H57" i="105"/>
  <c r="H57" i="130" s="1"/>
  <c r="G57" i="105"/>
  <c r="G57" i="130" s="1"/>
  <c r="F57" i="105"/>
  <c r="F57" i="130" s="1"/>
  <c r="E57" i="105"/>
  <c r="E57" i="130" s="1"/>
  <c r="D57" i="105"/>
  <c r="D57" i="130" s="1"/>
  <c r="K56" i="105"/>
  <c r="K56" i="130" s="1"/>
  <c r="J56" i="105"/>
  <c r="J56" i="130" s="1"/>
  <c r="I56" i="105"/>
  <c r="I56" i="130" s="1"/>
  <c r="H56" i="105"/>
  <c r="H56" i="130" s="1"/>
  <c r="G56" i="105"/>
  <c r="G56" i="130" s="1"/>
  <c r="F56" i="105"/>
  <c r="F56" i="130" s="1"/>
  <c r="E56" i="105"/>
  <c r="E56" i="130" s="1"/>
  <c r="D56" i="105"/>
  <c r="D56" i="130" s="1"/>
  <c r="K55" i="105"/>
  <c r="K55" i="130" s="1"/>
  <c r="J55" i="105"/>
  <c r="J55" i="130" s="1"/>
  <c r="I55" i="105"/>
  <c r="I55" i="130" s="1"/>
  <c r="H55" i="105"/>
  <c r="H55" i="130" s="1"/>
  <c r="G55" i="105"/>
  <c r="G55" i="130" s="1"/>
  <c r="F55" i="105"/>
  <c r="F55" i="130" s="1"/>
  <c r="E55" i="105"/>
  <c r="E55" i="130" s="1"/>
  <c r="D55" i="105"/>
  <c r="D55" i="130" s="1"/>
  <c r="K54" i="105"/>
  <c r="K54" i="130" s="1"/>
  <c r="J54" i="105"/>
  <c r="J54" i="130" s="1"/>
  <c r="I54" i="105"/>
  <c r="I54" i="130" s="1"/>
  <c r="H54" i="105"/>
  <c r="H54" i="130" s="1"/>
  <c r="G54" i="105"/>
  <c r="G54" i="130" s="1"/>
  <c r="F54" i="105"/>
  <c r="F54" i="130" s="1"/>
  <c r="E54" i="105"/>
  <c r="E54" i="130" s="1"/>
  <c r="D54" i="105"/>
  <c r="D54" i="130" s="1"/>
  <c r="K53" i="105"/>
  <c r="K53" i="130" s="1"/>
  <c r="J53" i="105"/>
  <c r="J53" i="130" s="1"/>
  <c r="I53" i="105"/>
  <c r="H53"/>
  <c r="H53" i="130" s="1"/>
  <c r="G53" i="105"/>
  <c r="G53" i="130" s="1"/>
  <c r="F53" i="105"/>
  <c r="E53"/>
  <c r="E53" i="130" s="1"/>
  <c r="D53" i="105"/>
  <c r="D53" i="130" s="1"/>
  <c r="K49" i="105"/>
  <c r="K49" i="130" s="1"/>
  <c r="J49" i="105"/>
  <c r="J49" i="130" s="1"/>
  <c r="I49" i="105"/>
  <c r="I49" i="130" s="1"/>
  <c r="H49" i="105"/>
  <c r="H49" i="130" s="1"/>
  <c r="G49" i="105"/>
  <c r="G49" i="130" s="1"/>
  <c r="F49" i="105"/>
  <c r="F49" i="130" s="1"/>
  <c r="E49" i="105"/>
  <c r="E49" i="130" s="1"/>
  <c r="D49" i="105"/>
  <c r="D49" i="130" s="1"/>
  <c r="K48" i="105"/>
  <c r="K48" i="130" s="1"/>
  <c r="J48" i="105"/>
  <c r="J48" i="130" s="1"/>
  <c r="I48" i="105"/>
  <c r="I48" i="130" s="1"/>
  <c r="H48" i="105"/>
  <c r="H48" i="130" s="1"/>
  <c r="G48" i="105"/>
  <c r="G48" i="130" s="1"/>
  <c r="F48" i="105"/>
  <c r="F48" i="130" s="1"/>
  <c r="E48" i="105"/>
  <c r="E48" i="130" s="1"/>
  <c r="D48" i="105"/>
  <c r="D48" i="130" s="1"/>
  <c r="K47" i="105"/>
  <c r="K47" i="130" s="1"/>
  <c r="J47" i="105"/>
  <c r="J47" i="130" s="1"/>
  <c r="I47" i="105"/>
  <c r="I47" i="130" s="1"/>
  <c r="H47" i="105"/>
  <c r="H47" i="130" s="1"/>
  <c r="G47" i="105"/>
  <c r="G47" i="130" s="1"/>
  <c r="F47" i="105"/>
  <c r="F47" i="130" s="1"/>
  <c r="E47" i="105"/>
  <c r="E47" i="130" s="1"/>
  <c r="D47" i="105"/>
  <c r="D47" i="130" s="1"/>
  <c r="K46" i="105"/>
  <c r="K46" i="130" s="1"/>
  <c r="J46" i="105"/>
  <c r="J46" i="130" s="1"/>
  <c r="I46" i="105"/>
  <c r="I46" i="130" s="1"/>
  <c r="H46" i="105"/>
  <c r="H46" i="130" s="1"/>
  <c r="G46" i="105"/>
  <c r="G46" i="130" s="1"/>
  <c r="F46" i="105"/>
  <c r="F46" i="130" s="1"/>
  <c r="E46" i="105"/>
  <c r="E46" i="130" s="1"/>
  <c r="D46" i="105"/>
  <c r="D46" i="130" s="1"/>
  <c r="K45" i="105"/>
  <c r="K45" i="130" s="1"/>
  <c r="J45" i="105"/>
  <c r="J45" i="130" s="1"/>
  <c r="I45" i="105"/>
  <c r="I45" i="130" s="1"/>
  <c r="H45" i="105"/>
  <c r="H45" i="130" s="1"/>
  <c r="G45" i="105"/>
  <c r="G45" i="130" s="1"/>
  <c r="F45" i="105"/>
  <c r="F45" i="130" s="1"/>
  <c r="E45" i="105"/>
  <c r="E45" i="130" s="1"/>
  <c r="D45" i="105"/>
  <c r="D45" i="130" s="1"/>
  <c r="K44" i="105"/>
  <c r="J44"/>
  <c r="J44" i="130" s="1"/>
  <c r="I44" i="105"/>
  <c r="I44" i="130" s="1"/>
  <c r="H44" i="105"/>
  <c r="G44"/>
  <c r="G44" i="130" s="1"/>
  <c r="F44" i="105"/>
  <c r="F44" i="130" s="1"/>
  <c r="E44" i="105"/>
  <c r="D44"/>
  <c r="D44" i="130" s="1"/>
  <c r="K40" i="105"/>
  <c r="K40" i="130" s="1"/>
  <c r="J40" i="105"/>
  <c r="J40" i="130" s="1"/>
  <c r="I40" i="105"/>
  <c r="I40" i="130" s="1"/>
  <c r="H40" i="105"/>
  <c r="H40" i="130" s="1"/>
  <c r="G40" i="105"/>
  <c r="G40" i="130" s="1"/>
  <c r="F40" i="105"/>
  <c r="F40" i="130" s="1"/>
  <c r="E40" i="105"/>
  <c r="E40" i="130" s="1"/>
  <c r="D40" i="105"/>
  <c r="D40" i="130" s="1"/>
  <c r="K39" i="105"/>
  <c r="K39" i="130" s="1"/>
  <c r="J39" i="105"/>
  <c r="J39" i="130" s="1"/>
  <c r="I39" i="105"/>
  <c r="I39" i="130" s="1"/>
  <c r="H39" i="105"/>
  <c r="H39" i="130" s="1"/>
  <c r="G39" i="105"/>
  <c r="G39" i="130" s="1"/>
  <c r="F39" i="105"/>
  <c r="F39" i="130" s="1"/>
  <c r="E39" i="105"/>
  <c r="E39" i="130" s="1"/>
  <c r="D39" i="105"/>
  <c r="D39" i="130" s="1"/>
  <c r="K38" i="105"/>
  <c r="K38" i="130" s="1"/>
  <c r="J38" i="105"/>
  <c r="J38" i="130" s="1"/>
  <c r="I38" i="105"/>
  <c r="I38" i="130" s="1"/>
  <c r="H38" i="105"/>
  <c r="H38" i="130" s="1"/>
  <c r="G38" i="105"/>
  <c r="G38" i="130" s="1"/>
  <c r="F38" i="105"/>
  <c r="F38" i="130" s="1"/>
  <c r="E38" i="105"/>
  <c r="E38" i="130" s="1"/>
  <c r="D38" i="105"/>
  <c r="D38" i="130" s="1"/>
  <c r="K37" i="105"/>
  <c r="K37" i="130" s="1"/>
  <c r="J37" i="105"/>
  <c r="J37" i="130" s="1"/>
  <c r="I37" i="105"/>
  <c r="I37" i="130" s="1"/>
  <c r="H37" i="105"/>
  <c r="H37" i="130" s="1"/>
  <c r="G37" i="105"/>
  <c r="G37" i="130" s="1"/>
  <c r="F37" i="105"/>
  <c r="F37" i="130" s="1"/>
  <c r="E37" i="105"/>
  <c r="E37" i="130" s="1"/>
  <c r="D37" i="105"/>
  <c r="D37" i="130" s="1"/>
  <c r="K36" i="105"/>
  <c r="K36" i="130" s="1"/>
  <c r="J36" i="105"/>
  <c r="J36" i="130" s="1"/>
  <c r="I36" i="105"/>
  <c r="I36" i="130" s="1"/>
  <c r="H36" i="105"/>
  <c r="H36" i="130" s="1"/>
  <c r="G36" i="105"/>
  <c r="G36" i="130" s="1"/>
  <c r="F36" i="105"/>
  <c r="F36" i="130" s="1"/>
  <c r="E36" i="105"/>
  <c r="E36" i="130" s="1"/>
  <c r="D36" i="105"/>
  <c r="D36" i="130" s="1"/>
  <c r="K35" i="105"/>
  <c r="J35"/>
  <c r="J35" i="130" s="1"/>
  <c r="I35" i="105"/>
  <c r="I35" i="130" s="1"/>
  <c r="H35" i="105"/>
  <c r="G35"/>
  <c r="G35" i="130" s="1"/>
  <c r="F35" i="105"/>
  <c r="F35" i="130" s="1"/>
  <c r="E35" i="105"/>
  <c r="D35"/>
  <c r="K31"/>
  <c r="K31" i="130" s="1"/>
  <c r="J31" i="105"/>
  <c r="J31" i="130" s="1"/>
  <c r="I31" i="105"/>
  <c r="I31" i="130" s="1"/>
  <c r="H31" i="105"/>
  <c r="H31" i="130" s="1"/>
  <c r="G31" i="105"/>
  <c r="G31" i="130" s="1"/>
  <c r="F31" i="105"/>
  <c r="F31" i="130" s="1"/>
  <c r="E31" i="105"/>
  <c r="E31" i="130" s="1"/>
  <c r="D31" i="105"/>
  <c r="D31" i="130" s="1"/>
  <c r="K30" i="105"/>
  <c r="K30" i="130" s="1"/>
  <c r="J30" i="105"/>
  <c r="J30" i="130" s="1"/>
  <c r="I30" i="105"/>
  <c r="I30" i="130" s="1"/>
  <c r="H30" i="105"/>
  <c r="H30" i="130" s="1"/>
  <c r="G30" i="105"/>
  <c r="G30" i="130" s="1"/>
  <c r="F30" i="105"/>
  <c r="F30" i="130" s="1"/>
  <c r="E30" i="105"/>
  <c r="E30" i="130" s="1"/>
  <c r="D30" i="105"/>
  <c r="D30" i="130" s="1"/>
  <c r="K29" i="105"/>
  <c r="K29" i="130" s="1"/>
  <c r="J29" i="105"/>
  <c r="J29" i="130" s="1"/>
  <c r="I29" i="105"/>
  <c r="I29" i="130" s="1"/>
  <c r="H29" i="105"/>
  <c r="H29" i="130" s="1"/>
  <c r="G29" i="105"/>
  <c r="G29" i="130" s="1"/>
  <c r="F29" i="105"/>
  <c r="F29" i="130" s="1"/>
  <c r="E29" i="105"/>
  <c r="E29" i="130" s="1"/>
  <c r="D29" i="105"/>
  <c r="D29" i="130" s="1"/>
  <c r="K28" i="105"/>
  <c r="K28" i="130" s="1"/>
  <c r="J28" i="105"/>
  <c r="J28" i="130" s="1"/>
  <c r="I28" i="105"/>
  <c r="I28" i="130" s="1"/>
  <c r="H28" i="105"/>
  <c r="H28" i="130" s="1"/>
  <c r="G28" i="105"/>
  <c r="G28" i="130" s="1"/>
  <c r="F28" i="105"/>
  <c r="F28" i="130" s="1"/>
  <c r="E28" i="105"/>
  <c r="E28" i="130" s="1"/>
  <c r="D28" i="105"/>
  <c r="D28" i="130" s="1"/>
  <c r="K27" i="105"/>
  <c r="K27" i="130" s="1"/>
  <c r="J27" i="105"/>
  <c r="J27" i="130" s="1"/>
  <c r="I27" i="105"/>
  <c r="I27" i="130" s="1"/>
  <c r="H27" i="105"/>
  <c r="H27" i="130" s="1"/>
  <c r="G27" i="105"/>
  <c r="G27" i="130" s="1"/>
  <c r="F27" i="105"/>
  <c r="F27" i="130" s="1"/>
  <c r="E27" i="105"/>
  <c r="E27" i="130" s="1"/>
  <c r="D27" i="105"/>
  <c r="D27" i="130" s="1"/>
  <c r="K26" i="105"/>
  <c r="K26" i="130" s="1"/>
  <c r="J26" i="105"/>
  <c r="J26" i="130" s="1"/>
  <c r="I26" i="105"/>
  <c r="H26"/>
  <c r="H26" i="130" s="1"/>
  <c r="G26" i="105"/>
  <c r="G26" i="130" s="1"/>
  <c r="F26" i="105"/>
  <c r="E26"/>
  <c r="E26" i="130" s="1"/>
  <c r="D26" i="105"/>
  <c r="D26" i="130" s="1"/>
  <c r="K22" i="105"/>
  <c r="K22" i="130" s="1"/>
  <c r="J22" i="105"/>
  <c r="J22" i="130" s="1"/>
  <c r="I22" i="105"/>
  <c r="I22" i="130" s="1"/>
  <c r="H22" i="105"/>
  <c r="H22" i="130" s="1"/>
  <c r="G22" i="105"/>
  <c r="G22" i="130" s="1"/>
  <c r="F22" i="105"/>
  <c r="F22" i="130" s="1"/>
  <c r="E22" i="105"/>
  <c r="E22" i="130" s="1"/>
  <c r="D22" i="105"/>
  <c r="D22" i="130" s="1"/>
  <c r="K21" i="105"/>
  <c r="K21" i="130" s="1"/>
  <c r="J21" i="105"/>
  <c r="J21" i="130" s="1"/>
  <c r="I21" i="105"/>
  <c r="I21" i="130" s="1"/>
  <c r="H21" i="105"/>
  <c r="H21" i="130" s="1"/>
  <c r="G21" i="105"/>
  <c r="G21" i="130" s="1"/>
  <c r="F21" i="105"/>
  <c r="F21" i="130" s="1"/>
  <c r="E21" i="105"/>
  <c r="E21" i="130" s="1"/>
  <c r="D21" i="105"/>
  <c r="D21" i="130" s="1"/>
  <c r="K20" i="105"/>
  <c r="K20" i="130" s="1"/>
  <c r="J20" i="105"/>
  <c r="J20" i="130" s="1"/>
  <c r="I20" i="105"/>
  <c r="I20" i="130" s="1"/>
  <c r="H20" i="105"/>
  <c r="H20" i="130" s="1"/>
  <c r="G20" i="105"/>
  <c r="G20" i="130" s="1"/>
  <c r="F20" i="105"/>
  <c r="F20" i="130" s="1"/>
  <c r="E20" i="105"/>
  <c r="E20" i="130" s="1"/>
  <c r="D20" i="105"/>
  <c r="D20" i="130" s="1"/>
  <c r="K19" i="105"/>
  <c r="K19" i="130" s="1"/>
  <c r="J19" i="105"/>
  <c r="J19" i="130" s="1"/>
  <c r="I19" i="105"/>
  <c r="I19" i="130" s="1"/>
  <c r="H19" i="105"/>
  <c r="H19" i="130" s="1"/>
  <c r="G19" i="105"/>
  <c r="G19" i="130" s="1"/>
  <c r="F19" i="105"/>
  <c r="F19" i="130" s="1"/>
  <c r="E19" i="105"/>
  <c r="E19" i="130" s="1"/>
  <c r="D19" i="105"/>
  <c r="D19" i="130" s="1"/>
  <c r="K18" i="105"/>
  <c r="K18" i="130" s="1"/>
  <c r="J18" i="105"/>
  <c r="J18" i="130" s="1"/>
  <c r="I18" i="105"/>
  <c r="I18" i="130" s="1"/>
  <c r="H18" i="105"/>
  <c r="H18" i="130" s="1"/>
  <c r="G18" i="105"/>
  <c r="G18" i="130" s="1"/>
  <c r="F18" i="105"/>
  <c r="F18" i="130" s="1"/>
  <c r="E18" i="105"/>
  <c r="E18" i="130" s="1"/>
  <c r="D18" i="105"/>
  <c r="D18" i="130" s="1"/>
  <c r="K17" i="105"/>
  <c r="J17"/>
  <c r="J17" i="130" s="1"/>
  <c r="I17" i="105"/>
  <c r="I17" i="130" s="1"/>
  <c r="H17" i="105"/>
  <c r="G17"/>
  <c r="G17" i="130" s="1"/>
  <c r="F17" i="105"/>
  <c r="F17" i="130" s="1"/>
  <c r="E17" i="105"/>
  <c r="D17"/>
  <c r="D17" i="130" s="1"/>
  <c r="K13" i="105"/>
  <c r="K13" i="130" s="1"/>
  <c r="J13" i="105"/>
  <c r="J13" i="130" s="1"/>
  <c r="I13" i="105"/>
  <c r="I13" i="130" s="1"/>
  <c r="H13" i="105"/>
  <c r="H13" i="130" s="1"/>
  <c r="G13" i="105"/>
  <c r="G13" i="130" s="1"/>
  <c r="F13" i="105"/>
  <c r="F13" i="130" s="1"/>
  <c r="E13" i="105"/>
  <c r="E13" i="130" s="1"/>
  <c r="D13" i="105"/>
  <c r="D13" i="130" s="1"/>
  <c r="K12" i="105"/>
  <c r="K12" i="130" s="1"/>
  <c r="J12" i="105"/>
  <c r="J12" i="130" s="1"/>
  <c r="I12" i="105"/>
  <c r="I12" i="130" s="1"/>
  <c r="H12" i="105"/>
  <c r="H12" i="130" s="1"/>
  <c r="G12" i="105"/>
  <c r="G12" i="130" s="1"/>
  <c r="F12" i="105"/>
  <c r="F12" i="130" s="1"/>
  <c r="E12" i="105"/>
  <c r="E12" i="130" s="1"/>
  <c r="D12" i="105"/>
  <c r="D12" i="130" s="1"/>
  <c r="K11" i="105"/>
  <c r="K11" i="130" s="1"/>
  <c r="J11" i="105"/>
  <c r="J11" i="130" s="1"/>
  <c r="I11" i="105"/>
  <c r="I11" i="130" s="1"/>
  <c r="H11" i="105"/>
  <c r="H11" i="130" s="1"/>
  <c r="G11" i="105"/>
  <c r="G11" i="130" s="1"/>
  <c r="F11" i="105"/>
  <c r="F11" i="130" s="1"/>
  <c r="E11" i="105"/>
  <c r="E11" i="130" s="1"/>
  <c r="D11" i="105"/>
  <c r="D11" i="130" s="1"/>
  <c r="K10" i="105"/>
  <c r="K10" i="130" s="1"/>
  <c r="J10" i="105"/>
  <c r="J10" i="130" s="1"/>
  <c r="I10" i="105"/>
  <c r="I10" i="130" s="1"/>
  <c r="H10" i="105"/>
  <c r="H10" i="130" s="1"/>
  <c r="G10" i="105"/>
  <c r="G10" i="130" s="1"/>
  <c r="F10" i="105"/>
  <c r="F10" i="130" s="1"/>
  <c r="E10" i="105"/>
  <c r="E10" i="130" s="1"/>
  <c r="D10" i="105"/>
  <c r="D10" i="130" s="1"/>
  <c r="K9" i="105"/>
  <c r="K9" i="130" s="1"/>
  <c r="J9" i="105"/>
  <c r="J9" i="130" s="1"/>
  <c r="I9" i="105"/>
  <c r="I9" i="130" s="1"/>
  <c r="H9" i="105"/>
  <c r="H9" i="130" s="1"/>
  <c r="G9" i="105"/>
  <c r="G9" i="130" s="1"/>
  <c r="F9" i="105"/>
  <c r="F9" i="130" s="1"/>
  <c r="E9" i="105"/>
  <c r="E9" i="130" s="1"/>
  <c r="D9" i="105"/>
  <c r="D9" i="130" s="1"/>
  <c r="K8" i="105"/>
  <c r="K8" i="130" s="1"/>
  <c r="J8" i="105"/>
  <c r="J8" i="130" s="1"/>
  <c r="I8" i="105"/>
  <c r="I8" i="130" s="1"/>
  <c r="H8" i="105"/>
  <c r="H8" i="130" s="1"/>
  <c r="G8" i="105"/>
  <c r="G8" i="130" s="1"/>
  <c r="F8" i="105"/>
  <c r="F8" i="130" s="1"/>
  <c r="E8" i="105"/>
  <c r="E8" i="130" s="1"/>
  <c r="D8" i="105"/>
  <c r="D8" i="130" s="1"/>
  <c r="S4" i="105"/>
  <c r="R4"/>
  <c r="Q4"/>
  <c r="P4"/>
  <c r="O4"/>
  <c r="N4"/>
  <c r="M4"/>
  <c r="L4"/>
  <c r="K4"/>
  <c r="J4"/>
  <c r="I4"/>
  <c r="H4"/>
  <c r="G4"/>
  <c r="F4"/>
  <c r="E4"/>
  <c r="D4"/>
  <c r="S3"/>
  <c r="B204" i="60" a="1"/>
  <c r="I204" s="1"/>
  <c r="H203"/>
  <c r="G203"/>
  <c r="F203"/>
  <c r="E203"/>
  <c r="D203"/>
  <c r="C203"/>
  <c r="B203"/>
  <c r="B202" a="1"/>
  <c r="F202" s="1"/>
  <c r="D191"/>
  <c r="D160" s="1"/>
  <c r="C191"/>
  <c r="B183" a="1"/>
  <c r="H183" s="1"/>
  <c r="J160"/>
  <c r="J161" s="1"/>
  <c r="A160"/>
  <c r="B159" a="1"/>
  <c r="H159" s="1"/>
  <c r="D158"/>
  <c r="D154"/>
  <c r="D24" s="1"/>
  <c r="C154"/>
  <c r="D153"/>
  <c r="D23" s="1"/>
  <c r="C153"/>
  <c r="D152"/>
  <c r="D22" s="1"/>
  <c r="C152"/>
  <c r="D151"/>
  <c r="C151"/>
  <c r="C21" s="1"/>
  <c r="D150"/>
  <c r="D20" s="1"/>
  <c r="C150"/>
  <c r="C20" s="1"/>
  <c r="D149"/>
  <c r="D19" s="1"/>
  <c r="C149"/>
  <c r="C19" s="1"/>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T75" s="1"/>
  <c r="D73"/>
  <c r="E73" s="1"/>
  <c r="F73" s="1"/>
  <c r="G73" s="1"/>
  <c r="H73" s="1"/>
  <c r="I73" s="1"/>
  <c r="B61" a="1"/>
  <c r="H61" s="1"/>
  <c r="C24"/>
  <c r="C23"/>
  <c r="C22"/>
  <c r="D21"/>
  <c r="C13"/>
  <c r="B13"/>
  <c r="B35" s="1"/>
  <c r="B69" s="1"/>
  <c r="L222" i="105" s="1"/>
  <c r="L222" i="130" s="1"/>
  <c r="C12" i="60"/>
  <c r="B12"/>
  <c r="B34" s="1"/>
  <c r="B68" s="1"/>
  <c r="L221" i="105" s="1"/>
  <c r="L221" i="130" s="1"/>
  <c r="C11" i="60"/>
  <c r="B11"/>
  <c r="B33" s="1"/>
  <c r="B67" s="1"/>
  <c r="L220" i="105" s="1"/>
  <c r="L220" i="130" s="1"/>
  <c r="C10" i="60"/>
  <c r="B10"/>
  <c r="B32" s="1"/>
  <c r="B66" s="1"/>
  <c r="L219" i="105" s="1"/>
  <c r="L219" i="130" s="1"/>
  <c r="C9" i="60"/>
  <c r="B9"/>
  <c r="B31" s="1"/>
  <c r="B65" s="1"/>
  <c r="L218" i="105" s="1"/>
  <c r="L218" i="130" s="1"/>
  <c r="C8" i="60"/>
  <c r="B8"/>
  <c r="B4" a="1"/>
  <c r="G4" s="1"/>
  <c r="B3"/>
  <c r="B2"/>
  <c r="I1"/>
  <c r="B204" i="59" a="1"/>
  <c r="I204" s="1"/>
  <c r="H203"/>
  <c r="G203"/>
  <c r="F203"/>
  <c r="E203"/>
  <c r="D203"/>
  <c r="C203"/>
  <c r="B203"/>
  <c r="B202" a="1"/>
  <c r="F202" s="1"/>
  <c r="D191"/>
  <c r="C191"/>
  <c r="B183" a="1"/>
  <c r="H183" s="1"/>
  <c r="J160"/>
  <c r="J161" s="1"/>
  <c r="D160"/>
  <c r="A160"/>
  <c r="B159" a="1"/>
  <c r="H159" s="1"/>
  <c r="D158"/>
  <c r="D154"/>
  <c r="C154"/>
  <c r="D153"/>
  <c r="C153"/>
  <c r="D152"/>
  <c r="C152"/>
  <c r="D151"/>
  <c r="C151"/>
  <c r="D150"/>
  <c r="C150"/>
  <c r="D149"/>
  <c r="D155" s="1"/>
  <c r="C149"/>
  <c r="B147" a="1"/>
  <c r="G147" s="1"/>
  <c r="C133" a="1"/>
  <c r="H133" s="1"/>
  <c r="K118"/>
  <c r="K117"/>
  <c r="K116"/>
  <c r="K115"/>
  <c r="K114"/>
  <c r="K113"/>
  <c r="N111" a="1"/>
  <c r="S111" s="1"/>
  <c r="C111" a="1"/>
  <c r="H111" s="1"/>
  <c r="D108"/>
  <c r="E108" s="1"/>
  <c r="F108" s="1"/>
  <c r="G108" s="1"/>
  <c r="H108" s="1"/>
  <c r="I108" s="1"/>
  <c r="C97" a="1"/>
  <c r="K82"/>
  <c r="K81"/>
  <c r="K80"/>
  <c r="K79"/>
  <c r="K78"/>
  <c r="K77"/>
  <c r="C76" a="1"/>
  <c r="G76" s="1"/>
  <c r="N75" a="1"/>
  <c r="T75" s="1"/>
  <c r="D73"/>
  <c r="E73" s="1"/>
  <c r="F73" s="1"/>
  <c r="G73" s="1"/>
  <c r="H73" s="1"/>
  <c r="I73" s="1"/>
  <c r="B61" a="1"/>
  <c r="H61" s="1"/>
  <c r="D24"/>
  <c r="C24"/>
  <c r="D23"/>
  <c r="C23"/>
  <c r="D22"/>
  <c r="C22"/>
  <c r="D21"/>
  <c r="C21"/>
  <c r="D20"/>
  <c r="C20"/>
  <c r="D19"/>
  <c r="D25" s="1"/>
  <c r="C19"/>
  <c r="C25" s="1"/>
  <c r="C13"/>
  <c r="B13"/>
  <c r="B35" s="1"/>
  <c r="B69" s="1"/>
  <c r="L213" i="105" s="1"/>
  <c r="L213" i="130" s="1"/>
  <c r="C12" i="59"/>
  <c r="B12"/>
  <c r="B34" s="1"/>
  <c r="B68" s="1"/>
  <c r="L212" i="105" s="1"/>
  <c r="L212" i="130" s="1"/>
  <c r="C11" i="59"/>
  <c r="B11"/>
  <c r="B33" s="1"/>
  <c r="B67" s="1"/>
  <c r="L211" i="105" s="1"/>
  <c r="L211" i="130" s="1"/>
  <c r="C10" i="59"/>
  <c r="B10"/>
  <c r="B32" s="1"/>
  <c r="B66" s="1"/>
  <c r="L210" i="105" s="1"/>
  <c r="L210" i="130" s="1"/>
  <c r="C9" i="59"/>
  <c r="B9"/>
  <c r="B31" s="1"/>
  <c r="B65" s="1"/>
  <c r="L209" i="105" s="1"/>
  <c r="L209" i="130" s="1"/>
  <c r="C8" i="59"/>
  <c r="B8"/>
  <c r="B4" a="1"/>
  <c r="G4" s="1"/>
  <c r="B3"/>
  <c r="B2"/>
  <c r="I1"/>
  <c r="B204" i="58" a="1"/>
  <c r="H203"/>
  <c r="G203"/>
  <c r="F203"/>
  <c r="E203"/>
  <c r="D203"/>
  <c r="C203"/>
  <c r="B203"/>
  <c r="B202" a="1"/>
  <c r="G202" s="1"/>
  <c r="D191"/>
  <c r="C191"/>
  <c r="B183" a="1"/>
  <c r="F183" s="1"/>
  <c r="B159" a="1"/>
  <c r="I159" s="1"/>
  <c r="D158"/>
  <c r="J160" s="1"/>
  <c r="D154"/>
  <c r="C154"/>
  <c r="D153"/>
  <c r="C153"/>
  <c r="C23" s="1"/>
  <c r="D152"/>
  <c r="D22" s="1"/>
  <c r="C152"/>
  <c r="D151"/>
  <c r="D21" s="1"/>
  <c r="C151"/>
  <c r="C21" s="1"/>
  <c r="D150"/>
  <c r="C150"/>
  <c r="C20" s="1"/>
  <c r="D149"/>
  <c r="C149"/>
  <c r="B147" a="1"/>
  <c r="G147" s="1"/>
  <c r="C133" a="1"/>
  <c r="D133" s="1"/>
  <c r="K118"/>
  <c r="K117"/>
  <c r="K116"/>
  <c r="K115"/>
  <c r="K114"/>
  <c r="K113"/>
  <c r="N111" a="1"/>
  <c r="S111" s="1"/>
  <c r="C111" a="1"/>
  <c r="H111" s="1"/>
  <c r="G108"/>
  <c r="H108" s="1"/>
  <c r="I108" s="1"/>
  <c r="F108"/>
  <c r="D108"/>
  <c r="E108" s="1"/>
  <c r="C97" a="1"/>
  <c r="F97" s="1"/>
  <c r="K82"/>
  <c r="K81"/>
  <c r="K80"/>
  <c r="K79"/>
  <c r="K78"/>
  <c r="K77"/>
  <c r="C76" a="1"/>
  <c r="N75" a="1"/>
  <c r="S75" s="1"/>
  <c r="D73"/>
  <c r="E73" s="1"/>
  <c r="F73" s="1"/>
  <c r="G73" s="1"/>
  <c r="H73" s="1"/>
  <c r="I73" s="1"/>
  <c r="B61" a="1"/>
  <c r="I61" s="1"/>
  <c r="D24"/>
  <c r="C24"/>
  <c r="D23"/>
  <c r="C22"/>
  <c r="D20"/>
  <c r="D19"/>
  <c r="C19"/>
  <c r="C13"/>
  <c r="B13"/>
  <c r="B35" s="1"/>
  <c r="B69" s="1"/>
  <c r="L204" i="105" s="1"/>
  <c r="L204" i="130" s="1"/>
  <c r="C12" i="58"/>
  <c r="B12"/>
  <c r="B34" s="1"/>
  <c r="B68" s="1"/>
  <c r="L203" i="105" s="1"/>
  <c r="L203" i="130" s="1"/>
  <c r="C11" i="58"/>
  <c r="B11"/>
  <c r="B33" s="1"/>
  <c r="B67" s="1"/>
  <c r="L202" i="105" s="1"/>
  <c r="L202" i="130" s="1"/>
  <c r="C10" i="58"/>
  <c r="B10"/>
  <c r="B32" s="1"/>
  <c r="B66" s="1"/>
  <c r="L201" i="105" s="1"/>
  <c r="L201" i="130" s="1"/>
  <c r="C9" i="58"/>
  <c r="B9"/>
  <c r="B31" s="1"/>
  <c r="B65" s="1"/>
  <c r="L200" i="105" s="1"/>
  <c r="L200" i="130" s="1"/>
  <c r="C8" i="58"/>
  <c r="B8"/>
  <c r="B30" s="1"/>
  <c r="B64" s="1"/>
  <c r="L199" i="105" s="1"/>
  <c r="L199" i="130" s="1"/>
  <c r="B4" i="58" a="1"/>
  <c r="G4" s="1"/>
  <c r="B3"/>
  <c r="B2"/>
  <c r="I1"/>
  <c r="B204" i="57"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D19" s="1"/>
  <c r="C149"/>
  <c r="C19" s="1"/>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3"/>
  <c r="C23"/>
  <c r="C22"/>
  <c r="D20"/>
  <c r="C13"/>
  <c r="B13"/>
  <c r="B35" s="1"/>
  <c r="B69" s="1"/>
  <c r="L195" i="105" s="1"/>
  <c r="L195" i="130" s="1"/>
  <c r="C12" i="57"/>
  <c r="B12"/>
  <c r="B34" s="1"/>
  <c r="B68" s="1"/>
  <c r="L194" i="105" s="1"/>
  <c r="L194" i="130" s="1"/>
  <c r="C11" i="57"/>
  <c r="B11"/>
  <c r="B33" s="1"/>
  <c r="B67" s="1"/>
  <c r="L193" i="105" s="1"/>
  <c r="L193" i="130" s="1"/>
  <c r="C10" i="57"/>
  <c r="B10"/>
  <c r="B32" s="1"/>
  <c r="B66" s="1"/>
  <c r="L192" i="105" s="1"/>
  <c r="L192" i="130" s="1"/>
  <c r="C9" i="57"/>
  <c r="B9"/>
  <c r="B31" s="1"/>
  <c r="B65" s="1"/>
  <c r="L191" i="105" s="1"/>
  <c r="L191" i="130" s="1"/>
  <c r="C8" i="57"/>
  <c r="B8"/>
  <c r="B30" s="1"/>
  <c r="B4" a="1"/>
  <c r="H4" s="1"/>
  <c r="B3"/>
  <c r="B2"/>
  <c r="I1"/>
  <c r="B204" i="56" a="1"/>
  <c r="I204" s="1"/>
  <c r="H203"/>
  <c r="G203"/>
  <c r="F203"/>
  <c r="E203"/>
  <c r="D203"/>
  <c r="C203"/>
  <c r="B203"/>
  <c r="B202" a="1"/>
  <c r="F202" s="1"/>
  <c r="D191"/>
  <c r="D160" s="1"/>
  <c r="C191"/>
  <c r="B183" a="1"/>
  <c r="H183" s="1"/>
  <c r="J160"/>
  <c r="J161" s="1"/>
  <c r="A160"/>
  <c r="B159" a="1"/>
  <c r="H159" s="1"/>
  <c r="D158"/>
  <c r="D154"/>
  <c r="D24" s="1"/>
  <c r="C154"/>
  <c r="C24" s="1"/>
  <c r="D153"/>
  <c r="C153"/>
  <c r="C23" s="1"/>
  <c r="D152"/>
  <c r="C152"/>
  <c r="D151"/>
  <c r="D21" s="1"/>
  <c r="C151"/>
  <c r="C21" s="1"/>
  <c r="D150"/>
  <c r="C150"/>
  <c r="C20" s="1"/>
  <c r="D149"/>
  <c r="D19" s="1"/>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S75" s="1"/>
  <c r="E73"/>
  <c r="F73" s="1"/>
  <c r="G73" s="1"/>
  <c r="H73" s="1"/>
  <c r="I73" s="1"/>
  <c r="D73"/>
  <c r="B61" a="1"/>
  <c r="G61" s="1"/>
  <c r="D23"/>
  <c r="D22"/>
  <c r="C22"/>
  <c r="D20"/>
  <c r="C19"/>
  <c r="C13"/>
  <c r="B13"/>
  <c r="B35" s="1"/>
  <c r="B69" s="1"/>
  <c r="L186" i="105" s="1"/>
  <c r="L186" i="130" s="1"/>
  <c r="C12" i="56"/>
  <c r="B12"/>
  <c r="B34" s="1"/>
  <c r="B68" s="1"/>
  <c r="L185" i="105" s="1"/>
  <c r="L185" i="130" s="1"/>
  <c r="C11" i="56"/>
  <c r="B11"/>
  <c r="B33" s="1"/>
  <c r="B67" s="1"/>
  <c r="L184" i="105" s="1"/>
  <c r="L184" i="130" s="1"/>
  <c r="C10" i="56"/>
  <c r="B10"/>
  <c r="B32" s="1"/>
  <c r="B66" s="1"/>
  <c r="L183" i="105" s="1"/>
  <c r="L183" i="130" s="1"/>
  <c r="C9" i="56"/>
  <c r="B9"/>
  <c r="B31" s="1"/>
  <c r="B65" s="1"/>
  <c r="L182" i="105" s="1"/>
  <c r="L182" i="130" s="1"/>
  <c r="C8" i="56"/>
  <c r="B8"/>
  <c r="B4" a="1"/>
  <c r="I4" s="1"/>
  <c r="B3"/>
  <c r="B2"/>
  <c r="I1"/>
  <c r="B204" i="55" a="1"/>
  <c r="G204" s="1"/>
  <c r="H203"/>
  <c r="G203"/>
  <c r="F203"/>
  <c r="E203"/>
  <c r="D203"/>
  <c r="C203"/>
  <c r="B203"/>
  <c r="B202" a="1"/>
  <c r="G202" s="1"/>
  <c r="D191"/>
  <c r="D160" s="1"/>
  <c r="C191"/>
  <c r="B183" a="1"/>
  <c r="H183" s="1"/>
  <c r="J160"/>
  <c r="J161" s="1"/>
  <c r="A160"/>
  <c r="B159" a="1"/>
  <c r="H159" s="1"/>
  <c r="D158"/>
  <c r="D154"/>
  <c r="D24" s="1"/>
  <c r="C154"/>
  <c r="D153"/>
  <c r="C153"/>
  <c r="C23" s="1"/>
  <c r="D152"/>
  <c r="C152"/>
  <c r="D151"/>
  <c r="D21" s="1"/>
  <c r="C151"/>
  <c r="D150"/>
  <c r="D20" s="1"/>
  <c r="C150"/>
  <c r="C20" s="1"/>
  <c r="D149"/>
  <c r="C149"/>
  <c r="B147" a="1"/>
  <c r="G147" s="1"/>
  <c r="C133" a="1"/>
  <c r="I133" s="1"/>
  <c r="K118"/>
  <c r="K117"/>
  <c r="K116"/>
  <c r="K115"/>
  <c r="K114"/>
  <c r="K113"/>
  <c r="N111" a="1"/>
  <c r="S111" s="1"/>
  <c r="C111" a="1"/>
  <c r="H111" s="1"/>
  <c r="G108"/>
  <c r="H108" s="1"/>
  <c r="I108" s="1"/>
  <c r="D108"/>
  <c r="E108" s="1"/>
  <c r="F108" s="1"/>
  <c r="C97" a="1"/>
  <c r="H97" s="1"/>
  <c r="K82"/>
  <c r="K81"/>
  <c r="K80"/>
  <c r="K79"/>
  <c r="K78"/>
  <c r="K77"/>
  <c r="C76" a="1"/>
  <c r="H76" s="1"/>
  <c r="N75" a="1"/>
  <c r="R75" s="1"/>
  <c r="D73"/>
  <c r="E73" s="1"/>
  <c r="F73" s="1"/>
  <c r="G73" s="1"/>
  <c r="H73" s="1"/>
  <c r="I73" s="1"/>
  <c r="B61" a="1"/>
  <c r="I61" s="1"/>
  <c r="C24"/>
  <c r="D23"/>
  <c r="D22"/>
  <c r="C22"/>
  <c r="C21"/>
  <c r="C13"/>
  <c r="B13"/>
  <c r="B35" s="1"/>
  <c r="B69" s="1"/>
  <c r="L177" i="105" s="1"/>
  <c r="L177" i="130" s="1"/>
  <c r="C12" i="55"/>
  <c r="B12"/>
  <c r="B34" s="1"/>
  <c r="B68" s="1"/>
  <c r="L176" i="105" s="1"/>
  <c r="L176" i="130" s="1"/>
  <c r="C11" i="55"/>
  <c r="B11"/>
  <c r="B33" s="1"/>
  <c r="B67" s="1"/>
  <c r="L175" i="105" s="1"/>
  <c r="L175" i="130" s="1"/>
  <c r="C10" i="55"/>
  <c r="B10"/>
  <c r="B32" s="1"/>
  <c r="B66" s="1"/>
  <c r="L174" i="105" s="1"/>
  <c r="L174" i="130" s="1"/>
  <c r="C9" i="55"/>
  <c r="B9"/>
  <c r="B31" s="1"/>
  <c r="B65" s="1"/>
  <c r="L173" i="105" s="1"/>
  <c r="L173" i="130" s="1"/>
  <c r="C8" i="55"/>
  <c r="B8"/>
  <c r="B30" s="1"/>
  <c r="B4" a="1"/>
  <c r="H4" s="1"/>
  <c r="B3"/>
  <c r="B2"/>
  <c r="I1"/>
  <c r="B204" i="54" a="1"/>
  <c r="I204" s="1"/>
  <c r="H203"/>
  <c r="G203"/>
  <c r="F203"/>
  <c r="E203"/>
  <c r="D203"/>
  <c r="C203"/>
  <c r="B203"/>
  <c r="B202" a="1"/>
  <c r="F202" s="1"/>
  <c r="D191"/>
  <c r="D160" s="1"/>
  <c r="C191"/>
  <c r="B183" a="1"/>
  <c r="H183" s="1"/>
  <c r="J160"/>
  <c r="J161" s="1"/>
  <c r="A160"/>
  <c r="B159" a="1"/>
  <c r="H159" s="1"/>
  <c r="D158"/>
  <c r="D154"/>
  <c r="D24" s="1"/>
  <c r="C154"/>
  <c r="C24" s="1"/>
  <c r="D153"/>
  <c r="D23" s="1"/>
  <c r="C153"/>
  <c r="C23" s="1"/>
  <c r="D152"/>
  <c r="C152"/>
  <c r="C22" s="1"/>
  <c r="D151"/>
  <c r="D21" s="1"/>
  <c r="C151"/>
  <c r="C21" s="1"/>
  <c r="D150"/>
  <c r="D20" s="1"/>
  <c r="C150"/>
  <c r="C20" s="1"/>
  <c r="D149"/>
  <c r="D19" s="1"/>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2"/>
  <c r="C13"/>
  <c r="B13"/>
  <c r="B35" s="1"/>
  <c r="B69" s="1"/>
  <c r="L168" i="105" s="1"/>
  <c r="L168" i="130" s="1"/>
  <c r="C12" i="54"/>
  <c r="B12"/>
  <c r="B34" s="1"/>
  <c r="B68" s="1"/>
  <c r="L167" i="105" s="1"/>
  <c r="L167" i="130" s="1"/>
  <c r="C11" i="54"/>
  <c r="B11"/>
  <c r="B33" s="1"/>
  <c r="B67" s="1"/>
  <c r="L166" i="105" s="1"/>
  <c r="L166" i="130" s="1"/>
  <c r="C10" i="54"/>
  <c r="B10"/>
  <c r="B32" s="1"/>
  <c r="B66" s="1"/>
  <c r="L165" i="105" s="1"/>
  <c r="L165" i="130" s="1"/>
  <c r="C9" i="54"/>
  <c r="B9"/>
  <c r="B31" s="1"/>
  <c r="B65" s="1"/>
  <c r="L164" i="105" s="1"/>
  <c r="L164" i="130" s="1"/>
  <c r="C8" i="54"/>
  <c r="B8"/>
  <c r="B30" s="1"/>
  <c r="B4" a="1"/>
  <c r="H4" s="1"/>
  <c r="B3"/>
  <c r="B2"/>
  <c r="I1"/>
  <c r="B204" i="53" a="1"/>
  <c r="G204" s="1"/>
  <c r="H203"/>
  <c r="G203"/>
  <c r="F203"/>
  <c r="E203"/>
  <c r="D203"/>
  <c r="C203"/>
  <c r="B203"/>
  <c r="B202" a="1"/>
  <c r="G202" s="1"/>
  <c r="D191"/>
  <c r="C191"/>
  <c r="B183" a="1"/>
  <c r="G183" s="1"/>
  <c r="M160"/>
  <c r="K160"/>
  <c r="J160"/>
  <c r="D160"/>
  <c r="B160"/>
  <c r="A160"/>
  <c r="B159" a="1"/>
  <c r="G159" s="1"/>
  <c r="D158"/>
  <c r="D154"/>
  <c r="C154"/>
  <c r="D153"/>
  <c r="C153"/>
  <c r="D152"/>
  <c r="C152"/>
  <c r="D151"/>
  <c r="C151"/>
  <c r="D150"/>
  <c r="C150"/>
  <c r="D149"/>
  <c r="C149"/>
  <c r="B147" a="1"/>
  <c r="C133" a="1"/>
  <c r="I133" s="1"/>
  <c r="K118"/>
  <c r="K117"/>
  <c r="K116"/>
  <c r="K115"/>
  <c r="K114"/>
  <c r="K113"/>
  <c r="N111" a="1"/>
  <c r="S111" s="1"/>
  <c r="C111" a="1"/>
  <c r="H111" s="1"/>
  <c r="D108"/>
  <c r="E108" s="1"/>
  <c r="F108" s="1"/>
  <c r="G108" s="1"/>
  <c r="H108" s="1"/>
  <c r="I108" s="1"/>
  <c r="C97" a="1"/>
  <c r="H97" s="1"/>
  <c r="K82"/>
  <c r="C82" s="1"/>
  <c r="K81"/>
  <c r="C81" s="1"/>
  <c r="K80"/>
  <c r="C80" s="1"/>
  <c r="K79"/>
  <c r="C79" s="1"/>
  <c r="K78"/>
  <c r="C78" s="1"/>
  <c r="K77"/>
  <c r="C77" s="1"/>
  <c r="C76" a="1"/>
  <c r="N75" a="1"/>
  <c r="S75" s="1"/>
  <c r="F73"/>
  <c r="G73" s="1"/>
  <c r="H73" s="1"/>
  <c r="I73" s="1"/>
  <c r="E73"/>
  <c r="D73"/>
  <c r="B61" a="1"/>
  <c r="G61" s="1"/>
  <c r="D24"/>
  <c r="C24"/>
  <c r="D23"/>
  <c r="C23"/>
  <c r="D22"/>
  <c r="C22"/>
  <c r="D21"/>
  <c r="C21"/>
  <c r="D20"/>
  <c r="C20"/>
  <c r="D19"/>
  <c r="C19"/>
  <c r="C13"/>
  <c r="B13"/>
  <c r="B35" s="1"/>
  <c r="B69" s="1"/>
  <c r="L159" i="105" s="1"/>
  <c r="L159" i="130" s="1"/>
  <c r="C12" i="53"/>
  <c r="B12"/>
  <c r="B34" s="1"/>
  <c r="B68" s="1"/>
  <c r="L158" i="105" s="1"/>
  <c r="L158" i="130" s="1"/>
  <c r="C11" i="53"/>
  <c r="B11"/>
  <c r="B33" s="1"/>
  <c r="B67" s="1"/>
  <c r="L157" i="105" s="1"/>
  <c r="L157" i="130" s="1"/>
  <c r="C10" i="53"/>
  <c r="B10"/>
  <c r="B32" s="1"/>
  <c r="B66" s="1"/>
  <c r="L156" i="105" s="1"/>
  <c r="L156" i="130" s="1"/>
  <c r="C9" i="53"/>
  <c r="B9"/>
  <c r="B31" s="1"/>
  <c r="B65" s="1"/>
  <c r="L155" i="105" s="1"/>
  <c r="L155" i="130" s="1"/>
  <c r="C8" i="53"/>
  <c r="B8"/>
  <c r="B30" s="1"/>
  <c r="B4" a="1"/>
  <c r="H4" s="1"/>
  <c r="B3"/>
  <c r="B2"/>
  <c r="I1"/>
  <c r="B204" i="52" a="1"/>
  <c r="I204" s="1"/>
  <c r="H203"/>
  <c r="G203"/>
  <c r="F203"/>
  <c r="E203"/>
  <c r="D203"/>
  <c r="C203"/>
  <c r="B203"/>
  <c r="B202" a="1"/>
  <c r="F202" s="1"/>
  <c r="D191"/>
  <c r="C191"/>
  <c r="B183" a="1"/>
  <c r="H183" s="1"/>
  <c r="B159" a="1"/>
  <c r="H159" s="1"/>
  <c r="D158"/>
  <c r="J160" s="1"/>
  <c r="D154"/>
  <c r="D24" s="1"/>
  <c r="C154"/>
  <c r="C24" s="1"/>
  <c r="D153"/>
  <c r="C153"/>
  <c r="D152"/>
  <c r="D22" s="1"/>
  <c r="C152"/>
  <c r="D151"/>
  <c r="D21" s="1"/>
  <c r="C151"/>
  <c r="C21" s="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3"/>
  <c r="C23"/>
  <c r="C22"/>
  <c r="D20"/>
  <c r="C19"/>
  <c r="C13"/>
  <c r="B13"/>
  <c r="B35" s="1"/>
  <c r="B69" s="1"/>
  <c r="L150" i="105" s="1"/>
  <c r="L150" i="130" s="1"/>
  <c r="C12" i="52"/>
  <c r="B12"/>
  <c r="B34" s="1"/>
  <c r="B68" s="1"/>
  <c r="L149" i="105" s="1"/>
  <c r="L149" i="130" s="1"/>
  <c r="C11" i="52"/>
  <c r="B11"/>
  <c r="B33" s="1"/>
  <c r="B67" s="1"/>
  <c r="L148" i="105" s="1"/>
  <c r="L148" i="130" s="1"/>
  <c r="C10" i="52"/>
  <c r="B10"/>
  <c r="B32" s="1"/>
  <c r="B66" s="1"/>
  <c r="L147" i="105" s="1"/>
  <c r="L147" i="130" s="1"/>
  <c r="C9" i="52"/>
  <c r="B9"/>
  <c r="B31" s="1"/>
  <c r="B65" s="1"/>
  <c r="L146" i="105" s="1"/>
  <c r="L146" i="130" s="1"/>
  <c r="C8" i="52"/>
  <c r="B8"/>
  <c r="B30" s="1"/>
  <c r="B4" a="1"/>
  <c r="H4" s="1"/>
  <c r="B3"/>
  <c r="B2"/>
  <c r="I1"/>
  <c r="B204" i="51" a="1"/>
  <c r="H203"/>
  <c r="G203"/>
  <c r="F203"/>
  <c r="E203"/>
  <c r="D203"/>
  <c r="C203"/>
  <c r="B203"/>
  <c r="B202" a="1"/>
  <c r="G202" s="1"/>
  <c r="D191"/>
  <c r="C191"/>
  <c r="B183" a="1"/>
  <c r="F183" s="1"/>
  <c r="B159" a="1"/>
  <c r="G159" s="1"/>
  <c r="D158"/>
  <c r="J160" s="1"/>
  <c r="D154"/>
  <c r="C154"/>
  <c r="D153"/>
  <c r="C153"/>
  <c r="C23" s="1"/>
  <c r="D152"/>
  <c r="D22" s="1"/>
  <c r="C152"/>
  <c r="C22" s="1"/>
  <c r="D151"/>
  <c r="D21" s="1"/>
  <c r="C151"/>
  <c r="D150"/>
  <c r="C150"/>
  <c r="C20" s="1"/>
  <c r="D149"/>
  <c r="D19" s="1"/>
  <c r="C149"/>
  <c r="C19" s="1"/>
  <c r="B147" a="1"/>
  <c r="G147" s="1"/>
  <c r="C133" a="1"/>
  <c r="H133" s="1"/>
  <c r="K118"/>
  <c r="K117"/>
  <c r="K116"/>
  <c r="K115"/>
  <c r="K114"/>
  <c r="K113"/>
  <c r="N111" a="1"/>
  <c r="P111" s="1"/>
  <c r="C111" a="1"/>
  <c r="H111" s="1"/>
  <c r="G108"/>
  <c r="H108" s="1"/>
  <c r="I108" s="1"/>
  <c r="F108"/>
  <c r="D108"/>
  <c r="E108" s="1"/>
  <c r="C97" a="1"/>
  <c r="F97" s="1"/>
  <c r="K82"/>
  <c r="K81"/>
  <c r="K80"/>
  <c r="K79"/>
  <c r="K78"/>
  <c r="K77"/>
  <c r="C76" a="1"/>
  <c r="G76" s="1"/>
  <c r="N75" a="1"/>
  <c r="P75" s="1"/>
  <c r="D73"/>
  <c r="E73" s="1"/>
  <c r="F73" s="1"/>
  <c r="G73" s="1"/>
  <c r="H73" s="1"/>
  <c r="I73" s="1"/>
  <c r="B61" a="1"/>
  <c r="D61" s="1"/>
  <c r="D24"/>
  <c r="C24"/>
  <c r="D23"/>
  <c r="C21"/>
  <c r="D20"/>
  <c r="C13"/>
  <c r="B13"/>
  <c r="B35" s="1"/>
  <c r="B69" s="1"/>
  <c r="L141" i="105" s="1"/>
  <c r="L141" i="130" s="1"/>
  <c r="C12" i="51"/>
  <c r="B12"/>
  <c r="B34" s="1"/>
  <c r="B68" s="1"/>
  <c r="L140" i="105" s="1"/>
  <c r="L140" i="130" s="1"/>
  <c r="C11" i="51"/>
  <c r="B11"/>
  <c r="B33" s="1"/>
  <c r="B67" s="1"/>
  <c r="L139" i="105" s="1"/>
  <c r="L139" i="130" s="1"/>
  <c r="C10" i="51"/>
  <c r="B10"/>
  <c r="B32" s="1"/>
  <c r="B66" s="1"/>
  <c r="L138" i="105" s="1"/>
  <c r="L138" i="130" s="1"/>
  <c r="C9" i="51"/>
  <c r="B9"/>
  <c r="B31" s="1"/>
  <c r="B65" s="1"/>
  <c r="L137" i="105" s="1"/>
  <c r="L137" i="130" s="1"/>
  <c r="C8" i="51"/>
  <c r="B8"/>
  <c r="B30" s="1"/>
  <c r="B64" s="1"/>
  <c r="L136" i="105" s="1"/>
  <c r="L136" i="130" s="1"/>
  <c r="B4" i="51" a="1"/>
  <c r="G4" s="1"/>
  <c r="B3"/>
  <c r="B2"/>
  <c r="I1"/>
  <c r="B204" i="50" a="1"/>
  <c r="I204" s="1"/>
  <c r="H203"/>
  <c r="G203"/>
  <c r="F203"/>
  <c r="E203"/>
  <c r="D203"/>
  <c r="C203"/>
  <c r="B203"/>
  <c r="B202" a="1"/>
  <c r="F202" s="1"/>
  <c r="D191"/>
  <c r="D160" s="1"/>
  <c r="C191"/>
  <c r="B183" a="1"/>
  <c r="H183" s="1"/>
  <c r="J160"/>
  <c r="J161" s="1"/>
  <c r="A160"/>
  <c r="B159" a="1"/>
  <c r="H159" s="1"/>
  <c r="D158"/>
  <c r="D154"/>
  <c r="C154"/>
  <c r="D153"/>
  <c r="C153"/>
  <c r="D152"/>
  <c r="C152"/>
  <c r="D151"/>
  <c r="C151"/>
  <c r="D150"/>
  <c r="C150"/>
  <c r="D149"/>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G76" s="1"/>
  <c r="N75" a="1"/>
  <c r="S75" s="1"/>
  <c r="F73"/>
  <c r="G73" s="1"/>
  <c r="H73" s="1"/>
  <c r="I73" s="1"/>
  <c r="E73"/>
  <c r="D73"/>
  <c r="B61" a="1"/>
  <c r="G61" s="1"/>
  <c r="D24"/>
  <c r="C24"/>
  <c r="D23"/>
  <c r="C23"/>
  <c r="D22"/>
  <c r="C22"/>
  <c r="D21"/>
  <c r="C21"/>
  <c r="D20"/>
  <c r="C20"/>
  <c r="D19"/>
  <c r="C19"/>
  <c r="C13"/>
  <c r="B13"/>
  <c r="B35" s="1"/>
  <c r="B69" s="1"/>
  <c r="L132" i="105" s="1"/>
  <c r="L132" i="130" s="1"/>
  <c r="C12" i="50"/>
  <c r="B12"/>
  <c r="B34" s="1"/>
  <c r="B68" s="1"/>
  <c r="L131" i="105" s="1"/>
  <c r="L131" i="130" s="1"/>
  <c r="C11" i="50"/>
  <c r="B11"/>
  <c r="B33" s="1"/>
  <c r="B67" s="1"/>
  <c r="L130" i="105" s="1"/>
  <c r="L130" i="130" s="1"/>
  <c r="C10" i="50"/>
  <c r="B10"/>
  <c r="B32" s="1"/>
  <c r="B66" s="1"/>
  <c r="L129" i="105" s="1"/>
  <c r="L129" i="130" s="1"/>
  <c r="C9" i="50"/>
  <c r="B9"/>
  <c r="B31" s="1"/>
  <c r="B65" s="1"/>
  <c r="L128" i="105" s="1"/>
  <c r="L128" i="130" s="1"/>
  <c r="C8" i="50"/>
  <c r="B8"/>
  <c r="B4" a="1"/>
  <c r="G4" s="1"/>
  <c r="B3"/>
  <c r="B2"/>
  <c r="I1"/>
  <c r="B204" i="49" a="1"/>
  <c r="D204" s="1"/>
  <c r="H203"/>
  <c r="G203"/>
  <c r="F203"/>
  <c r="E203"/>
  <c r="D203"/>
  <c r="C203"/>
  <c r="B203"/>
  <c r="B202" a="1"/>
  <c r="G202" s="1"/>
  <c r="D191"/>
  <c r="C191"/>
  <c r="B183" a="1"/>
  <c r="H183" s="1"/>
  <c r="B159" a="1"/>
  <c r="H159" s="1"/>
  <c r="D158"/>
  <c r="J160" s="1"/>
  <c r="L160" s="1"/>
  <c r="D154"/>
  <c r="D24" s="1"/>
  <c r="C154"/>
  <c r="C24" s="1"/>
  <c r="D153"/>
  <c r="D23" s="1"/>
  <c r="C153"/>
  <c r="C23" s="1"/>
  <c r="D152"/>
  <c r="D22" s="1"/>
  <c r="C152"/>
  <c r="C22" s="1"/>
  <c r="D151"/>
  <c r="D21" s="1"/>
  <c r="C151"/>
  <c r="C21" s="1"/>
  <c r="D150"/>
  <c r="D20" s="1"/>
  <c r="C150"/>
  <c r="D149"/>
  <c r="D19" s="1"/>
  <c r="C149"/>
  <c r="C19" s="1"/>
  <c r="B147" a="1"/>
  <c r="G147" s="1"/>
  <c r="C133" a="1"/>
  <c r="I133" s="1"/>
  <c r="K118"/>
  <c r="K117"/>
  <c r="K116"/>
  <c r="K115"/>
  <c r="K114"/>
  <c r="K113"/>
  <c r="N111" a="1"/>
  <c r="S111" s="1"/>
  <c r="C111" a="1"/>
  <c r="I111" s="1"/>
  <c r="I108"/>
  <c r="F108"/>
  <c r="G108" s="1"/>
  <c r="H108" s="1"/>
  <c r="D108"/>
  <c r="E108" s="1"/>
  <c r="C97" a="1"/>
  <c r="E97" s="1"/>
  <c r="K82"/>
  <c r="C82" s="1"/>
  <c r="K81"/>
  <c r="C81" s="1"/>
  <c r="K80"/>
  <c r="C80" s="1"/>
  <c r="K79"/>
  <c r="C79" s="1"/>
  <c r="K78"/>
  <c r="C78" s="1"/>
  <c r="K77"/>
  <c r="C77" s="1"/>
  <c r="C76" a="1"/>
  <c r="G76" s="1"/>
  <c r="N75" a="1"/>
  <c r="S75" s="1"/>
  <c r="F73"/>
  <c r="G73" s="1"/>
  <c r="H73" s="1"/>
  <c r="I73" s="1"/>
  <c r="E73"/>
  <c r="D73"/>
  <c r="B61" a="1"/>
  <c r="G61" s="1"/>
  <c r="C20"/>
  <c r="C13"/>
  <c r="B13"/>
  <c r="B35" s="1"/>
  <c r="B69" s="1"/>
  <c r="L123" i="105" s="1"/>
  <c r="L123" i="130" s="1"/>
  <c r="C12" i="49"/>
  <c r="B12"/>
  <c r="B34" s="1"/>
  <c r="B68" s="1"/>
  <c r="L122" i="105" s="1"/>
  <c r="L122" i="130" s="1"/>
  <c r="C11" i="49"/>
  <c r="B11"/>
  <c r="B33" s="1"/>
  <c r="B67" s="1"/>
  <c r="L121" i="105" s="1"/>
  <c r="L121" i="130" s="1"/>
  <c r="C10" i="49"/>
  <c r="B10"/>
  <c r="B32" s="1"/>
  <c r="B66" s="1"/>
  <c r="L120" i="105" s="1"/>
  <c r="L120" i="130" s="1"/>
  <c r="C9" i="49"/>
  <c r="B9"/>
  <c r="B31" s="1"/>
  <c r="B65" s="1"/>
  <c r="L119" i="105" s="1"/>
  <c r="L119" i="130" s="1"/>
  <c r="C8" i="49"/>
  <c r="B8"/>
  <c r="B4" a="1"/>
  <c r="G4" s="1"/>
  <c r="B3"/>
  <c r="B2"/>
  <c r="I1"/>
  <c r="B204" i="48" a="1"/>
  <c r="I204" s="1"/>
  <c r="H203"/>
  <c r="G203"/>
  <c r="F203"/>
  <c r="E203"/>
  <c r="D203"/>
  <c r="C203"/>
  <c r="B203"/>
  <c r="B202" a="1"/>
  <c r="F202" s="1"/>
  <c r="D191"/>
  <c r="D160" s="1"/>
  <c r="C191"/>
  <c r="B183" a="1"/>
  <c r="D183" s="1"/>
  <c r="M160"/>
  <c r="J160"/>
  <c r="A160"/>
  <c r="B159" a="1"/>
  <c r="G159" s="1"/>
  <c r="D158"/>
  <c r="D154"/>
  <c r="D24" s="1"/>
  <c r="C154"/>
  <c r="C24" s="1"/>
  <c r="D153"/>
  <c r="C153"/>
  <c r="D152"/>
  <c r="D22" s="1"/>
  <c r="C152"/>
  <c r="C22" s="1"/>
  <c r="D151"/>
  <c r="D21" s="1"/>
  <c r="C151"/>
  <c r="C21" s="1"/>
  <c r="D150"/>
  <c r="D20" s="1"/>
  <c r="C150"/>
  <c r="C20" s="1"/>
  <c r="D149"/>
  <c r="C149"/>
  <c r="C19" s="1"/>
  <c r="B147" a="1"/>
  <c r="G147" s="1"/>
  <c r="C133" a="1"/>
  <c r="H133" s="1"/>
  <c r="K118"/>
  <c r="K117"/>
  <c r="K116"/>
  <c r="K115"/>
  <c r="K114"/>
  <c r="K113"/>
  <c r="N111" a="1"/>
  <c r="R111" s="1"/>
  <c r="C111" a="1"/>
  <c r="E111" s="1"/>
  <c r="G108"/>
  <c r="H108" s="1"/>
  <c r="I108" s="1"/>
  <c r="D108"/>
  <c r="E108" s="1"/>
  <c r="F108" s="1"/>
  <c r="C97" a="1"/>
  <c r="G97" s="1"/>
  <c r="K82"/>
  <c r="K81"/>
  <c r="K80"/>
  <c r="K79"/>
  <c r="K78"/>
  <c r="K77"/>
  <c r="C76" a="1"/>
  <c r="H76" s="1"/>
  <c r="N75" a="1"/>
  <c r="R75" s="1"/>
  <c r="D73"/>
  <c r="E73" s="1"/>
  <c r="F73" s="1"/>
  <c r="G73" s="1"/>
  <c r="H73" s="1"/>
  <c r="I73" s="1"/>
  <c r="B61" a="1"/>
  <c r="I61" s="1"/>
  <c r="D23"/>
  <c r="C23"/>
  <c r="D19"/>
  <c r="C13"/>
  <c r="B13"/>
  <c r="B35" s="1"/>
  <c r="B69" s="1"/>
  <c r="L114" i="105" s="1"/>
  <c r="L114" i="130" s="1"/>
  <c r="C12" i="48"/>
  <c r="B12"/>
  <c r="B34" s="1"/>
  <c r="B68" s="1"/>
  <c r="L113" i="105" s="1"/>
  <c r="L113" i="130" s="1"/>
  <c r="C11" i="48"/>
  <c r="B11"/>
  <c r="B33" s="1"/>
  <c r="B67" s="1"/>
  <c r="L112" i="105" s="1"/>
  <c r="L112" i="130" s="1"/>
  <c r="C10" i="48"/>
  <c r="B10"/>
  <c r="B32" s="1"/>
  <c r="B66" s="1"/>
  <c r="L111" i="105" s="1"/>
  <c r="L111" i="130" s="1"/>
  <c r="C9" i="48"/>
  <c r="B9"/>
  <c r="B31" s="1"/>
  <c r="B65" s="1"/>
  <c r="L110" i="105" s="1"/>
  <c r="L110" i="130" s="1"/>
  <c r="C8" i="48"/>
  <c r="B8"/>
  <c r="B30" s="1"/>
  <c r="B4" a="1"/>
  <c r="G4" s="1"/>
  <c r="B3"/>
  <c r="B2"/>
  <c r="I1"/>
  <c r="B204" i="47" a="1"/>
  <c r="I204" s="1"/>
  <c r="H203"/>
  <c r="G203"/>
  <c r="F203"/>
  <c r="E203"/>
  <c r="D203"/>
  <c r="C203"/>
  <c r="B203"/>
  <c r="B202" a="1"/>
  <c r="F202" s="1"/>
  <c r="D191"/>
  <c r="D160" s="1"/>
  <c r="C191"/>
  <c r="B183" a="1"/>
  <c r="H183" s="1"/>
  <c r="J160"/>
  <c r="J161" s="1"/>
  <c r="A160"/>
  <c r="B159" a="1"/>
  <c r="H159" s="1"/>
  <c r="D158"/>
  <c r="D154"/>
  <c r="C154"/>
  <c r="C24" s="1"/>
  <c r="D153"/>
  <c r="D23" s="1"/>
  <c r="C153"/>
  <c r="D152"/>
  <c r="D22" s="1"/>
  <c r="C152"/>
  <c r="C22" s="1"/>
  <c r="D151"/>
  <c r="D21" s="1"/>
  <c r="C151"/>
  <c r="C21" s="1"/>
  <c r="D150"/>
  <c r="D20" s="1"/>
  <c r="C150"/>
  <c r="D149"/>
  <c r="C149"/>
  <c r="C19" s="1"/>
  <c r="B147" a="1"/>
  <c r="G147" s="1"/>
  <c r="C133" a="1"/>
  <c r="I133" s="1"/>
  <c r="K118"/>
  <c r="K117"/>
  <c r="K116"/>
  <c r="K115"/>
  <c r="K114"/>
  <c r="K113"/>
  <c r="N111" a="1"/>
  <c r="R111" s="1"/>
  <c r="C111" a="1"/>
  <c r="E111" s="1"/>
  <c r="G108"/>
  <c r="H108" s="1"/>
  <c r="I108" s="1"/>
  <c r="D108"/>
  <c r="E108" s="1"/>
  <c r="F108" s="1"/>
  <c r="C97" a="1"/>
  <c r="G97" s="1"/>
  <c r="K82"/>
  <c r="K81"/>
  <c r="K80"/>
  <c r="K79"/>
  <c r="K78"/>
  <c r="K77"/>
  <c r="C76" a="1"/>
  <c r="G76" s="1"/>
  <c r="N75" a="1"/>
  <c r="S75" s="1"/>
  <c r="D73"/>
  <c r="E73" s="1"/>
  <c r="F73" s="1"/>
  <c r="G73" s="1"/>
  <c r="H73" s="1"/>
  <c r="I73" s="1"/>
  <c r="B61" a="1"/>
  <c r="G61" s="1"/>
  <c r="D24"/>
  <c r="C23"/>
  <c r="C20"/>
  <c r="C13"/>
  <c r="B13"/>
  <c r="B35" s="1"/>
  <c r="B69" s="1"/>
  <c r="L105" i="105" s="1"/>
  <c r="L105" i="130" s="1"/>
  <c r="C12" i="47"/>
  <c r="B12"/>
  <c r="B34" s="1"/>
  <c r="B68" s="1"/>
  <c r="L104" i="105" s="1"/>
  <c r="L104" i="130" s="1"/>
  <c r="C11" i="47"/>
  <c r="B11"/>
  <c r="B33" s="1"/>
  <c r="B67" s="1"/>
  <c r="L103" i="105" s="1"/>
  <c r="L103" i="130" s="1"/>
  <c r="C10" i="47"/>
  <c r="B10"/>
  <c r="B32" s="1"/>
  <c r="B66" s="1"/>
  <c r="L102" i="105" s="1"/>
  <c r="L102" i="130" s="1"/>
  <c r="C9" i="47"/>
  <c r="B9"/>
  <c r="B31" s="1"/>
  <c r="B65" s="1"/>
  <c r="L101" i="105" s="1"/>
  <c r="L101" i="130" s="1"/>
  <c r="C8" i="47"/>
  <c r="B8"/>
  <c r="B4" a="1"/>
  <c r="G4" s="1"/>
  <c r="B3"/>
  <c r="B2"/>
  <c r="I1"/>
  <c r="B204" i="46" a="1"/>
  <c r="H203"/>
  <c r="G203"/>
  <c r="F203"/>
  <c r="E203"/>
  <c r="D203"/>
  <c r="C203"/>
  <c r="B203"/>
  <c r="B202" a="1"/>
  <c r="G202" s="1"/>
  <c r="D191"/>
  <c r="C191"/>
  <c r="B183" a="1"/>
  <c r="H183" s="1"/>
  <c r="B159" a="1"/>
  <c r="H159" s="1"/>
  <c r="D158"/>
  <c r="J160" s="1"/>
  <c r="L160" s="1"/>
  <c r="D154"/>
  <c r="C154"/>
  <c r="C24" s="1"/>
  <c r="D153"/>
  <c r="D23" s="1"/>
  <c r="C153"/>
  <c r="C23" s="1"/>
  <c r="D152"/>
  <c r="D22" s="1"/>
  <c r="C152"/>
  <c r="D151"/>
  <c r="C151"/>
  <c r="C21" s="1"/>
  <c r="D150"/>
  <c r="D20" s="1"/>
  <c r="C150"/>
  <c r="D149"/>
  <c r="C149"/>
  <c r="C19" s="1"/>
  <c r="B147" a="1"/>
  <c r="G147" s="1"/>
  <c r="C133" a="1"/>
  <c r="I133" s="1"/>
  <c r="K118"/>
  <c r="K117"/>
  <c r="K116"/>
  <c r="K115"/>
  <c r="K114"/>
  <c r="K113"/>
  <c r="N111" a="1"/>
  <c r="S111" s="1"/>
  <c r="C111" a="1"/>
  <c r="I111" s="1"/>
  <c r="I108"/>
  <c r="F108"/>
  <c r="G108" s="1"/>
  <c r="H108" s="1"/>
  <c r="D108"/>
  <c r="E108" s="1"/>
  <c r="C97" a="1"/>
  <c r="K82"/>
  <c r="C82" s="1"/>
  <c r="K81"/>
  <c r="C81" s="1"/>
  <c r="K80"/>
  <c r="C80" s="1"/>
  <c r="K79"/>
  <c r="C79" s="1"/>
  <c r="K78"/>
  <c r="C78" s="1"/>
  <c r="K77"/>
  <c r="C77" s="1"/>
  <c r="C76" a="1"/>
  <c r="H76" s="1"/>
  <c r="N75" a="1"/>
  <c r="S75" s="1"/>
  <c r="H73"/>
  <c r="I73" s="1"/>
  <c r="J116" s="1"/>
  <c r="E73"/>
  <c r="F73" s="1"/>
  <c r="G73" s="1"/>
  <c r="D73"/>
  <c r="B61" a="1"/>
  <c r="G61" s="1"/>
  <c r="D24"/>
  <c r="C22"/>
  <c r="D21"/>
  <c r="C20"/>
  <c r="C13"/>
  <c r="B13"/>
  <c r="B35" s="1"/>
  <c r="B69" s="1"/>
  <c r="L94" i="105" s="1"/>
  <c r="L94" i="130" s="1"/>
  <c r="C12" i="46"/>
  <c r="B12"/>
  <c r="B34" s="1"/>
  <c r="B68" s="1"/>
  <c r="L93" i="105" s="1"/>
  <c r="L93" i="130" s="1"/>
  <c r="C11" i="46"/>
  <c r="B11"/>
  <c r="B33" s="1"/>
  <c r="B67" s="1"/>
  <c r="L92" i="105" s="1"/>
  <c r="L92" i="130" s="1"/>
  <c r="C10" i="46"/>
  <c r="B10"/>
  <c r="B32" s="1"/>
  <c r="B66" s="1"/>
  <c r="L91" i="105" s="1"/>
  <c r="L91" i="130" s="1"/>
  <c r="C9" i="46"/>
  <c r="B9"/>
  <c r="B31" s="1"/>
  <c r="B65" s="1"/>
  <c r="L90" i="105" s="1"/>
  <c r="L90" i="130" s="1"/>
  <c r="C8" i="46"/>
  <c r="B8"/>
  <c r="B30" s="1"/>
  <c r="B4" a="1"/>
  <c r="D4" s="1"/>
  <c r="B3"/>
  <c r="B2"/>
  <c r="I1"/>
  <c r="B204" i="45" a="1"/>
  <c r="I204" s="1"/>
  <c r="H203"/>
  <c r="G203"/>
  <c r="F203"/>
  <c r="E203"/>
  <c r="D203"/>
  <c r="C203"/>
  <c r="B203"/>
  <c r="B202" a="1"/>
  <c r="F202" s="1"/>
  <c r="D191"/>
  <c r="D160" s="1"/>
  <c r="C191"/>
  <c r="B183" a="1"/>
  <c r="H183" s="1"/>
  <c r="J160"/>
  <c r="J161" s="1"/>
  <c r="A160"/>
  <c r="B159" a="1"/>
  <c r="H159" s="1"/>
  <c r="D158"/>
  <c r="D154"/>
  <c r="D24" s="1"/>
  <c r="C154"/>
  <c r="D153"/>
  <c r="D23" s="1"/>
  <c r="C153"/>
  <c r="D152"/>
  <c r="C152"/>
  <c r="C22" s="1"/>
  <c r="D151"/>
  <c r="D21" s="1"/>
  <c r="C15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S75" s="1"/>
  <c r="D73"/>
  <c r="E73" s="1"/>
  <c r="F73" s="1"/>
  <c r="G73" s="1"/>
  <c r="H73" s="1"/>
  <c r="I73" s="1"/>
  <c r="B61" a="1"/>
  <c r="G61" s="1"/>
  <c r="C24"/>
  <c r="C23"/>
  <c r="D22"/>
  <c r="C21"/>
  <c r="D19"/>
  <c r="C13"/>
  <c r="B13"/>
  <c r="B35" s="1"/>
  <c r="B69" s="1"/>
  <c r="L85" i="105" s="1"/>
  <c r="L85" i="130" s="1"/>
  <c r="C12" i="45"/>
  <c r="B12"/>
  <c r="B34" s="1"/>
  <c r="B68" s="1"/>
  <c r="L84" i="105" s="1"/>
  <c r="L84" i="130" s="1"/>
  <c r="C11" i="45"/>
  <c r="B11"/>
  <c r="B33" s="1"/>
  <c r="B67" s="1"/>
  <c r="L83" i="105" s="1"/>
  <c r="L83" i="130" s="1"/>
  <c r="C10" i="45"/>
  <c r="B10"/>
  <c r="B32" s="1"/>
  <c r="B66" s="1"/>
  <c r="L82" i="105" s="1"/>
  <c r="L82" i="130" s="1"/>
  <c r="C9" i="45"/>
  <c r="B9"/>
  <c r="B31" s="1"/>
  <c r="B65" s="1"/>
  <c r="L81" i="105" s="1"/>
  <c r="L81" i="130" s="1"/>
  <c r="C8" i="45"/>
  <c r="B8"/>
  <c r="B4" a="1"/>
  <c r="G4" s="1"/>
  <c r="B3"/>
  <c r="B2"/>
  <c r="I1"/>
  <c r="B204" i="44" a="1"/>
  <c r="I204" s="1"/>
  <c r="H203"/>
  <c r="G203"/>
  <c r="F203"/>
  <c r="E203"/>
  <c r="D203"/>
  <c r="C203"/>
  <c r="B203"/>
  <c r="B202" a="1"/>
  <c r="F202" s="1"/>
  <c r="D191"/>
  <c r="D160" s="1"/>
  <c r="C191"/>
  <c r="B183" a="1"/>
  <c r="H183" s="1"/>
  <c r="J160"/>
  <c r="J161" s="1"/>
  <c r="A160"/>
  <c r="B159" a="1"/>
  <c r="H159" s="1"/>
  <c r="D158"/>
  <c r="D154"/>
  <c r="C154"/>
  <c r="C24" s="1"/>
  <c r="D153"/>
  <c r="D23" s="1"/>
  <c r="C153"/>
  <c r="D152"/>
  <c r="D22" s="1"/>
  <c r="C152"/>
  <c r="D151"/>
  <c r="C151"/>
  <c r="C21" s="1"/>
  <c r="D150"/>
  <c r="C150"/>
  <c r="D149"/>
  <c r="D155" s="1"/>
  <c r="C149"/>
  <c r="C19" s="1"/>
  <c r="B147" a="1"/>
  <c r="G147" s="1"/>
  <c r="C133" a="1"/>
  <c r="I133" s="1"/>
  <c r="K118"/>
  <c r="K117"/>
  <c r="K116"/>
  <c r="K115"/>
  <c r="K114"/>
  <c r="K113"/>
  <c r="N111" a="1"/>
  <c r="R111" s="1"/>
  <c r="C111" a="1"/>
  <c r="I111" s="1"/>
  <c r="D108"/>
  <c r="E108" s="1"/>
  <c r="F108" s="1"/>
  <c r="G108" s="1"/>
  <c r="H108" s="1"/>
  <c r="I108" s="1"/>
  <c r="C97" a="1"/>
  <c r="G97" s="1"/>
  <c r="C93"/>
  <c r="C93" a="1"/>
  <c r="C91" a="1"/>
  <c r="C91" s="1"/>
  <c r="C90" a="1"/>
  <c r="C90" s="1"/>
  <c r="C89"/>
  <c r="C89" a="1"/>
  <c r="C88"/>
  <c r="C88" a="1"/>
  <c r="C87" a="1"/>
  <c r="C87" s="1"/>
  <c r="K82"/>
  <c r="K81"/>
  <c r="K80"/>
  <c r="K79"/>
  <c r="K78"/>
  <c r="K77"/>
  <c r="C76" a="1"/>
  <c r="H76" s="1"/>
  <c r="N75" a="1"/>
  <c r="S75" s="1"/>
  <c r="E73"/>
  <c r="F73" s="1"/>
  <c r="G73" s="1"/>
  <c r="H73" s="1"/>
  <c r="I73" s="1"/>
  <c r="D73"/>
  <c r="B61" a="1"/>
  <c r="G61" s="1"/>
  <c r="D24"/>
  <c r="C23"/>
  <c r="C22"/>
  <c r="D21"/>
  <c r="D20"/>
  <c r="C20"/>
  <c r="C13"/>
  <c r="B13"/>
  <c r="B35" s="1"/>
  <c r="B69" s="1"/>
  <c r="L76" i="105" s="1"/>
  <c r="L76" i="130" s="1"/>
  <c r="C12" i="44"/>
  <c r="B12"/>
  <c r="B34" s="1"/>
  <c r="B68" s="1"/>
  <c r="L75" i="105" s="1"/>
  <c r="L75" i="130" s="1"/>
  <c r="C11" i="44"/>
  <c r="B11"/>
  <c r="B33" s="1"/>
  <c r="B67" s="1"/>
  <c r="L74" i="105" s="1"/>
  <c r="L74" i="130" s="1"/>
  <c r="C10" i="44"/>
  <c r="B10"/>
  <c r="B32" s="1"/>
  <c r="B66" s="1"/>
  <c r="L73" i="105" s="1"/>
  <c r="L73" i="130" s="1"/>
  <c r="C9" i="44"/>
  <c r="B9"/>
  <c r="B31" s="1"/>
  <c r="B65" s="1"/>
  <c r="L72" i="105" s="1"/>
  <c r="L72" i="130" s="1"/>
  <c r="C8" i="44"/>
  <c r="B8"/>
  <c r="B4" a="1"/>
  <c r="G4" s="1"/>
  <c r="B3"/>
  <c r="B2"/>
  <c r="I1"/>
  <c r="B204" i="43" a="1"/>
  <c r="I204" s="1"/>
  <c r="H203"/>
  <c r="G203"/>
  <c r="F203"/>
  <c r="E203"/>
  <c r="D203"/>
  <c r="C203"/>
  <c r="B203"/>
  <c r="B202" a="1"/>
  <c r="F202" s="1"/>
  <c r="D191"/>
  <c r="C191"/>
  <c r="B183" a="1"/>
  <c r="D183" s="1"/>
  <c r="M160"/>
  <c r="J160"/>
  <c r="D160"/>
  <c r="A160"/>
  <c r="B159" a="1"/>
  <c r="D159" s="1"/>
  <c r="D158"/>
  <c r="D154"/>
  <c r="C154"/>
  <c r="C24" s="1"/>
  <c r="D153"/>
  <c r="D23" s="1"/>
  <c r="C153"/>
  <c r="D152"/>
  <c r="C152"/>
  <c r="C22" s="1"/>
  <c r="D151"/>
  <c r="C151"/>
  <c r="D150"/>
  <c r="D20" s="1"/>
  <c r="C150"/>
  <c r="C20" s="1"/>
  <c r="D149"/>
  <c r="C149"/>
  <c r="B147" a="1"/>
  <c r="G147" s="1"/>
  <c r="C133" a="1"/>
  <c r="H133" s="1"/>
  <c r="K118"/>
  <c r="K117"/>
  <c r="K116"/>
  <c r="K115"/>
  <c r="K114"/>
  <c r="K113"/>
  <c r="N111" a="1"/>
  <c r="R111" s="1"/>
  <c r="C111" a="1"/>
  <c r="E111" s="1"/>
  <c r="D108"/>
  <c r="E108" s="1"/>
  <c r="F108" s="1"/>
  <c r="G108" s="1"/>
  <c r="H108" s="1"/>
  <c r="I108" s="1"/>
  <c r="C97" a="1"/>
  <c r="G97" s="1"/>
  <c r="K82"/>
  <c r="K81"/>
  <c r="K80"/>
  <c r="K79"/>
  <c r="K78"/>
  <c r="K77"/>
  <c r="C76" a="1"/>
  <c r="G76" s="1"/>
  <c r="N75" a="1"/>
  <c r="S75" s="1"/>
  <c r="G73"/>
  <c r="H73" s="1"/>
  <c r="I73" s="1"/>
  <c r="D73"/>
  <c r="E73" s="1"/>
  <c r="F73" s="1"/>
  <c r="B61" a="1"/>
  <c r="G61" s="1"/>
  <c r="D24"/>
  <c r="C23"/>
  <c r="D22"/>
  <c r="D21"/>
  <c r="C21"/>
  <c r="D19"/>
  <c r="C13"/>
  <c r="B13"/>
  <c r="B35" s="1"/>
  <c r="B69" s="1"/>
  <c r="L67" i="105" s="1"/>
  <c r="L67" i="130" s="1"/>
  <c r="C12" i="43"/>
  <c r="B12"/>
  <c r="B34" s="1"/>
  <c r="B68" s="1"/>
  <c r="L66" i="105" s="1"/>
  <c r="L66" i="130" s="1"/>
  <c r="C11" i="43"/>
  <c r="B11"/>
  <c r="B33" s="1"/>
  <c r="B67" s="1"/>
  <c r="L65" i="105" s="1"/>
  <c r="L65" i="130" s="1"/>
  <c r="C10" i="43"/>
  <c r="B10"/>
  <c r="B32" s="1"/>
  <c r="B66" s="1"/>
  <c r="L64" i="105" s="1"/>
  <c r="L64" i="130" s="1"/>
  <c r="C9" i="43"/>
  <c r="B9"/>
  <c r="B31" s="1"/>
  <c r="B65" s="1"/>
  <c r="L63" i="105" s="1"/>
  <c r="L63" i="130" s="1"/>
  <c r="C8" i="43"/>
  <c r="B8"/>
  <c r="B30" s="1"/>
  <c r="B64" s="1"/>
  <c r="L62" i="105" s="1"/>
  <c r="L62" i="130" s="1"/>
  <c r="B4" i="43" a="1"/>
  <c r="G4" s="1"/>
  <c r="B3"/>
  <c r="B2"/>
  <c r="I1"/>
  <c r="B204" i="42" a="1"/>
  <c r="I204" s="1"/>
  <c r="H203"/>
  <c r="G203"/>
  <c r="F203"/>
  <c r="E203"/>
  <c r="D203"/>
  <c r="C203"/>
  <c r="B203"/>
  <c r="B202" a="1"/>
  <c r="F202" s="1"/>
  <c r="D191"/>
  <c r="D160" s="1"/>
  <c r="C191"/>
  <c r="B183" a="1"/>
  <c r="H183" s="1"/>
  <c r="J160"/>
  <c r="J161" s="1"/>
  <c r="A160"/>
  <c r="B159" a="1"/>
  <c r="H159" s="1"/>
  <c r="D158"/>
  <c r="D154"/>
  <c r="D24" s="1"/>
  <c r="C154"/>
  <c r="D153"/>
  <c r="D23" s="1"/>
  <c r="C153"/>
  <c r="D152"/>
  <c r="D22" s="1"/>
  <c r="C152"/>
  <c r="C22" s="1"/>
  <c r="D151"/>
  <c r="C151"/>
  <c r="C21" s="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T75" s="1"/>
  <c r="D73"/>
  <c r="E73" s="1"/>
  <c r="F73" s="1"/>
  <c r="G73" s="1"/>
  <c r="H73" s="1"/>
  <c r="I73" s="1"/>
  <c r="B61" a="1"/>
  <c r="H61" s="1"/>
  <c r="C24"/>
  <c r="C23"/>
  <c r="D21"/>
  <c r="C19"/>
  <c r="C13"/>
  <c r="B13"/>
  <c r="B35" s="1"/>
  <c r="B69" s="1"/>
  <c r="L58" i="105" s="1"/>
  <c r="L58" i="130" s="1"/>
  <c r="C12" i="42"/>
  <c r="B12"/>
  <c r="B34" s="1"/>
  <c r="B68" s="1"/>
  <c r="L57" i="105" s="1"/>
  <c r="L57" i="130" s="1"/>
  <c r="C11" i="42"/>
  <c r="B11"/>
  <c r="B33" s="1"/>
  <c r="B67" s="1"/>
  <c r="L56" i="105" s="1"/>
  <c r="L56" i="130" s="1"/>
  <c r="C10" i="42"/>
  <c r="B10"/>
  <c r="B32" s="1"/>
  <c r="B66" s="1"/>
  <c r="L55" i="105" s="1"/>
  <c r="L55" i="130" s="1"/>
  <c r="C9" i="42"/>
  <c r="B9"/>
  <c r="B31" s="1"/>
  <c r="B65" s="1"/>
  <c r="L54" i="105" s="1"/>
  <c r="L54" i="130" s="1"/>
  <c r="C8" i="42"/>
  <c r="B8"/>
  <c r="B4" a="1"/>
  <c r="G4" s="1"/>
  <c r="B3"/>
  <c r="B2"/>
  <c r="I1"/>
  <c r="B204" i="41" a="1"/>
  <c r="I204" s="1"/>
  <c r="H203"/>
  <c r="G203"/>
  <c r="F203"/>
  <c r="E203"/>
  <c r="D203"/>
  <c r="C203"/>
  <c r="B203"/>
  <c r="B202" a="1"/>
  <c r="F202" s="1"/>
  <c r="D191"/>
  <c r="D160" s="1"/>
  <c r="C191"/>
  <c r="B183" a="1"/>
  <c r="H183" s="1"/>
  <c r="J160"/>
  <c r="J161" s="1"/>
  <c r="A160"/>
  <c r="B159" a="1"/>
  <c r="H159" s="1"/>
  <c r="D158"/>
  <c r="D154"/>
  <c r="D24" s="1"/>
  <c r="C154"/>
  <c r="D153"/>
  <c r="C153"/>
  <c r="C23" s="1"/>
  <c r="D152"/>
  <c r="D22" s="1"/>
  <c r="C152"/>
  <c r="D151"/>
  <c r="D21" s="1"/>
  <c r="C151"/>
  <c r="C21" s="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D23"/>
  <c r="C22"/>
  <c r="D19"/>
  <c r="C19"/>
  <c r="C13"/>
  <c r="B13"/>
  <c r="B35" s="1"/>
  <c r="B69" s="1"/>
  <c r="L49" i="105" s="1"/>
  <c r="L49" i="130" s="1"/>
  <c r="C12" i="41"/>
  <c r="B12"/>
  <c r="B34" s="1"/>
  <c r="B68" s="1"/>
  <c r="L48" i="105" s="1"/>
  <c r="L48" i="130" s="1"/>
  <c r="C11" i="41"/>
  <c r="B11"/>
  <c r="B33" s="1"/>
  <c r="B67" s="1"/>
  <c r="L47" i="105" s="1"/>
  <c r="L47" i="130" s="1"/>
  <c r="C10" i="41"/>
  <c r="B10"/>
  <c r="B32" s="1"/>
  <c r="B66" s="1"/>
  <c r="L46" i="105" s="1"/>
  <c r="L46" i="130" s="1"/>
  <c r="C9" i="41"/>
  <c r="B9"/>
  <c r="B31" s="1"/>
  <c r="B65" s="1"/>
  <c r="L45" i="105" s="1"/>
  <c r="L45" i="130" s="1"/>
  <c r="C8" i="41"/>
  <c r="B8"/>
  <c r="B30" s="1"/>
  <c r="B4" a="1"/>
  <c r="G4" s="1"/>
  <c r="B3"/>
  <c r="B2"/>
  <c r="I1"/>
  <c r="B204" i="40" a="1"/>
  <c r="I204" s="1"/>
  <c r="H203"/>
  <c r="G203"/>
  <c r="F203"/>
  <c r="E203"/>
  <c r="D203"/>
  <c r="C203"/>
  <c r="B203"/>
  <c r="B202" a="1"/>
  <c r="F202" s="1"/>
  <c r="D191"/>
  <c r="C191"/>
  <c r="B183" a="1"/>
  <c r="D183" s="1"/>
  <c r="L160"/>
  <c r="C160"/>
  <c r="B159" a="1"/>
  <c r="G159" s="1"/>
  <c r="D158"/>
  <c r="J160" s="1"/>
  <c r="D154"/>
  <c r="D24" s="1"/>
  <c r="C154"/>
  <c r="D153"/>
  <c r="D23" s="1"/>
  <c r="C153"/>
  <c r="C23" s="1"/>
  <c r="D152"/>
  <c r="C152"/>
  <c r="D151"/>
  <c r="D21" s="1"/>
  <c r="C151"/>
  <c r="D150"/>
  <c r="D20" s="1"/>
  <c r="C150"/>
  <c r="C20" s="1"/>
  <c r="D149"/>
  <c r="C149"/>
  <c r="C19" s="1"/>
  <c r="B147" a="1"/>
  <c r="I147" s="1"/>
  <c r="C133" a="1"/>
  <c r="H133" s="1"/>
  <c r="K118"/>
  <c r="K117"/>
  <c r="K116"/>
  <c r="K115"/>
  <c r="K114"/>
  <c r="K113"/>
  <c r="N111" a="1"/>
  <c r="S111" s="1"/>
  <c r="C111" a="1"/>
  <c r="H111" s="1"/>
  <c r="D108"/>
  <c r="E108" s="1"/>
  <c r="F108" s="1"/>
  <c r="G108" s="1"/>
  <c r="H108" s="1"/>
  <c r="I108" s="1"/>
  <c r="C97" a="1"/>
  <c r="E97" s="1"/>
  <c r="K82"/>
  <c r="C82" s="1"/>
  <c r="K81"/>
  <c r="C81" s="1"/>
  <c r="K80"/>
  <c r="C80" s="1"/>
  <c r="K79"/>
  <c r="C79" s="1"/>
  <c r="K78"/>
  <c r="C78" s="1"/>
  <c r="K77"/>
  <c r="C77" s="1"/>
  <c r="C76" a="1"/>
  <c r="I76" s="1"/>
  <c r="N75" a="1"/>
  <c r="S75" s="1"/>
  <c r="E73"/>
  <c r="F73" s="1"/>
  <c r="G73" s="1"/>
  <c r="H73" s="1"/>
  <c r="I73" s="1"/>
  <c r="D73"/>
  <c r="B61" a="1"/>
  <c r="G61" s="1"/>
  <c r="C24"/>
  <c r="D22"/>
  <c r="C22"/>
  <c r="C21"/>
  <c r="D19"/>
  <c r="C13"/>
  <c r="B13"/>
  <c r="B35" s="1"/>
  <c r="B69" s="1"/>
  <c r="L40" i="105" s="1"/>
  <c r="L40" i="130" s="1"/>
  <c r="C12" i="40"/>
  <c r="B12"/>
  <c r="B34" s="1"/>
  <c r="B68" s="1"/>
  <c r="L39" i="105" s="1"/>
  <c r="L39" i="130" s="1"/>
  <c r="C11" i="40"/>
  <c r="B11"/>
  <c r="B33" s="1"/>
  <c r="B67" s="1"/>
  <c r="L38" i="105" s="1"/>
  <c r="L38" i="130" s="1"/>
  <c r="C10" i="40"/>
  <c r="B10"/>
  <c r="B32" s="1"/>
  <c r="B66" s="1"/>
  <c r="L37" i="105" s="1"/>
  <c r="L37" i="130" s="1"/>
  <c r="C9" i="40"/>
  <c r="B9"/>
  <c r="B31" s="1"/>
  <c r="B65" s="1"/>
  <c r="L36" i="105" s="1"/>
  <c r="L36" i="130" s="1"/>
  <c r="C8" i="40"/>
  <c r="B8"/>
  <c r="B4" a="1"/>
  <c r="I4" s="1"/>
  <c r="B3"/>
  <c r="B2"/>
  <c r="I1"/>
  <c r="B204" i="39" a="1"/>
  <c r="I204" s="1"/>
  <c r="H203"/>
  <c r="G203"/>
  <c r="F203"/>
  <c r="E203"/>
  <c r="D203"/>
  <c r="C203"/>
  <c r="B203"/>
  <c r="B202" a="1"/>
  <c r="F202" s="1"/>
  <c r="D191"/>
  <c r="D160" s="1"/>
  <c r="C191"/>
  <c r="B183" a="1"/>
  <c r="H183" s="1"/>
  <c r="J160"/>
  <c r="J161" s="1"/>
  <c r="A160"/>
  <c r="B159" a="1"/>
  <c r="H159" s="1"/>
  <c r="D158"/>
  <c r="D154"/>
  <c r="D24" s="1"/>
  <c r="C154"/>
  <c r="D153"/>
  <c r="D23" s="1"/>
  <c r="C153"/>
  <c r="D152"/>
  <c r="D22" s="1"/>
  <c r="C152"/>
  <c r="C22" s="1"/>
  <c r="D151"/>
  <c r="D21" s="1"/>
  <c r="C151"/>
  <c r="C21" s="1"/>
  <c r="D150"/>
  <c r="D20" s="1"/>
  <c r="C150"/>
  <c r="D149"/>
  <c r="D19" s="1"/>
  <c r="C149"/>
  <c r="C19" s="1"/>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C23"/>
  <c r="C20"/>
  <c r="C13"/>
  <c r="B13"/>
  <c r="B35" s="1"/>
  <c r="B69" s="1"/>
  <c r="L31" i="105" s="1"/>
  <c r="L31" i="130" s="1"/>
  <c r="C12" i="39"/>
  <c r="B12"/>
  <c r="B34" s="1"/>
  <c r="B68" s="1"/>
  <c r="L30" i="105" s="1"/>
  <c r="L30" i="130" s="1"/>
  <c r="C11" i="39"/>
  <c r="B11"/>
  <c r="B33" s="1"/>
  <c r="B67" s="1"/>
  <c r="L29" i="105" s="1"/>
  <c r="L29" i="130" s="1"/>
  <c r="C10" i="39"/>
  <c r="B10"/>
  <c r="B32" s="1"/>
  <c r="B66" s="1"/>
  <c r="L28" i="105" s="1"/>
  <c r="L28" i="130" s="1"/>
  <c r="C9" i="39"/>
  <c r="B9"/>
  <c r="B31" s="1"/>
  <c r="B65" s="1"/>
  <c r="L27" i="105" s="1"/>
  <c r="L27" i="130" s="1"/>
  <c r="C8" i="39"/>
  <c r="B8"/>
  <c r="B30" s="1"/>
  <c r="B4" a="1"/>
  <c r="H4" s="1"/>
  <c r="B3"/>
  <c r="B2"/>
  <c r="I1"/>
  <c r="B204" i="38" a="1"/>
  <c r="I204" s="1"/>
  <c r="H203"/>
  <c r="G203"/>
  <c r="F203"/>
  <c r="E203"/>
  <c r="D203"/>
  <c r="C203"/>
  <c r="B203"/>
  <c r="B202" a="1"/>
  <c r="F202" s="1"/>
  <c r="D191"/>
  <c r="D160" s="1"/>
  <c r="C191"/>
  <c r="B183" a="1"/>
  <c r="H183" s="1"/>
  <c r="J160"/>
  <c r="J161" s="1"/>
  <c r="A160"/>
  <c r="B159" a="1"/>
  <c r="H159" s="1"/>
  <c r="D158"/>
  <c r="D154"/>
  <c r="D24" s="1"/>
  <c r="C154"/>
  <c r="C24" s="1"/>
  <c r="D153"/>
  <c r="D23" s="1"/>
  <c r="C153"/>
  <c r="C23" s="1"/>
  <c r="D152"/>
  <c r="D22" s="1"/>
  <c r="C152"/>
  <c r="D151"/>
  <c r="D21" s="1"/>
  <c r="C151"/>
  <c r="C21" s="1"/>
  <c r="D150"/>
  <c r="D20" s="1"/>
  <c r="C150"/>
  <c r="C20" s="1"/>
  <c r="D149"/>
  <c r="D19" s="1"/>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S75" s="1"/>
  <c r="D73"/>
  <c r="E73" s="1"/>
  <c r="F73" s="1"/>
  <c r="G73" s="1"/>
  <c r="H73" s="1"/>
  <c r="I73" s="1"/>
  <c r="B61" a="1"/>
  <c r="G61" s="1"/>
  <c r="C22"/>
  <c r="C19"/>
  <c r="C13"/>
  <c r="B13"/>
  <c r="B35" s="1"/>
  <c r="B69" s="1"/>
  <c r="L22" i="105" s="1"/>
  <c r="L22" i="130" s="1"/>
  <c r="C12" i="38"/>
  <c r="B12"/>
  <c r="B34" s="1"/>
  <c r="B68" s="1"/>
  <c r="L21" i="105" s="1"/>
  <c r="L21" i="130" s="1"/>
  <c r="C11" i="38"/>
  <c r="B11"/>
  <c r="B33" s="1"/>
  <c r="B67" s="1"/>
  <c r="L20" i="105" s="1"/>
  <c r="L20" i="130" s="1"/>
  <c r="C10" i="38"/>
  <c r="B10"/>
  <c r="B32" s="1"/>
  <c r="B66" s="1"/>
  <c r="L19" i="105" s="1"/>
  <c r="L19" i="130" s="1"/>
  <c r="C9" i="38"/>
  <c r="B9"/>
  <c r="B31" s="1"/>
  <c r="B65" s="1"/>
  <c r="L18" i="105" s="1"/>
  <c r="L18" i="130" s="1"/>
  <c r="C8" i="38"/>
  <c r="B8"/>
  <c r="B4" a="1"/>
  <c r="G4" s="1"/>
  <c r="B3"/>
  <c r="B2"/>
  <c r="I1"/>
  <c r="B204" i="32" a="1"/>
  <c r="I204" s="1"/>
  <c r="H203"/>
  <c r="G203"/>
  <c r="F203"/>
  <c r="E203"/>
  <c r="D203"/>
  <c r="C203"/>
  <c r="B203"/>
  <c r="B202" a="1"/>
  <c r="F202" s="1"/>
  <c r="D191"/>
  <c r="C191"/>
  <c r="B183" a="1"/>
  <c r="H183" s="1"/>
  <c r="J160"/>
  <c r="J161" s="1"/>
  <c r="D160"/>
  <c r="A160"/>
  <c r="B159" a="1"/>
  <c r="H159" s="1"/>
  <c r="D158"/>
  <c r="D154"/>
  <c r="D24" s="1"/>
  <c r="C154"/>
  <c r="D153"/>
  <c r="D23" s="1"/>
  <c r="C153"/>
  <c r="C23" s="1"/>
  <c r="D152"/>
  <c r="C152"/>
  <c r="C22" s="1"/>
  <c r="D151"/>
  <c r="D21" s="1"/>
  <c r="C15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S75" s="1"/>
  <c r="D73"/>
  <c r="E73" s="1"/>
  <c r="F73" s="1"/>
  <c r="G73" s="1"/>
  <c r="H73" s="1"/>
  <c r="I73" s="1"/>
  <c r="B61" a="1"/>
  <c r="G61" s="1"/>
  <c r="C24"/>
  <c r="D22"/>
  <c r="C21"/>
  <c r="D19"/>
  <c r="C13"/>
  <c r="B13"/>
  <c r="B35" s="1"/>
  <c r="B69" s="1"/>
  <c r="L13" i="105" s="1"/>
  <c r="L13" i="130" s="1"/>
  <c r="C12" i="32"/>
  <c r="B12"/>
  <c r="B34" s="1"/>
  <c r="B68" s="1"/>
  <c r="L12" i="105" s="1"/>
  <c r="L12" i="130" s="1"/>
  <c r="C11" i="32"/>
  <c r="B11"/>
  <c r="B33" s="1"/>
  <c r="B67" s="1"/>
  <c r="L11" i="105" s="1"/>
  <c r="L11" i="130" s="1"/>
  <c r="C10" i="32"/>
  <c r="B10"/>
  <c r="B32" s="1"/>
  <c r="B66" s="1"/>
  <c r="L10" i="105" s="1"/>
  <c r="L10" i="130" s="1"/>
  <c r="C9" i="32"/>
  <c r="B9"/>
  <c r="B31" s="1"/>
  <c r="B65" s="1"/>
  <c r="L9" i="105" s="1"/>
  <c r="L9" i="130" s="1"/>
  <c r="C8" i="32"/>
  <c r="B8"/>
  <c r="B4" a="1"/>
  <c r="G4" s="1"/>
  <c r="B3"/>
  <c r="B2"/>
  <c r="I1"/>
  <c r="B204" i="129" a="1"/>
  <c r="I204" s="1"/>
  <c r="H203"/>
  <c r="G203"/>
  <c r="F203"/>
  <c r="E203"/>
  <c r="D203"/>
  <c r="C203"/>
  <c r="B203"/>
  <c r="B202" a="1"/>
  <c r="F202" s="1"/>
  <c r="D191"/>
  <c r="D160" s="1"/>
  <c r="C191"/>
  <c r="B183" a="1"/>
  <c r="H183" s="1"/>
  <c r="J160"/>
  <c r="J161" s="1"/>
  <c r="A160"/>
  <c r="B159" a="1"/>
  <c r="H159" s="1"/>
  <c r="D158"/>
  <c r="D154"/>
  <c r="D24" s="1"/>
  <c r="C154"/>
  <c r="D153"/>
  <c r="D23" s="1"/>
  <c r="C153"/>
  <c r="C23" s="1"/>
  <c r="D152"/>
  <c r="C152"/>
  <c r="C22" s="1"/>
  <c r="D151"/>
  <c r="D21" s="1"/>
  <c r="C151"/>
  <c r="D150"/>
  <c r="D20" s="1"/>
  <c r="C150"/>
  <c r="C20" s="1"/>
  <c r="D149"/>
  <c r="C149"/>
  <c r="C19" s="1"/>
  <c r="B147" a="1"/>
  <c r="G147" s="1"/>
  <c r="C133" a="1"/>
  <c r="I133" s="1"/>
  <c r="K118"/>
  <c r="K117"/>
  <c r="K116"/>
  <c r="K115"/>
  <c r="K114"/>
  <c r="K113"/>
  <c r="N111" a="1"/>
  <c r="S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D22"/>
  <c r="C21"/>
  <c r="D19"/>
  <c r="I13"/>
  <c r="H13"/>
  <c r="G13"/>
  <c r="F13"/>
  <c r="E13"/>
  <c r="D13"/>
  <c r="C13"/>
  <c r="B13"/>
  <c r="B35" s="1"/>
  <c r="B69" s="1"/>
  <c r="L604" i="105" s="1"/>
  <c r="L604" i="130" s="1"/>
  <c r="I12" i="129"/>
  <c r="H12"/>
  <c r="G12"/>
  <c r="F12"/>
  <c r="E12"/>
  <c r="D12"/>
  <c r="C12"/>
  <c r="B12"/>
  <c r="B34" s="1"/>
  <c r="B68" s="1"/>
  <c r="L603" i="105" s="1"/>
  <c r="L603" i="130" s="1"/>
  <c r="I11" i="129"/>
  <c r="H11"/>
  <c r="G11"/>
  <c r="F11"/>
  <c r="E11"/>
  <c r="D11"/>
  <c r="C11"/>
  <c r="B11"/>
  <c r="B33" s="1"/>
  <c r="B67" s="1"/>
  <c r="L602" i="105" s="1"/>
  <c r="L602" i="130" s="1"/>
  <c r="I10" i="129"/>
  <c r="H10"/>
  <c r="G10"/>
  <c r="F10"/>
  <c r="E10"/>
  <c r="D10"/>
  <c r="C10"/>
  <c r="B10"/>
  <c r="B32" s="1"/>
  <c r="B66" s="1"/>
  <c r="L601" i="105" s="1"/>
  <c r="L601" i="130" s="1"/>
  <c r="I9" i="129"/>
  <c r="H9"/>
  <c r="G9"/>
  <c r="F9"/>
  <c r="E9"/>
  <c r="D9"/>
  <c r="C9"/>
  <c r="B9"/>
  <c r="B31" s="1"/>
  <c r="B65" s="1"/>
  <c r="L600" i="105" s="1"/>
  <c r="L600" i="130" s="1"/>
  <c r="I8" i="129"/>
  <c r="H8"/>
  <c r="G8"/>
  <c r="F8"/>
  <c r="E8"/>
  <c r="D8"/>
  <c r="C8"/>
  <c r="B8"/>
  <c r="B30" s="1"/>
  <c r="B4" a="1"/>
  <c r="G4" s="1"/>
  <c r="B3"/>
  <c r="B2"/>
  <c r="I1"/>
  <c r="B204" i="128" a="1"/>
  <c r="I204" s="1"/>
  <c r="H203"/>
  <c r="G203"/>
  <c r="F203"/>
  <c r="E203"/>
  <c r="D203"/>
  <c r="C203"/>
  <c r="B203"/>
  <c r="B202" a="1"/>
  <c r="F202" s="1"/>
  <c r="I191"/>
  <c r="H191"/>
  <c r="G191"/>
  <c r="F191"/>
  <c r="E191"/>
  <c r="D191"/>
  <c r="C191"/>
  <c r="B183" a="1"/>
  <c r="H183" s="1"/>
  <c r="B159" a="1"/>
  <c r="H159" s="1"/>
  <c r="D158"/>
  <c r="J160" s="1"/>
  <c r="I154"/>
  <c r="I24" s="1"/>
  <c r="H154"/>
  <c r="G154"/>
  <c r="G24" s="1"/>
  <c r="F154"/>
  <c r="F24" s="1"/>
  <c r="E154"/>
  <c r="E24" s="1"/>
  <c r="D154"/>
  <c r="C154"/>
  <c r="I153"/>
  <c r="H153"/>
  <c r="H23" s="1"/>
  <c r="G153"/>
  <c r="G23" s="1"/>
  <c r="F153"/>
  <c r="E153"/>
  <c r="D153"/>
  <c r="C153"/>
  <c r="I152"/>
  <c r="H152"/>
  <c r="H22" s="1"/>
  <c r="G152"/>
  <c r="F152"/>
  <c r="F22" s="1"/>
  <c r="E152"/>
  <c r="E22" s="1"/>
  <c r="D152"/>
  <c r="C152"/>
  <c r="I151"/>
  <c r="I21" s="1"/>
  <c r="H151"/>
  <c r="G151"/>
  <c r="G21" s="1"/>
  <c r="F151"/>
  <c r="F21" s="1"/>
  <c r="E151"/>
  <c r="E21" s="1"/>
  <c r="D151"/>
  <c r="C151"/>
  <c r="I150"/>
  <c r="H150"/>
  <c r="H20" s="1"/>
  <c r="G150"/>
  <c r="G20" s="1"/>
  <c r="F150"/>
  <c r="E150"/>
  <c r="E20" s="1"/>
  <c r="D150"/>
  <c r="C150"/>
  <c r="I149"/>
  <c r="I19" s="1"/>
  <c r="H149"/>
  <c r="G149"/>
  <c r="G19" s="1"/>
  <c r="F149"/>
  <c r="E149"/>
  <c r="D149"/>
  <c r="D155" s="1"/>
  <c r="C149"/>
  <c r="C155" s="1"/>
  <c r="B147" a="1"/>
  <c r="G147" s="1"/>
  <c r="C133" a="1"/>
  <c r="H133" s="1"/>
  <c r="K118"/>
  <c r="I118" s="1"/>
  <c r="K117"/>
  <c r="I117" s="1"/>
  <c r="K116"/>
  <c r="I116" s="1"/>
  <c r="K115"/>
  <c r="I115" s="1"/>
  <c r="K114"/>
  <c r="I114" s="1"/>
  <c r="K113"/>
  <c r="I113" s="1"/>
  <c r="N111" a="1"/>
  <c r="P111" s="1"/>
  <c r="C111" a="1"/>
  <c r="I111" s="1"/>
  <c r="F108"/>
  <c r="G108" s="1"/>
  <c r="H108" s="1"/>
  <c r="I108" s="1"/>
  <c r="D108"/>
  <c r="E108" s="1"/>
  <c r="C97" a="1"/>
  <c r="K82"/>
  <c r="K81"/>
  <c r="K80"/>
  <c r="K79"/>
  <c r="K78"/>
  <c r="K77"/>
  <c r="C76" a="1"/>
  <c r="G76" s="1"/>
  <c r="N75" a="1"/>
  <c r="T75" s="1"/>
  <c r="D73"/>
  <c r="E73" s="1"/>
  <c r="F73" s="1"/>
  <c r="G73" s="1"/>
  <c r="H73" s="1"/>
  <c r="I73" s="1"/>
  <c r="B61" a="1"/>
  <c r="H61" s="1"/>
  <c r="H24"/>
  <c r="D24"/>
  <c r="C24"/>
  <c r="I23"/>
  <c r="F23"/>
  <c r="E23"/>
  <c r="D23"/>
  <c r="C23"/>
  <c r="I22"/>
  <c r="G22"/>
  <c r="D22"/>
  <c r="C22"/>
  <c r="H21"/>
  <c r="D21"/>
  <c r="C21"/>
  <c r="I20"/>
  <c r="F20"/>
  <c r="D20"/>
  <c r="C20"/>
  <c r="F19"/>
  <c r="D19"/>
  <c r="D25" s="1"/>
  <c r="C19"/>
  <c r="I13"/>
  <c r="H13"/>
  <c r="G13"/>
  <c r="F13"/>
  <c r="E13"/>
  <c r="D13"/>
  <c r="C13"/>
  <c r="B13"/>
  <c r="B35" s="1"/>
  <c r="B69" s="1"/>
  <c r="L595" i="105" s="1"/>
  <c r="L595" i="130" s="1"/>
  <c r="I12" i="128"/>
  <c r="H12"/>
  <c r="G12"/>
  <c r="F12"/>
  <c r="E12"/>
  <c r="D12"/>
  <c r="C12"/>
  <c r="B12"/>
  <c r="B34" s="1"/>
  <c r="B68" s="1"/>
  <c r="L594" i="105" s="1"/>
  <c r="L594" i="130" s="1"/>
  <c r="I11" i="128"/>
  <c r="H11"/>
  <c r="G11"/>
  <c r="F11"/>
  <c r="E11"/>
  <c r="D11"/>
  <c r="C11"/>
  <c r="B11"/>
  <c r="B33" s="1"/>
  <c r="B67" s="1"/>
  <c r="L593" i="105" s="1"/>
  <c r="L593" i="130" s="1"/>
  <c r="I10" i="128"/>
  <c r="H10"/>
  <c r="G10"/>
  <c r="F10"/>
  <c r="E10"/>
  <c r="D10"/>
  <c r="C10"/>
  <c r="B10"/>
  <c r="B32" s="1"/>
  <c r="B66" s="1"/>
  <c r="L592" i="105" s="1"/>
  <c r="L592" i="130" s="1"/>
  <c r="I9" i="128"/>
  <c r="H9"/>
  <c r="G9"/>
  <c r="F9"/>
  <c r="E9"/>
  <c r="D9"/>
  <c r="C9"/>
  <c r="B9"/>
  <c r="B31" s="1"/>
  <c r="B65" s="1"/>
  <c r="L591" i="105" s="1"/>
  <c r="L591" i="130" s="1"/>
  <c r="I8" i="128"/>
  <c r="H8"/>
  <c r="G8"/>
  <c r="F8"/>
  <c r="E8"/>
  <c r="D8"/>
  <c r="C8"/>
  <c r="B8"/>
  <c r="B4" a="1"/>
  <c r="G4" s="1"/>
  <c r="B3"/>
  <c r="B2"/>
  <c r="I1"/>
  <c r="B204" i="127" a="1"/>
  <c r="I204" s="1"/>
  <c r="H203"/>
  <c r="G203"/>
  <c r="F203"/>
  <c r="E203"/>
  <c r="D203"/>
  <c r="C203"/>
  <c r="B203"/>
  <c r="B202" a="1"/>
  <c r="F202" s="1"/>
  <c r="D191"/>
  <c r="D160" s="1"/>
  <c r="C191"/>
  <c r="B183" a="1"/>
  <c r="H183" s="1"/>
  <c r="J160"/>
  <c r="J161" s="1"/>
  <c r="A160"/>
  <c r="B159" a="1"/>
  <c r="H159" s="1"/>
  <c r="D158"/>
  <c r="D154"/>
  <c r="C154"/>
  <c r="D153"/>
  <c r="D23" s="1"/>
  <c r="C153"/>
  <c r="D152"/>
  <c r="C152"/>
  <c r="D151"/>
  <c r="C151"/>
  <c r="D150"/>
  <c r="D20" s="1"/>
  <c r="C150"/>
  <c r="D149"/>
  <c r="D19" s="1"/>
  <c r="C149"/>
  <c r="C155" s="1"/>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T75" s="1"/>
  <c r="D73"/>
  <c r="E73" s="1"/>
  <c r="F73" s="1"/>
  <c r="G73" s="1"/>
  <c r="H73" s="1"/>
  <c r="I73" s="1"/>
  <c r="B61" a="1"/>
  <c r="H61" s="1"/>
  <c r="D24"/>
  <c r="C24"/>
  <c r="C23"/>
  <c r="D22"/>
  <c r="C22"/>
  <c r="D21"/>
  <c r="C21"/>
  <c r="C20"/>
  <c r="C19"/>
  <c r="C13"/>
  <c r="B13"/>
  <c r="B35" s="1"/>
  <c r="B69" s="1"/>
  <c r="L586" i="105" s="1"/>
  <c r="L586" i="130" s="1"/>
  <c r="C12" i="127"/>
  <c r="B12"/>
  <c r="B34" s="1"/>
  <c r="B68" s="1"/>
  <c r="L585" i="105" s="1"/>
  <c r="L585" i="130" s="1"/>
  <c r="C11" i="127"/>
  <c r="B11"/>
  <c r="B33" s="1"/>
  <c r="B67" s="1"/>
  <c r="L584" i="105" s="1"/>
  <c r="L584" i="130" s="1"/>
  <c r="C10" i="127"/>
  <c r="B10"/>
  <c r="B32" s="1"/>
  <c r="B66" s="1"/>
  <c r="L583" i="105" s="1"/>
  <c r="L583" i="130" s="1"/>
  <c r="C9" i="127"/>
  <c r="B9"/>
  <c r="B31" s="1"/>
  <c r="B65" s="1"/>
  <c r="L582" i="105" s="1"/>
  <c r="L582" i="130" s="1"/>
  <c r="C8" i="127"/>
  <c r="B8"/>
  <c r="B4" a="1"/>
  <c r="G4" s="1"/>
  <c r="B3"/>
  <c r="B2"/>
  <c r="I1"/>
  <c r="B204" i="109" a="1"/>
  <c r="I204" s="1"/>
  <c r="H203"/>
  <c r="G203"/>
  <c r="F203"/>
  <c r="E203"/>
  <c r="D203"/>
  <c r="C203"/>
  <c r="B203"/>
  <c r="B202" a="1"/>
  <c r="F202" s="1"/>
  <c r="I191"/>
  <c r="H191"/>
  <c r="G191"/>
  <c r="F191"/>
  <c r="E191"/>
  <c r="D191"/>
  <c r="C191"/>
  <c r="B183" a="1"/>
  <c r="G183" s="1"/>
  <c r="B159" a="1"/>
  <c r="G159" s="1"/>
  <c r="D158"/>
  <c r="J160" s="1"/>
  <c r="I154"/>
  <c r="I24" s="1"/>
  <c r="H154"/>
  <c r="H24" s="1"/>
  <c r="G154"/>
  <c r="G24" s="1"/>
  <c r="F154"/>
  <c r="F24" s="1"/>
  <c r="E154"/>
  <c r="D154"/>
  <c r="C154"/>
  <c r="C24" s="1"/>
  <c r="I153"/>
  <c r="I23" s="1"/>
  <c r="H153"/>
  <c r="H23" s="1"/>
  <c r="G153"/>
  <c r="G23" s="1"/>
  <c r="F153"/>
  <c r="F23" s="1"/>
  <c r="E153"/>
  <c r="E23" s="1"/>
  <c r="D153"/>
  <c r="D23" s="1"/>
  <c r="C153"/>
  <c r="I152"/>
  <c r="H152"/>
  <c r="H22" s="1"/>
  <c r="G152"/>
  <c r="G22" s="1"/>
  <c r="F152"/>
  <c r="F22" s="1"/>
  <c r="E152"/>
  <c r="E22" s="1"/>
  <c r="D152"/>
  <c r="D22" s="1"/>
  <c r="C152"/>
  <c r="I151"/>
  <c r="I21" s="1"/>
  <c r="H151"/>
  <c r="H21" s="1"/>
  <c r="G151"/>
  <c r="G21" s="1"/>
  <c r="F151"/>
  <c r="F21" s="1"/>
  <c r="E151"/>
  <c r="E21" s="1"/>
  <c r="D151"/>
  <c r="C151"/>
  <c r="C21" s="1"/>
  <c r="I150"/>
  <c r="I20" s="1"/>
  <c r="H150"/>
  <c r="H20" s="1"/>
  <c r="G150"/>
  <c r="G20" s="1"/>
  <c r="F150"/>
  <c r="F20" s="1"/>
  <c r="E150"/>
  <c r="E20" s="1"/>
  <c r="D150"/>
  <c r="D20" s="1"/>
  <c r="C150"/>
  <c r="I149"/>
  <c r="I19" s="1"/>
  <c r="H149"/>
  <c r="H19" s="1"/>
  <c r="G149"/>
  <c r="F149"/>
  <c r="F19" s="1"/>
  <c r="E149"/>
  <c r="E19" s="1"/>
  <c r="D149"/>
  <c r="D19" s="1"/>
  <c r="C149"/>
  <c r="B147" a="1"/>
  <c r="I147" s="1"/>
  <c r="C133" a="1"/>
  <c r="H133" s="1"/>
  <c r="K118"/>
  <c r="K117"/>
  <c r="K116"/>
  <c r="K115"/>
  <c r="K114"/>
  <c r="K113"/>
  <c r="N111" a="1"/>
  <c r="R111" s="1"/>
  <c r="C111" a="1"/>
  <c r="H111" s="1"/>
  <c r="D108"/>
  <c r="E108" s="1"/>
  <c r="F108" s="1"/>
  <c r="G108" s="1"/>
  <c r="H108" s="1"/>
  <c r="I108" s="1"/>
  <c r="C97" a="1"/>
  <c r="G97" s="1"/>
  <c r="K82"/>
  <c r="K81"/>
  <c r="K80"/>
  <c r="K79"/>
  <c r="K78"/>
  <c r="K77"/>
  <c r="C76" a="1"/>
  <c r="G76" s="1"/>
  <c r="N75" a="1"/>
  <c r="T75" s="1"/>
  <c r="D73"/>
  <c r="E73" s="1"/>
  <c r="F73" s="1"/>
  <c r="G73" s="1"/>
  <c r="H73" s="1"/>
  <c r="I73" s="1"/>
  <c r="B61" a="1"/>
  <c r="H61" s="1"/>
  <c r="E24"/>
  <c r="D24"/>
  <c r="C23"/>
  <c r="I22"/>
  <c r="C22"/>
  <c r="D21"/>
  <c r="C20"/>
  <c r="C19"/>
  <c r="C13"/>
  <c r="B13"/>
  <c r="B35" s="1"/>
  <c r="B69" s="1"/>
  <c r="L577" i="105" s="1"/>
  <c r="L577" i="130" s="1"/>
  <c r="C12" i="109"/>
  <c r="B12"/>
  <c r="B34" s="1"/>
  <c r="B68" s="1"/>
  <c r="L576" i="105" s="1"/>
  <c r="L576" i="130" s="1"/>
  <c r="C11" i="109"/>
  <c r="B11"/>
  <c r="B33" s="1"/>
  <c r="B67" s="1"/>
  <c r="L575" i="105" s="1"/>
  <c r="L575" i="130" s="1"/>
  <c r="C10" i="109"/>
  <c r="B10"/>
  <c r="B32" s="1"/>
  <c r="B66" s="1"/>
  <c r="L574" i="105" s="1"/>
  <c r="L574" i="130" s="1"/>
  <c r="C9" i="109"/>
  <c r="B9"/>
  <c r="B31" s="1"/>
  <c r="B65" s="1"/>
  <c r="L573" i="105" s="1"/>
  <c r="L573" i="130" s="1"/>
  <c r="C8" i="109"/>
  <c r="B8"/>
  <c r="B4" a="1"/>
  <c r="G4" s="1"/>
  <c r="B3"/>
  <c r="B2"/>
  <c r="I1"/>
  <c r="B204" i="108" a="1"/>
  <c r="I204" s="1"/>
  <c r="H203"/>
  <c r="G203"/>
  <c r="F203"/>
  <c r="E203"/>
  <c r="D203"/>
  <c r="C203"/>
  <c r="B203"/>
  <c r="B202" a="1"/>
  <c r="F202" s="1"/>
  <c r="D191"/>
  <c r="D160" s="1"/>
  <c r="C191"/>
  <c r="B183" a="1"/>
  <c r="H183" s="1"/>
  <c r="J160"/>
  <c r="J161" s="1"/>
  <c r="A160"/>
  <c r="B159" a="1"/>
  <c r="H159" s="1"/>
  <c r="D158"/>
  <c r="D154"/>
  <c r="C154"/>
  <c r="C24" s="1"/>
  <c r="D153"/>
  <c r="C153"/>
  <c r="D152"/>
  <c r="D22" s="1"/>
  <c r="C152"/>
  <c r="C22" s="1"/>
  <c r="D151"/>
  <c r="D21" s="1"/>
  <c r="C151"/>
  <c r="C21" s="1"/>
  <c r="D150"/>
  <c r="C150"/>
  <c r="D149"/>
  <c r="C149"/>
  <c r="C19" s="1"/>
  <c r="B147" a="1"/>
  <c r="G147" s="1"/>
  <c r="C133" a="1"/>
  <c r="I133" s="1"/>
  <c r="K118"/>
  <c r="K117"/>
  <c r="K116"/>
  <c r="K115"/>
  <c r="K114"/>
  <c r="K113"/>
  <c r="N111" a="1"/>
  <c r="S111" s="1"/>
  <c r="C111" a="1"/>
  <c r="I111" s="1"/>
  <c r="D108"/>
  <c r="E108" s="1"/>
  <c r="F108" s="1"/>
  <c r="G108" s="1"/>
  <c r="H108" s="1"/>
  <c r="I108" s="1"/>
  <c r="C97" a="1"/>
  <c r="G97" s="1"/>
  <c r="K82"/>
  <c r="K81"/>
  <c r="K80"/>
  <c r="K79"/>
  <c r="K78"/>
  <c r="K77"/>
  <c r="C76" a="1"/>
  <c r="H76" s="1"/>
  <c r="N75" a="1"/>
  <c r="R75" s="1"/>
  <c r="D73"/>
  <c r="E73" s="1"/>
  <c r="F73" s="1"/>
  <c r="G73" s="1"/>
  <c r="H73" s="1"/>
  <c r="I73" s="1"/>
  <c r="B61" a="1"/>
  <c r="I61" s="1"/>
  <c r="D24"/>
  <c r="D23"/>
  <c r="C23"/>
  <c r="D20"/>
  <c r="C20"/>
  <c r="C13"/>
  <c r="B13"/>
  <c r="B35" s="1"/>
  <c r="B69" s="1"/>
  <c r="L568" i="105" s="1"/>
  <c r="L568" i="130" s="1"/>
  <c r="C12" i="108"/>
  <c r="B12"/>
  <c r="B34" s="1"/>
  <c r="B68" s="1"/>
  <c r="L567" i="105" s="1"/>
  <c r="L567" i="130" s="1"/>
  <c r="C11" i="108"/>
  <c r="B11"/>
  <c r="B33" s="1"/>
  <c r="B67" s="1"/>
  <c r="L566" i="105" s="1"/>
  <c r="L566" i="130" s="1"/>
  <c r="C10" i="108"/>
  <c r="B10"/>
  <c r="B32" s="1"/>
  <c r="B66" s="1"/>
  <c r="L565" i="105" s="1"/>
  <c r="L565" i="130" s="1"/>
  <c r="C9" i="108"/>
  <c r="B9"/>
  <c r="B31" s="1"/>
  <c r="B65" s="1"/>
  <c r="L564" i="105" s="1"/>
  <c r="L564" i="130" s="1"/>
  <c r="C8" i="108"/>
  <c r="B8"/>
  <c r="B30" s="1"/>
  <c r="B4" a="1"/>
  <c r="G4" s="1"/>
  <c r="B3"/>
  <c r="B2"/>
  <c r="I1"/>
  <c r="B204" i="102" a="1"/>
  <c r="I204" s="1"/>
  <c r="H203"/>
  <c r="G203"/>
  <c r="F203"/>
  <c r="E203"/>
  <c r="D203"/>
  <c r="C203"/>
  <c r="B203"/>
  <c r="B202" a="1"/>
  <c r="F202" s="1"/>
  <c r="D191"/>
  <c r="D160" s="1"/>
  <c r="C191"/>
  <c r="B183" a="1"/>
  <c r="H183" s="1"/>
  <c r="J160"/>
  <c r="J161" s="1"/>
  <c r="A160"/>
  <c r="B159" a="1"/>
  <c r="H159" s="1"/>
  <c r="D158"/>
  <c r="D154"/>
  <c r="D24" s="1"/>
  <c r="C154"/>
  <c r="D153"/>
  <c r="C153"/>
  <c r="C23" s="1"/>
  <c r="D152"/>
  <c r="D22" s="1"/>
  <c r="C152"/>
  <c r="D151"/>
  <c r="D21" s="1"/>
  <c r="C151"/>
  <c r="C21" s="1"/>
  <c r="D150"/>
  <c r="C150"/>
  <c r="C20" s="1"/>
  <c r="D149"/>
  <c r="D19" s="1"/>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S75" s="1"/>
  <c r="D73"/>
  <c r="E73" s="1"/>
  <c r="F73" s="1"/>
  <c r="G73" s="1"/>
  <c r="H73" s="1"/>
  <c r="I73" s="1"/>
  <c r="B61" a="1"/>
  <c r="G61" s="1"/>
  <c r="C24"/>
  <c r="D23"/>
  <c r="C22"/>
  <c r="D20"/>
  <c r="C19"/>
  <c r="C13"/>
  <c r="B13"/>
  <c r="B35" s="1"/>
  <c r="B69" s="1"/>
  <c r="L559" i="105" s="1"/>
  <c r="L559" i="130" s="1"/>
  <c r="C12" i="102"/>
  <c r="B12"/>
  <c r="B34" s="1"/>
  <c r="B68" s="1"/>
  <c r="L558" i="105" s="1"/>
  <c r="L558" i="130" s="1"/>
  <c r="C11" i="102"/>
  <c r="B11"/>
  <c r="B33" s="1"/>
  <c r="B67" s="1"/>
  <c r="L557" i="105" s="1"/>
  <c r="L557" i="130" s="1"/>
  <c r="C10" i="102"/>
  <c r="B10"/>
  <c r="B32" s="1"/>
  <c r="B66" s="1"/>
  <c r="L556" i="105" s="1"/>
  <c r="L556" i="130" s="1"/>
  <c r="C9" i="102"/>
  <c r="B9"/>
  <c r="B31" s="1"/>
  <c r="B65" s="1"/>
  <c r="L555" i="105" s="1"/>
  <c r="L555" i="130" s="1"/>
  <c r="C8" i="102"/>
  <c r="B8"/>
  <c r="B4" a="1"/>
  <c r="G4" s="1"/>
  <c r="B3"/>
  <c r="B2"/>
  <c r="I1"/>
  <c r="B204" i="101" a="1"/>
  <c r="I204" s="1"/>
  <c r="H203"/>
  <c r="G203"/>
  <c r="F203"/>
  <c r="E203"/>
  <c r="D203"/>
  <c r="C203"/>
  <c r="B203"/>
  <c r="B202" a="1"/>
  <c r="F202" s="1"/>
  <c r="D191"/>
  <c r="D160" s="1"/>
  <c r="C191"/>
  <c r="B183" a="1"/>
  <c r="H183" s="1"/>
  <c r="J160"/>
  <c r="J161" s="1"/>
  <c r="A160"/>
  <c r="B159" a="1"/>
  <c r="H159" s="1"/>
  <c r="D158"/>
  <c r="D154"/>
  <c r="C154"/>
  <c r="C24" s="1"/>
  <c r="D153"/>
  <c r="C153"/>
  <c r="D152"/>
  <c r="D22" s="1"/>
  <c r="C152"/>
  <c r="D151"/>
  <c r="C151"/>
  <c r="C21" s="1"/>
  <c r="D150"/>
  <c r="C150"/>
  <c r="D149"/>
  <c r="D19" s="1"/>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T75" s="1"/>
  <c r="D73"/>
  <c r="E73" s="1"/>
  <c r="F73" s="1"/>
  <c r="G73" s="1"/>
  <c r="H73" s="1"/>
  <c r="I73" s="1"/>
  <c r="B61" a="1"/>
  <c r="H61" s="1"/>
  <c r="D24"/>
  <c r="D23"/>
  <c r="C23"/>
  <c r="C22"/>
  <c r="D21"/>
  <c r="D20"/>
  <c r="C20"/>
  <c r="C19"/>
  <c r="C13"/>
  <c r="B13"/>
  <c r="B35" s="1"/>
  <c r="B69" s="1"/>
  <c r="L548" i="105" s="1"/>
  <c r="L548" i="130" s="1"/>
  <c r="C12" i="101"/>
  <c r="B12"/>
  <c r="B34" s="1"/>
  <c r="B68" s="1"/>
  <c r="L547" i="105" s="1"/>
  <c r="L547" i="130" s="1"/>
  <c r="C11" i="101"/>
  <c r="B11"/>
  <c r="B33" s="1"/>
  <c r="B67" s="1"/>
  <c r="L546" i="105" s="1"/>
  <c r="L546" i="130" s="1"/>
  <c r="C10" i="101"/>
  <c r="B10"/>
  <c r="B32" s="1"/>
  <c r="B66" s="1"/>
  <c r="L545" i="105" s="1"/>
  <c r="L545" i="130" s="1"/>
  <c r="C9" i="101"/>
  <c r="B9"/>
  <c r="B31" s="1"/>
  <c r="B65" s="1"/>
  <c r="L544" i="105" s="1"/>
  <c r="L544" i="130" s="1"/>
  <c r="C8" i="101"/>
  <c r="B8"/>
  <c r="B4" a="1"/>
  <c r="G4" s="1"/>
  <c r="B3"/>
  <c r="B2"/>
  <c r="I1"/>
  <c r="B204" i="100" a="1"/>
  <c r="I204" s="1"/>
  <c r="H203"/>
  <c r="G203"/>
  <c r="F203"/>
  <c r="E203"/>
  <c r="D203"/>
  <c r="C203"/>
  <c r="B203"/>
  <c r="B202" a="1"/>
  <c r="F202" s="1"/>
  <c r="D191"/>
  <c r="C191"/>
  <c r="B183" a="1"/>
  <c r="G183" s="1"/>
  <c r="J160"/>
  <c r="A160"/>
  <c r="B159" a="1"/>
  <c r="D158"/>
  <c r="D154"/>
  <c r="C154"/>
  <c r="C24" s="1"/>
  <c r="D153"/>
  <c r="C153"/>
  <c r="D152"/>
  <c r="D22" s="1"/>
  <c r="C152"/>
  <c r="C22" s="1"/>
  <c r="D151"/>
  <c r="C151"/>
  <c r="C21" s="1"/>
  <c r="D150"/>
  <c r="D20" s="1"/>
  <c r="C150"/>
  <c r="D149"/>
  <c r="D19" s="1"/>
  <c r="C149"/>
  <c r="B147" a="1"/>
  <c r="G147" s="1"/>
  <c r="C133" a="1"/>
  <c r="K118"/>
  <c r="K117"/>
  <c r="K116"/>
  <c r="K115"/>
  <c r="K114"/>
  <c r="K113"/>
  <c r="N111" a="1"/>
  <c r="R111" s="1"/>
  <c r="C111" a="1"/>
  <c r="D108"/>
  <c r="E108" s="1"/>
  <c r="F108" s="1"/>
  <c r="G108" s="1"/>
  <c r="H108" s="1"/>
  <c r="I108" s="1"/>
  <c r="C97" a="1"/>
  <c r="G97" s="1"/>
  <c r="K82"/>
  <c r="K81"/>
  <c r="K80"/>
  <c r="K79"/>
  <c r="K78"/>
  <c r="K77"/>
  <c r="C76" a="1"/>
  <c r="I76" s="1"/>
  <c r="N75" a="1"/>
  <c r="S75" s="1"/>
  <c r="D73"/>
  <c r="E73" s="1"/>
  <c r="F73" s="1"/>
  <c r="G73" s="1"/>
  <c r="H73" s="1"/>
  <c r="I73" s="1"/>
  <c r="B61" a="1"/>
  <c r="G61" s="1"/>
  <c r="D24"/>
  <c r="D23"/>
  <c r="C23"/>
  <c r="D21"/>
  <c r="C20"/>
  <c r="C19"/>
  <c r="C13"/>
  <c r="B13"/>
  <c r="B35" s="1"/>
  <c r="B69" s="1"/>
  <c r="L539" i="105" s="1"/>
  <c r="L539" i="130" s="1"/>
  <c r="C12" i="100"/>
  <c r="B12"/>
  <c r="B34" s="1"/>
  <c r="B68" s="1"/>
  <c r="L538" i="105" s="1"/>
  <c r="L538" i="130" s="1"/>
  <c r="C11" i="100"/>
  <c r="B11"/>
  <c r="B33" s="1"/>
  <c r="B67" s="1"/>
  <c r="L537" i="105" s="1"/>
  <c r="L537" i="130" s="1"/>
  <c r="C10" i="100"/>
  <c r="B10"/>
  <c r="B32" s="1"/>
  <c r="B66" s="1"/>
  <c r="L536" i="105" s="1"/>
  <c r="L536" i="130" s="1"/>
  <c r="C9" i="100"/>
  <c r="B9"/>
  <c r="B31" s="1"/>
  <c r="B65" s="1"/>
  <c r="L535" i="105" s="1"/>
  <c r="L535" i="130" s="1"/>
  <c r="C8" i="100"/>
  <c r="B8"/>
  <c r="B4" a="1"/>
  <c r="G4" s="1"/>
  <c r="B3"/>
  <c r="B2"/>
  <c r="I1"/>
  <c r="B204" i="99" a="1"/>
  <c r="I204" s="1"/>
  <c r="H203"/>
  <c r="G203"/>
  <c r="F203"/>
  <c r="E203"/>
  <c r="D203"/>
  <c r="C203"/>
  <c r="B203"/>
  <c r="B202" a="1"/>
  <c r="F202" s="1"/>
  <c r="D191"/>
  <c r="C191"/>
  <c r="B183" a="1"/>
  <c r="H183" s="1"/>
  <c r="J160"/>
  <c r="J161" s="1"/>
  <c r="D160"/>
  <c r="A160"/>
  <c r="B159" a="1"/>
  <c r="H159" s="1"/>
  <c r="D158"/>
  <c r="D154"/>
  <c r="D24" s="1"/>
  <c r="C154"/>
  <c r="D153"/>
  <c r="D23" s="1"/>
  <c r="C153"/>
  <c r="C23" s="1"/>
  <c r="D152"/>
  <c r="C152"/>
  <c r="D151"/>
  <c r="D21" s="1"/>
  <c r="C151"/>
  <c r="D150"/>
  <c r="D20" s="1"/>
  <c r="C150"/>
  <c r="C20" s="1"/>
  <c r="D149"/>
  <c r="C149"/>
  <c r="C19" s="1"/>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R75" s="1"/>
  <c r="E73"/>
  <c r="F73" s="1"/>
  <c r="G73" s="1"/>
  <c r="H73" s="1"/>
  <c r="I73" s="1"/>
  <c r="D73"/>
  <c r="B61" a="1"/>
  <c r="H61" s="1"/>
  <c r="C24"/>
  <c r="D22"/>
  <c r="C22"/>
  <c r="C21"/>
  <c r="D19"/>
  <c r="C13"/>
  <c r="B13"/>
  <c r="B35" s="1"/>
  <c r="B69" s="1"/>
  <c r="L530" i="105" s="1"/>
  <c r="L530" i="130" s="1"/>
  <c r="C12" i="99"/>
  <c r="B12"/>
  <c r="B34" s="1"/>
  <c r="B68" s="1"/>
  <c r="L529" i="105" s="1"/>
  <c r="L529" i="130" s="1"/>
  <c r="C11" i="99"/>
  <c r="B11"/>
  <c r="B33" s="1"/>
  <c r="B67" s="1"/>
  <c r="L528" i="105" s="1"/>
  <c r="L528" i="130" s="1"/>
  <c r="C10" i="99"/>
  <c r="B10"/>
  <c r="B32" s="1"/>
  <c r="B66" s="1"/>
  <c r="L527" i="105" s="1"/>
  <c r="L527" i="130" s="1"/>
  <c r="C9" i="99"/>
  <c r="B9"/>
  <c r="B31" s="1"/>
  <c r="B65" s="1"/>
  <c r="L526" i="105" s="1"/>
  <c r="L526" i="130" s="1"/>
  <c r="C8" i="99"/>
  <c r="B8"/>
  <c r="B4" a="1"/>
  <c r="G4" s="1"/>
  <c r="B3"/>
  <c r="B2"/>
  <c r="I1"/>
  <c r="B204" i="98" a="1"/>
  <c r="H203"/>
  <c r="G203"/>
  <c r="F203"/>
  <c r="E203"/>
  <c r="D203"/>
  <c r="C203"/>
  <c r="B203"/>
  <c r="B202" a="1"/>
  <c r="G202" s="1"/>
  <c r="D191"/>
  <c r="C191"/>
  <c r="B183" a="1"/>
  <c r="H183" s="1"/>
  <c r="B159" a="1"/>
  <c r="H159" s="1"/>
  <c r="D158"/>
  <c r="J160" s="1"/>
  <c r="L160" s="1"/>
  <c r="D154"/>
  <c r="C154"/>
  <c r="C24" s="1"/>
  <c r="D153"/>
  <c r="D23" s="1"/>
  <c r="C153"/>
  <c r="D152"/>
  <c r="D22" s="1"/>
  <c r="C152"/>
  <c r="C22" s="1"/>
  <c r="D151"/>
  <c r="C151"/>
  <c r="C21" s="1"/>
  <c r="D150"/>
  <c r="D20" s="1"/>
  <c r="C150"/>
  <c r="D149"/>
  <c r="C149"/>
  <c r="B147" a="1"/>
  <c r="G147" s="1"/>
  <c r="C133" a="1"/>
  <c r="I133" s="1"/>
  <c r="K118"/>
  <c r="K117"/>
  <c r="K116"/>
  <c r="K115"/>
  <c r="K114"/>
  <c r="K113"/>
  <c r="N111" a="1"/>
  <c r="P111" s="1"/>
  <c r="C111" a="1"/>
  <c r="I111" s="1"/>
  <c r="I108"/>
  <c r="F108"/>
  <c r="G108" s="1"/>
  <c r="H108" s="1"/>
  <c r="D108"/>
  <c r="E108" s="1"/>
  <c r="C97" a="1"/>
  <c r="E97" s="1"/>
  <c r="K82"/>
  <c r="K81"/>
  <c r="K80"/>
  <c r="K79"/>
  <c r="K78"/>
  <c r="K77"/>
  <c r="C76" a="1"/>
  <c r="H76" s="1"/>
  <c r="N75" a="1"/>
  <c r="S75" s="1"/>
  <c r="G73"/>
  <c r="H73" s="1"/>
  <c r="I73" s="1"/>
  <c r="D73"/>
  <c r="E73" s="1"/>
  <c r="F73" s="1"/>
  <c r="B61" a="1"/>
  <c r="G61" s="1"/>
  <c r="D24"/>
  <c r="C23"/>
  <c r="D21"/>
  <c r="C20"/>
  <c r="C13"/>
  <c r="B13"/>
  <c r="B35" s="1"/>
  <c r="B69" s="1"/>
  <c r="L521" i="105" s="1"/>
  <c r="L521" i="130" s="1"/>
  <c r="C12" i="98"/>
  <c r="B12"/>
  <c r="B34" s="1"/>
  <c r="B68" s="1"/>
  <c r="L520" i="105" s="1"/>
  <c r="L520" i="130" s="1"/>
  <c r="C11" i="98"/>
  <c r="B11"/>
  <c r="B33" s="1"/>
  <c r="B67" s="1"/>
  <c r="L519" i="105" s="1"/>
  <c r="L519" i="130" s="1"/>
  <c r="C10" i="98"/>
  <c r="B10"/>
  <c r="B32" s="1"/>
  <c r="B66" s="1"/>
  <c r="L518" i="105" s="1"/>
  <c r="L518" i="130" s="1"/>
  <c r="C9" i="98"/>
  <c r="B9"/>
  <c r="B31" s="1"/>
  <c r="B65" s="1"/>
  <c r="L517" i="105" s="1"/>
  <c r="L517" i="130" s="1"/>
  <c r="C8" i="98"/>
  <c r="B8"/>
  <c r="B30" s="1"/>
  <c r="B4" a="1"/>
  <c r="G4" s="1"/>
  <c r="B3"/>
  <c r="B2"/>
  <c r="I1"/>
  <c r="B204" i="97" a="1"/>
  <c r="I204" s="1"/>
  <c r="H203"/>
  <c r="G203"/>
  <c r="F203"/>
  <c r="E203"/>
  <c r="D203"/>
  <c r="C203"/>
  <c r="B203"/>
  <c r="B202" a="1"/>
  <c r="F202" s="1"/>
  <c r="D191"/>
  <c r="D160" s="1"/>
  <c r="C191"/>
  <c r="B183" a="1"/>
  <c r="H183" s="1"/>
  <c r="J160"/>
  <c r="J161" s="1"/>
  <c r="A160"/>
  <c r="B159" a="1"/>
  <c r="H159" s="1"/>
  <c r="D158"/>
  <c r="D154"/>
  <c r="D24" s="1"/>
  <c r="C154"/>
  <c r="C24" s="1"/>
  <c r="D153"/>
  <c r="C153"/>
  <c r="C23" s="1"/>
  <c r="D152"/>
  <c r="D22" s="1"/>
  <c r="C152"/>
  <c r="C22" s="1"/>
  <c r="D151"/>
  <c r="D21" s="1"/>
  <c r="C151"/>
  <c r="C21" s="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S75" s="1"/>
  <c r="E73"/>
  <c r="F73" s="1"/>
  <c r="G73" s="1"/>
  <c r="H73" s="1"/>
  <c r="I73" s="1"/>
  <c r="D73"/>
  <c r="B61" a="1"/>
  <c r="G61" s="1"/>
  <c r="D23"/>
  <c r="C19"/>
  <c r="C13"/>
  <c r="B13"/>
  <c r="B35" s="1"/>
  <c r="B69" s="1"/>
  <c r="L510" i="105" s="1"/>
  <c r="L510" i="130" s="1"/>
  <c r="C12" i="97"/>
  <c r="B12"/>
  <c r="B34" s="1"/>
  <c r="B68" s="1"/>
  <c r="L509" i="105" s="1"/>
  <c r="L509" i="130" s="1"/>
  <c r="C11" i="97"/>
  <c r="B11"/>
  <c r="B33" s="1"/>
  <c r="B67" s="1"/>
  <c r="L508" i="105" s="1"/>
  <c r="L508" i="130" s="1"/>
  <c r="C10" i="97"/>
  <c r="B10"/>
  <c r="B32" s="1"/>
  <c r="B66" s="1"/>
  <c r="L507" i="105" s="1"/>
  <c r="L507" i="130" s="1"/>
  <c r="C9" i="97"/>
  <c r="B9"/>
  <c r="B31" s="1"/>
  <c r="B65" s="1"/>
  <c r="L506" i="105" s="1"/>
  <c r="L506" i="130" s="1"/>
  <c r="C8" i="97"/>
  <c r="B8"/>
  <c r="B4" a="1"/>
  <c r="I4" s="1"/>
  <c r="B3"/>
  <c r="B2"/>
  <c r="I1"/>
  <c r="B204" i="96" a="1"/>
  <c r="I204" s="1"/>
  <c r="H203"/>
  <c r="G203"/>
  <c r="F203"/>
  <c r="E203"/>
  <c r="D203"/>
  <c r="C203"/>
  <c r="B203"/>
  <c r="B202" a="1"/>
  <c r="F202" s="1"/>
  <c r="D191"/>
  <c r="D160" s="1"/>
  <c r="C191"/>
  <c r="B183" a="1"/>
  <c r="D183" s="1"/>
  <c r="M160"/>
  <c r="J160"/>
  <c r="A160"/>
  <c r="B159" a="1"/>
  <c r="D159" s="1"/>
  <c r="D158"/>
  <c r="D154"/>
  <c r="C154"/>
  <c r="D153"/>
  <c r="C153"/>
  <c r="D152"/>
  <c r="C152"/>
  <c r="D151"/>
  <c r="C151"/>
  <c r="D150"/>
  <c r="C150"/>
  <c r="D149"/>
  <c r="C149"/>
  <c r="B147" a="1"/>
  <c r="G147" s="1"/>
  <c r="C133" a="1"/>
  <c r="H133" s="1"/>
  <c r="K118"/>
  <c r="K117"/>
  <c r="K116"/>
  <c r="K115"/>
  <c r="K114"/>
  <c r="K113"/>
  <c r="N111" a="1"/>
  <c r="R111" s="1"/>
  <c r="C111" a="1"/>
  <c r="E111" s="1"/>
  <c r="D108"/>
  <c r="E108" s="1"/>
  <c r="F108" s="1"/>
  <c r="G108" s="1"/>
  <c r="H108" s="1"/>
  <c r="I108" s="1"/>
  <c r="C97" a="1"/>
  <c r="G97" s="1"/>
  <c r="K82"/>
  <c r="C82" s="1"/>
  <c r="K81"/>
  <c r="C81" s="1"/>
  <c r="K80"/>
  <c r="C80" s="1"/>
  <c r="K79"/>
  <c r="C79" s="1"/>
  <c r="K78"/>
  <c r="C78" s="1"/>
  <c r="K77"/>
  <c r="C77" s="1"/>
  <c r="C76" a="1"/>
  <c r="H76" s="1"/>
  <c r="N75" a="1"/>
  <c r="S75" s="1"/>
  <c r="F73"/>
  <c r="G73" s="1"/>
  <c r="H73" s="1"/>
  <c r="I73" s="1"/>
  <c r="E73"/>
  <c r="D73"/>
  <c r="B61" a="1"/>
  <c r="G61" s="1"/>
  <c r="D24"/>
  <c r="C24"/>
  <c r="D23"/>
  <c r="C23"/>
  <c r="D22"/>
  <c r="C22"/>
  <c r="D21"/>
  <c r="C21"/>
  <c r="D20"/>
  <c r="C20"/>
  <c r="D19"/>
  <c r="C19"/>
  <c r="C13"/>
  <c r="B13"/>
  <c r="B35" s="1"/>
  <c r="B69" s="1"/>
  <c r="L501" i="105" s="1"/>
  <c r="L501" i="130" s="1"/>
  <c r="C12" i="96"/>
  <c r="B12"/>
  <c r="B34" s="1"/>
  <c r="B68" s="1"/>
  <c r="L500" i="105" s="1"/>
  <c r="L500" i="130" s="1"/>
  <c r="C11" i="96"/>
  <c r="B11"/>
  <c r="B33" s="1"/>
  <c r="B67" s="1"/>
  <c r="L499" i="105" s="1"/>
  <c r="L499" i="130" s="1"/>
  <c r="C10" i="96"/>
  <c r="B10"/>
  <c r="B32" s="1"/>
  <c r="B66" s="1"/>
  <c r="L498" i="105" s="1"/>
  <c r="L498" i="130" s="1"/>
  <c r="C9" i="96"/>
  <c r="B9"/>
  <c r="B31" s="1"/>
  <c r="B65" s="1"/>
  <c r="L497" i="105" s="1"/>
  <c r="L497" i="130" s="1"/>
  <c r="C8" i="96"/>
  <c r="B8"/>
  <c r="B4" a="1"/>
  <c r="I4" s="1"/>
  <c r="B3"/>
  <c r="B2"/>
  <c r="I1"/>
  <c r="B204" i="95"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3"/>
  <c r="C23"/>
  <c r="C22"/>
  <c r="D20"/>
  <c r="C19"/>
  <c r="C13"/>
  <c r="B13"/>
  <c r="B35" s="1"/>
  <c r="B69" s="1"/>
  <c r="L492" i="105" s="1"/>
  <c r="L492" i="130" s="1"/>
  <c r="C12" i="95"/>
  <c r="B12"/>
  <c r="B34" s="1"/>
  <c r="B68" s="1"/>
  <c r="L491" i="105" s="1"/>
  <c r="L491" i="130" s="1"/>
  <c r="C11" i="95"/>
  <c r="B11"/>
  <c r="B33" s="1"/>
  <c r="B67" s="1"/>
  <c r="L490" i="105" s="1"/>
  <c r="L490" i="130" s="1"/>
  <c r="C10" i="95"/>
  <c r="B10"/>
  <c r="B32" s="1"/>
  <c r="B66" s="1"/>
  <c r="L489" i="105" s="1"/>
  <c r="L489" i="130" s="1"/>
  <c r="C9" i="95"/>
  <c r="B9"/>
  <c r="B31" s="1"/>
  <c r="B65" s="1"/>
  <c r="L488" i="105" s="1"/>
  <c r="L488" i="130" s="1"/>
  <c r="C8" i="95"/>
  <c r="B8"/>
  <c r="B30" s="1"/>
  <c r="B4" a="1"/>
  <c r="G4" s="1"/>
  <c r="B3"/>
  <c r="B2"/>
  <c r="I1"/>
  <c r="B204" i="94" a="1"/>
  <c r="I204" s="1"/>
  <c r="H203"/>
  <c r="G203"/>
  <c r="F203"/>
  <c r="E203"/>
  <c r="D203"/>
  <c r="C203"/>
  <c r="B203"/>
  <c r="B202" a="1"/>
  <c r="F202" s="1"/>
  <c r="D191"/>
  <c r="D160" s="1"/>
  <c r="C191"/>
  <c r="B183" a="1"/>
  <c r="H183" s="1"/>
  <c r="J160"/>
  <c r="J161" s="1"/>
  <c r="A160"/>
  <c r="B159" a="1"/>
  <c r="H159" s="1"/>
  <c r="D158"/>
  <c r="D154"/>
  <c r="D24" s="1"/>
  <c r="C154"/>
  <c r="C24" s="1"/>
  <c r="D153"/>
  <c r="D23" s="1"/>
  <c r="C153"/>
  <c r="C23" s="1"/>
  <c r="D152"/>
  <c r="D22" s="1"/>
  <c r="C152"/>
  <c r="C22" s="1"/>
  <c r="D151"/>
  <c r="D21" s="1"/>
  <c r="C151"/>
  <c r="C21" s="1"/>
  <c r="D150"/>
  <c r="D20" s="1"/>
  <c r="C150"/>
  <c r="C20" s="1"/>
  <c r="D149"/>
  <c r="D19" s="1"/>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R75" s="1"/>
  <c r="E73"/>
  <c r="F73" s="1"/>
  <c r="G73" s="1"/>
  <c r="H73" s="1"/>
  <c r="I73" s="1"/>
  <c r="D73"/>
  <c r="B61" a="1"/>
  <c r="I61" s="1"/>
  <c r="C13"/>
  <c r="B13"/>
  <c r="B35" s="1"/>
  <c r="B69" s="1"/>
  <c r="L483" i="105" s="1"/>
  <c r="L483" i="130" s="1"/>
  <c r="C12" i="94"/>
  <c r="B12"/>
  <c r="B34" s="1"/>
  <c r="B68" s="1"/>
  <c r="L482" i="105" s="1"/>
  <c r="L482" i="130" s="1"/>
  <c r="C11" i="94"/>
  <c r="B11"/>
  <c r="B33" s="1"/>
  <c r="B67" s="1"/>
  <c r="L481" i="105" s="1"/>
  <c r="L481" i="130" s="1"/>
  <c r="C10" i="94"/>
  <c r="B10"/>
  <c r="B32" s="1"/>
  <c r="B66" s="1"/>
  <c r="L480" i="105" s="1"/>
  <c r="L480" i="130" s="1"/>
  <c r="C9" i="94"/>
  <c r="B9"/>
  <c r="B31" s="1"/>
  <c r="B65" s="1"/>
  <c r="L479" i="105" s="1"/>
  <c r="L479" i="130" s="1"/>
  <c r="C8" i="94"/>
  <c r="B8"/>
  <c r="B30" s="1"/>
  <c r="B4" a="1"/>
  <c r="H4" s="1"/>
  <c r="B3"/>
  <c r="B2"/>
  <c r="I1"/>
  <c r="B204" i="93" a="1"/>
  <c r="I204" s="1"/>
  <c r="H203"/>
  <c r="G203"/>
  <c r="F203"/>
  <c r="E203"/>
  <c r="D203"/>
  <c r="C203"/>
  <c r="B203"/>
  <c r="B202" a="1"/>
  <c r="F202" s="1"/>
  <c r="D191"/>
  <c r="D160" s="1"/>
  <c r="C191"/>
  <c r="B183" a="1"/>
  <c r="H183" s="1"/>
  <c r="J160"/>
  <c r="J161" s="1"/>
  <c r="A160"/>
  <c r="B159" a="1"/>
  <c r="H159" s="1"/>
  <c r="D158"/>
  <c r="D154"/>
  <c r="D24" s="1"/>
  <c r="C154"/>
  <c r="D153"/>
  <c r="C153"/>
  <c r="C23" s="1"/>
  <c r="D152"/>
  <c r="C152"/>
  <c r="C22" s="1"/>
  <c r="D151"/>
  <c r="D21" s="1"/>
  <c r="C151"/>
  <c r="D150"/>
  <c r="D20" s="1"/>
  <c r="C150"/>
  <c r="C20" s="1"/>
  <c r="D149"/>
  <c r="C149"/>
  <c r="C19" s="1"/>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I76" s="1"/>
  <c r="N75" a="1"/>
  <c r="S75" s="1"/>
  <c r="D73"/>
  <c r="E73" s="1"/>
  <c r="F73" s="1"/>
  <c r="G73" s="1"/>
  <c r="H73" s="1"/>
  <c r="I73" s="1"/>
  <c r="B61" a="1"/>
  <c r="G61" s="1"/>
  <c r="C24"/>
  <c r="D23"/>
  <c r="D22"/>
  <c r="C21"/>
  <c r="C13"/>
  <c r="B13"/>
  <c r="B35" s="1"/>
  <c r="B69" s="1"/>
  <c r="L474" i="105" s="1"/>
  <c r="L474" i="130" s="1"/>
  <c r="C12" i="93"/>
  <c r="B12"/>
  <c r="B34" s="1"/>
  <c r="B68" s="1"/>
  <c r="L473" i="105" s="1"/>
  <c r="L473" i="130" s="1"/>
  <c r="C11" i="93"/>
  <c r="B11"/>
  <c r="B33" s="1"/>
  <c r="B67" s="1"/>
  <c r="L472" i="105" s="1"/>
  <c r="L472" i="130" s="1"/>
  <c r="C10" i="93"/>
  <c r="B10"/>
  <c r="B32" s="1"/>
  <c r="B66" s="1"/>
  <c r="L471" i="105" s="1"/>
  <c r="L471" i="130" s="1"/>
  <c r="C9" i="93"/>
  <c r="B9"/>
  <c r="B31" s="1"/>
  <c r="B65" s="1"/>
  <c r="L470" i="105" s="1"/>
  <c r="L470" i="130" s="1"/>
  <c r="C8" i="93"/>
  <c r="B8"/>
  <c r="B4" a="1"/>
  <c r="I4" s="1"/>
  <c r="B3"/>
  <c r="B2"/>
  <c r="I1"/>
  <c r="B204" i="92" a="1"/>
  <c r="I204" s="1"/>
  <c r="H203"/>
  <c r="G203"/>
  <c r="F203"/>
  <c r="E203"/>
  <c r="D203"/>
  <c r="C203"/>
  <c r="B203"/>
  <c r="B202" a="1"/>
  <c r="F202" s="1"/>
  <c r="D191"/>
  <c r="D160" s="1"/>
  <c r="C191"/>
  <c r="B183" a="1"/>
  <c r="H183" s="1"/>
  <c r="B159" a="1"/>
  <c r="H159" s="1"/>
  <c r="D158"/>
  <c r="J160" s="1"/>
  <c r="D154"/>
  <c r="C154"/>
  <c r="D153"/>
  <c r="C153"/>
  <c r="D152"/>
  <c r="D22" s="1"/>
  <c r="C152"/>
  <c r="D151"/>
  <c r="D21" s="1"/>
  <c r="C151"/>
  <c r="C21" s="1"/>
  <c r="D150"/>
  <c r="D20" s="1"/>
  <c r="C150"/>
  <c r="C20" s="1"/>
  <c r="D149"/>
  <c r="C149"/>
  <c r="B147" a="1"/>
  <c r="G147" s="1"/>
  <c r="C133" a="1"/>
  <c r="I133" s="1"/>
  <c r="K118"/>
  <c r="K117"/>
  <c r="K116"/>
  <c r="K115"/>
  <c r="K114"/>
  <c r="K113"/>
  <c r="N111" a="1"/>
  <c r="S111" s="1"/>
  <c r="C111" a="1"/>
  <c r="I111" s="1"/>
  <c r="F108"/>
  <c r="G108" s="1"/>
  <c r="H108" s="1"/>
  <c r="I108" s="1"/>
  <c r="D108"/>
  <c r="E108" s="1"/>
  <c r="C97" a="1"/>
  <c r="H97" s="1"/>
  <c r="K82"/>
  <c r="C82" s="1"/>
  <c r="K81"/>
  <c r="C81" s="1"/>
  <c r="K80"/>
  <c r="C80" s="1"/>
  <c r="K79"/>
  <c r="C79" s="1"/>
  <c r="K78"/>
  <c r="C78" s="1"/>
  <c r="K77"/>
  <c r="C77" s="1"/>
  <c r="C76" a="1"/>
  <c r="H76" s="1"/>
  <c r="N75" a="1"/>
  <c r="S75" s="1"/>
  <c r="E73"/>
  <c r="F73" s="1"/>
  <c r="G73" s="1"/>
  <c r="H73" s="1"/>
  <c r="I73" s="1"/>
  <c r="D73"/>
  <c r="B61" a="1"/>
  <c r="G61" s="1"/>
  <c r="D24"/>
  <c r="C24"/>
  <c r="D23"/>
  <c r="C23"/>
  <c r="C22"/>
  <c r="C19"/>
  <c r="C13"/>
  <c r="B13"/>
  <c r="B35" s="1"/>
  <c r="B69" s="1"/>
  <c r="L465" i="105" s="1"/>
  <c r="L465" i="130" s="1"/>
  <c r="C12" i="92"/>
  <c r="B12"/>
  <c r="B34" s="1"/>
  <c r="B68" s="1"/>
  <c r="L464" i="105" s="1"/>
  <c r="L464" i="130" s="1"/>
  <c r="C11" i="92"/>
  <c r="B11"/>
  <c r="B33" s="1"/>
  <c r="B67" s="1"/>
  <c r="L463" i="105" s="1"/>
  <c r="L463" i="130" s="1"/>
  <c r="C10" i="92"/>
  <c r="B10"/>
  <c r="B32" s="1"/>
  <c r="B66" s="1"/>
  <c r="L462" i="105" s="1"/>
  <c r="L462" i="130" s="1"/>
  <c r="C9" i="92"/>
  <c r="B9"/>
  <c r="B31" s="1"/>
  <c r="B65" s="1"/>
  <c r="L461" i="105" s="1"/>
  <c r="L461" i="130" s="1"/>
  <c r="C8" i="92"/>
  <c r="B8"/>
  <c r="B4" a="1"/>
  <c r="I4" s="1"/>
  <c r="B3"/>
  <c r="B2"/>
  <c r="I1"/>
  <c r="B204" i="91"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D19" s="1"/>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S75" s="1"/>
  <c r="D73"/>
  <c r="E73" s="1"/>
  <c r="F73" s="1"/>
  <c r="G73" s="1"/>
  <c r="H73" s="1"/>
  <c r="I73" s="1"/>
  <c r="B61" a="1"/>
  <c r="G61" s="1"/>
  <c r="D23"/>
  <c r="C23"/>
  <c r="C22"/>
  <c r="D20"/>
  <c r="C19"/>
  <c r="C13"/>
  <c r="B13"/>
  <c r="B35" s="1"/>
  <c r="B69" s="1"/>
  <c r="L456" i="105" s="1"/>
  <c r="L456" i="130" s="1"/>
  <c r="C12" i="91"/>
  <c r="B12"/>
  <c r="B34" s="1"/>
  <c r="B68" s="1"/>
  <c r="L455" i="105" s="1"/>
  <c r="L455" i="130" s="1"/>
  <c r="C11" i="91"/>
  <c r="B11"/>
  <c r="B33" s="1"/>
  <c r="B67" s="1"/>
  <c r="L454" i="105" s="1"/>
  <c r="L454" i="130" s="1"/>
  <c r="C10" i="91"/>
  <c r="B10"/>
  <c r="B32" s="1"/>
  <c r="B66" s="1"/>
  <c r="L453" i="105" s="1"/>
  <c r="L453" i="130" s="1"/>
  <c r="C9" i="91"/>
  <c r="B9"/>
  <c r="B31" s="1"/>
  <c r="B65" s="1"/>
  <c r="L452" i="105" s="1"/>
  <c r="L452" i="130" s="1"/>
  <c r="C8" i="91"/>
  <c r="B8"/>
  <c r="B4" a="1"/>
  <c r="G4" s="1"/>
  <c r="B3"/>
  <c r="B2"/>
  <c r="I1"/>
  <c r="B204" i="90" a="1"/>
  <c r="I204" s="1"/>
  <c r="H203"/>
  <c r="G203"/>
  <c r="F203"/>
  <c r="E203"/>
  <c r="D203"/>
  <c r="C203"/>
  <c r="B203"/>
  <c r="B202" a="1"/>
  <c r="F202" s="1"/>
  <c r="D191"/>
  <c r="C191"/>
  <c r="B183" a="1"/>
  <c r="H183" s="1"/>
  <c r="J160"/>
  <c r="J161" s="1"/>
  <c r="D160"/>
  <c r="A160"/>
  <c r="B159" a="1"/>
  <c r="H159" s="1"/>
  <c r="D158"/>
  <c r="D154"/>
  <c r="D24" s="1"/>
  <c r="C154"/>
  <c r="D153"/>
  <c r="C153"/>
  <c r="C23" s="1"/>
  <c r="D152"/>
  <c r="C152"/>
  <c r="D151"/>
  <c r="D21" s="1"/>
  <c r="C15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D23"/>
  <c r="D22"/>
  <c r="C22"/>
  <c r="C21"/>
  <c r="D20"/>
  <c r="D19"/>
  <c r="C19"/>
  <c r="C13"/>
  <c r="B13"/>
  <c r="B35" s="1"/>
  <c r="B69" s="1"/>
  <c r="L447" i="105" s="1"/>
  <c r="L447" i="130" s="1"/>
  <c r="C12" i="90"/>
  <c r="B12"/>
  <c r="B34" s="1"/>
  <c r="B68" s="1"/>
  <c r="L446" i="105" s="1"/>
  <c r="L446" i="130" s="1"/>
  <c r="C11" i="90"/>
  <c r="B11"/>
  <c r="B33" s="1"/>
  <c r="B67" s="1"/>
  <c r="L445" i="105" s="1"/>
  <c r="L445" i="130" s="1"/>
  <c r="C10" i="90"/>
  <c r="B10"/>
  <c r="B32" s="1"/>
  <c r="B66" s="1"/>
  <c r="L444" i="105" s="1"/>
  <c r="L444" i="130" s="1"/>
  <c r="C9" i="90"/>
  <c r="B9"/>
  <c r="B31" s="1"/>
  <c r="B65" s="1"/>
  <c r="L443" i="105" s="1"/>
  <c r="L443" i="130" s="1"/>
  <c r="C8" i="90"/>
  <c r="B8"/>
  <c r="B30" s="1"/>
  <c r="B4" a="1"/>
  <c r="G4" s="1"/>
  <c r="B3"/>
  <c r="B2"/>
  <c r="I1"/>
  <c r="B204" i="89" a="1"/>
  <c r="I204" s="1"/>
  <c r="H203"/>
  <c r="G203"/>
  <c r="F203"/>
  <c r="E203"/>
  <c r="D203"/>
  <c r="C203"/>
  <c r="B203"/>
  <c r="B202" a="1"/>
  <c r="F202" s="1"/>
  <c r="D191"/>
  <c r="D160" s="1"/>
  <c r="C191"/>
  <c r="B183" a="1"/>
  <c r="H183" s="1"/>
  <c r="J160"/>
  <c r="J161" s="1"/>
  <c r="A160"/>
  <c r="B159" a="1"/>
  <c r="H159" s="1"/>
  <c r="D158"/>
  <c r="D154"/>
  <c r="D24" s="1"/>
  <c r="C154"/>
  <c r="D153"/>
  <c r="D23" s="1"/>
  <c r="C153"/>
  <c r="C23" s="1"/>
  <c r="D152"/>
  <c r="D22" s="1"/>
  <c r="C152"/>
  <c r="D151"/>
  <c r="D21" s="1"/>
  <c r="C151"/>
  <c r="C21" s="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C22"/>
  <c r="C19"/>
  <c r="C13"/>
  <c r="B13"/>
  <c r="B35" s="1"/>
  <c r="B69" s="1"/>
  <c r="L438" i="105" s="1"/>
  <c r="L438" i="130" s="1"/>
  <c r="C12" i="89"/>
  <c r="B12"/>
  <c r="B34" s="1"/>
  <c r="B68" s="1"/>
  <c r="L437" i="105" s="1"/>
  <c r="L437" i="130" s="1"/>
  <c r="C11" i="89"/>
  <c r="B11"/>
  <c r="B33" s="1"/>
  <c r="B67" s="1"/>
  <c r="L436" i="105" s="1"/>
  <c r="L436" i="130" s="1"/>
  <c r="C10" i="89"/>
  <c r="B10"/>
  <c r="B32" s="1"/>
  <c r="B66" s="1"/>
  <c r="L435" i="105" s="1"/>
  <c r="L435" i="130" s="1"/>
  <c r="C9" i="89"/>
  <c r="B9"/>
  <c r="B31" s="1"/>
  <c r="B65" s="1"/>
  <c r="L434" i="105" s="1"/>
  <c r="L434" i="130" s="1"/>
  <c r="C8" i="89"/>
  <c r="B8"/>
  <c r="B30" s="1"/>
  <c r="B4" a="1"/>
  <c r="H4" s="1"/>
  <c r="B3"/>
  <c r="B2"/>
  <c r="I1"/>
  <c r="B204" i="80" a="1"/>
  <c r="I204" s="1"/>
  <c r="H203"/>
  <c r="G203"/>
  <c r="F203"/>
  <c r="E203"/>
  <c r="D203"/>
  <c r="C203"/>
  <c r="B203"/>
  <c r="B202" a="1"/>
  <c r="F202" s="1"/>
  <c r="D191"/>
  <c r="C191"/>
  <c r="B183" a="1"/>
  <c r="H183" s="1"/>
  <c r="B159" a="1"/>
  <c r="H159" s="1"/>
  <c r="D158"/>
  <c r="J160" s="1"/>
  <c r="D154"/>
  <c r="C154"/>
  <c r="D153"/>
  <c r="D23" s="1"/>
  <c r="C153"/>
  <c r="D152"/>
  <c r="C152"/>
  <c r="C22" s="1"/>
  <c r="D151"/>
  <c r="C151"/>
  <c r="D150"/>
  <c r="D20" s="1"/>
  <c r="C150"/>
  <c r="D149"/>
  <c r="D19" s="1"/>
  <c r="C149"/>
  <c r="C155" s="1"/>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S75" s="1"/>
  <c r="E73"/>
  <c r="F73" s="1"/>
  <c r="G73" s="1"/>
  <c r="H73" s="1"/>
  <c r="I73" s="1"/>
  <c r="D73"/>
  <c r="B61" a="1"/>
  <c r="G61" s="1"/>
  <c r="D24"/>
  <c r="C24"/>
  <c r="C23"/>
  <c r="D22"/>
  <c r="D21"/>
  <c r="C21"/>
  <c r="C20"/>
  <c r="C13"/>
  <c r="B13"/>
  <c r="B35" s="1"/>
  <c r="B69" s="1"/>
  <c r="L429" i="105" s="1"/>
  <c r="L429" i="130" s="1"/>
  <c r="C12" i="80"/>
  <c r="B12"/>
  <c r="B34" s="1"/>
  <c r="B68" s="1"/>
  <c r="L428" i="105" s="1"/>
  <c r="L428" i="130" s="1"/>
  <c r="C11" i="80"/>
  <c r="B11"/>
  <c r="B33" s="1"/>
  <c r="B67" s="1"/>
  <c r="L427" i="105" s="1"/>
  <c r="L427" i="130" s="1"/>
  <c r="C10" i="80"/>
  <c r="B10"/>
  <c r="B32" s="1"/>
  <c r="B66" s="1"/>
  <c r="L426" i="105" s="1"/>
  <c r="L426" i="130" s="1"/>
  <c r="C9" i="80"/>
  <c r="B9"/>
  <c r="B31" s="1"/>
  <c r="B65" s="1"/>
  <c r="L425" i="105" s="1"/>
  <c r="L425" i="130" s="1"/>
  <c r="C8" i="80"/>
  <c r="B8"/>
  <c r="B4" a="1"/>
  <c r="I4" s="1"/>
  <c r="B3"/>
  <c r="B2"/>
  <c r="I1"/>
  <c r="B204" i="79" a="1"/>
  <c r="I204" s="1"/>
  <c r="H203"/>
  <c r="G203"/>
  <c r="F203"/>
  <c r="E203"/>
  <c r="D203"/>
  <c r="C203"/>
  <c r="B203"/>
  <c r="B202" a="1"/>
  <c r="F202" s="1"/>
  <c r="D191"/>
  <c r="C191"/>
  <c r="B183" a="1"/>
  <c r="H183" s="1"/>
  <c r="J160"/>
  <c r="J161" s="1"/>
  <c r="D160"/>
  <c r="A160"/>
  <c r="B159" a="1"/>
  <c r="H159" s="1"/>
  <c r="D158"/>
  <c r="D154"/>
  <c r="D24" s="1"/>
  <c r="C154"/>
  <c r="D153"/>
  <c r="C153"/>
  <c r="C23" s="1"/>
  <c r="D152"/>
  <c r="C152"/>
  <c r="C22" s="1"/>
  <c r="D151"/>
  <c r="D21" s="1"/>
  <c r="C15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T75" s="1"/>
  <c r="D73"/>
  <c r="E73" s="1"/>
  <c r="F73" s="1"/>
  <c r="G73" s="1"/>
  <c r="H73" s="1"/>
  <c r="I73" s="1"/>
  <c r="B61" a="1"/>
  <c r="H61" s="1"/>
  <c r="C24"/>
  <c r="D23"/>
  <c r="D22"/>
  <c r="C21"/>
  <c r="D19"/>
  <c r="C19"/>
  <c r="C13"/>
  <c r="B13"/>
  <c r="B35" s="1"/>
  <c r="B69" s="1"/>
  <c r="L420" i="105" s="1"/>
  <c r="L420" i="130" s="1"/>
  <c r="C12" i="79"/>
  <c r="B12"/>
  <c r="B34" s="1"/>
  <c r="B68" s="1"/>
  <c r="L419" i="105" s="1"/>
  <c r="L419" i="130" s="1"/>
  <c r="C11" i="79"/>
  <c r="B11"/>
  <c r="B33" s="1"/>
  <c r="B67" s="1"/>
  <c r="L418" i="105" s="1"/>
  <c r="L418" i="130" s="1"/>
  <c r="C10" i="79"/>
  <c r="B10"/>
  <c r="B32" s="1"/>
  <c r="B66" s="1"/>
  <c r="L417" i="105" s="1"/>
  <c r="L417" i="130" s="1"/>
  <c r="C9" i="79"/>
  <c r="B9"/>
  <c r="B31" s="1"/>
  <c r="B65" s="1"/>
  <c r="L416" i="105" s="1"/>
  <c r="L416" i="130" s="1"/>
  <c r="C8" i="79"/>
  <c r="B8"/>
  <c r="B4" a="1"/>
  <c r="G4" s="1"/>
  <c r="B3"/>
  <c r="B2"/>
  <c r="I1"/>
  <c r="B204" i="88" a="1"/>
  <c r="I204" s="1"/>
  <c r="H203"/>
  <c r="G203"/>
  <c r="F203"/>
  <c r="E203"/>
  <c r="D203"/>
  <c r="C203"/>
  <c r="B203"/>
  <c r="B202" a="1"/>
  <c r="F202" s="1"/>
  <c r="D191"/>
  <c r="C191"/>
  <c r="B183" a="1"/>
  <c r="H183" s="1"/>
  <c r="J160"/>
  <c r="J161" s="1"/>
  <c r="D160"/>
  <c r="A160"/>
  <c r="B159" a="1"/>
  <c r="H159" s="1"/>
  <c r="D158"/>
  <c r="D154"/>
  <c r="C154"/>
  <c r="D153"/>
  <c r="D23" s="1"/>
  <c r="C153"/>
  <c r="D152"/>
  <c r="C152"/>
  <c r="C22" s="1"/>
  <c r="D151"/>
  <c r="C151"/>
  <c r="D150"/>
  <c r="D20" s="1"/>
  <c r="C150"/>
  <c r="D149"/>
  <c r="C149"/>
  <c r="C155" s="1"/>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4"/>
  <c r="C24"/>
  <c r="C23"/>
  <c r="D22"/>
  <c r="D21"/>
  <c r="C21"/>
  <c r="C20"/>
  <c r="D19"/>
  <c r="C13"/>
  <c r="B13"/>
  <c r="B35" s="1"/>
  <c r="B69" s="1"/>
  <c r="L411" i="105" s="1"/>
  <c r="L411" i="130" s="1"/>
  <c r="C12" i="88"/>
  <c r="B12"/>
  <c r="B34" s="1"/>
  <c r="B68" s="1"/>
  <c r="L410" i="105" s="1"/>
  <c r="L410" i="130" s="1"/>
  <c r="C11" i="88"/>
  <c r="B11"/>
  <c r="B33" s="1"/>
  <c r="B67" s="1"/>
  <c r="L409" i="105" s="1"/>
  <c r="L409" i="130" s="1"/>
  <c r="C10" i="88"/>
  <c r="B10"/>
  <c r="B32" s="1"/>
  <c r="B66" s="1"/>
  <c r="L408" i="105" s="1"/>
  <c r="L408" i="130" s="1"/>
  <c r="C9" i="88"/>
  <c r="B9"/>
  <c r="B31" s="1"/>
  <c r="B65" s="1"/>
  <c r="L407" i="105" s="1"/>
  <c r="L407" i="130" s="1"/>
  <c r="C8" i="88"/>
  <c r="B8"/>
  <c r="B30" s="1"/>
  <c r="B4" a="1"/>
  <c r="G4" s="1"/>
  <c r="B3"/>
  <c r="B2"/>
  <c r="I1"/>
  <c r="B204" i="87"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3"/>
  <c r="C23"/>
  <c r="C22"/>
  <c r="D20"/>
  <c r="C19"/>
  <c r="C13"/>
  <c r="B13"/>
  <c r="B35" s="1"/>
  <c r="B69" s="1"/>
  <c r="L402" i="105" s="1"/>
  <c r="L402" i="130" s="1"/>
  <c r="C12" i="87"/>
  <c r="B12"/>
  <c r="B34" s="1"/>
  <c r="B68" s="1"/>
  <c r="L401" i="105" s="1"/>
  <c r="L401" i="130" s="1"/>
  <c r="C11" i="87"/>
  <c r="B11"/>
  <c r="B33" s="1"/>
  <c r="B67" s="1"/>
  <c r="L400" i="105" s="1"/>
  <c r="L400" i="130" s="1"/>
  <c r="C10" i="87"/>
  <c r="B10"/>
  <c r="B32" s="1"/>
  <c r="B66" s="1"/>
  <c r="L399" i="105" s="1"/>
  <c r="L399" i="130" s="1"/>
  <c r="C9" i="87"/>
  <c r="B9"/>
  <c r="B31" s="1"/>
  <c r="B65" s="1"/>
  <c r="L398" i="105" s="1"/>
  <c r="L398" i="130" s="1"/>
  <c r="C8" i="87"/>
  <c r="B8"/>
  <c r="B30" s="1"/>
  <c r="B4" a="1"/>
  <c r="H4" s="1"/>
  <c r="B3"/>
  <c r="B2"/>
  <c r="I1"/>
  <c r="B204" i="86" a="1"/>
  <c r="I204" s="1"/>
  <c r="H203"/>
  <c r="G203"/>
  <c r="F203"/>
  <c r="E203"/>
  <c r="D203"/>
  <c r="C203"/>
  <c r="B203"/>
  <c r="B202" a="1"/>
  <c r="F202" s="1"/>
  <c r="D191"/>
  <c r="C191"/>
  <c r="B183" a="1"/>
  <c r="H183" s="1"/>
  <c r="J160"/>
  <c r="J161" s="1"/>
  <c r="D160"/>
  <c r="A160"/>
  <c r="B159" a="1"/>
  <c r="H159" s="1"/>
  <c r="D158"/>
  <c r="D154"/>
  <c r="D24" s="1"/>
  <c r="C154"/>
  <c r="D153"/>
  <c r="C153"/>
  <c r="C23" s="1"/>
  <c r="D152"/>
  <c r="C152"/>
  <c r="D151"/>
  <c r="D21" s="1"/>
  <c r="C15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S75" s="1"/>
  <c r="D73"/>
  <c r="E73" s="1"/>
  <c r="F73" s="1"/>
  <c r="G73" s="1"/>
  <c r="H73" s="1"/>
  <c r="I73" s="1"/>
  <c r="B61" a="1"/>
  <c r="G61" s="1"/>
  <c r="C24"/>
  <c r="D23"/>
  <c r="D22"/>
  <c r="C22"/>
  <c r="C21"/>
  <c r="D20"/>
  <c r="D19"/>
  <c r="C19"/>
  <c r="C13"/>
  <c r="B13"/>
  <c r="B35" s="1"/>
  <c r="B69" s="1"/>
  <c r="L393" i="105" s="1"/>
  <c r="L393" i="130" s="1"/>
  <c r="C12" i="86"/>
  <c r="B12"/>
  <c r="B34" s="1"/>
  <c r="B68" s="1"/>
  <c r="L392" i="105" s="1"/>
  <c r="L392" i="130" s="1"/>
  <c r="C11" i="86"/>
  <c r="B11"/>
  <c r="B33" s="1"/>
  <c r="B67" s="1"/>
  <c r="L391" i="105" s="1"/>
  <c r="L391" i="130" s="1"/>
  <c r="C10" i="86"/>
  <c r="B10"/>
  <c r="B32" s="1"/>
  <c r="B66" s="1"/>
  <c r="L390" i="105" s="1"/>
  <c r="L390" i="130" s="1"/>
  <c r="C9" i="86"/>
  <c r="B9"/>
  <c r="B31" s="1"/>
  <c r="B65" s="1"/>
  <c r="L389" i="105" s="1"/>
  <c r="L389" i="130" s="1"/>
  <c r="C8" i="86"/>
  <c r="B8"/>
  <c r="B4" a="1"/>
  <c r="G4" s="1"/>
  <c r="B3"/>
  <c r="B2"/>
  <c r="I1"/>
  <c r="B204" i="85" a="1"/>
  <c r="I204" s="1"/>
  <c r="H203"/>
  <c r="G203"/>
  <c r="F203"/>
  <c r="E203"/>
  <c r="D203"/>
  <c r="C203"/>
  <c r="B203"/>
  <c r="B202" a="1"/>
  <c r="F202" s="1"/>
  <c r="D191"/>
  <c r="D160" s="1"/>
  <c r="C191"/>
  <c r="B183" a="1"/>
  <c r="D183" s="1"/>
  <c r="M160"/>
  <c r="J160"/>
  <c r="A160"/>
  <c r="B159" a="1"/>
  <c r="G159" s="1"/>
  <c r="D158"/>
  <c r="D154"/>
  <c r="D24" s="1"/>
  <c r="C154"/>
  <c r="C24" s="1"/>
  <c r="D153"/>
  <c r="D23" s="1"/>
  <c r="C153"/>
  <c r="D152"/>
  <c r="D22" s="1"/>
  <c r="C152"/>
  <c r="D151"/>
  <c r="D21" s="1"/>
  <c r="C151"/>
  <c r="C21" s="1"/>
  <c r="D150"/>
  <c r="D20" s="1"/>
  <c r="C150"/>
  <c r="D149"/>
  <c r="D19" s="1"/>
  <c r="C149"/>
  <c r="C19" s="1"/>
  <c r="B147" a="1"/>
  <c r="G147" s="1"/>
  <c r="C133" a="1"/>
  <c r="H133" s="1"/>
  <c r="K118"/>
  <c r="K117"/>
  <c r="K116"/>
  <c r="K115"/>
  <c r="K114"/>
  <c r="K113"/>
  <c r="N111" a="1"/>
  <c r="R111" s="1"/>
  <c r="C111" a="1"/>
  <c r="E111" s="1"/>
  <c r="G108"/>
  <c r="H108" s="1"/>
  <c r="I108" s="1"/>
  <c r="D108"/>
  <c r="E108" s="1"/>
  <c r="F108" s="1"/>
  <c r="C97" a="1"/>
  <c r="G97" s="1"/>
  <c r="K82"/>
  <c r="K81"/>
  <c r="K80"/>
  <c r="K79"/>
  <c r="K78"/>
  <c r="K77"/>
  <c r="C76" a="1"/>
  <c r="H76" s="1"/>
  <c r="N75" a="1"/>
  <c r="R75" s="1"/>
  <c r="D73"/>
  <c r="E73" s="1"/>
  <c r="F73" s="1"/>
  <c r="G73" s="1"/>
  <c r="H73" s="1"/>
  <c r="I73" s="1"/>
  <c r="B61" a="1"/>
  <c r="I61" s="1"/>
  <c r="C23"/>
  <c r="C22"/>
  <c r="C20"/>
  <c r="C13"/>
  <c r="B13"/>
  <c r="B35" s="1"/>
  <c r="B69" s="1"/>
  <c r="L384" i="105" s="1"/>
  <c r="L384" i="130" s="1"/>
  <c r="C12" i="85"/>
  <c r="B12"/>
  <c r="B34" s="1"/>
  <c r="B68" s="1"/>
  <c r="L383" i="105" s="1"/>
  <c r="L383" i="130" s="1"/>
  <c r="C11" i="85"/>
  <c r="B11"/>
  <c r="B33" s="1"/>
  <c r="B67" s="1"/>
  <c r="L382" i="105" s="1"/>
  <c r="L382" i="130" s="1"/>
  <c r="C10" i="85"/>
  <c r="B10"/>
  <c r="B32" s="1"/>
  <c r="B66" s="1"/>
  <c r="L381" i="105" s="1"/>
  <c r="L381" i="130" s="1"/>
  <c r="C9" i="85"/>
  <c r="B9"/>
  <c r="B31" s="1"/>
  <c r="B65" s="1"/>
  <c r="L380" i="105" s="1"/>
  <c r="L380" i="130" s="1"/>
  <c r="C8" i="85"/>
  <c r="B8"/>
  <c r="B30" s="1"/>
  <c r="B4" a="1"/>
  <c r="G4" s="1"/>
  <c r="B3"/>
  <c r="B2"/>
  <c r="I1"/>
  <c r="B204" i="84" a="1"/>
  <c r="D204" s="1"/>
  <c r="H203"/>
  <c r="G203"/>
  <c r="F203"/>
  <c r="E203"/>
  <c r="D203"/>
  <c r="C203"/>
  <c r="B203"/>
  <c r="B202" a="1"/>
  <c r="G202" s="1"/>
  <c r="D191"/>
  <c r="C191"/>
  <c r="B183" a="1"/>
  <c r="H183" s="1"/>
  <c r="B159" a="1"/>
  <c r="H159" s="1"/>
  <c r="D158"/>
  <c r="J160" s="1"/>
  <c r="L160" s="1"/>
  <c r="D154"/>
  <c r="C154"/>
  <c r="D153"/>
  <c r="D23" s="1"/>
  <c r="C153"/>
  <c r="D152"/>
  <c r="C152"/>
  <c r="C22" s="1"/>
  <c r="D151"/>
  <c r="C151"/>
  <c r="D150"/>
  <c r="D20" s="1"/>
  <c r="C150"/>
  <c r="D149"/>
  <c r="D19" s="1"/>
  <c r="C149"/>
  <c r="C155" s="1"/>
  <c r="B147" a="1"/>
  <c r="G147" s="1"/>
  <c r="C133" a="1"/>
  <c r="I133" s="1"/>
  <c r="K118"/>
  <c r="K117"/>
  <c r="K116"/>
  <c r="K115"/>
  <c r="K114"/>
  <c r="K113"/>
  <c r="N111" a="1"/>
  <c r="S111" s="1"/>
  <c r="C111" a="1"/>
  <c r="I111" s="1"/>
  <c r="I108"/>
  <c r="F108"/>
  <c r="G108" s="1"/>
  <c r="H108" s="1"/>
  <c r="D108"/>
  <c r="E108" s="1"/>
  <c r="C97" a="1"/>
  <c r="K82"/>
  <c r="K81"/>
  <c r="K80"/>
  <c r="K79"/>
  <c r="K78"/>
  <c r="K77"/>
  <c r="C76" a="1"/>
  <c r="G76" s="1"/>
  <c r="N75" a="1"/>
  <c r="S75" s="1"/>
  <c r="F73"/>
  <c r="G73" s="1"/>
  <c r="H73" s="1"/>
  <c r="I73" s="1"/>
  <c r="E73"/>
  <c r="D73"/>
  <c r="B61" a="1"/>
  <c r="H61" s="1"/>
  <c r="D24"/>
  <c r="C24"/>
  <c r="C23"/>
  <c r="D22"/>
  <c r="D21"/>
  <c r="C21"/>
  <c r="C20"/>
  <c r="C13"/>
  <c r="B13"/>
  <c r="B35" s="1"/>
  <c r="B69" s="1"/>
  <c r="L373" i="105" s="1"/>
  <c r="L373" i="130" s="1"/>
  <c r="C12" i="84"/>
  <c r="B12"/>
  <c r="B34" s="1"/>
  <c r="B68" s="1"/>
  <c r="L372" i="105" s="1"/>
  <c r="L372" i="130" s="1"/>
  <c r="C11" i="84"/>
  <c r="B11"/>
  <c r="B33" s="1"/>
  <c r="B67" s="1"/>
  <c r="L371" i="105" s="1"/>
  <c r="L371" i="130" s="1"/>
  <c r="C10" i="84"/>
  <c r="B10"/>
  <c r="B32" s="1"/>
  <c r="B66" s="1"/>
  <c r="L370" i="105" s="1"/>
  <c r="L370" i="130" s="1"/>
  <c r="C9" i="84"/>
  <c r="B9"/>
  <c r="B31" s="1"/>
  <c r="B65" s="1"/>
  <c r="L369" i="105" s="1"/>
  <c r="L369" i="130" s="1"/>
  <c r="C8" i="84"/>
  <c r="B8"/>
  <c r="B4" a="1"/>
  <c r="G4" s="1"/>
  <c r="B3"/>
  <c r="B2"/>
  <c r="I1"/>
  <c r="B204" i="83" a="1"/>
  <c r="I204" s="1"/>
  <c r="H203"/>
  <c r="G203"/>
  <c r="F203"/>
  <c r="E203"/>
  <c r="D203"/>
  <c r="C203"/>
  <c r="B203"/>
  <c r="B202" a="1"/>
  <c r="F202" s="1"/>
  <c r="D191"/>
  <c r="D160" s="1"/>
  <c r="C191"/>
  <c r="B183" a="1"/>
  <c r="H183" s="1"/>
  <c r="J160"/>
  <c r="J161" s="1"/>
  <c r="A160"/>
  <c r="B159" a="1"/>
  <c r="H159" s="1"/>
  <c r="D158"/>
  <c r="D154"/>
  <c r="D24" s="1"/>
  <c r="C154"/>
  <c r="D153"/>
  <c r="D23" s="1"/>
  <c r="C153"/>
  <c r="C23" s="1"/>
  <c r="D152"/>
  <c r="D22" s="1"/>
  <c r="C152"/>
  <c r="C22" s="1"/>
  <c r="D151"/>
  <c r="D21" s="1"/>
  <c r="C151"/>
  <c r="C21" s="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S75" s="1"/>
  <c r="D73"/>
  <c r="E73" s="1"/>
  <c r="F73" s="1"/>
  <c r="G73" s="1"/>
  <c r="H73" s="1"/>
  <c r="I73" s="1"/>
  <c r="B61" a="1"/>
  <c r="G61" s="1"/>
  <c r="C24"/>
  <c r="D19"/>
  <c r="C13"/>
  <c r="B13"/>
  <c r="B35" s="1"/>
  <c r="B69" s="1"/>
  <c r="L364" i="105" s="1"/>
  <c r="L364" i="130" s="1"/>
  <c r="C12" i="83"/>
  <c r="B12"/>
  <c r="B34" s="1"/>
  <c r="B68" s="1"/>
  <c r="L363" i="105" s="1"/>
  <c r="L363" i="130" s="1"/>
  <c r="C11" i="83"/>
  <c r="B11"/>
  <c r="B33" s="1"/>
  <c r="B67" s="1"/>
  <c r="L362" i="105" s="1"/>
  <c r="L362" i="130" s="1"/>
  <c r="C10" i="83"/>
  <c r="B10"/>
  <c r="B32" s="1"/>
  <c r="B66" s="1"/>
  <c r="L361" i="105" s="1"/>
  <c r="L361" i="130" s="1"/>
  <c r="C9" i="83"/>
  <c r="B9"/>
  <c r="B31" s="1"/>
  <c r="B65" s="1"/>
  <c r="L360" i="105" s="1"/>
  <c r="L360" i="130" s="1"/>
  <c r="C8" i="83"/>
  <c r="B8"/>
  <c r="B4" a="1"/>
  <c r="G4" s="1"/>
  <c r="B3"/>
  <c r="B2"/>
  <c r="I1"/>
  <c r="B204" i="82" a="1"/>
  <c r="I204" s="1"/>
  <c r="H203"/>
  <c r="G203"/>
  <c r="F203"/>
  <c r="E203"/>
  <c r="D203"/>
  <c r="C203"/>
  <c r="B203"/>
  <c r="B202" a="1"/>
  <c r="F202" s="1"/>
  <c r="D191"/>
  <c r="D160" s="1"/>
  <c r="C191"/>
  <c r="B183" a="1"/>
  <c r="H183" s="1"/>
  <c r="J160"/>
  <c r="J161" s="1"/>
  <c r="A160"/>
  <c r="B159" a="1"/>
  <c r="H159" s="1"/>
  <c r="D158"/>
  <c r="D154"/>
  <c r="D24" s="1"/>
  <c r="C154"/>
  <c r="C24" s="1"/>
  <c r="D153"/>
  <c r="D23" s="1"/>
  <c r="C153"/>
  <c r="C23" s="1"/>
  <c r="D152"/>
  <c r="D22" s="1"/>
  <c r="C152"/>
  <c r="C22" s="1"/>
  <c r="D151"/>
  <c r="C151"/>
  <c r="C21" s="1"/>
  <c r="D150"/>
  <c r="D20" s="1"/>
  <c r="C150"/>
  <c r="C20" s="1"/>
  <c r="D149"/>
  <c r="D19" s="1"/>
  <c r="C149"/>
  <c r="C19" s="1"/>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T75" s="1"/>
  <c r="D73"/>
  <c r="E73" s="1"/>
  <c r="F73" s="1"/>
  <c r="G73" s="1"/>
  <c r="H73" s="1"/>
  <c r="I73" s="1"/>
  <c r="B61" a="1"/>
  <c r="H61" s="1"/>
  <c r="D21"/>
  <c r="C13"/>
  <c r="B13"/>
  <c r="B35" s="1"/>
  <c r="B69" s="1"/>
  <c r="L355" i="105" s="1"/>
  <c r="L355" i="130" s="1"/>
  <c r="C12" i="82"/>
  <c r="B12"/>
  <c r="B34" s="1"/>
  <c r="B68" s="1"/>
  <c r="L354" i="105" s="1"/>
  <c r="L354" i="130" s="1"/>
  <c r="C11" i="82"/>
  <c r="B11"/>
  <c r="B33" s="1"/>
  <c r="B67" s="1"/>
  <c r="L353" i="105" s="1"/>
  <c r="L353" i="130" s="1"/>
  <c r="C10" i="82"/>
  <c r="B10"/>
  <c r="B32" s="1"/>
  <c r="B66" s="1"/>
  <c r="L352" i="105" s="1"/>
  <c r="L352" i="130" s="1"/>
  <c r="C9" i="82"/>
  <c r="B9"/>
  <c r="B31" s="1"/>
  <c r="B65" s="1"/>
  <c r="L351" i="105" s="1"/>
  <c r="L351" i="130" s="1"/>
  <c r="C8" i="82"/>
  <c r="B8"/>
  <c r="B4" a="1"/>
  <c r="G4" s="1"/>
  <c r="B3"/>
  <c r="B2"/>
  <c r="I1"/>
  <c r="B204" i="81" a="1"/>
  <c r="I204" s="1"/>
  <c r="H203"/>
  <c r="G203"/>
  <c r="F203"/>
  <c r="E203"/>
  <c r="D203"/>
  <c r="C203"/>
  <c r="B203"/>
  <c r="B202" a="1"/>
  <c r="F202" s="1"/>
  <c r="D191"/>
  <c r="D160" s="1"/>
  <c r="C191"/>
  <c r="B183" a="1"/>
  <c r="H183" s="1"/>
  <c r="J160"/>
  <c r="J161" s="1"/>
  <c r="A160"/>
  <c r="B159" a="1"/>
  <c r="H159" s="1"/>
  <c r="D158"/>
  <c r="D154"/>
  <c r="D24" s="1"/>
  <c r="C154"/>
  <c r="D153"/>
  <c r="C153"/>
  <c r="C23" s="1"/>
  <c r="D152"/>
  <c r="C152"/>
  <c r="C22" s="1"/>
  <c r="D151"/>
  <c r="D21" s="1"/>
  <c r="C15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C82" s="1"/>
  <c r="K81"/>
  <c r="C81" s="1"/>
  <c r="K80"/>
  <c r="C80" s="1"/>
  <c r="K79"/>
  <c r="C79" s="1"/>
  <c r="K78"/>
  <c r="C78" s="1"/>
  <c r="K77"/>
  <c r="C77" s="1"/>
  <c r="C76" a="1"/>
  <c r="H76" s="1"/>
  <c r="N75" a="1"/>
  <c r="S75" s="1"/>
  <c r="D73"/>
  <c r="E73" s="1"/>
  <c r="F73" s="1"/>
  <c r="G73" s="1"/>
  <c r="H73" s="1"/>
  <c r="I73" s="1"/>
  <c r="B61" a="1"/>
  <c r="G61" s="1"/>
  <c r="C24"/>
  <c r="D23"/>
  <c r="D22"/>
  <c r="C21"/>
  <c r="D19"/>
  <c r="C19"/>
  <c r="C13"/>
  <c r="B13"/>
  <c r="B35" s="1"/>
  <c r="B69" s="1"/>
  <c r="L346" i="105" s="1"/>
  <c r="L346" i="130" s="1"/>
  <c r="C12" i="81"/>
  <c r="B12"/>
  <c r="B34" s="1"/>
  <c r="B68" s="1"/>
  <c r="L345" i="105" s="1"/>
  <c r="L345" i="130" s="1"/>
  <c r="C11" i="81"/>
  <c r="B11"/>
  <c r="B33" s="1"/>
  <c r="B67" s="1"/>
  <c r="L344" i="105" s="1"/>
  <c r="L344" i="130" s="1"/>
  <c r="C10" i="81"/>
  <c r="B10"/>
  <c r="B32" s="1"/>
  <c r="B66" s="1"/>
  <c r="L343" i="105" s="1"/>
  <c r="L343" i="130" s="1"/>
  <c r="C9" i="81"/>
  <c r="B9"/>
  <c r="B31" s="1"/>
  <c r="B65" s="1"/>
  <c r="L342" i="105" s="1"/>
  <c r="L342" i="130" s="1"/>
  <c r="C8" i="81"/>
  <c r="B8"/>
  <c r="B4" a="1"/>
  <c r="I4" s="1"/>
  <c r="B3"/>
  <c r="B2"/>
  <c r="I1"/>
  <c r="B204" i="78" a="1"/>
  <c r="G204" s="1"/>
  <c r="H203"/>
  <c r="G203"/>
  <c r="F203"/>
  <c r="E203"/>
  <c r="D203"/>
  <c r="C203"/>
  <c r="B203"/>
  <c r="B202" a="1"/>
  <c r="G202" s="1"/>
  <c r="D191"/>
  <c r="C191"/>
  <c r="B183" a="1"/>
  <c r="I183" s="1"/>
  <c r="J161"/>
  <c r="M161" s="1"/>
  <c r="G161"/>
  <c r="D161"/>
  <c r="A161"/>
  <c r="K160"/>
  <c r="J160"/>
  <c r="L160" s="1"/>
  <c r="D160"/>
  <c r="B160"/>
  <c r="A160"/>
  <c r="B159" a="1"/>
  <c r="I159" s="1"/>
  <c r="D158"/>
  <c r="D154"/>
  <c r="C154"/>
  <c r="D153"/>
  <c r="C153"/>
  <c r="D152"/>
  <c r="C152"/>
  <c r="D151"/>
  <c r="C151"/>
  <c r="D150"/>
  <c r="C150"/>
  <c r="D149"/>
  <c r="C149"/>
  <c r="B147" a="1"/>
  <c r="G147" s="1"/>
  <c r="C133" a="1"/>
  <c r="G133" s="1"/>
  <c r="K118"/>
  <c r="C118" s="1"/>
  <c r="K117"/>
  <c r="C117" s="1"/>
  <c r="K116"/>
  <c r="C116" s="1"/>
  <c r="K115"/>
  <c r="C115" s="1"/>
  <c r="K114"/>
  <c r="C114" s="1"/>
  <c r="K113"/>
  <c r="C113" s="1"/>
  <c r="N111" a="1"/>
  <c r="S111" s="1"/>
  <c r="C111" a="1"/>
  <c r="G111" s="1"/>
  <c r="E108"/>
  <c r="F108" s="1"/>
  <c r="G108" s="1"/>
  <c r="H108" s="1"/>
  <c r="I108" s="1"/>
  <c r="D108"/>
  <c r="C97" a="1"/>
  <c r="H97" s="1"/>
  <c r="K82"/>
  <c r="C82" s="1"/>
  <c r="K81"/>
  <c r="C81" s="1"/>
  <c r="K80"/>
  <c r="C80" s="1"/>
  <c r="K79"/>
  <c r="C79" s="1"/>
  <c r="K78"/>
  <c r="C78" s="1"/>
  <c r="K77"/>
  <c r="C77" s="1"/>
  <c r="C76" a="1"/>
  <c r="I76" s="1"/>
  <c r="N75" a="1"/>
  <c r="S75" s="1"/>
  <c r="E73"/>
  <c r="F73" s="1"/>
  <c r="G73" s="1"/>
  <c r="H73" s="1"/>
  <c r="I73" s="1"/>
  <c r="D73"/>
  <c r="B61" a="1"/>
  <c r="G61" s="1"/>
  <c r="D24"/>
  <c r="C24"/>
  <c r="D23"/>
  <c r="C23"/>
  <c r="D22"/>
  <c r="C22"/>
  <c r="D21"/>
  <c r="C21"/>
  <c r="D20"/>
  <c r="C20"/>
  <c r="D19"/>
  <c r="C19"/>
  <c r="C25" s="1"/>
  <c r="C13"/>
  <c r="B13"/>
  <c r="B35" s="1"/>
  <c r="B69" s="1"/>
  <c r="L337" i="105" s="1"/>
  <c r="L337" i="130" s="1"/>
  <c r="C12" i="78"/>
  <c r="B12"/>
  <c r="B34" s="1"/>
  <c r="B68" s="1"/>
  <c r="L336" i="105" s="1"/>
  <c r="L336" i="130" s="1"/>
  <c r="C11" i="78"/>
  <c r="B11"/>
  <c r="B33" s="1"/>
  <c r="B67" s="1"/>
  <c r="L335" i="105" s="1"/>
  <c r="L335" i="130" s="1"/>
  <c r="C10" i="78"/>
  <c r="B10"/>
  <c r="B32" s="1"/>
  <c r="B66" s="1"/>
  <c r="L334" i="105" s="1"/>
  <c r="L334" i="130" s="1"/>
  <c r="C9" i="78"/>
  <c r="B9"/>
  <c r="B31" s="1"/>
  <c r="B65" s="1"/>
  <c r="L333" i="105" s="1"/>
  <c r="L333" i="130" s="1"/>
  <c r="C8" i="78"/>
  <c r="B8"/>
  <c r="B4" a="1"/>
  <c r="I4" s="1"/>
  <c r="B3"/>
  <c r="B2"/>
  <c r="I1"/>
  <c r="B204" i="77" a="1"/>
  <c r="H203"/>
  <c r="G203"/>
  <c r="F203"/>
  <c r="E203"/>
  <c r="D203"/>
  <c r="C203"/>
  <c r="B203"/>
  <c r="B202" a="1"/>
  <c r="G202" s="1"/>
  <c r="D191"/>
  <c r="C191"/>
  <c r="B183" a="1"/>
  <c r="F183" s="1"/>
  <c r="M160"/>
  <c r="B159" a="1"/>
  <c r="G159" s="1"/>
  <c r="D158"/>
  <c r="J160" s="1"/>
  <c r="D154"/>
  <c r="C154"/>
  <c r="D153"/>
  <c r="C153"/>
  <c r="C23" s="1"/>
  <c r="D152"/>
  <c r="D22" s="1"/>
  <c r="C152"/>
  <c r="D151"/>
  <c r="C151"/>
  <c r="C21" s="1"/>
  <c r="D150"/>
  <c r="C150"/>
  <c r="C20" s="1"/>
  <c r="D149"/>
  <c r="D19" s="1"/>
  <c r="C149"/>
  <c r="B147" a="1"/>
  <c r="G147" s="1"/>
  <c r="C133" a="1"/>
  <c r="H133" s="1"/>
  <c r="K118"/>
  <c r="K117"/>
  <c r="K116"/>
  <c r="K115"/>
  <c r="K114"/>
  <c r="K113"/>
  <c r="N111" a="1"/>
  <c r="S111" s="1"/>
  <c r="C111" a="1"/>
  <c r="H111" s="1"/>
  <c r="G108"/>
  <c r="H108" s="1"/>
  <c r="I108" s="1"/>
  <c r="F108"/>
  <c r="D108"/>
  <c r="E108" s="1"/>
  <c r="C97" a="1"/>
  <c r="F97" s="1"/>
  <c r="K82"/>
  <c r="K81"/>
  <c r="K80"/>
  <c r="K79"/>
  <c r="K78"/>
  <c r="K77"/>
  <c r="C76" a="1"/>
  <c r="I76" s="1"/>
  <c r="N75" a="1"/>
  <c r="S75" s="1"/>
  <c r="D73"/>
  <c r="E73" s="1"/>
  <c r="F73" s="1"/>
  <c r="G73" s="1"/>
  <c r="H73" s="1"/>
  <c r="I73" s="1"/>
  <c r="B61" a="1"/>
  <c r="G61" s="1"/>
  <c r="D24"/>
  <c r="C24"/>
  <c r="D23"/>
  <c r="C22"/>
  <c r="D21"/>
  <c r="D20"/>
  <c r="C19"/>
  <c r="C13"/>
  <c r="B13"/>
  <c r="B35" s="1"/>
  <c r="B69" s="1"/>
  <c r="L328" i="105" s="1"/>
  <c r="L328" i="130" s="1"/>
  <c r="C12" i="77"/>
  <c r="B12"/>
  <c r="B34" s="1"/>
  <c r="B68" s="1"/>
  <c r="L327" i="105" s="1"/>
  <c r="L327" i="130" s="1"/>
  <c r="C11" i="77"/>
  <c r="B11"/>
  <c r="B33" s="1"/>
  <c r="B67" s="1"/>
  <c r="L326" i="105" s="1"/>
  <c r="L326" i="130" s="1"/>
  <c r="C10" i="77"/>
  <c r="B10"/>
  <c r="B32" s="1"/>
  <c r="B66" s="1"/>
  <c r="L325" i="105" s="1"/>
  <c r="L325" i="130" s="1"/>
  <c r="C9" i="77"/>
  <c r="B9"/>
  <c r="B31" s="1"/>
  <c r="C8"/>
  <c r="B8"/>
  <c r="B30" s="1"/>
  <c r="B64" s="1"/>
  <c r="L323" i="105" s="1"/>
  <c r="L323" i="130" s="1"/>
  <c r="B4" i="77" a="1"/>
  <c r="G4" s="1"/>
  <c r="B3"/>
  <c r="B2"/>
  <c r="I1"/>
  <c r="B204" i="76"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D19" s="1"/>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3"/>
  <c r="C23"/>
  <c r="C22"/>
  <c r="D20"/>
  <c r="C19"/>
  <c r="C13"/>
  <c r="B13"/>
  <c r="B35" s="1"/>
  <c r="B69" s="1"/>
  <c r="L319" i="105" s="1"/>
  <c r="L319" i="130" s="1"/>
  <c r="C12" i="76"/>
  <c r="B12"/>
  <c r="B34" s="1"/>
  <c r="B68" s="1"/>
  <c r="L318" i="105" s="1"/>
  <c r="L318" i="130" s="1"/>
  <c r="C11" i="76"/>
  <c r="B11"/>
  <c r="B33" s="1"/>
  <c r="B67" s="1"/>
  <c r="L317" i="105" s="1"/>
  <c r="L317" i="130" s="1"/>
  <c r="C10" i="76"/>
  <c r="B10"/>
  <c r="B32" s="1"/>
  <c r="B66" s="1"/>
  <c r="L316" i="105" s="1"/>
  <c r="L316" i="130" s="1"/>
  <c r="C9" i="76"/>
  <c r="B9"/>
  <c r="B31" s="1"/>
  <c r="B65" s="1"/>
  <c r="L315" i="105" s="1"/>
  <c r="L315" i="130" s="1"/>
  <c r="C8" i="76"/>
  <c r="B8"/>
  <c r="B30" s="1"/>
  <c r="B4" a="1"/>
  <c r="G4" s="1"/>
  <c r="B3"/>
  <c r="B2"/>
  <c r="I1"/>
  <c r="B204" i="75" a="1"/>
  <c r="I204" s="1"/>
  <c r="H203"/>
  <c r="G203"/>
  <c r="F203"/>
  <c r="E203"/>
  <c r="D203"/>
  <c r="C203"/>
  <c r="B203"/>
  <c r="B202" a="1"/>
  <c r="F202" s="1"/>
  <c r="D191"/>
  <c r="C191"/>
  <c r="B183" a="1"/>
  <c r="H183" s="1"/>
  <c r="J160"/>
  <c r="J161" s="1"/>
  <c r="D160"/>
  <c r="A160"/>
  <c r="B159" a="1"/>
  <c r="H159" s="1"/>
  <c r="D158"/>
  <c r="D154"/>
  <c r="D24" s="1"/>
  <c r="C154"/>
  <c r="D153"/>
  <c r="C153"/>
  <c r="C23" s="1"/>
  <c r="D152"/>
  <c r="C152"/>
  <c r="D151"/>
  <c r="D21" s="1"/>
  <c r="C15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T75" s="1"/>
  <c r="D73"/>
  <c r="E73" s="1"/>
  <c r="F73" s="1"/>
  <c r="G73" s="1"/>
  <c r="H73" s="1"/>
  <c r="I73" s="1"/>
  <c r="B61" a="1"/>
  <c r="H61" s="1"/>
  <c r="C24"/>
  <c r="D23"/>
  <c r="D22"/>
  <c r="C22"/>
  <c r="C21"/>
  <c r="D20"/>
  <c r="D19"/>
  <c r="C19"/>
  <c r="C13"/>
  <c r="B13"/>
  <c r="B35" s="1"/>
  <c r="B69" s="1"/>
  <c r="L310" i="105" s="1"/>
  <c r="L310" i="130" s="1"/>
  <c r="C12" i="75"/>
  <c r="B12"/>
  <c r="B34" s="1"/>
  <c r="B68" s="1"/>
  <c r="L309" i="105" s="1"/>
  <c r="L309" i="130" s="1"/>
  <c r="C11" i="75"/>
  <c r="B11"/>
  <c r="B33" s="1"/>
  <c r="B67" s="1"/>
  <c r="L308" i="105" s="1"/>
  <c r="L308" i="130" s="1"/>
  <c r="C10" i="75"/>
  <c r="B10"/>
  <c r="B32" s="1"/>
  <c r="B66" s="1"/>
  <c r="L307" i="105" s="1"/>
  <c r="L307" i="130" s="1"/>
  <c r="C9" i="75"/>
  <c r="B9"/>
  <c r="B31" s="1"/>
  <c r="B65" s="1"/>
  <c r="L306" i="105" s="1"/>
  <c r="L306" i="130" s="1"/>
  <c r="C8" i="75"/>
  <c r="B8"/>
  <c r="B4" a="1"/>
  <c r="G4" s="1"/>
  <c r="B3"/>
  <c r="B2"/>
  <c r="I1"/>
  <c r="B204" i="74" a="1"/>
  <c r="D204" s="1"/>
  <c r="H203"/>
  <c r="G203"/>
  <c r="F203"/>
  <c r="E203"/>
  <c r="D203"/>
  <c r="C203"/>
  <c r="B203"/>
  <c r="B202" a="1"/>
  <c r="G202" s="1"/>
  <c r="D191"/>
  <c r="C191"/>
  <c r="B183" a="1"/>
  <c r="H183" s="1"/>
  <c r="B159" a="1"/>
  <c r="H159" s="1"/>
  <c r="D158"/>
  <c r="J160" s="1"/>
  <c r="L160" s="1"/>
  <c r="D154"/>
  <c r="D24" s="1"/>
  <c r="C154"/>
  <c r="D153"/>
  <c r="D23" s="1"/>
  <c r="C153"/>
  <c r="C23" s="1"/>
  <c r="D152"/>
  <c r="C152"/>
  <c r="C22" s="1"/>
  <c r="D151"/>
  <c r="C151"/>
  <c r="D150"/>
  <c r="D20" s="1"/>
  <c r="C150"/>
  <c r="C20" s="1"/>
  <c r="D149"/>
  <c r="D19" s="1"/>
  <c r="C149"/>
  <c r="B147" a="1"/>
  <c r="G147" s="1"/>
  <c r="C133" a="1"/>
  <c r="I133" s="1"/>
  <c r="K118"/>
  <c r="K117"/>
  <c r="K116"/>
  <c r="K115"/>
  <c r="K114"/>
  <c r="K113"/>
  <c r="N111" a="1"/>
  <c r="S111" s="1"/>
  <c r="C111" a="1"/>
  <c r="I111" s="1"/>
  <c r="I108"/>
  <c r="F108"/>
  <c r="G108" s="1"/>
  <c r="H108" s="1"/>
  <c r="D108"/>
  <c r="E108" s="1"/>
  <c r="C97" a="1"/>
  <c r="K82"/>
  <c r="C82" s="1"/>
  <c r="K81"/>
  <c r="C81" s="1"/>
  <c r="K80"/>
  <c r="C80" s="1"/>
  <c r="K79"/>
  <c r="C79" s="1"/>
  <c r="K78"/>
  <c r="C78" s="1"/>
  <c r="K77"/>
  <c r="C77" s="1"/>
  <c r="C76" a="1"/>
  <c r="N75" a="1"/>
  <c r="S75" s="1"/>
  <c r="F73"/>
  <c r="G73" s="1"/>
  <c r="H73" s="1"/>
  <c r="I73" s="1"/>
  <c r="E73"/>
  <c r="D73"/>
  <c r="B61" a="1"/>
  <c r="G61" s="1"/>
  <c r="C24"/>
  <c r="D22"/>
  <c r="D21"/>
  <c r="C21"/>
  <c r="C13"/>
  <c r="B13"/>
  <c r="B35" s="1"/>
  <c r="B69" s="1"/>
  <c r="L301" i="105" s="1"/>
  <c r="L301" i="130" s="1"/>
  <c r="C12" i="74"/>
  <c r="B12"/>
  <c r="B34" s="1"/>
  <c r="B68" s="1"/>
  <c r="L300" i="105" s="1"/>
  <c r="L300" i="130" s="1"/>
  <c r="C11" i="74"/>
  <c r="B11"/>
  <c r="B33" s="1"/>
  <c r="B67" s="1"/>
  <c r="L299" i="105" s="1"/>
  <c r="L299" i="130" s="1"/>
  <c r="C10" i="74"/>
  <c r="B10"/>
  <c r="B32" s="1"/>
  <c r="B66" s="1"/>
  <c r="L298" i="105" s="1"/>
  <c r="L298" i="130" s="1"/>
  <c r="C9" i="74"/>
  <c r="B9"/>
  <c r="B31" s="1"/>
  <c r="B65" s="1"/>
  <c r="L297" i="105" s="1"/>
  <c r="L297" i="130" s="1"/>
  <c r="C8" i="74"/>
  <c r="B8"/>
  <c r="B30" s="1"/>
  <c r="B64" s="1"/>
  <c r="L296" i="105" s="1"/>
  <c r="L296" i="130" s="1"/>
  <c r="B4" i="74" a="1"/>
  <c r="G4" s="1"/>
  <c r="B3"/>
  <c r="B2"/>
  <c r="I1"/>
  <c r="B204" i="73" a="1"/>
  <c r="I204" s="1"/>
  <c r="H203"/>
  <c r="G203"/>
  <c r="F203"/>
  <c r="E203"/>
  <c r="D203"/>
  <c r="C203"/>
  <c r="B203"/>
  <c r="B202" a="1"/>
  <c r="F202" s="1"/>
  <c r="D191"/>
  <c r="C191"/>
  <c r="B183" a="1"/>
  <c r="H183" s="1"/>
  <c r="B159" a="1"/>
  <c r="H159" s="1"/>
  <c r="D158"/>
  <c r="J160" s="1"/>
  <c r="D154"/>
  <c r="D24" s="1"/>
  <c r="C154"/>
  <c r="D153"/>
  <c r="D23" s="1"/>
  <c r="C153"/>
  <c r="D152"/>
  <c r="C152"/>
  <c r="C22" s="1"/>
  <c r="D151"/>
  <c r="D21" s="1"/>
  <c r="C151"/>
  <c r="D150"/>
  <c r="D20" s="1"/>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G76" s="1"/>
  <c r="N75" a="1"/>
  <c r="T75" s="1"/>
  <c r="D73"/>
  <c r="E73" s="1"/>
  <c r="F73" s="1"/>
  <c r="G73" s="1"/>
  <c r="H73" s="1"/>
  <c r="I73" s="1"/>
  <c r="B61" a="1"/>
  <c r="H61" s="1"/>
  <c r="C24"/>
  <c r="C23"/>
  <c r="D22"/>
  <c r="C21"/>
  <c r="D19"/>
  <c r="C13"/>
  <c r="B13"/>
  <c r="B35" s="1"/>
  <c r="B69" s="1"/>
  <c r="L292" i="105" s="1"/>
  <c r="L292" i="130" s="1"/>
  <c r="C12" i="73"/>
  <c r="B12"/>
  <c r="B34" s="1"/>
  <c r="B68" s="1"/>
  <c r="L291" i="105" s="1"/>
  <c r="L291" i="130" s="1"/>
  <c r="C11" i="73"/>
  <c r="B11"/>
  <c r="B33" s="1"/>
  <c r="B67" s="1"/>
  <c r="L290" i="105" s="1"/>
  <c r="L290" i="130" s="1"/>
  <c r="C10" i="73"/>
  <c r="B10"/>
  <c r="B32" s="1"/>
  <c r="B66" s="1"/>
  <c r="L289" i="105" s="1"/>
  <c r="L289" i="130" s="1"/>
  <c r="C9" i="73"/>
  <c r="B9"/>
  <c r="B31" s="1"/>
  <c r="B65" s="1"/>
  <c r="L288" i="105" s="1"/>
  <c r="L288" i="130" s="1"/>
  <c r="C8" i="73"/>
  <c r="B8"/>
  <c r="B4" a="1"/>
  <c r="G4" s="1"/>
  <c r="B3"/>
  <c r="B2"/>
  <c r="I1"/>
  <c r="B204" i="72" a="1"/>
  <c r="I204" s="1"/>
  <c r="H203"/>
  <c r="G203"/>
  <c r="F203"/>
  <c r="E203"/>
  <c r="D203"/>
  <c r="C203"/>
  <c r="B203"/>
  <c r="B202" a="1"/>
  <c r="F202" s="1"/>
  <c r="D191"/>
  <c r="D160" s="1"/>
  <c r="C191"/>
  <c r="B183" a="1"/>
  <c r="H183" s="1"/>
  <c r="J160"/>
  <c r="J161" s="1"/>
  <c r="A160"/>
  <c r="B159" a="1"/>
  <c r="H159" s="1"/>
  <c r="D158"/>
  <c r="D154"/>
  <c r="C154"/>
  <c r="C24" s="1"/>
  <c r="D153"/>
  <c r="C153"/>
  <c r="D152"/>
  <c r="D22" s="1"/>
  <c r="C152"/>
  <c r="D151"/>
  <c r="D21" s="1"/>
  <c r="C151"/>
  <c r="C21" s="1"/>
  <c r="D150"/>
  <c r="C150"/>
  <c r="C20" s="1"/>
  <c r="D149"/>
  <c r="D19" s="1"/>
  <c r="C149"/>
  <c r="C19" s="1"/>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D24"/>
  <c r="D23"/>
  <c r="C23"/>
  <c r="C22"/>
  <c r="D20"/>
  <c r="C13"/>
  <c r="B13"/>
  <c r="B35" s="1"/>
  <c r="B69" s="1"/>
  <c r="L282" i="105" s="1"/>
  <c r="L282" i="130" s="1"/>
  <c r="C12" i="72"/>
  <c r="B12"/>
  <c r="B34" s="1"/>
  <c r="B68" s="1"/>
  <c r="L281" i="105" s="1"/>
  <c r="L281" i="130" s="1"/>
  <c r="C11" i="72"/>
  <c r="B11"/>
  <c r="B33" s="1"/>
  <c r="B67" s="1"/>
  <c r="L280" i="105" s="1"/>
  <c r="L280" i="130" s="1"/>
  <c r="C10" i="72"/>
  <c r="B10"/>
  <c r="B32" s="1"/>
  <c r="B66" s="1"/>
  <c r="L279" i="105" s="1"/>
  <c r="L279" i="130" s="1"/>
  <c r="C9" i="72"/>
  <c r="B9"/>
  <c r="B31" s="1"/>
  <c r="B65" s="1"/>
  <c r="L278" i="105" s="1"/>
  <c r="L278" i="130" s="1"/>
  <c r="C8" i="72"/>
  <c r="B8"/>
  <c r="B30" s="1"/>
  <c r="B4" a="1"/>
  <c r="G4" s="1"/>
  <c r="B3"/>
  <c r="B2"/>
  <c r="I1"/>
  <c r="B204" i="71" a="1"/>
  <c r="I204" s="1"/>
  <c r="H203"/>
  <c r="G203"/>
  <c r="F203"/>
  <c r="E203"/>
  <c r="D203"/>
  <c r="C203"/>
  <c r="B203"/>
  <c r="B202" a="1"/>
  <c r="F202" s="1"/>
  <c r="D191"/>
  <c r="C191"/>
  <c r="B183" a="1"/>
  <c r="H183" s="1"/>
  <c r="J160"/>
  <c r="J161" s="1"/>
  <c r="D160"/>
  <c r="A160"/>
  <c r="B159" a="1"/>
  <c r="H159" s="1"/>
  <c r="D158"/>
  <c r="D154"/>
  <c r="D24" s="1"/>
  <c r="C154"/>
  <c r="D153"/>
  <c r="C153"/>
  <c r="C23" s="1"/>
  <c r="D152"/>
  <c r="C152"/>
  <c r="C22" s="1"/>
  <c r="D151"/>
  <c r="D21" s="1"/>
  <c r="C151"/>
  <c r="D150"/>
  <c r="D20" s="1"/>
  <c r="C150"/>
  <c r="C20" s="1"/>
  <c r="D149"/>
  <c r="C149"/>
  <c r="B147" a="1"/>
  <c r="G147" s="1"/>
  <c r="C133" a="1"/>
  <c r="I133" s="1"/>
  <c r="K118"/>
  <c r="K117"/>
  <c r="K116"/>
  <c r="K115"/>
  <c r="K114"/>
  <c r="K113"/>
  <c r="N111" a="1"/>
  <c r="S111" s="1"/>
  <c r="C111" a="1"/>
  <c r="I111" s="1"/>
  <c r="D108"/>
  <c r="E108" s="1"/>
  <c r="F108" s="1"/>
  <c r="G108" s="1"/>
  <c r="H108" s="1"/>
  <c r="I108" s="1"/>
  <c r="C97" a="1"/>
  <c r="G97" s="1"/>
  <c r="K82"/>
  <c r="K81"/>
  <c r="K80"/>
  <c r="K79"/>
  <c r="K78"/>
  <c r="K77"/>
  <c r="C76" a="1"/>
  <c r="G76" s="1"/>
  <c r="N75" a="1"/>
  <c r="T75" s="1"/>
  <c r="D73"/>
  <c r="E73" s="1"/>
  <c r="F73" s="1"/>
  <c r="G73" s="1"/>
  <c r="H73" s="1"/>
  <c r="I73" s="1"/>
  <c r="B61" a="1"/>
  <c r="H61" s="1"/>
  <c r="C24"/>
  <c r="D23"/>
  <c r="D22"/>
  <c r="C21"/>
  <c r="D19"/>
  <c r="C19"/>
  <c r="C13"/>
  <c r="B13"/>
  <c r="B35" s="1"/>
  <c r="B69" s="1"/>
  <c r="L273" i="105" s="1"/>
  <c r="L273" i="130" s="1"/>
  <c r="C12" i="71"/>
  <c r="B12"/>
  <c r="B34" s="1"/>
  <c r="B68" s="1"/>
  <c r="L272" i="105" s="1"/>
  <c r="L272" i="130" s="1"/>
  <c r="C11" i="71"/>
  <c r="B11"/>
  <c r="B33" s="1"/>
  <c r="B67" s="1"/>
  <c r="L271" i="105" s="1"/>
  <c r="L271" i="130" s="1"/>
  <c r="C10" i="71"/>
  <c r="B10"/>
  <c r="B32" s="1"/>
  <c r="B66" s="1"/>
  <c r="L270" i="105" s="1"/>
  <c r="L270" i="130" s="1"/>
  <c r="C9" i="71"/>
  <c r="B9"/>
  <c r="B31" s="1"/>
  <c r="B65" s="1"/>
  <c r="L269" i="105" s="1"/>
  <c r="L269" i="130" s="1"/>
  <c r="C8" i="71"/>
  <c r="B8"/>
  <c r="B4" a="1"/>
  <c r="G4" s="1"/>
  <c r="B3"/>
  <c r="B2"/>
  <c r="I1"/>
  <c r="B204" i="70" a="1"/>
  <c r="I204" s="1"/>
  <c r="H203"/>
  <c r="G203"/>
  <c r="F203"/>
  <c r="E203"/>
  <c r="D203"/>
  <c r="C203"/>
  <c r="B203"/>
  <c r="B202" a="1"/>
  <c r="F202" s="1"/>
  <c r="D191"/>
  <c r="C191"/>
  <c r="B183" a="1"/>
  <c r="H183" s="1"/>
  <c r="J160"/>
  <c r="J161" s="1"/>
  <c r="D160"/>
  <c r="A160"/>
  <c r="B159" a="1"/>
  <c r="H159" s="1"/>
  <c r="D158"/>
  <c r="D154"/>
  <c r="C154"/>
  <c r="D153"/>
  <c r="D23" s="1"/>
  <c r="C153"/>
  <c r="D152"/>
  <c r="C152"/>
  <c r="C22" s="1"/>
  <c r="D151"/>
  <c r="C151"/>
  <c r="D150"/>
  <c r="D20" s="1"/>
  <c r="C150"/>
  <c r="D149"/>
  <c r="C149"/>
  <c r="C155" s="1"/>
  <c r="B147" a="1"/>
  <c r="G147" s="1"/>
  <c r="C133" a="1"/>
  <c r="I133" s="1"/>
  <c r="K118"/>
  <c r="K117"/>
  <c r="K116"/>
  <c r="K115"/>
  <c r="K114"/>
  <c r="K113"/>
  <c r="N111" a="1"/>
  <c r="R111" s="1"/>
  <c r="C111" a="1"/>
  <c r="I111" s="1"/>
  <c r="D108"/>
  <c r="E108" s="1"/>
  <c r="F108" s="1"/>
  <c r="G108" s="1"/>
  <c r="H108" s="1"/>
  <c r="I108" s="1"/>
  <c r="C97" a="1"/>
  <c r="G97" s="1"/>
  <c r="K82"/>
  <c r="K81"/>
  <c r="K80"/>
  <c r="K79"/>
  <c r="K78"/>
  <c r="K77"/>
  <c r="C76" a="1"/>
  <c r="I76" s="1"/>
  <c r="N75" a="1"/>
  <c r="S75" s="1"/>
  <c r="D73"/>
  <c r="E73" s="1"/>
  <c r="F73" s="1"/>
  <c r="G73" s="1"/>
  <c r="H73" s="1"/>
  <c r="I73" s="1"/>
  <c r="B61" a="1"/>
  <c r="D24"/>
  <c r="C24"/>
  <c r="C23"/>
  <c r="D22"/>
  <c r="D21"/>
  <c r="C21"/>
  <c r="C20"/>
  <c r="D19"/>
  <c r="C13"/>
  <c r="B13"/>
  <c r="B35" s="1"/>
  <c r="B69" s="1"/>
  <c r="L263" i="105" s="1"/>
  <c r="L263" i="130" s="1"/>
  <c r="C12" i="70"/>
  <c r="B12"/>
  <c r="B34" s="1"/>
  <c r="B68" s="1"/>
  <c r="L262" i="105" s="1"/>
  <c r="L262" i="130" s="1"/>
  <c r="C11" i="70"/>
  <c r="B11"/>
  <c r="B33" s="1"/>
  <c r="B67" s="1"/>
  <c r="L261" i="105" s="1"/>
  <c r="L261" i="130" s="1"/>
  <c r="C10" i="70"/>
  <c r="B10"/>
  <c r="B32" s="1"/>
  <c r="B66" s="1"/>
  <c r="L260" i="105" s="1"/>
  <c r="L260" i="130" s="1"/>
  <c r="C9" i="70"/>
  <c r="B9"/>
  <c r="B31" s="1"/>
  <c r="B65" s="1"/>
  <c r="L259" i="105" s="1"/>
  <c r="L259" i="130" s="1"/>
  <c r="C8" i="70"/>
  <c r="B8"/>
  <c r="B4" a="1"/>
  <c r="G4" s="1"/>
  <c r="B3"/>
  <c r="B2"/>
  <c r="I1"/>
  <c r="B204" i="69" a="1"/>
  <c r="I204" s="1"/>
  <c r="H203"/>
  <c r="G203"/>
  <c r="F203"/>
  <c r="E203"/>
  <c r="D203"/>
  <c r="C203"/>
  <c r="B203"/>
  <c r="B202" a="1"/>
  <c r="F202" s="1"/>
  <c r="D191"/>
  <c r="D160" s="1"/>
  <c r="C191"/>
  <c r="B183" a="1"/>
  <c r="H183" s="1"/>
  <c r="J160"/>
  <c r="J161" s="1"/>
  <c r="A160"/>
  <c r="B159" a="1"/>
  <c r="H159" s="1"/>
  <c r="D158"/>
  <c r="D154"/>
  <c r="D24" s="1"/>
  <c r="C154"/>
  <c r="C24" s="1"/>
  <c r="D153"/>
  <c r="C153"/>
  <c r="D152"/>
  <c r="D22" s="1"/>
  <c r="C152"/>
  <c r="D151"/>
  <c r="D21" s="1"/>
  <c r="C151"/>
  <c r="C21" s="1"/>
  <c r="D150"/>
  <c r="C150"/>
  <c r="C20" s="1"/>
  <c r="D149"/>
  <c r="D19" s="1"/>
  <c r="C149"/>
  <c r="B147" a="1"/>
  <c r="G147" s="1"/>
  <c r="C133" a="1"/>
  <c r="I133" s="1"/>
  <c r="K118"/>
  <c r="K117"/>
  <c r="K116"/>
  <c r="K115"/>
  <c r="K114"/>
  <c r="K113"/>
  <c r="N111" a="1"/>
  <c r="S111" s="1"/>
  <c r="C111" a="1"/>
  <c r="I111" s="1"/>
  <c r="D108"/>
  <c r="E108" s="1"/>
  <c r="F108" s="1"/>
  <c r="G108" s="1"/>
  <c r="H108" s="1"/>
  <c r="I108" s="1"/>
  <c r="C97" a="1"/>
  <c r="G97" s="1"/>
  <c r="K82"/>
  <c r="K81"/>
  <c r="K80"/>
  <c r="K79"/>
  <c r="K78"/>
  <c r="K77"/>
  <c r="C76" a="1"/>
  <c r="I76" s="1"/>
  <c r="N75" a="1"/>
  <c r="R75" s="1"/>
  <c r="D73"/>
  <c r="E73" s="1"/>
  <c r="F73" s="1"/>
  <c r="G73" s="1"/>
  <c r="H73" s="1"/>
  <c r="I73" s="1"/>
  <c r="B61" a="1"/>
  <c r="I61" s="1"/>
  <c r="D23"/>
  <c r="C23"/>
  <c r="C22"/>
  <c r="D20"/>
  <c r="C19"/>
  <c r="C13"/>
  <c r="B13"/>
  <c r="B35" s="1"/>
  <c r="B69" s="1"/>
  <c r="L254" i="105" s="1"/>
  <c r="L254" i="130" s="1"/>
  <c r="C12" i="69"/>
  <c r="B12"/>
  <c r="B34" s="1"/>
  <c r="B68" s="1"/>
  <c r="L253" i="105" s="1"/>
  <c r="L253" i="130" s="1"/>
  <c r="C11" i="69"/>
  <c r="B11"/>
  <c r="B33" s="1"/>
  <c r="B67" s="1"/>
  <c r="L252" i="105" s="1"/>
  <c r="L252" i="130" s="1"/>
  <c r="C10" i="69"/>
  <c r="B10"/>
  <c r="B32" s="1"/>
  <c r="B66" s="1"/>
  <c r="L251" i="105" s="1"/>
  <c r="L251" i="130" s="1"/>
  <c r="C9" i="69"/>
  <c r="B9"/>
  <c r="B31" s="1"/>
  <c r="B65" s="1"/>
  <c r="L250" i="105" s="1"/>
  <c r="L250" i="130" s="1"/>
  <c r="C8" i="69"/>
  <c r="B8"/>
  <c r="B30" s="1"/>
  <c r="B4" a="1"/>
  <c r="H4" s="1"/>
  <c r="B3"/>
  <c r="B2"/>
  <c r="I1"/>
  <c r="B204" i="68" a="1"/>
  <c r="I204" s="1"/>
  <c r="H203"/>
  <c r="G203"/>
  <c r="F203"/>
  <c r="E203"/>
  <c r="D203"/>
  <c r="C203"/>
  <c r="B203"/>
  <c r="B202" a="1"/>
  <c r="F202" s="1"/>
  <c r="D191"/>
  <c r="C191"/>
  <c r="B183" a="1"/>
  <c r="H183" s="1"/>
  <c r="B159" a="1"/>
  <c r="H159" s="1"/>
  <c r="D158"/>
  <c r="J160" s="1"/>
  <c r="D154"/>
  <c r="D24" s="1"/>
  <c r="C154"/>
  <c r="D153"/>
  <c r="C153"/>
  <c r="C23" s="1"/>
  <c r="D152"/>
  <c r="C152"/>
  <c r="D151"/>
  <c r="D21" s="1"/>
  <c r="C151"/>
  <c r="D150"/>
  <c r="C150"/>
  <c r="C20" s="1"/>
  <c r="D149"/>
  <c r="C149"/>
  <c r="B147" a="1"/>
  <c r="G147" s="1"/>
  <c r="C133" a="1"/>
  <c r="I133" s="1"/>
  <c r="K118"/>
  <c r="K117"/>
  <c r="K116"/>
  <c r="K115"/>
  <c r="K114"/>
  <c r="K113"/>
  <c r="N111" a="1"/>
  <c r="R111" s="1"/>
  <c r="C111" a="1"/>
  <c r="I111" s="1"/>
  <c r="D108"/>
  <c r="E108" s="1"/>
  <c r="F108" s="1"/>
  <c r="G108" s="1"/>
  <c r="H108" s="1"/>
  <c r="I108" s="1"/>
  <c r="C97" a="1"/>
  <c r="G97" s="1"/>
  <c r="K82"/>
  <c r="K81"/>
  <c r="K80"/>
  <c r="K79"/>
  <c r="K78"/>
  <c r="K77"/>
  <c r="C76" a="1"/>
  <c r="H76" s="1"/>
  <c r="N75" a="1"/>
  <c r="R75" s="1"/>
  <c r="D73"/>
  <c r="E73" s="1"/>
  <c r="F73" s="1"/>
  <c r="G73" s="1"/>
  <c r="H73" s="1"/>
  <c r="I73" s="1"/>
  <c r="B61" a="1"/>
  <c r="I61" s="1"/>
  <c r="C24"/>
  <c r="D23"/>
  <c r="D22"/>
  <c r="C22"/>
  <c r="C21"/>
  <c r="D20"/>
  <c r="D19"/>
  <c r="C19"/>
  <c r="C13"/>
  <c r="B13"/>
  <c r="B35" s="1"/>
  <c r="B69" s="1"/>
  <c r="L245" i="105" s="1"/>
  <c r="L245" i="130" s="1"/>
  <c r="C12" i="68"/>
  <c r="B12"/>
  <c r="B34" s="1"/>
  <c r="B68" s="1"/>
  <c r="L244" i="105" s="1"/>
  <c r="L244" i="130" s="1"/>
  <c r="C11" i="68"/>
  <c r="B11"/>
  <c r="B33" s="1"/>
  <c r="B67" s="1"/>
  <c r="L243" i="105" s="1"/>
  <c r="L243" i="130" s="1"/>
  <c r="C10" i="68"/>
  <c r="B10"/>
  <c r="B32" s="1"/>
  <c r="B66" s="1"/>
  <c r="L242" i="105" s="1"/>
  <c r="L242" i="130" s="1"/>
  <c r="C9" i="68"/>
  <c r="B9"/>
  <c r="B31" s="1"/>
  <c r="B65" s="1"/>
  <c r="L241" i="105" s="1"/>
  <c r="L241" i="130" s="1"/>
  <c r="C8" i="68"/>
  <c r="B8"/>
  <c r="B30" s="1"/>
  <c r="B4" a="1"/>
  <c r="H4" s="1"/>
  <c r="B3"/>
  <c r="B2"/>
  <c r="I1"/>
  <c r="B205" i="67" a="1"/>
  <c r="I205" s="1"/>
  <c r="H204"/>
  <c r="G204"/>
  <c r="F204"/>
  <c r="E204"/>
  <c r="D204"/>
  <c r="C204"/>
  <c r="B204"/>
  <c r="B203" a="1"/>
  <c r="D191"/>
  <c r="C191"/>
  <c r="B183" a="1"/>
  <c r="H183" s="1"/>
  <c r="J160"/>
  <c r="J161" s="1"/>
  <c r="D160"/>
  <c r="A160"/>
  <c r="B159" a="1"/>
  <c r="H159" s="1"/>
  <c r="D158"/>
  <c r="D154"/>
  <c r="D24" s="1"/>
  <c r="C154"/>
  <c r="D153"/>
  <c r="D23" s="1"/>
  <c r="C153"/>
  <c r="D152"/>
  <c r="C152"/>
  <c r="C22" s="1"/>
  <c r="D151"/>
  <c r="D21" s="1"/>
  <c r="C151"/>
  <c r="D150"/>
  <c r="D20" s="1"/>
  <c r="C150"/>
  <c r="C20" s="1"/>
  <c r="D149"/>
  <c r="C149"/>
  <c r="B147" a="1"/>
  <c r="I147" s="1"/>
  <c r="C133" a="1"/>
  <c r="I133" s="1"/>
  <c r="K118"/>
  <c r="K117"/>
  <c r="K116"/>
  <c r="K115"/>
  <c r="K114"/>
  <c r="K113"/>
  <c r="N111" a="1"/>
  <c r="S111" s="1"/>
  <c r="C111" a="1"/>
  <c r="I111" s="1"/>
  <c r="D108"/>
  <c r="E108" s="1"/>
  <c r="F108" s="1"/>
  <c r="G108" s="1"/>
  <c r="H108" s="1"/>
  <c r="I108" s="1"/>
  <c r="C97" a="1"/>
  <c r="G97" s="1"/>
  <c r="K82"/>
  <c r="K81"/>
  <c r="K80"/>
  <c r="K79"/>
  <c r="K78"/>
  <c r="K77"/>
  <c r="C77" s="1"/>
  <c r="C76" a="1"/>
  <c r="G76" s="1"/>
  <c r="N75" a="1"/>
  <c r="S75" s="1"/>
  <c r="D73"/>
  <c r="E73" s="1"/>
  <c r="F73" s="1"/>
  <c r="G73" s="1"/>
  <c r="H73" s="1"/>
  <c r="I73" s="1"/>
  <c r="B61" a="1"/>
  <c r="G61" s="1"/>
  <c r="C24"/>
  <c r="C23"/>
  <c r="D22"/>
  <c r="C21"/>
  <c r="D19"/>
  <c r="C13"/>
  <c r="B13"/>
  <c r="B35" s="1"/>
  <c r="B69" s="1"/>
  <c r="L236" i="105" s="1"/>
  <c r="L236" i="130" s="1"/>
  <c r="C12" i="67"/>
  <c r="B12"/>
  <c r="B34" s="1"/>
  <c r="B68" s="1"/>
  <c r="L235" i="105" s="1"/>
  <c r="L235" i="130" s="1"/>
  <c r="C11" i="67"/>
  <c r="B11"/>
  <c r="B33" s="1"/>
  <c r="B67" s="1"/>
  <c r="L234" i="105" s="1"/>
  <c r="L234" i="130" s="1"/>
  <c r="C10" i="67"/>
  <c r="B10"/>
  <c r="B32" s="1"/>
  <c r="B66" s="1"/>
  <c r="L233" i="105" s="1"/>
  <c r="L233" i="130" s="1"/>
  <c r="C9" i="67"/>
  <c r="B9"/>
  <c r="B31" s="1"/>
  <c r="B65" s="1"/>
  <c r="L232" i="105" s="1"/>
  <c r="L232" i="130" s="1"/>
  <c r="C8" i="67"/>
  <c r="B8"/>
  <c r="B4" a="1"/>
  <c r="I4" s="1"/>
  <c r="B3"/>
  <c r="B2"/>
  <c r="I1"/>
  <c r="J385" i="114"/>
  <c r="I385"/>
  <c r="H385"/>
  <c r="G385"/>
  <c r="F385"/>
  <c r="E385"/>
  <c r="D385"/>
  <c r="J378"/>
  <c r="I378"/>
  <c r="H378"/>
  <c r="G378"/>
  <c r="F378"/>
  <c r="E378"/>
  <c r="D378"/>
  <c r="J369"/>
  <c r="I369"/>
  <c r="H369"/>
  <c r="G369"/>
  <c r="F369"/>
  <c r="E369"/>
  <c r="D369"/>
  <c r="D360"/>
  <c r="D351"/>
  <c r="D342"/>
  <c r="D333"/>
  <c r="C325"/>
  <c r="D324"/>
  <c r="D8" i="101"/>
  <c r="D315" i="114"/>
  <c r="D306"/>
  <c r="D297"/>
  <c r="C289"/>
  <c r="D288"/>
  <c r="D279"/>
  <c r="D270"/>
  <c r="D261"/>
  <c r="D252"/>
  <c r="D243"/>
  <c r="D234"/>
  <c r="D220"/>
  <c r="D211"/>
  <c r="D202"/>
  <c r="D193"/>
  <c r="D184"/>
  <c r="D175"/>
  <c r="D8" i="87"/>
  <c r="D166" i="114"/>
  <c r="D157"/>
  <c r="C149"/>
  <c r="D148"/>
  <c r="D139"/>
  <c r="D130"/>
  <c r="D121"/>
  <c r="D112"/>
  <c r="D103"/>
  <c r="D94"/>
  <c r="D85"/>
  <c r="D76"/>
  <c r="D67"/>
  <c r="C59"/>
  <c r="D58"/>
  <c r="D49"/>
  <c r="C41"/>
  <c r="D40"/>
  <c r="D31"/>
  <c r="D22"/>
  <c r="B15"/>
  <c r="C15" s="1"/>
  <c r="A15"/>
  <c r="A24" s="1"/>
  <c r="D13"/>
  <c r="B6"/>
  <c r="C6" s="1"/>
  <c r="D5" a="1"/>
  <c r="H5" s="1"/>
  <c r="C5"/>
  <c r="J4"/>
  <c r="I4"/>
  <c r="H4"/>
  <c r="G4"/>
  <c r="F4"/>
  <c r="E4"/>
  <c r="D4"/>
  <c r="J1"/>
  <c r="J230" i="113"/>
  <c r="I230"/>
  <c r="H230"/>
  <c r="G230"/>
  <c r="F230"/>
  <c r="E230"/>
  <c r="D230"/>
  <c r="D221"/>
  <c r="D212"/>
  <c r="D203"/>
  <c r="D194"/>
  <c r="D185"/>
  <c r="D176"/>
  <c r="D167"/>
  <c r="D158"/>
  <c r="D149"/>
  <c r="D140"/>
  <c r="D131"/>
  <c r="D122"/>
  <c r="D113"/>
  <c r="D104"/>
  <c r="D95"/>
  <c r="D86"/>
  <c r="D77"/>
  <c r="D68"/>
  <c r="D59"/>
  <c r="D50"/>
  <c r="D41"/>
  <c r="D32"/>
  <c r="D23"/>
  <c r="B16"/>
  <c r="C16" s="1"/>
  <c r="A16"/>
  <c r="A25" s="1"/>
  <c r="D14"/>
  <c r="B7"/>
  <c r="C7" s="1"/>
  <c r="E5"/>
  <c r="D5" a="1"/>
  <c r="H5" s="1"/>
  <c r="J4"/>
  <c r="I4"/>
  <c r="H4"/>
  <c r="G4"/>
  <c r="F4"/>
  <c r="E4"/>
  <c r="D4"/>
  <c r="J1"/>
  <c r="L606" i="7"/>
  <c r="K606"/>
  <c r="J606"/>
  <c r="I606"/>
  <c r="H606"/>
  <c r="G606"/>
  <c r="F606"/>
  <c r="E606"/>
  <c r="D606"/>
  <c r="L596"/>
  <c r="K596"/>
  <c r="J596"/>
  <c r="I596"/>
  <c r="H596"/>
  <c r="G596"/>
  <c r="F596"/>
  <c r="E596"/>
  <c r="D596"/>
  <c r="L587"/>
  <c r="K587"/>
  <c r="J587"/>
  <c r="I587"/>
  <c r="H587"/>
  <c r="G587"/>
  <c r="F587"/>
  <c r="E587"/>
  <c r="D587"/>
  <c r="L578"/>
  <c r="K578"/>
  <c r="J578"/>
  <c r="I578"/>
  <c r="H578"/>
  <c r="G578"/>
  <c r="F578"/>
  <c r="E578"/>
  <c r="D578"/>
  <c r="L569"/>
  <c r="K569"/>
  <c r="J569"/>
  <c r="I569"/>
  <c r="H569"/>
  <c r="G569"/>
  <c r="F569"/>
  <c r="E569"/>
  <c r="D569"/>
  <c r="L560"/>
  <c r="K560"/>
  <c r="J560"/>
  <c r="I560"/>
  <c r="H560"/>
  <c r="G560"/>
  <c r="F560"/>
  <c r="E560"/>
  <c r="D560"/>
  <c r="L551"/>
  <c r="K551"/>
  <c r="J551"/>
  <c r="I551"/>
  <c r="H551"/>
  <c r="G551"/>
  <c r="F551"/>
  <c r="E551"/>
  <c r="D551"/>
  <c r="C543"/>
  <c r="L541"/>
  <c r="K541"/>
  <c r="J541"/>
  <c r="I541"/>
  <c r="H541"/>
  <c r="G541"/>
  <c r="F541"/>
  <c r="E541"/>
  <c r="D541"/>
  <c r="L532"/>
  <c r="K532"/>
  <c r="J532"/>
  <c r="I532"/>
  <c r="H532"/>
  <c r="G532"/>
  <c r="F532"/>
  <c r="E532"/>
  <c r="D532"/>
  <c r="L523"/>
  <c r="K523"/>
  <c r="J523"/>
  <c r="I523"/>
  <c r="H523"/>
  <c r="G523"/>
  <c r="F523"/>
  <c r="E523"/>
  <c r="D523"/>
  <c r="L514"/>
  <c r="K514"/>
  <c r="J514"/>
  <c r="I514"/>
  <c r="H514"/>
  <c r="G514"/>
  <c r="F514"/>
  <c r="E514"/>
  <c r="D514"/>
  <c r="C506"/>
  <c r="L505"/>
  <c r="K505"/>
  <c r="J505"/>
  <c r="I505"/>
  <c r="H505"/>
  <c r="G505"/>
  <c r="F505"/>
  <c r="E505"/>
  <c r="D505"/>
  <c r="L496"/>
  <c r="K496"/>
  <c r="J496"/>
  <c r="I496"/>
  <c r="H496"/>
  <c r="G496"/>
  <c r="F496"/>
  <c r="E496"/>
  <c r="D496"/>
  <c r="L487"/>
  <c r="K487"/>
  <c r="J487"/>
  <c r="I487"/>
  <c r="H487"/>
  <c r="G487"/>
  <c r="F487"/>
  <c r="E487"/>
  <c r="D487"/>
  <c r="L478"/>
  <c r="K478"/>
  <c r="J478"/>
  <c r="I478"/>
  <c r="H478"/>
  <c r="G478"/>
  <c r="F478"/>
  <c r="E478"/>
  <c r="D478"/>
  <c r="L469"/>
  <c r="K469"/>
  <c r="J469"/>
  <c r="I469"/>
  <c r="H469"/>
  <c r="G469"/>
  <c r="F469"/>
  <c r="E469"/>
  <c r="D469"/>
  <c r="L460"/>
  <c r="K460"/>
  <c r="J460"/>
  <c r="I460"/>
  <c r="H460"/>
  <c r="G460"/>
  <c r="F460"/>
  <c r="E460"/>
  <c r="D460"/>
  <c r="L451"/>
  <c r="K451"/>
  <c r="J451"/>
  <c r="I451"/>
  <c r="H451"/>
  <c r="G451"/>
  <c r="F451"/>
  <c r="E451"/>
  <c r="D451"/>
  <c r="L442"/>
  <c r="K442"/>
  <c r="J442"/>
  <c r="I442"/>
  <c r="H442"/>
  <c r="G442"/>
  <c r="F442"/>
  <c r="E442"/>
  <c r="D442"/>
  <c r="L433"/>
  <c r="K433"/>
  <c r="J433"/>
  <c r="I433"/>
  <c r="H433"/>
  <c r="G433"/>
  <c r="F433"/>
  <c r="E433"/>
  <c r="D433"/>
  <c r="L424"/>
  <c r="K424"/>
  <c r="J424"/>
  <c r="I424"/>
  <c r="H424"/>
  <c r="G424"/>
  <c r="F424"/>
  <c r="E424"/>
  <c r="D424"/>
  <c r="L415"/>
  <c r="K415"/>
  <c r="J415"/>
  <c r="I415"/>
  <c r="H415"/>
  <c r="G415"/>
  <c r="F415"/>
  <c r="E415"/>
  <c r="D415"/>
  <c r="L406"/>
  <c r="K406"/>
  <c r="J406"/>
  <c r="I406"/>
  <c r="H406"/>
  <c r="G406"/>
  <c r="F406"/>
  <c r="E406"/>
  <c r="D406"/>
  <c r="L397"/>
  <c r="K397"/>
  <c r="J397"/>
  <c r="I397"/>
  <c r="H397"/>
  <c r="G397"/>
  <c r="F397"/>
  <c r="E397"/>
  <c r="D397"/>
  <c r="L388"/>
  <c r="K388"/>
  <c r="J388"/>
  <c r="I388"/>
  <c r="H388"/>
  <c r="G388"/>
  <c r="F388"/>
  <c r="E388"/>
  <c r="D388"/>
  <c r="L379"/>
  <c r="K379"/>
  <c r="J379"/>
  <c r="I379"/>
  <c r="H379"/>
  <c r="G379"/>
  <c r="F379"/>
  <c r="E379"/>
  <c r="D379"/>
  <c r="C371"/>
  <c r="L370"/>
  <c r="K370"/>
  <c r="J370"/>
  <c r="I370"/>
  <c r="H370"/>
  <c r="G370"/>
  <c r="F370"/>
  <c r="E370"/>
  <c r="D370"/>
  <c r="L361"/>
  <c r="K361"/>
  <c r="J361"/>
  <c r="I361"/>
  <c r="H361"/>
  <c r="G361"/>
  <c r="F361"/>
  <c r="E361"/>
  <c r="D361"/>
  <c r="L352"/>
  <c r="K352"/>
  <c r="J352"/>
  <c r="I352"/>
  <c r="H352"/>
  <c r="G352"/>
  <c r="F352"/>
  <c r="E352"/>
  <c r="D352"/>
  <c r="L343"/>
  <c r="K343"/>
  <c r="J343"/>
  <c r="I343"/>
  <c r="H343"/>
  <c r="G343"/>
  <c r="F343"/>
  <c r="E343"/>
  <c r="D343"/>
  <c r="L334"/>
  <c r="K334"/>
  <c r="J334"/>
  <c r="I334"/>
  <c r="H334"/>
  <c r="G334"/>
  <c r="F334"/>
  <c r="E334"/>
  <c r="D334"/>
  <c r="L325"/>
  <c r="K325"/>
  <c r="J325"/>
  <c r="I325"/>
  <c r="H325"/>
  <c r="G325"/>
  <c r="F325"/>
  <c r="E325"/>
  <c r="D325"/>
  <c r="L316"/>
  <c r="K316"/>
  <c r="J316"/>
  <c r="I316"/>
  <c r="H316"/>
  <c r="G316"/>
  <c r="F316"/>
  <c r="E316"/>
  <c r="D316"/>
  <c r="L307"/>
  <c r="K307"/>
  <c r="J307"/>
  <c r="I307"/>
  <c r="H307"/>
  <c r="G307"/>
  <c r="F307"/>
  <c r="E307"/>
  <c r="D307"/>
  <c r="L298"/>
  <c r="K298"/>
  <c r="J298"/>
  <c r="I298"/>
  <c r="H298"/>
  <c r="G298"/>
  <c r="F298"/>
  <c r="E298"/>
  <c r="D298"/>
  <c r="L289"/>
  <c r="K289"/>
  <c r="J289"/>
  <c r="I289"/>
  <c r="H289"/>
  <c r="G289"/>
  <c r="F289"/>
  <c r="E289"/>
  <c r="D289"/>
  <c r="C281"/>
  <c r="L280"/>
  <c r="K280"/>
  <c r="J280"/>
  <c r="I280"/>
  <c r="H280"/>
  <c r="G280"/>
  <c r="F280"/>
  <c r="E280"/>
  <c r="D280"/>
  <c r="L271"/>
  <c r="K271"/>
  <c r="J271"/>
  <c r="I271"/>
  <c r="H271"/>
  <c r="G271"/>
  <c r="F271"/>
  <c r="E271"/>
  <c r="D271"/>
  <c r="C263"/>
  <c r="L262"/>
  <c r="K262"/>
  <c r="J262"/>
  <c r="I262"/>
  <c r="H262"/>
  <c r="G262"/>
  <c r="F262"/>
  <c r="E262"/>
  <c r="D262"/>
  <c r="L253"/>
  <c r="K253"/>
  <c r="J253"/>
  <c r="I253"/>
  <c r="H253"/>
  <c r="G253"/>
  <c r="F253"/>
  <c r="E253"/>
  <c r="D253"/>
  <c r="L244"/>
  <c r="K244"/>
  <c r="J244"/>
  <c r="I244"/>
  <c r="H244"/>
  <c r="G244"/>
  <c r="F244"/>
  <c r="E244"/>
  <c r="D244"/>
  <c r="A237"/>
  <c r="A246" s="1"/>
  <c r="L235"/>
  <c r="L598" s="1"/>
  <c r="K235"/>
  <c r="K598" s="1"/>
  <c r="J235"/>
  <c r="J598" s="1"/>
  <c r="I235"/>
  <c r="I598" s="1"/>
  <c r="H235"/>
  <c r="H598" s="1"/>
  <c r="G235"/>
  <c r="G598" s="1"/>
  <c r="F235"/>
  <c r="F598" s="1"/>
  <c r="E235"/>
  <c r="E598" s="1"/>
  <c r="D235"/>
  <c r="D598" s="1"/>
  <c r="B228"/>
  <c r="B230" i="130" s="1"/>
  <c r="C227" i="7"/>
  <c r="L221"/>
  <c r="K221"/>
  <c r="J221"/>
  <c r="I221"/>
  <c r="H221"/>
  <c r="G221"/>
  <c r="F221"/>
  <c r="E221"/>
  <c r="D221"/>
  <c r="L212"/>
  <c r="K212"/>
  <c r="J212"/>
  <c r="I212"/>
  <c r="H212"/>
  <c r="G212"/>
  <c r="F212"/>
  <c r="E212"/>
  <c r="D212"/>
  <c r="L203"/>
  <c r="K203"/>
  <c r="J203"/>
  <c r="I203"/>
  <c r="H203"/>
  <c r="G203"/>
  <c r="F203"/>
  <c r="E203"/>
  <c r="D203"/>
  <c r="L194"/>
  <c r="K194"/>
  <c r="J194"/>
  <c r="I194"/>
  <c r="H194"/>
  <c r="G194"/>
  <c r="F194"/>
  <c r="E194"/>
  <c r="D194"/>
  <c r="L185"/>
  <c r="K185"/>
  <c r="J185"/>
  <c r="I185"/>
  <c r="H185"/>
  <c r="G185"/>
  <c r="F185"/>
  <c r="E185"/>
  <c r="D185"/>
  <c r="L176"/>
  <c r="K176"/>
  <c r="J176"/>
  <c r="I176"/>
  <c r="H176"/>
  <c r="G176"/>
  <c r="F176"/>
  <c r="E176"/>
  <c r="D176"/>
  <c r="L167"/>
  <c r="K167"/>
  <c r="J167"/>
  <c r="I167"/>
  <c r="H167"/>
  <c r="G167"/>
  <c r="F167"/>
  <c r="E167"/>
  <c r="D167"/>
  <c r="L158"/>
  <c r="K158"/>
  <c r="J158"/>
  <c r="I158"/>
  <c r="H158"/>
  <c r="G158"/>
  <c r="F158"/>
  <c r="E158"/>
  <c r="D158"/>
  <c r="L149"/>
  <c r="K149"/>
  <c r="J149"/>
  <c r="I149"/>
  <c r="H149"/>
  <c r="G149"/>
  <c r="F149"/>
  <c r="E149"/>
  <c r="D149"/>
  <c r="L140"/>
  <c r="K140"/>
  <c r="J140"/>
  <c r="I140"/>
  <c r="H140"/>
  <c r="G140"/>
  <c r="F140"/>
  <c r="E140"/>
  <c r="D140"/>
  <c r="L131"/>
  <c r="K131"/>
  <c r="J131"/>
  <c r="I131"/>
  <c r="H131"/>
  <c r="G131"/>
  <c r="F131"/>
  <c r="E131"/>
  <c r="D131"/>
  <c r="L122"/>
  <c r="K122"/>
  <c r="J122"/>
  <c r="I122"/>
  <c r="H122"/>
  <c r="G122"/>
  <c r="F122"/>
  <c r="E122"/>
  <c r="D122"/>
  <c r="L113"/>
  <c r="K113"/>
  <c r="J113"/>
  <c r="I113"/>
  <c r="H113"/>
  <c r="G113"/>
  <c r="F113"/>
  <c r="E113"/>
  <c r="D113"/>
  <c r="L104"/>
  <c r="L223" s="1"/>
  <c r="K104"/>
  <c r="K223" s="1"/>
  <c r="J104"/>
  <c r="J223" s="1"/>
  <c r="I104"/>
  <c r="I223" s="1"/>
  <c r="H104"/>
  <c r="H223" s="1"/>
  <c r="G104"/>
  <c r="G223" s="1"/>
  <c r="F104"/>
  <c r="F223" s="1"/>
  <c r="E104"/>
  <c r="E223" s="1"/>
  <c r="D104"/>
  <c r="D223" s="1"/>
  <c r="L95"/>
  <c r="K95"/>
  <c r="J95"/>
  <c r="I95"/>
  <c r="H95"/>
  <c r="G95"/>
  <c r="F95"/>
  <c r="E95"/>
  <c r="D95"/>
  <c r="L86"/>
  <c r="K86"/>
  <c r="J86"/>
  <c r="I86"/>
  <c r="H86"/>
  <c r="G86"/>
  <c r="F86"/>
  <c r="E86"/>
  <c r="D86"/>
  <c r="L77"/>
  <c r="K77"/>
  <c r="J77"/>
  <c r="I77"/>
  <c r="H77"/>
  <c r="G77"/>
  <c r="F77"/>
  <c r="E77"/>
  <c r="D77"/>
  <c r="L68"/>
  <c r="K68"/>
  <c r="J68"/>
  <c r="I68"/>
  <c r="H68"/>
  <c r="G68"/>
  <c r="F68"/>
  <c r="E68"/>
  <c r="D68"/>
  <c r="L59"/>
  <c r="K59"/>
  <c r="J59"/>
  <c r="I59"/>
  <c r="H59"/>
  <c r="G59"/>
  <c r="F59"/>
  <c r="E59"/>
  <c r="D59"/>
  <c r="L50"/>
  <c r="K50"/>
  <c r="J50"/>
  <c r="I50"/>
  <c r="H50"/>
  <c r="G50"/>
  <c r="F50"/>
  <c r="E50"/>
  <c r="D50"/>
  <c r="L41"/>
  <c r="K41"/>
  <c r="J41"/>
  <c r="I41"/>
  <c r="H41"/>
  <c r="G41"/>
  <c r="F41"/>
  <c r="E41"/>
  <c r="D41"/>
  <c r="L32"/>
  <c r="K32"/>
  <c r="J32"/>
  <c r="I32"/>
  <c r="H32"/>
  <c r="G32"/>
  <c r="F32"/>
  <c r="E32"/>
  <c r="D32"/>
  <c r="L23"/>
  <c r="K23"/>
  <c r="J23"/>
  <c r="I23"/>
  <c r="H23"/>
  <c r="G23"/>
  <c r="F23"/>
  <c r="E23"/>
  <c r="D23"/>
  <c r="A16"/>
  <c r="A25" s="1"/>
  <c r="L14"/>
  <c r="L224" s="1"/>
  <c r="K14"/>
  <c r="J14"/>
  <c r="I14"/>
  <c r="I224" s="1"/>
  <c r="H14"/>
  <c r="G14"/>
  <c r="F14"/>
  <c r="F224" s="1"/>
  <c r="E14"/>
  <c r="D14"/>
  <c r="B7"/>
  <c r="B7" i="135" s="1"/>
  <c r="K5" i="7"/>
  <c r="H5"/>
  <c r="E5"/>
  <c r="E5" a="1"/>
  <c r="L5" s="1"/>
  <c r="L4"/>
  <c r="K4"/>
  <c r="J4"/>
  <c r="I4"/>
  <c r="H4"/>
  <c r="G4"/>
  <c r="F4"/>
  <c r="E4"/>
  <c r="D25" i="57" l="1"/>
  <c r="D155" i="46"/>
  <c r="C25" i="57"/>
  <c r="N77" i="67"/>
  <c r="D25" i="101"/>
  <c r="D25" i="69"/>
  <c r="D155" i="87"/>
  <c r="D25" i="91"/>
  <c r="D155" i="95"/>
  <c r="D25" i="72"/>
  <c r="C155" i="67"/>
  <c r="C155" i="73"/>
  <c r="C155" i="74"/>
  <c r="D155" i="108"/>
  <c r="C155" i="32"/>
  <c r="C25" i="72"/>
  <c r="C25" i="39"/>
  <c r="D25" i="70"/>
  <c r="C25" i="71"/>
  <c r="D25" i="73"/>
  <c r="C25" i="75"/>
  <c r="D25" i="99"/>
  <c r="D25" i="68"/>
  <c r="C155"/>
  <c r="C25" i="69"/>
  <c r="D155" i="70"/>
  <c r="D25" i="71"/>
  <c r="C155"/>
  <c r="D25" i="75"/>
  <c r="C155"/>
  <c r="C25" i="82"/>
  <c r="D25" i="85"/>
  <c r="D25" i="86"/>
  <c r="C155"/>
  <c r="C25" i="87"/>
  <c r="D155" i="88"/>
  <c r="D25" i="79"/>
  <c r="C155"/>
  <c r="C19" i="80"/>
  <c r="D25" i="90"/>
  <c r="C155"/>
  <c r="C155" i="92"/>
  <c r="C155" i="99"/>
  <c r="C25" i="100"/>
  <c r="C25" i="101"/>
  <c r="C25" i="109"/>
  <c r="D25" i="41"/>
  <c r="C155"/>
  <c r="C155" i="45"/>
  <c r="D25" i="67"/>
  <c r="C155" i="78"/>
  <c r="C25" i="86"/>
  <c r="D25" i="88"/>
  <c r="C25" i="79"/>
  <c r="C25" i="89"/>
  <c r="C25" i="90"/>
  <c r="D25" i="32"/>
  <c r="C25" i="38"/>
  <c r="C19" i="67"/>
  <c r="C25" s="1"/>
  <c r="D155" i="68"/>
  <c r="C155" i="69"/>
  <c r="C19" i="70"/>
  <c r="C25" s="1"/>
  <c r="C155" i="72"/>
  <c r="C19" i="73"/>
  <c r="D155" i="75"/>
  <c r="C155" i="76"/>
  <c r="C25" i="77"/>
  <c r="C155" i="83"/>
  <c r="D19" i="87"/>
  <c r="D25" s="1"/>
  <c r="C155"/>
  <c r="C19" i="88"/>
  <c r="C25" s="1"/>
  <c r="D155" i="90"/>
  <c r="C155" i="91"/>
  <c r="C155" i="98"/>
  <c r="C25" i="99"/>
  <c r="C155" i="101"/>
  <c r="C155" i="109"/>
  <c r="C19" i="32"/>
  <c r="C155" i="39"/>
  <c r="C25" i="40"/>
  <c r="D155" i="52"/>
  <c r="D25" i="53"/>
  <c r="C155" i="57"/>
  <c r="C25" i="58"/>
  <c r="C155"/>
  <c r="C25" i="60"/>
  <c r="E155" i="128"/>
  <c r="H155"/>
  <c r="E25" i="109"/>
  <c r="G155"/>
  <c r="H25"/>
  <c r="C155" i="38"/>
  <c r="D155" i="47"/>
  <c r="C155" i="55"/>
  <c r="C20" i="63"/>
  <c r="C155" i="43"/>
  <c r="C21" i="63"/>
  <c r="C24"/>
  <c r="D155" i="41"/>
  <c r="C155" i="54"/>
  <c r="C155" i="60"/>
  <c r="D25" i="82"/>
  <c r="D155" i="67"/>
  <c r="D155" i="73"/>
  <c r="D25" i="78"/>
  <c r="D25" i="81"/>
  <c r="C155"/>
  <c r="D155" i="83"/>
  <c r="D155" i="97"/>
  <c r="D155" i="99"/>
  <c r="D25" i="100"/>
  <c r="D25" i="129"/>
  <c r="C155"/>
  <c r="C25" i="68"/>
  <c r="C25" i="81"/>
  <c r="D25" i="83"/>
  <c r="C25" i="129"/>
  <c r="C25" i="73"/>
  <c r="C155" i="82"/>
  <c r="C19" i="83"/>
  <c r="C25" s="1"/>
  <c r="D155" i="101"/>
  <c r="G19" i="109"/>
  <c r="G25" s="1"/>
  <c r="F155"/>
  <c r="I155"/>
  <c r="F25"/>
  <c r="I25"/>
  <c r="E155"/>
  <c r="H155"/>
  <c r="C86" i="78" a="1"/>
  <c r="C86" s="1"/>
  <c r="C98" s="1"/>
  <c r="C86" i="80" a="1"/>
  <c r="C86" s="1"/>
  <c r="C98" s="1"/>
  <c r="C86" i="92" a="1"/>
  <c r="C86" s="1"/>
  <c r="C98" s="1"/>
  <c r="C86" i="93" a="1"/>
  <c r="C86" s="1"/>
  <c r="C98" s="1"/>
  <c r="C86" i="46" a="1"/>
  <c r="C86" s="1"/>
  <c r="C98" s="1"/>
  <c r="C86" i="53" a="1"/>
  <c r="C86" s="1"/>
  <c r="C98" s="1"/>
  <c r="C86" i="74" a="1"/>
  <c r="C86" s="1"/>
  <c r="C98" s="1"/>
  <c r="C86" i="81" a="1"/>
  <c r="C86" s="1"/>
  <c r="C98" s="1"/>
  <c r="C86" i="94" a="1"/>
  <c r="C86" s="1"/>
  <c r="C98" s="1"/>
  <c r="C86" i="101" a="1"/>
  <c r="C86" s="1"/>
  <c r="C98" s="1"/>
  <c r="C86" i="49" a="1"/>
  <c r="C86" s="1"/>
  <c r="C98" s="1"/>
  <c r="C86" i="56" a="1"/>
  <c r="C86" s="1"/>
  <c r="C98" s="1"/>
  <c r="C86" i="96" a="1"/>
  <c r="C86" s="1"/>
  <c r="C98" s="1"/>
  <c r="C86" i="97" a="1"/>
  <c r="C86" s="1"/>
  <c r="C98" s="1"/>
  <c r="C86" i="99" a="1"/>
  <c r="C86" s="1"/>
  <c r="C98" s="1"/>
  <c r="C86" i="40" a="1"/>
  <c r="C86" s="1"/>
  <c r="C98" s="1"/>
  <c r="C86" i="50" a="1"/>
  <c r="C86" s="1"/>
  <c r="C98" s="1"/>
  <c r="N82" i="74"/>
  <c r="N82" i="78"/>
  <c r="N82" i="81"/>
  <c r="N82" i="80"/>
  <c r="N82" i="93"/>
  <c r="N82" i="96"/>
  <c r="N82" i="97"/>
  <c r="N82" i="101"/>
  <c r="C103" i="44"/>
  <c r="N82"/>
  <c r="N82" i="46"/>
  <c r="N82" i="50"/>
  <c r="N81" i="53"/>
  <c r="N82" i="56"/>
  <c r="N81" i="92"/>
  <c r="N81" i="94"/>
  <c r="N81" i="99"/>
  <c r="N81" i="40"/>
  <c r="N81" i="49"/>
  <c r="N82" i="53"/>
  <c r="N81" i="74"/>
  <c r="N81" i="78"/>
  <c r="N81" i="81"/>
  <c r="N81" i="80"/>
  <c r="N82" i="92"/>
  <c r="N81" i="93"/>
  <c r="N82" i="94"/>
  <c r="N81" i="96"/>
  <c r="N81" i="97"/>
  <c r="N82" i="99"/>
  <c r="N81" i="101"/>
  <c r="N82" i="40"/>
  <c r="C102" i="44"/>
  <c r="N81"/>
  <c r="N81" i="46"/>
  <c r="N82" i="49"/>
  <c r="N81" i="50"/>
  <c r="N81" i="56"/>
  <c r="N79" i="74"/>
  <c r="N79" i="78"/>
  <c r="N79" i="81"/>
  <c r="N79" i="80"/>
  <c r="N80" i="92"/>
  <c r="N79" i="93"/>
  <c r="N80" i="94"/>
  <c r="N79" i="96"/>
  <c r="N79" i="97"/>
  <c r="N80" i="99"/>
  <c r="N79" i="101"/>
  <c r="N80" i="40"/>
  <c r="C100" i="44"/>
  <c r="N79"/>
  <c r="N79" i="46"/>
  <c r="N80" i="49"/>
  <c r="N79" i="50"/>
  <c r="N79" i="56"/>
  <c r="N80" i="74"/>
  <c r="N80" i="78"/>
  <c r="N80" i="81"/>
  <c r="N80" i="80"/>
  <c r="N80" i="93"/>
  <c r="N80" i="96"/>
  <c r="N80" i="97"/>
  <c r="N80" i="101"/>
  <c r="C101" i="44"/>
  <c r="N80"/>
  <c r="N80" i="46"/>
  <c r="N80" i="50"/>
  <c r="N79" i="53"/>
  <c r="N80" i="56"/>
  <c r="N79" i="92"/>
  <c r="N79" i="94"/>
  <c r="N79" i="99"/>
  <c r="N79" i="40"/>
  <c r="N79" i="49"/>
  <c r="N80" i="53"/>
  <c r="N78" i="94"/>
  <c r="N78" i="99"/>
  <c r="N78" i="40"/>
  <c r="N78" i="53"/>
  <c r="N78" i="92"/>
  <c r="N78" i="49"/>
  <c r="N78" i="74"/>
  <c r="N78" i="78"/>
  <c r="N78" i="81"/>
  <c r="N78" i="80"/>
  <c r="N78" i="93"/>
  <c r="N78" i="96"/>
  <c r="N78" i="97"/>
  <c r="N78" i="101"/>
  <c r="C99" i="44"/>
  <c r="N78"/>
  <c r="N78" i="46"/>
  <c r="N78" i="50"/>
  <c r="N78" i="56"/>
  <c r="N77" i="92"/>
  <c r="N77" i="94"/>
  <c r="N77" i="99"/>
  <c r="N77" i="40"/>
  <c r="N77" i="49"/>
  <c r="N77" i="74"/>
  <c r="N77" i="78"/>
  <c r="N77" i="81"/>
  <c r="N77" i="80"/>
  <c r="N77" i="93"/>
  <c r="N77" i="96"/>
  <c r="N77" i="97"/>
  <c r="N77" i="101"/>
  <c r="C98" i="44"/>
  <c r="N77"/>
  <c r="N77" i="46"/>
  <c r="N77" i="50"/>
  <c r="N77" i="56"/>
  <c r="N77" i="53"/>
  <c r="D30" i="128"/>
  <c r="G30"/>
  <c r="D33"/>
  <c r="G33"/>
  <c r="D33" i="129"/>
  <c r="D30" i="101"/>
  <c r="D31" i="128"/>
  <c r="E32"/>
  <c r="H32"/>
  <c r="D34"/>
  <c r="E35"/>
  <c r="H35"/>
  <c r="D31" i="129"/>
  <c r="D34"/>
  <c r="F31" i="128"/>
  <c r="I31"/>
  <c r="D32"/>
  <c r="G32"/>
  <c r="F34"/>
  <c r="I34"/>
  <c r="D35"/>
  <c r="G35"/>
  <c r="D32" i="129"/>
  <c r="C32" i="67"/>
  <c r="C35"/>
  <c r="C33" i="68"/>
  <c r="C31" i="69"/>
  <c r="C34"/>
  <c r="C32" i="70"/>
  <c r="C35"/>
  <c r="C33" i="71"/>
  <c r="C31" i="72"/>
  <c r="C34"/>
  <c r="C32" i="73"/>
  <c r="C35"/>
  <c r="C33" i="74"/>
  <c r="C33" i="75"/>
  <c r="C31" i="76"/>
  <c r="C34"/>
  <c r="C32" i="77"/>
  <c r="C35"/>
  <c r="C33" i="78"/>
  <c r="C33" i="81"/>
  <c r="C31" i="82"/>
  <c r="C34"/>
  <c r="C32" i="83"/>
  <c r="C35"/>
  <c r="C33" i="84"/>
  <c r="C32" i="86"/>
  <c r="C35"/>
  <c r="C31" i="88"/>
  <c r="C34"/>
  <c r="C32" i="79"/>
  <c r="C35"/>
  <c r="C32" i="89"/>
  <c r="C35"/>
  <c r="C32" i="90"/>
  <c r="C35"/>
  <c r="C31" i="92"/>
  <c r="C34"/>
  <c r="C33" i="93"/>
  <c r="C33" i="96"/>
  <c r="C32" i="98"/>
  <c r="C35"/>
  <c r="C31" i="99"/>
  <c r="C34"/>
  <c r="C33" i="100"/>
  <c r="C33" i="101"/>
  <c r="C33" i="109"/>
  <c r="C32" i="127"/>
  <c r="C35"/>
  <c r="C32" i="128"/>
  <c r="C35"/>
  <c r="C32" i="129"/>
  <c r="C35"/>
  <c r="C31" i="38"/>
  <c r="C34"/>
  <c r="C33" i="39"/>
  <c r="C31" i="40"/>
  <c r="C34"/>
  <c r="C32" i="41"/>
  <c r="C35"/>
  <c r="C35" i="43"/>
  <c r="C33" i="44"/>
  <c r="C33" i="49"/>
  <c r="C32" i="50"/>
  <c r="C35"/>
  <c r="C32" i="51"/>
  <c r="C35"/>
  <c r="C34" i="55"/>
  <c r="C34" i="58"/>
  <c r="C31" i="59"/>
  <c r="C34"/>
  <c r="C32" i="60"/>
  <c r="C35"/>
  <c r="C33" i="67"/>
  <c r="C31" i="68"/>
  <c r="C34"/>
  <c r="C32" i="69"/>
  <c r="C35"/>
  <c r="C33" i="70"/>
  <c r="C31" i="71"/>
  <c r="C34"/>
  <c r="C32" i="72"/>
  <c r="C35"/>
  <c r="C33" i="73"/>
  <c r="C31" i="74"/>
  <c r="C34"/>
  <c r="C31" i="75"/>
  <c r="C34"/>
  <c r="C32" i="76"/>
  <c r="C35"/>
  <c r="C31" i="78"/>
  <c r="C34"/>
  <c r="C31" i="81"/>
  <c r="C34"/>
  <c r="C32" i="82"/>
  <c r="C35"/>
  <c r="C31" i="84"/>
  <c r="C34"/>
  <c r="C31" i="85"/>
  <c r="C34"/>
  <c r="C33" i="86"/>
  <c r="C31" i="87"/>
  <c r="C34"/>
  <c r="C32" i="88"/>
  <c r="C35"/>
  <c r="C31" i="80"/>
  <c r="C34"/>
  <c r="C33" i="89"/>
  <c r="C31" i="91"/>
  <c r="C34"/>
  <c r="C35" i="92"/>
  <c r="C32" i="99"/>
  <c r="C35"/>
  <c r="C31" i="100"/>
  <c r="C34"/>
  <c r="C31" i="101"/>
  <c r="C34"/>
  <c r="C32" i="102"/>
  <c r="C35"/>
  <c r="C31" i="109"/>
  <c r="C34"/>
  <c r="C33" i="127"/>
  <c r="C33" i="129"/>
  <c r="C31" i="32"/>
  <c r="C34"/>
  <c r="C32" i="38"/>
  <c r="C35"/>
  <c r="C31" i="39"/>
  <c r="C34"/>
  <c r="C32" i="40"/>
  <c r="C35"/>
  <c r="C31" i="42"/>
  <c r="C34"/>
  <c r="C31" i="47"/>
  <c r="C34"/>
  <c r="C31" i="48"/>
  <c r="C33" i="50"/>
  <c r="C32" i="55"/>
  <c r="C35"/>
  <c r="C31" i="57"/>
  <c r="C34"/>
  <c r="C32" i="58"/>
  <c r="C35"/>
  <c r="C32" i="59"/>
  <c r="C35"/>
  <c r="C31" i="67"/>
  <c r="C34"/>
  <c r="C32" i="68"/>
  <c r="C35"/>
  <c r="C31" i="70"/>
  <c r="C34"/>
  <c r="C32" i="71"/>
  <c r="C35"/>
  <c r="C33" i="72"/>
  <c r="C31" i="73"/>
  <c r="C34"/>
  <c r="C32" i="74"/>
  <c r="C32" i="75"/>
  <c r="C35"/>
  <c r="C33" i="76"/>
  <c r="C34" i="77"/>
  <c r="C32" i="78"/>
  <c r="C35"/>
  <c r="C32" i="81"/>
  <c r="C35"/>
  <c r="C31" i="83"/>
  <c r="C34"/>
  <c r="C32" i="85"/>
  <c r="C35"/>
  <c r="C31" i="86"/>
  <c r="C34"/>
  <c r="C32" i="87"/>
  <c r="C35"/>
  <c r="C33" i="88"/>
  <c r="C31" i="79"/>
  <c r="C34"/>
  <c r="C32" i="80"/>
  <c r="C35"/>
  <c r="C31" i="89"/>
  <c r="C34"/>
  <c r="C31" i="90"/>
  <c r="C34"/>
  <c r="C32" i="91"/>
  <c r="C35"/>
  <c r="C33" i="92"/>
  <c r="C33" i="99"/>
  <c r="C32" i="100"/>
  <c r="C35"/>
  <c r="C32" i="101"/>
  <c r="C35"/>
  <c r="C33" i="102"/>
  <c r="C33" i="108"/>
  <c r="C32" i="109"/>
  <c r="C35"/>
  <c r="C31" i="127"/>
  <c r="C34"/>
  <c r="C31" i="128"/>
  <c r="C34"/>
  <c r="C31" i="129"/>
  <c r="C34"/>
  <c r="C32" i="32"/>
  <c r="C35"/>
  <c r="C32" i="39"/>
  <c r="C35"/>
  <c r="C33" i="40"/>
  <c r="C31" i="41"/>
  <c r="C34"/>
  <c r="C35" i="42"/>
  <c r="C31" i="43"/>
  <c r="C34"/>
  <c r="C31" i="45"/>
  <c r="C34"/>
  <c r="C31" i="46"/>
  <c r="C34"/>
  <c r="C33" i="53"/>
  <c r="C32" i="57"/>
  <c r="C35"/>
  <c r="C33" i="59"/>
  <c r="C31" i="60"/>
  <c r="C34"/>
  <c r="C30" i="67"/>
  <c r="C30" i="70"/>
  <c r="C30" i="86"/>
  <c r="C30" i="78"/>
  <c r="C30" i="81"/>
  <c r="C30" i="80"/>
  <c r="C30" i="91"/>
  <c r="C30" i="93"/>
  <c r="C30" i="96"/>
  <c r="C30" i="100"/>
  <c r="C30" i="32"/>
  <c r="C30" i="83"/>
  <c r="C30" i="92"/>
  <c r="C30" i="102"/>
  <c r="C30" i="38"/>
  <c r="C30" i="40"/>
  <c r="C147" i="86"/>
  <c r="F97" i="72"/>
  <c r="C147"/>
  <c r="B159" i="78"/>
  <c r="C147" i="93"/>
  <c r="H147" i="98"/>
  <c r="D97" i="55"/>
  <c r="D155" i="93"/>
  <c r="D25" i="38"/>
  <c r="D155"/>
  <c r="B147" i="74"/>
  <c r="C76" i="76"/>
  <c r="C159" i="46"/>
  <c r="D25" i="60"/>
  <c r="D155" i="42"/>
  <c r="D155" i="39"/>
  <c r="D25"/>
  <c r="D155" i="92"/>
  <c r="C22" i="63"/>
  <c r="C23"/>
  <c r="D380" i="114"/>
  <c r="C155" i="77"/>
  <c r="D155"/>
  <c r="D155" i="82"/>
  <c r="C19" i="84"/>
  <c r="C25" s="1"/>
  <c r="C25" i="80"/>
  <c r="D155"/>
  <c r="C25" i="92"/>
  <c r="D19" i="93"/>
  <c r="D25" s="1"/>
  <c r="C32" i="94"/>
  <c r="C35"/>
  <c r="C155"/>
  <c r="C31" i="95"/>
  <c r="C34"/>
  <c r="C25"/>
  <c r="C30" i="97"/>
  <c r="C33"/>
  <c r="D19"/>
  <c r="D25" s="1"/>
  <c r="D155" i="98"/>
  <c r="D155" i="100"/>
  <c r="D25" i="102"/>
  <c r="C155"/>
  <c r="C31" i="108"/>
  <c r="C34"/>
  <c r="C25"/>
  <c r="C25" i="127"/>
  <c r="C25" i="32"/>
  <c r="D155" i="40"/>
  <c r="D19" i="42"/>
  <c r="D25" s="1"/>
  <c r="C155"/>
  <c r="C19" i="43"/>
  <c r="C25" s="1"/>
  <c r="D19" i="44"/>
  <c r="C155"/>
  <c r="C19" i="45"/>
  <c r="C25" s="1"/>
  <c r="C32" i="46"/>
  <c r="C35"/>
  <c r="C155"/>
  <c r="C32" i="47"/>
  <c r="C35"/>
  <c r="C155"/>
  <c r="C34" i="48"/>
  <c r="C25"/>
  <c r="C31" i="49"/>
  <c r="C34"/>
  <c r="C25"/>
  <c r="D25" i="50"/>
  <c r="D19" i="52"/>
  <c r="D25" s="1"/>
  <c r="C155"/>
  <c r="C31" i="53"/>
  <c r="C34"/>
  <c r="C25"/>
  <c r="C31" i="54"/>
  <c r="C34"/>
  <c r="C19"/>
  <c r="C25" s="1"/>
  <c r="C32" i="56"/>
  <c r="C35"/>
  <c r="C155"/>
  <c r="D30" i="75"/>
  <c r="D30" i="99"/>
  <c r="D155" i="69"/>
  <c r="D25" i="76"/>
  <c r="D155" i="81"/>
  <c r="D25" i="84"/>
  <c r="D21" i="104"/>
  <c r="C155" i="89"/>
  <c r="C25" i="91"/>
  <c r="C32" i="92"/>
  <c r="C31" i="93"/>
  <c r="C34"/>
  <c r="C25"/>
  <c r="D25" i="94"/>
  <c r="C32" i="95"/>
  <c r="C35"/>
  <c r="C31" i="97"/>
  <c r="C34"/>
  <c r="C25"/>
  <c r="C31" i="102"/>
  <c r="C34"/>
  <c r="C25"/>
  <c r="C32" i="108"/>
  <c r="C35"/>
  <c r="C22" i="104"/>
  <c r="C23"/>
  <c r="C24"/>
  <c r="D155" i="32"/>
  <c r="C25" i="42"/>
  <c r="C32" i="43"/>
  <c r="C31" i="44"/>
  <c r="C34"/>
  <c r="C25"/>
  <c r="C32" i="45"/>
  <c r="C35"/>
  <c r="D155"/>
  <c r="C30" i="46"/>
  <c r="D19"/>
  <c r="C30" i="47"/>
  <c r="C33"/>
  <c r="D19"/>
  <c r="D25" s="1"/>
  <c r="C32" i="48"/>
  <c r="C35"/>
  <c r="C155" i="49"/>
  <c r="C31" i="50"/>
  <c r="C34"/>
  <c r="C25"/>
  <c r="C155"/>
  <c r="C34" i="51"/>
  <c r="C25"/>
  <c r="C155"/>
  <c r="D155"/>
  <c r="C31" i="52"/>
  <c r="C34"/>
  <c r="C32" i="53"/>
  <c r="C35"/>
  <c r="C32" i="54"/>
  <c r="C35"/>
  <c r="D155"/>
  <c r="D25" i="56"/>
  <c r="D155" i="57"/>
  <c r="D30" i="73"/>
  <c r="D224" i="113"/>
  <c r="D223"/>
  <c r="D155" i="71"/>
  <c r="D155" i="72"/>
  <c r="C19" i="74"/>
  <c r="C30" s="1"/>
  <c r="C25" i="76"/>
  <c r="D155"/>
  <c r="C30" i="84"/>
  <c r="D155" i="86"/>
  <c r="D155" i="79"/>
  <c r="D25" i="80"/>
  <c r="D155" i="91"/>
  <c r="D19" i="92"/>
  <c r="D25" s="1"/>
  <c r="C32" i="93"/>
  <c r="C35"/>
  <c r="C155"/>
  <c r="C31" i="94"/>
  <c r="C34"/>
  <c r="C19"/>
  <c r="C25" s="1"/>
  <c r="D155"/>
  <c r="D19" i="95"/>
  <c r="D25" s="1"/>
  <c r="C155"/>
  <c r="C31" i="96"/>
  <c r="C34"/>
  <c r="C25"/>
  <c r="C155"/>
  <c r="C32" i="97"/>
  <c r="C35"/>
  <c r="C155"/>
  <c r="C31" i="98"/>
  <c r="C34"/>
  <c r="C19"/>
  <c r="C25" s="1"/>
  <c r="D155" i="102"/>
  <c r="D19" i="108"/>
  <c r="D25" s="1"/>
  <c r="C155"/>
  <c r="C20" i="104"/>
  <c r="C21"/>
  <c r="D155" i="129"/>
  <c r="C32" i="42"/>
  <c r="D25" i="43"/>
  <c r="C32" i="44"/>
  <c r="C35"/>
  <c r="C33" i="45"/>
  <c r="D25"/>
  <c r="C25" i="46"/>
  <c r="C25" i="47"/>
  <c r="C32" i="52"/>
  <c r="C35"/>
  <c r="C33" i="54"/>
  <c r="D25"/>
  <c r="C31" i="55"/>
  <c r="C19"/>
  <c r="C31" i="56"/>
  <c r="C34"/>
  <c r="D155"/>
  <c r="D155" i="58"/>
  <c r="D155" i="60"/>
  <c r="D30" i="74"/>
  <c r="D22" i="104"/>
  <c r="D155" i="127"/>
  <c r="D25"/>
  <c r="D155" i="55"/>
  <c r="D19"/>
  <c r="D25" s="1"/>
  <c r="D155" i="50"/>
  <c r="D20" i="63"/>
  <c r="D23"/>
  <c r="D21"/>
  <c r="D22"/>
  <c r="D24"/>
  <c r="D25" i="48"/>
  <c r="D23" i="104"/>
  <c r="D24"/>
  <c r="D25" i="109"/>
  <c r="D20" i="104"/>
  <c r="D155" i="109"/>
  <c r="D30"/>
  <c r="D155" i="89"/>
  <c r="D19"/>
  <c r="C4"/>
  <c r="C147" i="90"/>
  <c r="B61" i="92"/>
  <c r="C76" i="56"/>
  <c r="D606" i="111"/>
  <c r="C147" i="58"/>
  <c r="F147" i="81"/>
  <c r="I154" i="55"/>
  <c r="I24" s="1"/>
  <c r="N111" i="93"/>
  <c r="Q111" i="101"/>
  <c r="F147"/>
  <c r="C97" i="42"/>
  <c r="B61" i="44"/>
  <c r="C979" i="111"/>
  <c r="C4" i="83"/>
  <c r="B202" i="85"/>
  <c r="D76" i="44"/>
  <c r="H9" i="55"/>
  <c r="F154" i="97"/>
  <c r="F24" s="1"/>
  <c r="G11" i="55"/>
  <c r="F13" i="83"/>
  <c r="F13" i="94"/>
  <c r="G152" i="55"/>
  <c r="G22" s="1"/>
  <c r="F154" i="53"/>
  <c r="F24" s="1"/>
  <c r="G10" i="85"/>
  <c r="H153" i="96"/>
  <c r="H23" s="1"/>
  <c r="F153" i="43"/>
  <c r="F23" s="1"/>
  <c r="F151" i="55"/>
  <c r="F21" s="1"/>
  <c r="H151" i="53"/>
  <c r="H21" s="1"/>
  <c r="N75" i="97"/>
  <c r="C147"/>
  <c r="C183" i="128"/>
  <c r="D76" i="40"/>
  <c r="F159"/>
  <c r="C76" i="42"/>
  <c r="F97"/>
  <c r="D159" i="51"/>
  <c r="D394" i="111"/>
  <c r="C508"/>
  <c r="F147" i="69"/>
  <c r="P111" i="74"/>
  <c r="C159" i="77"/>
  <c r="B4" i="85"/>
  <c r="F147"/>
  <c r="E202"/>
  <c r="G111" i="79"/>
  <c r="Q111" i="43"/>
  <c r="N75" i="44"/>
  <c r="G76"/>
  <c r="D76" i="55"/>
  <c r="F4" i="60"/>
  <c r="D393" i="111"/>
  <c r="D653"/>
  <c r="D781"/>
  <c r="N75" i="84"/>
  <c r="C159" i="92"/>
  <c r="B61" i="94"/>
  <c r="Q75" i="97"/>
  <c r="F147"/>
  <c r="F97" i="100"/>
  <c r="C4" i="108"/>
  <c r="D117" i="128"/>
  <c r="N111" i="50"/>
  <c r="C553" i="111"/>
  <c r="C40" i="112"/>
  <c r="D39" i="136"/>
  <c r="D114" i="128"/>
  <c r="H114"/>
  <c r="H147" i="59"/>
  <c r="I223" i="130"/>
  <c r="H18" i="131" s="1"/>
  <c r="J283" i="105"/>
  <c r="I293" i="130"/>
  <c r="F302"/>
  <c r="F329"/>
  <c r="I347"/>
  <c r="F356" i="105"/>
  <c r="C108" i="111"/>
  <c r="C141"/>
  <c r="C151"/>
  <c r="D904"/>
  <c r="C97" i="68"/>
  <c r="F4" i="69"/>
  <c r="D159" i="77"/>
  <c r="C76" i="82"/>
  <c r="C147" i="87"/>
  <c r="C76" i="79"/>
  <c r="C76" i="89"/>
  <c r="C147" i="94"/>
  <c r="G111" i="98"/>
  <c r="G133"/>
  <c r="E113" i="128"/>
  <c r="E114"/>
  <c r="C97" i="39"/>
  <c r="T75" i="44"/>
  <c r="F4" i="52"/>
  <c r="C61" i="53"/>
  <c r="N75" i="56"/>
  <c r="G111"/>
  <c r="F97" i="57"/>
  <c r="O75" i="58"/>
  <c r="C147" i="59"/>
  <c r="C106" i="111"/>
  <c r="C136"/>
  <c r="C513"/>
  <c r="D547"/>
  <c r="C598"/>
  <c r="C609"/>
  <c r="D782"/>
  <c r="C903"/>
  <c r="C990"/>
  <c r="D11" i="39"/>
  <c r="I151" i="40"/>
  <c r="I21" s="1"/>
  <c r="I151" i="47"/>
  <c r="I21" s="1"/>
  <c r="F151" i="60"/>
  <c r="F21" s="1"/>
  <c r="H9" i="76"/>
  <c r="F13" i="87"/>
  <c r="D12" i="80"/>
  <c r="F151" i="96"/>
  <c r="F21" s="1"/>
  <c r="H13" i="49"/>
  <c r="F154" i="40"/>
  <c r="F24" s="1"/>
  <c r="H153" i="47"/>
  <c r="H23" s="1"/>
  <c r="E153" i="55"/>
  <c r="E23" s="1"/>
  <c r="F150"/>
  <c r="F20" s="1"/>
  <c r="H150" i="53"/>
  <c r="H20" s="1"/>
  <c r="F13" i="76"/>
  <c r="I13" i="91"/>
  <c r="F13" i="92"/>
  <c r="F154" i="77"/>
  <c r="F24" s="1"/>
  <c r="H150" i="81"/>
  <c r="H20" s="1"/>
  <c r="G153" i="86"/>
  <c r="G23" s="1"/>
  <c r="E9" i="42"/>
  <c r="D8" i="47"/>
  <c r="I13" i="55"/>
  <c r="E12"/>
  <c r="F10"/>
  <c r="G8"/>
  <c r="D9" i="56"/>
  <c r="G152" i="40"/>
  <c r="G22" s="1"/>
  <c r="E150"/>
  <c r="E20" s="1"/>
  <c r="F154" i="48"/>
  <c r="F24" s="1"/>
  <c r="F154" i="50"/>
  <c r="F24" s="1"/>
  <c r="E150" i="57"/>
  <c r="E20" s="1"/>
  <c r="H152" i="60"/>
  <c r="H22" s="1"/>
  <c r="F13" i="32"/>
  <c r="I151" i="52"/>
  <c r="I21" s="1"/>
  <c r="F13" i="71"/>
  <c r="D13" i="83"/>
  <c r="H10" i="96"/>
  <c r="H10" i="99"/>
  <c r="D9" i="109"/>
  <c r="D11" i="127"/>
  <c r="I154" i="67"/>
  <c r="I24" s="1"/>
  <c r="H150" i="79"/>
  <c r="H20" s="1"/>
  <c r="F154" i="98"/>
  <c r="F24" s="1"/>
  <c r="D10" i="39"/>
  <c r="D8" i="40"/>
  <c r="F13" i="42"/>
  <c r="D13" i="47"/>
  <c r="D11" i="50"/>
  <c r="G11"/>
  <c r="H12" i="55"/>
  <c r="I10"/>
  <c r="D13" i="56"/>
  <c r="H153" i="40"/>
  <c r="H23" s="1"/>
  <c r="G151" i="43"/>
  <c r="G21" s="1"/>
  <c r="G151" i="55"/>
  <c r="G21" s="1"/>
  <c r="F154" i="57"/>
  <c r="F24" s="1"/>
  <c r="H153" i="60"/>
  <c r="H23" s="1"/>
  <c r="H150"/>
  <c r="H20" s="1"/>
  <c r="E12" i="58"/>
  <c r="F154" i="52"/>
  <c r="F24" s="1"/>
  <c r="E12" i="81"/>
  <c r="I10" i="89"/>
  <c r="H12" i="92"/>
  <c r="I10" i="98"/>
  <c r="F13" i="99"/>
  <c r="H9" i="101"/>
  <c r="I151" i="73"/>
  <c r="I21" s="1"/>
  <c r="G152" i="79"/>
  <c r="G22" s="1"/>
  <c r="F151" i="92"/>
  <c r="F21" s="1"/>
  <c r="G154" i="99"/>
  <c r="G24" s="1"/>
  <c r="H150" i="101"/>
  <c r="H20" s="1"/>
  <c r="G12" i="49"/>
  <c r="D13" i="54"/>
  <c r="E150" i="48"/>
  <c r="E20" s="1"/>
  <c r="H152" i="57"/>
  <c r="H22" s="1"/>
  <c r="G154" i="60"/>
  <c r="G24" s="1"/>
  <c r="I151"/>
  <c r="I21" s="1"/>
  <c r="E150"/>
  <c r="E20" s="1"/>
  <c r="G152" i="52"/>
  <c r="G22" s="1"/>
  <c r="E150"/>
  <c r="E20" s="1"/>
  <c r="F13" i="68"/>
  <c r="D9" i="70"/>
  <c r="I10" i="76"/>
  <c r="E8"/>
  <c r="F13" i="77"/>
  <c r="F13" i="78"/>
  <c r="F13" i="81"/>
  <c r="H9" i="87"/>
  <c r="D12" i="88"/>
  <c r="D13" i="80"/>
  <c r="D9"/>
  <c r="H9" i="94"/>
  <c r="H9" i="100"/>
  <c r="I10" i="101"/>
  <c r="F154" i="73"/>
  <c r="F24" s="1"/>
  <c r="F151" i="74"/>
  <c r="F21" s="1"/>
  <c r="H153" i="78"/>
  <c r="H23" s="1"/>
  <c r="H150" i="83"/>
  <c r="H20" s="1"/>
  <c r="H153" i="79"/>
  <c r="H23" s="1"/>
  <c r="F151"/>
  <c r="F21" s="1"/>
  <c r="H151" i="80"/>
  <c r="H21" s="1"/>
  <c r="E153" i="92"/>
  <c r="E23" s="1"/>
  <c r="D13" i="39"/>
  <c r="D8"/>
  <c r="D13" i="40"/>
  <c r="D11" i="42"/>
  <c r="I11"/>
  <c r="G10" i="44"/>
  <c r="D11" i="46"/>
  <c r="H11" i="48"/>
  <c r="F10" i="50"/>
  <c r="I154" i="40"/>
  <c r="I24" s="1"/>
  <c r="E153"/>
  <c r="E23" s="1"/>
  <c r="F151"/>
  <c r="F21" s="1"/>
  <c r="F154" i="47"/>
  <c r="F24" s="1"/>
  <c r="H150"/>
  <c r="H20" s="1"/>
  <c r="H152" i="49"/>
  <c r="H22" s="1"/>
  <c r="G152" i="54"/>
  <c r="G22" s="1"/>
  <c r="D11" i="52"/>
  <c r="F10" i="58"/>
  <c r="H153" i="52"/>
  <c r="H23" s="1"/>
  <c r="D13" i="69"/>
  <c r="D13" i="70"/>
  <c r="D12" i="74"/>
  <c r="H12" i="76"/>
  <c r="E9"/>
  <c r="D12" i="83"/>
  <c r="D13" i="85"/>
  <c r="E12"/>
  <c r="H8"/>
  <c r="G11" i="87"/>
  <c r="D13" i="88"/>
  <c r="F13"/>
  <c r="D12" i="89"/>
  <c r="D12" i="91"/>
  <c r="E12"/>
  <c r="H9" i="92"/>
  <c r="G11" i="94"/>
  <c r="E153" i="83"/>
  <c r="E23" s="1"/>
  <c r="E150" i="79"/>
  <c r="E20" s="1"/>
  <c r="H151" i="97"/>
  <c r="H21" s="1"/>
  <c r="H150" i="99"/>
  <c r="H20" s="1"/>
  <c r="F154" i="101"/>
  <c r="F24" s="1"/>
  <c r="D13" i="46"/>
  <c r="F151" i="70"/>
  <c r="F21" s="1"/>
  <c r="F154" i="72"/>
  <c r="F24" s="1"/>
  <c r="G152" i="92"/>
  <c r="G22" s="1"/>
  <c r="I151" i="93"/>
  <c r="I21" s="1"/>
  <c r="G149" i="96"/>
  <c r="G153" i="97"/>
  <c r="G23" s="1"/>
  <c r="G150"/>
  <c r="G20" s="1"/>
  <c r="H152" i="99"/>
  <c r="H22" s="1"/>
  <c r="G31" i="128"/>
  <c r="G34"/>
  <c r="G25"/>
  <c r="F155"/>
  <c r="I155"/>
  <c r="E33"/>
  <c r="H33"/>
  <c r="E31"/>
  <c r="H31"/>
  <c r="F32"/>
  <c r="I32"/>
  <c r="E34"/>
  <c r="H34"/>
  <c r="F35"/>
  <c r="I35"/>
  <c r="E19"/>
  <c r="E25" s="1"/>
  <c r="H19"/>
  <c r="H25" s="1"/>
  <c r="G155"/>
  <c r="E12" i="57"/>
  <c r="F10"/>
  <c r="H12" i="93"/>
  <c r="F13" i="97"/>
  <c r="F13" i="108"/>
  <c r="E153" i="82"/>
  <c r="E23" s="1"/>
  <c r="E13" i="38"/>
  <c r="E9" i="39"/>
  <c r="D11" i="40"/>
  <c r="F13"/>
  <c r="G10" i="41"/>
  <c r="H10" i="42"/>
  <c r="D13" i="43"/>
  <c r="H9"/>
  <c r="H11" i="44"/>
  <c r="G11" i="47"/>
  <c r="D11" i="49"/>
  <c r="D8" i="54"/>
  <c r="H12"/>
  <c r="H10"/>
  <c r="I8"/>
  <c r="E13" i="57"/>
  <c r="H10"/>
  <c r="I8"/>
  <c r="H9" i="60"/>
  <c r="H151" i="38"/>
  <c r="H21" s="1"/>
  <c r="H150" i="56"/>
  <c r="H20" s="1"/>
  <c r="F13" i="52"/>
  <c r="D13" i="58"/>
  <c r="G151" i="45"/>
  <c r="G21" s="1"/>
  <c r="D13" i="67"/>
  <c r="I10" i="69"/>
  <c r="D12" i="70"/>
  <c r="G11" i="71"/>
  <c r="H9" i="72"/>
  <c r="F13" i="74"/>
  <c r="F10" i="83"/>
  <c r="D12" i="84"/>
  <c r="G11"/>
  <c r="D10" i="79"/>
  <c r="I11"/>
  <c r="F13" i="89"/>
  <c r="D13" i="90"/>
  <c r="G11"/>
  <c r="H9" i="93"/>
  <c r="I10" i="95"/>
  <c r="F13" i="96"/>
  <c r="H9" i="97"/>
  <c r="G11" i="100"/>
  <c r="H9" i="108"/>
  <c r="D12" i="109"/>
  <c r="F154" i="70"/>
  <c r="F24" s="1"/>
  <c r="F154" i="71"/>
  <c r="F24" s="1"/>
  <c r="H151" i="75"/>
  <c r="H21" s="1"/>
  <c r="F151" i="76"/>
  <c r="F21" s="1"/>
  <c r="G152" i="81"/>
  <c r="G22" s="1"/>
  <c r="F154" i="82"/>
  <c r="F24" s="1"/>
  <c r="H150"/>
  <c r="H20" s="1"/>
  <c r="E154" i="83"/>
  <c r="E24" s="1"/>
  <c r="F151"/>
  <c r="F21" s="1"/>
  <c r="H151" i="84"/>
  <c r="H21" s="1"/>
  <c r="G152" i="87"/>
  <c r="G22" s="1"/>
  <c r="G152" i="80"/>
  <c r="G22" s="1"/>
  <c r="I149"/>
  <c r="I19" s="1"/>
  <c r="F151" i="90"/>
  <c r="F21" s="1"/>
  <c r="H151" i="91"/>
  <c r="H21" s="1"/>
  <c r="F154" i="92"/>
  <c r="F24" s="1"/>
  <c r="I151"/>
  <c r="I21" s="1"/>
  <c r="E150"/>
  <c r="E20" s="1"/>
  <c r="G154" i="93"/>
  <c r="G24" s="1"/>
  <c r="I150"/>
  <c r="I20" s="1"/>
  <c r="I152" i="94"/>
  <c r="I22" s="1"/>
  <c r="F153" i="99"/>
  <c r="F23" s="1"/>
  <c r="G151"/>
  <c r="G21" s="1"/>
  <c r="F154" i="108"/>
  <c r="F24" s="1"/>
  <c r="H150"/>
  <c r="H20" s="1"/>
  <c r="F13" i="39"/>
  <c r="I11" i="54"/>
  <c r="E10"/>
  <c r="H154" i="56"/>
  <c r="H24" s="1"/>
  <c r="F13" i="72"/>
  <c r="I11" i="39"/>
  <c r="F13" i="43"/>
  <c r="D8" i="46"/>
  <c r="D9" i="48"/>
  <c r="D8" i="50"/>
  <c r="F13"/>
  <c r="G8"/>
  <c r="D11" i="54"/>
  <c r="F13"/>
  <c r="G11"/>
  <c r="E9"/>
  <c r="D13" i="55"/>
  <c r="F13" i="57"/>
  <c r="G9"/>
  <c r="D13" i="60"/>
  <c r="G11"/>
  <c r="G153" i="38"/>
  <c r="G23" s="1"/>
  <c r="F154" i="39"/>
  <c r="F24" s="1"/>
  <c r="F154" i="43"/>
  <c r="F24" s="1"/>
  <c r="H150"/>
  <c r="H20" s="1"/>
  <c r="G152" i="47"/>
  <c r="G22" s="1"/>
  <c r="E150"/>
  <c r="E20" s="1"/>
  <c r="I152" i="48"/>
  <c r="I22" s="1"/>
  <c r="G153" i="55"/>
  <c r="G23" s="1"/>
  <c r="E152"/>
  <c r="E22" s="1"/>
  <c r="H150"/>
  <c r="H20" s="1"/>
  <c r="I152" i="56"/>
  <c r="I22" s="1"/>
  <c r="G10" i="32"/>
  <c r="F13" i="45"/>
  <c r="F13" i="58"/>
  <c r="E13" i="59"/>
  <c r="H9"/>
  <c r="E153" i="45"/>
  <c r="E23" s="1"/>
  <c r="I154" i="52"/>
  <c r="I24" s="1"/>
  <c r="E153"/>
  <c r="E23" s="1"/>
  <c r="F151"/>
  <c r="F21" s="1"/>
  <c r="I152" i="53"/>
  <c r="I22" s="1"/>
  <c r="F13" i="67"/>
  <c r="D9" i="68"/>
  <c r="G11"/>
  <c r="G11" i="72"/>
  <c r="D13" i="73"/>
  <c r="D12" i="75"/>
  <c r="G11"/>
  <c r="I10" i="77"/>
  <c r="F13" i="84"/>
  <c r="F13" i="86"/>
  <c r="H13" i="79"/>
  <c r="F13" i="90"/>
  <c r="F13" i="95"/>
  <c r="G11" i="97"/>
  <c r="G11" i="108"/>
  <c r="F154" i="76"/>
  <c r="F24" s="1"/>
  <c r="F151" i="82"/>
  <c r="F21" s="1"/>
  <c r="I154" i="83"/>
  <c r="I24" s="1"/>
  <c r="F152"/>
  <c r="F22" s="1"/>
  <c r="E150"/>
  <c r="E20" s="1"/>
  <c r="F154" i="88"/>
  <c r="F24" s="1"/>
  <c r="G153" i="80"/>
  <c r="G23" s="1"/>
  <c r="H150"/>
  <c r="H20" s="1"/>
  <c r="E153" i="91"/>
  <c r="E23" s="1"/>
  <c r="G152" i="97"/>
  <c r="G22" s="1"/>
  <c r="H150"/>
  <c r="H20" s="1"/>
  <c r="F151" i="98"/>
  <c r="F21" s="1"/>
  <c r="F154" i="99"/>
  <c r="F24" s="1"/>
  <c r="I151"/>
  <c r="I21" s="1"/>
  <c r="E150"/>
  <c r="E20" s="1"/>
  <c r="I152" i="100"/>
  <c r="I22" s="1"/>
  <c r="F11" i="38"/>
  <c r="G11" i="40"/>
  <c r="D10" i="42"/>
  <c r="D11" i="43"/>
  <c r="H10" i="46"/>
  <c r="D10" i="49"/>
  <c r="G151"/>
  <c r="G21" s="1"/>
  <c r="F13" i="127"/>
  <c r="E153" i="70"/>
  <c r="E23" s="1"/>
  <c r="H150"/>
  <c r="H20" s="1"/>
  <c r="E153" i="76"/>
  <c r="E23" s="1"/>
  <c r="H150"/>
  <c r="H20" s="1"/>
  <c r="H151" i="100"/>
  <c r="H21" s="1"/>
  <c r="E154" i="108"/>
  <c r="E24" s="1"/>
  <c r="G152"/>
  <c r="G22" s="1"/>
  <c r="F151"/>
  <c r="F21" s="1"/>
  <c r="F150"/>
  <c r="F20" s="1"/>
  <c r="H11" i="56"/>
  <c r="D10" i="57"/>
  <c r="I13" i="60"/>
  <c r="E12"/>
  <c r="F10"/>
  <c r="G8"/>
  <c r="G154" i="40"/>
  <c r="G24" s="1"/>
  <c r="I153"/>
  <c r="I23" s="1"/>
  <c r="F153"/>
  <c r="F23" s="1"/>
  <c r="H152"/>
  <c r="H22" s="1"/>
  <c r="E152"/>
  <c r="E22" s="1"/>
  <c r="G151"/>
  <c r="G21" s="1"/>
  <c r="I150"/>
  <c r="I20" s="1"/>
  <c r="F150"/>
  <c r="F20" s="1"/>
  <c r="H151" i="41"/>
  <c r="H21" s="1"/>
  <c r="I150" i="46"/>
  <c r="I20" s="1"/>
  <c r="H154" i="48"/>
  <c r="H24" s="1"/>
  <c r="G153"/>
  <c r="G23" s="1"/>
  <c r="H150"/>
  <c r="H20" s="1"/>
  <c r="G152" i="50"/>
  <c r="G22" s="1"/>
  <c r="G153" i="56"/>
  <c r="G23" s="1"/>
  <c r="H151"/>
  <c r="H21" s="1"/>
  <c r="F149"/>
  <c r="F19" s="1"/>
  <c r="H8" i="32"/>
  <c r="H9" i="52"/>
  <c r="D11" i="59"/>
  <c r="G152" i="58"/>
  <c r="G22" s="1"/>
  <c r="F13" i="69"/>
  <c r="G8"/>
  <c r="D9" i="71"/>
  <c r="D12" i="72"/>
  <c r="G11" i="73"/>
  <c r="G11" i="77"/>
  <c r="E9"/>
  <c r="H9" i="78"/>
  <c r="D12" i="82"/>
  <c r="I10"/>
  <c r="E11" i="85"/>
  <c r="I9"/>
  <c r="E9"/>
  <c r="H8" i="86"/>
  <c r="D9" i="87"/>
  <c r="H12" i="91"/>
  <c r="I10"/>
  <c r="F9"/>
  <c r="G8"/>
  <c r="E12" i="94"/>
  <c r="F10"/>
  <c r="G8"/>
  <c r="G11" i="96"/>
  <c r="I8"/>
  <c r="E12" i="97"/>
  <c r="F10"/>
  <c r="G8"/>
  <c r="G11" i="99"/>
  <c r="I8"/>
  <c r="I13" i="100"/>
  <c r="E12"/>
  <c r="F10"/>
  <c r="D13" i="102"/>
  <c r="H10"/>
  <c r="I13" i="108"/>
  <c r="G8"/>
  <c r="F13" i="109"/>
  <c r="F152" i="67"/>
  <c r="F22" s="1"/>
  <c r="G152" i="73"/>
  <c r="G22" s="1"/>
  <c r="E150"/>
  <c r="E20" s="1"/>
  <c r="G152" i="74"/>
  <c r="G22" s="1"/>
  <c r="E153" i="75"/>
  <c r="E23" s="1"/>
  <c r="H150" i="78"/>
  <c r="H20" s="1"/>
  <c r="I149" i="87"/>
  <c r="I19" s="1"/>
  <c r="F154" i="79"/>
  <c r="F24" s="1"/>
  <c r="I152"/>
  <c r="I22" s="1"/>
  <c r="E152"/>
  <c r="E22" s="1"/>
  <c r="I150"/>
  <c r="I20" s="1"/>
  <c r="F150"/>
  <c r="F20" s="1"/>
  <c r="H153" i="80"/>
  <c r="H23" s="1"/>
  <c r="I152"/>
  <c r="I22" s="1"/>
  <c r="I151"/>
  <c r="I21" s="1"/>
  <c r="E151"/>
  <c r="E21" s="1"/>
  <c r="E150"/>
  <c r="E20" s="1"/>
  <c r="F149"/>
  <c r="F19" s="1"/>
  <c r="F151" i="89"/>
  <c r="F21" s="1"/>
  <c r="H152" i="90"/>
  <c r="H22" s="1"/>
  <c r="H153" i="92"/>
  <c r="H23" s="1"/>
  <c r="F154" i="94"/>
  <c r="F24" s="1"/>
  <c r="E150"/>
  <c r="E20" s="1"/>
  <c r="H150" i="95"/>
  <c r="H20" s="1"/>
  <c r="G10" i="38"/>
  <c r="H10" i="39"/>
  <c r="H9" i="40"/>
  <c r="H11" i="41"/>
  <c r="D13" i="42"/>
  <c r="D8"/>
  <c r="D8" i="43"/>
  <c r="G11"/>
  <c r="D10" i="46"/>
  <c r="F13"/>
  <c r="E9"/>
  <c r="D11" i="47"/>
  <c r="D13" i="49"/>
  <c r="D8"/>
  <c r="F13"/>
  <c r="I10"/>
  <c r="E9"/>
  <c r="E12" i="50"/>
  <c r="H9"/>
  <c r="D9" i="51"/>
  <c r="D10" i="54"/>
  <c r="H13"/>
  <c r="D11" i="55"/>
  <c r="D11" i="57"/>
  <c r="I13"/>
  <c r="G12"/>
  <c r="F11"/>
  <c r="H9"/>
  <c r="G8"/>
  <c r="H12" i="60"/>
  <c r="I10"/>
  <c r="E9"/>
  <c r="F154" i="38"/>
  <c r="F24" s="1"/>
  <c r="G151" i="39"/>
  <c r="G21" s="1"/>
  <c r="H154" i="40"/>
  <c r="H24" s="1"/>
  <c r="E154"/>
  <c r="E24" s="1"/>
  <c r="G153"/>
  <c r="G23" s="1"/>
  <c r="I152"/>
  <c r="I22" s="1"/>
  <c r="F152"/>
  <c r="F22" s="1"/>
  <c r="H151"/>
  <c r="H21" s="1"/>
  <c r="E151"/>
  <c r="E21" s="1"/>
  <c r="G150"/>
  <c r="G20" s="1"/>
  <c r="G152" i="43"/>
  <c r="G22" s="1"/>
  <c r="G151" i="46"/>
  <c r="G21" s="1"/>
  <c r="H153" i="48"/>
  <c r="H23" s="1"/>
  <c r="G152"/>
  <c r="G22" s="1"/>
  <c r="F154" i="49"/>
  <c r="F24" s="1"/>
  <c r="G153" i="50"/>
  <c r="G23" s="1"/>
  <c r="H150"/>
  <c r="H20" s="1"/>
  <c r="H151" i="51"/>
  <c r="H21" s="1"/>
  <c r="E154" i="55"/>
  <c r="E24" s="1"/>
  <c r="H152"/>
  <c r="H22" s="1"/>
  <c r="I151"/>
  <c r="I21" s="1"/>
  <c r="I150"/>
  <c r="I20" s="1"/>
  <c r="E150"/>
  <c r="E20" s="1"/>
  <c r="I151" i="56"/>
  <c r="I21" s="1"/>
  <c r="E150"/>
  <c r="E20" s="1"/>
  <c r="F12" i="32"/>
  <c r="H9"/>
  <c r="D10" i="45"/>
  <c r="H9"/>
  <c r="G11" i="52"/>
  <c r="H9" i="53"/>
  <c r="D10" i="58"/>
  <c r="G11" i="59"/>
  <c r="H8"/>
  <c r="F154" i="45"/>
  <c r="F24" s="1"/>
  <c r="F154" i="59"/>
  <c r="F24" s="1"/>
  <c r="D12" i="67"/>
  <c r="H9" i="68"/>
  <c r="H9" i="69"/>
  <c r="D13" i="71"/>
  <c r="D13" i="74"/>
  <c r="D9"/>
  <c r="G11"/>
  <c r="H9" i="75"/>
  <c r="H12" i="77"/>
  <c r="H9"/>
  <c r="G11" i="78"/>
  <c r="D12" i="81"/>
  <c r="H12" i="82"/>
  <c r="G11" i="83"/>
  <c r="G8"/>
  <c r="H9" i="84"/>
  <c r="D9" i="85"/>
  <c r="F13"/>
  <c r="G11"/>
  <c r="F10"/>
  <c r="F9"/>
  <c r="D12" i="86"/>
  <c r="F12"/>
  <c r="H9"/>
  <c r="D13" i="87"/>
  <c r="E10" i="79"/>
  <c r="E9" i="80"/>
  <c r="H9" i="89"/>
  <c r="D10" i="91"/>
  <c r="G13"/>
  <c r="E11"/>
  <c r="H9"/>
  <c r="H8"/>
  <c r="D12" i="92"/>
  <c r="H12" i="94"/>
  <c r="I10"/>
  <c r="E9"/>
  <c r="G12" i="96"/>
  <c r="H9"/>
  <c r="H12" i="97"/>
  <c r="I10"/>
  <c r="E9"/>
  <c r="G12" i="99"/>
  <c r="H9"/>
  <c r="H12" i="100"/>
  <c r="I10"/>
  <c r="E9"/>
  <c r="H12" i="108"/>
  <c r="I10"/>
  <c r="E9"/>
  <c r="D13" i="127"/>
  <c r="D8"/>
  <c r="G11"/>
  <c r="E153" i="67"/>
  <c r="E23" s="1"/>
  <c r="F154" i="68"/>
  <c r="F24" s="1"/>
  <c r="F151" i="69"/>
  <c r="F21" s="1"/>
  <c r="I154" i="70"/>
  <c r="I24" s="1"/>
  <c r="G152"/>
  <c r="G22" s="1"/>
  <c r="G152" i="71"/>
  <c r="G22" s="1"/>
  <c r="H151" i="72"/>
  <c r="H21" s="1"/>
  <c r="H153" i="73"/>
  <c r="H23" s="1"/>
  <c r="H150"/>
  <c r="H20" s="1"/>
  <c r="F154" i="74"/>
  <c r="F24" s="1"/>
  <c r="H150"/>
  <c r="H20" s="1"/>
  <c r="I154" i="75"/>
  <c r="I24" s="1"/>
  <c r="H150"/>
  <c r="H20" s="1"/>
  <c r="G152" i="76"/>
  <c r="G22" s="1"/>
  <c r="G152" i="77"/>
  <c r="G22" s="1"/>
  <c r="H151" i="78"/>
  <c r="H21" s="1"/>
  <c r="F154" i="81"/>
  <c r="F24" s="1"/>
  <c r="E150" i="84"/>
  <c r="E20" s="1"/>
  <c r="H150" i="85"/>
  <c r="H20" s="1"/>
  <c r="I150" i="86"/>
  <c r="I20" s="1"/>
  <c r="H151" i="87"/>
  <c r="H21" s="1"/>
  <c r="E153" i="79"/>
  <c r="E23" s="1"/>
  <c r="F152"/>
  <c r="F22" s="1"/>
  <c r="H151"/>
  <c r="H21" s="1"/>
  <c r="E151"/>
  <c r="E21" s="1"/>
  <c r="G150"/>
  <c r="G20" s="1"/>
  <c r="I154" i="80"/>
  <c r="I24" s="1"/>
  <c r="E154"/>
  <c r="E24" s="1"/>
  <c r="E153"/>
  <c r="E23" s="1"/>
  <c r="F151"/>
  <c r="F21" s="1"/>
  <c r="G150"/>
  <c r="G20" s="1"/>
  <c r="F154" i="89"/>
  <c r="F24" s="1"/>
  <c r="F153" i="90"/>
  <c r="F23" s="1"/>
  <c r="F154" i="91"/>
  <c r="F24" s="1"/>
  <c r="G150"/>
  <c r="G20" s="1"/>
  <c r="H151" i="94"/>
  <c r="H21" s="1"/>
  <c r="F154" i="95"/>
  <c r="F24" s="1"/>
  <c r="G154" i="96"/>
  <c r="G24" s="1"/>
  <c r="I151"/>
  <c r="I21" s="1"/>
  <c r="E150"/>
  <c r="E20" s="1"/>
  <c r="H153" i="99"/>
  <c r="H23" s="1"/>
  <c r="G152"/>
  <c r="G22" s="1"/>
  <c r="I150"/>
  <c r="I20" s="1"/>
  <c r="F154" i="100"/>
  <c r="F24" s="1"/>
  <c r="E150"/>
  <c r="E20" s="1"/>
  <c r="G152" i="101"/>
  <c r="G22" s="1"/>
  <c r="F154" i="102"/>
  <c r="F24" s="1"/>
  <c r="I154" i="108"/>
  <c r="I24" s="1"/>
  <c r="G153"/>
  <c r="G23" s="1"/>
  <c r="F152"/>
  <c r="F22" s="1"/>
  <c r="I150"/>
  <c r="I20" s="1"/>
  <c r="E150"/>
  <c r="E20" s="1"/>
  <c r="G152" i="127"/>
  <c r="G22" s="1"/>
  <c r="G151" i="129"/>
  <c r="G21" s="1"/>
  <c r="G32" s="1"/>
  <c r="H4" i="73"/>
  <c r="D778" i="111"/>
  <c r="C828"/>
  <c r="N111" i="67"/>
  <c r="C76" i="68"/>
  <c r="B4" i="70"/>
  <c r="C147"/>
  <c r="F147" i="71"/>
  <c r="B4" i="73"/>
  <c r="D111" i="74"/>
  <c r="C183"/>
  <c r="C97" i="75"/>
  <c r="F4" i="77"/>
  <c r="C111" i="78"/>
  <c r="T75" i="84"/>
  <c r="C159"/>
  <c r="C4" i="85"/>
  <c r="F4" i="86"/>
  <c r="F76" i="79"/>
  <c r="E61" i="80"/>
  <c r="C97" i="89"/>
  <c r="B4" i="90"/>
  <c r="C76"/>
  <c r="B147" i="91"/>
  <c r="F147" i="93"/>
  <c r="N75" i="94"/>
  <c r="B4" i="95"/>
  <c r="N111"/>
  <c r="E202" i="96"/>
  <c r="C97" i="101"/>
  <c r="H4" i="108"/>
  <c r="F97"/>
  <c r="F147"/>
  <c r="N111" i="127"/>
  <c r="E116" i="128"/>
  <c r="E979" i="111" a="1"/>
  <c r="G982" s="1"/>
  <c r="R982" s="1"/>
  <c r="N111" i="39"/>
  <c r="N75" i="40"/>
  <c r="F97" i="41"/>
  <c r="I76" i="42"/>
  <c r="P75" i="43"/>
  <c r="C61" i="44"/>
  <c r="C147"/>
  <c r="G76" i="46"/>
  <c r="C97" i="48"/>
  <c r="E133"/>
  <c r="N111" i="52"/>
  <c r="F183"/>
  <c r="D97" i="53"/>
  <c r="E133"/>
  <c r="C4" i="54"/>
  <c r="F97"/>
  <c r="I97" i="55"/>
  <c r="D111" i="58"/>
  <c r="E133"/>
  <c r="C76" i="59"/>
  <c r="C76" i="60"/>
  <c r="D23" i="130"/>
  <c r="J32"/>
  <c r="D41" i="105"/>
  <c r="D50" i="130"/>
  <c r="G50"/>
  <c r="J50"/>
  <c r="D68"/>
  <c r="G68"/>
  <c r="J68"/>
  <c r="D77"/>
  <c r="G77"/>
  <c r="F16" i="131" s="1"/>
  <c r="J77" i="130"/>
  <c r="J16" i="131" s="1"/>
  <c r="D95" i="130"/>
  <c r="G95"/>
  <c r="F17" i="131" s="1"/>
  <c r="J95" i="130"/>
  <c r="J17" i="131" s="1"/>
  <c r="D115" i="105"/>
  <c r="G115"/>
  <c r="J115"/>
  <c r="J178" i="130"/>
  <c r="J27" i="131" s="1"/>
  <c r="C46" i="111"/>
  <c r="D91"/>
  <c r="C129"/>
  <c r="D136"/>
  <c r="C333"/>
  <c r="C348"/>
  <c r="D508"/>
  <c r="D551"/>
  <c r="D554"/>
  <c r="D584"/>
  <c r="C728"/>
  <c r="C735"/>
  <c r="D773"/>
  <c r="D776"/>
  <c r="D803"/>
  <c r="D811"/>
  <c r="C825"/>
  <c r="C830"/>
  <c r="C841"/>
  <c r="C872"/>
  <c r="C880"/>
  <c r="C895"/>
  <c r="D974"/>
  <c r="D588"/>
  <c r="D775"/>
  <c r="R111" i="67"/>
  <c r="C147" i="69"/>
  <c r="F4" i="70"/>
  <c r="O75" i="71"/>
  <c r="C202"/>
  <c r="C97" i="72"/>
  <c r="C4" i="73"/>
  <c r="B4" i="74"/>
  <c r="F97" i="75"/>
  <c r="D111" i="77"/>
  <c r="B183" i="78"/>
  <c r="N111" i="81"/>
  <c r="C147"/>
  <c r="H4" i="85"/>
  <c r="C147"/>
  <c r="F97" i="88"/>
  <c r="H4" i="90"/>
  <c r="C147" i="96"/>
  <c r="C147" i="98"/>
  <c r="N75" i="99"/>
  <c r="N111" i="101"/>
  <c r="B4" i="108"/>
  <c r="Q111" i="127"/>
  <c r="C4" i="128"/>
  <c r="G116"/>
  <c r="F97" i="129"/>
  <c r="Q111" i="39"/>
  <c r="F147"/>
  <c r="N111" i="41"/>
  <c r="N111" i="43"/>
  <c r="E133"/>
  <c r="H61" i="44"/>
  <c r="Q75" i="46"/>
  <c r="N111" i="47"/>
  <c r="C159" i="51"/>
  <c r="B202"/>
  <c r="D76" i="52"/>
  <c r="I97" i="53"/>
  <c r="B159"/>
  <c r="N111" i="54"/>
  <c r="C97" i="55"/>
  <c r="F4" i="59"/>
  <c r="D111"/>
  <c r="D76" i="60"/>
  <c r="E302" i="130"/>
  <c r="H374"/>
  <c r="E587"/>
  <c r="H587"/>
  <c r="K587"/>
  <c r="K49" i="131" s="1"/>
  <c r="E596" i="130"/>
  <c r="K596"/>
  <c r="E4" i="111"/>
  <c r="C69"/>
  <c r="C84"/>
  <c r="C96"/>
  <c r="C139"/>
  <c r="C350"/>
  <c r="D397"/>
  <c r="D407"/>
  <c r="C511"/>
  <c r="D557"/>
  <c r="D585"/>
  <c r="D733"/>
  <c r="C774"/>
  <c r="C778"/>
  <c r="C807"/>
  <c r="D825"/>
  <c r="C874"/>
  <c r="D966"/>
  <c r="D987"/>
  <c r="H150" i="41"/>
  <c r="H20" s="1"/>
  <c r="F154"/>
  <c r="F24" s="1"/>
  <c r="H150" i="49"/>
  <c r="H20" s="1"/>
  <c r="I151"/>
  <c r="I21" s="1"/>
  <c r="F153"/>
  <c r="F23" s="1"/>
  <c r="G154"/>
  <c r="G24" s="1"/>
  <c r="I150"/>
  <c r="I20" s="1"/>
  <c r="G152"/>
  <c r="G22" s="1"/>
  <c r="H153"/>
  <c r="H23" s="1"/>
  <c r="G10" i="48"/>
  <c r="G10" i="51"/>
  <c r="D8" i="55"/>
  <c r="D13" i="57"/>
  <c r="H13"/>
  <c r="H12"/>
  <c r="E10"/>
  <c r="G152" i="38"/>
  <c r="G22" s="1"/>
  <c r="F153" i="39"/>
  <c r="F23" s="1"/>
  <c r="H150"/>
  <c r="H20" s="1"/>
  <c r="I154" i="43"/>
  <c r="I24" s="1"/>
  <c r="I153"/>
  <c r="I23" s="1"/>
  <c r="E153"/>
  <c r="E23" s="1"/>
  <c r="E152"/>
  <c r="E22" s="1"/>
  <c r="F150"/>
  <c r="F20" s="1"/>
  <c r="F154" i="46"/>
  <c r="F24" s="1"/>
  <c r="G151" i="42"/>
  <c r="G21" s="1"/>
  <c r="G150" i="43"/>
  <c r="G20" s="1"/>
  <c r="E151"/>
  <c r="E21" s="1"/>
  <c r="H151"/>
  <c r="H21" s="1"/>
  <c r="F152"/>
  <c r="F22" s="1"/>
  <c r="I152"/>
  <c r="I22" s="1"/>
  <c r="G153"/>
  <c r="G23" s="1"/>
  <c r="E154"/>
  <c r="E24" s="1"/>
  <c r="H154"/>
  <c r="H24" s="1"/>
  <c r="E150" i="44"/>
  <c r="E20" s="1"/>
  <c r="F154"/>
  <c r="F24" s="1"/>
  <c r="H13" i="39"/>
  <c r="G12"/>
  <c r="I10"/>
  <c r="I13" i="40"/>
  <c r="E12"/>
  <c r="F10"/>
  <c r="G8"/>
  <c r="H13" i="42"/>
  <c r="I10"/>
  <c r="H9"/>
  <c r="E12" i="43"/>
  <c r="F10"/>
  <c r="G8"/>
  <c r="H13" i="46"/>
  <c r="G12"/>
  <c r="I10"/>
  <c r="H9"/>
  <c r="F8"/>
  <c r="I13" i="47"/>
  <c r="F10"/>
  <c r="E150" i="46"/>
  <c r="E20" s="1"/>
  <c r="H152"/>
  <c r="H22" s="1"/>
  <c r="D11" i="38"/>
  <c r="F12"/>
  <c r="H12" i="39"/>
  <c r="E10"/>
  <c r="I10" i="40"/>
  <c r="E9"/>
  <c r="D13" i="41"/>
  <c r="F13"/>
  <c r="E9"/>
  <c r="H12" i="42"/>
  <c r="G11"/>
  <c r="E10"/>
  <c r="H12" i="43"/>
  <c r="I10"/>
  <c r="E9"/>
  <c r="D13" i="44"/>
  <c r="F13"/>
  <c r="E9"/>
  <c r="G11" i="46"/>
  <c r="E10"/>
  <c r="I8"/>
  <c r="H12" i="47"/>
  <c r="E9"/>
  <c r="D13" i="48"/>
  <c r="F13"/>
  <c r="E9"/>
  <c r="H12" i="49"/>
  <c r="G11"/>
  <c r="I8"/>
  <c r="H12" i="50"/>
  <c r="E9"/>
  <c r="F13" i="51"/>
  <c r="E9"/>
  <c r="F13" i="56"/>
  <c r="E9"/>
  <c r="G152" i="39"/>
  <c r="G22" s="1"/>
  <c r="F154" i="42"/>
  <c r="F24" s="1"/>
  <c r="G154" i="43"/>
  <c r="G24" s="1"/>
  <c r="H153"/>
  <c r="H23" s="1"/>
  <c r="H152"/>
  <c r="H22" s="1"/>
  <c r="I151"/>
  <c r="I21" s="1"/>
  <c r="I150"/>
  <c r="I20" s="1"/>
  <c r="E150"/>
  <c r="E20" s="1"/>
  <c r="H151" i="44"/>
  <c r="H21" s="1"/>
  <c r="I154" i="47"/>
  <c r="I24" s="1"/>
  <c r="F151"/>
  <c r="F21" s="1"/>
  <c r="I154" i="50"/>
  <c r="I24" s="1"/>
  <c r="E154"/>
  <c r="E24" s="1"/>
  <c r="E153"/>
  <c r="E23" s="1"/>
  <c r="F152"/>
  <c r="F22" s="1"/>
  <c r="F151"/>
  <c r="F21" s="1"/>
  <c r="G150"/>
  <c r="G20" s="1"/>
  <c r="F154" i="51"/>
  <c r="F24" s="1"/>
  <c r="F154" i="54"/>
  <c r="F24" s="1"/>
  <c r="H154" i="55"/>
  <c r="H24" s="1"/>
  <c r="I152"/>
  <c r="I22" s="1"/>
  <c r="H151"/>
  <c r="H21" s="1"/>
  <c r="E151"/>
  <c r="E21" s="1"/>
  <c r="G150"/>
  <c r="G20" s="1"/>
  <c r="G151" i="57"/>
  <c r="G21" s="1"/>
  <c r="I154" i="60"/>
  <c r="I24" s="1"/>
  <c r="I153"/>
  <c r="I23" s="1"/>
  <c r="E152"/>
  <c r="E22" s="1"/>
  <c r="G151"/>
  <c r="G21" s="1"/>
  <c r="F150"/>
  <c r="F20" s="1"/>
  <c r="D10" i="32"/>
  <c r="G13"/>
  <c r="H12"/>
  <c r="H11"/>
  <c r="I10"/>
  <c r="I9"/>
  <c r="E9"/>
  <c r="E8"/>
  <c r="D8" i="45"/>
  <c r="G11"/>
  <c r="I13" i="52"/>
  <c r="E12"/>
  <c r="F10"/>
  <c r="G8"/>
  <c r="D11" i="58"/>
  <c r="D8"/>
  <c r="F13" i="59"/>
  <c r="H12"/>
  <c r="I10"/>
  <c r="I9"/>
  <c r="I151" i="32"/>
  <c r="I21" s="1"/>
  <c r="H154" i="53"/>
  <c r="H24" s="1"/>
  <c r="G153"/>
  <c r="G23" s="1"/>
  <c r="I151"/>
  <c r="I21" s="1"/>
  <c r="E151"/>
  <c r="E21" s="1"/>
  <c r="H150" i="59"/>
  <c r="H20" s="1"/>
  <c r="I13" i="75"/>
  <c r="E12"/>
  <c r="F10"/>
  <c r="G8"/>
  <c r="G11" i="76"/>
  <c r="D12" i="77"/>
  <c r="D13" i="81"/>
  <c r="D9"/>
  <c r="D10" i="83"/>
  <c r="I13" i="84"/>
  <c r="E12"/>
  <c r="F10"/>
  <c r="G8"/>
  <c r="D12" i="85"/>
  <c r="I13" i="86"/>
  <c r="H12"/>
  <c r="H11"/>
  <c r="I10"/>
  <c r="I9"/>
  <c r="E9"/>
  <c r="D12" i="87"/>
  <c r="D10" i="88"/>
  <c r="G11"/>
  <c r="G8"/>
  <c r="H10" i="79"/>
  <c r="H8"/>
  <c r="H9" i="80"/>
  <c r="E8"/>
  <c r="G11" i="89"/>
  <c r="E9"/>
  <c r="H11" i="91"/>
  <c r="G9"/>
  <c r="I8"/>
  <c r="E8"/>
  <c r="G11" i="92"/>
  <c r="I11" i="93"/>
  <c r="I8"/>
  <c r="G12" i="94"/>
  <c r="I11"/>
  <c r="H10"/>
  <c r="G9"/>
  <c r="I8"/>
  <c r="H12" i="95"/>
  <c r="H9"/>
  <c r="D13" i="96"/>
  <c r="H13" i="97"/>
  <c r="E13"/>
  <c r="I11"/>
  <c r="F11"/>
  <c r="H10"/>
  <c r="E10"/>
  <c r="G9"/>
  <c r="I8"/>
  <c r="D12" i="98"/>
  <c r="H12"/>
  <c r="H9"/>
  <c r="D13" i="99"/>
  <c r="H13" i="100"/>
  <c r="E13"/>
  <c r="G12"/>
  <c r="I11"/>
  <c r="F11"/>
  <c r="H10"/>
  <c r="E10"/>
  <c r="G9"/>
  <c r="I8"/>
  <c r="F8"/>
  <c r="D12" i="101"/>
  <c r="E9"/>
  <c r="D10" i="102"/>
  <c r="G12"/>
  <c r="H9"/>
  <c r="D10" i="108"/>
  <c r="H13"/>
  <c r="E13"/>
  <c r="G12"/>
  <c r="F11"/>
  <c r="H10"/>
  <c r="I8"/>
  <c r="F8"/>
  <c r="H9" i="109"/>
  <c r="H9" i="127"/>
  <c r="E154" i="67"/>
  <c r="E24" s="1"/>
  <c r="H150"/>
  <c r="H20" s="1"/>
  <c r="G152" i="68"/>
  <c r="G22" s="1"/>
  <c r="I154" i="69"/>
  <c r="I24" s="1"/>
  <c r="G152"/>
  <c r="G22" s="1"/>
  <c r="H150"/>
  <c r="H20" s="1"/>
  <c r="I149"/>
  <c r="I19" s="1"/>
  <c r="F151" i="81"/>
  <c r="F21" s="1"/>
  <c r="E150"/>
  <c r="E20" s="1"/>
  <c r="F154" i="83"/>
  <c r="F24" s="1"/>
  <c r="G153"/>
  <c r="G23" s="1"/>
  <c r="G152"/>
  <c r="G22" s="1"/>
  <c r="H151"/>
  <c r="H21" s="1"/>
  <c r="I150"/>
  <c r="I20" s="1"/>
  <c r="F150"/>
  <c r="F20" s="1"/>
  <c r="F154" i="84"/>
  <c r="F24" s="1"/>
  <c r="I151"/>
  <c r="I21" s="1"/>
  <c r="H150"/>
  <c r="H20" s="1"/>
  <c r="F149"/>
  <c r="G152" i="85"/>
  <c r="G22" s="1"/>
  <c r="F154" i="86"/>
  <c r="F24" s="1"/>
  <c r="H151"/>
  <c r="H21" s="1"/>
  <c r="E153" i="89"/>
  <c r="E23" s="1"/>
  <c r="H150"/>
  <c r="H20" s="1"/>
  <c r="F154" i="90"/>
  <c r="F24" s="1"/>
  <c r="I151"/>
  <c r="I21" s="1"/>
  <c r="E150"/>
  <c r="E20" s="1"/>
  <c r="I154" i="91"/>
  <c r="I24" s="1"/>
  <c r="G153"/>
  <c r="G23" s="1"/>
  <c r="H150"/>
  <c r="H20" s="1"/>
  <c r="E150" i="93"/>
  <c r="E20" s="1"/>
  <c r="H154" i="94"/>
  <c r="H24" s="1"/>
  <c r="G153"/>
  <c r="G23" s="1"/>
  <c r="I151"/>
  <c r="I21" s="1"/>
  <c r="H150"/>
  <c r="H20" s="1"/>
  <c r="G152" i="95"/>
  <c r="G22" s="1"/>
  <c r="I154" i="96"/>
  <c r="I24" s="1"/>
  <c r="I153"/>
  <c r="I23" s="1"/>
  <c r="E153"/>
  <c r="E23" s="1"/>
  <c r="E152"/>
  <c r="E22" s="1"/>
  <c r="G151"/>
  <c r="G21" s="1"/>
  <c r="I150"/>
  <c r="I20" s="1"/>
  <c r="F150"/>
  <c r="F20" s="1"/>
  <c r="H154" i="97"/>
  <c r="H24" s="1"/>
  <c r="H153"/>
  <c r="H23" s="1"/>
  <c r="I152"/>
  <c r="I22" s="1"/>
  <c r="I151"/>
  <c r="I21" s="1"/>
  <c r="E151"/>
  <c r="E21" s="1"/>
  <c r="E150"/>
  <c r="E20" s="1"/>
  <c r="E153" i="98"/>
  <c r="E23" s="1"/>
  <c r="H150"/>
  <c r="H20" s="1"/>
  <c r="F153" i="102"/>
  <c r="F23" s="1"/>
  <c r="H150"/>
  <c r="H20" s="1"/>
  <c r="G151" i="54"/>
  <c r="G21" s="1"/>
  <c r="F154" i="60"/>
  <c r="F24" s="1"/>
  <c r="F153"/>
  <c r="F23" s="1"/>
  <c r="G152"/>
  <c r="G22" s="1"/>
  <c r="H151"/>
  <c r="H21" s="1"/>
  <c r="E151"/>
  <c r="E21" s="1"/>
  <c r="G150"/>
  <c r="G20" s="1"/>
  <c r="D13" i="32"/>
  <c r="I13"/>
  <c r="I12"/>
  <c r="E12"/>
  <c r="E11"/>
  <c r="F10"/>
  <c r="F9"/>
  <c r="G8"/>
  <c r="D13" i="45"/>
  <c r="H12" i="52"/>
  <c r="I10"/>
  <c r="E9"/>
  <c r="D12" i="58"/>
  <c r="G11"/>
  <c r="G8"/>
  <c r="G13" i="59"/>
  <c r="I12"/>
  <c r="E12"/>
  <c r="F9"/>
  <c r="F154" i="32"/>
  <c r="F24" s="1"/>
  <c r="I154" i="45"/>
  <c r="I24" s="1"/>
  <c r="F153"/>
  <c r="F23" s="1"/>
  <c r="E152"/>
  <c r="E22" s="1"/>
  <c r="H150"/>
  <c r="H20" s="1"/>
  <c r="H153" i="53"/>
  <c r="H23" s="1"/>
  <c r="F151"/>
  <c r="F21" s="1"/>
  <c r="G150"/>
  <c r="G20" s="1"/>
  <c r="G149"/>
  <c r="F154" i="58"/>
  <c r="F24" s="1"/>
  <c r="G152" i="59"/>
  <c r="G22" s="1"/>
  <c r="H9" i="67"/>
  <c r="D12" i="68"/>
  <c r="D9" i="69"/>
  <c r="G11"/>
  <c r="E9"/>
  <c r="D12" i="71"/>
  <c r="I13" i="72"/>
  <c r="F10"/>
  <c r="G8"/>
  <c r="D12" i="73"/>
  <c r="F13"/>
  <c r="E9"/>
  <c r="H9" i="74"/>
  <c r="H12" i="75"/>
  <c r="I10"/>
  <c r="E9"/>
  <c r="D12" i="76"/>
  <c r="I13" i="77"/>
  <c r="F10"/>
  <c r="D12" i="78"/>
  <c r="D10" i="81"/>
  <c r="I13"/>
  <c r="G11"/>
  <c r="G8"/>
  <c r="H12" i="84"/>
  <c r="I10"/>
  <c r="E9"/>
  <c r="E12" i="86"/>
  <c r="F9"/>
  <c r="E12" i="88"/>
  <c r="H9"/>
  <c r="E13" i="79"/>
  <c r="F11"/>
  <c r="G9"/>
  <c r="F10" i="80"/>
  <c r="H8"/>
  <c r="H12" i="89"/>
  <c r="F13" i="101"/>
  <c r="G11" i="109"/>
  <c r="G152" i="72"/>
  <c r="G22" s="1"/>
  <c r="H153" i="75"/>
  <c r="H23" s="1"/>
  <c r="I151"/>
  <c r="I21" s="1"/>
  <c r="E151"/>
  <c r="E21" s="1"/>
  <c r="E150"/>
  <c r="E20" s="1"/>
  <c r="H150" i="77"/>
  <c r="H20" s="1"/>
  <c r="G152" i="78"/>
  <c r="G22" s="1"/>
  <c r="H153" i="81"/>
  <c r="H23" s="1"/>
  <c r="I151"/>
  <c r="I21" s="1"/>
  <c r="G150"/>
  <c r="G20" s="1"/>
  <c r="I154" i="82"/>
  <c r="I24" s="1"/>
  <c r="G152"/>
  <c r="G22" s="1"/>
  <c r="H154" i="83"/>
  <c r="H24" s="1"/>
  <c r="H153"/>
  <c r="H23" s="1"/>
  <c r="I151"/>
  <c r="I21" s="1"/>
  <c r="E151"/>
  <c r="E21" s="1"/>
  <c r="G150"/>
  <c r="G20" s="1"/>
  <c r="I154" i="84"/>
  <c r="I24" s="1"/>
  <c r="G152"/>
  <c r="G22" s="1"/>
  <c r="E151"/>
  <c r="E21" s="1"/>
  <c r="I149"/>
  <c r="G152" i="86"/>
  <c r="G22" s="1"/>
  <c r="E150"/>
  <c r="E20" s="1"/>
  <c r="H153" i="87"/>
  <c r="H23" s="1"/>
  <c r="H150"/>
  <c r="H20" s="1"/>
  <c r="I154" i="88"/>
  <c r="I24" s="1"/>
  <c r="E153"/>
  <c r="E23" s="1"/>
  <c r="F151"/>
  <c r="F21" s="1"/>
  <c r="E154" i="91"/>
  <c r="E24" s="1"/>
  <c r="G152"/>
  <c r="G22" s="1"/>
  <c r="F151"/>
  <c r="F21" s="1"/>
  <c r="I149"/>
  <c r="I19" s="1"/>
  <c r="H153" i="94"/>
  <c r="H23" s="1"/>
  <c r="G152"/>
  <c r="G22" s="1"/>
  <c r="E151"/>
  <c r="E21" s="1"/>
  <c r="F154" i="96"/>
  <c r="F24" s="1"/>
  <c r="F153"/>
  <c r="F23" s="1"/>
  <c r="G152"/>
  <c r="G22" s="1"/>
  <c r="H151"/>
  <c r="H21" s="1"/>
  <c r="E151"/>
  <c r="E21" s="1"/>
  <c r="G150"/>
  <c r="G20" s="1"/>
  <c r="I154" i="97"/>
  <c r="I24" s="1"/>
  <c r="E154"/>
  <c r="E24" s="1"/>
  <c r="E153"/>
  <c r="E23" s="1"/>
  <c r="F152"/>
  <c r="F22" s="1"/>
  <c r="H154" i="100"/>
  <c r="H24" s="1"/>
  <c r="G153"/>
  <c r="G23" s="1"/>
  <c r="I151"/>
  <c r="I21" s="1"/>
  <c r="H150"/>
  <c r="H20" s="1"/>
  <c r="G152" i="129"/>
  <c r="G22" s="1"/>
  <c r="G33" s="1"/>
  <c r="H154" i="50"/>
  <c r="H24" s="1"/>
  <c r="H153"/>
  <c r="H23" s="1"/>
  <c r="I151"/>
  <c r="I21" s="1"/>
  <c r="E151"/>
  <c r="E21" s="1"/>
  <c r="E150"/>
  <c r="E20" s="1"/>
  <c r="F12" i="53"/>
  <c r="I153" i="45"/>
  <c r="I23" s="1"/>
  <c r="G152"/>
  <c r="G22" s="1"/>
  <c r="F151"/>
  <c r="F21" s="1"/>
  <c r="H150" i="58"/>
  <c r="H20" s="1"/>
  <c r="D9" i="67"/>
  <c r="G11"/>
  <c r="D12" i="69"/>
  <c r="G11" i="70"/>
  <c r="H12" i="72"/>
  <c r="E9"/>
  <c r="H9" i="73"/>
  <c r="D9" i="90"/>
  <c r="G13" i="94"/>
  <c r="I12"/>
  <c r="F12"/>
  <c r="H11"/>
  <c r="E11"/>
  <c r="I9"/>
  <c r="F9"/>
  <c r="H8"/>
  <c r="E8"/>
  <c r="G11" i="95"/>
  <c r="E9"/>
  <c r="D10" i="96"/>
  <c r="G13" i="97"/>
  <c r="I12"/>
  <c r="F12"/>
  <c r="H11"/>
  <c r="E11"/>
  <c r="G10"/>
  <c r="I9"/>
  <c r="F9"/>
  <c r="G11" i="98"/>
  <c r="E9"/>
  <c r="D10" i="99"/>
  <c r="F12" i="100"/>
  <c r="H11"/>
  <c r="E11"/>
  <c r="G10"/>
  <c r="F9"/>
  <c r="I8" i="102"/>
  <c r="G13" i="108"/>
  <c r="I12"/>
  <c r="H11"/>
  <c r="E11"/>
  <c r="G10"/>
  <c r="I9"/>
  <c r="H150" i="68"/>
  <c r="H20" s="1"/>
  <c r="F154" i="69"/>
  <c r="F24" s="1"/>
  <c r="I151"/>
  <c r="I21" s="1"/>
  <c r="G150"/>
  <c r="G20" s="1"/>
  <c r="H150" i="71"/>
  <c r="H20" s="1"/>
  <c r="G153" i="72"/>
  <c r="G23" s="1"/>
  <c r="H150"/>
  <c r="H20" s="1"/>
  <c r="I154" i="73"/>
  <c r="I24" s="1"/>
  <c r="E153"/>
  <c r="E23" s="1"/>
  <c r="F151"/>
  <c r="F21" s="1"/>
  <c r="F154" i="75"/>
  <c r="F24" s="1"/>
  <c r="G152"/>
  <c r="G22" s="1"/>
  <c r="F151"/>
  <c r="F21" s="1"/>
  <c r="G150"/>
  <c r="G20" s="1"/>
  <c r="H153" i="88"/>
  <c r="H23" s="1"/>
  <c r="I151"/>
  <c r="I21" s="1"/>
  <c r="E150"/>
  <c r="E20" s="1"/>
  <c r="I154" i="79"/>
  <c r="I24" s="1"/>
  <c r="I154" i="89"/>
  <c r="I24" s="1"/>
  <c r="G152"/>
  <c r="G22" s="1"/>
  <c r="G152" i="98"/>
  <c r="G22" s="1"/>
  <c r="H153" i="100"/>
  <c r="H23" s="1"/>
  <c r="G152"/>
  <c r="G22" s="1"/>
  <c r="E151"/>
  <c r="E21" s="1"/>
  <c r="G152" i="102"/>
  <c r="G22" s="1"/>
  <c r="H150" i="127"/>
  <c r="H20" s="1"/>
  <c r="F153" i="129"/>
  <c r="F23" s="1"/>
  <c r="F34" s="1"/>
  <c r="H150"/>
  <c r="H20" s="1"/>
  <c r="H31" s="1"/>
  <c r="C4" i="69"/>
  <c r="O111"/>
  <c r="F4" i="71"/>
  <c r="C147"/>
  <c r="B4" i="72"/>
  <c r="N111"/>
  <c r="F147"/>
  <c r="F4" i="73"/>
  <c r="C76"/>
  <c r="F61" i="74"/>
  <c r="D133"/>
  <c r="F147"/>
  <c r="C159"/>
  <c r="C76" i="75"/>
  <c r="I76"/>
  <c r="B4" i="76"/>
  <c r="H4"/>
  <c r="C147"/>
  <c r="P75" i="77"/>
  <c r="N111"/>
  <c r="D133"/>
  <c r="B147"/>
  <c r="I159"/>
  <c r="E159" i="78"/>
  <c r="C202"/>
  <c r="C76" i="81"/>
  <c r="C97"/>
  <c r="C4" i="82"/>
  <c r="O75" i="84"/>
  <c r="F4" i="85"/>
  <c r="C76"/>
  <c r="N111"/>
  <c r="E133"/>
  <c r="C4" i="87"/>
  <c r="B4" i="88"/>
  <c r="N111"/>
  <c r="N75" i="80"/>
  <c r="C76"/>
  <c r="C97"/>
  <c r="F4" i="98"/>
  <c r="F4" i="109"/>
  <c r="R111" i="129"/>
  <c r="B61" i="40"/>
  <c r="R75"/>
  <c r="G111"/>
  <c r="B202"/>
  <c r="B204"/>
  <c r="B4" i="41"/>
  <c r="Q111"/>
  <c r="G76" i="42"/>
  <c r="Q111"/>
  <c r="C76" i="43"/>
  <c r="C147" i="45"/>
  <c r="N75" i="46"/>
  <c r="C76"/>
  <c r="H4" i="47"/>
  <c r="Q111"/>
  <c r="F159" i="49"/>
  <c r="F61" i="50"/>
  <c r="D133" i="51"/>
  <c r="I159"/>
  <c r="C76" i="52"/>
  <c r="I76"/>
  <c r="F97"/>
  <c r="H147"/>
  <c r="B61" i="53"/>
  <c r="H61"/>
  <c r="E111"/>
  <c r="O111"/>
  <c r="H159"/>
  <c r="C204"/>
  <c r="R111" i="55"/>
  <c r="C204"/>
  <c r="Q75" i="56"/>
  <c r="G76"/>
  <c r="N111" i="57"/>
  <c r="P75" i="58"/>
  <c r="N111"/>
  <c r="B147"/>
  <c r="H147"/>
  <c r="D159"/>
  <c r="B202"/>
  <c r="N111" i="60"/>
  <c r="J23" i="130"/>
  <c r="J13" i="131" s="1"/>
  <c r="G32" i="130"/>
  <c r="D187"/>
  <c r="G187"/>
  <c r="F28" i="131" s="1"/>
  <c r="I246" i="130"/>
  <c r="F255" i="105"/>
  <c r="I264" i="130"/>
  <c r="F264"/>
  <c r="I421"/>
  <c r="F484"/>
  <c r="I484"/>
  <c r="F511"/>
  <c r="I511"/>
  <c r="E540"/>
  <c r="H540"/>
  <c r="K540"/>
  <c r="E549"/>
  <c r="H549"/>
  <c r="K549"/>
  <c r="C18" i="111"/>
  <c r="C24"/>
  <c r="C39"/>
  <c r="D46"/>
  <c r="C51"/>
  <c r="C61"/>
  <c r="C91"/>
  <c r="C94"/>
  <c r="C111"/>
  <c r="C138"/>
  <c r="C153"/>
  <c r="C335"/>
  <c r="C353"/>
  <c r="C364"/>
  <c r="D385"/>
  <c r="D396"/>
  <c r="C399"/>
  <c r="D403"/>
  <c r="C409"/>
  <c r="C446"/>
  <c r="C461"/>
  <c r="C478"/>
  <c r="C493"/>
  <c r="C496"/>
  <c r="C510"/>
  <c r="D523"/>
  <c r="C528"/>
  <c r="D539"/>
  <c r="D543"/>
  <c r="D548"/>
  <c r="D556"/>
  <c r="D561"/>
  <c r="C566"/>
  <c r="D587"/>
  <c r="D592"/>
  <c r="D596"/>
  <c r="D599"/>
  <c r="D623"/>
  <c r="C627"/>
  <c r="C656"/>
  <c r="D668"/>
  <c r="C672"/>
  <c r="D706"/>
  <c r="C713"/>
  <c r="C730"/>
  <c r="C775"/>
  <c r="C777"/>
  <c r="D785"/>
  <c r="D796"/>
  <c r="D800"/>
  <c r="C804"/>
  <c r="C827"/>
  <c r="D857"/>
  <c r="C877"/>
  <c r="D919"/>
  <c r="C934"/>
  <c r="C937"/>
  <c r="C943"/>
  <c r="D969"/>
  <c r="D977"/>
  <c r="C7" i="112"/>
  <c r="F76" i="67"/>
  <c r="F4" i="68"/>
  <c r="G76"/>
  <c r="N111"/>
  <c r="C183"/>
  <c r="F97" i="69"/>
  <c r="O75" i="70"/>
  <c r="B4" i="71"/>
  <c r="T111" i="72"/>
  <c r="B61" i="74"/>
  <c r="G76" i="75"/>
  <c r="Q111"/>
  <c r="F4" i="76"/>
  <c r="F183" i="80"/>
  <c r="F147" i="89"/>
  <c r="F4" i="90"/>
  <c r="G111" i="92"/>
  <c r="F97" i="95"/>
  <c r="E4" i="96"/>
  <c r="F61"/>
  <c r="Q111"/>
  <c r="C4" i="98"/>
  <c r="F76"/>
  <c r="F4" i="102"/>
  <c r="C147"/>
  <c r="F4" i="108"/>
  <c r="T111"/>
  <c r="C147"/>
  <c r="C4" i="109"/>
  <c r="Q111"/>
  <c r="F183"/>
  <c r="E204"/>
  <c r="F76" i="127"/>
  <c r="F97"/>
  <c r="B4" i="128"/>
  <c r="H4"/>
  <c r="G111"/>
  <c r="D113"/>
  <c r="H113"/>
  <c r="E115"/>
  <c r="H117"/>
  <c r="P119"/>
  <c r="S119"/>
  <c r="I133"/>
  <c r="E147"/>
  <c r="F4" i="129"/>
  <c r="C97"/>
  <c r="O111"/>
  <c r="C4" i="32"/>
  <c r="C4" i="38"/>
  <c r="F76" i="39"/>
  <c r="F97"/>
  <c r="D76" i="42"/>
  <c r="N111"/>
  <c r="B204"/>
  <c r="C147" i="43"/>
  <c r="G159"/>
  <c r="B204"/>
  <c r="R75" i="44"/>
  <c r="C4" i="47"/>
  <c r="C76"/>
  <c r="F76" i="48"/>
  <c r="D159"/>
  <c r="T75" i="49"/>
  <c r="C159"/>
  <c r="E4" i="50"/>
  <c r="C61"/>
  <c r="F97"/>
  <c r="G76" i="52"/>
  <c r="C97"/>
  <c r="Q111"/>
  <c r="C147"/>
  <c r="F61" i="53"/>
  <c r="C111"/>
  <c r="D159"/>
  <c r="H183"/>
  <c r="B204"/>
  <c r="Q111" i="54"/>
  <c r="G97" i="55"/>
  <c r="N111"/>
  <c r="B204"/>
  <c r="H204"/>
  <c r="D61" i="58"/>
  <c r="T111"/>
  <c r="F147"/>
  <c r="E111" i="59"/>
  <c r="E202"/>
  <c r="I76" i="60"/>
  <c r="F97"/>
  <c r="F142" i="130"/>
  <c r="E25" i="131" s="1"/>
  <c r="F311" i="130"/>
  <c r="I365"/>
  <c r="I374"/>
  <c r="E439"/>
  <c r="D44" i="131" s="1"/>
  <c r="H439" i="130"/>
  <c r="G44" i="131" s="1"/>
  <c r="K439" i="130"/>
  <c r="K44" i="131" s="1"/>
  <c r="H457" i="130"/>
  <c r="E493" i="105"/>
  <c r="K493" i="130"/>
  <c r="F578"/>
  <c r="E48" i="131" s="1"/>
  <c r="E53" s="1"/>
  <c r="C16" i="111"/>
  <c r="C49"/>
  <c r="C66"/>
  <c r="C93"/>
  <c r="C114"/>
  <c r="D368"/>
  <c r="D389"/>
  <c r="D402"/>
  <c r="C412"/>
  <c r="D465"/>
  <c r="C495"/>
  <c r="C523"/>
  <c r="C526"/>
  <c r="D542"/>
  <c r="D564"/>
  <c r="D595"/>
  <c r="D602"/>
  <c r="C626"/>
  <c r="C671"/>
  <c r="C718"/>
  <c r="D799"/>
  <c r="C936"/>
  <c r="I7" i="112"/>
  <c r="C76" i="67"/>
  <c r="C97"/>
  <c r="C4" i="68"/>
  <c r="T111" i="69"/>
  <c r="F4" i="72"/>
  <c r="O111"/>
  <c r="F159" i="74"/>
  <c r="D202"/>
  <c r="D76" i="75"/>
  <c r="N111"/>
  <c r="B204"/>
  <c r="C4" i="76"/>
  <c r="B4" i="77"/>
  <c r="T111"/>
  <c r="E133"/>
  <c r="F147"/>
  <c r="C4" i="81"/>
  <c r="G76"/>
  <c r="F4" i="82"/>
  <c r="C147"/>
  <c r="R75" i="84"/>
  <c r="Q111" i="85"/>
  <c r="C4" i="86"/>
  <c r="C76"/>
  <c r="F4" i="88"/>
  <c r="C97"/>
  <c r="Q111"/>
  <c r="D111" i="79"/>
  <c r="B61" i="80"/>
  <c r="Q75"/>
  <c r="G76"/>
  <c r="N111"/>
  <c r="C183"/>
  <c r="F4" i="89"/>
  <c r="G76"/>
  <c r="N111"/>
  <c r="C147"/>
  <c r="C4" i="90"/>
  <c r="C4" i="91"/>
  <c r="I147"/>
  <c r="N75" i="92"/>
  <c r="D111"/>
  <c r="P111"/>
  <c r="C97" i="93"/>
  <c r="F4" i="95"/>
  <c r="C97"/>
  <c r="Q111"/>
  <c r="B4" i="96"/>
  <c r="B61"/>
  <c r="N111"/>
  <c r="E133"/>
  <c r="F147"/>
  <c r="G159"/>
  <c r="B4" i="98"/>
  <c r="H4"/>
  <c r="C76"/>
  <c r="S111"/>
  <c r="F183"/>
  <c r="Q75" i="99"/>
  <c r="F61" i="100"/>
  <c r="O111"/>
  <c r="F147"/>
  <c r="F97" i="101"/>
  <c r="C4" i="102"/>
  <c r="C76"/>
  <c r="O111" i="108"/>
  <c r="B4" i="109"/>
  <c r="H4"/>
  <c r="F97"/>
  <c r="B204"/>
  <c r="C97" i="127"/>
  <c r="F147"/>
  <c r="F4" i="128"/>
  <c r="S111"/>
  <c r="G113"/>
  <c r="D116"/>
  <c r="H116"/>
  <c r="E117"/>
  <c r="E118"/>
  <c r="D133"/>
  <c r="B147"/>
  <c r="F183"/>
  <c r="B4" i="129"/>
  <c r="N111"/>
  <c r="T111"/>
  <c r="C147"/>
  <c r="C147" i="32"/>
  <c r="F61" i="40"/>
  <c r="B147"/>
  <c r="E204"/>
  <c r="F4" i="41"/>
  <c r="F61" i="44"/>
  <c r="O75"/>
  <c r="C4" i="45"/>
  <c r="C76" i="48"/>
  <c r="B204"/>
  <c r="O75" i="49"/>
  <c r="B61" i="50"/>
  <c r="H61"/>
  <c r="Q111"/>
  <c r="I111" i="53"/>
  <c r="T111"/>
  <c r="H204"/>
  <c r="I76" i="55"/>
  <c r="F204"/>
  <c r="D111" i="56"/>
  <c r="Q111" i="57"/>
  <c r="P111" i="58"/>
  <c r="G76" i="60"/>
  <c r="C97"/>
  <c r="Q111"/>
  <c r="F147"/>
  <c r="K374" i="130"/>
  <c r="F531"/>
  <c r="C21" i="111"/>
  <c r="C48"/>
  <c r="C63"/>
  <c r="D155"/>
  <c r="C338"/>
  <c r="C366"/>
  <c r="D386"/>
  <c r="D400"/>
  <c r="D410"/>
  <c r="C463"/>
  <c r="D493"/>
  <c r="C498"/>
  <c r="C525"/>
  <c r="D540"/>
  <c r="D550"/>
  <c r="C563"/>
  <c r="D593"/>
  <c r="D601"/>
  <c r="C624"/>
  <c r="C669"/>
  <c r="D709"/>
  <c r="C715"/>
  <c r="C732"/>
  <c r="D797"/>
  <c r="C806"/>
  <c r="C860"/>
  <c r="D934"/>
  <c r="C939"/>
  <c r="C946"/>
  <c r="D7" i="112"/>
  <c r="F8" i="59"/>
  <c r="I8"/>
  <c r="G9"/>
  <c r="E10"/>
  <c r="H10"/>
  <c r="F11"/>
  <c r="I11"/>
  <c r="H153" i="46"/>
  <c r="H23" s="1"/>
  <c r="G152"/>
  <c r="G22" s="1"/>
  <c r="G154" i="50"/>
  <c r="G24" s="1"/>
  <c r="I153"/>
  <c r="I23" s="1"/>
  <c r="F153"/>
  <c r="F23" s="1"/>
  <c r="H152"/>
  <c r="H22" s="1"/>
  <c r="E152"/>
  <c r="E22" s="1"/>
  <c r="G151"/>
  <c r="G21" s="1"/>
  <c r="I150"/>
  <c r="I20" s="1"/>
  <c r="F150"/>
  <c r="F20" s="1"/>
  <c r="G153" i="51"/>
  <c r="G23" s="1"/>
  <c r="H150"/>
  <c r="H20" s="1"/>
  <c r="G154" i="55"/>
  <c r="G24" s="1"/>
  <c r="I153"/>
  <c r="I23" s="1"/>
  <c r="H153" i="57"/>
  <c r="H23" s="1"/>
  <c r="G152"/>
  <c r="G22" s="1"/>
  <c r="I150"/>
  <c r="I20" s="1"/>
  <c r="H12" i="45"/>
  <c r="I10"/>
  <c r="E9"/>
  <c r="D13" i="52"/>
  <c r="D8"/>
  <c r="H13"/>
  <c r="E13"/>
  <c r="G12"/>
  <c r="F11"/>
  <c r="H10"/>
  <c r="D13" i="53"/>
  <c r="I13"/>
  <c r="I12"/>
  <c r="E12"/>
  <c r="E11"/>
  <c r="F10"/>
  <c r="F9"/>
  <c r="H12" i="58"/>
  <c r="I10"/>
  <c r="D13" i="59"/>
  <c r="D8"/>
  <c r="G152" i="32"/>
  <c r="G22" s="1"/>
  <c r="E150"/>
  <c r="E20" s="1"/>
  <c r="D13" i="38"/>
  <c r="D8"/>
  <c r="G13"/>
  <c r="G12"/>
  <c r="H10"/>
  <c r="H9"/>
  <c r="E8"/>
  <c r="D12" i="39"/>
  <c r="I13"/>
  <c r="F11"/>
  <c r="F10"/>
  <c r="G9"/>
  <c r="G13" i="40"/>
  <c r="I12"/>
  <c r="F12"/>
  <c r="H11"/>
  <c r="E11"/>
  <c r="I9"/>
  <c r="F9"/>
  <c r="D12" i="41"/>
  <c r="G13"/>
  <c r="F12"/>
  <c r="I10"/>
  <c r="H9"/>
  <c r="D12" i="42"/>
  <c r="I13"/>
  <c r="E13"/>
  <c r="E12"/>
  <c r="F10"/>
  <c r="G9"/>
  <c r="G13" i="43"/>
  <c r="I12"/>
  <c r="F12"/>
  <c r="E11"/>
  <c r="I9"/>
  <c r="F9"/>
  <c r="D12" i="44"/>
  <c r="G13"/>
  <c r="F12"/>
  <c r="I10"/>
  <c r="H9"/>
  <c r="D12" i="46"/>
  <c r="E12"/>
  <c r="F10"/>
  <c r="G9"/>
  <c r="G13" i="47"/>
  <c r="I12"/>
  <c r="F12"/>
  <c r="H11"/>
  <c r="E11"/>
  <c r="G10"/>
  <c r="I9"/>
  <c r="F9"/>
  <c r="H8"/>
  <c r="E8"/>
  <c r="D12" i="48"/>
  <c r="G13"/>
  <c r="H9"/>
  <c r="E8"/>
  <c r="D12" i="49"/>
  <c r="I13"/>
  <c r="E12"/>
  <c r="F11"/>
  <c r="G13" i="50"/>
  <c r="I12"/>
  <c r="F12"/>
  <c r="H11"/>
  <c r="E11"/>
  <c r="I9"/>
  <c r="F9"/>
  <c r="H8"/>
  <c r="E8"/>
  <c r="D12" i="51"/>
  <c r="G13"/>
  <c r="F12"/>
  <c r="I10"/>
  <c r="H9"/>
  <c r="E8"/>
  <c r="D12" i="54"/>
  <c r="E13"/>
  <c r="F11"/>
  <c r="F10"/>
  <c r="G9"/>
  <c r="G13" i="55"/>
  <c r="I12"/>
  <c r="F12"/>
  <c r="H11"/>
  <c r="E11"/>
  <c r="G10"/>
  <c r="I9"/>
  <c r="F9"/>
  <c r="H8"/>
  <c r="D12" i="56"/>
  <c r="G13"/>
  <c r="F12"/>
  <c r="I10"/>
  <c r="H9"/>
  <c r="E8"/>
  <c r="D12" i="57"/>
  <c r="G13" i="60"/>
  <c r="I12"/>
  <c r="F12"/>
  <c r="H11"/>
  <c r="E11"/>
  <c r="G10"/>
  <c r="H8"/>
  <c r="H154" i="38"/>
  <c r="H24" s="1"/>
  <c r="H153"/>
  <c r="H23" s="1"/>
  <c r="I152"/>
  <c r="I22" s="1"/>
  <c r="I151"/>
  <c r="I21" s="1"/>
  <c r="E151"/>
  <c r="E21" s="1"/>
  <c r="E150"/>
  <c r="E20" s="1"/>
  <c r="G154" i="39"/>
  <c r="G24" s="1"/>
  <c r="H153"/>
  <c r="H23" s="1"/>
  <c r="H152"/>
  <c r="H22" s="1"/>
  <c r="I151"/>
  <c r="I21" s="1"/>
  <c r="I150"/>
  <c r="I20" s="1"/>
  <c r="E150"/>
  <c r="E20" s="1"/>
  <c r="G152" i="42"/>
  <c r="G22" s="1"/>
  <c r="H154" i="44"/>
  <c r="H24" s="1"/>
  <c r="G153"/>
  <c r="G23" s="1"/>
  <c r="I151"/>
  <c r="I21" s="1"/>
  <c r="H150"/>
  <c r="H20" s="1"/>
  <c r="G154" i="47"/>
  <c r="G24" s="1"/>
  <c r="I153"/>
  <c r="I23" s="1"/>
  <c r="F153"/>
  <c r="F23" s="1"/>
  <c r="H152"/>
  <c r="H22" s="1"/>
  <c r="E152"/>
  <c r="E22" s="1"/>
  <c r="G151"/>
  <c r="G21" s="1"/>
  <c r="I150"/>
  <c r="I20" s="1"/>
  <c r="F150"/>
  <c r="F20" s="1"/>
  <c r="D10" i="59"/>
  <c r="H153" i="32"/>
  <c r="H23" s="1"/>
  <c r="F151"/>
  <c r="F21" s="1"/>
  <c r="E153"/>
  <c r="E23" s="1"/>
  <c r="I154"/>
  <c r="I24" s="1"/>
  <c r="D10" i="38"/>
  <c r="H13"/>
  <c r="I12"/>
  <c r="I11"/>
  <c r="I9"/>
  <c r="H8"/>
  <c r="H13" i="40"/>
  <c r="E13"/>
  <c r="G12"/>
  <c r="I11"/>
  <c r="F11"/>
  <c r="H10"/>
  <c r="E10"/>
  <c r="G9"/>
  <c r="H12" i="41"/>
  <c r="G11"/>
  <c r="I9"/>
  <c r="H8"/>
  <c r="H13" i="43"/>
  <c r="E13"/>
  <c r="I11"/>
  <c r="F11"/>
  <c r="H10"/>
  <c r="E10"/>
  <c r="G9"/>
  <c r="H12" i="44"/>
  <c r="I9"/>
  <c r="H8"/>
  <c r="H13" i="47"/>
  <c r="E13"/>
  <c r="G12"/>
  <c r="I11"/>
  <c r="F11"/>
  <c r="H10"/>
  <c r="E10"/>
  <c r="I8"/>
  <c r="H12" i="48"/>
  <c r="G11"/>
  <c r="I9"/>
  <c r="H13" i="50"/>
  <c r="E13"/>
  <c r="I11"/>
  <c r="F11"/>
  <c r="G9"/>
  <c r="H12" i="51"/>
  <c r="G11"/>
  <c r="H8"/>
  <c r="H13" i="55"/>
  <c r="G12"/>
  <c r="I11"/>
  <c r="E10"/>
  <c r="H12" i="56"/>
  <c r="I9"/>
  <c r="H8"/>
  <c r="E13" i="60"/>
  <c r="I11"/>
  <c r="F11"/>
  <c r="H10"/>
  <c r="G9"/>
  <c r="I8"/>
  <c r="I154" i="38"/>
  <c r="I24" s="1"/>
  <c r="E154"/>
  <c r="E24" s="1"/>
  <c r="E153"/>
  <c r="E23" s="1"/>
  <c r="F152"/>
  <c r="F22" s="1"/>
  <c r="F151"/>
  <c r="F21" s="1"/>
  <c r="G150"/>
  <c r="G20" s="1"/>
  <c r="I154" i="39"/>
  <c r="I24" s="1"/>
  <c r="I153"/>
  <c r="I23" s="1"/>
  <c r="E153"/>
  <c r="E23" s="1"/>
  <c r="E152"/>
  <c r="E22" s="1"/>
  <c r="F151"/>
  <c r="F21" s="1"/>
  <c r="F150"/>
  <c r="F20" s="1"/>
  <c r="G152" i="41"/>
  <c r="G22" s="1"/>
  <c r="I149"/>
  <c r="I19" s="1"/>
  <c r="F153" i="42"/>
  <c r="F23" s="1"/>
  <c r="H150"/>
  <c r="H20" s="1"/>
  <c r="H153" i="44"/>
  <c r="H23" s="1"/>
  <c r="G152"/>
  <c r="G22" s="1"/>
  <c r="E151"/>
  <c r="E21" s="1"/>
  <c r="G154" i="46"/>
  <c r="G24" s="1"/>
  <c r="F153"/>
  <c r="F23" s="1"/>
  <c r="I151"/>
  <c r="I21" s="1"/>
  <c r="H150"/>
  <c r="H20" s="1"/>
  <c r="H154" i="47"/>
  <c r="H24" s="1"/>
  <c r="E154"/>
  <c r="E24" s="1"/>
  <c r="G153"/>
  <c r="G23" s="1"/>
  <c r="I152"/>
  <c r="I22" s="1"/>
  <c r="F152"/>
  <c r="F22" s="1"/>
  <c r="H151"/>
  <c r="H21" s="1"/>
  <c r="E151"/>
  <c r="E21" s="1"/>
  <c r="G150"/>
  <c r="G20" s="1"/>
  <c r="I154" i="48"/>
  <c r="I24" s="1"/>
  <c r="E154"/>
  <c r="E24" s="1"/>
  <c r="E153"/>
  <c r="E23" s="1"/>
  <c r="F152"/>
  <c r="F22" s="1"/>
  <c r="G150"/>
  <c r="G20" s="1"/>
  <c r="I154" i="49"/>
  <c r="I24" s="1"/>
  <c r="I153"/>
  <c r="I23" s="1"/>
  <c r="E153"/>
  <c r="E23" s="1"/>
  <c r="E152"/>
  <c r="E22" s="1"/>
  <c r="F151"/>
  <c r="F21" s="1"/>
  <c r="F150"/>
  <c r="F20" s="1"/>
  <c r="G152" i="51"/>
  <c r="G22" s="1"/>
  <c r="F153" i="54"/>
  <c r="F23" s="1"/>
  <c r="H150"/>
  <c r="H20" s="1"/>
  <c r="H153" i="56"/>
  <c r="H23" s="1"/>
  <c r="G152"/>
  <c r="G22" s="1"/>
  <c r="E151"/>
  <c r="E21" s="1"/>
  <c r="I149"/>
  <c r="I19" s="1"/>
  <c r="G154" i="57"/>
  <c r="G24" s="1"/>
  <c r="F153"/>
  <c r="F23" s="1"/>
  <c r="H150"/>
  <c r="H20" s="1"/>
  <c r="H154" i="60"/>
  <c r="H24" s="1"/>
  <c r="E154"/>
  <c r="E24" s="1"/>
  <c r="G153"/>
  <c r="G23" s="1"/>
  <c r="I152"/>
  <c r="I22" s="1"/>
  <c r="I13" i="45"/>
  <c r="E12"/>
  <c r="F10"/>
  <c r="G13" i="52"/>
  <c r="F12"/>
  <c r="H11"/>
  <c r="E11"/>
  <c r="G10"/>
  <c r="I9"/>
  <c r="F9"/>
  <c r="D10" i="53"/>
  <c r="G13"/>
  <c r="H12"/>
  <c r="H11"/>
  <c r="I10"/>
  <c r="I9"/>
  <c r="E9"/>
  <c r="E8"/>
  <c r="H153" i="58"/>
  <c r="H23" s="1"/>
  <c r="I151"/>
  <c r="I21" s="1"/>
  <c r="E150"/>
  <c r="E20" s="1"/>
  <c r="I154" i="59"/>
  <c r="I24" s="1"/>
  <c r="E153"/>
  <c r="E23" s="1"/>
  <c r="F151"/>
  <c r="F21" s="1"/>
  <c r="H12" i="67"/>
  <c r="I10"/>
  <c r="E9"/>
  <c r="D10" i="69"/>
  <c r="I13"/>
  <c r="E12"/>
  <c r="F10"/>
  <c r="H12" i="70"/>
  <c r="E9"/>
  <c r="D10" i="72"/>
  <c r="H12" i="73"/>
  <c r="I10"/>
  <c r="D10" i="75"/>
  <c r="H12" i="78"/>
  <c r="I10"/>
  <c r="E9"/>
  <c r="D10" i="82"/>
  <c r="I13"/>
  <c r="F10"/>
  <c r="E9"/>
  <c r="D10" i="84"/>
  <c r="D10" i="86"/>
  <c r="I10" i="87"/>
  <c r="E9"/>
  <c r="G13" i="79"/>
  <c r="I12"/>
  <c r="F12"/>
  <c r="H11"/>
  <c r="E11"/>
  <c r="G10"/>
  <c r="I9"/>
  <c r="F9"/>
  <c r="D10" i="89"/>
  <c r="E12"/>
  <c r="F10"/>
  <c r="G8"/>
  <c r="H12" i="90"/>
  <c r="I10"/>
  <c r="D13" i="91"/>
  <c r="D9"/>
  <c r="D10" i="92"/>
  <c r="I13"/>
  <c r="F10"/>
  <c r="G8"/>
  <c r="D12" i="93"/>
  <c r="D9"/>
  <c r="I13"/>
  <c r="G11"/>
  <c r="F10"/>
  <c r="G9"/>
  <c r="G8"/>
  <c r="D13" i="94"/>
  <c r="I13" i="95"/>
  <c r="E12"/>
  <c r="F10"/>
  <c r="D12" i="96"/>
  <c r="I13"/>
  <c r="E13"/>
  <c r="E12"/>
  <c r="F11"/>
  <c r="F10"/>
  <c r="G9"/>
  <c r="G8"/>
  <c r="D13" i="97"/>
  <c r="D10" i="98"/>
  <c r="I13"/>
  <c r="E12"/>
  <c r="D12" i="99"/>
  <c r="I13"/>
  <c r="E13"/>
  <c r="E12"/>
  <c r="F10"/>
  <c r="D13" i="100"/>
  <c r="I13" i="101"/>
  <c r="E12"/>
  <c r="F10"/>
  <c r="D12" i="102"/>
  <c r="D9"/>
  <c r="I13"/>
  <c r="E13"/>
  <c r="E12"/>
  <c r="F10"/>
  <c r="G9"/>
  <c r="G8"/>
  <c r="D13" i="108"/>
  <c r="I13" i="109"/>
  <c r="E12"/>
  <c r="D12" i="127"/>
  <c r="F10"/>
  <c r="G8"/>
  <c r="H154" i="67"/>
  <c r="H24" s="1"/>
  <c r="H153"/>
  <c r="H23" s="1"/>
  <c r="I152"/>
  <c r="I22" s="1"/>
  <c r="I151"/>
  <c r="I21" s="1"/>
  <c r="E150"/>
  <c r="E20" s="1"/>
  <c r="I154" i="68"/>
  <c r="I24" s="1"/>
  <c r="E153"/>
  <c r="E23" s="1"/>
  <c r="F151"/>
  <c r="F21" s="1"/>
  <c r="I154" i="74"/>
  <c r="I24" s="1"/>
  <c r="E153"/>
  <c r="E23" s="1"/>
  <c r="I154" i="93"/>
  <c r="I24" s="1"/>
  <c r="I153"/>
  <c r="I23" s="1"/>
  <c r="E153"/>
  <c r="E23" s="1"/>
  <c r="F151"/>
  <c r="F21" s="1"/>
  <c r="F150"/>
  <c r="F20" s="1"/>
  <c r="I154" i="98"/>
  <c r="I24" s="1"/>
  <c r="G154" i="52"/>
  <c r="G24" s="1"/>
  <c r="I153"/>
  <c r="I23" s="1"/>
  <c r="F153"/>
  <c r="F23" s="1"/>
  <c r="H152"/>
  <c r="H22" s="1"/>
  <c r="E152"/>
  <c r="E22" s="1"/>
  <c r="G151"/>
  <c r="G21" s="1"/>
  <c r="I150"/>
  <c r="I20" s="1"/>
  <c r="F150"/>
  <c r="F20" s="1"/>
  <c r="H153" i="59"/>
  <c r="H23" s="1"/>
  <c r="I151"/>
  <c r="I21" s="1"/>
  <c r="E150"/>
  <c r="E20" s="1"/>
  <c r="D10" i="68"/>
  <c r="I13"/>
  <c r="E12"/>
  <c r="F10"/>
  <c r="G8"/>
  <c r="H12" i="69"/>
  <c r="D10" i="71"/>
  <c r="I13"/>
  <c r="E12"/>
  <c r="F10"/>
  <c r="G8"/>
  <c r="I13" i="74"/>
  <c r="E12"/>
  <c r="F10"/>
  <c r="G8"/>
  <c r="D13" i="76"/>
  <c r="I13" i="83"/>
  <c r="H12" i="101"/>
  <c r="H12" i="109"/>
  <c r="H12" i="127"/>
  <c r="I10"/>
  <c r="H153" i="68"/>
  <c r="H23" s="1"/>
  <c r="I151"/>
  <c r="I21" s="1"/>
  <c r="E150"/>
  <c r="E20" s="1"/>
  <c r="H153" i="70"/>
  <c r="H23" s="1"/>
  <c r="I151"/>
  <c r="I21" s="1"/>
  <c r="E150"/>
  <c r="E20" s="1"/>
  <c r="I154" i="71"/>
  <c r="I24" s="1"/>
  <c r="E153"/>
  <c r="E23" s="1"/>
  <c r="F151"/>
  <c r="F21" s="1"/>
  <c r="H154" i="72"/>
  <c r="H24" s="1"/>
  <c r="H153"/>
  <c r="H23" s="1"/>
  <c r="I152"/>
  <c r="I22" s="1"/>
  <c r="I151"/>
  <c r="I21" s="1"/>
  <c r="E151"/>
  <c r="E21" s="1"/>
  <c r="E150"/>
  <c r="E20" s="1"/>
  <c r="H153" i="74"/>
  <c r="H23" s="1"/>
  <c r="I151"/>
  <c r="I21" s="1"/>
  <c r="E150"/>
  <c r="E20" s="1"/>
  <c r="H153" i="76"/>
  <c r="H23" s="1"/>
  <c r="I151"/>
  <c r="I21" s="1"/>
  <c r="E150"/>
  <c r="E20" s="1"/>
  <c r="I154" i="77"/>
  <c r="I24" s="1"/>
  <c r="E153"/>
  <c r="E23" s="1"/>
  <c r="F154" i="78"/>
  <c r="F24" s="1"/>
  <c r="I152"/>
  <c r="I22" s="1"/>
  <c r="I151"/>
  <c r="I21" s="1"/>
  <c r="E151"/>
  <c r="E21" s="1"/>
  <c r="H153" i="82"/>
  <c r="H23" s="1"/>
  <c r="I151"/>
  <c r="I21" s="1"/>
  <c r="E150"/>
  <c r="E20" s="1"/>
  <c r="H153" i="84"/>
  <c r="H23" s="1"/>
  <c r="F152"/>
  <c r="F22" s="1"/>
  <c r="F151"/>
  <c r="F21" s="1"/>
  <c r="G150"/>
  <c r="G20" s="1"/>
  <c r="I154" i="85"/>
  <c r="I24" s="1"/>
  <c r="E153"/>
  <c r="E23" s="1"/>
  <c r="F151"/>
  <c r="F21" s="1"/>
  <c r="H154" i="86"/>
  <c r="H24" s="1"/>
  <c r="H153"/>
  <c r="H23" s="1"/>
  <c r="I152"/>
  <c r="I22" s="1"/>
  <c r="I151"/>
  <c r="I21" s="1"/>
  <c r="E151"/>
  <c r="E21" s="1"/>
  <c r="G150"/>
  <c r="G20" s="1"/>
  <c r="F154" i="87"/>
  <c r="F24" s="1"/>
  <c r="I152"/>
  <c r="I22" s="1"/>
  <c r="I151"/>
  <c r="I21" s="1"/>
  <c r="E151"/>
  <c r="E21" s="1"/>
  <c r="E150"/>
  <c r="E20" s="1"/>
  <c r="F149"/>
  <c r="F19" s="1"/>
  <c r="H153" i="89"/>
  <c r="H23" s="1"/>
  <c r="I151"/>
  <c r="I21" s="1"/>
  <c r="E150"/>
  <c r="E20" s="1"/>
  <c r="I154" i="90"/>
  <c r="I24" s="1"/>
  <c r="H153"/>
  <c r="H23" s="1"/>
  <c r="I152"/>
  <c r="I22" s="1"/>
  <c r="F152"/>
  <c r="F22" s="1"/>
  <c r="G151"/>
  <c r="G21" s="1"/>
  <c r="I150"/>
  <c r="I20" s="1"/>
  <c r="F150"/>
  <c r="F20" s="1"/>
  <c r="H154" i="91"/>
  <c r="H24" s="1"/>
  <c r="H153"/>
  <c r="H23" s="1"/>
  <c r="I152"/>
  <c r="I22" s="1"/>
  <c r="I151"/>
  <c r="I21" s="1"/>
  <c r="E151"/>
  <c r="E21" s="1"/>
  <c r="E150"/>
  <c r="E20" s="1"/>
  <c r="F149"/>
  <c r="F19" s="1"/>
  <c r="F154" i="93"/>
  <c r="F24" s="1"/>
  <c r="F153"/>
  <c r="F23" s="1"/>
  <c r="G152"/>
  <c r="G22" s="1"/>
  <c r="G151"/>
  <c r="G21" s="1"/>
  <c r="H150"/>
  <c r="H20" s="1"/>
  <c r="I149"/>
  <c r="I19" s="1"/>
  <c r="F149"/>
  <c r="F19" s="1"/>
  <c r="I154" i="94"/>
  <c r="I24" s="1"/>
  <c r="E154"/>
  <c r="E24" s="1"/>
  <c r="E153"/>
  <c r="E23" s="1"/>
  <c r="F152"/>
  <c r="F22" s="1"/>
  <c r="F151"/>
  <c r="F21" s="1"/>
  <c r="G150"/>
  <c r="G20" s="1"/>
  <c r="I154" i="95"/>
  <c r="I24" s="1"/>
  <c r="E153"/>
  <c r="E23" s="1"/>
  <c r="F151"/>
  <c r="F21" s="1"/>
  <c r="H153" i="98"/>
  <c r="H23" s="1"/>
  <c r="I151"/>
  <c r="I21" s="1"/>
  <c r="E150"/>
  <c r="E20" s="1"/>
  <c r="I154" i="99"/>
  <c r="I24" s="1"/>
  <c r="I153"/>
  <c r="I23" s="1"/>
  <c r="E153"/>
  <c r="E23" s="1"/>
  <c r="E152"/>
  <c r="E22" s="1"/>
  <c r="F151"/>
  <c r="F21" s="1"/>
  <c r="F150"/>
  <c r="F20" s="1"/>
  <c r="I154" i="100"/>
  <c r="I24" s="1"/>
  <c r="E154"/>
  <c r="E24" s="1"/>
  <c r="E153"/>
  <c r="E23" s="1"/>
  <c r="F152"/>
  <c r="F22" s="1"/>
  <c r="F151"/>
  <c r="F21" s="1"/>
  <c r="G150"/>
  <c r="G20" s="1"/>
  <c r="G149"/>
  <c r="I154" i="101"/>
  <c r="I24" s="1"/>
  <c r="E153"/>
  <c r="E23" s="1"/>
  <c r="F151"/>
  <c r="F21" s="1"/>
  <c r="G154" i="102"/>
  <c r="G24" s="1"/>
  <c r="H153"/>
  <c r="H23" s="1"/>
  <c r="H152"/>
  <c r="H22" s="1"/>
  <c r="I151"/>
  <c r="I21" s="1"/>
  <c r="I150"/>
  <c r="I20" s="1"/>
  <c r="E150"/>
  <c r="E20" s="1"/>
  <c r="H154" i="108"/>
  <c r="H24" s="1"/>
  <c r="H153"/>
  <c r="H23" s="1"/>
  <c r="I152"/>
  <c r="I22" s="1"/>
  <c r="I151"/>
  <c r="I21" s="1"/>
  <c r="E151"/>
  <c r="E21" s="1"/>
  <c r="G150"/>
  <c r="G20" s="1"/>
  <c r="I154" i="127"/>
  <c r="I24" s="1"/>
  <c r="E153"/>
  <c r="E23" s="1"/>
  <c r="F151"/>
  <c r="F21" s="1"/>
  <c r="G154" i="129"/>
  <c r="G24" s="1"/>
  <c r="G35" s="1"/>
  <c r="H153"/>
  <c r="H23" s="1"/>
  <c r="H34" s="1"/>
  <c r="H152"/>
  <c r="H22" s="1"/>
  <c r="H33" s="1"/>
  <c r="I151"/>
  <c r="I21" s="1"/>
  <c r="I32" s="1"/>
  <c r="I150"/>
  <c r="I20" s="1"/>
  <c r="I31" s="1"/>
  <c r="E150"/>
  <c r="E20" s="1"/>
  <c r="E31" s="1"/>
  <c r="G154" i="45"/>
  <c r="G24" s="1"/>
  <c r="H153"/>
  <c r="H23" s="1"/>
  <c r="I151"/>
  <c r="I21" s="1"/>
  <c r="I150"/>
  <c r="I20" s="1"/>
  <c r="H154" i="52"/>
  <c r="H24" s="1"/>
  <c r="E154"/>
  <c r="E24" s="1"/>
  <c r="G153"/>
  <c r="G23" s="1"/>
  <c r="I152"/>
  <c r="I22" s="1"/>
  <c r="F152"/>
  <c r="F22" s="1"/>
  <c r="H151"/>
  <c r="H21" s="1"/>
  <c r="E151"/>
  <c r="E21" s="1"/>
  <c r="G150"/>
  <c r="G20" s="1"/>
  <c r="I149"/>
  <c r="I19" s="1"/>
  <c r="I154" i="53"/>
  <c r="I24" s="1"/>
  <c r="E154"/>
  <c r="E24" s="1"/>
  <c r="E153"/>
  <c r="E23" s="1"/>
  <c r="F152"/>
  <c r="F22" s="1"/>
  <c r="I154" i="58"/>
  <c r="I24" s="1"/>
  <c r="E153"/>
  <c r="E23" s="1"/>
  <c r="F151"/>
  <c r="F21" s="1"/>
  <c r="D10" i="67"/>
  <c r="I13"/>
  <c r="F10"/>
  <c r="G8"/>
  <c r="H12" i="68"/>
  <c r="I10"/>
  <c r="E9"/>
  <c r="D10" i="70"/>
  <c r="I13"/>
  <c r="E12"/>
  <c r="F10"/>
  <c r="G8"/>
  <c r="H12" i="71"/>
  <c r="I10"/>
  <c r="E9"/>
  <c r="D13" i="72"/>
  <c r="D10" i="73"/>
  <c r="I13"/>
  <c r="E12"/>
  <c r="F10"/>
  <c r="G8"/>
  <c r="H12" i="74"/>
  <c r="I10"/>
  <c r="E9"/>
  <c r="D10" i="76"/>
  <c r="I13"/>
  <c r="E12"/>
  <c r="G8"/>
  <c r="D13" i="77"/>
  <c r="D9"/>
  <c r="D10" i="78"/>
  <c r="I13"/>
  <c r="E12"/>
  <c r="F10"/>
  <c r="G8"/>
  <c r="H12" i="81"/>
  <c r="I10"/>
  <c r="E9"/>
  <c r="D13" i="82"/>
  <c r="D9"/>
  <c r="F13"/>
  <c r="G11"/>
  <c r="H9"/>
  <c r="G8"/>
  <c r="H12" i="83"/>
  <c r="I10"/>
  <c r="E9"/>
  <c r="D13" i="84"/>
  <c r="D9"/>
  <c r="D10" i="85"/>
  <c r="I13"/>
  <c r="H12"/>
  <c r="H11"/>
  <c r="I10"/>
  <c r="E10"/>
  <c r="G9"/>
  <c r="F8"/>
  <c r="D13" i="86"/>
  <c r="D9"/>
  <c r="I13" i="87"/>
  <c r="E12"/>
  <c r="F10"/>
  <c r="H12" i="88"/>
  <c r="I10"/>
  <c r="E9"/>
  <c r="I13" i="79"/>
  <c r="F13"/>
  <c r="E12"/>
  <c r="G11"/>
  <c r="F10"/>
  <c r="H9"/>
  <c r="E9"/>
  <c r="E8"/>
  <c r="H12" i="80"/>
  <c r="I10"/>
  <c r="F9"/>
  <c r="G8"/>
  <c r="D13" i="89"/>
  <c r="D9"/>
  <c r="D10" i="90"/>
  <c r="I13"/>
  <c r="E12"/>
  <c r="F10"/>
  <c r="G8"/>
  <c r="F13" i="91"/>
  <c r="F12"/>
  <c r="G10"/>
  <c r="D13" i="92"/>
  <c r="D9"/>
  <c r="D11" i="93"/>
  <c r="F13"/>
  <c r="E12"/>
  <c r="I10"/>
  <c r="E10"/>
  <c r="E9"/>
  <c r="F8"/>
  <c r="D10" i="94"/>
  <c r="D13" i="95"/>
  <c r="D11" i="96"/>
  <c r="H13"/>
  <c r="H12"/>
  <c r="I11"/>
  <c r="I10"/>
  <c r="E10"/>
  <c r="E9"/>
  <c r="D10" i="97"/>
  <c r="D11" i="99"/>
  <c r="H13"/>
  <c r="H12"/>
  <c r="I11"/>
  <c r="I10"/>
  <c r="E10"/>
  <c r="E9"/>
  <c r="F8"/>
  <c r="D13" i="101"/>
  <c r="D11" i="102"/>
  <c r="H13"/>
  <c r="H12"/>
  <c r="I11"/>
  <c r="I10"/>
  <c r="E9"/>
  <c r="F8"/>
  <c r="F154" i="67"/>
  <c r="F24" s="1"/>
  <c r="G153"/>
  <c r="G23" s="1"/>
  <c r="G152"/>
  <c r="G22" s="1"/>
  <c r="F151"/>
  <c r="F21" s="1"/>
  <c r="H153" i="69"/>
  <c r="H23" s="1"/>
  <c r="H153" i="71"/>
  <c r="H23" s="1"/>
  <c r="I151"/>
  <c r="I21" s="1"/>
  <c r="E150"/>
  <c r="E20" s="1"/>
  <c r="I154" i="72"/>
  <c r="I24" s="1"/>
  <c r="E154"/>
  <c r="E24" s="1"/>
  <c r="E153"/>
  <c r="E23" s="1"/>
  <c r="F152"/>
  <c r="F22" s="1"/>
  <c r="F151"/>
  <c r="F21" s="1"/>
  <c r="G150"/>
  <c r="G20" s="1"/>
  <c r="H153" i="77"/>
  <c r="H23" s="1"/>
  <c r="I151"/>
  <c r="I21" s="1"/>
  <c r="E150"/>
  <c r="E20" s="1"/>
  <c r="F152" i="78"/>
  <c r="F22" s="1"/>
  <c r="F151"/>
  <c r="F21" s="1"/>
  <c r="G150"/>
  <c r="G20" s="1"/>
  <c r="I154" i="81"/>
  <c r="I24" s="1"/>
  <c r="H153" i="85"/>
  <c r="H23" s="1"/>
  <c r="I151"/>
  <c r="I21" s="1"/>
  <c r="E150"/>
  <c r="E20" s="1"/>
  <c r="I154" i="86"/>
  <c r="I24" s="1"/>
  <c r="E154"/>
  <c r="E24" s="1"/>
  <c r="E153"/>
  <c r="E23" s="1"/>
  <c r="F152"/>
  <c r="F22" s="1"/>
  <c r="F151"/>
  <c r="F21" s="1"/>
  <c r="H150"/>
  <c r="H20" s="1"/>
  <c r="I149"/>
  <c r="I19" s="1"/>
  <c r="F149"/>
  <c r="F19" s="1"/>
  <c r="I154" i="87"/>
  <c r="I24" s="1"/>
  <c r="E153"/>
  <c r="E23" s="1"/>
  <c r="F152"/>
  <c r="F22" s="1"/>
  <c r="F151"/>
  <c r="F21" s="1"/>
  <c r="G150"/>
  <c r="G20" s="1"/>
  <c r="I153" i="90"/>
  <c r="I23" s="1"/>
  <c r="E153"/>
  <c r="E23" s="1"/>
  <c r="G152"/>
  <c r="G22" s="1"/>
  <c r="H151"/>
  <c r="H21" s="1"/>
  <c r="E151"/>
  <c r="E21" s="1"/>
  <c r="G150"/>
  <c r="G20" s="1"/>
  <c r="I149"/>
  <c r="I19" s="1"/>
  <c r="F149"/>
  <c r="F19" s="1"/>
  <c r="H153" i="95"/>
  <c r="H23" s="1"/>
  <c r="I151"/>
  <c r="I21" s="1"/>
  <c r="E150"/>
  <c r="E20" s="1"/>
  <c r="H153" i="101"/>
  <c r="H23" s="1"/>
  <c r="I151"/>
  <c r="I21" s="1"/>
  <c r="E150"/>
  <c r="E20" s="1"/>
  <c r="I154" i="102"/>
  <c r="I24" s="1"/>
  <c r="I153"/>
  <c r="I23" s="1"/>
  <c r="E153"/>
  <c r="E23" s="1"/>
  <c r="E152"/>
  <c r="E22" s="1"/>
  <c r="F151"/>
  <c r="F21" s="1"/>
  <c r="F150"/>
  <c r="F20" s="1"/>
  <c r="H153" i="127"/>
  <c r="H23" s="1"/>
  <c r="I151"/>
  <c r="I21" s="1"/>
  <c r="E150"/>
  <c r="E20" s="1"/>
  <c r="I154" i="129"/>
  <c r="I24" s="1"/>
  <c r="I35" s="1"/>
  <c r="I153"/>
  <c r="I23" s="1"/>
  <c r="I34" s="1"/>
  <c r="E153"/>
  <c r="E23" s="1"/>
  <c r="E34" s="1"/>
  <c r="E152"/>
  <c r="E22" s="1"/>
  <c r="E33" s="1"/>
  <c r="F151"/>
  <c r="F21" s="1"/>
  <c r="F32" s="1"/>
  <c r="F150"/>
  <c r="F20" s="1"/>
  <c r="F31" s="1"/>
  <c r="F203" i="67"/>
  <c r="C203"/>
  <c r="G147"/>
  <c r="F147"/>
  <c r="C147"/>
  <c r="H76" i="69"/>
  <c r="F76"/>
  <c r="C76"/>
  <c r="G61" i="70"/>
  <c r="F61"/>
  <c r="I61"/>
  <c r="C61"/>
  <c r="K979" i="111"/>
  <c r="V979" s="1"/>
  <c r="G549" i="130"/>
  <c r="G4" i="67"/>
  <c r="F4"/>
  <c r="C4"/>
  <c r="F32" i="105"/>
  <c r="F26" i="130"/>
  <c r="F32" s="1"/>
  <c r="I32" i="105"/>
  <c r="I26" i="130"/>
  <c r="I32" s="1"/>
  <c r="E50" i="105"/>
  <c r="E44" i="130"/>
  <c r="E50" s="1"/>
  <c r="H50" i="105"/>
  <c r="H44" i="130"/>
  <c r="H50" s="1"/>
  <c r="K50" i="105"/>
  <c r="K44" i="130"/>
  <c r="E68" i="105"/>
  <c r="E62" i="130"/>
  <c r="E68" s="1"/>
  <c r="H68" i="105"/>
  <c r="H62" i="130"/>
  <c r="H68" s="1"/>
  <c r="E77" i="105"/>
  <c r="E71" i="130"/>
  <c r="E77" s="1"/>
  <c r="D16" i="131" s="1"/>
  <c r="H77" i="105"/>
  <c r="H71" i="130"/>
  <c r="H77" s="1"/>
  <c r="G16" i="131" s="1"/>
  <c r="K77" i="105"/>
  <c r="K71" i="130"/>
  <c r="K77" s="1"/>
  <c r="K16" i="131" s="1"/>
  <c r="E95" i="105"/>
  <c r="E89" i="130"/>
  <c r="E95" s="1"/>
  <c r="D17" i="131" s="1"/>
  <c r="H95" i="105"/>
  <c r="H89" i="130"/>
  <c r="H95" s="1"/>
  <c r="G17" i="131" s="1"/>
  <c r="E124" i="105"/>
  <c r="E118" i="130"/>
  <c r="E124" s="1"/>
  <c r="D22" i="131" s="1"/>
  <c r="H124" i="105"/>
  <c r="H118" i="130"/>
  <c r="H124" s="1"/>
  <c r="G22" i="131" s="1"/>
  <c r="K124" i="105"/>
  <c r="K118" i="130"/>
  <c r="K124" s="1"/>
  <c r="K22" i="131" s="1"/>
  <c r="E133" i="105"/>
  <c r="E127" i="130"/>
  <c r="E133" s="1"/>
  <c r="D24" i="131" s="1"/>
  <c r="H133" i="105"/>
  <c r="H127" i="130"/>
  <c r="H133" s="1"/>
  <c r="G24" i="131" s="1"/>
  <c r="K133" i="105"/>
  <c r="K127" i="130"/>
  <c r="K133" s="1"/>
  <c r="K24" i="131" s="1"/>
  <c r="E142" i="105"/>
  <c r="E136" i="130"/>
  <c r="E142" s="1"/>
  <c r="D25" i="131" s="1"/>
  <c r="H142" i="105"/>
  <c r="H136" i="130"/>
  <c r="H142" s="1"/>
  <c r="G25" i="131" s="1"/>
  <c r="K142" i="105"/>
  <c r="K136" i="130"/>
  <c r="K142" s="1"/>
  <c r="K25" i="131" s="1"/>
  <c r="E151" i="105"/>
  <c r="E145" i="130"/>
  <c r="E151" s="1"/>
  <c r="D32" i="131" s="1"/>
  <c r="H151" i="105"/>
  <c r="H145" i="130"/>
  <c r="H151" s="1"/>
  <c r="G32" i="131" s="1"/>
  <c r="K151" i="105"/>
  <c r="K145" i="130"/>
  <c r="K151" s="1"/>
  <c r="K32" i="131" s="1"/>
  <c r="E196" i="105"/>
  <c r="E190" i="130"/>
  <c r="E196" s="1"/>
  <c r="D23" i="131" s="1"/>
  <c r="H196" i="105"/>
  <c r="H190" i="130"/>
  <c r="H196" s="1"/>
  <c r="G23" i="131" s="1"/>
  <c r="D205" i="105"/>
  <c r="D199" i="130"/>
  <c r="D205" s="1"/>
  <c r="J214" i="105"/>
  <c r="J208" i="130"/>
  <c r="J214" s="1"/>
  <c r="J34" i="131" s="1"/>
  <c r="G223" i="105"/>
  <c r="G217" i="130"/>
  <c r="J223" i="105"/>
  <c r="J217" i="130"/>
  <c r="J223" s="1"/>
  <c r="J18" i="131" s="1"/>
  <c r="D246" i="105"/>
  <c r="D240" i="130"/>
  <c r="D246" s="1"/>
  <c r="G246" i="105"/>
  <c r="G240" i="130"/>
  <c r="G246" s="1"/>
  <c r="J255" i="105"/>
  <c r="J249" i="130"/>
  <c r="J255" s="1"/>
  <c r="J39" i="131" s="1"/>
  <c r="D255" i="105"/>
  <c r="D252" i="130"/>
  <c r="D255" s="1"/>
  <c r="G255" i="105"/>
  <c r="G252" i="130"/>
  <c r="G255" s="1"/>
  <c r="F39" i="131" s="1"/>
  <c r="G264" i="105"/>
  <c r="G258" i="130"/>
  <c r="G264" s="1"/>
  <c r="J264" i="105"/>
  <c r="J258" i="130"/>
  <c r="J264" s="1"/>
  <c r="E338" i="105"/>
  <c r="E332" i="130"/>
  <c r="E338" s="1"/>
  <c r="H338" i="105"/>
  <c r="H332" i="130"/>
  <c r="K338" i="105"/>
  <c r="K332" i="130"/>
  <c r="K338" s="1"/>
  <c r="D347" i="105"/>
  <c r="D341" i="130"/>
  <c r="D347" s="1"/>
  <c r="G347" i="105"/>
  <c r="G341" i="130"/>
  <c r="G347" s="1"/>
  <c r="J347" i="105"/>
  <c r="J341" i="130"/>
  <c r="J347" s="1"/>
  <c r="J356" i="105"/>
  <c r="J350" i="130"/>
  <c r="J356" s="1"/>
  <c r="D356" i="105"/>
  <c r="D353" i="130"/>
  <c r="D356" s="1"/>
  <c r="G356" i="105"/>
  <c r="G353" i="130"/>
  <c r="G356" s="1"/>
  <c r="G365" i="105"/>
  <c r="G359" i="130"/>
  <c r="G365" s="1"/>
  <c r="J365" i="105"/>
  <c r="J359" i="130"/>
  <c r="J365" s="1"/>
  <c r="E394" i="105"/>
  <c r="E388" i="130"/>
  <c r="E394" s="1"/>
  <c r="K394" i="105"/>
  <c r="K388" i="130"/>
  <c r="K394" s="1"/>
  <c r="G403" i="105"/>
  <c r="G397" i="130"/>
  <c r="G403" s="1"/>
  <c r="J403" i="105"/>
  <c r="J397" i="130"/>
  <c r="J403" s="1"/>
  <c r="G412" i="105"/>
  <c r="G409" i="130"/>
  <c r="G412" s="1"/>
  <c r="J421" i="105"/>
  <c r="J415" i="130"/>
  <c r="J421" s="1"/>
  <c r="F439" i="105"/>
  <c r="F433" i="130"/>
  <c r="F439" s="1"/>
  <c r="E44" i="131" s="1"/>
  <c r="I439" i="105"/>
  <c r="I433" i="130"/>
  <c r="I439" s="1"/>
  <c r="H44" i="131" s="1"/>
  <c r="E475" i="105"/>
  <c r="E469" i="130"/>
  <c r="E475" s="1"/>
  <c r="K475" i="105"/>
  <c r="K469" i="130"/>
  <c r="K475" s="1"/>
  <c r="F493" i="105"/>
  <c r="F487" i="130"/>
  <c r="F493" s="1"/>
  <c r="E502" i="105"/>
  <c r="E496" i="130"/>
  <c r="E502" s="1"/>
  <c r="I540" i="105"/>
  <c r="I534" i="130"/>
  <c r="I540" s="1"/>
  <c r="F540" i="105"/>
  <c r="F537" i="130"/>
  <c r="F540" s="1"/>
  <c r="F549" i="105"/>
  <c r="F543" i="130"/>
  <c r="F549" s="1"/>
  <c r="I549" i="105"/>
  <c r="I543" i="130"/>
  <c r="I549" s="1"/>
  <c r="I587" i="105"/>
  <c r="I581" i="130"/>
  <c r="I587" s="1"/>
  <c r="F587" i="105"/>
  <c r="F584" i="130"/>
  <c r="F587" s="1"/>
  <c r="F596" i="105"/>
  <c r="F590" i="130"/>
  <c r="F596" s="1"/>
  <c r="I596" i="105"/>
  <c r="I590" i="130"/>
  <c r="I596" s="1"/>
  <c r="I605" i="105"/>
  <c r="I599" i="130"/>
  <c r="I605" s="1"/>
  <c r="F605" i="105"/>
  <c r="F602" i="130"/>
  <c r="F605" s="1"/>
  <c r="D855" i="111"/>
  <c r="C850"/>
  <c r="I97" i="70"/>
  <c r="I61" i="71"/>
  <c r="I97"/>
  <c r="I97" i="73"/>
  <c r="Q75" i="74"/>
  <c r="I4" i="75"/>
  <c r="Q75" i="78"/>
  <c r="I133"/>
  <c r="I97" i="83"/>
  <c r="I61" i="84"/>
  <c r="I183"/>
  <c r="T111" i="87"/>
  <c r="I147" i="88"/>
  <c r="I4" i="79"/>
  <c r="I147"/>
  <c r="I76" i="67"/>
  <c r="F97"/>
  <c r="O111"/>
  <c r="T111"/>
  <c r="I4" i="68"/>
  <c r="D76"/>
  <c r="I76"/>
  <c r="F97"/>
  <c r="Q111"/>
  <c r="F183"/>
  <c r="I97" i="69"/>
  <c r="Q111"/>
  <c r="C4" i="70"/>
  <c r="H4"/>
  <c r="R75"/>
  <c r="C97"/>
  <c r="N111"/>
  <c r="F147"/>
  <c r="C4" i="71"/>
  <c r="H4"/>
  <c r="C61"/>
  <c r="R75"/>
  <c r="C97"/>
  <c r="N111"/>
  <c r="R111"/>
  <c r="I147"/>
  <c r="C4" i="72"/>
  <c r="H4"/>
  <c r="C76"/>
  <c r="I97"/>
  <c r="Q111"/>
  <c r="I147"/>
  <c r="E4" i="73"/>
  <c r="I4"/>
  <c r="F76"/>
  <c r="C97"/>
  <c r="N111"/>
  <c r="E4" i="74"/>
  <c r="C61"/>
  <c r="H61"/>
  <c r="N75"/>
  <c r="R75"/>
  <c r="G111"/>
  <c r="G133"/>
  <c r="C147"/>
  <c r="H147"/>
  <c r="I159"/>
  <c r="F183"/>
  <c r="C4" i="75"/>
  <c r="F76"/>
  <c r="I97"/>
  <c r="T111"/>
  <c r="C147"/>
  <c r="E4" i="76"/>
  <c r="I4"/>
  <c r="F76"/>
  <c r="C97"/>
  <c r="N111"/>
  <c r="F147"/>
  <c r="C4" i="77"/>
  <c r="H4"/>
  <c r="D61"/>
  <c r="P111"/>
  <c r="C147"/>
  <c r="H147"/>
  <c r="B202"/>
  <c r="B61" i="78"/>
  <c r="F61"/>
  <c r="N75"/>
  <c r="R75"/>
  <c r="D76"/>
  <c r="C97"/>
  <c r="G97"/>
  <c r="F111"/>
  <c r="N111"/>
  <c r="R111"/>
  <c r="C133"/>
  <c r="H159"/>
  <c r="E183"/>
  <c r="F202"/>
  <c r="B204"/>
  <c r="I204"/>
  <c r="F4" i="81"/>
  <c r="D76"/>
  <c r="I76"/>
  <c r="F97"/>
  <c r="Q111"/>
  <c r="I147"/>
  <c r="I4" i="82"/>
  <c r="F76"/>
  <c r="C97"/>
  <c r="N111"/>
  <c r="F147"/>
  <c r="F4" i="83"/>
  <c r="C76"/>
  <c r="G76"/>
  <c r="C97"/>
  <c r="N111"/>
  <c r="T111"/>
  <c r="C147"/>
  <c r="B4" i="84"/>
  <c r="C61"/>
  <c r="Q75"/>
  <c r="D111"/>
  <c r="P111"/>
  <c r="D133"/>
  <c r="B147"/>
  <c r="F147"/>
  <c r="F159"/>
  <c r="C183"/>
  <c r="D202"/>
  <c r="E4" i="85"/>
  <c r="I4"/>
  <c r="F76"/>
  <c r="C97"/>
  <c r="T111"/>
  <c r="I147"/>
  <c r="D159"/>
  <c r="H202"/>
  <c r="B204"/>
  <c r="I4" i="86"/>
  <c r="F76"/>
  <c r="C97"/>
  <c r="N111"/>
  <c r="F147"/>
  <c r="F4" i="87"/>
  <c r="C76"/>
  <c r="G76"/>
  <c r="C97"/>
  <c r="N111"/>
  <c r="F147"/>
  <c r="C4" i="88"/>
  <c r="H4"/>
  <c r="C76"/>
  <c r="I97"/>
  <c r="T111"/>
  <c r="C147"/>
  <c r="C4" i="79"/>
  <c r="I76"/>
  <c r="C147"/>
  <c r="H61" i="80"/>
  <c r="T75"/>
  <c r="D76"/>
  <c r="I76"/>
  <c r="F97"/>
  <c r="Q111"/>
  <c r="C133"/>
  <c r="B147"/>
  <c r="H147"/>
  <c r="C159"/>
  <c r="I183"/>
  <c r="I4" i="89"/>
  <c r="D76"/>
  <c r="I76"/>
  <c r="F97"/>
  <c r="Q111"/>
  <c r="I147"/>
  <c r="E4" i="90"/>
  <c r="I4"/>
  <c r="F76"/>
  <c r="C97"/>
  <c r="N111"/>
  <c r="F147"/>
  <c r="F4" i="91"/>
  <c r="C76"/>
  <c r="G76"/>
  <c r="C97"/>
  <c r="N111"/>
  <c r="C147"/>
  <c r="Q75" i="92"/>
  <c r="C76"/>
  <c r="G76"/>
  <c r="D133"/>
  <c r="B147"/>
  <c r="F147"/>
  <c r="F159"/>
  <c r="C183"/>
  <c r="C4" i="93"/>
  <c r="C76"/>
  <c r="G76"/>
  <c r="F97"/>
  <c r="Q111"/>
  <c r="I147"/>
  <c r="E61" i="94"/>
  <c r="Q75"/>
  <c r="C76"/>
  <c r="G76"/>
  <c r="C97"/>
  <c r="N111"/>
  <c r="F147"/>
  <c r="C4" i="95"/>
  <c r="H4"/>
  <c r="C76"/>
  <c r="I97"/>
  <c r="T111"/>
  <c r="C147"/>
  <c r="B202"/>
  <c r="H202"/>
  <c r="B204"/>
  <c r="H4" i="96"/>
  <c r="C61"/>
  <c r="H61"/>
  <c r="N75"/>
  <c r="R75"/>
  <c r="E76"/>
  <c r="C97"/>
  <c r="T111"/>
  <c r="H202"/>
  <c r="B204"/>
  <c r="C76" i="97"/>
  <c r="G76"/>
  <c r="C97"/>
  <c r="N111"/>
  <c r="E147" i="98"/>
  <c r="I147"/>
  <c r="C159"/>
  <c r="I183"/>
  <c r="B61" i="99"/>
  <c r="C76"/>
  <c r="G76"/>
  <c r="C97"/>
  <c r="N111"/>
  <c r="T111"/>
  <c r="C147"/>
  <c r="B4" i="100"/>
  <c r="F4"/>
  <c r="I61"/>
  <c r="O75"/>
  <c r="I97"/>
  <c r="Q111"/>
  <c r="I147"/>
  <c r="D183"/>
  <c r="B202"/>
  <c r="H202"/>
  <c r="B204"/>
  <c r="C76" i="101"/>
  <c r="G76"/>
  <c r="I147"/>
  <c r="I4" i="102"/>
  <c r="F76"/>
  <c r="C97"/>
  <c r="N111"/>
  <c r="F147"/>
  <c r="C76" i="108"/>
  <c r="I97"/>
  <c r="Q111"/>
  <c r="C76" i="109"/>
  <c r="I97"/>
  <c r="T111"/>
  <c r="B147"/>
  <c r="I183"/>
  <c r="B202"/>
  <c r="B4" i="127"/>
  <c r="F4"/>
  <c r="I76"/>
  <c r="I147"/>
  <c r="C76" i="128"/>
  <c r="G115"/>
  <c r="G118"/>
  <c r="F133"/>
  <c r="H147"/>
  <c r="C159"/>
  <c r="I183"/>
  <c r="C4" i="129"/>
  <c r="H4"/>
  <c r="C76"/>
  <c r="I97"/>
  <c r="Q111"/>
  <c r="F147"/>
  <c r="F4" i="32"/>
  <c r="C76"/>
  <c r="G76"/>
  <c r="C97"/>
  <c r="N111"/>
  <c r="F147"/>
  <c r="F4" i="38"/>
  <c r="C76"/>
  <c r="G76"/>
  <c r="C97"/>
  <c r="N111"/>
  <c r="T111"/>
  <c r="C147"/>
  <c r="C4" i="39"/>
  <c r="I76"/>
  <c r="I147"/>
  <c r="C61" i="40"/>
  <c r="H61"/>
  <c r="O75"/>
  <c r="T75"/>
  <c r="G76"/>
  <c r="C133"/>
  <c r="G133"/>
  <c r="E147"/>
  <c r="I159"/>
  <c r="E202"/>
  <c r="H204"/>
  <c r="C4" i="41"/>
  <c r="H4"/>
  <c r="C76"/>
  <c r="I97"/>
  <c r="T111"/>
  <c r="C147"/>
  <c r="C4" i="42"/>
  <c r="F76"/>
  <c r="I97"/>
  <c r="T111"/>
  <c r="C147"/>
  <c r="B202"/>
  <c r="E204"/>
  <c r="B4" i="43"/>
  <c r="F4"/>
  <c r="D61"/>
  <c r="F76"/>
  <c r="C97"/>
  <c r="T111"/>
  <c r="F147"/>
  <c r="B202"/>
  <c r="E204"/>
  <c r="E61" i="44"/>
  <c r="I61"/>
  <c r="Q75"/>
  <c r="C97"/>
  <c r="N111"/>
  <c r="F147"/>
  <c r="F4" i="45"/>
  <c r="C76"/>
  <c r="G76"/>
  <c r="C97"/>
  <c r="N111"/>
  <c r="F147"/>
  <c r="B61" i="46"/>
  <c r="T75"/>
  <c r="D76"/>
  <c r="I76"/>
  <c r="D111"/>
  <c r="P111"/>
  <c r="D133"/>
  <c r="B147"/>
  <c r="F147"/>
  <c r="F159"/>
  <c r="C183"/>
  <c r="D202"/>
  <c r="E4" i="47"/>
  <c r="I4"/>
  <c r="F76"/>
  <c r="C97"/>
  <c r="T111"/>
  <c r="B147"/>
  <c r="F147"/>
  <c r="B202"/>
  <c r="B4" i="48"/>
  <c r="F4"/>
  <c r="I76"/>
  <c r="F97"/>
  <c r="N111"/>
  <c r="C147"/>
  <c r="B202"/>
  <c r="E204"/>
  <c r="B4" i="49"/>
  <c r="B61"/>
  <c r="F61"/>
  <c r="Q75"/>
  <c r="D111"/>
  <c r="P111"/>
  <c r="D133"/>
  <c r="B147"/>
  <c r="F147"/>
  <c r="C183"/>
  <c r="D202"/>
  <c r="H4" i="50"/>
  <c r="N75"/>
  <c r="R75"/>
  <c r="I97"/>
  <c r="T111"/>
  <c r="C147"/>
  <c r="B4" i="51"/>
  <c r="F4"/>
  <c r="C76"/>
  <c r="D111"/>
  <c r="N111"/>
  <c r="T111"/>
  <c r="E133"/>
  <c r="B147"/>
  <c r="F147"/>
  <c r="I4" i="52"/>
  <c r="E147"/>
  <c r="I147"/>
  <c r="I183"/>
  <c r="N75" i="53"/>
  <c r="R75"/>
  <c r="F97"/>
  <c r="Q111"/>
  <c r="H133"/>
  <c r="B202"/>
  <c r="F202"/>
  <c r="E204"/>
  <c r="I204"/>
  <c r="F4" i="54"/>
  <c r="C76"/>
  <c r="I97"/>
  <c r="T111"/>
  <c r="C147"/>
  <c r="C4" i="55"/>
  <c r="F76"/>
  <c r="F97"/>
  <c r="O111"/>
  <c r="T111"/>
  <c r="C147"/>
  <c r="B202"/>
  <c r="F202"/>
  <c r="E204"/>
  <c r="I204"/>
  <c r="B61" i="56"/>
  <c r="T75"/>
  <c r="D76"/>
  <c r="I76"/>
  <c r="C147"/>
  <c r="B4" i="57"/>
  <c r="F4"/>
  <c r="C76"/>
  <c r="I97"/>
  <c r="T111"/>
  <c r="C147"/>
  <c r="B4" i="58"/>
  <c r="F4"/>
  <c r="G61"/>
  <c r="H133"/>
  <c r="G159"/>
  <c r="I4" i="59"/>
  <c r="F76"/>
  <c r="E147"/>
  <c r="I147"/>
  <c r="H202"/>
  <c r="I4" i="60"/>
  <c r="I147"/>
  <c r="D14" i="105"/>
  <c r="F23" i="130"/>
  <c r="E13" i="131" s="1"/>
  <c r="I23" i="130"/>
  <c r="H13" i="131" s="1"/>
  <c r="F41" i="130"/>
  <c r="I41"/>
  <c r="K68"/>
  <c r="K95"/>
  <c r="K17" i="131" s="1"/>
  <c r="E115" i="130"/>
  <c r="D21" i="131" s="1"/>
  <c r="H115" i="130"/>
  <c r="G21" i="131" s="1"/>
  <c r="K115" i="130"/>
  <c r="K21" i="131" s="1"/>
  <c r="E160" i="105"/>
  <c r="H160"/>
  <c r="K160"/>
  <c r="E169"/>
  <c r="H169"/>
  <c r="K169"/>
  <c r="K196"/>
  <c r="D214" i="130"/>
  <c r="G214"/>
  <c r="F34" i="131" s="1"/>
  <c r="D223" i="105"/>
  <c r="J246" i="130"/>
  <c r="D264" i="105"/>
  <c r="E283" i="130"/>
  <c r="H283"/>
  <c r="K283"/>
  <c r="D293" i="105"/>
  <c r="I302" i="130"/>
  <c r="I311"/>
  <c r="E329"/>
  <c r="H329"/>
  <c r="K329"/>
  <c r="D365" i="105"/>
  <c r="F374" i="130"/>
  <c r="H394" i="105"/>
  <c r="D403"/>
  <c r="D412"/>
  <c r="G421"/>
  <c r="D421"/>
  <c r="F448" i="130"/>
  <c r="I448"/>
  <c r="E457"/>
  <c r="K457"/>
  <c r="E466"/>
  <c r="H466"/>
  <c r="K466"/>
  <c r="H475"/>
  <c r="D484"/>
  <c r="G484"/>
  <c r="J484"/>
  <c r="E484" i="105"/>
  <c r="I493" i="130"/>
  <c r="H502"/>
  <c r="K502" i="105"/>
  <c r="D511" i="130"/>
  <c r="G511"/>
  <c r="J511"/>
  <c r="E511" i="105"/>
  <c r="D531" i="130"/>
  <c r="G531"/>
  <c r="J531"/>
  <c r="F531" i="105"/>
  <c r="D560" i="130"/>
  <c r="G560"/>
  <c r="J560"/>
  <c r="D569"/>
  <c r="G569"/>
  <c r="J569"/>
  <c r="D578"/>
  <c r="G578"/>
  <c r="F48" i="131" s="1"/>
  <c r="F53" s="1"/>
  <c r="J578" i="130"/>
  <c r="J48" i="131" s="1"/>
  <c r="F578" i="105"/>
  <c r="H4" i="111"/>
  <c r="P4"/>
  <c r="T4"/>
  <c r="C9"/>
  <c r="D16"/>
  <c r="C19"/>
  <c r="C31"/>
  <c r="C33"/>
  <c r="C36"/>
  <c r="C47"/>
  <c r="C50"/>
  <c r="C54"/>
  <c r="D61"/>
  <c r="C64"/>
  <c r="C76"/>
  <c r="C78"/>
  <c r="C81"/>
  <c r="C92"/>
  <c r="C95"/>
  <c r="C99"/>
  <c r="D106"/>
  <c r="C109"/>
  <c r="C121"/>
  <c r="C123"/>
  <c r="C126"/>
  <c r="C137"/>
  <c r="C140"/>
  <c r="C144"/>
  <c r="D151"/>
  <c r="C154"/>
  <c r="C156"/>
  <c r="C168"/>
  <c r="C183"/>
  <c r="C198"/>
  <c r="C213"/>
  <c r="C228"/>
  <c r="C243"/>
  <c r="C258"/>
  <c r="C273"/>
  <c r="C288"/>
  <c r="C303"/>
  <c r="C318"/>
  <c r="D333"/>
  <c r="C336"/>
  <c r="D348"/>
  <c r="C351"/>
  <c r="D364"/>
  <c r="C367"/>
  <c r="C369"/>
  <c r="D387"/>
  <c r="D395"/>
  <c r="D401"/>
  <c r="C408"/>
  <c r="D409"/>
  <c r="C411"/>
  <c r="D412"/>
  <c r="D423"/>
  <c r="D426"/>
  <c r="C429"/>
  <c r="C431"/>
  <c r="D433"/>
  <c r="D461"/>
  <c r="C464"/>
  <c r="C466"/>
  <c r="C494"/>
  <c r="C497"/>
  <c r="C509"/>
  <c r="C512"/>
  <c r="C524"/>
  <c r="C527"/>
  <c r="D549"/>
  <c r="D555"/>
  <c r="C562"/>
  <c r="D563"/>
  <c r="C565"/>
  <c r="D566"/>
  <c r="D594"/>
  <c r="D600"/>
  <c r="C607"/>
  <c r="C610"/>
  <c r="C613"/>
  <c r="C615"/>
  <c r="D617"/>
  <c r="C625"/>
  <c r="C628"/>
  <c r="D638"/>
  <c r="C641"/>
  <c r="C654"/>
  <c r="C657"/>
  <c r="C670"/>
  <c r="C673"/>
  <c r="C683"/>
  <c r="C685"/>
  <c r="C688"/>
  <c r="C698"/>
  <c r="C700"/>
  <c r="C703"/>
  <c r="D707"/>
  <c r="D710"/>
  <c r="D713"/>
  <c r="C716"/>
  <c r="D728"/>
  <c r="C731"/>
  <c r="D732"/>
  <c r="D743"/>
  <c r="C746"/>
  <c r="C765"/>
  <c r="D768"/>
  <c r="D774"/>
  <c r="C776"/>
  <c r="D777"/>
  <c r="D783"/>
  <c r="C789"/>
  <c r="D35" i="130"/>
  <c r="D41" s="1"/>
  <c r="G109"/>
  <c r="G115" s="1"/>
  <c r="F21" i="131" s="1"/>
  <c r="H154" i="130"/>
  <c r="H160" s="1"/>
  <c r="G33" i="131" s="1"/>
  <c r="E163" i="130"/>
  <c r="E169" s="1"/>
  <c r="D26" i="131" s="1"/>
  <c r="K190" i="130"/>
  <c r="K196" s="1"/>
  <c r="K23" i="131" s="1"/>
  <c r="F249" i="130"/>
  <c r="F255" s="1"/>
  <c r="E39" i="131" s="1"/>
  <c r="J277" i="130"/>
  <c r="J283" s="1"/>
  <c r="D409"/>
  <c r="D412" s="1"/>
  <c r="G415"/>
  <c r="G421" s="1"/>
  <c r="K496"/>
  <c r="K502" s="1"/>
  <c r="E23" i="105"/>
  <c r="E17" i="130"/>
  <c r="E23" s="1"/>
  <c r="D13" i="131" s="1"/>
  <c r="H23" i="105"/>
  <c r="H17" i="130"/>
  <c r="H23" s="1"/>
  <c r="G13" i="131" s="1"/>
  <c r="K23" i="105"/>
  <c r="K17" i="130"/>
  <c r="K23" s="1"/>
  <c r="K13" i="131" s="1"/>
  <c r="E41" i="105"/>
  <c r="E35" i="130"/>
  <c r="E41" s="1"/>
  <c r="H41" i="105"/>
  <c r="H35" i="130"/>
  <c r="H41" s="1"/>
  <c r="K41" i="105"/>
  <c r="K35" i="130"/>
  <c r="K41" s="1"/>
  <c r="D133" i="105"/>
  <c r="D127" i="130"/>
  <c r="D133" s="1"/>
  <c r="G133" i="105"/>
  <c r="G127" i="130"/>
  <c r="G133" s="1"/>
  <c r="F24" i="131" s="1"/>
  <c r="J133" i="105"/>
  <c r="J127" i="130"/>
  <c r="J133" s="1"/>
  <c r="J24" i="131" s="1"/>
  <c r="D142" i="105"/>
  <c r="D136" i="130"/>
  <c r="D142" s="1"/>
  <c r="G142" i="105"/>
  <c r="G136" i="130"/>
  <c r="G142" s="1"/>
  <c r="F25" i="131" s="1"/>
  <c r="J142" i="105"/>
  <c r="J136" i="130"/>
  <c r="J142" s="1"/>
  <c r="J25" i="131" s="1"/>
  <c r="D151" i="105"/>
  <c r="D145" i="130"/>
  <c r="D151" s="1"/>
  <c r="G151" i="105"/>
  <c r="G145" i="130"/>
  <c r="G151" s="1"/>
  <c r="F32" i="131" s="1"/>
  <c r="J151" i="105"/>
  <c r="J145" i="130"/>
  <c r="J151" s="1"/>
  <c r="J32" i="131" s="1"/>
  <c r="D160" i="105"/>
  <c r="D154" i="130"/>
  <c r="D160" s="1"/>
  <c r="G160" i="105"/>
  <c r="G154" i="130"/>
  <c r="G160" s="1"/>
  <c r="F33" i="131" s="1"/>
  <c r="J160" i="105"/>
  <c r="J154" i="130"/>
  <c r="J160" s="1"/>
  <c r="J33" i="131" s="1"/>
  <c r="D169" i="105"/>
  <c r="D163" i="130"/>
  <c r="D169" s="1"/>
  <c r="G169" i="105"/>
  <c r="G163" i="130"/>
  <c r="G169" s="1"/>
  <c r="F26" i="131" s="1"/>
  <c r="J169" i="105"/>
  <c r="J163" i="130"/>
  <c r="J169" s="1"/>
  <c r="J26" i="131" s="1"/>
  <c r="D178" i="105"/>
  <c r="D172" i="130"/>
  <c r="D178" s="1"/>
  <c r="J187" i="105"/>
  <c r="J181" i="130"/>
  <c r="J187" s="1"/>
  <c r="J28" i="131" s="1"/>
  <c r="G196" i="105"/>
  <c r="G190" i="130"/>
  <c r="G196" s="1"/>
  <c r="F23" i="131" s="1"/>
  <c r="J196" i="105"/>
  <c r="J190" i="130"/>
  <c r="J196" s="1"/>
  <c r="J23" i="131" s="1"/>
  <c r="F214" i="105"/>
  <c r="F208" i="130"/>
  <c r="F214" s="1"/>
  <c r="E34" i="131" s="1"/>
  <c r="I214" i="105"/>
  <c r="I208" i="130"/>
  <c r="I214" s="1"/>
  <c r="H34" i="131" s="1"/>
  <c r="I255" i="105"/>
  <c r="I249" i="130"/>
  <c r="I255" s="1"/>
  <c r="H39" i="131" s="1"/>
  <c r="G274" i="105"/>
  <c r="G284" s="1"/>
  <c r="G268" i="130"/>
  <c r="G274" s="1"/>
  <c r="E311" i="105"/>
  <c r="E305" i="130"/>
  <c r="E311" s="1"/>
  <c r="H311" i="105"/>
  <c r="H305" i="130"/>
  <c r="H311" s="1"/>
  <c r="K311" i="105"/>
  <c r="K305" i="130"/>
  <c r="K311" s="1"/>
  <c r="D320" i="105"/>
  <c r="D314" i="130"/>
  <c r="D320" s="1"/>
  <c r="G320" i="105"/>
  <c r="G314" i="130"/>
  <c r="G320" s="1"/>
  <c r="J320" i="105"/>
  <c r="J314" i="130"/>
  <c r="J329" i="105"/>
  <c r="J323" i="130"/>
  <c r="J329" s="1"/>
  <c r="D329" i="105"/>
  <c r="D326" i="130"/>
  <c r="D329" s="1"/>
  <c r="G329" i="105"/>
  <c r="G326" i="130"/>
  <c r="G329" s="1"/>
  <c r="G338" i="105"/>
  <c r="G332" i="130"/>
  <c r="G338" s="1"/>
  <c r="J338" i="105"/>
  <c r="J332" i="130"/>
  <c r="J338" s="1"/>
  <c r="I356" i="105"/>
  <c r="I350" i="130"/>
  <c r="I356" s="1"/>
  <c r="D385" i="105"/>
  <c r="D382" i="130"/>
  <c r="D385" s="1"/>
  <c r="G385" i="105"/>
  <c r="G382" i="130"/>
  <c r="G385" s="1"/>
  <c r="G394" i="105"/>
  <c r="G388" i="130"/>
  <c r="J394" i="105"/>
  <c r="J388" i="130"/>
  <c r="J394" s="1"/>
  <c r="F412" i="105"/>
  <c r="F406" i="130"/>
  <c r="F412" s="1"/>
  <c r="I412" i="105"/>
  <c r="I406" i="130"/>
  <c r="I412" s="1"/>
  <c r="E448" i="105"/>
  <c r="E442" i="130"/>
  <c r="E448" s="1"/>
  <c r="H448" i="105"/>
  <c r="H442" i="130"/>
  <c r="H448" s="1"/>
  <c r="K448" i="105"/>
  <c r="K442" i="130"/>
  <c r="K448" s="1"/>
  <c r="D457" i="105"/>
  <c r="D451" i="130"/>
  <c r="D457" s="1"/>
  <c r="G457" i="105"/>
  <c r="G451" i="130"/>
  <c r="G457" s="1"/>
  <c r="J457" i="105"/>
  <c r="J451" i="130"/>
  <c r="J457" s="1"/>
  <c r="J466" i="105"/>
  <c r="J460" i="130"/>
  <c r="J466" s="1"/>
  <c r="D466" i="105"/>
  <c r="D463" i="130"/>
  <c r="D466" s="1"/>
  <c r="G466" i="105"/>
  <c r="G463" i="130"/>
  <c r="G466" s="1"/>
  <c r="D475" i="105"/>
  <c r="D469" i="130"/>
  <c r="D475" s="1"/>
  <c r="G475" i="105"/>
  <c r="G469" i="130"/>
  <c r="G475" s="1"/>
  <c r="J475" i="105"/>
  <c r="J469" i="130"/>
  <c r="J475" s="1"/>
  <c r="H493" i="105"/>
  <c r="H487" i="130"/>
  <c r="H493" s="1"/>
  <c r="D502" i="105"/>
  <c r="D496" i="130"/>
  <c r="D502" s="1"/>
  <c r="G502" i="105"/>
  <c r="G496" i="130"/>
  <c r="G502" s="1"/>
  <c r="J502" i="105"/>
  <c r="J496" i="130"/>
  <c r="J502" s="1"/>
  <c r="I531" i="105"/>
  <c r="I525" i="130"/>
  <c r="I531" s="1"/>
  <c r="F560" i="105"/>
  <c r="F557" i="130"/>
  <c r="F560" s="1"/>
  <c r="F569" i="105"/>
  <c r="F563" i="130"/>
  <c r="F569" s="1"/>
  <c r="I569" i="105"/>
  <c r="I563" i="130"/>
  <c r="I569" s="1"/>
  <c r="I578" i="105"/>
  <c r="I572" i="130"/>
  <c r="I578" s="1"/>
  <c r="H48" i="131" s="1"/>
  <c r="H53" s="1"/>
  <c r="E605" i="105"/>
  <c r="E599" i="130"/>
  <c r="E605" s="1"/>
  <c r="H605" i="105"/>
  <c r="H599" i="130"/>
  <c r="H605" s="1"/>
  <c r="K605" i="105"/>
  <c r="K599" i="130"/>
  <c r="K605" s="1"/>
  <c r="C788" i="111"/>
  <c r="C791"/>
  <c r="D788"/>
  <c r="D838"/>
  <c r="C833"/>
  <c r="D892"/>
  <c r="C890"/>
  <c r="D887"/>
  <c r="C892"/>
  <c r="C889"/>
  <c r="C887"/>
  <c r="D917"/>
  <c r="C912"/>
  <c r="H17" i="112"/>
  <c r="I17"/>
  <c r="D17"/>
  <c r="G17"/>
  <c r="C17"/>
  <c r="Q111" i="71"/>
  <c r="I147" i="75"/>
  <c r="T111" i="76"/>
  <c r="F97" i="78"/>
  <c r="I97" i="82"/>
  <c r="F76" i="83"/>
  <c r="Q111"/>
  <c r="H4" i="84"/>
  <c r="I97" i="86"/>
  <c r="F76" i="87"/>
  <c r="I97" i="90"/>
  <c r="F76" i="91"/>
  <c r="I97"/>
  <c r="T111"/>
  <c r="F76" i="92"/>
  <c r="E147"/>
  <c r="I147"/>
  <c r="I183"/>
  <c r="F76" i="93"/>
  <c r="F76" i="94"/>
  <c r="I97"/>
  <c r="T111"/>
  <c r="I76" i="95"/>
  <c r="I147"/>
  <c r="E202"/>
  <c r="H204"/>
  <c r="Q75" i="96"/>
  <c r="I97"/>
  <c r="H204"/>
  <c r="F76" i="97"/>
  <c r="I97"/>
  <c r="T111"/>
  <c r="I159" i="98"/>
  <c r="F76" i="99"/>
  <c r="I97"/>
  <c r="Q111"/>
  <c r="I147"/>
  <c r="E4" i="100"/>
  <c r="I4"/>
  <c r="E202"/>
  <c r="H204"/>
  <c r="F76" i="101"/>
  <c r="I97" i="102"/>
  <c r="T111"/>
  <c r="I76" i="108"/>
  <c r="I76" i="109"/>
  <c r="H202"/>
  <c r="E4" i="127"/>
  <c r="I4"/>
  <c r="I76" i="128"/>
  <c r="I159"/>
  <c r="I76" i="129"/>
  <c r="F76" i="32"/>
  <c r="I97"/>
  <c r="T111"/>
  <c r="F76" i="38"/>
  <c r="I97"/>
  <c r="Q111"/>
  <c r="I147"/>
  <c r="I4" i="39"/>
  <c r="F133" i="40"/>
  <c r="I76" i="41"/>
  <c r="I147"/>
  <c r="I4" i="42"/>
  <c r="I147"/>
  <c r="H202"/>
  <c r="E4" i="43"/>
  <c r="I4"/>
  <c r="I97"/>
  <c r="H202"/>
  <c r="I97" i="44"/>
  <c r="T111"/>
  <c r="F76" i="45"/>
  <c r="I97"/>
  <c r="T111"/>
  <c r="H61" i="46"/>
  <c r="E147"/>
  <c r="I147"/>
  <c r="I183"/>
  <c r="I97" i="47"/>
  <c r="E147"/>
  <c r="I147"/>
  <c r="H202"/>
  <c r="E4" i="48"/>
  <c r="I4"/>
  <c r="T111"/>
  <c r="I147"/>
  <c r="H202"/>
  <c r="H4" i="49"/>
  <c r="E61"/>
  <c r="I61"/>
  <c r="E147"/>
  <c r="I147"/>
  <c r="I183"/>
  <c r="Q75" i="50"/>
  <c r="I147"/>
  <c r="E4" i="51"/>
  <c r="I4"/>
  <c r="I76"/>
  <c r="S111"/>
  <c r="E147"/>
  <c r="I147"/>
  <c r="Q75" i="53"/>
  <c r="E202"/>
  <c r="I76" i="54"/>
  <c r="I147"/>
  <c r="I4" i="55"/>
  <c r="I147"/>
  <c r="E202"/>
  <c r="I147" i="56"/>
  <c r="E4" i="57"/>
  <c r="I76"/>
  <c r="I147"/>
  <c r="E4" i="58"/>
  <c r="I4"/>
  <c r="E32" i="130"/>
  <c r="H32"/>
  <c r="K32"/>
  <c r="G178"/>
  <c r="F27" i="131" s="1"/>
  <c r="D196" i="105"/>
  <c r="I205" i="130"/>
  <c r="H29" i="131" s="1"/>
  <c r="F205" i="130"/>
  <c r="E29" i="131" s="1"/>
  <c r="F223" i="130"/>
  <c r="E18" i="131" s="1"/>
  <c r="D237" i="105"/>
  <c r="F246" i="130"/>
  <c r="H302"/>
  <c r="K302"/>
  <c r="D338" i="105"/>
  <c r="F347" i="130"/>
  <c r="F365"/>
  <c r="E374"/>
  <c r="D394" i="105"/>
  <c r="I403" i="130"/>
  <c r="F403"/>
  <c r="F421"/>
  <c r="H475" i="105"/>
  <c r="H502"/>
  <c r="H522"/>
  <c r="H596" i="130"/>
  <c r="S4" i="111"/>
  <c r="C32"/>
  <c r="C35"/>
  <c r="C77"/>
  <c r="C80"/>
  <c r="C122"/>
  <c r="C125"/>
  <c r="C319"/>
  <c r="D425"/>
  <c r="D430"/>
  <c r="D432"/>
  <c r="D614"/>
  <c r="D616"/>
  <c r="C640"/>
  <c r="C643"/>
  <c r="C684"/>
  <c r="C687"/>
  <c r="C699"/>
  <c r="C702"/>
  <c r="C745"/>
  <c r="C748"/>
  <c r="D767"/>
  <c r="D770"/>
  <c r="C792"/>
  <c r="G23" i="130"/>
  <c r="F13" i="131" s="1"/>
  <c r="D32" i="130"/>
  <c r="D109"/>
  <c r="D115" s="1"/>
  <c r="I151"/>
  <c r="H32" i="131" s="1"/>
  <c r="E160" i="130"/>
  <c r="D33" i="131" s="1"/>
  <c r="H205" i="130"/>
  <c r="G29" i="131" s="1"/>
  <c r="H394" i="130"/>
  <c r="F59" i="105"/>
  <c r="F53" i="130"/>
  <c r="F59" s="1"/>
  <c r="I59" i="105"/>
  <c r="I53" i="130"/>
  <c r="I59" s="1"/>
  <c r="F68" i="105"/>
  <c r="F62" i="130"/>
  <c r="F68" s="1"/>
  <c r="I68" i="105"/>
  <c r="I62" i="130"/>
  <c r="I68" s="1"/>
  <c r="F86" i="105"/>
  <c r="F80" i="130"/>
  <c r="F86" s="1"/>
  <c r="I86" i="105"/>
  <c r="I80" i="130"/>
  <c r="I86" s="1"/>
  <c r="F95" i="105"/>
  <c r="F89" i="130"/>
  <c r="F95" s="1"/>
  <c r="E17" i="131" s="1"/>
  <c r="I95" i="105"/>
  <c r="I89" i="130"/>
  <c r="I95" s="1"/>
  <c r="H17" i="131" s="1"/>
  <c r="F106" i="105"/>
  <c r="F103" i="130"/>
  <c r="F106" s="1"/>
  <c r="F115" i="105"/>
  <c r="F109" i="130"/>
  <c r="F115" s="1"/>
  <c r="E21" i="131" s="1"/>
  <c r="I115" i="105"/>
  <c r="I109" i="130"/>
  <c r="I115" s="1"/>
  <c r="H21" i="131" s="1"/>
  <c r="F124" i="105"/>
  <c r="F118" i="130"/>
  <c r="F124" s="1"/>
  <c r="E22" i="131" s="1"/>
  <c r="I124" i="105"/>
  <c r="I118" i="130"/>
  <c r="I124" s="1"/>
  <c r="H22" i="131" s="1"/>
  <c r="F160" i="105"/>
  <c r="F154" i="130"/>
  <c r="F160" s="1"/>
  <c r="E33" i="131" s="1"/>
  <c r="I160" i="105"/>
  <c r="I154" i="130"/>
  <c r="I160" s="1"/>
  <c r="H33" i="131" s="1"/>
  <c r="F169" i="105"/>
  <c r="F163" i="130"/>
  <c r="F169" s="1"/>
  <c r="E26" i="131" s="1"/>
  <c r="I169" i="105"/>
  <c r="I163" i="130"/>
  <c r="I169" s="1"/>
  <c r="H26" i="131" s="1"/>
  <c r="I178" i="105"/>
  <c r="I172" i="130"/>
  <c r="I178" s="1"/>
  <c r="H27" i="131" s="1"/>
  <c r="F187" i="105"/>
  <c r="F181" i="130"/>
  <c r="F187" s="1"/>
  <c r="E28" i="131" s="1"/>
  <c r="I187" i="105"/>
  <c r="I181" i="130"/>
  <c r="I187" s="1"/>
  <c r="H28" i="131" s="1"/>
  <c r="E223" i="105"/>
  <c r="E217" i="130"/>
  <c r="E223" s="1"/>
  <c r="D18" i="131" s="1"/>
  <c r="H223" i="105"/>
  <c r="H217" i="130"/>
  <c r="H223" s="1"/>
  <c r="G18" i="131" s="1"/>
  <c r="E264" i="105"/>
  <c r="E258" i="130"/>
  <c r="E264" s="1"/>
  <c r="H264" i="105"/>
  <c r="H258" i="130"/>
  <c r="H264" s="1"/>
  <c r="K264" i="105"/>
  <c r="K258" i="130"/>
  <c r="K264" s="1"/>
  <c r="F283" i="105"/>
  <c r="F277" i="130"/>
  <c r="F283" s="1"/>
  <c r="I283" i="105"/>
  <c r="I277" i="130"/>
  <c r="I283" s="1"/>
  <c r="D302" i="105"/>
  <c r="D296" i="130"/>
  <c r="D302" s="1"/>
  <c r="J302" i="105"/>
  <c r="J296" i="130"/>
  <c r="J302" s="1"/>
  <c r="G311" i="105"/>
  <c r="G305" i="130"/>
  <c r="G311" s="1"/>
  <c r="J311" i="105"/>
  <c r="J305" i="130"/>
  <c r="J311" s="1"/>
  <c r="I329" i="105"/>
  <c r="I323" i="130"/>
  <c r="I329" s="1"/>
  <c r="E365" i="105"/>
  <c r="E359" i="130"/>
  <c r="E365" s="1"/>
  <c r="H365" i="105"/>
  <c r="H359" i="130"/>
  <c r="K365" i="105"/>
  <c r="K359" i="130"/>
  <c r="K365" s="1"/>
  <c r="D374" i="105"/>
  <c r="D368" i="130"/>
  <c r="D374" s="1"/>
  <c r="G374" i="105"/>
  <c r="G368" i="130"/>
  <c r="G374" s="1"/>
  <c r="J374" i="105"/>
  <c r="J368" i="130"/>
  <c r="J374" s="1"/>
  <c r="E421" i="105"/>
  <c r="E415" i="130"/>
  <c r="E421" s="1"/>
  <c r="H421" i="105"/>
  <c r="H415" i="130"/>
  <c r="H421" s="1"/>
  <c r="K421" i="105"/>
  <c r="K415" i="130"/>
  <c r="K421" s="1"/>
  <c r="D430" i="105"/>
  <c r="D424" i="130"/>
  <c r="D430" s="1"/>
  <c r="G430" i="105"/>
  <c r="G424" i="130"/>
  <c r="G430" s="1"/>
  <c r="J439" i="105"/>
  <c r="J433" i="130"/>
  <c r="J439" s="1"/>
  <c r="J44" i="131" s="1"/>
  <c r="D439" i="105"/>
  <c r="D436" i="130"/>
  <c r="D439" s="1"/>
  <c r="G439" i="105"/>
  <c r="G436" i="130"/>
  <c r="G439" s="1"/>
  <c r="F44" i="131" s="1"/>
  <c r="G448" i="105"/>
  <c r="G442" i="130"/>
  <c r="G448" s="1"/>
  <c r="J448" i="105"/>
  <c r="J442" i="130"/>
  <c r="J448" s="1"/>
  <c r="F466" i="105"/>
  <c r="F460" i="130"/>
  <c r="F466" s="1"/>
  <c r="I466" i="105"/>
  <c r="I460" i="130"/>
  <c r="I466" s="1"/>
  <c r="F475" i="105"/>
  <c r="F469" i="130"/>
  <c r="F475" s="1"/>
  <c r="I475" i="105"/>
  <c r="I469" i="130"/>
  <c r="I475" s="1"/>
  <c r="H484" i="105"/>
  <c r="H478" i="130"/>
  <c r="H484" s="1"/>
  <c r="K484" i="105"/>
  <c r="K478" i="130"/>
  <c r="K484" s="1"/>
  <c r="F502" i="105"/>
  <c r="F496" i="130"/>
  <c r="F502" s="1"/>
  <c r="I502" i="105"/>
  <c r="I496" i="130"/>
  <c r="I502" s="1"/>
  <c r="H511" i="105"/>
  <c r="H505" i="130"/>
  <c r="H511" s="1"/>
  <c r="K511" i="105"/>
  <c r="K505" i="130"/>
  <c r="K511" s="1"/>
  <c r="E531" i="105"/>
  <c r="E525" i="130"/>
  <c r="E531" s="1"/>
  <c r="H531" i="105"/>
  <c r="H525" i="130"/>
  <c r="H531" s="1"/>
  <c r="K531" i="105"/>
  <c r="K525" i="130"/>
  <c r="K531" s="1"/>
  <c r="D540" i="105"/>
  <c r="D534" i="130"/>
  <c r="D540" s="1"/>
  <c r="G540" i="105"/>
  <c r="G534" i="130"/>
  <c r="G540" s="1"/>
  <c r="J540" i="105"/>
  <c r="J534" i="130"/>
  <c r="J540" s="1"/>
  <c r="E578" i="105"/>
  <c r="E572" i="130"/>
  <c r="E578" s="1"/>
  <c r="D48" i="131" s="1"/>
  <c r="D53" s="1"/>
  <c r="H578" i="105"/>
  <c r="H572" i="130"/>
  <c r="H578" s="1"/>
  <c r="G48" i="131" s="1"/>
  <c r="G53" s="1"/>
  <c r="K578" i="105"/>
  <c r="K572" i="130"/>
  <c r="K578" s="1"/>
  <c r="K48" i="131" s="1"/>
  <c r="D870" i="111"/>
  <c r="C865"/>
  <c r="D999"/>
  <c r="D996"/>
  <c r="C994"/>
  <c r="T111" i="70"/>
  <c r="I76" i="72"/>
  <c r="T111" i="73"/>
  <c r="I97" i="76"/>
  <c r="E61" i="78"/>
  <c r="I61"/>
  <c r="Q111"/>
  <c r="F204"/>
  <c r="T111" i="82"/>
  <c r="I147" i="83"/>
  <c r="E147" i="84"/>
  <c r="I147"/>
  <c r="I97" i="85"/>
  <c r="H204"/>
  <c r="T111" i="86"/>
  <c r="I97" i="87"/>
  <c r="I76" i="88"/>
  <c r="E147" i="80"/>
  <c r="I159"/>
  <c r="T111" i="90"/>
  <c r="I97" i="67"/>
  <c r="Q111"/>
  <c r="F76" i="68"/>
  <c r="I97"/>
  <c r="T111"/>
  <c r="C147"/>
  <c r="I183"/>
  <c r="I4" i="69"/>
  <c r="C97"/>
  <c r="N111"/>
  <c r="R111"/>
  <c r="I147"/>
  <c r="E4" i="70"/>
  <c r="I4"/>
  <c r="F97"/>
  <c r="Q111"/>
  <c r="I147"/>
  <c r="E4" i="71"/>
  <c r="I4"/>
  <c r="F61"/>
  <c r="F97"/>
  <c r="O111"/>
  <c r="T111"/>
  <c r="E4" i="72"/>
  <c r="I4"/>
  <c r="F76"/>
  <c r="I76" i="73"/>
  <c r="F97"/>
  <c r="Q111"/>
  <c r="H4" i="74"/>
  <c r="E61"/>
  <c r="I61"/>
  <c r="O75"/>
  <c r="T75"/>
  <c r="E147"/>
  <c r="I147"/>
  <c r="I183"/>
  <c r="F4" i="75"/>
  <c r="F147"/>
  <c r="I76" i="76"/>
  <c r="F97"/>
  <c r="Q111"/>
  <c r="I147"/>
  <c r="E4" i="77"/>
  <c r="I4"/>
  <c r="I61"/>
  <c r="E147"/>
  <c r="I147"/>
  <c r="C61" i="78"/>
  <c r="H61"/>
  <c r="O75"/>
  <c r="T75"/>
  <c r="G76"/>
  <c r="D97"/>
  <c r="I97"/>
  <c r="I111"/>
  <c r="O111"/>
  <c r="T111"/>
  <c r="F133"/>
  <c r="H183"/>
  <c r="C204"/>
  <c r="F76" i="81"/>
  <c r="I97"/>
  <c r="T111"/>
  <c r="I76" i="82"/>
  <c r="F97"/>
  <c r="Q111"/>
  <c r="I147"/>
  <c r="I4" i="83"/>
  <c r="D76"/>
  <c r="I76"/>
  <c r="F97"/>
  <c r="O111"/>
  <c r="F147"/>
  <c r="E4" i="84"/>
  <c r="F61"/>
  <c r="G111"/>
  <c r="G133"/>
  <c r="C147"/>
  <c r="H147"/>
  <c r="I159"/>
  <c r="F183"/>
  <c r="I76" i="85"/>
  <c r="F97"/>
  <c r="E204"/>
  <c r="I76" i="86"/>
  <c r="F97"/>
  <c r="Q111"/>
  <c r="I147"/>
  <c r="I4" i="87"/>
  <c r="D76"/>
  <c r="I76"/>
  <c r="F97"/>
  <c r="Q111"/>
  <c r="I147"/>
  <c r="E4" i="88"/>
  <c r="I4"/>
  <c r="F76"/>
  <c r="F147"/>
  <c r="F4" i="79"/>
  <c r="F147"/>
  <c r="F76" i="80"/>
  <c r="I97"/>
  <c r="T111"/>
  <c r="D133"/>
  <c r="C147"/>
  <c r="F159"/>
  <c r="F76" i="89"/>
  <c r="I97"/>
  <c r="T111"/>
  <c r="I76" i="90"/>
  <c r="F97"/>
  <c r="Q111"/>
  <c r="I147"/>
  <c r="I4" i="91"/>
  <c r="D76"/>
  <c r="I76"/>
  <c r="F97"/>
  <c r="Q111"/>
  <c r="F147"/>
  <c r="T75" i="92"/>
  <c r="D76"/>
  <c r="I76"/>
  <c r="G133"/>
  <c r="C147"/>
  <c r="H147"/>
  <c r="I159"/>
  <c r="F183"/>
  <c r="F4" i="93"/>
  <c r="D76"/>
  <c r="I97"/>
  <c r="T111"/>
  <c r="H61" i="94"/>
  <c r="T75"/>
  <c r="D76"/>
  <c r="I76"/>
  <c r="F97"/>
  <c r="Q111"/>
  <c r="I147"/>
  <c r="E4" i="95"/>
  <c r="I4"/>
  <c r="F76"/>
  <c r="F147"/>
  <c r="C202"/>
  <c r="E204"/>
  <c r="E61" i="96"/>
  <c r="I61"/>
  <c r="O75"/>
  <c r="T75"/>
  <c r="F97"/>
  <c r="I147"/>
  <c r="B202"/>
  <c r="E204"/>
  <c r="T75" i="97"/>
  <c r="D76"/>
  <c r="I76"/>
  <c r="F97"/>
  <c r="Q111"/>
  <c r="I147"/>
  <c r="E4" i="98"/>
  <c r="I4"/>
  <c r="I76"/>
  <c r="D111"/>
  <c r="D133"/>
  <c r="B147"/>
  <c r="F147"/>
  <c r="F159"/>
  <c r="C183"/>
  <c r="D202"/>
  <c r="E61" i="99"/>
  <c r="T75"/>
  <c r="D76"/>
  <c r="I76"/>
  <c r="F97"/>
  <c r="O111"/>
  <c r="F147"/>
  <c r="C4" i="100"/>
  <c r="H4"/>
  <c r="C61"/>
  <c r="R75"/>
  <c r="C97"/>
  <c r="N111"/>
  <c r="T111"/>
  <c r="C147"/>
  <c r="C202"/>
  <c r="E204"/>
  <c r="N75" i="101"/>
  <c r="D76"/>
  <c r="I97"/>
  <c r="T111"/>
  <c r="C147"/>
  <c r="I76" i="102"/>
  <c r="F97"/>
  <c r="Q111"/>
  <c r="I147"/>
  <c r="E4" i="108"/>
  <c r="I4"/>
  <c r="F76"/>
  <c r="C97"/>
  <c r="N111"/>
  <c r="R111"/>
  <c r="I147"/>
  <c r="E4" i="109"/>
  <c r="I4"/>
  <c r="F76"/>
  <c r="C97"/>
  <c r="N111"/>
  <c r="C183"/>
  <c r="E202"/>
  <c r="H204"/>
  <c r="C4" i="127"/>
  <c r="H4"/>
  <c r="C76"/>
  <c r="I97"/>
  <c r="T111"/>
  <c r="C147"/>
  <c r="C202"/>
  <c r="E4" i="128"/>
  <c r="I4"/>
  <c r="F76"/>
  <c r="D111"/>
  <c r="G114"/>
  <c r="D115"/>
  <c r="H115"/>
  <c r="G117"/>
  <c r="D118"/>
  <c r="H118"/>
  <c r="O119"/>
  <c r="R119"/>
  <c r="C133"/>
  <c r="G133"/>
  <c r="F159"/>
  <c r="E4" i="129"/>
  <c r="I4"/>
  <c r="F76"/>
  <c r="I147"/>
  <c r="I4" i="32"/>
  <c r="D76"/>
  <c r="I76"/>
  <c r="F97"/>
  <c r="Q111"/>
  <c r="I147"/>
  <c r="I4" i="38"/>
  <c r="D76"/>
  <c r="I76"/>
  <c r="F97"/>
  <c r="O111"/>
  <c r="F147"/>
  <c r="F4" i="39"/>
  <c r="C76"/>
  <c r="I97"/>
  <c r="T111"/>
  <c r="C147"/>
  <c r="E61" i="40"/>
  <c r="I61"/>
  <c r="Q75"/>
  <c r="D111"/>
  <c r="D133"/>
  <c r="H147"/>
  <c r="C159"/>
  <c r="H202"/>
  <c r="E4" i="41"/>
  <c r="I4"/>
  <c r="F76"/>
  <c r="C97"/>
  <c r="F147"/>
  <c r="F4" i="42"/>
  <c r="F147"/>
  <c r="E202"/>
  <c r="H204"/>
  <c r="C4" i="43"/>
  <c r="H4"/>
  <c r="I76"/>
  <c r="F97"/>
  <c r="I147"/>
  <c r="E202"/>
  <c r="H204"/>
  <c r="F97" i="44"/>
  <c r="Q111"/>
  <c r="I147"/>
  <c r="I4" i="45"/>
  <c r="D76"/>
  <c r="I76"/>
  <c r="F97"/>
  <c r="Q111"/>
  <c r="I147"/>
  <c r="E61" i="46"/>
  <c r="F76"/>
  <c r="G111"/>
  <c r="G133"/>
  <c r="C147"/>
  <c r="H147"/>
  <c r="I159"/>
  <c r="F183"/>
  <c r="B4" i="47"/>
  <c r="F4"/>
  <c r="I76"/>
  <c r="F97"/>
  <c r="C147"/>
  <c r="H147"/>
  <c r="E202"/>
  <c r="C4" i="48"/>
  <c r="H4"/>
  <c r="I97"/>
  <c r="Q111"/>
  <c r="F147"/>
  <c r="E202"/>
  <c r="H204"/>
  <c r="E4" i="49"/>
  <c r="C61"/>
  <c r="H61"/>
  <c r="N75"/>
  <c r="R75"/>
  <c r="G111"/>
  <c r="G133"/>
  <c r="C147"/>
  <c r="H147"/>
  <c r="I159"/>
  <c r="F183"/>
  <c r="B4" i="50"/>
  <c r="E61"/>
  <c r="I61"/>
  <c r="O75"/>
  <c r="T75"/>
  <c r="C97"/>
  <c r="F147"/>
  <c r="C4" i="51"/>
  <c r="H4"/>
  <c r="F76"/>
  <c r="C147"/>
  <c r="H147"/>
  <c r="C4" i="52"/>
  <c r="F76"/>
  <c r="I97"/>
  <c r="T111"/>
  <c r="B147"/>
  <c r="F147"/>
  <c r="C183"/>
  <c r="E61" i="53"/>
  <c r="I61"/>
  <c r="O75"/>
  <c r="T75"/>
  <c r="C97"/>
  <c r="G97"/>
  <c r="N111"/>
  <c r="R111"/>
  <c r="C133"/>
  <c r="D183"/>
  <c r="C202"/>
  <c r="H202"/>
  <c r="F204"/>
  <c r="I4" i="54"/>
  <c r="F76"/>
  <c r="C97"/>
  <c r="F147"/>
  <c r="F4" i="55"/>
  <c r="C76"/>
  <c r="G76"/>
  <c r="Q111"/>
  <c r="F147"/>
  <c r="C202"/>
  <c r="H202"/>
  <c r="F76" i="56"/>
  <c r="F147"/>
  <c r="C4" i="57"/>
  <c r="I4"/>
  <c r="F76"/>
  <c r="C97"/>
  <c r="F147"/>
  <c r="C4" i="58"/>
  <c r="H4"/>
  <c r="C61"/>
  <c r="E147"/>
  <c r="I147"/>
  <c r="C159"/>
  <c r="C4" i="59"/>
  <c r="I76"/>
  <c r="B147"/>
  <c r="F147"/>
  <c r="B202"/>
  <c r="C4" i="60"/>
  <c r="F76"/>
  <c r="I97"/>
  <c r="T111"/>
  <c r="C147"/>
  <c r="C202"/>
  <c r="F50" i="130"/>
  <c r="I50"/>
  <c r="F77"/>
  <c r="E16" i="131" s="1"/>
  <c r="I77" i="130"/>
  <c r="H16" i="131" s="1"/>
  <c r="I133" i="105"/>
  <c r="F133"/>
  <c r="F142"/>
  <c r="I142"/>
  <c r="F151"/>
  <c r="I151"/>
  <c r="F178"/>
  <c r="G178"/>
  <c r="F196" i="130"/>
  <c r="E23" i="131" s="1"/>
  <c r="I196" i="130"/>
  <c r="H23" i="131" s="1"/>
  <c r="E205" i="130"/>
  <c r="D29" i="131" s="1"/>
  <c r="K205" i="130"/>
  <c r="K29" i="131" s="1"/>
  <c r="K223" i="105"/>
  <c r="F237" i="130"/>
  <c r="G302" i="105"/>
  <c r="D311"/>
  <c r="F320" i="130"/>
  <c r="F329" i="105"/>
  <c r="F338" i="130"/>
  <c r="I338"/>
  <c r="E347"/>
  <c r="H347"/>
  <c r="K347"/>
  <c r="F394"/>
  <c r="I394"/>
  <c r="D448"/>
  <c r="D448" i="105"/>
  <c r="F457" i="130"/>
  <c r="I457"/>
  <c r="E484"/>
  <c r="D493"/>
  <c r="G493"/>
  <c r="J493"/>
  <c r="K493" i="105"/>
  <c r="E511" i="130"/>
  <c r="D549"/>
  <c r="J549"/>
  <c r="E560"/>
  <c r="H560"/>
  <c r="K560"/>
  <c r="E569"/>
  <c r="H569"/>
  <c r="K569"/>
  <c r="D587"/>
  <c r="G587"/>
  <c r="J587"/>
  <c r="J49" i="131" s="1"/>
  <c r="D596" i="130"/>
  <c r="G596"/>
  <c r="J596"/>
  <c r="D605"/>
  <c r="G605"/>
  <c r="J605"/>
  <c r="K4" i="111"/>
  <c r="Q4"/>
  <c r="V4"/>
  <c r="C17"/>
  <c r="C20"/>
  <c r="D31"/>
  <c r="C34"/>
  <c r="C62"/>
  <c r="C65"/>
  <c r="D76"/>
  <c r="C79"/>
  <c r="C107"/>
  <c r="C110"/>
  <c r="D121"/>
  <c r="C124"/>
  <c r="D152"/>
  <c r="D154"/>
  <c r="D318"/>
  <c r="C334"/>
  <c r="C337"/>
  <c r="C349"/>
  <c r="C352"/>
  <c r="D365"/>
  <c r="D367"/>
  <c r="D408"/>
  <c r="C410"/>
  <c r="D411"/>
  <c r="D424"/>
  <c r="D429"/>
  <c r="C432"/>
  <c r="C434"/>
  <c r="D462"/>
  <c r="D464"/>
  <c r="D562"/>
  <c r="C564"/>
  <c r="D565"/>
  <c r="C608"/>
  <c r="D613"/>
  <c r="C616"/>
  <c r="C618"/>
  <c r="C639"/>
  <c r="C642"/>
  <c r="C655"/>
  <c r="C658"/>
  <c r="D683"/>
  <c r="C686"/>
  <c r="D698"/>
  <c r="C701"/>
  <c r="C714"/>
  <c r="C717"/>
  <c r="C729"/>
  <c r="D731"/>
  <c r="C733"/>
  <c r="C744"/>
  <c r="C747"/>
  <c r="D766"/>
  <c r="C790"/>
  <c r="C891"/>
  <c r="J109" i="130"/>
  <c r="J115" s="1"/>
  <c r="J21" i="131" s="1"/>
  <c r="F130" i="130"/>
  <c r="I136"/>
  <c r="I142" s="1"/>
  <c r="H25" i="131" s="1"/>
  <c r="F145" i="130"/>
  <c r="F151" s="1"/>
  <c r="E32" i="131" s="1"/>
  <c r="K154" i="130"/>
  <c r="K160" s="1"/>
  <c r="K33" i="131" s="1"/>
  <c r="H163" i="130"/>
  <c r="H169" s="1"/>
  <c r="G26" i="131" s="1"/>
  <c r="F172" i="130"/>
  <c r="F178" s="1"/>
  <c r="E27" i="131" s="1"/>
  <c r="K217" i="130"/>
  <c r="F350"/>
  <c r="F356" s="1"/>
  <c r="D397"/>
  <c r="D403" s="1"/>
  <c r="E487"/>
  <c r="E493" s="1"/>
  <c r="C805" i="111"/>
  <c r="C808"/>
  <c r="D812"/>
  <c r="C826"/>
  <c r="C829"/>
  <c r="D845"/>
  <c r="C858"/>
  <c r="C861"/>
  <c r="D872"/>
  <c r="C875"/>
  <c r="C920"/>
  <c r="C944"/>
  <c r="C947"/>
  <c r="D967"/>
  <c r="D975"/>
  <c r="C988"/>
  <c r="C991"/>
  <c r="F7" i="112"/>
  <c r="F40"/>
  <c r="C859" i="111"/>
  <c r="C862"/>
  <c r="C873"/>
  <c r="C876"/>
  <c r="C935"/>
  <c r="C938"/>
  <c r="C942"/>
  <c r="C945"/>
  <c r="D965"/>
  <c r="D973"/>
  <c r="D976"/>
  <c r="C989"/>
  <c r="C992"/>
  <c r="G7" i="112"/>
  <c r="I40"/>
  <c r="D11" i="32"/>
  <c r="H13"/>
  <c r="E13"/>
  <c r="G12"/>
  <c r="I11"/>
  <c r="F11"/>
  <c r="H10"/>
  <c r="E10"/>
  <c r="G9"/>
  <c r="G13" i="45"/>
  <c r="I12"/>
  <c r="F12"/>
  <c r="H11"/>
  <c r="E11"/>
  <c r="G10"/>
  <c r="I9"/>
  <c r="F9"/>
  <c r="D12" i="52"/>
  <c r="D11" i="53"/>
  <c r="D8"/>
  <c r="H13"/>
  <c r="E13"/>
  <c r="G12"/>
  <c r="I11"/>
  <c r="F11"/>
  <c r="H10"/>
  <c r="G9"/>
  <c r="I8"/>
  <c r="G13" i="58"/>
  <c r="I12"/>
  <c r="F12"/>
  <c r="H11"/>
  <c r="E11"/>
  <c r="G10"/>
  <c r="I9"/>
  <c r="F9"/>
  <c r="H8"/>
  <c r="E8"/>
  <c r="G154" i="32"/>
  <c r="G24" s="1"/>
  <c r="I153"/>
  <c r="I23" s="1"/>
  <c r="F153"/>
  <c r="F23" s="1"/>
  <c r="H152"/>
  <c r="H22" s="1"/>
  <c r="E152"/>
  <c r="E22" s="1"/>
  <c r="G151"/>
  <c r="G21" s="1"/>
  <c r="I150"/>
  <c r="I20" s="1"/>
  <c r="F150"/>
  <c r="F20" s="1"/>
  <c r="H154" i="45"/>
  <c r="H24" s="1"/>
  <c r="E154"/>
  <c r="E24" s="1"/>
  <c r="G153"/>
  <c r="G23" s="1"/>
  <c r="I152"/>
  <c r="I22" s="1"/>
  <c r="F152"/>
  <c r="F22" s="1"/>
  <c r="H151"/>
  <c r="H21" s="1"/>
  <c r="E151"/>
  <c r="E21" s="1"/>
  <c r="G150"/>
  <c r="G20" s="1"/>
  <c r="D12" i="32"/>
  <c r="H13" i="45"/>
  <c r="E13"/>
  <c r="G12"/>
  <c r="I11"/>
  <c r="F11"/>
  <c r="H10"/>
  <c r="E10"/>
  <c r="G9"/>
  <c r="D12" i="53"/>
  <c r="H13" i="58"/>
  <c r="E13"/>
  <c r="G12"/>
  <c r="I11"/>
  <c r="F11"/>
  <c r="H10"/>
  <c r="E10"/>
  <c r="G9"/>
  <c r="I8"/>
  <c r="H154" i="32"/>
  <c r="H24" s="1"/>
  <c r="E154"/>
  <c r="E24" s="1"/>
  <c r="G153"/>
  <c r="G23" s="1"/>
  <c r="I152"/>
  <c r="I22" s="1"/>
  <c r="F152"/>
  <c r="F22" s="1"/>
  <c r="H151"/>
  <c r="H21" s="1"/>
  <c r="E151"/>
  <c r="E21" s="1"/>
  <c r="G150"/>
  <c r="G20" s="1"/>
  <c r="G154" i="59"/>
  <c r="G24" s="1"/>
  <c r="I153"/>
  <c r="I23" s="1"/>
  <c r="H152"/>
  <c r="H22" s="1"/>
  <c r="E152"/>
  <c r="E22" s="1"/>
  <c r="G151"/>
  <c r="G21" s="1"/>
  <c r="I150"/>
  <c r="I20" s="1"/>
  <c r="F150"/>
  <c r="F20" s="1"/>
  <c r="D11" i="68"/>
  <c r="H13"/>
  <c r="E13"/>
  <c r="G12"/>
  <c r="I11"/>
  <c r="F11"/>
  <c r="H10"/>
  <c r="E10"/>
  <c r="G9"/>
  <c r="I8"/>
  <c r="G13" i="69"/>
  <c r="I12"/>
  <c r="H11"/>
  <c r="E11"/>
  <c r="G10"/>
  <c r="I9"/>
  <c r="F9"/>
  <c r="H8"/>
  <c r="E8"/>
  <c r="D11" i="71"/>
  <c r="H13"/>
  <c r="G12"/>
  <c r="I11"/>
  <c r="F11"/>
  <c r="H10"/>
  <c r="E10"/>
  <c r="G9"/>
  <c r="F8"/>
  <c r="G13" i="72"/>
  <c r="I12"/>
  <c r="F12"/>
  <c r="H11"/>
  <c r="E11"/>
  <c r="G10"/>
  <c r="I9"/>
  <c r="E8"/>
  <c r="D11" i="74"/>
  <c r="H13"/>
  <c r="E13"/>
  <c r="G12"/>
  <c r="I11"/>
  <c r="F11"/>
  <c r="H10"/>
  <c r="E10"/>
  <c r="G9"/>
  <c r="I8"/>
  <c r="G13" i="75"/>
  <c r="I12"/>
  <c r="F12"/>
  <c r="E11"/>
  <c r="G10"/>
  <c r="I9"/>
  <c r="F9"/>
  <c r="H8"/>
  <c r="E8"/>
  <c r="D11" i="77"/>
  <c r="H13"/>
  <c r="G12"/>
  <c r="I11"/>
  <c r="F11"/>
  <c r="H10"/>
  <c r="E10"/>
  <c r="G9"/>
  <c r="I8"/>
  <c r="G13" i="78"/>
  <c r="I12"/>
  <c r="F12"/>
  <c r="H11"/>
  <c r="G10"/>
  <c r="I9"/>
  <c r="F9"/>
  <c r="H8"/>
  <c r="E8"/>
  <c r="D11" i="82"/>
  <c r="H13"/>
  <c r="E13"/>
  <c r="G12"/>
  <c r="I11"/>
  <c r="F11"/>
  <c r="H10"/>
  <c r="E10"/>
  <c r="G9"/>
  <c r="I8"/>
  <c r="F8"/>
  <c r="G13" i="83"/>
  <c r="I12"/>
  <c r="F12"/>
  <c r="H11"/>
  <c r="E11"/>
  <c r="G10"/>
  <c r="I9"/>
  <c r="F9"/>
  <c r="D11" i="85"/>
  <c r="H13"/>
  <c r="E13"/>
  <c r="G12"/>
  <c r="I11"/>
  <c r="F11"/>
  <c r="H10"/>
  <c r="G13" i="86"/>
  <c r="D11" i="88"/>
  <c r="H13"/>
  <c r="E13"/>
  <c r="G12"/>
  <c r="I11"/>
  <c r="F11"/>
  <c r="H10"/>
  <c r="E10"/>
  <c r="F8"/>
  <c r="D11" i="89"/>
  <c r="H13"/>
  <c r="E13"/>
  <c r="G12"/>
  <c r="I11"/>
  <c r="H10"/>
  <c r="G9"/>
  <c r="F8"/>
  <c r="G13" i="90"/>
  <c r="I12"/>
  <c r="F12"/>
  <c r="H11"/>
  <c r="G10"/>
  <c r="F9"/>
  <c r="H8"/>
  <c r="D11" i="92"/>
  <c r="H13"/>
  <c r="G12"/>
  <c r="I11"/>
  <c r="F11"/>
  <c r="H10"/>
  <c r="E10"/>
  <c r="G9"/>
  <c r="I8"/>
  <c r="F8"/>
  <c r="G13" i="93"/>
  <c r="I12"/>
  <c r="F12"/>
  <c r="H11"/>
  <c r="E11"/>
  <c r="G10"/>
  <c r="I9"/>
  <c r="F9"/>
  <c r="H8"/>
  <c r="E8"/>
  <c r="D12" i="94"/>
  <c r="D9"/>
  <c r="D11" i="95"/>
  <c r="H13"/>
  <c r="E13"/>
  <c r="I11"/>
  <c r="F11"/>
  <c r="H10"/>
  <c r="E10"/>
  <c r="G9"/>
  <c r="I8"/>
  <c r="F8"/>
  <c r="G13" i="96"/>
  <c r="I12"/>
  <c r="F12"/>
  <c r="H11"/>
  <c r="E11"/>
  <c r="G10"/>
  <c r="I9"/>
  <c r="F9"/>
  <c r="D12" i="97"/>
  <c r="D11" i="98"/>
  <c r="H13"/>
  <c r="E13"/>
  <c r="G12"/>
  <c r="I11"/>
  <c r="F11"/>
  <c r="H10"/>
  <c r="E10"/>
  <c r="I8"/>
  <c r="F8"/>
  <c r="G13" i="99"/>
  <c r="I12"/>
  <c r="F12"/>
  <c r="H11"/>
  <c r="E11"/>
  <c r="G10"/>
  <c r="F9"/>
  <c r="D12" i="100"/>
  <c r="D9"/>
  <c r="D11" i="101"/>
  <c r="H13"/>
  <c r="E13"/>
  <c r="G12"/>
  <c r="I11"/>
  <c r="F11"/>
  <c r="H10"/>
  <c r="E10"/>
  <c r="G9"/>
  <c r="I8"/>
  <c r="G13" i="102"/>
  <c r="I12"/>
  <c r="H11"/>
  <c r="E11"/>
  <c r="G10"/>
  <c r="I9"/>
  <c r="F9"/>
  <c r="D12" i="108"/>
  <c r="D9"/>
  <c r="H13" i="109"/>
  <c r="E13"/>
  <c r="G12"/>
  <c r="I11"/>
  <c r="F11"/>
  <c r="H10"/>
  <c r="E10"/>
  <c r="G9"/>
  <c r="I8"/>
  <c r="G13" i="127"/>
  <c r="I12"/>
  <c r="F12"/>
  <c r="H11"/>
  <c r="E11"/>
  <c r="G10"/>
  <c r="I9"/>
  <c r="H8"/>
  <c r="E8"/>
  <c r="G154" i="58"/>
  <c r="G24" s="1"/>
  <c r="F153"/>
  <c r="F23" s="1"/>
  <c r="H152"/>
  <c r="H22" s="1"/>
  <c r="E152"/>
  <c r="E22" s="1"/>
  <c r="G151"/>
  <c r="G21" s="1"/>
  <c r="I150"/>
  <c r="I20" s="1"/>
  <c r="F150"/>
  <c r="F20" s="1"/>
  <c r="H154" i="59"/>
  <c r="H24" s="1"/>
  <c r="E154"/>
  <c r="E24" s="1"/>
  <c r="G153"/>
  <c r="G23" s="1"/>
  <c r="I152"/>
  <c r="I22" s="1"/>
  <c r="F152"/>
  <c r="F22" s="1"/>
  <c r="H151"/>
  <c r="H21" s="1"/>
  <c r="G150"/>
  <c r="G20" s="1"/>
  <c r="G13" i="67"/>
  <c r="I12"/>
  <c r="F12"/>
  <c r="H11"/>
  <c r="E11"/>
  <c r="G10"/>
  <c r="I9"/>
  <c r="F9"/>
  <c r="H8"/>
  <c r="E8"/>
  <c r="D11" i="69"/>
  <c r="H13"/>
  <c r="E13"/>
  <c r="G12"/>
  <c r="I11"/>
  <c r="F11"/>
  <c r="H10"/>
  <c r="E10"/>
  <c r="G9"/>
  <c r="I8"/>
  <c r="G13" i="70"/>
  <c r="I12"/>
  <c r="F12"/>
  <c r="H11"/>
  <c r="E11"/>
  <c r="G10"/>
  <c r="I9"/>
  <c r="F9"/>
  <c r="H8"/>
  <c r="E8"/>
  <c r="H13" i="72"/>
  <c r="E13"/>
  <c r="G12"/>
  <c r="I11"/>
  <c r="F11"/>
  <c r="H10"/>
  <c r="G9"/>
  <c r="I8"/>
  <c r="G13" i="73"/>
  <c r="I12"/>
  <c r="F12"/>
  <c r="H11"/>
  <c r="E11"/>
  <c r="G10"/>
  <c r="I9"/>
  <c r="F9"/>
  <c r="H8"/>
  <c r="E8"/>
  <c r="D11" i="75"/>
  <c r="H13"/>
  <c r="E13"/>
  <c r="G12"/>
  <c r="I11"/>
  <c r="F11"/>
  <c r="H10"/>
  <c r="E10"/>
  <c r="G13" i="76"/>
  <c r="I12"/>
  <c r="F12"/>
  <c r="H11"/>
  <c r="E11"/>
  <c r="G10"/>
  <c r="I9"/>
  <c r="F9"/>
  <c r="H8"/>
  <c r="D11" i="78"/>
  <c r="H13"/>
  <c r="E13"/>
  <c r="G12"/>
  <c r="I11"/>
  <c r="H10"/>
  <c r="E10"/>
  <c r="G13" i="81"/>
  <c r="I12"/>
  <c r="F12"/>
  <c r="H11"/>
  <c r="G10"/>
  <c r="I9"/>
  <c r="F9"/>
  <c r="H8"/>
  <c r="E8"/>
  <c r="D11" i="83"/>
  <c r="H13"/>
  <c r="E13"/>
  <c r="G12"/>
  <c r="I11"/>
  <c r="F11"/>
  <c r="H10"/>
  <c r="E10"/>
  <c r="G9"/>
  <c r="I8"/>
  <c r="G13" i="84"/>
  <c r="I12"/>
  <c r="F12"/>
  <c r="H11"/>
  <c r="E11"/>
  <c r="G10"/>
  <c r="I9"/>
  <c r="F9"/>
  <c r="D11" i="86"/>
  <c r="H13"/>
  <c r="E13"/>
  <c r="G12"/>
  <c r="I11"/>
  <c r="F11"/>
  <c r="H10"/>
  <c r="E10"/>
  <c r="G9"/>
  <c r="I8"/>
  <c r="G13" i="87"/>
  <c r="I12"/>
  <c r="F12"/>
  <c r="H11"/>
  <c r="E11"/>
  <c r="G10"/>
  <c r="I9"/>
  <c r="F9"/>
  <c r="H8"/>
  <c r="E8"/>
  <c r="D11" i="79"/>
  <c r="D8"/>
  <c r="I8"/>
  <c r="G13" i="80"/>
  <c r="I12"/>
  <c r="F12"/>
  <c r="H11"/>
  <c r="E11"/>
  <c r="G10"/>
  <c r="I9"/>
  <c r="D11" i="90"/>
  <c r="H13"/>
  <c r="E13"/>
  <c r="I11"/>
  <c r="H10"/>
  <c r="E10"/>
  <c r="G9"/>
  <c r="I8"/>
  <c r="H13" i="93"/>
  <c r="E13"/>
  <c r="H13" i="127"/>
  <c r="E13"/>
  <c r="G12"/>
  <c r="I11"/>
  <c r="F11"/>
  <c r="H10"/>
  <c r="E10"/>
  <c r="I8"/>
  <c r="G154" i="53"/>
  <c r="G24" s="1"/>
  <c r="I153"/>
  <c r="I23" s="1"/>
  <c r="F153"/>
  <c r="F23" s="1"/>
  <c r="H152"/>
  <c r="H22" s="1"/>
  <c r="E152"/>
  <c r="E22" s="1"/>
  <c r="G151"/>
  <c r="G21" s="1"/>
  <c r="I150"/>
  <c r="I20" s="1"/>
  <c r="F150"/>
  <c r="F20" s="1"/>
  <c r="H154" i="58"/>
  <c r="H24" s="1"/>
  <c r="E154"/>
  <c r="E24" s="1"/>
  <c r="G153"/>
  <c r="G23" s="1"/>
  <c r="I152"/>
  <c r="I22" s="1"/>
  <c r="F152"/>
  <c r="F22" s="1"/>
  <c r="H151"/>
  <c r="H21" s="1"/>
  <c r="E151"/>
  <c r="E21" s="1"/>
  <c r="G150"/>
  <c r="G20" s="1"/>
  <c r="I149"/>
  <c r="D11" i="67"/>
  <c r="H13"/>
  <c r="E13"/>
  <c r="G12"/>
  <c r="I11"/>
  <c r="F11"/>
  <c r="H10"/>
  <c r="E10"/>
  <c r="G9"/>
  <c r="I8"/>
  <c r="G13" i="68"/>
  <c r="I12"/>
  <c r="F12"/>
  <c r="H11"/>
  <c r="E11"/>
  <c r="G10"/>
  <c r="I9"/>
  <c r="F9"/>
  <c r="H8"/>
  <c r="D11" i="70"/>
  <c r="H13"/>
  <c r="E13"/>
  <c r="G12"/>
  <c r="I11"/>
  <c r="F11"/>
  <c r="H10"/>
  <c r="E10"/>
  <c r="G9"/>
  <c r="I8"/>
  <c r="G13" i="71"/>
  <c r="I12"/>
  <c r="F12"/>
  <c r="H11"/>
  <c r="E11"/>
  <c r="G10"/>
  <c r="I9"/>
  <c r="F9"/>
  <c r="D11" i="73"/>
  <c r="H13"/>
  <c r="E13"/>
  <c r="F11"/>
  <c r="H10"/>
  <c r="E10"/>
  <c r="G13" i="74"/>
  <c r="I12"/>
  <c r="F12"/>
  <c r="H11"/>
  <c r="E11"/>
  <c r="G10"/>
  <c r="I9"/>
  <c r="F9"/>
  <c r="H8"/>
  <c r="D11" i="76"/>
  <c r="H13"/>
  <c r="E13"/>
  <c r="G12"/>
  <c r="I11"/>
  <c r="F11"/>
  <c r="H10"/>
  <c r="E10"/>
  <c r="G13" i="77"/>
  <c r="I12"/>
  <c r="F12"/>
  <c r="H11"/>
  <c r="E11"/>
  <c r="G10"/>
  <c r="I9"/>
  <c r="F9"/>
  <c r="D11" i="81"/>
  <c r="E13"/>
  <c r="G12"/>
  <c r="I11"/>
  <c r="F11"/>
  <c r="H10"/>
  <c r="E10"/>
  <c r="G9"/>
  <c r="I8"/>
  <c r="G13" i="82"/>
  <c r="I12"/>
  <c r="F12"/>
  <c r="E11"/>
  <c r="G10"/>
  <c r="I9"/>
  <c r="H8"/>
  <c r="D11" i="84"/>
  <c r="H13"/>
  <c r="E13"/>
  <c r="G12"/>
  <c r="I11"/>
  <c r="F11"/>
  <c r="H10"/>
  <c r="G9"/>
  <c r="I8"/>
  <c r="D11" i="87"/>
  <c r="E13"/>
  <c r="I11"/>
  <c r="F11"/>
  <c r="H10"/>
  <c r="E10"/>
  <c r="G13" i="88"/>
  <c r="I12"/>
  <c r="F12"/>
  <c r="H11"/>
  <c r="E11"/>
  <c r="G10"/>
  <c r="I9"/>
  <c r="F9"/>
  <c r="H8"/>
  <c r="D12" i="79"/>
  <c r="D11" i="80"/>
  <c r="H13"/>
  <c r="E13"/>
  <c r="G12"/>
  <c r="I11"/>
  <c r="F11"/>
  <c r="H10"/>
  <c r="G9"/>
  <c r="G13" i="89"/>
  <c r="I12"/>
  <c r="F12"/>
  <c r="H11"/>
  <c r="E11"/>
  <c r="G10"/>
  <c r="F9"/>
  <c r="D11" i="91"/>
  <c r="H13"/>
  <c r="G12"/>
  <c r="I11"/>
  <c r="F11"/>
  <c r="H10"/>
  <c r="E10"/>
  <c r="G13" i="92"/>
  <c r="I12"/>
  <c r="F12"/>
  <c r="H11"/>
  <c r="E11"/>
  <c r="G10"/>
  <c r="I9"/>
  <c r="F9"/>
  <c r="H8"/>
  <c r="D11" i="94"/>
  <c r="G13" i="95"/>
  <c r="I12"/>
  <c r="F12"/>
  <c r="E11"/>
  <c r="G10"/>
  <c r="F9"/>
  <c r="H8"/>
  <c r="D11" i="97"/>
  <c r="G13" i="98"/>
  <c r="I12"/>
  <c r="F12"/>
  <c r="H11"/>
  <c r="E11"/>
  <c r="G10"/>
  <c r="I9"/>
  <c r="D11" i="100"/>
  <c r="G13" i="101"/>
  <c r="I12"/>
  <c r="F12"/>
  <c r="H11"/>
  <c r="E11"/>
  <c r="G10"/>
  <c r="I9"/>
  <c r="F9"/>
  <c r="D11" i="108"/>
  <c r="G13" i="109"/>
  <c r="I12"/>
  <c r="F12"/>
  <c r="H11"/>
  <c r="E11"/>
  <c r="G10"/>
  <c r="I9"/>
  <c r="H8"/>
  <c r="G154" i="67"/>
  <c r="G24" s="1"/>
  <c r="I153"/>
  <c r="I23" s="1"/>
  <c r="F153"/>
  <c r="F23" s="1"/>
  <c r="H152"/>
  <c r="H22" s="1"/>
  <c r="E152"/>
  <c r="E22" s="1"/>
  <c r="G151"/>
  <c r="G21" s="1"/>
  <c r="I150"/>
  <c r="I20" s="1"/>
  <c r="F150"/>
  <c r="F20" s="1"/>
  <c r="H154" i="68"/>
  <c r="H24" s="1"/>
  <c r="E154"/>
  <c r="E24" s="1"/>
  <c r="G153"/>
  <c r="G23" s="1"/>
  <c r="I152"/>
  <c r="I22" s="1"/>
  <c r="F152"/>
  <c r="F22" s="1"/>
  <c r="H151"/>
  <c r="H21" s="1"/>
  <c r="E151"/>
  <c r="E21" s="1"/>
  <c r="G150"/>
  <c r="G20" s="1"/>
  <c r="I149"/>
  <c r="I19" s="1"/>
  <c r="F149"/>
  <c r="F19" s="1"/>
  <c r="G154" i="70"/>
  <c r="G24" s="1"/>
  <c r="F153"/>
  <c r="F23" s="1"/>
  <c r="H152"/>
  <c r="H22" s="1"/>
  <c r="E152"/>
  <c r="E22" s="1"/>
  <c r="G151"/>
  <c r="G21" s="1"/>
  <c r="I150"/>
  <c r="I20" s="1"/>
  <c r="F150"/>
  <c r="F20" s="1"/>
  <c r="H154" i="71"/>
  <c r="H24" s="1"/>
  <c r="E154"/>
  <c r="E24" s="1"/>
  <c r="G153"/>
  <c r="G23" s="1"/>
  <c r="F152"/>
  <c r="F22" s="1"/>
  <c r="H151"/>
  <c r="H21" s="1"/>
  <c r="E151"/>
  <c r="E21" s="1"/>
  <c r="G150"/>
  <c r="G20" s="1"/>
  <c r="G154" i="73"/>
  <c r="G24" s="1"/>
  <c r="I153"/>
  <c r="I23" s="1"/>
  <c r="F153"/>
  <c r="F23" s="1"/>
  <c r="H152"/>
  <c r="H22" s="1"/>
  <c r="E152"/>
  <c r="E22" s="1"/>
  <c r="G151"/>
  <c r="G21" s="1"/>
  <c r="I150"/>
  <c r="I20" s="1"/>
  <c r="F150"/>
  <c r="F20" s="1"/>
  <c r="H154" i="74"/>
  <c r="H24" s="1"/>
  <c r="E154"/>
  <c r="E24" s="1"/>
  <c r="G153"/>
  <c r="G23" s="1"/>
  <c r="I152"/>
  <c r="I22" s="1"/>
  <c r="F152"/>
  <c r="F22" s="1"/>
  <c r="H151"/>
  <c r="H21" s="1"/>
  <c r="E151"/>
  <c r="E21" s="1"/>
  <c r="G150"/>
  <c r="G20" s="1"/>
  <c r="I149"/>
  <c r="F149"/>
  <c r="I153" i="76"/>
  <c r="I23" s="1"/>
  <c r="F153"/>
  <c r="F23" s="1"/>
  <c r="H152"/>
  <c r="H22" s="1"/>
  <c r="E152"/>
  <c r="E22" s="1"/>
  <c r="G151"/>
  <c r="G21" s="1"/>
  <c r="I150"/>
  <c r="I20" s="1"/>
  <c r="F150"/>
  <c r="F20" s="1"/>
  <c r="H154" i="77"/>
  <c r="H24" s="1"/>
  <c r="E154"/>
  <c r="E24" s="1"/>
  <c r="G153"/>
  <c r="G23" s="1"/>
  <c r="I152"/>
  <c r="I22" s="1"/>
  <c r="F152"/>
  <c r="F22" s="1"/>
  <c r="H151"/>
  <c r="H21" s="1"/>
  <c r="E151"/>
  <c r="E21" s="1"/>
  <c r="G150"/>
  <c r="G20" s="1"/>
  <c r="G154" i="81"/>
  <c r="G24" s="1"/>
  <c r="I153"/>
  <c r="I23" s="1"/>
  <c r="F153"/>
  <c r="F23" s="1"/>
  <c r="H152"/>
  <c r="H22" s="1"/>
  <c r="E152"/>
  <c r="E22" s="1"/>
  <c r="G151"/>
  <c r="G21" s="1"/>
  <c r="I150"/>
  <c r="I20" s="1"/>
  <c r="F150"/>
  <c r="F20" s="1"/>
  <c r="H154" i="82"/>
  <c r="H24" s="1"/>
  <c r="E154"/>
  <c r="E24" s="1"/>
  <c r="G153"/>
  <c r="G23" s="1"/>
  <c r="I152"/>
  <c r="I22" s="1"/>
  <c r="F152"/>
  <c r="F22" s="1"/>
  <c r="H151"/>
  <c r="H21" s="1"/>
  <c r="E151"/>
  <c r="E21" s="1"/>
  <c r="G150"/>
  <c r="G20" s="1"/>
  <c r="I149"/>
  <c r="I19" s="1"/>
  <c r="F149"/>
  <c r="F19" s="1"/>
  <c r="G154" i="84"/>
  <c r="G24" s="1"/>
  <c r="I153"/>
  <c r="I23" s="1"/>
  <c r="F153"/>
  <c r="F23" s="1"/>
  <c r="H152"/>
  <c r="H22" s="1"/>
  <c r="E152"/>
  <c r="E22" s="1"/>
  <c r="G151"/>
  <c r="G21" s="1"/>
  <c r="I150"/>
  <c r="I20" s="1"/>
  <c r="F150"/>
  <c r="F20" s="1"/>
  <c r="H154" i="85"/>
  <c r="H24" s="1"/>
  <c r="E154"/>
  <c r="E24" s="1"/>
  <c r="G153"/>
  <c r="G23" s="1"/>
  <c r="I152"/>
  <c r="I22" s="1"/>
  <c r="F152"/>
  <c r="F22" s="1"/>
  <c r="H151"/>
  <c r="H21" s="1"/>
  <c r="E151"/>
  <c r="E21" s="1"/>
  <c r="G150"/>
  <c r="G20" s="1"/>
  <c r="G154" i="87"/>
  <c r="G24" s="1"/>
  <c r="I153"/>
  <c r="I23" s="1"/>
  <c r="F153"/>
  <c r="F23" s="1"/>
  <c r="H152"/>
  <c r="H22" s="1"/>
  <c r="E152"/>
  <c r="E22" s="1"/>
  <c r="G151"/>
  <c r="G21" s="1"/>
  <c r="I150"/>
  <c r="I20" s="1"/>
  <c r="F150"/>
  <c r="F20" s="1"/>
  <c r="H154" i="88"/>
  <c r="H24" s="1"/>
  <c r="E154"/>
  <c r="E24" s="1"/>
  <c r="G153"/>
  <c r="G23" s="1"/>
  <c r="I152"/>
  <c r="I22" s="1"/>
  <c r="F152"/>
  <c r="F22" s="1"/>
  <c r="H151"/>
  <c r="H21" s="1"/>
  <c r="E151"/>
  <c r="E21" s="1"/>
  <c r="G150"/>
  <c r="G20" s="1"/>
  <c r="G154" i="80"/>
  <c r="G24" s="1"/>
  <c r="I153"/>
  <c r="I23" s="1"/>
  <c r="F153"/>
  <c r="F23" s="1"/>
  <c r="H152"/>
  <c r="H22" s="1"/>
  <c r="E152"/>
  <c r="E22" s="1"/>
  <c r="G151"/>
  <c r="G21" s="1"/>
  <c r="I150"/>
  <c r="I20" s="1"/>
  <c r="F150"/>
  <c r="F20" s="1"/>
  <c r="H154" i="89"/>
  <c r="H24" s="1"/>
  <c r="E154"/>
  <c r="E24" s="1"/>
  <c r="G153"/>
  <c r="G23" s="1"/>
  <c r="I152"/>
  <c r="I22" s="1"/>
  <c r="F152"/>
  <c r="F22" s="1"/>
  <c r="H151"/>
  <c r="H21" s="1"/>
  <c r="E151"/>
  <c r="E21" s="1"/>
  <c r="G150"/>
  <c r="G20" s="1"/>
  <c r="G154" i="91"/>
  <c r="G24" s="1"/>
  <c r="I153"/>
  <c r="I23" s="1"/>
  <c r="F153"/>
  <c r="F23" s="1"/>
  <c r="H152"/>
  <c r="H22" s="1"/>
  <c r="G151"/>
  <c r="G21" s="1"/>
  <c r="I150"/>
  <c r="I20" s="1"/>
  <c r="F150"/>
  <c r="F20" s="1"/>
  <c r="H154" i="92"/>
  <c r="H24" s="1"/>
  <c r="E154"/>
  <c r="E24" s="1"/>
  <c r="G153"/>
  <c r="G23" s="1"/>
  <c r="I152"/>
  <c r="I22" s="1"/>
  <c r="F152"/>
  <c r="F22" s="1"/>
  <c r="H151"/>
  <c r="H21" s="1"/>
  <c r="E151"/>
  <c r="E21" s="1"/>
  <c r="G150"/>
  <c r="G20" s="1"/>
  <c r="I149"/>
  <c r="F149"/>
  <c r="G154" i="94"/>
  <c r="G24" s="1"/>
  <c r="I153"/>
  <c r="I23" s="1"/>
  <c r="F153"/>
  <c r="F23" s="1"/>
  <c r="H152"/>
  <c r="H22" s="1"/>
  <c r="E152"/>
  <c r="E22" s="1"/>
  <c r="G151"/>
  <c r="G21" s="1"/>
  <c r="I150"/>
  <c r="I20" s="1"/>
  <c r="F150"/>
  <c r="F20" s="1"/>
  <c r="H154" i="95"/>
  <c r="H24" s="1"/>
  <c r="E154"/>
  <c r="E24" s="1"/>
  <c r="G153"/>
  <c r="G23" s="1"/>
  <c r="I152"/>
  <c r="I22" s="1"/>
  <c r="F152"/>
  <c r="F22" s="1"/>
  <c r="H151"/>
  <c r="H21" s="1"/>
  <c r="E151"/>
  <c r="E21" s="1"/>
  <c r="G150"/>
  <c r="G20" s="1"/>
  <c r="G154" i="97"/>
  <c r="G24" s="1"/>
  <c r="I153"/>
  <c r="I23" s="1"/>
  <c r="F153"/>
  <c r="F23" s="1"/>
  <c r="H152"/>
  <c r="H22" s="1"/>
  <c r="E152"/>
  <c r="E22" s="1"/>
  <c r="G151"/>
  <c r="G21" s="1"/>
  <c r="I150"/>
  <c r="I20" s="1"/>
  <c r="F150"/>
  <c r="F20" s="1"/>
  <c r="H154" i="98"/>
  <c r="H24" s="1"/>
  <c r="E154"/>
  <c r="E24" s="1"/>
  <c r="G153"/>
  <c r="G23" s="1"/>
  <c r="I152"/>
  <c r="I22" s="1"/>
  <c r="F152"/>
  <c r="F22" s="1"/>
  <c r="H151"/>
  <c r="H21" s="1"/>
  <c r="E151"/>
  <c r="E21" s="1"/>
  <c r="G150"/>
  <c r="G20" s="1"/>
  <c r="I149"/>
  <c r="F149"/>
  <c r="G154" i="100"/>
  <c r="G24" s="1"/>
  <c r="I153"/>
  <c r="I23" s="1"/>
  <c r="F153"/>
  <c r="F23" s="1"/>
  <c r="H152"/>
  <c r="H22" s="1"/>
  <c r="E152"/>
  <c r="E22" s="1"/>
  <c r="G151"/>
  <c r="G21" s="1"/>
  <c r="I150"/>
  <c r="I20" s="1"/>
  <c r="F150"/>
  <c r="F20" s="1"/>
  <c r="H154" i="101"/>
  <c r="H24" s="1"/>
  <c r="E154"/>
  <c r="E24" s="1"/>
  <c r="G153"/>
  <c r="G23" s="1"/>
  <c r="I152"/>
  <c r="I22" s="1"/>
  <c r="F152"/>
  <c r="F22" s="1"/>
  <c r="H151"/>
  <c r="H21" s="1"/>
  <c r="E151"/>
  <c r="E21" s="1"/>
  <c r="G150"/>
  <c r="G20" s="1"/>
  <c r="I149"/>
  <c r="I19" s="1"/>
  <c r="F149"/>
  <c r="F19" s="1"/>
  <c r="G154" i="108"/>
  <c r="G24" s="1"/>
  <c r="I153"/>
  <c r="I23" s="1"/>
  <c r="F153"/>
  <c r="F23" s="1"/>
  <c r="H152"/>
  <c r="H22" s="1"/>
  <c r="E152"/>
  <c r="E22" s="1"/>
  <c r="H154" i="127"/>
  <c r="H24" s="1"/>
  <c r="E154"/>
  <c r="E24" s="1"/>
  <c r="G153"/>
  <c r="G23" s="1"/>
  <c r="I152"/>
  <c r="I22" s="1"/>
  <c r="F152"/>
  <c r="F22" s="1"/>
  <c r="H151"/>
  <c r="H21" s="1"/>
  <c r="E151"/>
  <c r="E21" s="1"/>
  <c r="G150"/>
  <c r="G20" s="1"/>
  <c r="H151" i="67"/>
  <c r="H21" s="1"/>
  <c r="E151"/>
  <c r="E21" s="1"/>
  <c r="G150"/>
  <c r="G20" s="1"/>
  <c r="G154" i="69"/>
  <c r="G24" s="1"/>
  <c r="I153"/>
  <c r="I23" s="1"/>
  <c r="F153"/>
  <c r="F23" s="1"/>
  <c r="H152"/>
  <c r="H22" s="1"/>
  <c r="E152"/>
  <c r="E22" s="1"/>
  <c r="G151"/>
  <c r="G21" s="1"/>
  <c r="I150"/>
  <c r="I20" s="1"/>
  <c r="F150"/>
  <c r="F20" s="1"/>
  <c r="H154" i="70"/>
  <c r="H24" s="1"/>
  <c r="E154"/>
  <c r="E24" s="1"/>
  <c r="G153"/>
  <c r="G23" s="1"/>
  <c r="I152"/>
  <c r="I22" s="1"/>
  <c r="F152"/>
  <c r="F22" s="1"/>
  <c r="H151"/>
  <c r="H21" s="1"/>
  <c r="E151"/>
  <c r="E21" s="1"/>
  <c r="G150"/>
  <c r="G20" s="1"/>
  <c r="G154" i="72"/>
  <c r="G24" s="1"/>
  <c r="I153"/>
  <c r="I23" s="1"/>
  <c r="F153"/>
  <c r="F23" s="1"/>
  <c r="H152"/>
  <c r="H22" s="1"/>
  <c r="E152"/>
  <c r="E22" s="1"/>
  <c r="G151"/>
  <c r="G21" s="1"/>
  <c r="I150"/>
  <c r="I20" s="1"/>
  <c r="F150"/>
  <c r="F20" s="1"/>
  <c r="H154" i="73"/>
  <c r="H24" s="1"/>
  <c r="E154"/>
  <c r="E24" s="1"/>
  <c r="G153"/>
  <c r="G23" s="1"/>
  <c r="I152"/>
  <c r="I22" s="1"/>
  <c r="F152"/>
  <c r="F22" s="1"/>
  <c r="H151"/>
  <c r="H21" s="1"/>
  <c r="E151"/>
  <c r="E21" s="1"/>
  <c r="G150"/>
  <c r="G20" s="1"/>
  <c r="I149"/>
  <c r="I19" s="1"/>
  <c r="G154" i="75"/>
  <c r="G24" s="1"/>
  <c r="I153"/>
  <c r="I23" s="1"/>
  <c r="F153"/>
  <c r="F23" s="1"/>
  <c r="H152"/>
  <c r="H22" s="1"/>
  <c r="E152"/>
  <c r="E22" s="1"/>
  <c r="G151"/>
  <c r="G21" s="1"/>
  <c r="I150"/>
  <c r="I20" s="1"/>
  <c r="F150"/>
  <c r="F20" s="1"/>
  <c r="H154" i="76"/>
  <c r="H24" s="1"/>
  <c r="E154"/>
  <c r="E24" s="1"/>
  <c r="G153"/>
  <c r="G23" s="1"/>
  <c r="I152"/>
  <c r="I22" s="1"/>
  <c r="F152"/>
  <c r="F22" s="1"/>
  <c r="H151"/>
  <c r="H21" s="1"/>
  <c r="E151"/>
  <c r="E21" s="1"/>
  <c r="G150"/>
  <c r="G20" s="1"/>
  <c r="I149"/>
  <c r="I19" s="1"/>
  <c r="G154" i="78"/>
  <c r="G24" s="1"/>
  <c r="I153"/>
  <c r="I23" s="1"/>
  <c r="F153"/>
  <c r="F23" s="1"/>
  <c r="H152"/>
  <c r="H22" s="1"/>
  <c r="E152"/>
  <c r="E22" s="1"/>
  <c r="G151"/>
  <c r="G21" s="1"/>
  <c r="I150"/>
  <c r="I20" s="1"/>
  <c r="F150"/>
  <c r="F20" s="1"/>
  <c r="H149"/>
  <c r="E149"/>
  <c r="H154" i="81"/>
  <c r="H24" s="1"/>
  <c r="E154"/>
  <c r="E24" s="1"/>
  <c r="G153"/>
  <c r="G23" s="1"/>
  <c r="I152"/>
  <c r="I22" s="1"/>
  <c r="F152"/>
  <c r="F22" s="1"/>
  <c r="H151"/>
  <c r="H21" s="1"/>
  <c r="G154" i="83"/>
  <c r="G24" s="1"/>
  <c r="I153"/>
  <c r="I23" s="1"/>
  <c r="F153"/>
  <c r="F23" s="1"/>
  <c r="H152"/>
  <c r="H22" s="1"/>
  <c r="E152"/>
  <c r="E22" s="1"/>
  <c r="H154" i="84"/>
  <c r="H24" s="1"/>
  <c r="E154"/>
  <c r="E24" s="1"/>
  <c r="G153"/>
  <c r="G23" s="1"/>
  <c r="G154" i="86"/>
  <c r="G24" s="1"/>
  <c r="I153"/>
  <c r="I23" s="1"/>
  <c r="F153"/>
  <c r="F23" s="1"/>
  <c r="H152"/>
  <c r="H22" s="1"/>
  <c r="E152"/>
  <c r="E22" s="1"/>
  <c r="G151"/>
  <c r="G21" s="1"/>
  <c r="H154" i="87"/>
  <c r="H24" s="1"/>
  <c r="E154"/>
  <c r="E24" s="1"/>
  <c r="G154" i="79"/>
  <c r="G24" s="1"/>
  <c r="I153"/>
  <c r="I23" s="1"/>
  <c r="F153"/>
  <c r="F23" s="1"/>
  <c r="H152"/>
  <c r="H22" s="1"/>
  <c r="G154" i="90"/>
  <c r="G24" s="1"/>
  <c r="E152"/>
  <c r="E22" s="1"/>
  <c r="G154" i="68"/>
  <c r="G24" s="1"/>
  <c r="I153"/>
  <c r="I23" s="1"/>
  <c r="F153"/>
  <c r="F23" s="1"/>
  <c r="H152"/>
  <c r="H22" s="1"/>
  <c r="E152"/>
  <c r="E22" s="1"/>
  <c r="G151"/>
  <c r="G21" s="1"/>
  <c r="I150"/>
  <c r="I20" s="1"/>
  <c r="F150"/>
  <c r="F20" s="1"/>
  <c r="H154" i="69"/>
  <c r="H24" s="1"/>
  <c r="E154"/>
  <c r="E24" s="1"/>
  <c r="G153"/>
  <c r="G23" s="1"/>
  <c r="I152"/>
  <c r="I22" s="1"/>
  <c r="F152"/>
  <c r="F22" s="1"/>
  <c r="H151"/>
  <c r="H21" s="1"/>
  <c r="E151"/>
  <c r="E21" s="1"/>
  <c r="G154" i="71"/>
  <c r="G24" s="1"/>
  <c r="I153"/>
  <c r="I23" s="1"/>
  <c r="F153"/>
  <c r="F23" s="1"/>
  <c r="H152"/>
  <c r="H22" s="1"/>
  <c r="E152"/>
  <c r="E22" s="1"/>
  <c r="G151"/>
  <c r="G21" s="1"/>
  <c r="I150"/>
  <c r="I20" s="1"/>
  <c r="F150"/>
  <c r="F20" s="1"/>
  <c r="G154" i="74"/>
  <c r="G24" s="1"/>
  <c r="I153"/>
  <c r="I23" s="1"/>
  <c r="F153"/>
  <c r="F23" s="1"/>
  <c r="H152"/>
  <c r="H22" s="1"/>
  <c r="E152"/>
  <c r="E22" s="1"/>
  <c r="I150"/>
  <c r="I20" s="1"/>
  <c r="F150"/>
  <c r="F20" s="1"/>
  <c r="H154" i="75"/>
  <c r="H24" s="1"/>
  <c r="E154"/>
  <c r="E24" s="1"/>
  <c r="G153"/>
  <c r="G23" s="1"/>
  <c r="I152"/>
  <c r="I22" s="1"/>
  <c r="G154" i="77"/>
  <c r="G24" s="1"/>
  <c r="I153"/>
  <c r="I23" s="1"/>
  <c r="F153"/>
  <c r="F23" s="1"/>
  <c r="H152"/>
  <c r="H22" s="1"/>
  <c r="E152"/>
  <c r="E22" s="1"/>
  <c r="G151"/>
  <c r="G21" s="1"/>
  <c r="I150"/>
  <c r="I20" s="1"/>
  <c r="F150"/>
  <c r="F20" s="1"/>
  <c r="H154" i="78"/>
  <c r="H24" s="1"/>
  <c r="E154"/>
  <c r="E24" s="1"/>
  <c r="G154" i="82"/>
  <c r="G24" s="1"/>
  <c r="I153"/>
  <c r="I23" s="1"/>
  <c r="F153"/>
  <c r="F23" s="1"/>
  <c r="H152"/>
  <c r="H22" s="1"/>
  <c r="E152"/>
  <c r="E22" s="1"/>
  <c r="G151"/>
  <c r="G21" s="1"/>
  <c r="I150"/>
  <c r="I20" s="1"/>
  <c r="F150"/>
  <c r="F20" s="1"/>
  <c r="G154" i="85"/>
  <c r="G24" s="1"/>
  <c r="I153"/>
  <c r="I23" s="1"/>
  <c r="F153"/>
  <c r="F23" s="1"/>
  <c r="H152"/>
  <c r="H22" s="1"/>
  <c r="E152"/>
  <c r="E22" s="1"/>
  <c r="G151"/>
  <c r="G21" s="1"/>
  <c r="I150"/>
  <c r="I20" s="1"/>
  <c r="F150"/>
  <c r="F20" s="1"/>
  <c r="G154" i="88"/>
  <c r="G24" s="1"/>
  <c r="I153"/>
  <c r="I23" s="1"/>
  <c r="F153"/>
  <c r="F23" s="1"/>
  <c r="H152"/>
  <c r="H22" s="1"/>
  <c r="E152"/>
  <c r="E22" s="1"/>
  <c r="G151"/>
  <c r="G21" s="1"/>
  <c r="I150"/>
  <c r="I20" s="1"/>
  <c r="F150"/>
  <c r="F20" s="1"/>
  <c r="H154" i="79"/>
  <c r="H24" s="1"/>
  <c r="E154"/>
  <c r="E24" s="1"/>
  <c r="G154" i="89"/>
  <c r="G24" s="1"/>
  <c r="I153"/>
  <c r="I23" s="1"/>
  <c r="F153"/>
  <c r="F23" s="1"/>
  <c r="H152"/>
  <c r="H22" s="1"/>
  <c r="E152"/>
  <c r="E22" s="1"/>
  <c r="G151"/>
  <c r="G21" s="1"/>
  <c r="I150"/>
  <c r="I20" s="1"/>
  <c r="F150"/>
  <c r="F20" s="1"/>
  <c r="H154" i="90"/>
  <c r="H24" s="1"/>
  <c r="E154"/>
  <c r="E24" s="1"/>
  <c r="G154" i="92"/>
  <c r="G24" s="1"/>
  <c r="I153"/>
  <c r="I23" s="1"/>
  <c r="F153"/>
  <c r="F23" s="1"/>
  <c r="H152"/>
  <c r="H22" s="1"/>
  <c r="E152"/>
  <c r="E22" s="1"/>
  <c r="G151"/>
  <c r="G21" s="1"/>
  <c r="I150"/>
  <c r="I20" s="1"/>
  <c r="F150"/>
  <c r="F20" s="1"/>
  <c r="H154" i="93"/>
  <c r="H24" s="1"/>
  <c r="E154"/>
  <c r="E24" s="1"/>
  <c r="G153"/>
  <c r="G23" s="1"/>
  <c r="I152"/>
  <c r="I22" s="1"/>
  <c r="F152"/>
  <c r="F22" s="1"/>
  <c r="H151"/>
  <c r="H21" s="1"/>
  <c r="E151"/>
  <c r="E21" s="1"/>
  <c r="G154" i="95"/>
  <c r="G24" s="1"/>
  <c r="I153"/>
  <c r="I23" s="1"/>
  <c r="F153"/>
  <c r="F23" s="1"/>
  <c r="H152"/>
  <c r="H22" s="1"/>
  <c r="E152"/>
  <c r="E22" s="1"/>
  <c r="G151"/>
  <c r="G21" s="1"/>
  <c r="I150"/>
  <c r="I20" s="1"/>
  <c r="F150"/>
  <c r="F20" s="1"/>
  <c r="H154" i="96"/>
  <c r="H24" s="1"/>
  <c r="E154"/>
  <c r="E24" s="1"/>
  <c r="G153"/>
  <c r="G23" s="1"/>
  <c r="I152"/>
  <c r="I22" s="1"/>
  <c r="G154" i="98"/>
  <c r="G24" s="1"/>
  <c r="I153"/>
  <c r="I23" s="1"/>
  <c r="F153"/>
  <c r="F23" s="1"/>
  <c r="H152"/>
  <c r="H22" s="1"/>
  <c r="E152"/>
  <c r="E22" s="1"/>
  <c r="I150"/>
  <c r="I20" s="1"/>
  <c r="F150"/>
  <c r="F20" s="1"/>
  <c r="H154" i="99"/>
  <c r="H24" s="1"/>
  <c r="E154"/>
  <c r="E24" s="1"/>
  <c r="G153"/>
  <c r="G23" s="1"/>
  <c r="I152"/>
  <c r="I22" s="1"/>
  <c r="F152"/>
  <c r="F22" s="1"/>
  <c r="H151"/>
  <c r="H21" s="1"/>
  <c r="E151"/>
  <c r="E21" s="1"/>
  <c r="G150"/>
  <c r="G20" s="1"/>
  <c r="G154" i="101"/>
  <c r="G24" s="1"/>
  <c r="I153"/>
  <c r="I23" s="1"/>
  <c r="F153"/>
  <c r="F23" s="1"/>
  <c r="H152"/>
  <c r="H22" s="1"/>
  <c r="E152"/>
  <c r="E22" s="1"/>
  <c r="G151"/>
  <c r="G21" s="1"/>
  <c r="I150"/>
  <c r="I20" s="1"/>
  <c r="F150"/>
  <c r="F20" s="1"/>
  <c r="H154" i="102"/>
  <c r="H24" s="1"/>
  <c r="E154"/>
  <c r="E24" s="1"/>
  <c r="G153"/>
  <c r="G23" s="1"/>
  <c r="I152"/>
  <c r="I22" s="1"/>
  <c r="F152"/>
  <c r="F22" s="1"/>
  <c r="H151"/>
  <c r="H21" s="1"/>
  <c r="E151"/>
  <c r="E21" s="1"/>
  <c r="G150"/>
  <c r="G20" s="1"/>
  <c r="I149"/>
  <c r="I19" s="1"/>
  <c r="G154" i="127"/>
  <c r="G24" s="1"/>
  <c r="I153"/>
  <c r="I23" s="1"/>
  <c r="F153"/>
  <c r="F23" s="1"/>
  <c r="H152"/>
  <c r="H22" s="1"/>
  <c r="E152"/>
  <c r="E22" s="1"/>
  <c r="G151"/>
  <c r="G21" s="1"/>
  <c r="I150"/>
  <c r="I20" s="1"/>
  <c r="F150"/>
  <c r="F20" s="1"/>
  <c r="H154" i="129"/>
  <c r="H24" s="1"/>
  <c r="H35" s="1"/>
  <c r="E154"/>
  <c r="E24" s="1"/>
  <c r="E35" s="1"/>
  <c r="G153"/>
  <c r="G23" s="1"/>
  <c r="G34" s="1"/>
  <c r="I152"/>
  <c r="I22" s="1"/>
  <c r="I33" s="1"/>
  <c r="F152"/>
  <c r="F22" s="1"/>
  <c r="F33" s="1"/>
  <c r="H151"/>
  <c r="H21" s="1"/>
  <c r="H32" s="1"/>
  <c r="E151"/>
  <c r="E21" s="1"/>
  <c r="E32" s="1"/>
  <c r="G150"/>
  <c r="G20" s="1"/>
  <c r="G31" s="1"/>
  <c r="E8" i="39"/>
  <c r="H8"/>
  <c r="F9"/>
  <c r="I9"/>
  <c r="G10"/>
  <c r="E11"/>
  <c r="H11"/>
  <c r="F12"/>
  <c r="I12"/>
  <c r="G13"/>
  <c r="F9" i="42"/>
  <c r="I9"/>
  <c r="E11"/>
  <c r="H11"/>
  <c r="F12"/>
  <c r="I12"/>
  <c r="G13"/>
  <c r="E8" i="46"/>
  <c r="H8"/>
  <c r="F9"/>
  <c r="I9"/>
  <c r="G10"/>
  <c r="E11"/>
  <c r="F12"/>
  <c r="I12"/>
  <c r="G13"/>
  <c r="E8" i="49"/>
  <c r="H8"/>
  <c r="F9"/>
  <c r="I9"/>
  <c r="G10"/>
  <c r="E11"/>
  <c r="H11"/>
  <c r="F12"/>
  <c r="I12"/>
  <c r="G13"/>
  <c r="H8" i="54"/>
  <c r="F9"/>
  <c r="I9"/>
  <c r="E11"/>
  <c r="H11"/>
  <c r="F12"/>
  <c r="I12"/>
  <c r="G13"/>
  <c r="E8" i="57"/>
  <c r="H8"/>
  <c r="F9"/>
  <c r="I9"/>
  <c r="G10"/>
  <c r="E11"/>
  <c r="F12"/>
  <c r="I12"/>
  <c r="G13"/>
  <c r="F150" i="38"/>
  <c r="F20" s="1"/>
  <c r="I150"/>
  <c r="I20" s="1"/>
  <c r="G151"/>
  <c r="G21" s="1"/>
  <c r="E152"/>
  <c r="E22" s="1"/>
  <c r="H152"/>
  <c r="H22" s="1"/>
  <c r="F153"/>
  <c r="F23" s="1"/>
  <c r="I153"/>
  <c r="I23" s="1"/>
  <c r="G154"/>
  <c r="G24" s="1"/>
  <c r="F149" i="39"/>
  <c r="F19" s="1"/>
  <c r="I149"/>
  <c r="I19" s="1"/>
  <c r="G150"/>
  <c r="G20" s="1"/>
  <c r="E151"/>
  <c r="E21" s="1"/>
  <c r="H151"/>
  <c r="H21" s="1"/>
  <c r="F152"/>
  <c r="F22" s="1"/>
  <c r="I152"/>
  <c r="I22" s="1"/>
  <c r="G153"/>
  <c r="G23" s="1"/>
  <c r="E154"/>
  <c r="E24" s="1"/>
  <c r="H154"/>
  <c r="H24" s="1"/>
  <c r="F150" i="48"/>
  <c r="F20" s="1"/>
  <c r="I150"/>
  <c r="I20" s="1"/>
  <c r="E152"/>
  <c r="E22" s="1"/>
  <c r="H152"/>
  <c r="H22" s="1"/>
  <c r="F153"/>
  <c r="F23" s="1"/>
  <c r="I153"/>
  <c r="I23" s="1"/>
  <c r="G154"/>
  <c r="G24" s="1"/>
  <c r="F149" i="49"/>
  <c r="I149"/>
  <c r="G150"/>
  <c r="G20" s="1"/>
  <c r="E151"/>
  <c r="E21" s="1"/>
  <c r="H151"/>
  <c r="H21" s="1"/>
  <c r="F152"/>
  <c r="F22" s="1"/>
  <c r="I152"/>
  <c r="I22" s="1"/>
  <c r="G153"/>
  <c r="G23" s="1"/>
  <c r="E154"/>
  <c r="E24" s="1"/>
  <c r="H154"/>
  <c r="H24" s="1"/>
  <c r="I13" i="38"/>
  <c r="F13"/>
  <c r="H12"/>
  <c r="E12"/>
  <c r="G11"/>
  <c r="I10"/>
  <c r="F10"/>
  <c r="F9"/>
  <c r="I13" i="41"/>
  <c r="E12"/>
  <c r="E11"/>
  <c r="F10"/>
  <c r="F9"/>
  <c r="I13" i="44"/>
  <c r="I12"/>
  <c r="E12"/>
  <c r="E11"/>
  <c r="F10"/>
  <c r="F9"/>
  <c r="I13" i="48"/>
  <c r="E12"/>
  <c r="E11"/>
  <c r="F10"/>
  <c r="F9"/>
  <c r="I13" i="51"/>
  <c r="E11"/>
  <c r="F10"/>
  <c r="F9"/>
  <c r="I13" i="56"/>
  <c r="I12"/>
  <c r="E12"/>
  <c r="E11"/>
  <c r="F10"/>
  <c r="F9"/>
  <c r="H154" i="41"/>
  <c r="H24" s="1"/>
  <c r="H153"/>
  <c r="H23" s="1"/>
  <c r="I152"/>
  <c r="I22" s="1"/>
  <c r="I151"/>
  <c r="I21" s="1"/>
  <c r="E150"/>
  <c r="E20" s="1"/>
  <c r="F149"/>
  <c r="F19" s="1"/>
  <c r="G154" i="42"/>
  <c r="G24" s="1"/>
  <c r="H153"/>
  <c r="H23" s="1"/>
  <c r="H152"/>
  <c r="H22" s="1"/>
  <c r="I151"/>
  <c r="I21" s="1"/>
  <c r="I150"/>
  <c r="I20" s="1"/>
  <c r="E150"/>
  <c r="E20" s="1"/>
  <c r="I154" i="44"/>
  <c r="I24" s="1"/>
  <c r="E154"/>
  <c r="E24" s="1"/>
  <c r="E153"/>
  <c r="E23" s="1"/>
  <c r="F152"/>
  <c r="F22" s="1"/>
  <c r="F151"/>
  <c r="F21" s="1"/>
  <c r="G150"/>
  <c r="G20" s="1"/>
  <c r="I154" i="46"/>
  <c r="I24" s="1"/>
  <c r="I153"/>
  <c r="I23" s="1"/>
  <c r="E153"/>
  <c r="E23" s="1"/>
  <c r="E152"/>
  <c r="E22" s="1"/>
  <c r="F151"/>
  <c r="F21" s="1"/>
  <c r="F150"/>
  <c r="F20" s="1"/>
  <c r="H154" i="51"/>
  <c r="H24" s="1"/>
  <c r="H153"/>
  <c r="H23" s="1"/>
  <c r="I152"/>
  <c r="I22" s="1"/>
  <c r="I151"/>
  <c r="I21" s="1"/>
  <c r="E151"/>
  <c r="E21" s="1"/>
  <c r="G154" i="54"/>
  <c r="G24" s="1"/>
  <c r="H153"/>
  <c r="H23" s="1"/>
  <c r="H152"/>
  <c r="H22" s="1"/>
  <c r="I151"/>
  <c r="I21" s="1"/>
  <c r="I150"/>
  <c r="I20" s="1"/>
  <c r="E150"/>
  <c r="E20" s="1"/>
  <c r="I154" i="56"/>
  <c r="I24" s="1"/>
  <c r="E154"/>
  <c r="E24" s="1"/>
  <c r="E153"/>
  <c r="E23" s="1"/>
  <c r="F152"/>
  <c r="F22" s="1"/>
  <c r="F151"/>
  <c r="F21" s="1"/>
  <c r="G150"/>
  <c r="G20" s="1"/>
  <c r="I154" i="57"/>
  <c r="I24" s="1"/>
  <c r="I153"/>
  <c r="I23" s="1"/>
  <c r="E153"/>
  <c r="E23" s="1"/>
  <c r="E152"/>
  <c r="E22" s="1"/>
  <c r="F151"/>
  <c r="F21" s="1"/>
  <c r="F150"/>
  <c r="F20" s="1"/>
  <c r="F8" i="38"/>
  <c r="G9"/>
  <c r="E10"/>
  <c r="D12" i="40"/>
  <c r="D8" i="41"/>
  <c r="D11"/>
  <c r="G9"/>
  <c r="E10"/>
  <c r="H10"/>
  <c r="F11"/>
  <c r="I11"/>
  <c r="G12"/>
  <c r="E13"/>
  <c r="H13"/>
  <c r="D8" i="44"/>
  <c r="D11"/>
  <c r="G9"/>
  <c r="E10"/>
  <c r="H10"/>
  <c r="F11"/>
  <c r="I11"/>
  <c r="G12"/>
  <c r="E13"/>
  <c r="H13"/>
  <c r="D9" i="47"/>
  <c r="D8" i="48"/>
  <c r="D11"/>
  <c r="I8"/>
  <c r="G9"/>
  <c r="E10"/>
  <c r="H10"/>
  <c r="F11"/>
  <c r="I11"/>
  <c r="G12"/>
  <c r="E13"/>
  <c r="H13"/>
  <c r="D12" i="50"/>
  <c r="D8" i="51"/>
  <c r="D11"/>
  <c r="I8"/>
  <c r="G9"/>
  <c r="E10"/>
  <c r="H10"/>
  <c r="F11"/>
  <c r="I11"/>
  <c r="G12"/>
  <c r="E13"/>
  <c r="H13"/>
  <c r="D9" i="55"/>
  <c r="D12"/>
  <c r="D8" i="56"/>
  <c r="D11"/>
  <c r="F8"/>
  <c r="I8"/>
  <c r="G9"/>
  <c r="I11"/>
  <c r="G12"/>
  <c r="H13"/>
  <c r="D9" i="60"/>
  <c r="D12"/>
  <c r="F150" i="44"/>
  <c r="F20" s="1"/>
  <c r="I150"/>
  <c r="I20" s="1"/>
  <c r="G151"/>
  <c r="G21" s="1"/>
  <c r="E152"/>
  <c r="E22" s="1"/>
  <c r="H152"/>
  <c r="H22" s="1"/>
  <c r="F153"/>
  <c r="F23" s="1"/>
  <c r="I153"/>
  <c r="I23" s="1"/>
  <c r="G154"/>
  <c r="G24" s="1"/>
  <c r="F149" i="46"/>
  <c r="I149"/>
  <c r="G150"/>
  <c r="G20" s="1"/>
  <c r="E151"/>
  <c r="E21" s="1"/>
  <c r="H151"/>
  <c r="H21" s="1"/>
  <c r="F152"/>
  <c r="F22" s="1"/>
  <c r="I152"/>
  <c r="I22" s="1"/>
  <c r="G153"/>
  <c r="G23" s="1"/>
  <c r="E154"/>
  <c r="E24" s="1"/>
  <c r="H154"/>
  <c r="H24" s="1"/>
  <c r="F150" i="56"/>
  <c r="F20" s="1"/>
  <c r="I150"/>
  <c r="I20" s="1"/>
  <c r="G151"/>
  <c r="G21" s="1"/>
  <c r="E152"/>
  <c r="E22" s="1"/>
  <c r="H152"/>
  <c r="H22" s="1"/>
  <c r="F153"/>
  <c r="F23" s="1"/>
  <c r="I153"/>
  <c r="I23" s="1"/>
  <c r="G154"/>
  <c r="G24" s="1"/>
  <c r="F149" i="57"/>
  <c r="F19" s="1"/>
  <c r="I149"/>
  <c r="I19" s="1"/>
  <c r="G150"/>
  <c r="G20" s="1"/>
  <c r="E151"/>
  <c r="E21" s="1"/>
  <c r="H151"/>
  <c r="H21" s="1"/>
  <c r="F152"/>
  <c r="F22" s="1"/>
  <c r="I152"/>
  <c r="I22" s="1"/>
  <c r="G153"/>
  <c r="G23" s="1"/>
  <c r="E154"/>
  <c r="E24" s="1"/>
  <c r="H154"/>
  <c r="H24" s="1"/>
  <c r="I154" i="41"/>
  <c r="I24" s="1"/>
  <c r="E154"/>
  <c r="E24" s="1"/>
  <c r="E153"/>
  <c r="E23" s="1"/>
  <c r="F152"/>
  <c r="F22" s="1"/>
  <c r="F151"/>
  <c r="F21" s="1"/>
  <c r="G150"/>
  <c r="G20" s="1"/>
  <c r="I154" i="42"/>
  <c r="I24" s="1"/>
  <c r="I153"/>
  <c r="I23" s="1"/>
  <c r="E153"/>
  <c r="E23" s="1"/>
  <c r="E152"/>
  <c r="E22" s="1"/>
  <c r="F151"/>
  <c r="F21" s="1"/>
  <c r="F150"/>
  <c r="F20" s="1"/>
  <c r="I154" i="51"/>
  <c r="I24" s="1"/>
  <c r="E154"/>
  <c r="E24" s="1"/>
  <c r="E153"/>
  <c r="E23" s="1"/>
  <c r="F152"/>
  <c r="F22" s="1"/>
  <c r="F151"/>
  <c r="F21" s="1"/>
  <c r="G150"/>
  <c r="G20" s="1"/>
  <c r="I154" i="54"/>
  <c r="I24" s="1"/>
  <c r="I153"/>
  <c r="I23" s="1"/>
  <c r="E153"/>
  <c r="E23" s="1"/>
  <c r="E152"/>
  <c r="E22" s="1"/>
  <c r="F151"/>
  <c r="F21" s="1"/>
  <c r="F150"/>
  <c r="F20" s="1"/>
  <c r="F150" i="41"/>
  <c r="F20" s="1"/>
  <c r="I150"/>
  <c r="I20" s="1"/>
  <c r="G151"/>
  <c r="G21" s="1"/>
  <c r="E152"/>
  <c r="E22" s="1"/>
  <c r="H152"/>
  <c r="H22" s="1"/>
  <c r="F153"/>
  <c r="F23" s="1"/>
  <c r="I153"/>
  <c r="I23" s="1"/>
  <c r="G154"/>
  <c r="G24" s="1"/>
  <c r="G150" i="42"/>
  <c r="G20" s="1"/>
  <c r="E151"/>
  <c r="E21" s="1"/>
  <c r="H151"/>
  <c r="H21" s="1"/>
  <c r="F152"/>
  <c r="F22" s="1"/>
  <c r="I152"/>
  <c r="I22" s="1"/>
  <c r="G153"/>
  <c r="G23" s="1"/>
  <c r="E154"/>
  <c r="E24" s="1"/>
  <c r="H154"/>
  <c r="H24" s="1"/>
  <c r="F150" i="51"/>
  <c r="F20" s="1"/>
  <c r="I150"/>
  <c r="I20" s="1"/>
  <c r="G151"/>
  <c r="G21" s="1"/>
  <c r="E152"/>
  <c r="E22" s="1"/>
  <c r="H152"/>
  <c r="H22" s="1"/>
  <c r="F153"/>
  <c r="F23" s="1"/>
  <c r="I153"/>
  <c r="I23" s="1"/>
  <c r="G154"/>
  <c r="G24" s="1"/>
  <c r="G150" i="54"/>
  <c r="G20" s="1"/>
  <c r="E151"/>
  <c r="E21" s="1"/>
  <c r="F152"/>
  <c r="F22" s="1"/>
  <c r="I152"/>
  <c r="I22" s="1"/>
  <c r="G153"/>
  <c r="G23" s="1"/>
  <c r="E154"/>
  <c r="E24" s="1"/>
  <c r="H154"/>
  <c r="H24" s="1"/>
  <c r="G154" i="76"/>
  <c r="G24" s="1"/>
  <c r="F8" i="47"/>
  <c r="D9" i="54"/>
  <c r="H151" i="50"/>
  <c r="H21" s="1"/>
  <c r="F152" i="55"/>
  <c r="F22" s="1"/>
  <c r="F153"/>
  <c r="F23" s="1"/>
  <c r="E12" i="47"/>
  <c r="F151" i="43"/>
  <c r="F21" s="1"/>
  <c r="E9" i="55"/>
  <c r="C78" i="84"/>
  <c r="N78" s="1"/>
  <c r="C81"/>
  <c r="N81" s="1"/>
  <c r="C79"/>
  <c r="N79" s="1"/>
  <c r="C82"/>
  <c r="N82" s="1"/>
  <c r="C91" i="96" a="1"/>
  <c r="C91" s="1"/>
  <c r="C103" s="1"/>
  <c r="C93" i="53" a="1"/>
  <c r="C93" s="1"/>
  <c r="C88" i="81" a="1"/>
  <c r="C88" s="1"/>
  <c r="C100" s="1"/>
  <c r="C88" i="50" a="1"/>
  <c r="C88" s="1"/>
  <c r="C100" s="1"/>
  <c r="C90" i="78" a="1"/>
  <c r="C90" s="1"/>
  <c r="C102" s="1"/>
  <c r="C89" i="49" a="1"/>
  <c r="C89" s="1"/>
  <c r="C101" s="1"/>
  <c r="C89" i="92" a="1"/>
  <c r="C89" s="1"/>
  <c r="C101" s="1"/>
  <c r="C88" i="74" a="1"/>
  <c r="C88" s="1"/>
  <c r="C100" s="1"/>
  <c r="C89" i="40" a="1"/>
  <c r="C89" s="1"/>
  <c r="C101" s="1"/>
  <c r="C88" i="97" a="1"/>
  <c r="C88" s="1"/>
  <c r="C100" s="1"/>
  <c r="C88" i="49" a="1"/>
  <c r="C88" s="1"/>
  <c r="C100" s="1"/>
  <c r="C89" i="56" a="1"/>
  <c r="C89" s="1"/>
  <c r="C101" s="1"/>
  <c r="C89" i="74" a="1"/>
  <c r="C89" s="1"/>
  <c r="C101" s="1"/>
  <c r="C77" i="84"/>
  <c r="C80"/>
  <c r="N80" s="1"/>
  <c r="E8" i="97"/>
  <c r="E8" i="95"/>
  <c r="I13" i="43"/>
  <c r="D9" i="32"/>
  <c r="H9" i="71"/>
  <c r="E8" i="88"/>
  <c r="D8" i="95"/>
  <c r="I9"/>
  <c r="E8" i="96"/>
  <c r="F149" i="76"/>
  <c r="F19" s="1"/>
  <c r="H11" i="43"/>
  <c r="H9" i="49"/>
  <c r="D10" i="55"/>
  <c r="E8" i="71"/>
  <c r="E8" i="82"/>
  <c r="F149" i="69"/>
  <c r="F19" s="1"/>
  <c r="I12" i="41"/>
  <c r="D9" i="57"/>
  <c r="D13" i="68"/>
  <c r="E10" i="84"/>
  <c r="H12" i="40"/>
  <c r="H12" i="46"/>
  <c r="E8" i="52"/>
  <c r="H9" i="83"/>
  <c r="I10" i="72"/>
  <c r="E12" i="83"/>
  <c r="F11" i="42"/>
  <c r="E12" i="72"/>
  <c r="F8"/>
  <c r="D8" i="77"/>
  <c r="D8" i="89"/>
  <c r="D8" i="93"/>
  <c r="E8" i="98"/>
  <c r="E8" i="99"/>
  <c r="E8" i="100"/>
  <c r="E8" i="101"/>
  <c r="D10" i="93"/>
  <c r="D13"/>
  <c r="D8" i="91"/>
  <c r="D8" i="102"/>
  <c r="H10" i="49"/>
  <c r="D12" i="90"/>
  <c r="I13" i="97"/>
  <c r="F149" i="73"/>
  <c r="F19" s="1"/>
  <c r="D8" i="92"/>
  <c r="D8" i="108"/>
  <c r="G8" i="49"/>
  <c r="D10" i="56"/>
  <c r="D9" i="58"/>
  <c r="D8" i="96"/>
  <c r="D8" i="97"/>
  <c r="I9" i="100"/>
  <c r="D8" i="67"/>
  <c r="G153" i="87"/>
  <c r="G23" s="1"/>
  <c r="F152" i="80"/>
  <c r="F22" s="1"/>
  <c r="G153" i="90"/>
  <c r="G23" s="1"/>
  <c r="I152" i="84"/>
  <c r="I22" s="1"/>
  <c r="F152" i="91"/>
  <c r="F22" s="1"/>
  <c r="G150" i="93"/>
  <c r="G20" s="1"/>
  <c r="H154" i="80"/>
  <c r="H24" s="1"/>
  <c r="F149" i="102"/>
  <c r="F19" s="1"/>
  <c r="F149" i="52"/>
  <c r="F19" s="1"/>
  <c r="L68" i="130"/>
  <c r="F293"/>
  <c r="F274"/>
  <c r="F14"/>
  <c r="E12" i="131" s="1"/>
  <c r="L142" i="130"/>
  <c r="L25" i="131" s="1"/>
  <c r="L205" i="130"/>
  <c r="L29" i="131" s="1"/>
  <c r="D14" i="130"/>
  <c r="G14"/>
  <c r="F12" i="131" s="1"/>
  <c r="J14" i="130"/>
  <c r="G41"/>
  <c r="J41"/>
  <c r="K50"/>
  <c r="D59"/>
  <c r="G59"/>
  <c r="J59"/>
  <c r="D86"/>
  <c r="G86"/>
  <c r="J86"/>
  <c r="H106"/>
  <c r="D124"/>
  <c r="G124"/>
  <c r="F22" i="131" s="1"/>
  <c r="J124" i="130"/>
  <c r="J22" i="131" s="1"/>
  <c r="F133" i="130"/>
  <c r="E24" i="131" s="1"/>
  <c r="I133" i="130"/>
  <c r="H24" i="131" s="1"/>
  <c r="K169" i="130"/>
  <c r="K26" i="131" s="1"/>
  <c r="I274" i="130"/>
  <c r="D311"/>
  <c r="J320"/>
  <c r="I14"/>
  <c r="H12" i="131" s="1"/>
  <c r="E106" i="130"/>
  <c r="L302"/>
  <c r="B7"/>
  <c r="E14"/>
  <c r="H14"/>
  <c r="K14"/>
  <c r="K12" i="131" s="1"/>
  <c r="E59" i="130"/>
  <c r="H59"/>
  <c r="K59"/>
  <c r="E86"/>
  <c r="H86"/>
  <c r="K86"/>
  <c r="K106"/>
  <c r="F385"/>
  <c r="I106"/>
  <c r="E187"/>
  <c r="D28" i="131" s="1"/>
  <c r="H187" i="130"/>
  <c r="G28" i="131" s="1"/>
  <c r="K187" i="130"/>
  <c r="K28" i="131" s="1"/>
  <c r="D196" i="130"/>
  <c r="E214"/>
  <c r="D34" i="131" s="1"/>
  <c r="H214" i="130"/>
  <c r="G34" i="131" s="1"/>
  <c r="K214" i="130"/>
  <c r="K34" i="131" s="1"/>
  <c r="D223" i="130"/>
  <c r="G223"/>
  <c r="F18" i="131" s="1"/>
  <c r="I237" i="130"/>
  <c r="E246"/>
  <c r="H246"/>
  <c r="K246"/>
  <c r="D274"/>
  <c r="D284" s="1"/>
  <c r="J274"/>
  <c r="I320"/>
  <c r="I385"/>
  <c r="D106"/>
  <c r="G106"/>
  <c r="J106"/>
  <c r="E178"/>
  <c r="D27" i="131" s="1"/>
  <c r="H178" i="130"/>
  <c r="G27" i="131" s="1"/>
  <c r="K178" i="130"/>
  <c r="K27" i="131" s="1"/>
  <c r="G205" i="130"/>
  <c r="F29" i="131" s="1"/>
  <c r="J205" i="130"/>
  <c r="J29" i="131" s="1"/>
  <c r="K223" i="130"/>
  <c r="K18" i="131" s="1"/>
  <c r="E255" i="130"/>
  <c r="D39" i="131" s="1"/>
  <c r="H255" i="130"/>
  <c r="G39" i="131" s="1"/>
  <c r="K255" i="130"/>
  <c r="K39" i="131" s="1"/>
  <c r="D264" i="130"/>
  <c r="E274"/>
  <c r="H274"/>
  <c r="K274"/>
  <c r="D283"/>
  <c r="G283"/>
  <c r="H293"/>
  <c r="G302"/>
  <c r="E237"/>
  <c r="H237"/>
  <c r="K237"/>
  <c r="E293"/>
  <c r="K293"/>
  <c r="H338"/>
  <c r="H365"/>
  <c r="D394"/>
  <c r="G394"/>
  <c r="E412"/>
  <c r="H412"/>
  <c r="K412"/>
  <c r="D421"/>
  <c r="F430"/>
  <c r="I430"/>
  <c r="D237"/>
  <c r="G237"/>
  <c r="J237"/>
  <c r="D293"/>
  <c r="G293"/>
  <c r="J293"/>
  <c r="E320"/>
  <c r="H320"/>
  <c r="K320"/>
  <c r="D338"/>
  <c r="E356"/>
  <c r="H356"/>
  <c r="K356"/>
  <c r="D365"/>
  <c r="E403"/>
  <c r="H403"/>
  <c r="K403"/>
  <c r="J412"/>
  <c r="E385"/>
  <c r="H385"/>
  <c r="K385"/>
  <c r="E430"/>
  <c r="H430"/>
  <c r="K430"/>
  <c r="J385"/>
  <c r="J430"/>
  <c r="F522"/>
  <c r="I522"/>
  <c r="E522"/>
  <c r="H522"/>
  <c r="K522"/>
  <c r="D522"/>
  <c r="G522"/>
  <c r="J522"/>
  <c r="I560"/>
  <c r="E7" i="136"/>
  <c r="H7"/>
  <c r="C17"/>
  <c r="F17"/>
  <c r="I17"/>
  <c r="G39"/>
  <c r="D7"/>
  <c r="G7"/>
  <c r="E17"/>
  <c r="H17"/>
  <c r="C39"/>
  <c r="F39"/>
  <c r="I39"/>
  <c r="C7"/>
  <c r="F7"/>
  <c r="D17"/>
  <c r="E39"/>
  <c r="B375" i="111"/>
  <c r="B302" i="135"/>
  <c r="F4"/>
  <c r="I4"/>
  <c r="E4"/>
  <c r="H4"/>
  <c r="K4"/>
  <c r="D4"/>
  <c r="G4"/>
  <c r="B7" i="105"/>
  <c r="B7" i="111"/>
  <c r="E40" i="112"/>
  <c r="H40"/>
  <c r="B8" i="104"/>
  <c r="B30" s="1"/>
  <c r="B8" i="63"/>
  <c r="B30" s="1"/>
  <c r="E7" i="112"/>
  <c r="E17"/>
  <c r="D40"/>
  <c r="C166" i="111"/>
  <c r="C165"/>
  <c r="C164"/>
  <c r="C163"/>
  <c r="C162"/>
  <c r="D161"/>
  <c r="C161"/>
  <c r="C181"/>
  <c r="C180"/>
  <c r="C179"/>
  <c r="C178"/>
  <c r="C177"/>
  <c r="D176"/>
  <c r="C176"/>
  <c r="C196"/>
  <c r="C195"/>
  <c r="C194"/>
  <c r="C193"/>
  <c r="C192"/>
  <c r="D191"/>
  <c r="C191"/>
  <c r="C211"/>
  <c r="C210"/>
  <c r="C209"/>
  <c r="C208"/>
  <c r="C207"/>
  <c r="D206"/>
  <c r="C206"/>
  <c r="C226"/>
  <c r="C225"/>
  <c r="C224"/>
  <c r="C223"/>
  <c r="C222"/>
  <c r="D221"/>
  <c r="C221"/>
  <c r="C241"/>
  <c r="C240"/>
  <c r="C239"/>
  <c r="C238"/>
  <c r="C237"/>
  <c r="D236"/>
  <c r="C236"/>
  <c r="C256"/>
  <c r="C255"/>
  <c r="C254"/>
  <c r="C253"/>
  <c r="C252"/>
  <c r="D251"/>
  <c r="C251"/>
  <c r="C271"/>
  <c r="C270"/>
  <c r="C269"/>
  <c r="C268"/>
  <c r="C267"/>
  <c r="D266"/>
  <c r="C266"/>
  <c r="C286"/>
  <c r="C285"/>
  <c r="C284"/>
  <c r="C283"/>
  <c r="C282"/>
  <c r="D281"/>
  <c r="C281"/>
  <c r="C301"/>
  <c r="C300"/>
  <c r="C299"/>
  <c r="C298"/>
  <c r="C297"/>
  <c r="D296"/>
  <c r="C296"/>
  <c r="C316"/>
  <c r="C315"/>
  <c r="C314"/>
  <c r="C313"/>
  <c r="C312"/>
  <c r="D311"/>
  <c r="C311"/>
  <c r="C377"/>
  <c r="D382"/>
  <c r="D381"/>
  <c r="D380"/>
  <c r="D379"/>
  <c r="D378"/>
  <c r="C382"/>
  <c r="C381"/>
  <c r="C380"/>
  <c r="C379"/>
  <c r="C378"/>
  <c r="D377"/>
  <c r="D327"/>
  <c r="D328"/>
  <c r="D329"/>
  <c r="D330"/>
  <c r="D342"/>
  <c r="D343"/>
  <c r="D344"/>
  <c r="D345"/>
  <c r="D358"/>
  <c r="D359"/>
  <c r="D360"/>
  <c r="D361"/>
  <c r="C331"/>
  <c r="C330"/>
  <c r="C329"/>
  <c r="C328"/>
  <c r="C327"/>
  <c r="D326"/>
  <c r="C326"/>
  <c r="C346"/>
  <c r="C345"/>
  <c r="C344"/>
  <c r="C343"/>
  <c r="C342"/>
  <c r="D341"/>
  <c r="C341"/>
  <c r="C362"/>
  <c r="C361"/>
  <c r="C360"/>
  <c r="C359"/>
  <c r="C358"/>
  <c r="D357"/>
  <c r="C357"/>
  <c r="D162"/>
  <c r="D163"/>
  <c r="D164"/>
  <c r="D165"/>
  <c r="D166"/>
  <c r="D177"/>
  <c r="D178"/>
  <c r="D179"/>
  <c r="D180"/>
  <c r="D181"/>
  <c r="D192"/>
  <c r="D193"/>
  <c r="D194"/>
  <c r="D195"/>
  <c r="D196"/>
  <c r="D207"/>
  <c r="D208"/>
  <c r="D209"/>
  <c r="D210"/>
  <c r="D211"/>
  <c r="D222"/>
  <c r="D223"/>
  <c r="D224"/>
  <c r="D225"/>
  <c r="D226"/>
  <c r="D237"/>
  <c r="D238"/>
  <c r="D239"/>
  <c r="D240"/>
  <c r="D241"/>
  <c r="D252"/>
  <c r="D253"/>
  <c r="D254"/>
  <c r="D255"/>
  <c r="D256"/>
  <c r="D267"/>
  <c r="D268"/>
  <c r="D269"/>
  <c r="D270"/>
  <c r="D271"/>
  <c r="D282"/>
  <c r="D283"/>
  <c r="D284"/>
  <c r="D285"/>
  <c r="D286"/>
  <c r="D297"/>
  <c r="D298"/>
  <c r="D299"/>
  <c r="D300"/>
  <c r="D301"/>
  <c r="D312"/>
  <c r="D313"/>
  <c r="D314"/>
  <c r="D315"/>
  <c r="D316"/>
  <c r="D419"/>
  <c r="D418"/>
  <c r="D417"/>
  <c r="D416"/>
  <c r="D415"/>
  <c r="C419"/>
  <c r="C418"/>
  <c r="C417"/>
  <c r="C416"/>
  <c r="C415"/>
  <c r="D414"/>
  <c r="C444"/>
  <c r="C443"/>
  <c r="C442"/>
  <c r="C441"/>
  <c r="C440"/>
  <c r="D439"/>
  <c r="C439"/>
  <c r="C650"/>
  <c r="C649"/>
  <c r="C648"/>
  <c r="C647"/>
  <c r="C646"/>
  <c r="D645"/>
  <c r="C645"/>
  <c r="D650"/>
  <c r="D649"/>
  <c r="D648"/>
  <c r="D647"/>
  <c r="D646"/>
  <c r="C389"/>
  <c r="C388"/>
  <c r="C387"/>
  <c r="C386"/>
  <c r="C385"/>
  <c r="D384"/>
  <c r="C476"/>
  <c r="C475"/>
  <c r="C474"/>
  <c r="C473"/>
  <c r="C472"/>
  <c r="D471"/>
  <c r="C471"/>
  <c r="C491"/>
  <c r="C490"/>
  <c r="C489"/>
  <c r="C488"/>
  <c r="C487"/>
  <c r="D486"/>
  <c r="C486"/>
  <c r="C506"/>
  <c r="C505"/>
  <c r="C504"/>
  <c r="C503"/>
  <c r="C502"/>
  <c r="D501"/>
  <c r="C501"/>
  <c r="C521"/>
  <c r="C520"/>
  <c r="C519"/>
  <c r="C518"/>
  <c r="C517"/>
  <c r="D516"/>
  <c r="C516"/>
  <c r="C531"/>
  <c r="D536"/>
  <c r="D535"/>
  <c r="D534"/>
  <c r="D533"/>
  <c r="D532"/>
  <c r="C536"/>
  <c r="C535"/>
  <c r="C534"/>
  <c r="C533"/>
  <c r="C532"/>
  <c r="D531"/>
  <c r="C573"/>
  <c r="C572"/>
  <c r="C571"/>
  <c r="C570"/>
  <c r="C569"/>
  <c r="D568"/>
  <c r="D573"/>
  <c r="D572"/>
  <c r="D571"/>
  <c r="D570"/>
  <c r="D569"/>
  <c r="C568"/>
  <c r="C576"/>
  <c r="D581"/>
  <c r="D580"/>
  <c r="D579"/>
  <c r="D578"/>
  <c r="D577"/>
  <c r="C581"/>
  <c r="C580"/>
  <c r="C579"/>
  <c r="C578"/>
  <c r="C577"/>
  <c r="D576"/>
  <c r="C665"/>
  <c r="C664"/>
  <c r="C663"/>
  <c r="C662"/>
  <c r="C661"/>
  <c r="D660"/>
  <c r="C660"/>
  <c r="D665"/>
  <c r="D664"/>
  <c r="D663"/>
  <c r="D662"/>
  <c r="D661"/>
  <c r="C11" i="63"/>
  <c r="F4" i="111"/>
  <c r="I4"/>
  <c r="R4"/>
  <c r="D9"/>
  <c r="C10"/>
  <c r="C11"/>
  <c r="C12"/>
  <c r="C13"/>
  <c r="C14"/>
  <c r="D17"/>
  <c r="D18"/>
  <c r="D19"/>
  <c r="D20"/>
  <c r="D24"/>
  <c r="C25"/>
  <c r="C26"/>
  <c r="C27"/>
  <c r="C28"/>
  <c r="C29"/>
  <c r="D32"/>
  <c r="D33"/>
  <c r="D34"/>
  <c r="D35"/>
  <c r="D39"/>
  <c r="C40"/>
  <c r="C41"/>
  <c r="C42"/>
  <c r="C43"/>
  <c r="C44"/>
  <c r="D47"/>
  <c r="D48"/>
  <c r="D49"/>
  <c r="D50"/>
  <c r="D54"/>
  <c r="C55"/>
  <c r="C56"/>
  <c r="C57"/>
  <c r="C58"/>
  <c r="C59"/>
  <c r="D62"/>
  <c r="D63"/>
  <c r="D64"/>
  <c r="D65"/>
  <c r="D69"/>
  <c r="C70"/>
  <c r="C71"/>
  <c r="C72"/>
  <c r="C73"/>
  <c r="C74"/>
  <c r="D77"/>
  <c r="D78"/>
  <c r="D79"/>
  <c r="D80"/>
  <c r="D84"/>
  <c r="C85"/>
  <c r="C86"/>
  <c r="C87"/>
  <c r="C88"/>
  <c r="C89"/>
  <c r="D92"/>
  <c r="D93"/>
  <c r="D94"/>
  <c r="D95"/>
  <c r="D99"/>
  <c r="C100"/>
  <c r="C101"/>
  <c r="C102"/>
  <c r="C103"/>
  <c r="C104"/>
  <c r="D107"/>
  <c r="D108"/>
  <c r="D109"/>
  <c r="D110"/>
  <c r="D114"/>
  <c r="C115"/>
  <c r="C116"/>
  <c r="C117"/>
  <c r="C118"/>
  <c r="C119"/>
  <c r="D122"/>
  <c r="D123"/>
  <c r="D124"/>
  <c r="D125"/>
  <c r="D129"/>
  <c r="C130"/>
  <c r="C131"/>
  <c r="C132"/>
  <c r="C133"/>
  <c r="C134"/>
  <c r="D137"/>
  <c r="D138"/>
  <c r="D139"/>
  <c r="D140"/>
  <c r="D144"/>
  <c r="C145"/>
  <c r="C146"/>
  <c r="C147"/>
  <c r="C148"/>
  <c r="C149"/>
  <c r="C152"/>
  <c r="D153"/>
  <c r="C155"/>
  <c r="D168"/>
  <c r="C169"/>
  <c r="C170"/>
  <c r="C171"/>
  <c r="C172"/>
  <c r="C173"/>
  <c r="D183"/>
  <c r="C184"/>
  <c r="C185"/>
  <c r="C186"/>
  <c r="C187"/>
  <c r="C188"/>
  <c r="D198"/>
  <c r="C199"/>
  <c r="C200"/>
  <c r="C201"/>
  <c r="C202"/>
  <c r="C203"/>
  <c r="D213"/>
  <c r="C214"/>
  <c r="C215"/>
  <c r="C216"/>
  <c r="C217"/>
  <c r="C218"/>
  <c r="D228"/>
  <c r="C229"/>
  <c r="C230"/>
  <c r="C231"/>
  <c r="C232"/>
  <c r="C233"/>
  <c r="D243"/>
  <c r="C244"/>
  <c r="C245"/>
  <c r="C246"/>
  <c r="C247"/>
  <c r="C248"/>
  <c r="D258"/>
  <c r="C259"/>
  <c r="C260"/>
  <c r="C261"/>
  <c r="C262"/>
  <c r="C263"/>
  <c r="D273"/>
  <c r="C274"/>
  <c r="C275"/>
  <c r="C276"/>
  <c r="C277"/>
  <c r="C278"/>
  <c r="D288"/>
  <c r="C289"/>
  <c r="C290"/>
  <c r="C291"/>
  <c r="C292"/>
  <c r="C293"/>
  <c r="D303"/>
  <c r="C304"/>
  <c r="C305"/>
  <c r="C306"/>
  <c r="C307"/>
  <c r="C308"/>
  <c r="C320"/>
  <c r="C321"/>
  <c r="C322"/>
  <c r="C323"/>
  <c r="C414"/>
  <c r="D440"/>
  <c r="D441"/>
  <c r="D442"/>
  <c r="D443"/>
  <c r="D444"/>
  <c r="D455"/>
  <c r="D456"/>
  <c r="D457"/>
  <c r="D458"/>
  <c r="C459"/>
  <c r="C458"/>
  <c r="C457"/>
  <c r="C456"/>
  <c r="C455"/>
  <c r="D454"/>
  <c r="C454"/>
  <c r="C725"/>
  <c r="C724"/>
  <c r="C723"/>
  <c r="C722"/>
  <c r="C721"/>
  <c r="D720"/>
  <c r="C720"/>
  <c r="D725"/>
  <c r="D724"/>
  <c r="D723"/>
  <c r="D722"/>
  <c r="D721"/>
  <c r="C404"/>
  <c r="C403"/>
  <c r="C402"/>
  <c r="C401"/>
  <c r="C400"/>
  <c r="D399"/>
  <c r="C427"/>
  <c r="C426"/>
  <c r="C425"/>
  <c r="C424"/>
  <c r="C423"/>
  <c r="D422"/>
  <c r="C422"/>
  <c r="C635"/>
  <c r="C634"/>
  <c r="C633"/>
  <c r="C632"/>
  <c r="C631"/>
  <c r="D630"/>
  <c r="C630"/>
  <c r="D635"/>
  <c r="D634"/>
  <c r="D633"/>
  <c r="D632"/>
  <c r="D631"/>
  <c r="C680"/>
  <c r="C679"/>
  <c r="C678"/>
  <c r="C677"/>
  <c r="C676"/>
  <c r="D675"/>
  <c r="C675"/>
  <c r="D680"/>
  <c r="D679"/>
  <c r="D678"/>
  <c r="D677"/>
  <c r="D676"/>
  <c r="G4"/>
  <c r="D10"/>
  <c r="D11"/>
  <c r="D12"/>
  <c r="D13"/>
  <c r="D25"/>
  <c r="D26"/>
  <c r="D27"/>
  <c r="D28"/>
  <c r="D40"/>
  <c r="D41"/>
  <c r="D42"/>
  <c r="D43"/>
  <c r="D55"/>
  <c r="D56"/>
  <c r="D57"/>
  <c r="D58"/>
  <c r="D70"/>
  <c r="D71"/>
  <c r="D72"/>
  <c r="D73"/>
  <c r="D85"/>
  <c r="D86"/>
  <c r="D87"/>
  <c r="D88"/>
  <c r="D100"/>
  <c r="D101"/>
  <c r="D102"/>
  <c r="D103"/>
  <c r="D115"/>
  <c r="D116"/>
  <c r="D117"/>
  <c r="D118"/>
  <c r="D130"/>
  <c r="D131"/>
  <c r="D132"/>
  <c r="D133"/>
  <c r="D145"/>
  <c r="D146"/>
  <c r="D147"/>
  <c r="D148"/>
  <c r="D169"/>
  <c r="D170"/>
  <c r="D171"/>
  <c r="D172"/>
  <c r="D184"/>
  <c r="D185"/>
  <c r="D186"/>
  <c r="D187"/>
  <c r="D199"/>
  <c r="D200"/>
  <c r="D201"/>
  <c r="D202"/>
  <c r="D214"/>
  <c r="D215"/>
  <c r="D216"/>
  <c r="D217"/>
  <c r="D229"/>
  <c r="D230"/>
  <c r="D231"/>
  <c r="D232"/>
  <c r="D244"/>
  <c r="D245"/>
  <c r="D246"/>
  <c r="D247"/>
  <c r="D259"/>
  <c r="D260"/>
  <c r="D261"/>
  <c r="D262"/>
  <c r="D274"/>
  <c r="D275"/>
  <c r="D276"/>
  <c r="D277"/>
  <c r="D289"/>
  <c r="D290"/>
  <c r="D291"/>
  <c r="D292"/>
  <c r="D304"/>
  <c r="D305"/>
  <c r="D306"/>
  <c r="D307"/>
  <c r="D319"/>
  <c r="D320"/>
  <c r="D321"/>
  <c r="D322"/>
  <c r="D334"/>
  <c r="D335"/>
  <c r="D336"/>
  <c r="D337"/>
  <c r="D349"/>
  <c r="D350"/>
  <c r="D351"/>
  <c r="D352"/>
  <c r="C365"/>
  <c r="D366"/>
  <c r="C368"/>
  <c r="C384"/>
  <c r="D392"/>
  <c r="C393"/>
  <c r="C394"/>
  <c r="C395"/>
  <c r="C396"/>
  <c r="C397"/>
  <c r="D472"/>
  <c r="D473"/>
  <c r="D474"/>
  <c r="D475"/>
  <c r="D476"/>
  <c r="D487"/>
  <c r="D488"/>
  <c r="D489"/>
  <c r="D490"/>
  <c r="D491"/>
  <c r="D502"/>
  <c r="D503"/>
  <c r="D504"/>
  <c r="D505"/>
  <c r="D506"/>
  <c r="D517"/>
  <c r="D518"/>
  <c r="D519"/>
  <c r="D520"/>
  <c r="D521"/>
  <c r="C543"/>
  <c r="C542"/>
  <c r="C541"/>
  <c r="C540"/>
  <c r="C539"/>
  <c r="D538"/>
  <c r="C588"/>
  <c r="C587"/>
  <c r="C586"/>
  <c r="C585"/>
  <c r="C584"/>
  <c r="D583"/>
  <c r="C695"/>
  <c r="C694"/>
  <c r="C693"/>
  <c r="C692"/>
  <c r="C691"/>
  <c r="D690"/>
  <c r="C690"/>
  <c r="C755"/>
  <c r="C754"/>
  <c r="C753"/>
  <c r="C752"/>
  <c r="C751"/>
  <c r="D750"/>
  <c r="D755"/>
  <c r="D754"/>
  <c r="D753"/>
  <c r="D752"/>
  <c r="D751"/>
  <c r="C750"/>
  <c r="C758"/>
  <c r="D763"/>
  <c r="D762"/>
  <c r="D761"/>
  <c r="D760"/>
  <c r="D759"/>
  <c r="C763"/>
  <c r="C762"/>
  <c r="C761"/>
  <c r="C760"/>
  <c r="C759"/>
  <c r="D758"/>
  <c r="C430"/>
  <c r="D431"/>
  <c r="C433"/>
  <c r="D446"/>
  <c r="C447"/>
  <c r="C448"/>
  <c r="C449"/>
  <c r="C450"/>
  <c r="C451"/>
  <c r="C462"/>
  <c r="D463"/>
  <c r="C465"/>
  <c r="D478"/>
  <c r="C479"/>
  <c r="C480"/>
  <c r="C481"/>
  <c r="C482"/>
  <c r="C483"/>
  <c r="C558"/>
  <c r="C557"/>
  <c r="C556"/>
  <c r="C555"/>
  <c r="C554"/>
  <c r="D553"/>
  <c r="C603"/>
  <c r="C602"/>
  <c r="C601"/>
  <c r="C600"/>
  <c r="C599"/>
  <c r="D598"/>
  <c r="C606"/>
  <c r="D611"/>
  <c r="D610"/>
  <c r="D609"/>
  <c r="D608"/>
  <c r="D607"/>
  <c r="C710"/>
  <c r="C709"/>
  <c r="C708"/>
  <c r="C707"/>
  <c r="C706"/>
  <c r="D705"/>
  <c r="C705"/>
  <c r="D823"/>
  <c r="D822"/>
  <c r="D821"/>
  <c r="D820"/>
  <c r="D819"/>
  <c r="C823"/>
  <c r="C822"/>
  <c r="C821"/>
  <c r="C820"/>
  <c r="C819"/>
  <c r="D818"/>
  <c r="C818"/>
  <c r="D447"/>
  <c r="D448"/>
  <c r="D449"/>
  <c r="D450"/>
  <c r="D479"/>
  <c r="D480"/>
  <c r="D481"/>
  <c r="D482"/>
  <c r="D494"/>
  <c r="D495"/>
  <c r="D496"/>
  <c r="D497"/>
  <c r="D509"/>
  <c r="D510"/>
  <c r="D511"/>
  <c r="D512"/>
  <c r="D524"/>
  <c r="D525"/>
  <c r="D526"/>
  <c r="D527"/>
  <c r="C538"/>
  <c r="D546"/>
  <c r="C547"/>
  <c r="C548"/>
  <c r="C549"/>
  <c r="C550"/>
  <c r="C551"/>
  <c r="C583"/>
  <c r="D591"/>
  <c r="C592"/>
  <c r="C593"/>
  <c r="C594"/>
  <c r="C595"/>
  <c r="C596"/>
  <c r="D691"/>
  <c r="D692"/>
  <c r="D693"/>
  <c r="D694"/>
  <c r="D695"/>
  <c r="C770"/>
  <c r="C769"/>
  <c r="C768"/>
  <c r="C767"/>
  <c r="C766"/>
  <c r="D765"/>
  <c r="D624"/>
  <c r="D625"/>
  <c r="D626"/>
  <c r="D627"/>
  <c r="D628"/>
  <c r="D639"/>
  <c r="D640"/>
  <c r="D641"/>
  <c r="D642"/>
  <c r="D643"/>
  <c r="D654"/>
  <c r="D655"/>
  <c r="D656"/>
  <c r="D657"/>
  <c r="D658"/>
  <c r="D669"/>
  <c r="D670"/>
  <c r="D671"/>
  <c r="D672"/>
  <c r="D673"/>
  <c r="D684"/>
  <c r="D685"/>
  <c r="D686"/>
  <c r="D687"/>
  <c r="D699"/>
  <c r="D700"/>
  <c r="D701"/>
  <c r="D702"/>
  <c r="D714"/>
  <c r="D715"/>
  <c r="D716"/>
  <c r="D717"/>
  <c r="D729"/>
  <c r="D736"/>
  <c r="D737"/>
  <c r="D738"/>
  <c r="D739"/>
  <c r="D744"/>
  <c r="D745"/>
  <c r="D746"/>
  <c r="D747"/>
  <c r="D748"/>
  <c r="C740"/>
  <c r="C739"/>
  <c r="C738"/>
  <c r="C737"/>
  <c r="C736"/>
  <c r="D735"/>
  <c r="C785"/>
  <c r="C784"/>
  <c r="C783"/>
  <c r="C782"/>
  <c r="C781"/>
  <c r="D780"/>
  <c r="C780"/>
  <c r="C800"/>
  <c r="C799"/>
  <c r="C798"/>
  <c r="C797"/>
  <c r="C796"/>
  <c r="D795"/>
  <c r="C795"/>
  <c r="D815"/>
  <c r="D814"/>
  <c r="C815"/>
  <c r="C814"/>
  <c r="C813"/>
  <c r="C812"/>
  <c r="C811"/>
  <c r="D810"/>
  <c r="C810"/>
  <c r="C614"/>
  <c r="D615"/>
  <c r="C617"/>
  <c r="D789"/>
  <c r="D790"/>
  <c r="D791"/>
  <c r="D792"/>
  <c r="D793"/>
  <c r="D804"/>
  <c r="D805"/>
  <c r="D806"/>
  <c r="D807"/>
  <c r="D808"/>
  <c r="C845"/>
  <c r="D843"/>
  <c r="C842"/>
  <c r="D840"/>
  <c r="D844"/>
  <c r="C843"/>
  <c r="D841"/>
  <c r="C840"/>
  <c r="C907"/>
  <c r="D905"/>
  <c r="C904"/>
  <c r="D902"/>
  <c r="D906"/>
  <c r="C905"/>
  <c r="D903"/>
  <c r="C902"/>
  <c r="C844"/>
  <c r="C906"/>
  <c r="D924"/>
  <c r="D923"/>
  <c r="D922"/>
  <c r="D826"/>
  <c r="D827"/>
  <c r="D828"/>
  <c r="D829"/>
  <c r="D833"/>
  <c r="C834"/>
  <c r="C835"/>
  <c r="C836"/>
  <c r="C837"/>
  <c r="C838"/>
  <c r="D850"/>
  <c r="C851"/>
  <c r="C852"/>
  <c r="C853"/>
  <c r="C854"/>
  <c r="C855"/>
  <c r="D858"/>
  <c r="D859"/>
  <c r="D860"/>
  <c r="D861"/>
  <c r="D862"/>
  <c r="D865"/>
  <c r="C866"/>
  <c r="C867"/>
  <c r="C868"/>
  <c r="C869"/>
  <c r="C870"/>
  <c r="D873"/>
  <c r="D874"/>
  <c r="D875"/>
  <c r="D876"/>
  <c r="D880"/>
  <c r="C881"/>
  <c r="C882"/>
  <c r="C883"/>
  <c r="C884"/>
  <c r="C885"/>
  <c r="D888"/>
  <c r="D889"/>
  <c r="D890"/>
  <c r="D891"/>
  <c r="D895"/>
  <c r="C896"/>
  <c r="C897"/>
  <c r="C898"/>
  <c r="C899"/>
  <c r="C900"/>
  <c r="D912"/>
  <c r="C913"/>
  <c r="C914"/>
  <c r="C915"/>
  <c r="C916"/>
  <c r="C917"/>
  <c r="D920"/>
  <c r="D921"/>
  <c r="C922"/>
  <c r="C923"/>
  <c r="C924"/>
  <c r="D932"/>
  <c r="D931"/>
  <c r="D930"/>
  <c r="D929"/>
  <c r="D928"/>
  <c r="C932"/>
  <c r="C931"/>
  <c r="C930"/>
  <c r="C929"/>
  <c r="C928"/>
  <c r="D927"/>
  <c r="C954"/>
  <c r="C953"/>
  <c r="C952"/>
  <c r="C951"/>
  <c r="C950"/>
  <c r="D949"/>
  <c r="D954"/>
  <c r="D953"/>
  <c r="D952"/>
  <c r="D951"/>
  <c r="D950"/>
  <c r="C949"/>
  <c r="C957"/>
  <c r="D962"/>
  <c r="D961"/>
  <c r="D960"/>
  <c r="D959"/>
  <c r="D958"/>
  <c r="C962"/>
  <c r="C961"/>
  <c r="C960"/>
  <c r="C959"/>
  <c r="C958"/>
  <c r="D957"/>
  <c r="D834"/>
  <c r="D835"/>
  <c r="D836"/>
  <c r="D837"/>
  <c r="D851"/>
  <c r="D852"/>
  <c r="D853"/>
  <c r="D854"/>
  <c r="D866"/>
  <c r="D867"/>
  <c r="D868"/>
  <c r="D869"/>
  <c r="D881"/>
  <c r="D882"/>
  <c r="D883"/>
  <c r="D884"/>
  <c r="D896"/>
  <c r="D897"/>
  <c r="D898"/>
  <c r="D899"/>
  <c r="D913"/>
  <c r="D914"/>
  <c r="D915"/>
  <c r="D916"/>
  <c r="C919"/>
  <c r="C969"/>
  <c r="C968"/>
  <c r="C967"/>
  <c r="C966"/>
  <c r="C965"/>
  <c r="D964"/>
  <c r="D935"/>
  <c r="D936"/>
  <c r="D937"/>
  <c r="D938"/>
  <c r="D942"/>
  <c r="D943"/>
  <c r="D944"/>
  <c r="D945"/>
  <c r="D946"/>
  <c r="D980"/>
  <c r="D981"/>
  <c r="D982"/>
  <c r="D983"/>
  <c r="D988"/>
  <c r="D989"/>
  <c r="D990"/>
  <c r="D991"/>
  <c r="D992"/>
  <c r="C995"/>
  <c r="C997"/>
  <c r="C984"/>
  <c r="C983"/>
  <c r="C982"/>
  <c r="C981"/>
  <c r="C980"/>
  <c r="D979"/>
  <c r="C999"/>
  <c r="D997"/>
  <c r="C996"/>
  <c r="D994"/>
  <c r="C964"/>
  <c r="D972"/>
  <c r="C973"/>
  <c r="C974"/>
  <c r="C975"/>
  <c r="C976"/>
  <c r="C977"/>
  <c r="D995"/>
  <c r="C998"/>
  <c r="B230" i="105"/>
  <c r="B302" i="106"/>
  <c r="F4"/>
  <c r="I4"/>
  <c r="B7"/>
  <c r="E4"/>
  <c r="H4"/>
  <c r="K4"/>
  <c r="D4"/>
  <c r="G4"/>
  <c r="C14" i="60"/>
  <c r="C205" s="1"/>
  <c r="C4" i="104"/>
  <c r="F4"/>
  <c r="I4"/>
  <c r="B9"/>
  <c r="B31" s="1"/>
  <c r="B65" s="1"/>
  <c r="C10"/>
  <c r="B12"/>
  <c r="B34" s="1"/>
  <c r="B68" s="1"/>
  <c r="B151" s="1"/>
  <c r="C13"/>
  <c r="C35" s="1"/>
  <c r="C61"/>
  <c r="F61"/>
  <c r="I61"/>
  <c r="C82"/>
  <c r="F82"/>
  <c r="C84"/>
  <c r="F84"/>
  <c r="I84"/>
  <c r="B4"/>
  <c r="E4"/>
  <c r="H4"/>
  <c r="C8"/>
  <c r="B10"/>
  <c r="B32" s="1"/>
  <c r="B66" s="1"/>
  <c r="B149" s="1"/>
  <c r="C11"/>
  <c r="B13"/>
  <c r="B35" s="1"/>
  <c r="B69" s="1"/>
  <c r="B152" s="1"/>
  <c r="B61"/>
  <c r="E61"/>
  <c r="H61"/>
  <c r="B82"/>
  <c r="E82"/>
  <c r="H82"/>
  <c r="B84"/>
  <c r="E84"/>
  <c r="H84"/>
  <c r="D4"/>
  <c r="C9"/>
  <c r="B11"/>
  <c r="B33" s="1"/>
  <c r="B67" s="1"/>
  <c r="B150" s="1"/>
  <c r="C12"/>
  <c r="D61"/>
  <c r="D82"/>
  <c r="D84"/>
  <c r="L68" i="105"/>
  <c r="D4" i="63"/>
  <c r="G4"/>
  <c r="C9"/>
  <c r="C31" s="1"/>
  <c r="B11"/>
  <c r="B33" s="1"/>
  <c r="B67" s="1"/>
  <c r="B142" s="1"/>
  <c r="C12"/>
  <c r="C61"/>
  <c r="F61"/>
  <c r="I61"/>
  <c r="C82"/>
  <c r="F82"/>
  <c r="C84"/>
  <c r="F84"/>
  <c r="I84"/>
  <c r="C4"/>
  <c r="F4"/>
  <c r="I4"/>
  <c r="B9"/>
  <c r="B31" s="1"/>
  <c r="B65" s="1"/>
  <c r="B140" s="1"/>
  <c r="C10"/>
  <c r="B12"/>
  <c r="B34" s="1"/>
  <c r="B68" s="1"/>
  <c r="B143" s="1"/>
  <c r="C13"/>
  <c r="C35" s="1"/>
  <c r="B61"/>
  <c r="E61"/>
  <c r="H61"/>
  <c r="B82"/>
  <c r="E82"/>
  <c r="H82"/>
  <c r="B84"/>
  <c r="E84"/>
  <c r="H84"/>
  <c r="B4"/>
  <c r="E4"/>
  <c r="C8"/>
  <c r="B10"/>
  <c r="B32" s="1"/>
  <c r="B66" s="1"/>
  <c r="B141" s="1"/>
  <c r="B13"/>
  <c r="B35" s="1"/>
  <c r="B69" s="1"/>
  <c r="B144" s="1"/>
  <c r="D61"/>
  <c r="D82"/>
  <c r="D84"/>
  <c r="G14" i="105"/>
  <c r="D23"/>
  <c r="J32"/>
  <c r="F41"/>
  <c r="I41"/>
  <c r="G41"/>
  <c r="D50"/>
  <c r="J59"/>
  <c r="G68"/>
  <c r="D77"/>
  <c r="J86"/>
  <c r="G95"/>
  <c r="J23"/>
  <c r="G32"/>
  <c r="J50"/>
  <c r="G59"/>
  <c r="K68"/>
  <c r="D68"/>
  <c r="J77"/>
  <c r="G86"/>
  <c r="K95"/>
  <c r="D95"/>
  <c r="L142"/>
  <c r="J14"/>
  <c r="F23"/>
  <c r="I23"/>
  <c r="G23"/>
  <c r="E32"/>
  <c r="H32"/>
  <c r="K32"/>
  <c r="D32"/>
  <c r="J41"/>
  <c r="F50"/>
  <c r="I50"/>
  <c r="G50"/>
  <c r="E59"/>
  <c r="H59"/>
  <c r="K59"/>
  <c r="D59"/>
  <c r="J68"/>
  <c r="F77"/>
  <c r="I77"/>
  <c r="G77"/>
  <c r="E86"/>
  <c r="H86"/>
  <c r="K86"/>
  <c r="D86"/>
  <c r="J95"/>
  <c r="I106"/>
  <c r="E115"/>
  <c r="H115"/>
  <c r="K115"/>
  <c r="D124"/>
  <c r="G124"/>
  <c r="J124"/>
  <c r="J205"/>
  <c r="G214"/>
  <c r="J246"/>
  <c r="L302"/>
  <c r="B14" i="60"/>
  <c r="B205" s="1"/>
  <c r="C33"/>
  <c r="F14" i="105"/>
  <c r="I14"/>
  <c r="E106"/>
  <c r="H106"/>
  <c r="K106"/>
  <c r="E178"/>
  <c r="H178"/>
  <c r="K178"/>
  <c r="E187"/>
  <c r="H187"/>
  <c r="K187"/>
  <c r="D187"/>
  <c r="F205"/>
  <c r="I205"/>
  <c r="G205"/>
  <c r="E214"/>
  <c r="H214"/>
  <c r="K214"/>
  <c r="D214"/>
  <c r="J237"/>
  <c r="F246"/>
  <c r="I246"/>
  <c r="E255"/>
  <c r="H255"/>
  <c r="K255"/>
  <c r="F274"/>
  <c r="F284" s="1"/>
  <c r="I274"/>
  <c r="I284" s="1"/>
  <c r="E283"/>
  <c r="H283"/>
  <c r="K283"/>
  <c r="D283"/>
  <c r="J293"/>
  <c r="J178"/>
  <c r="G187"/>
  <c r="J274"/>
  <c r="J284" s="1"/>
  <c r="G283"/>
  <c r="J430"/>
  <c r="L205"/>
  <c r="E14"/>
  <c r="H14"/>
  <c r="K14"/>
  <c r="D106"/>
  <c r="G106"/>
  <c r="J106"/>
  <c r="F196"/>
  <c r="I196"/>
  <c r="E205"/>
  <c r="H205"/>
  <c r="K205"/>
  <c r="F223"/>
  <c r="I223"/>
  <c r="G237"/>
  <c r="E246"/>
  <c r="H246"/>
  <c r="K246"/>
  <c r="F264"/>
  <c r="I264"/>
  <c r="E274"/>
  <c r="E284" s="1"/>
  <c r="H274"/>
  <c r="H284" s="1"/>
  <c r="K274"/>
  <c r="K284" s="1"/>
  <c r="D274"/>
  <c r="D284" s="1"/>
  <c r="G293"/>
  <c r="J412"/>
  <c r="F237"/>
  <c r="I237"/>
  <c r="F293"/>
  <c r="I293"/>
  <c r="F302"/>
  <c r="I302"/>
  <c r="F320"/>
  <c r="I320"/>
  <c r="E329"/>
  <c r="H329"/>
  <c r="K329"/>
  <c r="F347"/>
  <c r="I347"/>
  <c r="E356"/>
  <c r="H356"/>
  <c r="K356"/>
  <c r="F374"/>
  <c r="I374"/>
  <c r="F403"/>
  <c r="I403"/>
  <c r="E412"/>
  <c r="H412"/>
  <c r="K412"/>
  <c r="F430"/>
  <c r="I430"/>
  <c r="E439"/>
  <c r="H439"/>
  <c r="K439"/>
  <c r="F457"/>
  <c r="I457"/>
  <c r="E466"/>
  <c r="H466"/>
  <c r="K466"/>
  <c r="E237"/>
  <c r="H237"/>
  <c r="K237"/>
  <c r="E293"/>
  <c r="H293"/>
  <c r="K293"/>
  <c r="E302"/>
  <c r="H302"/>
  <c r="K302"/>
  <c r="F311"/>
  <c r="I311"/>
  <c r="E320"/>
  <c r="H320"/>
  <c r="K320"/>
  <c r="F338"/>
  <c r="I338"/>
  <c r="E347"/>
  <c r="H347"/>
  <c r="K347"/>
  <c r="F365"/>
  <c r="I365"/>
  <c r="E374"/>
  <c r="H374"/>
  <c r="K374"/>
  <c r="J385"/>
  <c r="F394"/>
  <c r="I394"/>
  <c r="E403"/>
  <c r="H403"/>
  <c r="K403"/>
  <c r="F421"/>
  <c r="I421"/>
  <c r="E430"/>
  <c r="H430"/>
  <c r="K430"/>
  <c r="F448"/>
  <c r="I448"/>
  <c r="E457"/>
  <c r="H457"/>
  <c r="K457"/>
  <c r="D493"/>
  <c r="G493"/>
  <c r="J493"/>
  <c r="F385"/>
  <c r="I385"/>
  <c r="D484"/>
  <c r="G484"/>
  <c r="J484"/>
  <c r="I493"/>
  <c r="D511"/>
  <c r="G511"/>
  <c r="J511"/>
  <c r="E522"/>
  <c r="D587"/>
  <c r="G587"/>
  <c r="J587"/>
  <c r="E385"/>
  <c r="H385"/>
  <c r="K385"/>
  <c r="F484"/>
  <c r="I484"/>
  <c r="F511"/>
  <c r="I511"/>
  <c r="K522"/>
  <c r="D560"/>
  <c r="G560"/>
  <c r="J560"/>
  <c r="D522"/>
  <c r="G522"/>
  <c r="J522"/>
  <c r="D531"/>
  <c r="G531"/>
  <c r="J531"/>
  <c r="E549"/>
  <c r="H549"/>
  <c r="K549"/>
  <c r="I560"/>
  <c r="E569"/>
  <c r="H569"/>
  <c r="K569"/>
  <c r="D578"/>
  <c r="G578"/>
  <c r="J578"/>
  <c r="E596"/>
  <c r="H596"/>
  <c r="K596"/>
  <c r="D605"/>
  <c r="G605"/>
  <c r="J605"/>
  <c r="F522"/>
  <c r="I522"/>
  <c r="E540"/>
  <c r="H540"/>
  <c r="K540"/>
  <c r="D549"/>
  <c r="G549"/>
  <c r="J549"/>
  <c r="E560"/>
  <c r="H560"/>
  <c r="K560"/>
  <c r="D569"/>
  <c r="G569"/>
  <c r="J569"/>
  <c r="E587"/>
  <c r="H587"/>
  <c r="K587"/>
  <c r="D596"/>
  <c r="G596"/>
  <c r="J596"/>
  <c r="J118" i="60"/>
  <c r="J117"/>
  <c r="J116"/>
  <c r="J115"/>
  <c r="J114"/>
  <c r="J113"/>
  <c r="J82"/>
  <c r="J81"/>
  <c r="J80"/>
  <c r="J79"/>
  <c r="J78"/>
  <c r="J77"/>
  <c r="C30"/>
  <c r="D61"/>
  <c r="S75"/>
  <c r="C14" i="50"/>
  <c r="C205" s="1"/>
  <c r="C14" i="59"/>
  <c r="C205" s="1"/>
  <c r="B4" i="60"/>
  <c r="E4"/>
  <c r="H4"/>
  <c r="B30"/>
  <c r="C61"/>
  <c r="F61"/>
  <c r="I61"/>
  <c r="O75"/>
  <c r="R75"/>
  <c r="E76"/>
  <c r="M161"/>
  <c r="G161"/>
  <c r="D161"/>
  <c r="A161"/>
  <c r="J162"/>
  <c r="K161"/>
  <c r="H161"/>
  <c r="E161"/>
  <c r="B161"/>
  <c r="L161"/>
  <c r="I161"/>
  <c r="F161"/>
  <c r="C161"/>
  <c r="G61"/>
  <c r="P75"/>
  <c r="B14" i="59"/>
  <c r="B205" s="1"/>
  <c r="D4" i="60"/>
  <c r="B61"/>
  <c r="E61"/>
  <c r="N75"/>
  <c r="Q75"/>
  <c r="C77"/>
  <c r="C78"/>
  <c r="N78" s="1"/>
  <c r="C79"/>
  <c r="N79" s="1"/>
  <c r="C80"/>
  <c r="N80" s="1"/>
  <c r="C81"/>
  <c r="C82"/>
  <c r="N82" s="1"/>
  <c r="E111"/>
  <c r="H111"/>
  <c r="E133"/>
  <c r="H133"/>
  <c r="D159"/>
  <c r="G159"/>
  <c r="M160"/>
  <c r="D183"/>
  <c r="G183"/>
  <c r="E153"/>
  <c r="E23" s="1"/>
  <c r="B202"/>
  <c r="E202"/>
  <c r="H202"/>
  <c r="B204"/>
  <c r="E204"/>
  <c r="H204"/>
  <c r="E97"/>
  <c r="H97"/>
  <c r="D111"/>
  <c r="G111"/>
  <c r="P111"/>
  <c r="S111"/>
  <c r="D133"/>
  <c r="G133"/>
  <c r="B147"/>
  <c r="E147"/>
  <c r="H147"/>
  <c r="C159"/>
  <c r="F159"/>
  <c r="I159"/>
  <c r="C160"/>
  <c r="L160"/>
  <c r="C183"/>
  <c r="F183"/>
  <c r="I183"/>
  <c r="F152"/>
  <c r="F22" s="1"/>
  <c r="D202"/>
  <c r="G202"/>
  <c r="D204"/>
  <c r="G204"/>
  <c r="D97"/>
  <c r="C111"/>
  <c r="F111"/>
  <c r="O111"/>
  <c r="C113"/>
  <c r="C114"/>
  <c r="C115"/>
  <c r="C116"/>
  <c r="C117"/>
  <c r="C118"/>
  <c r="C133"/>
  <c r="F133"/>
  <c r="D147"/>
  <c r="B159"/>
  <c r="E159"/>
  <c r="B160"/>
  <c r="K160"/>
  <c r="B183"/>
  <c r="E183"/>
  <c r="I150"/>
  <c r="I20" s="1"/>
  <c r="C204"/>
  <c r="F204"/>
  <c r="J118" i="59"/>
  <c r="J117"/>
  <c r="J116"/>
  <c r="J115"/>
  <c r="J114"/>
  <c r="J113"/>
  <c r="J82"/>
  <c r="J81"/>
  <c r="J80"/>
  <c r="J79"/>
  <c r="J78"/>
  <c r="J77"/>
  <c r="G97"/>
  <c r="D97"/>
  <c r="C113"/>
  <c r="C114"/>
  <c r="C115"/>
  <c r="C116"/>
  <c r="C117"/>
  <c r="C118"/>
  <c r="C31" i="58"/>
  <c r="C30" i="59"/>
  <c r="D61"/>
  <c r="G61"/>
  <c r="P75"/>
  <c r="S75"/>
  <c r="F97"/>
  <c r="P111"/>
  <c r="T111"/>
  <c r="E133"/>
  <c r="C155"/>
  <c r="I111"/>
  <c r="F111"/>
  <c r="C111"/>
  <c r="M161"/>
  <c r="G161"/>
  <c r="D161"/>
  <c r="A161"/>
  <c r="J162"/>
  <c r="K161"/>
  <c r="H161"/>
  <c r="E161"/>
  <c r="B161"/>
  <c r="L161"/>
  <c r="I161"/>
  <c r="F161"/>
  <c r="C161"/>
  <c r="C33" i="57"/>
  <c r="C14" i="58"/>
  <c r="C205" s="1"/>
  <c r="B4" i="59"/>
  <c r="E4"/>
  <c r="H4"/>
  <c r="B30"/>
  <c r="C61"/>
  <c r="F61"/>
  <c r="I61"/>
  <c r="O75"/>
  <c r="R75"/>
  <c r="E76"/>
  <c r="H76"/>
  <c r="E97"/>
  <c r="I97"/>
  <c r="G111"/>
  <c r="N111"/>
  <c r="D133"/>
  <c r="R111"/>
  <c r="O111"/>
  <c r="I133"/>
  <c r="F133"/>
  <c r="C133"/>
  <c r="C33" i="58"/>
  <c r="D4" i="59"/>
  <c r="B61"/>
  <c r="E61"/>
  <c r="N75"/>
  <c r="Q75"/>
  <c r="D76"/>
  <c r="C77"/>
  <c r="C78"/>
  <c r="N78" s="1"/>
  <c r="C79"/>
  <c r="N79" s="1"/>
  <c r="C80"/>
  <c r="N80" s="1"/>
  <c r="C81"/>
  <c r="N81" s="1"/>
  <c r="C82"/>
  <c r="N82" s="1"/>
  <c r="C97"/>
  <c r="H97"/>
  <c r="Q111"/>
  <c r="G133"/>
  <c r="D159"/>
  <c r="G159"/>
  <c r="M160"/>
  <c r="D183"/>
  <c r="G183"/>
  <c r="B204"/>
  <c r="E204"/>
  <c r="H204"/>
  <c r="C159"/>
  <c r="F159"/>
  <c r="I159"/>
  <c r="C160"/>
  <c r="L160"/>
  <c r="C183"/>
  <c r="F183"/>
  <c r="I183"/>
  <c r="E151"/>
  <c r="E21" s="1"/>
  <c r="D202"/>
  <c r="G202"/>
  <c r="D204"/>
  <c r="G204"/>
  <c r="D147"/>
  <c r="B159"/>
  <c r="E159"/>
  <c r="B160"/>
  <c r="K160"/>
  <c r="B183"/>
  <c r="E183"/>
  <c r="F153"/>
  <c r="F23" s="1"/>
  <c r="C202"/>
  <c r="C204"/>
  <c r="F204"/>
  <c r="J118" i="58"/>
  <c r="J117"/>
  <c r="J116"/>
  <c r="J115"/>
  <c r="J114"/>
  <c r="J113"/>
  <c r="J82"/>
  <c r="J81"/>
  <c r="J80"/>
  <c r="J79"/>
  <c r="J78"/>
  <c r="J77"/>
  <c r="B70"/>
  <c r="B208" s="1"/>
  <c r="G76"/>
  <c r="D76"/>
  <c r="C114"/>
  <c r="C117"/>
  <c r="I204"/>
  <c r="F204"/>
  <c r="C204"/>
  <c r="G204"/>
  <c r="B204"/>
  <c r="H204"/>
  <c r="D204"/>
  <c r="C77"/>
  <c r="N77" s="1"/>
  <c r="C78"/>
  <c r="N78" s="1"/>
  <c r="C79"/>
  <c r="N79" s="1"/>
  <c r="C80"/>
  <c r="N80" s="1"/>
  <c r="C81"/>
  <c r="C82"/>
  <c r="N82" s="1"/>
  <c r="C115"/>
  <c r="C118"/>
  <c r="J161"/>
  <c r="K160"/>
  <c r="B160"/>
  <c r="A160"/>
  <c r="L160"/>
  <c r="C160"/>
  <c r="H183"/>
  <c r="E183"/>
  <c r="B183"/>
  <c r="G183"/>
  <c r="C183"/>
  <c r="I183"/>
  <c r="D183"/>
  <c r="B36"/>
  <c r="F76"/>
  <c r="C30"/>
  <c r="E76"/>
  <c r="I76"/>
  <c r="D160"/>
  <c r="H61"/>
  <c r="E61"/>
  <c r="B61"/>
  <c r="T75"/>
  <c r="Q75"/>
  <c r="N75"/>
  <c r="G97"/>
  <c r="D97"/>
  <c r="H97"/>
  <c r="C97"/>
  <c r="I97"/>
  <c r="E97"/>
  <c r="C113"/>
  <c r="C116"/>
  <c r="I153"/>
  <c r="I23" s="1"/>
  <c r="C14" i="55"/>
  <c r="C205" s="1"/>
  <c r="B14" i="56"/>
  <c r="B205" s="1"/>
  <c r="B14" i="58"/>
  <c r="D25"/>
  <c r="F61"/>
  <c r="R75"/>
  <c r="C76"/>
  <c r="H76"/>
  <c r="M160"/>
  <c r="E204"/>
  <c r="I111"/>
  <c r="F111"/>
  <c r="C111"/>
  <c r="F202"/>
  <c r="C202"/>
  <c r="R111"/>
  <c r="O111"/>
  <c r="I133"/>
  <c r="F133"/>
  <c r="C133"/>
  <c r="H159"/>
  <c r="E159"/>
  <c r="B159"/>
  <c r="G111"/>
  <c r="E202"/>
  <c r="C14" i="57"/>
  <c r="C205" s="1"/>
  <c r="D4" i="58"/>
  <c r="E111"/>
  <c r="Q111"/>
  <c r="G133"/>
  <c r="F159"/>
  <c r="D202"/>
  <c r="H202"/>
  <c r="D147"/>
  <c r="B36" i="57"/>
  <c r="B64"/>
  <c r="J118"/>
  <c r="J117"/>
  <c r="J116"/>
  <c r="J115"/>
  <c r="J114"/>
  <c r="J113"/>
  <c r="J82"/>
  <c r="J81"/>
  <c r="J80"/>
  <c r="J79"/>
  <c r="J78"/>
  <c r="J77"/>
  <c r="M161"/>
  <c r="G161"/>
  <c r="D161"/>
  <c r="A161"/>
  <c r="J162"/>
  <c r="K161"/>
  <c r="H161"/>
  <c r="E161"/>
  <c r="B161"/>
  <c r="L161"/>
  <c r="I161"/>
  <c r="F161"/>
  <c r="C161"/>
  <c r="C14" i="56"/>
  <c r="C205" s="1"/>
  <c r="D4" i="57"/>
  <c r="G4"/>
  <c r="B14"/>
  <c r="B61"/>
  <c r="E61"/>
  <c r="H61"/>
  <c r="N75"/>
  <c r="Q75"/>
  <c r="T75"/>
  <c r="D76"/>
  <c r="G76"/>
  <c r="C77"/>
  <c r="C78"/>
  <c r="N78" s="1"/>
  <c r="C79"/>
  <c r="N79" s="1"/>
  <c r="C80"/>
  <c r="N80" s="1"/>
  <c r="C81"/>
  <c r="N81" s="1"/>
  <c r="C82"/>
  <c r="N82" s="1"/>
  <c r="C30" i="56"/>
  <c r="C30" i="57"/>
  <c r="D61"/>
  <c r="G61"/>
  <c r="P75"/>
  <c r="S75"/>
  <c r="C33" i="56"/>
  <c r="C61" i="57"/>
  <c r="F61"/>
  <c r="O75"/>
  <c r="E76"/>
  <c r="E111"/>
  <c r="H111"/>
  <c r="E133"/>
  <c r="H133"/>
  <c r="D159"/>
  <c r="G159"/>
  <c r="M160"/>
  <c r="D183"/>
  <c r="G183"/>
  <c r="I151"/>
  <c r="I21"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56"/>
  <c r="J117"/>
  <c r="J116"/>
  <c r="J115"/>
  <c r="J114"/>
  <c r="J113"/>
  <c r="J82"/>
  <c r="D82" s="1"/>
  <c r="J81"/>
  <c r="D81" s="1"/>
  <c r="J80"/>
  <c r="D80" s="1"/>
  <c r="J79"/>
  <c r="D79" s="1"/>
  <c r="J78"/>
  <c r="D78" s="1"/>
  <c r="J77"/>
  <c r="D77" s="1"/>
  <c r="B4"/>
  <c r="E4"/>
  <c r="H4"/>
  <c r="B30"/>
  <c r="C61"/>
  <c r="F61"/>
  <c r="I61"/>
  <c r="O75"/>
  <c r="R75"/>
  <c r="E76"/>
  <c r="C88" a="1"/>
  <c r="C88" s="1"/>
  <c r="C100" s="1"/>
  <c r="C93" a="1"/>
  <c r="C93" s="1"/>
  <c r="C90" a="1"/>
  <c r="C90" s="1"/>
  <c r="C102" s="1"/>
  <c r="C87" a="1"/>
  <c r="C87" s="1"/>
  <c r="C99" s="1"/>
  <c r="C91" a="1"/>
  <c r="C91" s="1"/>
  <c r="C103" s="1"/>
  <c r="M161"/>
  <c r="G161"/>
  <c r="D161"/>
  <c r="A161"/>
  <c r="J162"/>
  <c r="K161"/>
  <c r="H161"/>
  <c r="E161"/>
  <c r="B161"/>
  <c r="L161"/>
  <c r="I161"/>
  <c r="F161"/>
  <c r="C161"/>
  <c r="D4"/>
  <c r="G4"/>
  <c r="E61"/>
  <c r="H61"/>
  <c r="C30" i="55"/>
  <c r="C33"/>
  <c r="C4" i="56"/>
  <c r="F4"/>
  <c r="C25"/>
  <c r="D61"/>
  <c r="P75"/>
  <c r="C97"/>
  <c r="F97"/>
  <c r="I97"/>
  <c r="E111"/>
  <c r="H111"/>
  <c r="N111"/>
  <c r="Q111"/>
  <c r="T111"/>
  <c r="E133"/>
  <c r="H133"/>
  <c r="D159"/>
  <c r="G159"/>
  <c r="M160"/>
  <c r="D183"/>
  <c r="G183"/>
  <c r="F154"/>
  <c r="F24" s="1"/>
  <c r="B202"/>
  <c r="E202"/>
  <c r="H202"/>
  <c r="B204"/>
  <c r="E204"/>
  <c r="H204"/>
  <c r="E97"/>
  <c r="H97"/>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B36" i="55"/>
  <c r="B64"/>
  <c r="J118"/>
  <c r="J117"/>
  <c r="J116"/>
  <c r="J115"/>
  <c r="J114"/>
  <c r="J113"/>
  <c r="J82"/>
  <c r="J81"/>
  <c r="J80"/>
  <c r="J79"/>
  <c r="J78"/>
  <c r="J77"/>
  <c r="I111"/>
  <c r="F111"/>
  <c r="C111"/>
  <c r="G111"/>
  <c r="D111"/>
  <c r="M161"/>
  <c r="G161"/>
  <c r="D161"/>
  <c r="A161"/>
  <c r="J162"/>
  <c r="K161"/>
  <c r="H161"/>
  <c r="E161"/>
  <c r="B161"/>
  <c r="L161"/>
  <c r="I161"/>
  <c r="F161"/>
  <c r="C161"/>
  <c r="C14" i="52"/>
  <c r="C205" s="1"/>
  <c r="C14" i="54"/>
  <c r="C205" s="1"/>
  <c r="D4" i="55"/>
  <c r="G4"/>
  <c r="B14"/>
  <c r="B61"/>
  <c r="E61"/>
  <c r="H61"/>
  <c r="N75"/>
  <c r="Q75"/>
  <c r="T75"/>
  <c r="C77"/>
  <c r="N77" s="1"/>
  <c r="C78"/>
  <c r="N78" s="1"/>
  <c r="C79"/>
  <c r="N79" s="1"/>
  <c r="C80"/>
  <c r="D80" s="1"/>
  <c r="C81"/>
  <c r="N81" s="1"/>
  <c r="C82"/>
  <c r="N82" s="1"/>
  <c r="C113"/>
  <c r="C114"/>
  <c r="C115"/>
  <c r="C116"/>
  <c r="C117"/>
  <c r="C118"/>
  <c r="C25"/>
  <c r="D61"/>
  <c r="G61"/>
  <c r="P75"/>
  <c r="S75"/>
  <c r="B4"/>
  <c r="E4"/>
  <c r="C61"/>
  <c r="F61"/>
  <c r="O75"/>
  <c r="E76"/>
  <c r="E111"/>
  <c r="E133"/>
  <c r="H133"/>
  <c r="D159"/>
  <c r="G159"/>
  <c r="M160"/>
  <c r="D183"/>
  <c r="G183"/>
  <c r="H153"/>
  <c r="H23" s="1"/>
  <c r="F154"/>
  <c r="F24" s="1"/>
  <c r="E97"/>
  <c r="P111"/>
  <c r="D133"/>
  <c r="G133"/>
  <c r="B147"/>
  <c r="E147"/>
  <c r="H147"/>
  <c r="C159"/>
  <c r="F159"/>
  <c r="I159"/>
  <c r="C160"/>
  <c r="L160"/>
  <c r="C183"/>
  <c r="F183"/>
  <c r="I183"/>
  <c r="D202"/>
  <c r="D204"/>
  <c r="C133"/>
  <c r="F133"/>
  <c r="D147"/>
  <c r="B159"/>
  <c r="E159"/>
  <c r="B160"/>
  <c r="K160"/>
  <c r="B183"/>
  <c r="E183"/>
  <c r="B36" i="54"/>
  <c r="B64"/>
  <c r="J118"/>
  <c r="J117"/>
  <c r="J116"/>
  <c r="J115"/>
  <c r="J114"/>
  <c r="J113"/>
  <c r="J82"/>
  <c r="J81"/>
  <c r="J80"/>
  <c r="J79"/>
  <c r="J78"/>
  <c r="J77"/>
  <c r="D4"/>
  <c r="G4"/>
  <c r="B14"/>
  <c r="B61"/>
  <c r="E61"/>
  <c r="H61"/>
  <c r="N75"/>
  <c r="Q75"/>
  <c r="T75"/>
  <c r="D76"/>
  <c r="G76"/>
  <c r="C77"/>
  <c r="C78"/>
  <c r="N78" s="1"/>
  <c r="C79"/>
  <c r="N79" s="1"/>
  <c r="C80"/>
  <c r="N80" s="1"/>
  <c r="C81"/>
  <c r="N81" s="1"/>
  <c r="C82"/>
  <c r="N82" s="1"/>
  <c r="M161"/>
  <c r="G161"/>
  <c r="D161"/>
  <c r="A161"/>
  <c r="J162"/>
  <c r="K161"/>
  <c r="H161"/>
  <c r="E161"/>
  <c r="B161"/>
  <c r="L161"/>
  <c r="I161"/>
  <c r="F161"/>
  <c r="C161"/>
  <c r="C30"/>
  <c r="D61"/>
  <c r="G61"/>
  <c r="P75"/>
  <c r="S75"/>
  <c r="C14" i="53"/>
  <c r="C205" s="1"/>
  <c r="B4" i="54"/>
  <c r="E4"/>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H151"/>
  <c r="H21" s="1"/>
  <c r="D202"/>
  <c r="G202"/>
  <c r="D204"/>
  <c r="G204"/>
  <c r="D97"/>
  <c r="C111"/>
  <c r="F111"/>
  <c r="O111"/>
  <c r="C113"/>
  <c r="C114"/>
  <c r="C115"/>
  <c r="C116"/>
  <c r="C117"/>
  <c r="C118"/>
  <c r="C133"/>
  <c r="F133"/>
  <c r="D147"/>
  <c r="B159"/>
  <c r="E159"/>
  <c r="B160"/>
  <c r="K160"/>
  <c r="B183"/>
  <c r="E183"/>
  <c r="C202"/>
  <c r="C204"/>
  <c r="F204"/>
  <c r="J118" i="53"/>
  <c r="J117"/>
  <c r="J116"/>
  <c r="J115"/>
  <c r="J114"/>
  <c r="J113"/>
  <c r="J80"/>
  <c r="J77"/>
  <c r="J81"/>
  <c r="J78"/>
  <c r="J82"/>
  <c r="J79"/>
  <c r="B64"/>
  <c r="B36"/>
  <c r="I76"/>
  <c r="F76"/>
  <c r="C76"/>
  <c r="H147"/>
  <c r="E147"/>
  <c r="B147"/>
  <c r="G147"/>
  <c r="C147"/>
  <c r="I147"/>
  <c r="D147"/>
  <c r="C33" i="52"/>
  <c r="D4" i="53"/>
  <c r="G4"/>
  <c r="B14"/>
  <c r="G76"/>
  <c r="C89" a="1"/>
  <c r="C89" s="1"/>
  <c r="C101" s="1"/>
  <c r="C88" a="1"/>
  <c r="C88" s="1"/>
  <c r="C100" s="1"/>
  <c r="C87" a="1"/>
  <c r="C87" s="1"/>
  <c r="C99" s="1"/>
  <c r="C91" a="1"/>
  <c r="C91" s="1"/>
  <c r="C103" s="1"/>
  <c r="C90" a="1"/>
  <c r="C90" s="1"/>
  <c r="C102" s="1"/>
  <c r="C33" i="51"/>
  <c r="C4" i="53"/>
  <c r="F4"/>
  <c r="I4"/>
  <c r="C30"/>
  <c r="E76"/>
  <c r="C155"/>
  <c r="C30" i="52"/>
  <c r="B4" i="53"/>
  <c r="E4"/>
  <c r="D76"/>
  <c r="H76"/>
  <c r="F147"/>
  <c r="G111"/>
  <c r="D111"/>
  <c r="G133"/>
  <c r="D133"/>
  <c r="I159"/>
  <c r="F159"/>
  <c r="C159"/>
  <c r="L160"/>
  <c r="C160"/>
  <c r="D61"/>
  <c r="P75"/>
  <c r="F111"/>
  <c r="C113"/>
  <c r="C114"/>
  <c r="C115"/>
  <c r="C116"/>
  <c r="C117"/>
  <c r="C118"/>
  <c r="F133"/>
  <c r="E159"/>
  <c r="J161"/>
  <c r="B183"/>
  <c r="E150"/>
  <c r="E20" s="1"/>
  <c r="I183"/>
  <c r="F183"/>
  <c r="C183"/>
  <c r="D155"/>
  <c r="E183"/>
  <c r="G152"/>
  <c r="G22" s="1"/>
  <c r="E97"/>
  <c r="P111"/>
  <c r="D202"/>
  <c r="D204"/>
  <c r="J118" i="52"/>
  <c r="J117"/>
  <c r="J116"/>
  <c r="J115"/>
  <c r="J114"/>
  <c r="J113"/>
  <c r="J82"/>
  <c r="J81"/>
  <c r="J80"/>
  <c r="J79"/>
  <c r="J78"/>
  <c r="J77"/>
  <c r="B36"/>
  <c r="B64"/>
  <c r="J161"/>
  <c r="K160"/>
  <c r="B160"/>
  <c r="L160"/>
  <c r="C160"/>
  <c r="M160"/>
  <c r="D160"/>
  <c r="A160"/>
  <c r="D4"/>
  <c r="G4"/>
  <c r="B14"/>
  <c r="B61"/>
  <c r="E61"/>
  <c r="H61"/>
  <c r="N75"/>
  <c r="Q75"/>
  <c r="T75"/>
  <c r="C77"/>
  <c r="C78"/>
  <c r="N78" s="1"/>
  <c r="C79"/>
  <c r="N79" s="1"/>
  <c r="C80"/>
  <c r="N80" s="1"/>
  <c r="C81"/>
  <c r="N81" s="1"/>
  <c r="C82"/>
  <c r="N82" s="1"/>
  <c r="C25"/>
  <c r="D61"/>
  <c r="G61"/>
  <c r="P75"/>
  <c r="S75"/>
  <c r="C14" i="51"/>
  <c r="C205" s="1"/>
  <c r="C31"/>
  <c r="B4" i="52"/>
  <c r="E4"/>
  <c r="C61"/>
  <c r="F61"/>
  <c r="O75"/>
  <c r="E76"/>
  <c r="E111"/>
  <c r="H111"/>
  <c r="E133"/>
  <c r="H133"/>
  <c r="D159"/>
  <c r="G159"/>
  <c r="D183"/>
  <c r="G183"/>
  <c r="H150"/>
  <c r="H20" s="1"/>
  <c r="B202"/>
  <c r="E202"/>
  <c r="H202"/>
  <c r="B204"/>
  <c r="E204"/>
  <c r="H204"/>
  <c r="E97"/>
  <c r="H97"/>
  <c r="D111"/>
  <c r="G111"/>
  <c r="P111"/>
  <c r="S111"/>
  <c r="D133"/>
  <c r="G133"/>
  <c r="C159"/>
  <c r="F159"/>
  <c r="I159"/>
  <c r="D202"/>
  <c r="G202"/>
  <c r="D204"/>
  <c r="G204"/>
  <c r="D97"/>
  <c r="C111"/>
  <c r="F111"/>
  <c r="O111"/>
  <c r="C113"/>
  <c r="C114"/>
  <c r="C115"/>
  <c r="C116"/>
  <c r="C117"/>
  <c r="D117" s="1"/>
  <c r="C118"/>
  <c r="C133"/>
  <c r="F133"/>
  <c r="D147"/>
  <c r="B159"/>
  <c r="E159"/>
  <c r="B183"/>
  <c r="E183"/>
  <c r="C202"/>
  <c r="C204"/>
  <c r="F204"/>
  <c r="B70" i="51"/>
  <c r="B208" s="1"/>
  <c r="J118"/>
  <c r="J117"/>
  <c r="J116"/>
  <c r="J115"/>
  <c r="J114"/>
  <c r="J113"/>
  <c r="J82"/>
  <c r="J81"/>
  <c r="J80"/>
  <c r="J79"/>
  <c r="J78"/>
  <c r="J77"/>
  <c r="C114"/>
  <c r="C117"/>
  <c r="I204"/>
  <c r="F204"/>
  <c r="C204"/>
  <c r="G204"/>
  <c r="B204"/>
  <c r="H204"/>
  <c r="D204"/>
  <c r="B36"/>
  <c r="H61"/>
  <c r="E61"/>
  <c r="B61"/>
  <c r="I61"/>
  <c r="F61"/>
  <c r="C61"/>
  <c r="T75"/>
  <c r="Q75"/>
  <c r="N75"/>
  <c r="R75"/>
  <c r="O75"/>
  <c r="C77"/>
  <c r="N77" s="1"/>
  <c r="C78"/>
  <c r="N78" s="1"/>
  <c r="C79"/>
  <c r="N79" s="1"/>
  <c r="C80"/>
  <c r="N80" s="1"/>
  <c r="C81"/>
  <c r="N81" s="1"/>
  <c r="C82"/>
  <c r="N82" s="1"/>
  <c r="C115"/>
  <c r="C118"/>
  <c r="J161"/>
  <c r="K160"/>
  <c r="B160"/>
  <c r="A160"/>
  <c r="L160"/>
  <c r="C160"/>
  <c r="H183"/>
  <c r="E183"/>
  <c r="B183"/>
  <c r="G183"/>
  <c r="C183"/>
  <c r="I183"/>
  <c r="D183"/>
  <c r="B14" i="50"/>
  <c r="B205" s="1"/>
  <c r="C30" i="51"/>
  <c r="D160"/>
  <c r="G97"/>
  <c r="D97"/>
  <c r="H97"/>
  <c r="C97"/>
  <c r="I97"/>
  <c r="E97"/>
  <c r="C113"/>
  <c r="C116"/>
  <c r="E150"/>
  <c r="E20" s="1"/>
  <c r="B14"/>
  <c r="D25"/>
  <c r="G61"/>
  <c r="S75"/>
  <c r="M160"/>
  <c r="E204"/>
  <c r="I111"/>
  <c r="F111"/>
  <c r="C111"/>
  <c r="F202"/>
  <c r="C202"/>
  <c r="E76"/>
  <c r="H76"/>
  <c r="G111"/>
  <c r="E202"/>
  <c r="R111"/>
  <c r="O111"/>
  <c r="I133"/>
  <c r="F133"/>
  <c r="C133"/>
  <c r="H159"/>
  <c r="E159"/>
  <c r="B159"/>
  <c r="D4"/>
  <c r="D76"/>
  <c r="E111"/>
  <c r="Q111"/>
  <c r="G133"/>
  <c r="F159"/>
  <c r="D202"/>
  <c r="H202"/>
  <c r="D147"/>
  <c r="J118" i="50"/>
  <c r="J117"/>
  <c r="J116"/>
  <c r="J115"/>
  <c r="J114"/>
  <c r="J113"/>
  <c r="J82"/>
  <c r="J81"/>
  <c r="J80"/>
  <c r="J79"/>
  <c r="J78"/>
  <c r="J77"/>
  <c r="C14" i="48"/>
  <c r="C205" s="1"/>
  <c r="B14" i="49"/>
  <c r="B205" s="1"/>
  <c r="C4" i="50"/>
  <c r="F4"/>
  <c r="I4"/>
  <c r="C30"/>
  <c r="D61"/>
  <c r="P75"/>
  <c r="C76"/>
  <c r="F76"/>
  <c r="I76"/>
  <c r="M161"/>
  <c r="G161"/>
  <c r="D161"/>
  <c r="A161"/>
  <c r="J162"/>
  <c r="K161"/>
  <c r="H161"/>
  <c r="E161"/>
  <c r="B161"/>
  <c r="L161"/>
  <c r="I161"/>
  <c r="F161"/>
  <c r="C161"/>
  <c r="B30"/>
  <c r="E76"/>
  <c r="H76"/>
  <c r="C93" a="1"/>
  <c r="C93" s="1"/>
  <c r="C90" a="1"/>
  <c r="C90" s="1"/>
  <c r="C102" s="1"/>
  <c r="C87" a="1"/>
  <c r="C87" s="1"/>
  <c r="C99" s="1"/>
  <c r="C89" a="1"/>
  <c r="C89" s="1"/>
  <c r="C101" s="1"/>
  <c r="C91" a="1"/>
  <c r="C91" s="1"/>
  <c r="C103" s="1"/>
  <c r="C14" i="49"/>
  <c r="C205" s="1"/>
  <c r="C32"/>
  <c r="C35"/>
  <c r="B30"/>
  <c r="B36" s="1"/>
  <c r="D4" i="50"/>
  <c r="D76"/>
  <c r="E111"/>
  <c r="H111"/>
  <c r="E133"/>
  <c r="H133"/>
  <c r="D159"/>
  <c r="G159"/>
  <c r="M160"/>
  <c r="D183"/>
  <c r="G183"/>
  <c r="B202"/>
  <c r="E202"/>
  <c r="H202"/>
  <c r="B204"/>
  <c r="E204"/>
  <c r="H204"/>
  <c r="E97"/>
  <c r="H97"/>
  <c r="D111"/>
  <c r="G111"/>
  <c r="P111"/>
  <c r="S111"/>
  <c r="D133"/>
  <c r="G133"/>
  <c r="B147"/>
  <c r="E147"/>
  <c r="H147"/>
  <c r="C159"/>
  <c r="F159"/>
  <c r="I159"/>
  <c r="C160"/>
  <c r="L160"/>
  <c r="C183"/>
  <c r="F183"/>
  <c r="I183"/>
  <c r="I152"/>
  <c r="I22" s="1"/>
  <c r="D202"/>
  <c r="G202"/>
  <c r="D204"/>
  <c r="G204"/>
  <c r="D97"/>
  <c r="C111"/>
  <c r="F111"/>
  <c r="O111"/>
  <c r="C113"/>
  <c r="C114"/>
  <c r="C115"/>
  <c r="C116"/>
  <c r="C117"/>
  <c r="C118"/>
  <c r="C133"/>
  <c r="F133"/>
  <c r="D147"/>
  <c r="B159"/>
  <c r="E159"/>
  <c r="B160"/>
  <c r="K160"/>
  <c r="B183"/>
  <c r="E183"/>
  <c r="C202"/>
  <c r="C204"/>
  <c r="F204"/>
  <c r="D25" i="49"/>
  <c r="J118"/>
  <c r="J115"/>
  <c r="J116"/>
  <c r="J113"/>
  <c r="J82"/>
  <c r="J81"/>
  <c r="J80"/>
  <c r="J79"/>
  <c r="J78"/>
  <c r="J77"/>
  <c r="J117"/>
  <c r="J114"/>
  <c r="R111"/>
  <c r="O111"/>
  <c r="T111"/>
  <c r="Q111"/>
  <c r="N111"/>
  <c r="C4"/>
  <c r="F4"/>
  <c r="I4"/>
  <c r="C30"/>
  <c r="D61"/>
  <c r="P75"/>
  <c r="C76"/>
  <c r="F76"/>
  <c r="I76"/>
  <c r="C160"/>
  <c r="G97"/>
  <c r="D97"/>
  <c r="I97"/>
  <c r="F97"/>
  <c r="C97"/>
  <c r="I204"/>
  <c r="F204"/>
  <c r="C204"/>
  <c r="H204"/>
  <c r="E204"/>
  <c r="B204"/>
  <c r="E76"/>
  <c r="H76"/>
  <c r="D155"/>
  <c r="C93" a="1"/>
  <c r="C93" s="1"/>
  <c r="C90" a="1"/>
  <c r="C90" s="1"/>
  <c r="C102" s="1"/>
  <c r="C87" a="1"/>
  <c r="C87" s="1"/>
  <c r="C99" s="1"/>
  <c r="C91" a="1"/>
  <c r="C91" s="1"/>
  <c r="C103" s="1"/>
  <c r="J161"/>
  <c r="K160"/>
  <c r="B160"/>
  <c r="M160"/>
  <c r="D160"/>
  <c r="A160"/>
  <c r="F202"/>
  <c r="C202"/>
  <c r="H202"/>
  <c r="E202"/>
  <c r="B202"/>
  <c r="C33" i="48"/>
  <c r="D4" i="49"/>
  <c r="D76"/>
  <c r="H97"/>
  <c r="G204"/>
  <c r="E111"/>
  <c r="H111"/>
  <c r="E133"/>
  <c r="H133"/>
  <c r="D159"/>
  <c r="G159"/>
  <c r="D183"/>
  <c r="G183"/>
  <c r="E150"/>
  <c r="E20" s="1"/>
  <c r="C111"/>
  <c r="F111"/>
  <c r="C113"/>
  <c r="C114"/>
  <c r="C115"/>
  <c r="C116"/>
  <c r="C117"/>
  <c r="C118"/>
  <c r="C133"/>
  <c r="F133"/>
  <c r="D147"/>
  <c r="B159"/>
  <c r="E159"/>
  <c r="B183"/>
  <c r="E183"/>
  <c r="J118" i="48"/>
  <c r="J117"/>
  <c r="J116"/>
  <c r="J115"/>
  <c r="J114"/>
  <c r="J113"/>
  <c r="J82"/>
  <c r="J81"/>
  <c r="J80"/>
  <c r="J79"/>
  <c r="J78"/>
  <c r="J77"/>
  <c r="B36"/>
  <c r="B64"/>
  <c r="B14" i="47"/>
  <c r="B205" s="1"/>
  <c r="D4" i="48"/>
  <c r="B14"/>
  <c r="B61"/>
  <c r="E61"/>
  <c r="H61"/>
  <c r="N75"/>
  <c r="Q75"/>
  <c r="T75"/>
  <c r="D76"/>
  <c r="G76"/>
  <c r="C77"/>
  <c r="C78"/>
  <c r="N78" s="1"/>
  <c r="C79"/>
  <c r="N79" s="1"/>
  <c r="C80"/>
  <c r="N80" s="1"/>
  <c r="C81"/>
  <c r="N81" s="1"/>
  <c r="C82"/>
  <c r="N82" s="1"/>
  <c r="C155"/>
  <c r="I111"/>
  <c r="F111"/>
  <c r="C111"/>
  <c r="G111"/>
  <c r="D111"/>
  <c r="C113"/>
  <c r="C114"/>
  <c r="C115"/>
  <c r="C116"/>
  <c r="C117"/>
  <c r="C118"/>
  <c r="H183"/>
  <c r="E183"/>
  <c r="B183"/>
  <c r="I183"/>
  <c r="F183"/>
  <c r="C183"/>
  <c r="C30"/>
  <c r="D61"/>
  <c r="G61"/>
  <c r="P75"/>
  <c r="S75"/>
  <c r="I133"/>
  <c r="F133"/>
  <c r="C133"/>
  <c r="G133"/>
  <c r="D133"/>
  <c r="H159"/>
  <c r="E159"/>
  <c r="B159"/>
  <c r="I159"/>
  <c r="F159"/>
  <c r="C159"/>
  <c r="J161"/>
  <c r="K160"/>
  <c r="B160"/>
  <c r="L160"/>
  <c r="C160"/>
  <c r="B14" i="45"/>
  <c r="B205" s="1"/>
  <c r="C61" i="48"/>
  <c r="F61"/>
  <c r="O75"/>
  <c r="E76"/>
  <c r="H111"/>
  <c r="D155"/>
  <c r="G183"/>
  <c r="E97"/>
  <c r="H97"/>
  <c r="P111"/>
  <c r="S111"/>
  <c r="B147"/>
  <c r="E147"/>
  <c r="H147"/>
  <c r="D202"/>
  <c r="G202"/>
  <c r="D204"/>
  <c r="G204"/>
  <c r="D97"/>
  <c r="O111"/>
  <c r="D147"/>
  <c r="C202"/>
  <c r="C204"/>
  <c r="F204"/>
  <c r="J118" i="47"/>
  <c r="J117"/>
  <c r="J116"/>
  <c r="J115"/>
  <c r="J114"/>
  <c r="J113"/>
  <c r="J82"/>
  <c r="J81"/>
  <c r="J80"/>
  <c r="J79"/>
  <c r="J78"/>
  <c r="J77"/>
  <c r="C14"/>
  <c r="C205" s="1"/>
  <c r="B30"/>
  <c r="C61"/>
  <c r="F61"/>
  <c r="I61"/>
  <c r="O75"/>
  <c r="R75"/>
  <c r="E76"/>
  <c r="H76"/>
  <c r="H111"/>
  <c r="M161"/>
  <c r="G161"/>
  <c r="D161"/>
  <c r="A161"/>
  <c r="J162"/>
  <c r="K161"/>
  <c r="H161"/>
  <c r="E161"/>
  <c r="B161"/>
  <c r="L161"/>
  <c r="I161"/>
  <c r="F161"/>
  <c r="C161"/>
  <c r="C33" i="46"/>
  <c r="D4" i="47"/>
  <c r="B61"/>
  <c r="E61"/>
  <c r="H61"/>
  <c r="N75"/>
  <c r="Q75"/>
  <c r="T75"/>
  <c r="D76"/>
  <c r="C77"/>
  <c r="N77" s="1"/>
  <c r="C78"/>
  <c r="N78" s="1"/>
  <c r="C79"/>
  <c r="N79" s="1"/>
  <c r="C80"/>
  <c r="N80" s="1"/>
  <c r="C81"/>
  <c r="N81" s="1"/>
  <c r="C82"/>
  <c r="N82" s="1"/>
  <c r="I111"/>
  <c r="F111"/>
  <c r="C111"/>
  <c r="G111"/>
  <c r="D111"/>
  <c r="C113"/>
  <c r="C114"/>
  <c r="C115"/>
  <c r="C116"/>
  <c r="C117"/>
  <c r="D61"/>
  <c r="P75"/>
  <c r="E133"/>
  <c r="H133"/>
  <c r="D159"/>
  <c r="G159"/>
  <c r="M160"/>
  <c r="D183"/>
  <c r="G183"/>
  <c r="E153"/>
  <c r="E23" s="1"/>
  <c r="B204"/>
  <c r="E204"/>
  <c r="H204"/>
  <c r="E97"/>
  <c r="H97"/>
  <c r="P111"/>
  <c r="S111"/>
  <c r="D133"/>
  <c r="G133"/>
  <c r="C159"/>
  <c r="F159"/>
  <c r="I159"/>
  <c r="C160"/>
  <c r="L160"/>
  <c r="C183"/>
  <c r="F183"/>
  <c r="I183"/>
  <c r="D202"/>
  <c r="G202"/>
  <c r="D204"/>
  <c r="G204"/>
  <c r="D97"/>
  <c r="O111"/>
  <c r="C118"/>
  <c r="C133"/>
  <c r="F133"/>
  <c r="D147"/>
  <c r="B159"/>
  <c r="E159"/>
  <c r="B160"/>
  <c r="K160"/>
  <c r="B183"/>
  <c r="E183"/>
  <c r="C202"/>
  <c r="C204"/>
  <c r="F204"/>
  <c r="J113" i="46"/>
  <c r="I4"/>
  <c r="F4"/>
  <c r="C4"/>
  <c r="H4"/>
  <c r="E4"/>
  <c r="B4"/>
  <c r="B64"/>
  <c r="B36"/>
  <c r="J118"/>
  <c r="J115"/>
  <c r="J117"/>
  <c r="J114"/>
  <c r="J82"/>
  <c r="D82" s="1"/>
  <c r="J81"/>
  <c r="D81" s="1"/>
  <c r="J80"/>
  <c r="J79"/>
  <c r="D79" s="1"/>
  <c r="J78"/>
  <c r="D78" s="1"/>
  <c r="J77"/>
  <c r="D77" s="1"/>
  <c r="C93" a="1"/>
  <c r="C93" s="1"/>
  <c r="C90" a="1"/>
  <c r="C90" s="1"/>
  <c r="C102" s="1"/>
  <c r="C87" a="1"/>
  <c r="C87" s="1"/>
  <c r="C99" s="1"/>
  <c r="C91" a="1"/>
  <c r="C91" s="1"/>
  <c r="C103" s="1"/>
  <c r="C89" a="1"/>
  <c r="C89" s="1"/>
  <c r="C101" s="1"/>
  <c r="C88" a="1"/>
  <c r="C88" s="1"/>
  <c r="C100" s="1"/>
  <c r="G97"/>
  <c r="D97"/>
  <c r="I97"/>
  <c r="F97"/>
  <c r="C97"/>
  <c r="H97"/>
  <c r="E97"/>
  <c r="B14"/>
  <c r="D25"/>
  <c r="G4"/>
  <c r="I204"/>
  <c r="F204"/>
  <c r="C204"/>
  <c r="H204"/>
  <c r="E204"/>
  <c r="B204"/>
  <c r="R111"/>
  <c r="O111"/>
  <c r="T111"/>
  <c r="Q111"/>
  <c r="N111"/>
  <c r="C14"/>
  <c r="C205" s="1"/>
  <c r="C61"/>
  <c r="F61"/>
  <c r="I61"/>
  <c r="O75"/>
  <c r="R75"/>
  <c r="E76"/>
  <c r="C160"/>
  <c r="D204"/>
  <c r="J161"/>
  <c r="K160"/>
  <c r="B160"/>
  <c r="M160"/>
  <c r="D160"/>
  <c r="A160"/>
  <c r="F202"/>
  <c r="C202"/>
  <c r="H202"/>
  <c r="E202"/>
  <c r="B202"/>
  <c r="D61"/>
  <c r="P75"/>
  <c r="G204"/>
  <c r="E111"/>
  <c r="H111"/>
  <c r="E133"/>
  <c r="H133"/>
  <c r="D159"/>
  <c r="G159"/>
  <c r="D183"/>
  <c r="G183"/>
  <c r="C111"/>
  <c r="F111"/>
  <c r="C113"/>
  <c r="C114"/>
  <c r="C115"/>
  <c r="C116"/>
  <c r="D116" s="1"/>
  <c r="E116" s="1"/>
  <c r="F116" s="1"/>
  <c r="G116" s="1"/>
  <c r="H116" s="1"/>
  <c r="I116" s="1"/>
  <c r="C117"/>
  <c r="C118"/>
  <c r="C133"/>
  <c r="F133"/>
  <c r="D147"/>
  <c r="B159"/>
  <c r="E159"/>
  <c r="B183"/>
  <c r="E183"/>
  <c r="J118" i="45"/>
  <c r="J117"/>
  <c r="J116"/>
  <c r="J115"/>
  <c r="J114"/>
  <c r="J113"/>
  <c r="J82"/>
  <c r="J81"/>
  <c r="J80"/>
  <c r="J79"/>
  <c r="J78"/>
  <c r="J77"/>
  <c r="C14" i="44"/>
  <c r="C205" s="1"/>
  <c r="B4" i="45"/>
  <c r="E4"/>
  <c r="H4"/>
  <c r="C14"/>
  <c r="C205" s="1"/>
  <c r="B30"/>
  <c r="C61"/>
  <c r="F61"/>
  <c r="I61"/>
  <c r="O75"/>
  <c r="R75"/>
  <c r="E76"/>
  <c r="M161"/>
  <c r="G161"/>
  <c r="D161"/>
  <c r="A161"/>
  <c r="J162"/>
  <c r="K161"/>
  <c r="H161"/>
  <c r="E161"/>
  <c r="B161"/>
  <c r="L161"/>
  <c r="I161"/>
  <c r="F161"/>
  <c r="C161"/>
  <c r="B14" i="44"/>
  <c r="B205" s="1"/>
  <c r="D4" i="45"/>
  <c r="B61"/>
  <c r="E61"/>
  <c r="H61"/>
  <c r="N75"/>
  <c r="Q75"/>
  <c r="T75"/>
  <c r="C77"/>
  <c r="N77" s="1"/>
  <c r="C78"/>
  <c r="N78" s="1"/>
  <c r="C79"/>
  <c r="N79" s="1"/>
  <c r="C80"/>
  <c r="N80" s="1"/>
  <c r="C81"/>
  <c r="N81" s="1"/>
  <c r="C82"/>
  <c r="N82" s="1"/>
  <c r="D61"/>
  <c r="P75"/>
  <c r="E111"/>
  <c r="H111"/>
  <c r="E133"/>
  <c r="H133"/>
  <c r="D159"/>
  <c r="G159"/>
  <c r="M160"/>
  <c r="D183"/>
  <c r="G183"/>
  <c r="E150"/>
  <c r="E20"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F150"/>
  <c r="F20" s="1"/>
  <c r="H152"/>
  <c r="H22" s="1"/>
  <c r="C202"/>
  <c r="C204"/>
  <c r="F204"/>
  <c r="J118" i="44"/>
  <c r="J117"/>
  <c r="J116"/>
  <c r="J115"/>
  <c r="J114"/>
  <c r="J113"/>
  <c r="J80"/>
  <c r="J82"/>
  <c r="J79"/>
  <c r="J81"/>
  <c r="D81" s="1"/>
  <c r="J78"/>
  <c r="D78" s="1"/>
  <c r="B14" i="43"/>
  <c r="B205" s="1"/>
  <c r="C4" i="44"/>
  <c r="F4"/>
  <c r="I4"/>
  <c r="C30"/>
  <c r="D61"/>
  <c r="P75"/>
  <c r="C76"/>
  <c r="F76"/>
  <c r="I76"/>
  <c r="C92" a="1"/>
  <c r="C92" s="1"/>
  <c r="C94" s="1"/>
  <c r="M161"/>
  <c r="G161"/>
  <c r="D161"/>
  <c r="A161"/>
  <c r="J162"/>
  <c r="K161"/>
  <c r="H161"/>
  <c r="E161"/>
  <c r="B161"/>
  <c r="L161"/>
  <c r="I161"/>
  <c r="F161"/>
  <c r="C161"/>
  <c r="B70" i="43"/>
  <c r="B208" s="1"/>
  <c r="B4" i="44"/>
  <c r="E4"/>
  <c r="H4"/>
  <c r="B30"/>
  <c r="E76"/>
  <c r="C33" i="43"/>
  <c r="D4" i="44"/>
  <c r="D25"/>
  <c r="E111"/>
  <c r="H111"/>
  <c r="E133"/>
  <c r="H133"/>
  <c r="D159"/>
  <c r="G159"/>
  <c r="M160"/>
  <c r="D183"/>
  <c r="G183"/>
  <c r="B202"/>
  <c r="E202"/>
  <c r="H202"/>
  <c r="B204"/>
  <c r="E204"/>
  <c r="H204"/>
  <c r="E97"/>
  <c r="H97"/>
  <c r="D111"/>
  <c r="G111"/>
  <c r="P111"/>
  <c r="S111"/>
  <c r="D133"/>
  <c r="G133"/>
  <c r="B147"/>
  <c r="E147"/>
  <c r="H147"/>
  <c r="C159"/>
  <c r="F159"/>
  <c r="I159"/>
  <c r="C160"/>
  <c r="L160"/>
  <c r="C183"/>
  <c r="F183"/>
  <c r="I183"/>
  <c r="I152"/>
  <c r="I22" s="1"/>
  <c r="D202"/>
  <c r="G202"/>
  <c r="D204"/>
  <c r="G204"/>
  <c r="D97"/>
  <c r="C111"/>
  <c r="F111"/>
  <c r="O111"/>
  <c r="C113"/>
  <c r="C114"/>
  <c r="C115"/>
  <c r="C116"/>
  <c r="C117"/>
  <c r="C118"/>
  <c r="C133"/>
  <c r="F133"/>
  <c r="D147"/>
  <c r="B159"/>
  <c r="E159"/>
  <c r="B160"/>
  <c r="K160"/>
  <c r="B183"/>
  <c r="E183"/>
  <c r="C202"/>
  <c r="C204"/>
  <c r="F204"/>
  <c r="B36" i="43"/>
  <c r="J118"/>
  <c r="J117"/>
  <c r="J116"/>
  <c r="J115"/>
  <c r="J114"/>
  <c r="J113"/>
  <c r="J82"/>
  <c r="J81"/>
  <c r="J80"/>
  <c r="J79"/>
  <c r="J78"/>
  <c r="J77"/>
  <c r="H61"/>
  <c r="E61"/>
  <c r="B61"/>
  <c r="I61"/>
  <c r="F61"/>
  <c r="C61"/>
  <c r="T75"/>
  <c r="Q75"/>
  <c r="N75"/>
  <c r="R75"/>
  <c r="O75"/>
  <c r="C77"/>
  <c r="C78"/>
  <c r="N78" s="1"/>
  <c r="C79"/>
  <c r="N79" s="1"/>
  <c r="C80"/>
  <c r="N80" s="1"/>
  <c r="C81"/>
  <c r="N81" s="1"/>
  <c r="C82"/>
  <c r="N82" s="1"/>
  <c r="C14"/>
  <c r="C205" s="1"/>
  <c r="G149"/>
  <c r="I111"/>
  <c r="F111"/>
  <c r="C111"/>
  <c r="G111"/>
  <c r="D111"/>
  <c r="C113"/>
  <c r="C114"/>
  <c r="C115"/>
  <c r="C116"/>
  <c r="C117"/>
  <c r="C118"/>
  <c r="H183"/>
  <c r="E183"/>
  <c r="B183"/>
  <c r="I183"/>
  <c r="F183"/>
  <c r="C183"/>
  <c r="C14" i="42"/>
  <c r="C205" s="1"/>
  <c r="E76" i="43"/>
  <c r="H76"/>
  <c r="I133"/>
  <c r="F133"/>
  <c r="C133"/>
  <c r="G133"/>
  <c r="D133"/>
  <c r="H159"/>
  <c r="E159"/>
  <c r="B159"/>
  <c r="I159"/>
  <c r="F159"/>
  <c r="C159"/>
  <c r="J161"/>
  <c r="K160"/>
  <c r="B160"/>
  <c r="L160"/>
  <c r="C160"/>
  <c r="C33" i="41"/>
  <c r="B14" i="42"/>
  <c r="B205" s="1"/>
  <c r="C33"/>
  <c r="D4" i="43"/>
  <c r="D76"/>
  <c r="H111"/>
  <c r="D155"/>
  <c r="G183"/>
  <c r="E97"/>
  <c r="H97"/>
  <c r="P111"/>
  <c r="S111"/>
  <c r="B147"/>
  <c r="E147"/>
  <c r="H147"/>
  <c r="D202"/>
  <c r="G202"/>
  <c r="D204"/>
  <c r="G204"/>
  <c r="D97"/>
  <c r="O111"/>
  <c r="D147"/>
  <c r="C202"/>
  <c r="C204"/>
  <c r="F204"/>
  <c r="J118" i="42"/>
  <c r="J117"/>
  <c r="J116"/>
  <c r="J115"/>
  <c r="J114"/>
  <c r="J113"/>
  <c r="J82"/>
  <c r="J81"/>
  <c r="J80"/>
  <c r="J79"/>
  <c r="J78"/>
  <c r="J77"/>
  <c r="C30"/>
  <c r="D61"/>
  <c r="G61"/>
  <c r="P75"/>
  <c r="S75"/>
  <c r="M161"/>
  <c r="G161"/>
  <c r="D161"/>
  <c r="A161"/>
  <c r="J162"/>
  <c r="K161"/>
  <c r="H161"/>
  <c r="E161"/>
  <c r="B161"/>
  <c r="L161"/>
  <c r="I161"/>
  <c r="F161"/>
  <c r="C161"/>
  <c r="C14" i="41"/>
  <c r="C205" s="1"/>
  <c r="B4" i="42"/>
  <c r="E4"/>
  <c r="H4"/>
  <c r="B30"/>
  <c r="C61"/>
  <c r="F61"/>
  <c r="I61"/>
  <c r="O75"/>
  <c r="R75"/>
  <c r="E76"/>
  <c r="B14" i="40"/>
  <c r="B205" s="1"/>
  <c r="C30" i="41"/>
  <c r="D4" i="42"/>
  <c r="B61"/>
  <c r="E61"/>
  <c r="N75"/>
  <c r="Q75"/>
  <c r="C77"/>
  <c r="N77" s="1"/>
  <c r="C78"/>
  <c r="N78" s="1"/>
  <c r="C79"/>
  <c r="N79" s="1"/>
  <c r="C80"/>
  <c r="N80" s="1"/>
  <c r="C81"/>
  <c r="N81" s="1"/>
  <c r="C82"/>
  <c r="N82" s="1"/>
  <c r="E111"/>
  <c r="H111"/>
  <c r="E133"/>
  <c r="H133"/>
  <c r="D159"/>
  <c r="G159"/>
  <c r="M160"/>
  <c r="D183"/>
  <c r="G183"/>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41"/>
  <c r="J117"/>
  <c r="J116"/>
  <c r="J115"/>
  <c r="J114"/>
  <c r="J113"/>
  <c r="J82"/>
  <c r="J81"/>
  <c r="J80"/>
  <c r="J79"/>
  <c r="J78"/>
  <c r="J77"/>
  <c r="B36"/>
  <c r="B64"/>
  <c r="M161"/>
  <c r="G161"/>
  <c r="D161"/>
  <c r="A161"/>
  <c r="J162"/>
  <c r="K161"/>
  <c r="H161"/>
  <c r="E161"/>
  <c r="B161"/>
  <c r="L161"/>
  <c r="I161"/>
  <c r="F161"/>
  <c r="C161"/>
  <c r="C14" i="39"/>
  <c r="C205" s="1"/>
  <c r="D4" i="41"/>
  <c r="B14"/>
  <c r="B61"/>
  <c r="E61"/>
  <c r="H61"/>
  <c r="N75"/>
  <c r="Q75"/>
  <c r="T75"/>
  <c r="D76"/>
  <c r="G76"/>
  <c r="C77"/>
  <c r="N77" s="1"/>
  <c r="C78"/>
  <c r="N78" s="1"/>
  <c r="C79"/>
  <c r="N79" s="1"/>
  <c r="C80"/>
  <c r="N80" s="1"/>
  <c r="C81"/>
  <c r="N81" s="1"/>
  <c r="C82"/>
  <c r="N82" s="1"/>
  <c r="C25"/>
  <c r="D61"/>
  <c r="G61"/>
  <c r="P75"/>
  <c r="S75"/>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E151"/>
  <c r="E21" s="1"/>
  <c r="G153"/>
  <c r="G23" s="1"/>
  <c r="D202"/>
  <c r="G202"/>
  <c r="D204"/>
  <c r="G204"/>
  <c r="D97"/>
  <c r="C111"/>
  <c r="F111"/>
  <c r="O111"/>
  <c r="C113"/>
  <c r="C114"/>
  <c r="C115"/>
  <c r="C116"/>
  <c r="C117"/>
  <c r="C118"/>
  <c r="C133"/>
  <c r="F133"/>
  <c r="D147"/>
  <c r="B159"/>
  <c r="E159"/>
  <c r="B160"/>
  <c r="K160"/>
  <c r="B183"/>
  <c r="E183"/>
  <c r="C202"/>
  <c r="C204"/>
  <c r="F204"/>
  <c r="J118" i="40"/>
  <c r="J115"/>
  <c r="J116"/>
  <c r="J113"/>
  <c r="J117"/>
  <c r="J114"/>
  <c r="J82"/>
  <c r="J81"/>
  <c r="J80"/>
  <c r="J79"/>
  <c r="J78"/>
  <c r="J77"/>
  <c r="T111"/>
  <c r="Q111"/>
  <c r="N111"/>
  <c r="R111"/>
  <c r="O111"/>
  <c r="J161"/>
  <c r="M160"/>
  <c r="D160"/>
  <c r="A160"/>
  <c r="K160"/>
  <c r="B160"/>
  <c r="B4"/>
  <c r="E4"/>
  <c r="H4"/>
  <c r="C14"/>
  <c r="C205" s="1"/>
  <c r="B30"/>
  <c r="E76"/>
  <c r="H76"/>
  <c r="C88" a="1"/>
  <c r="C88" s="1"/>
  <c r="C100" s="1"/>
  <c r="C155"/>
  <c r="C91" a="1"/>
  <c r="C91" s="1"/>
  <c r="C103" s="1"/>
  <c r="C93" a="1"/>
  <c r="C93" s="1"/>
  <c r="C90" a="1"/>
  <c r="C90" s="1"/>
  <c r="C102" s="1"/>
  <c r="C87" a="1"/>
  <c r="C87" s="1"/>
  <c r="C99" s="1"/>
  <c r="I97"/>
  <c r="F97"/>
  <c r="C97"/>
  <c r="G97"/>
  <c r="D97"/>
  <c r="H183"/>
  <c r="E183"/>
  <c r="B183"/>
  <c r="I183"/>
  <c r="F183"/>
  <c r="C183"/>
  <c r="D4"/>
  <c r="G4"/>
  <c r="D25"/>
  <c r="H150"/>
  <c r="H20" s="1"/>
  <c r="B14" i="109"/>
  <c r="B205" s="1"/>
  <c r="C14" i="129"/>
  <c r="C205" s="1"/>
  <c r="F14"/>
  <c r="F205" s="1"/>
  <c r="I14"/>
  <c r="I205" s="1"/>
  <c r="B14" i="38"/>
  <c r="B205" s="1"/>
  <c r="C33"/>
  <c r="C4" i="40"/>
  <c r="F4"/>
  <c r="D61"/>
  <c r="P75"/>
  <c r="C76"/>
  <c r="F76"/>
  <c r="H97"/>
  <c r="P111"/>
  <c r="G183"/>
  <c r="C111"/>
  <c r="F111"/>
  <c r="I111"/>
  <c r="C113"/>
  <c r="C114"/>
  <c r="C115"/>
  <c r="C116"/>
  <c r="C117"/>
  <c r="C118"/>
  <c r="I133"/>
  <c r="D147"/>
  <c r="G147"/>
  <c r="B159"/>
  <c r="E159"/>
  <c r="H159"/>
  <c r="D202"/>
  <c r="G202"/>
  <c r="D204"/>
  <c r="G204"/>
  <c r="E111"/>
  <c r="E133"/>
  <c r="C147"/>
  <c r="F147"/>
  <c r="D159"/>
  <c r="C202"/>
  <c r="C204"/>
  <c r="F204"/>
  <c r="B36" i="39"/>
  <c r="B64"/>
  <c r="J118"/>
  <c r="J117"/>
  <c r="J116"/>
  <c r="J115"/>
  <c r="J114"/>
  <c r="J113"/>
  <c r="J82"/>
  <c r="J81"/>
  <c r="J80"/>
  <c r="J79"/>
  <c r="J78"/>
  <c r="J77"/>
  <c r="D4"/>
  <c r="G4"/>
  <c r="B14"/>
  <c r="B61"/>
  <c r="E61"/>
  <c r="H61"/>
  <c r="N75"/>
  <c r="Q75"/>
  <c r="T75"/>
  <c r="D76"/>
  <c r="G76"/>
  <c r="C77"/>
  <c r="C78"/>
  <c r="N78" s="1"/>
  <c r="C79"/>
  <c r="N79" s="1"/>
  <c r="C80"/>
  <c r="N80" s="1"/>
  <c r="C81"/>
  <c r="N81" s="1"/>
  <c r="C82"/>
  <c r="N82" s="1"/>
  <c r="C30"/>
  <c r="D61"/>
  <c r="G61"/>
  <c r="P75"/>
  <c r="S75"/>
  <c r="M161"/>
  <c r="G161"/>
  <c r="D161"/>
  <c r="A161"/>
  <c r="J162"/>
  <c r="K161"/>
  <c r="H161"/>
  <c r="E161"/>
  <c r="B161"/>
  <c r="L161"/>
  <c r="I161"/>
  <c r="F161"/>
  <c r="C161"/>
  <c r="B4"/>
  <c r="E4"/>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38"/>
  <c r="J117"/>
  <c r="J116"/>
  <c r="J115"/>
  <c r="J114"/>
  <c r="J113"/>
  <c r="J82"/>
  <c r="J81"/>
  <c r="J80"/>
  <c r="J79"/>
  <c r="J78"/>
  <c r="J77"/>
  <c r="B4"/>
  <c r="E4"/>
  <c r="H4"/>
  <c r="C14"/>
  <c r="C205" s="1"/>
  <c r="B30"/>
  <c r="C61"/>
  <c r="F61"/>
  <c r="I61"/>
  <c r="O75"/>
  <c r="R75"/>
  <c r="E76"/>
  <c r="M161"/>
  <c r="G161"/>
  <c r="D161"/>
  <c r="A161"/>
  <c r="J162"/>
  <c r="K161"/>
  <c r="H161"/>
  <c r="E161"/>
  <c r="B161"/>
  <c r="L161"/>
  <c r="I161"/>
  <c r="F161"/>
  <c r="C161"/>
  <c r="B14" i="32"/>
  <c r="C33"/>
  <c r="D4" i="38"/>
  <c r="B61"/>
  <c r="E61"/>
  <c r="H61"/>
  <c r="N75"/>
  <c r="Q75"/>
  <c r="T75"/>
  <c r="C77"/>
  <c r="C78"/>
  <c r="N78" s="1"/>
  <c r="C79"/>
  <c r="N79" s="1"/>
  <c r="C80"/>
  <c r="N80" s="1"/>
  <c r="C81"/>
  <c r="N81" s="1"/>
  <c r="C82"/>
  <c r="N82" s="1"/>
  <c r="D61"/>
  <c r="P75"/>
  <c r="E111"/>
  <c r="H111"/>
  <c r="E133"/>
  <c r="H133"/>
  <c r="D159"/>
  <c r="G159"/>
  <c r="M160"/>
  <c r="D183"/>
  <c r="G183"/>
  <c r="H150"/>
  <c r="H20" s="1"/>
  <c r="B202"/>
  <c r="E202"/>
  <c r="H202"/>
  <c r="B204"/>
  <c r="E204"/>
  <c r="H204"/>
  <c r="E97"/>
  <c r="H97"/>
  <c r="D111"/>
  <c r="G111"/>
  <c r="P111"/>
  <c r="S111"/>
  <c r="D133"/>
  <c r="G133"/>
  <c r="B147"/>
  <c r="E147"/>
  <c r="H147"/>
  <c r="C159"/>
  <c r="F159"/>
  <c r="I159"/>
  <c r="C160"/>
  <c r="L160"/>
  <c r="C183"/>
  <c r="F183"/>
  <c r="I183"/>
  <c r="D202"/>
  <c r="G202"/>
  <c r="D204"/>
  <c r="G204"/>
  <c r="D97"/>
  <c r="C111"/>
  <c r="F111"/>
  <c r="C113"/>
  <c r="C114"/>
  <c r="C115"/>
  <c r="C116"/>
  <c r="C117"/>
  <c r="C118"/>
  <c r="C133"/>
  <c r="F133"/>
  <c r="D147"/>
  <c r="B159"/>
  <c r="E159"/>
  <c r="B160"/>
  <c r="K160"/>
  <c r="B183"/>
  <c r="E183"/>
  <c r="C202"/>
  <c r="C204"/>
  <c r="F204"/>
  <c r="J118" i="32"/>
  <c r="J117"/>
  <c r="J116"/>
  <c r="J115"/>
  <c r="J114"/>
  <c r="J113"/>
  <c r="J82"/>
  <c r="J81"/>
  <c r="J80"/>
  <c r="J79"/>
  <c r="J78"/>
  <c r="J77"/>
  <c r="B4"/>
  <c r="E4"/>
  <c r="H4"/>
  <c r="C14"/>
  <c r="B30"/>
  <c r="C61"/>
  <c r="F61"/>
  <c r="I61"/>
  <c r="O75"/>
  <c r="R75"/>
  <c r="E76"/>
  <c r="M161"/>
  <c r="G161"/>
  <c r="D161"/>
  <c r="A161"/>
  <c r="J162"/>
  <c r="K161"/>
  <c r="H161"/>
  <c r="E161"/>
  <c r="B161"/>
  <c r="L161"/>
  <c r="I161"/>
  <c r="F161"/>
  <c r="C161"/>
  <c r="D14" i="129"/>
  <c r="D205" s="1"/>
  <c r="G14"/>
  <c r="G205" s="1"/>
  <c r="D35"/>
  <c r="D4" i="32"/>
  <c r="B61"/>
  <c r="E61"/>
  <c r="H61"/>
  <c r="N75"/>
  <c r="Q75"/>
  <c r="T75"/>
  <c r="C77"/>
  <c r="N77" s="1"/>
  <c r="C78"/>
  <c r="N78" s="1"/>
  <c r="C79"/>
  <c r="N79" s="1"/>
  <c r="C80"/>
  <c r="N80" s="1"/>
  <c r="C81"/>
  <c r="N81" s="1"/>
  <c r="C82"/>
  <c r="N82" s="1"/>
  <c r="D61"/>
  <c r="P75"/>
  <c r="E111"/>
  <c r="H111"/>
  <c r="E133"/>
  <c r="H133"/>
  <c r="D159"/>
  <c r="G159"/>
  <c r="M160"/>
  <c r="D183"/>
  <c r="G183"/>
  <c r="H150"/>
  <c r="H20"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B36" i="129"/>
  <c r="B64"/>
  <c r="J118"/>
  <c r="J117"/>
  <c r="J116"/>
  <c r="J115"/>
  <c r="J114"/>
  <c r="J113"/>
  <c r="J82"/>
  <c r="J81"/>
  <c r="J80"/>
  <c r="J79"/>
  <c r="J78"/>
  <c r="J77"/>
  <c r="B14" i="128"/>
  <c r="B205" s="1"/>
  <c r="E14"/>
  <c r="E205" s="1"/>
  <c r="H14"/>
  <c r="H205" s="1"/>
  <c r="C30"/>
  <c r="F30"/>
  <c r="I30"/>
  <c r="C33"/>
  <c r="F33"/>
  <c r="I33"/>
  <c r="D4" i="129"/>
  <c r="B14"/>
  <c r="E14"/>
  <c r="E205" s="1"/>
  <c r="H14"/>
  <c r="H205" s="1"/>
  <c r="D30"/>
  <c r="B61"/>
  <c r="E61"/>
  <c r="H61"/>
  <c r="N75"/>
  <c r="Q75"/>
  <c r="T75"/>
  <c r="D76"/>
  <c r="G76"/>
  <c r="C77"/>
  <c r="N77" s="1"/>
  <c r="C78"/>
  <c r="N78" s="1"/>
  <c r="C79"/>
  <c r="N79" s="1"/>
  <c r="C80"/>
  <c r="N80" s="1"/>
  <c r="C81"/>
  <c r="N81" s="1"/>
  <c r="C82"/>
  <c r="N82" s="1"/>
  <c r="M161"/>
  <c r="G161"/>
  <c r="D161"/>
  <c r="A161"/>
  <c r="J162"/>
  <c r="K161"/>
  <c r="H161"/>
  <c r="E161"/>
  <c r="B161"/>
  <c r="L161"/>
  <c r="I161"/>
  <c r="F161"/>
  <c r="C161"/>
  <c r="C30"/>
  <c r="D61"/>
  <c r="G61"/>
  <c r="P75"/>
  <c r="S75"/>
  <c r="C14" i="128"/>
  <c r="C205" s="1"/>
  <c r="F14"/>
  <c r="F205" s="1"/>
  <c r="I14"/>
  <c r="I205" s="1"/>
  <c r="C61" i="129"/>
  <c r="F61"/>
  <c r="O75"/>
  <c r="E76"/>
  <c r="E111"/>
  <c r="H111"/>
  <c r="E133"/>
  <c r="H133"/>
  <c r="D159"/>
  <c r="G159"/>
  <c r="M160"/>
  <c r="D183"/>
  <c r="G183"/>
  <c r="F154"/>
  <c r="F24" s="1"/>
  <c r="F35" s="1"/>
  <c r="B202"/>
  <c r="E202"/>
  <c r="H202"/>
  <c r="B204"/>
  <c r="E204"/>
  <c r="H204"/>
  <c r="E97"/>
  <c r="H97"/>
  <c r="D111"/>
  <c r="G111"/>
  <c r="P111"/>
  <c r="D133"/>
  <c r="G133"/>
  <c r="B147"/>
  <c r="E147"/>
  <c r="H147"/>
  <c r="C159"/>
  <c r="F159"/>
  <c r="I159"/>
  <c r="C160"/>
  <c r="L160"/>
  <c r="C183"/>
  <c r="F183"/>
  <c r="I183"/>
  <c r="D202"/>
  <c r="G202"/>
  <c r="D204"/>
  <c r="G204"/>
  <c r="D97"/>
  <c r="C111"/>
  <c r="F111"/>
  <c r="C113"/>
  <c r="C114"/>
  <c r="C115"/>
  <c r="C116"/>
  <c r="C117"/>
  <c r="C118"/>
  <c r="C133"/>
  <c r="F133"/>
  <c r="D147"/>
  <c r="B159"/>
  <c r="E159"/>
  <c r="B160"/>
  <c r="K160"/>
  <c r="B183"/>
  <c r="E183"/>
  <c r="C202"/>
  <c r="C204"/>
  <c r="F204"/>
  <c r="J82" i="128"/>
  <c r="J81"/>
  <c r="J80"/>
  <c r="J79"/>
  <c r="J78"/>
  <c r="J118"/>
  <c r="J117"/>
  <c r="J116"/>
  <c r="J115"/>
  <c r="J114"/>
  <c r="J113"/>
  <c r="J77"/>
  <c r="G97"/>
  <c r="D97"/>
  <c r="I97"/>
  <c r="F97"/>
  <c r="C97"/>
  <c r="I127" a="1"/>
  <c r="I127" s="1"/>
  <c r="I124" a="1"/>
  <c r="I124" s="1"/>
  <c r="I129" a="1"/>
  <c r="I129" s="1"/>
  <c r="I126" a="1"/>
  <c r="I126" s="1"/>
  <c r="I123" a="1"/>
  <c r="I123" s="1"/>
  <c r="I125" a="1"/>
  <c r="I125" s="1"/>
  <c r="I122" a="1"/>
  <c r="I122" s="1"/>
  <c r="D14"/>
  <c r="D205" s="1"/>
  <c r="G14"/>
  <c r="G205" s="1"/>
  <c r="C25"/>
  <c r="F25"/>
  <c r="I25"/>
  <c r="D61"/>
  <c r="G61"/>
  <c r="P75"/>
  <c r="S75"/>
  <c r="C14" i="127"/>
  <c r="C205" s="1"/>
  <c r="B30" i="128"/>
  <c r="E30"/>
  <c r="H30"/>
  <c r="C61"/>
  <c r="F61"/>
  <c r="I61"/>
  <c r="O75"/>
  <c r="R75"/>
  <c r="E76"/>
  <c r="H76"/>
  <c r="H97"/>
  <c r="R111"/>
  <c r="O111"/>
  <c r="T111"/>
  <c r="Q111"/>
  <c r="N111"/>
  <c r="J161"/>
  <c r="K160"/>
  <c r="H160"/>
  <c r="E160"/>
  <c r="B160"/>
  <c r="L160"/>
  <c r="I160"/>
  <c r="F160"/>
  <c r="C160"/>
  <c r="M160"/>
  <c r="G160"/>
  <c r="D160"/>
  <c r="A160"/>
  <c r="C14" i="109"/>
  <c r="C205" s="1"/>
  <c r="B14" i="127"/>
  <c r="B205" s="1"/>
  <c r="D4" i="128"/>
  <c r="B61"/>
  <c r="E61"/>
  <c r="N75"/>
  <c r="Q75"/>
  <c r="D76"/>
  <c r="C77"/>
  <c r="C78"/>
  <c r="N78" s="1"/>
  <c r="C79"/>
  <c r="N79" s="1"/>
  <c r="C80"/>
  <c r="N80" s="1"/>
  <c r="C81"/>
  <c r="N81" s="1"/>
  <c r="C82"/>
  <c r="N82" s="1"/>
  <c r="E97"/>
  <c r="N119"/>
  <c r="Q119"/>
  <c r="T119"/>
  <c r="E111"/>
  <c r="H111"/>
  <c r="E133"/>
  <c r="C147"/>
  <c r="F147"/>
  <c r="I147"/>
  <c r="D159"/>
  <c r="G159"/>
  <c r="D183"/>
  <c r="G183"/>
  <c r="B202"/>
  <c r="E202"/>
  <c r="H202"/>
  <c r="B204"/>
  <c r="E204"/>
  <c r="H204"/>
  <c r="D202"/>
  <c r="G202"/>
  <c r="D204"/>
  <c r="G204"/>
  <c r="C111"/>
  <c r="F111"/>
  <c r="C113"/>
  <c r="F113"/>
  <c r="C114"/>
  <c r="F114"/>
  <c r="C115"/>
  <c r="F115"/>
  <c r="C116"/>
  <c r="F116"/>
  <c r="C117"/>
  <c r="F117"/>
  <c r="C118"/>
  <c r="F118"/>
  <c r="D147"/>
  <c r="B159"/>
  <c r="E159"/>
  <c r="B183"/>
  <c r="E183"/>
  <c r="C202"/>
  <c r="C204"/>
  <c r="F204"/>
  <c r="J118" i="127"/>
  <c r="J117"/>
  <c r="J116"/>
  <c r="J115"/>
  <c r="J114"/>
  <c r="J113"/>
  <c r="J82"/>
  <c r="J81"/>
  <c r="J80"/>
  <c r="J79"/>
  <c r="J78"/>
  <c r="J77"/>
  <c r="C30"/>
  <c r="D61"/>
  <c r="G61"/>
  <c r="P75"/>
  <c r="S75"/>
  <c r="B30"/>
  <c r="C61"/>
  <c r="F61"/>
  <c r="I61"/>
  <c r="O75"/>
  <c r="R75"/>
  <c r="E76"/>
  <c r="H76"/>
  <c r="M161"/>
  <c r="G161"/>
  <c r="D161"/>
  <c r="A161"/>
  <c r="J162"/>
  <c r="K161"/>
  <c r="H161"/>
  <c r="E161"/>
  <c r="B161"/>
  <c r="L161"/>
  <c r="I161"/>
  <c r="F161"/>
  <c r="C161"/>
  <c r="B14" i="102"/>
  <c r="B205" s="1"/>
  <c r="D4" i="127"/>
  <c r="B61"/>
  <c r="E61"/>
  <c r="N75"/>
  <c r="Q75"/>
  <c r="D76"/>
  <c r="C77"/>
  <c r="C78"/>
  <c r="N78" s="1"/>
  <c r="C79"/>
  <c r="N79" s="1"/>
  <c r="C80"/>
  <c r="N80" s="1"/>
  <c r="C81"/>
  <c r="N81" s="1"/>
  <c r="C82"/>
  <c r="N82" s="1"/>
  <c r="E111"/>
  <c r="H111"/>
  <c r="E133"/>
  <c r="H133"/>
  <c r="D159"/>
  <c r="G159"/>
  <c r="M160"/>
  <c r="D183"/>
  <c r="G183"/>
  <c r="F154"/>
  <c r="F24"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4"/>
  <c r="F204"/>
  <c r="J118" i="109"/>
  <c r="J117"/>
  <c r="J116"/>
  <c r="J115"/>
  <c r="J114"/>
  <c r="J113"/>
  <c r="J82"/>
  <c r="J81"/>
  <c r="J80"/>
  <c r="J79"/>
  <c r="J78"/>
  <c r="J77"/>
  <c r="M160"/>
  <c r="G160"/>
  <c r="D160"/>
  <c r="A160"/>
  <c r="J161"/>
  <c r="K160"/>
  <c r="H160"/>
  <c r="E160"/>
  <c r="B160"/>
  <c r="L160"/>
  <c r="I160"/>
  <c r="F160"/>
  <c r="C160"/>
  <c r="C30"/>
  <c r="D61"/>
  <c r="G61"/>
  <c r="P75"/>
  <c r="S75"/>
  <c r="C14" i="108"/>
  <c r="C205" s="1"/>
  <c r="B30" i="109"/>
  <c r="C61"/>
  <c r="F61"/>
  <c r="I61"/>
  <c r="O75"/>
  <c r="R75"/>
  <c r="E76"/>
  <c r="H76"/>
  <c r="D4"/>
  <c r="B61"/>
  <c r="E61"/>
  <c r="N75"/>
  <c r="Q75"/>
  <c r="D76"/>
  <c r="C77"/>
  <c r="N77" s="1"/>
  <c r="C78"/>
  <c r="N78" s="1"/>
  <c r="C79"/>
  <c r="N79" s="1"/>
  <c r="C80"/>
  <c r="N80" s="1"/>
  <c r="C81"/>
  <c r="N81" s="1"/>
  <c r="C82"/>
  <c r="N82" s="1"/>
  <c r="E97"/>
  <c r="H97"/>
  <c r="D111"/>
  <c r="G111"/>
  <c r="P111"/>
  <c r="S111"/>
  <c r="D133"/>
  <c r="G133"/>
  <c r="E147"/>
  <c r="H147"/>
  <c r="C159"/>
  <c r="F159"/>
  <c r="I159"/>
  <c r="D97"/>
  <c r="C111"/>
  <c r="F111"/>
  <c r="I111"/>
  <c r="O111"/>
  <c r="C113"/>
  <c r="C114"/>
  <c r="C115"/>
  <c r="C116"/>
  <c r="C117"/>
  <c r="D117" s="1"/>
  <c r="C118"/>
  <c r="C133"/>
  <c r="F133"/>
  <c r="I133"/>
  <c r="D147"/>
  <c r="G147"/>
  <c r="B159"/>
  <c r="E159"/>
  <c r="H159"/>
  <c r="B183"/>
  <c r="E183"/>
  <c r="H183"/>
  <c r="D202"/>
  <c r="G202"/>
  <c r="D204"/>
  <c r="G204"/>
  <c r="E111"/>
  <c r="E133"/>
  <c r="C147"/>
  <c r="F147"/>
  <c r="D159"/>
  <c r="D183"/>
  <c r="C202"/>
  <c r="C204"/>
  <c r="F204"/>
  <c r="J118" i="108"/>
  <c r="J117"/>
  <c r="J116"/>
  <c r="J115"/>
  <c r="J114"/>
  <c r="J113"/>
  <c r="J82"/>
  <c r="J81"/>
  <c r="J80"/>
  <c r="J79"/>
  <c r="J78"/>
  <c r="J77"/>
  <c r="B36"/>
  <c r="B64"/>
  <c r="B14" i="101"/>
  <c r="B205" s="1"/>
  <c r="D4" i="108"/>
  <c r="B14"/>
  <c r="B61"/>
  <c r="E61"/>
  <c r="H61"/>
  <c r="N75"/>
  <c r="Q75"/>
  <c r="T75"/>
  <c r="D76"/>
  <c r="G76"/>
  <c r="C77"/>
  <c r="C78"/>
  <c r="N78" s="1"/>
  <c r="C79"/>
  <c r="N79" s="1"/>
  <c r="C80"/>
  <c r="N80" s="1"/>
  <c r="C81"/>
  <c r="N81" s="1"/>
  <c r="C82"/>
  <c r="N82" s="1"/>
  <c r="M161"/>
  <c r="G161"/>
  <c r="D161"/>
  <c r="A161"/>
  <c r="J162"/>
  <c r="K161"/>
  <c r="H161"/>
  <c r="E161"/>
  <c r="B161"/>
  <c r="L161"/>
  <c r="I161"/>
  <c r="F161"/>
  <c r="C161"/>
  <c r="C30"/>
  <c r="D61"/>
  <c r="G61"/>
  <c r="P75"/>
  <c r="S75"/>
  <c r="C61"/>
  <c r="F61"/>
  <c r="O75"/>
  <c r="E76"/>
  <c r="E111"/>
  <c r="H111"/>
  <c r="E133"/>
  <c r="H133"/>
  <c r="D159"/>
  <c r="G159"/>
  <c r="M160"/>
  <c r="D183"/>
  <c r="G183"/>
  <c r="E153"/>
  <c r="E23" s="1"/>
  <c r="B202"/>
  <c r="E202"/>
  <c r="H202"/>
  <c r="B204"/>
  <c r="E204"/>
  <c r="H204"/>
  <c r="E97"/>
  <c r="H97"/>
  <c r="D111"/>
  <c r="G111"/>
  <c r="P111"/>
  <c r="D133"/>
  <c r="G133"/>
  <c r="B147"/>
  <c r="E147"/>
  <c r="H147"/>
  <c r="C159"/>
  <c r="F159"/>
  <c r="I159"/>
  <c r="C160"/>
  <c r="L160"/>
  <c r="C183"/>
  <c r="F183"/>
  <c r="I183"/>
  <c r="H151"/>
  <c r="H21" s="1"/>
  <c r="D202"/>
  <c r="G202"/>
  <c r="D204"/>
  <c r="G204"/>
  <c r="D97"/>
  <c r="C111"/>
  <c r="F111"/>
  <c r="C113"/>
  <c r="C114"/>
  <c r="C115"/>
  <c r="C116"/>
  <c r="C117"/>
  <c r="C118"/>
  <c r="C133"/>
  <c r="F133"/>
  <c r="D147"/>
  <c r="B159"/>
  <c r="E159"/>
  <c r="B160"/>
  <c r="K160"/>
  <c r="B183"/>
  <c r="E183"/>
  <c r="G151"/>
  <c r="G21" s="1"/>
  <c r="C202"/>
  <c r="C204"/>
  <c r="F204"/>
  <c r="J118" i="102"/>
  <c r="J117"/>
  <c r="J116"/>
  <c r="J115"/>
  <c r="J114"/>
  <c r="J113"/>
  <c r="J82"/>
  <c r="J81"/>
  <c r="J80"/>
  <c r="J79"/>
  <c r="J78"/>
  <c r="J77"/>
  <c r="B4"/>
  <c r="E4"/>
  <c r="H4"/>
  <c r="C14"/>
  <c r="C205" s="1"/>
  <c r="B30"/>
  <c r="C61"/>
  <c r="F61"/>
  <c r="I61"/>
  <c r="O75"/>
  <c r="R75"/>
  <c r="E76"/>
  <c r="H76"/>
  <c r="C14" i="101"/>
  <c r="C205" s="1"/>
  <c r="D4" i="102"/>
  <c r="B61"/>
  <c r="E61"/>
  <c r="H61"/>
  <c r="N75"/>
  <c r="Q75"/>
  <c r="T75"/>
  <c r="D76"/>
  <c r="C77"/>
  <c r="C78"/>
  <c r="N78" s="1"/>
  <c r="C79"/>
  <c r="N79" s="1"/>
  <c r="C80"/>
  <c r="N80" s="1"/>
  <c r="C81"/>
  <c r="N81" s="1"/>
  <c r="C82"/>
  <c r="N82" s="1"/>
  <c r="M161"/>
  <c r="G161"/>
  <c r="D161"/>
  <c r="A161"/>
  <c r="J162"/>
  <c r="K161"/>
  <c r="H161"/>
  <c r="E161"/>
  <c r="B161"/>
  <c r="L161"/>
  <c r="I161"/>
  <c r="F161"/>
  <c r="C161"/>
  <c r="B14" i="99"/>
  <c r="B205" s="1"/>
  <c r="B14" i="100"/>
  <c r="B205" s="1"/>
  <c r="D61" i="102"/>
  <c r="P75"/>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G151"/>
  <c r="G21" s="1"/>
  <c r="C202"/>
  <c r="C204"/>
  <c r="F204"/>
  <c r="J118" i="101"/>
  <c r="J117"/>
  <c r="J116"/>
  <c r="J115"/>
  <c r="J114"/>
  <c r="J113"/>
  <c r="J82"/>
  <c r="J81"/>
  <c r="J80"/>
  <c r="J79"/>
  <c r="J78"/>
  <c r="D78" s="1"/>
  <c r="J77"/>
  <c r="D77" s="1"/>
  <c r="O77" s="1"/>
  <c r="M161"/>
  <c r="G161"/>
  <c r="D161"/>
  <c r="A161"/>
  <c r="J162"/>
  <c r="K161"/>
  <c r="H161"/>
  <c r="E161"/>
  <c r="B161"/>
  <c r="L161"/>
  <c r="I161"/>
  <c r="F161"/>
  <c r="C161"/>
  <c r="B30" i="100"/>
  <c r="B64" s="1"/>
  <c r="C4" i="101"/>
  <c r="F4"/>
  <c r="I4"/>
  <c r="C30"/>
  <c r="D61"/>
  <c r="G61"/>
  <c r="P75"/>
  <c r="S75"/>
  <c r="I76"/>
  <c r="B4"/>
  <c r="E4"/>
  <c r="H4"/>
  <c r="B30"/>
  <c r="C61"/>
  <c r="F61"/>
  <c r="I61"/>
  <c r="O75"/>
  <c r="R75"/>
  <c r="E76"/>
  <c r="C93" a="1"/>
  <c r="C93" s="1"/>
  <c r="C90" a="1"/>
  <c r="C90" s="1"/>
  <c r="C102" s="1"/>
  <c r="C87" a="1"/>
  <c r="C87" s="1"/>
  <c r="C99" s="1"/>
  <c r="C89" a="1"/>
  <c r="C89" s="1"/>
  <c r="C101" s="1"/>
  <c r="C91" a="1"/>
  <c r="C91" s="1"/>
  <c r="C103" s="1"/>
  <c r="D4"/>
  <c r="B61"/>
  <c r="E61"/>
  <c r="Q75"/>
  <c r="C88" a="1"/>
  <c r="C88" s="1"/>
  <c r="C100" s="1"/>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100"/>
  <c r="J117"/>
  <c r="J116"/>
  <c r="J115"/>
  <c r="J114"/>
  <c r="J113"/>
  <c r="J82"/>
  <c r="J81"/>
  <c r="J80"/>
  <c r="J79"/>
  <c r="J78"/>
  <c r="J77"/>
  <c r="I111"/>
  <c r="F111"/>
  <c r="C111"/>
  <c r="G111"/>
  <c r="D111"/>
  <c r="I133"/>
  <c r="F133"/>
  <c r="C133"/>
  <c r="G133"/>
  <c r="D133"/>
  <c r="H159"/>
  <c r="E159"/>
  <c r="B159"/>
  <c r="I159"/>
  <c r="F159"/>
  <c r="C159"/>
  <c r="J161"/>
  <c r="K160"/>
  <c r="B160"/>
  <c r="L160"/>
  <c r="C160"/>
  <c r="C14"/>
  <c r="C205" s="1"/>
  <c r="E76"/>
  <c r="H76"/>
  <c r="D4"/>
  <c r="D30"/>
  <c r="B61"/>
  <c r="E61"/>
  <c r="H61"/>
  <c r="N75"/>
  <c r="Q75"/>
  <c r="T75"/>
  <c r="D76"/>
  <c r="G76"/>
  <c r="C77"/>
  <c r="C78"/>
  <c r="N78" s="1"/>
  <c r="C79"/>
  <c r="N79" s="1"/>
  <c r="C80"/>
  <c r="N80" s="1"/>
  <c r="C81"/>
  <c r="N81" s="1"/>
  <c r="C82"/>
  <c r="N82" s="1"/>
  <c r="H111"/>
  <c r="H133"/>
  <c r="C155"/>
  <c r="G159"/>
  <c r="C113"/>
  <c r="C114"/>
  <c r="C115"/>
  <c r="C116"/>
  <c r="D116" s="1"/>
  <c r="C117"/>
  <c r="C118"/>
  <c r="H183"/>
  <c r="E183"/>
  <c r="B183"/>
  <c r="I183"/>
  <c r="F183"/>
  <c r="C183"/>
  <c r="B14" i="97"/>
  <c r="B205" s="1"/>
  <c r="C14" i="99"/>
  <c r="C205" s="1"/>
  <c r="D61" i="100"/>
  <c r="P75"/>
  <c r="C76"/>
  <c r="F76"/>
  <c r="E111"/>
  <c r="E133"/>
  <c r="D159"/>
  <c r="D160"/>
  <c r="M160"/>
  <c r="E97"/>
  <c r="H97"/>
  <c r="P111"/>
  <c r="S111"/>
  <c r="B147"/>
  <c r="E147"/>
  <c r="H147"/>
  <c r="D202"/>
  <c r="G202"/>
  <c r="D204"/>
  <c r="G204"/>
  <c r="D97"/>
  <c r="D147"/>
  <c r="C204"/>
  <c r="F204"/>
  <c r="J118" i="99"/>
  <c r="J117"/>
  <c r="J116"/>
  <c r="J115"/>
  <c r="J114"/>
  <c r="J113"/>
  <c r="J82"/>
  <c r="J81"/>
  <c r="J80"/>
  <c r="D80" s="1"/>
  <c r="J79"/>
  <c r="D79" s="1"/>
  <c r="J78"/>
  <c r="D78" s="1"/>
  <c r="J77"/>
  <c r="D77" s="1"/>
  <c r="O77" s="1"/>
  <c r="C4"/>
  <c r="F4"/>
  <c r="I4"/>
  <c r="C30"/>
  <c r="D61"/>
  <c r="G61"/>
  <c r="P75"/>
  <c r="S75"/>
  <c r="M161"/>
  <c r="G161"/>
  <c r="D161"/>
  <c r="A161"/>
  <c r="J162"/>
  <c r="K161"/>
  <c r="H161"/>
  <c r="E161"/>
  <c r="B161"/>
  <c r="L161"/>
  <c r="I161"/>
  <c r="F161"/>
  <c r="C161"/>
  <c r="B4"/>
  <c r="E4"/>
  <c r="H4"/>
  <c r="B30"/>
  <c r="C61"/>
  <c r="F61"/>
  <c r="I61"/>
  <c r="O75"/>
  <c r="E76"/>
  <c r="C93" a="1"/>
  <c r="C93" s="1"/>
  <c r="C90" a="1"/>
  <c r="C90" s="1"/>
  <c r="C102" s="1"/>
  <c r="C87" a="1"/>
  <c r="C87" s="1"/>
  <c r="C99" s="1"/>
  <c r="C89" a="1"/>
  <c r="C89" s="1"/>
  <c r="C101" s="1"/>
  <c r="C91" a="1"/>
  <c r="C91" s="1"/>
  <c r="C103" s="1"/>
  <c r="C30" i="98"/>
  <c r="C33"/>
  <c r="D4" i="99"/>
  <c r="C88" a="1"/>
  <c r="C88" s="1"/>
  <c r="C100" s="1"/>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C113"/>
  <c r="C114"/>
  <c r="C115"/>
  <c r="C116"/>
  <c r="C117"/>
  <c r="C118"/>
  <c r="C133"/>
  <c r="F133"/>
  <c r="D147"/>
  <c r="B159"/>
  <c r="E159"/>
  <c r="B160"/>
  <c r="K160"/>
  <c r="B183"/>
  <c r="E183"/>
  <c r="C202"/>
  <c r="C204"/>
  <c r="F204"/>
  <c r="I61" i="98"/>
  <c r="F61"/>
  <c r="C61"/>
  <c r="H61"/>
  <c r="E61"/>
  <c r="B61"/>
  <c r="R75"/>
  <c r="O75"/>
  <c r="T75"/>
  <c r="Q75"/>
  <c r="N75"/>
  <c r="C77"/>
  <c r="C78"/>
  <c r="N78" s="1"/>
  <c r="C79"/>
  <c r="N79" s="1"/>
  <c r="C80"/>
  <c r="N80" s="1"/>
  <c r="C81"/>
  <c r="N81" s="1"/>
  <c r="C82"/>
  <c r="N82" s="1"/>
  <c r="B36"/>
  <c r="B64"/>
  <c r="J118"/>
  <c r="J115"/>
  <c r="J82"/>
  <c r="J81"/>
  <c r="J80"/>
  <c r="J79"/>
  <c r="J78"/>
  <c r="J77"/>
  <c r="J113"/>
  <c r="J117"/>
  <c r="J114"/>
  <c r="J116"/>
  <c r="C14"/>
  <c r="C205" s="1"/>
  <c r="D61"/>
  <c r="P75"/>
  <c r="I204"/>
  <c r="F204"/>
  <c r="C204"/>
  <c r="H204"/>
  <c r="E204"/>
  <c r="B204"/>
  <c r="R111"/>
  <c r="O111"/>
  <c r="T111"/>
  <c r="Q111"/>
  <c r="N111"/>
  <c r="D4"/>
  <c r="B14"/>
  <c r="D19"/>
  <c r="D25" s="1"/>
  <c r="D76"/>
  <c r="G76"/>
  <c r="C160"/>
  <c r="D204"/>
  <c r="G97"/>
  <c r="D97"/>
  <c r="I97"/>
  <c r="F97"/>
  <c r="C97"/>
  <c r="J161"/>
  <c r="K160"/>
  <c r="B160"/>
  <c r="M160"/>
  <c r="D160"/>
  <c r="A160"/>
  <c r="F202"/>
  <c r="C202"/>
  <c r="H202"/>
  <c r="E202"/>
  <c r="B202"/>
  <c r="E76"/>
  <c r="H97"/>
  <c r="G204"/>
  <c r="E111"/>
  <c r="H111"/>
  <c r="E133"/>
  <c r="H133"/>
  <c r="D159"/>
  <c r="G159"/>
  <c r="D183"/>
  <c r="G183"/>
  <c r="C111"/>
  <c r="F111"/>
  <c r="C113"/>
  <c r="C114"/>
  <c r="C115"/>
  <c r="C116"/>
  <c r="C117"/>
  <c r="C118"/>
  <c r="C133"/>
  <c r="F133"/>
  <c r="D147"/>
  <c r="B159"/>
  <c r="E159"/>
  <c r="B183"/>
  <c r="E183"/>
  <c r="G151"/>
  <c r="G21" s="1"/>
  <c r="J118" i="97"/>
  <c r="J117"/>
  <c r="J116"/>
  <c r="J115"/>
  <c r="J114"/>
  <c r="J113"/>
  <c r="J82"/>
  <c r="J81"/>
  <c r="D81" s="1"/>
  <c r="J80"/>
  <c r="D80" s="1"/>
  <c r="J79"/>
  <c r="J78"/>
  <c r="D78" s="1"/>
  <c r="J77"/>
  <c r="D77" s="1"/>
  <c r="B14" i="96"/>
  <c r="B205" s="1"/>
  <c r="C14"/>
  <c r="C205" s="1"/>
  <c r="C32"/>
  <c r="B4" i="97"/>
  <c r="E4"/>
  <c r="H4"/>
  <c r="C14"/>
  <c r="C205" s="1"/>
  <c r="B30"/>
  <c r="C61"/>
  <c r="F61"/>
  <c r="I61"/>
  <c r="O75"/>
  <c r="R75"/>
  <c r="E76"/>
  <c r="C93" a="1"/>
  <c r="C93" s="1"/>
  <c r="C90" a="1"/>
  <c r="C90" s="1"/>
  <c r="C102" s="1"/>
  <c r="C87" a="1"/>
  <c r="C87" s="1"/>
  <c r="C99" s="1"/>
  <c r="C89" a="1"/>
  <c r="C89" s="1"/>
  <c r="C101" s="1"/>
  <c r="C91" a="1"/>
  <c r="C91" s="1"/>
  <c r="C103" s="1"/>
  <c r="M161"/>
  <c r="G161"/>
  <c r="D161"/>
  <c r="A161"/>
  <c r="J162"/>
  <c r="K161"/>
  <c r="H161"/>
  <c r="E161"/>
  <c r="B161"/>
  <c r="L161"/>
  <c r="I161"/>
  <c r="F161"/>
  <c r="C161"/>
  <c r="D4"/>
  <c r="G4"/>
  <c r="B61"/>
  <c r="E61"/>
  <c r="H61"/>
  <c r="C35" i="96"/>
  <c r="B30"/>
  <c r="B64" s="1"/>
  <c r="C4" i="97"/>
  <c r="F4"/>
  <c r="D61"/>
  <c r="P75"/>
  <c r="E111"/>
  <c r="H111"/>
  <c r="E133"/>
  <c r="H133"/>
  <c r="D159"/>
  <c r="G159"/>
  <c r="M160"/>
  <c r="D183"/>
  <c r="G183"/>
  <c r="F151"/>
  <c r="F21"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96"/>
  <c r="J117"/>
  <c r="J116"/>
  <c r="J115"/>
  <c r="J114"/>
  <c r="J113"/>
  <c r="J82"/>
  <c r="J81"/>
  <c r="J78"/>
  <c r="J80"/>
  <c r="J77"/>
  <c r="J79"/>
  <c r="I76"/>
  <c r="F76"/>
  <c r="C76"/>
  <c r="G76"/>
  <c r="D76"/>
  <c r="C93" a="1"/>
  <c r="C93" s="1"/>
  <c r="C90" a="1"/>
  <c r="C90" s="1"/>
  <c r="C102" s="1"/>
  <c r="C87" a="1"/>
  <c r="C87" s="1"/>
  <c r="C99" s="1"/>
  <c r="C89" a="1"/>
  <c r="C89" s="1"/>
  <c r="C101" s="1"/>
  <c r="I111"/>
  <c r="F111"/>
  <c r="C111"/>
  <c r="G111"/>
  <c r="D111"/>
  <c r="C113"/>
  <c r="C114"/>
  <c r="C115"/>
  <c r="C116"/>
  <c r="C117"/>
  <c r="C118"/>
  <c r="H183"/>
  <c r="E183"/>
  <c r="B183"/>
  <c r="I183"/>
  <c r="F183"/>
  <c r="C183"/>
  <c r="H152"/>
  <c r="H22" s="1"/>
  <c r="F152"/>
  <c r="F22" s="1"/>
  <c r="C14" i="73"/>
  <c r="C205" s="1"/>
  <c r="B14" i="75"/>
  <c r="B205" s="1"/>
  <c r="C14" i="95"/>
  <c r="C205" s="1"/>
  <c r="D4" i="96"/>
  <c r="G4"/>
  <c r="D25"/>
  <c r="H150"/>
  <c r="H20" s="1"/>
  <c r="I133"/>
  <c r="F133"/>
  <c r="C133"/>
  <c r="G133"/>
  <c r="D133"/>
  <c r="H159"/>
  <c r="E159"/>
  <c r="B159"/>
  <c r="I159"/>
  <c r="F159"/>
  <c r="C159"/>
  <c r="J161"/>
  <c r="K160"/>
  <c r="B160"/>
  <c r="L160"/>
  <c r="C160"/>
  <c r="C33" i="94"/>
  <c r="C33" i="95"/>
  <c r="C4" i="96"/>
  <c r="F4"/>
  <c r="D61"/>
  <c r="P75"/>
  <c r="C88" a="1"/>
  <c r="C88" s="1"/>
  <c r="C100" s="1"/>
  <c r="H111"/>
  <c r="D155"/>
  <c r="G183"/>
  <c r="E97"/>
  <c r="H97"/>
  <c r="P111"/>
  <c r="S111"/>
  <c r="B147"/>
  <c r="E147"/>
  <c r="H147"/>
  <c r="D202"/>
  <c r="G202"/>
  <c r="D204"/>
  <c r="G204"/>
  <c r="D97"/>
  <c r="O111"/>
  <c r="D147"/>
  <c r="C202"/>
  <c r="C204"/>
  <c r="F204"/>
  <c r="B36" i="95"/>
  <c r="B64"/>
  <c r="J118"/>
  <c r="J117"/>
  <c r="J116"/>
  <c r="J115"/>
  <c r="J114"/>
  <c r="J113"/>
  <c r="J82"/>
  <c r="J81"/>
  <c r="J80"/>
  <c r="J79"/>
  <c r="J78"/>
  <c r="J77"/>
  <c r="C14" i="90"/>
  <c r="C205" s="1"/>
  <c r="C14" i="94"/>
  <c r="C205" s="1"/>
  <c r="D4" i="95"/>
  <c r="B14"/>
  <c r="B61"/>
  <c r="E61"/>
  <c r="H61"/>
  <c r="N75"/>
  <c r="Q75"/>
  <c r="T75"/>
  <c r="D76"/>
  <c r="G76"/>
  <c r="C77"/>
  <c r="N77" s="1"/>
  <c r="C78"/>
  <c r="N78" s="1"/>
  <c r="C79"/>
  <c r="N79" s="1"/>
  <c r="C80"/>
  <c r="N80" s="1"/>
  <c r="C81"/>
  <c r="N81" s="1"/>
  <c r="C82"/>
  <c r="N82" s="1"/>
  <c r="C30"/>
  <c r="D61"/>
  <c r="G61"/>
  <c r="P75"/>
  <c r="S75"/>
  <c r="M161"/>
  <c r="G161"/>
  <c r="D161"/>
  <c r="A161"/>
  <c r="J162"/>
  <c r="K161"/>
  <c r="H161"/>
  <c r="E161"/>
  <c r="B161"/>
  <c r="L161"/>
  <c r="I161"/>
  <c r="F161"/>
  <c r="C161"/>
  <c r="B14" i="93"/>
  <c r="B205" s="1"/>
  <c r="C61" i="95"/>
  <c r="F61"/>
  <c r="O75"/>
  <c r="E76"/>
  <c r="E111"/>
  <c r="H111"/>
  <c r="E133"/>
  <c r="H133"/>
  <c r="D159"/>
  <c r="G159"/>
  <c r="M160"/>
  <c r="D183"/>
  <c r="G183"/>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4"/>
  <c r="F204"/>
  <c r="B36" i="94"/>
  <c r="B64"/>
  <c r="J118"/>
  <c r="J117"/>
  <c r="J116"/>
  <c r="J115"/>
  <c r="J114"/>
  <c r="J113"/>
  <c r="J82"/>
  <c r="D82" s="1"/>
  <c r="J81"/>
  <c r="D81" s="1"/>
  <c r="J80"/>
  <c r="D80" s="1"/>
  <c r="J79"/>
  <c r="D79" s="1"/>
  <c r="J78"/>
  <c r="D78" s="1"/>
  <c r="J77"/>
  <c r="D77" s="1"/>
  <c r="C93" a="1"/>
  <c r="C93" s="1"/>
  <c r="C90" a="1"/>
  <c r="C90" s="1"/>
  <c r="C102" s="1"/>
  <c r="C87" a="1"/>
  <c r="C87" s="1"/>
  <c r="C99" s="1"/>
  <c r="C89" a="1"/>
  <c r="C89" s="1"/>
  <c r="C101" s="1"/>
  <c r="C91" a="1"/>
  <c r="C91" s="1"/>
  <c r="C103" s="1"/>
  <c r="D4"/>
  <c r="G4"/>
  <c r="B14"/>
  <c r="C88" a="1"/>
  <c r="C88" s="1"/>
  <c r="C100" s="1"/>
  <c r="M161"/>
  <c r="G161"/>
  <c r="D161"/>
  <c r="A161"/>
  <c r="J162"/>
  <c r="K161"/>
  <c r="H161"/>
  <c r="E161"/>
  <c r="B161"/>
  <c r="L161"/>
  <c r="I161"/>
  <c r="F161"/>
  <c r="C161"/>
  <c r="C4"/>
  <c r="F4"/>
  <c r="I4"/>
  <c r="C30"/>
  <c r="D61"/>
  <c r="G61"/>
  <c r="P75"/>
  <c r="S75"/>
  <c r="B14" i="92"/>
  <c r="B205" s="1"/>
  <c r="B4" i="94"/>
  <c r="E4"/>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93"/>
  <c r="J117"/>
  <c r="J116"/>
  <c r="J115"/>
  <c r="J114"/>
  <c r="J113"/>
  <c r="J82"/>
  <c r="J81"/>
  <c r="J80"/>
  <c r="D80" s="1"/>
  <c r="J79"/>
  <c r="J78"/>
  <c r="D78" s="1"/>
  <c r="J77"/>
  <c r="D77" s="1"/>
  <c r="B4"/>
  <c r="E4"/>
  <c r="H4"/>
  <c r="C14"/>
  <c r="C205" s="1"/>
  <c r="B30"/>
  <c r="C61"/>
  <c r="F61"/>
  <c r="I61"/>
  <c r="O75"/>
  <c r="R75"/>
  <c r="E76"/>
  <c r="H76"/>
  <c r="C93" a="1"/>
  <c r="C93" s="1"/>
  <c r="C90" a="1"/>
  <c r="C90" s="1"/>
  <c r="C102" s="1"/>
  <c r="C87" a="1"/>
  <c r="C87" s="1"/>
  <c r="C99" s="1"/>
  <c r="C89" a="1"/>
  <c r="C89" s="1"/>
  <c r="C101" s="1"/>
  <c r="C91" a="1"/>
  <c r="C91" s="1"/>
  <c r="C103" s="1"/>
  <c r="D4"/>
  <c r="G4"/>
  <c r="B61"/>
  <c r="E61"/>
  <c r="H61"/>
  <c r="N75"/>
  <c r="Q75"/>
  <c r="T75"/>
  <c r="C88" a="1"/>
  <c r="C88" s="1"/>
  <c r="C100" s="1"/>
  <c r="M161"/>
  <c r="G161"/>
  <c r="D161"/>
  <c r="A161"/>
  <c r="J162"/>
  <c r="K161"/>
  <c r="H161"/>
  <c r="E161"/>
  <c r="B161"/>
  <c r="L161"/>
  <c r="I161"/>
  <c r="F161"/>
  <c r="C161"/>
  <c r="D61"/>
  <c r="P75"/>
  <c r="E111"/>
  <c r="H111"/>
  <c r="E133"/>
  <c r="H133"/>
  <c r="D159"/>
  <c r="G159"/>
  <c r="M160"/>
  <c r="D183"/>
  <c r="G183"/>
  <c r="H153"/>
  <c r="H23"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E152"/>
  <c r="E22" s="1"/>
  <c r="H152"/>
  <c r="H22" s="1"/>
  <c r="C202"/>
  <c r="C204"/>
  <c r="F204"/>
  <c r="J117" i="92"/>
  <c r="J114"/>
  <c r="J118"/>
  <c r="J115"/>
  <c r="J116"/>
  <c r="J113"/>
  <c r="J82"/>
  <c r="D82" s="1"/>
  <c r="J81"/>
  <c r="D81" s="1"/>
  <c r="J80"/>
  <c r="D80" s="1"/>
  <c r="J79"/>
  <c r="D79" s="1"/>
  <c r="J78"/>
  <c r="D78" s="1"/>
  <c r="J77"/>
  <c r="D77" s="1"/>
  <c r="G97"/>
  <c r="D97"/>
  <c r="I97"/>
  <c r="F97"/>
  <c r="C97"/>
  <c r="J161"/>
  <c r="K160"/>
  <c r="B160"/>
  <c r="L160"/>
  <c r="C160"/>
  <c r="M160"/>
  <c r="A160"/>
  <c r="B14" i="91"/>
  <c r="B205" s="1"/>
  <c r="B4" i="92"/>
  <c r="E4"/>
  <c r="H4"/>
  <c r="C14"/>
  <c r="C205" s="1"/>
  <c r="B30"/>
  <c r="C61"/>
  <c r="F61"/>
  <c r="I61"/>
  <c r="O75"/>
  <c r="R75"/>
  <c r="E76"/>
  <c r="C88" a="1"/>
  <c r="C88" s="1"/>
  <c r="C100" s="1"/>
  <c r="C93" a="1"/>
  <c r="C93" s="1"/>
  <c r="C90" a="1"/>
  <c r="C90" s="1"/>
  <c r="C102" s="1"/>
  <c r="C87" a="1"/>
  <c r="C87" s="1"/>
  <c r="C99" s="1"/>
  <c r="C91" a="1"/>
  <c r="C91" s="1"/>
  <c r="C103" s="1"/>
  <c r="C33" i="91"/>
  <c r="D4" i="92"/>
  <c r="G4"/>
  <c r="E61"/>
  <c r="H61"/>
  <c r="R111"/>
  <c r="O111"/>
  <c r="T111"/>
  <c r="Q111"/>
  <c r="N111"/>
  <c r="C4"/>
  <c r="F4"/>
  <c r="D61"/>
  <c r="P75"/>
  <c r="E97"/>
  <c r="E111"/>
  <c r="H111"/>
  <c r="E133"/>
  <c r="H133"/>
  <c r="D159"/>
  <c r="G159"/>
  <c r="D183"/>
  <c r="G183"/>
  <c r="H150"/>
  <c r="H20" s="1"/>
  <c r="I154"/>
  <c r="I24" s="1"/>
  <c r="B202"/>
  <c r="E202"/>
  <c r="H202"/>
  <c r="B204"/>
  <c r="E204"/>
  <c r="H204"/>
  <c r="D202"/>
  <c r="G202"/>
  <c r="D204"/>
  <c r="G204"/>
  <c r="C111"/>
  <c r="F111"/>
  <c r="C113"/>
  <c r="C114"/>
  <c r="C115"/>
  <c r="C116"/>
  <c r="C117"/>
  <c r="C118"/>
  <c r="C133"/>
  <c r="F133"/>
  <c r="D147"/>
  <c r="B159"/>
  <c r="E159"/>
  <c r="B183"/>
  <c r="E183"/>
  <c r="C202"/>
  <c r="C204"/>
  <c r="F204"/>
  <c r="J118" i="91"/>
  <c r="J117"/>
  <c r="J116"/>
  <c r="J115"/>
  <c r="J114"/>
  <c r="J113"/>
  <c r="J82"/>
  <c r="J81"/>
  <c r="J80"/>
  <c r="J79"/>
  <c r="J78"/>
  <c r="J77"/>
  <c r="B4"/>
  <c r="E4"/>
  <c r="H4"/>
  <c r="C14"/>
  <c r="C205" s="1"/>
  <c r="B30"/>
  <c r="C61"/>
  <c r="F61"/>
  <c r="I61"/>
  <c r="O75"/>
  <c r="R75"/>
  <c r="E76"/>
  <c r="C33" i="90"/>
  <c r="D4" i="91"/>
  <c r="B61"/>
  <c r="E61"/>
  <c r="H61"/>
  <c r="N75"/>
  <c r="Q75"/>
  <c r="T75"/>
  <c r="C77"/>
  <c r="C78"/>
  <c r="N78" s="1"/>
  <c r="C79"/>
  <c r="N79" s="1"/>
  <c r="C80"/>
  <c r="N80" s="1"/>
  <c r="C81"/>
  <c r="N81" s="1"/>
  <c r="C82"/>
  <c r="N82" s="1"/>
  <c r="M161"/>
  <c r="G161"/>
  <c r="D161"/>
  <c r="A161"/>
  <c r="J162"/>
  <c r="K161"/>
  <c r="H161"/>
  <c r="E161"/>
  <c r="B161"/>
  <c r="L161"/>
  <c r="I161"/>
  <c r="F161"/>
  <c r="C161"/>
  <c r="D61"/>
  <c r="P75"/>
  <c r="E111"/>
  <c r="H111"/>
  <c r="E133"/>
  <c r="H133"/>
  <c r="D159"/>
  <c r="G159"/>
  <c r="M160"/>
  <c r="D183"/>
  <c r="G183"/>
  <c r="B202"/>
  <c r="E202"/>
  <c r="H202"/>
  <c r="B204"/>
  <c r="E204"/>
  <c r="H204"/>
  <c r="E97"/>
  <c r="H97"/>
  <c r="D111"/>
  <c r="G111"/>
  <c r="P111"/>
  <c r="S111"/>
  <c r="D133"/>
  <c r="G133"/>
  <c r="E147"/>
  <c r="H147"/>
  <c r="C159"/>
  <c r="F159"/>
  <c r="I159"/>
  <c r="C160"/>
  <c r="L160"/>
  <c r="C183"/>
  <c r="F183"/>
  <c r="I183"/>
  <c r="D202"/>
  <c r="G202"/>
  <c r="D204"/>
  <c r="G204"/>
  <c r="D97"/>
  <c r="C111"/>
  <c r="F111"/>
  <c r="O111"/>
  <c r="C113"/>
  <c r="C114"/>
  <c r="C115"/>
  <c r="C116"/>
  <c r="C117"/>
  <c r="C118"/>
  <c r="C133"/>
  <c r="F133"/>
  <c r="D147"/>
  <c r="B159"/>
  <c r="E159"/>
  <c r="B160"/>
  <c r="K160"/>
  <c r="B183"/>
  <c r="E183"/>
  <c r="E152"/>
  <c r="E22" s="1"/>
  <c r="C202"/>
  <c r="C204"/>
  <c r="F204"/>
  <c r="J118" i="90"/>
  <c r="J117"/>
  <c r="J116"/>
  <c r="J115"/>
  <c r="J114"/>
  <c r="J113"/>
  <c r="J82"/>
  <c r="J81"/>
  <c r="J80"/>
  <c r="J79"/>
  <c r="J78"/>
  <c r="J77"/>
  <c r="B36"/>
  <c r="B64"/>
  <c r="M161"/>
  <c r="G161"/>
  <c r="D161"/>
  <c r="A161"/>
  <c r="J162"/>
  <c r="K161"/>
  <c r="H161"/>
  <c r="E161"/>
  <c r="B161"/>
  <c r="L161"/>
  <c r="I161"/>
  <c r="F161"/>
  <c r="C161"/>
  <c r="D4"/>
  <c r="B14"/>
  <c r="D30"/>
  <c r="B61"/>
  <c r="E61"/>
  <c r="H61"/>
  <c r="N75"/>
  <c r="Q75"/>
  <c r="T75"/>
  <c r="D76"/>
  <c r="G76"/>
  <c r="C77"/>
  <c r="C78"/>
  <c r="N78" s="1"/>
  <c r="C79"/>
  <c r="N79" s="1"/>
  <c r="C80"/>
  <c r="N80" s="1"/>
  <c r="C81"/>
  <c r="N81" s="1"/>
  <c r="C82"/>
  <c r="N82" s="1"/>
  <c r="C30"/>
  <c r="D61"/>
  <c r="G61"/>
  <c r="P75"/>
  <c r="S75"/>
  <c r="C33" i="80"/>
  <c r="C14" i="89"/>
  <c r="C205" s="1"/>
  <c r="C61" i="90"/>
  <c r="F61"/>
  <c r="O75"/>
  <c r="E76"/>
  <c r="E111"/>
  <c r="H111"/>
  <c r="E133"/>
  <c r="H133"/>
  <c r="D159"/>
  <c r="G159"/>
  <c r="M160"/>
  <c r="D183"/>
  <c r="G183"/>
  <c r="H150"/>
  <c r="H20"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89"/>
  <c r="J117"/>
  <c r="J116"/>
  <c r="J115"/>
  <c r="J114"/>
  <c r="J113"/>
  <c r="J82"/>
  <c r="J81"/>
  <c r="J80"/>
  <c r="J79"/>
  <c r="J78"/>
  <c r="J77"/>
  <c r="B36"/>
  <c r="B64"/>
  <c r="B14" i="79"/>
  <c r="B205" s="1"/>
  <c r="C33"/>
  <c r="B14" i="80"/>
  <c r="B205" s="1"/>
  <c r="D4" i="89"/>
  <c r="G4"/>
  <c r="B14"/>
  <c r="B61"/>
  <c r="E61"/>
  <c r="H61"/>
  <c r="N75"/>
  <c r="Q75"/>
  <c r="T75"/>
  <c r="C77"/>
  <c r="N77" s="1"/>
  <c r="C78"/>
  <c r="N78" s="1"/>
  <c r="C79"/>
  <c r="N79" s="1"/>
  <c r="C80"/>
  <c r="N80" s="1"/>
  <c r="C81"/>
  <c r="N81" s="1"/>
  <c r="C82"/>
  <c r="N82" s="1"/>
  <c r="M161"/>
  <c r="G161"/>
  <c r="D161"/>
  <c r="A161"/>
  <c r="J162"/>
  <c r="K161"/>
  <c r="H161"/>
  <c r="E161"/>
  <c r="B161"/>
  <c r="L161"/>
  <c r="I161"/>
  <c r="F161"/>
  <c r="C161"/>
  <c r="C30"/>
  <c r="D61"/>
  <c r="G61"/>
  <c r="P75"/>
  <c r="S75"/>
  <c r="B4"/>
  <c r="E4"/>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D116" s="1"/>
  <c r="C117"/>
  <c r="C118"/>
  <c r="C133"/>
  <c r="F133"/>
  <c r="D147"/>
  <c r="B159"/>
  <c r="E159"/>
  <c r="B160"/>
  <c r="K160"/>
  <c r="B183"/>
  <c r="E183"/>
  <c r="C202"/>
  <c r="C204"/>
  <c r="F204"/>
  <c r="J118" i="80"/>
  <c r="J117"/>
  <c r="J116"/>
  <c r="J115"/>
  <c r="J114"/>
  <c r="J113"/>
  <c r="J82"/>
  <c r="D82" s="1"/>
  <c r="J81"/>
  <c r="J80"/>
  <c r="D80" s="1"/>
  <c r="J79"/>
  <c r="D79" s="1"/>
  <c r="J78"/>
  <c r="J77"/>
  <c r="D77" s="1"/>
  <c r="O77" s="1"/>
  <c r="J161"/>
  <c r="K160"/>
  <c r="B160"/>
  <c r="L160"/>
  <c r="C160"/>
  <c r="M160"/>
  <c r="D160"/>
  <c r="A160"/>
  <c r="C14" i="79"/>
  <c r="C205" s="1"/>
  <c r="B4" i="80"/>
  <c r="E4"/>
  <c r="H4"/>
  <c r="C14"/>
  <c r="C205" s="1"/>
  <c r="B30"/>
  <c r="C61"/>
  <c r="F61"/>
  <c r="I61"/>
  <c r="O75"/>
  <c r="R75"/>
  <c r="E76"/>
  <c r="C93" a="1"/>
  <c r="C93" s="1"/>
  <c r="C90" a="1"/>
  <c r="C90" s="1"/>
  <c r="C102" s="1"/>
  <c r="C87" a="1"/>
  <c r="C87" s="1"/>
  <c r="C99" s="1"/>
  <c r="C89" a="1"/>
  <c r="C89" s="1"/>
  <c r="C101" s="1"/>
  <c r="C91" a="1"/>
  <c r="C91" s="1"/>
  <c r="C103" s="1"/>
  <c r="C88" a="1"/>
  <c r="C88" s="1"/>
  <c r="C100" s="1"/>
  <c r="D4"/>
  <c r="G4"/>
  <c r="D30"/>
  <c r="B14" i="84"/>
  <c r="B205" s="1"/>
  <c r="C4" i="80"/>
  <c r="F4"/>
  <c r="D61"/>
  <c r="P75"/>
  <c r="E111"/>
  <c r="H111"/>
  <c r="E133"/>
  <c r="H133"/>
  <c r="F147"/>
  <c r="I147"/>
  <c r="D159"/>
  <c r="G159"/>
  <c r="D183"/>
  <c r="G183"/>
  <c r="F154"/>
  <c r="F24" s="1"/>
  <c r="B202"/>
  <c r="E202"/>
  <c r="H202"/>
  <c r="B204"/>
  <c r="E204"/>
  <c r="H204"/>
  <c r="E97"/>
  <c r="H97"/>
  <c r="D111"/>
  <c r="G111"/>
  <c r="P111"/>
  <c r="S111"/>
  <c r="G133"/>
  <c r="D202"/>
  <c r="G202"/>
  <c r="D204"/>
  <c r="G204"/>
  <c r="D97"/>
  <c r="C111"/>
  <c r="F111"/>
  <c r="O111"/>
  <c r="C113"/>
  <c r="C114"/>
  <c r="C115"/>
  <c r="C116"/>
  <c r="C117"/>
  <c r="C118"/>
  <c r="F133"/>
  <c r="D147"/>
  <c r="B159"/>
  <c r="E159"/>
  <c r="B183"/>
  <c r="E183"/>
  <c r="C202"/>
  <c r="C204"/>
  <c r="F204"/>
  <c r="J118" i="79"/>
  <c r="J117"/>
  <c r="J116"/>
  <c r="J115"/>
  <c r="J114"/>
  <c r="J113"/>
  <c r="J82"/>
  <c r="J81"/>
  <c r="J80"/>
  <c r="J79"/>
  <c r="J78"/>
  <c r="J77"/>
  <c r="C30"/>
  <c r="D61"/>
  <c r="G61"/>
  <c r="P75"/>
  <c r="S75"/>
  <c r="M161"/>
  <c r="G161"/>
  <c r="D161"/>
  <c r="A161"/>
  <c r="J162"/>
  <c r="K161"/>
  <c r="H161"/>
  <c r="E161"/>
  <c r="B161"/>
  <c r="L161"/>
  <c r="I161"/>
  <c r="F161"/>
  <c r="C161"/>
  <c r="B4"/>
  <c r="E4"/>
  <c r="H4"/>
  <c r="B30"/>
  <c r="C61"/>
  <c r="F61"/>
  <c r="I61"/>
  <c r="O75"/>
  <c r="R75"/>
  <c r="E76"/>
  <c r="H76"/>
  <c r="C14" i="88"/>
  <c r="C205" s="1"/>
  <c r="D4" i="79"/>
  <c r="B61"/>
  <c r="E61"/>
  <c r="N75"/>
  <c r="Q75"/>
  <c r="D76"/>
  <c r="C77"/>
  <c r="N77" s="1"/>
  <c r="C78"/>
  <c r="N78" s="1"/>
  <c r="C79"/>
  <c r="N79" s="1"/>
  <c r="C80"/>
  <c r="N80" s="1"/>
  <c r="C81"/>
  <c r="N81" s="1"/>
  <c r="C82"/>
  <c r="N82" s="1"/>
  <c r="C97"/>
  <c r="F97"/>
  <c r="I97"/>
  <c r="E111"/>
  <c r="H111"/>
  <c r="N111"/>
  <c r="Q111"/>
  <c r="T111"/>
  <c r="E133"/>
  <c r="H133"/>
  <c r="D159"/>
  <c r="G159"/>
  <c r="M160"/>
  <c r="D183"/>
  <c r="G183"/>
  <c r="I151"/>
  <c r="I21" s="1"/>
  <c r="B202"/>
  <c r="E202"/>
  <c r="H202"/>
  <c r="B204"/>
  <c r="E204"/>
  <c r="H204"/>
  <c r="E97"/>
  <c r="H97"/>
  <c r="P111"/>
  <c r="S111"/>
  <c r="D133"/>
  <c r="G133"/>
  <c r="B147"/>
  <c r="E147"/>
  <c r="H147"/>
  <c r="C159"/>
  <c r="F159"/>
  <c r="I159"/>
  <c r="C160"/>
  <c r="L160"/>
  <c r="C183"/>
  <c r="F183"/>
  <c r="I183"/>
  <c r="G153"/>
  <c r="G23" s="1"/>
  <c r="D202"/>
  <c r="G202"/>
  <c r="D204"/>
  <c r="G204"/>
  <c r="D97"/>
  <c r="C111"/>
  <c r="F111"/>
  <c r="O111"/>
  <c r="C113"/>
  <c r="C114"/>
  <c r="C115"/>
  <c r="C116"/>
  <c r="C117"/>
  <c r="C118"/>
  <c r="C133"/>
  <c r="F133"/>
  <c r="D147"/>
  <c r="B159"/>
  <c r="E159"/>
  <c r="B160"/>
  <c r="K160"/>
  <c r="B183"/>
  <c r="E183"/>
  <c r="G151"/>
  <c r="G21" s="1"/>
  <c r="C202"/>
  <c r="C204"/>
  <c r="F204"/>
  <c r="J118" i="88"/>
  <c r="J117"/>
  <c r="J116"/>
  <c r="J115"/>
  <c r="J114"/>
  <c r="J113"/>
  <c r="J82"/>
  <c r="J81"/>
  <c r="J80"/>
  <c r="J79"/>
  <c r="J78"/>
  <c r="J77"/>
  <c r="B36"/>
  <c r="B64"/>
  <c r="C14" i="87"/>
  <c r="C205" s="1"/>
  <c r="D4" i="88"/>
  <c r="B14"/>
  <c r="D30"/>
  <c r="B61"/>
  <c r="E61"/>
  <c r="H61"/>
  <c r="N75"/>
  <c r="Q75"/>
  <c r="T75"/>
  <c r="D76"/>
  <c r="G76"/>
  <c r="C77"/>
  <c r="N77" s="1"/>
  <c r="C78"/>
  <c r="N78" s="1"/>
  <c r="C79"/>
  <c r="N79" s="1"/>
  <c r="C80"/>
  <c r="N80" s="1"/>
  <c r="C81"/>
  <c r="N81" s="1"/>
  <c r="C82"/>
  <c r="N82" s="1"/>
  <c r="M161"/>
  <c r="G161"/>
  <c r="D161"/>
  <c r="A161"/>
  <c r="J162"/>
  <c r="K161"/>
  <c r="H161"/>
  <c r="E161"/>
  <c r="B161"/>
  <c r="L161"/>
  <c r="I161"/>
  <c r="F161"/>
  <c r="C161"/>
  <c r="C30"/>
  <c r="D61"/>
  <c r="G61"/>
  <c r="P75"/>
  <c r="S75"/>
  <c r="B14" i="86"/>
  <c r="B205" s="1"/>
  <c r="C33" i="87"/>
  <c r="C61" i="88"/>
  <c r="F61"/>
  <c r="O75"/>
  <c r="E76"/>
  <c r="E111"/>
  <c r="H111"/>
  <c r="E133"/>
  <c r="H133"/>
  <c r="D159"/>
  <c r="G159"/>
  <c r="M160"/>
  <c r="D183"/>
  <c r="G183"/>
  <c r="H150"/>
  <c r="H20" s="1"/>
  <c r="G152"/>
  <c r="G22"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B36" i="87"/>
  <c r="B64"/>
  <c r="J118"/>
  <c r="J117"/>
  <c r="J116"/>
  <c r="J115"/>
  <c r="J114"/>
  <c r="J113"/>
  <c r="J82"/>
  <c r="J81"/>
  <c r="J80"/>
  <c r="J79"/>
  <c r="J78"/>
  <c r="J77"/>
  <c r="D4"/>
  <c r="G4"/>
  <c r="B14"/>
  <c r="D30"/>
  <c r="B61"/>
  <c r="E61"/>
  <c r="H61"/>
  <c r="N75"/>
  <c r="Q75"/>
  <c r="T75"/>
  <c r="C77"/>
  <c r="N77" s="1"/>
  <c r="C78"/>
  <c r="N78" s="1"/>
  <c r="C79"/>
  <c r="N79" s="1"/>
  <c r="C80"/>
  <c r="N80" s="1"/>
  <c r="C81"/>
  <c r="N81" s="1"/>
  <c r="C82"/>
  <c r="N82" s="1"/>
  <c r="C30"/>
  <c r="D61"/>
  <c r="G61"/>
  <c r="P75"/>
  <c r="S75"/>
  <c r="M161"/>
  <c r="G161"/>
  <c r="D161"/>
  <c r="A161"/>
  <c r="J162"/>
  <c r="K161"/>
  <c r="H161"/>
  <c r="E161"/>
  <c r="B161"/>
  <c r="L161"/>
  <c r="I161"/>
  <c r="F161"/>
  <c r="C161"/>
  <c r="B4"/>
  <c r="E4"/>
  <c r="C61"/>
  <c r="F61"/>
  <c r="O75"/>
  <c r="E76"/>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86"/>
  <c r="J117"/>
  <c r="J116"/>
  <c r="J115"/>
  <c r="J114"/>
  <c r="J113"/>
  <c r="J82"/>
  <c r="J81"/>
  <c r="J80"/>
  <c r="J79"/>
  <c r="J78"/>
  <c r="J77"/>
  <c r="C14" i="85"/>
  <c r="C205" s="1"/>
  <c r="B4" i="86"/>
  <c r="E4"/>
  <c r="H4"/>
  <c r="C14"/>
  <c r="C205" s="1"/>
  <c r="B30"/>
  <c r="C61"/>
  <c r="F61"/>
  <c r="I61"/>
  <c r="O75"/>
  <c r="R75"/>
  <c r="E76"/>
  <c r="H76"/>
  <c r="C14" i="71"/>
  <c r="C205" s="1"/>
  <c r="C30" i="85"/>
  <c r="C33"/>
  <c r="D4" i="86"/>
  <c r="B61"/>
  <c r="E61"/>
  <c r="H61"/>
  <c r="N75"/>
  <c r="Q75"/>
  <c r="T75"/>
  <c r="D76"/>
  <c r="C77"/>
  <c r="C78"/>
  <c r="N78" s="1"/>
  <c r="C79"/>
  <c r="C80"/>
  <c r="N80" s="1"/>
  <c r="C81"/>
  <c r="N81" s="1"/>
  <c r="C82"/>
  <c r="N82" s="1"/>
  <c r="M161"/>
  <c r="G161"/>
  <c r="D161"/>
  <c r="A161"/>
  <c r="J162"/>
  <c r="K161"/>
  <c r="H161"/>
  <c r="E161"/>
  <c r="B161"/>
  <c r="L161"/>
  <c r="I161"/>
  <c r="F161"/>
  <c r="C161"/>
  <c r="D61"/>
  <c r="P75"/>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D114" s="1"/>
  <c r="C115"/>
  <c r="C116"/>
  <c r="C117"/>
  <c r="D117" s="1"/>
  <c r="C118"/>
  <c r="C133"/>
  <c r="F133"/>
  <c r="D147"/>
  <c r="B159"/>
  <c r="E159"/>
  <c r="B160"/>
  <c r="K160"/>
  <c r="B183"/>
  <c r="E183"/>
  <c r="F150"/>
  <c r="F20" s="1"/>
  <c r="C202"/>
  <c r="C204"/>
  <c r="F204"/>
  <c r="J118" i="85"/>
  <c r="J117"/>
  <c r="J116"/>
  <c r="J115"/>
  <c r="J114"/>
  <c r="J113"/>
  <c r="J82"/>
  <c r="J81"/>
  <c r="J80"/>
  <c r="J79"/>
  <c r="J78"/>
  <c r="J77"/>
  <c r="B36"/>
  <c r="B64"/>
  <c r="B14" i="82"/>
  <c r="B205" s="1"/>
  <c r="D4" i="85"/>
  <c r="B14"/>
  <c r="B61"/>
  <c r="E61"/>
  <c r="H61"/>
  <c r="N75"/>
  <c r="Q75"/>
  <c r="T75"/>
  <c r="D76"/>
  <c r="G76"/>
  <c r="C77"/>
  <c r="C78"/>
  <c r="N78" s="1"/>
  <c r="C79"/>
  <c r="N79" s="1"/>
  <c r="C80"/>
  <c r="N80" s="1"/>
  <c r="C81"/>
  <c r="N81" s="1"/>
  <c r="C82"/>
  <c r="N82" s="1"/>
  <c r="C155"/>
  <c r="I111"/>
  <c r="F111"/>
  <c r="C111"/>
  <c r="G111"/>
  <c r="D111"/>
  <c r="C113"/>
  <c r="C114"/>
  <c r="C115"/>
  <c r="C116"/>
  <c r="C117"/>
  <c r="C118"/>
  <c r="H183"/>
  <c r="E183"/>
  <c r="B183"/>
  <c r="I183"/>
  <c r="F183"/>
  <c r="C183"/>
  <c r="C14" i="84"/>
  <c r="C205" s="1"/>
  <c r="C25" i="85"/>
  <c r="D61"/>
  <c r="G61"/>
  <c r="P75"/>
  <c r="S75"/>
  <c r="F154"/>
  <c r="F24" s="1"/>
  <c r="I133"/>
  <c r="F133"/>
  <c r="C133"/>
  <c r="G133"/>
  <c r="D133"/>
  <c r="H159"/>
  <c r="E159"/>
  <c r="B159"/>
  <c r="I159"/>
  <c r="F159"/>
  <c r="C159"/>
  <c r="J161"/>
  <c r="K160"/>
  <c r="B160"/>
  <c r="L160"/>
  <c r="C160"/>
  <c r="B30" i="84"/>
  <c r="C61" i="85"/>
  <c r="F61"/>
  <c r="O75"/>
  <c r="E76"/>
  <c r="H111"/>
  <c r="D155"/>
  <c r="G183"/>
  <c r="E97"/>
  <c r="H97"/>
  <c r="P111"/>
  <c r="S111"/>
  <c r="B147"/>
  <c r="E147"/>
  <c r="H147"/>
  <c r="D202"/>
  <c r="G202"/>
  <c r="D204"/>
  <c r="G204"/>
  <c r="D97"/>
  <c r="O111"/>
  <c r="D147"/>
  <c r="C202"/>
  <c r="C204"/>
  <c r="F204"/>
  <c r="C32" i="84"/>
  <c r="C35"/>
  <c r="J118"/>
  <c r="J115"/>
  <c r="J116"/>
  <c r="J82"/>
  <c r="J81"/>
  <c r="D81" s="1"/>
  <c r="J80"/>
  <c r="J78"/>
  <c r="J77"/>
  <c r="J117"/>
  <c r="J114"/>
  <c r="J113"/>
  <c r="J79"/>
  <c r="G97"/>
  <c r="D97"/>
  <c r="I97"/>
  <c r="F97"/>
  <c r="C97"/>
  <c r="R111"/>
  <c r="O111"/>
  <c r="T111"/>
  <c r="Q111"/>
  <c r="N111"/>
  <c r="E76"/>
  <c r="H76"/>
  <c r="D155"/>
  <c r="C4"/>
  <c r="F4"/>
  <c r="I4"/>
  <c r="D61"/>
  <c r="G61"/>
  <c r="P75"/>
  <c r="C76"/>
  <c r="F76"/>
  <c r="I76"/>
  <c r="E97"/>
  <c r="C160"/>
  <c r="I204"/>
  <c r="F204"/>
  <c r="C204"/>
  <c r="H204"/>
  <c r="E204"/>
  <c r="B204"/>
  <c r="J161"/>
  <c r="K160"/>
  <c r="B160"/>
  <c r="M160"/>
  <c r="D160"/>
  <c r="A160"/>
  <c r="F202"/>
  <c r="C202"/>
  <c r="H202"/>
  <c r="E202"/>
  <c r="B202"/>
  <c r="B14" i="83"/>
  <c r="B205" s="1"/>
  <c r="C33"/>
  <c r="D4" i="84"/>
  <c r="B61"/>
  <c r="E61"/>
  <c r="D76"/>
  <c r="H97"/>
  <c r="G204"/>
  <c r="E111"/>
  <c r="H111"/>
  <c r="E133"/>
  <c r="H133"/>
  <c r="D159"/>
  <c r="G159"/>
  <c r="D183"/>
  <c r="G183"/>
  <c r="E153"/>
  <c r="E23" s="1"/>
  <c r="C111"/>
  <c r="F111"/>
  <c r="C113"/>
  <c r="C114"/>
  <c r="C115"/>
  <c r="C116"/>
  <c r="C117"/>
  <c r="C118"/>
  <c r="C133"/>
  <c r="F133"/>
  <c r="D147"/>
  <c r="B159"/>
  <c r="E159"/>
  <c r="B183"/>
  <c r="E183"/>
  <c r="J118" i="83"/>
  <c r="J117"/>
  <c r="J116"/>
  <c r="J115"/>
  <c r="J114"/>
  <c r="J113"/>
  <c r="J82"/>
  <c r="J81"/>
  <c r="J80"/>
  <c r="J79"/>
  <c r="J78"/>
  <c r="J77"/>
  <c r="C33" i="82"/>
  <c r="B4" i="83"/>
  <c r="E4"/>
  <c r="H4"/>
  <c r="C14"/>
  <c r="C205" s="1"/>
  <c r="B30"/>
  <c r="C61"/>
  <c r="F61"/>
  <c r="I61"/>
  <c r="O75"/>
  <c r="R75"/>
  <c r="E76"/>
  <c r="M161"/>
  <c r="G161"/>
  <c r="D161"/>
  <c r="A161"/>
  <c r="J162"/>
  <c r="K161"/>
  <c r="H161"/>
  <c r="E161"/>
  <c r="B161"/>
  <c r="L161"/>
  <c r="I161"/>
  <c r="F161"/>
  <c r="C161"/>
  <c r="C14" i="82"/>
  <c r="C205" s="1"/>
  <c r="D4" i="83"/>
  <c r="B61"/>
  <c r="E61"/>
  <c r="H61"/>
  <c r="N75"/>
  <c r="Q75"/>
  <c r="T75"/>
  <c r="C77"/>
  <c r="C78"/>
  <c r="N78" s="1"/>
  <c r="C79"/>
  <c r="N79" s="1"/>
  <c r="C80"/>
  <c r="N80" s="1"/>
  <c r="C81"/>
  <c r="N81" s="1"/>
  <c r="C82"/>
  <c r="N82" s="1"/>
  <c r="D61"/>
  <c r="P75"/>
  <c r="E111"/>
  <c r="H111"/>
  <c r="E133"/>
  <c r="H133"/>
  <c r="D159"/>
  <c r="G159"/>
  <c r="M160"/>
  <c r="D183"/>
  <c r="G183"/>
  <c r="B202"/>
  <c r="E202"/>
  <c r="H202"/>
  <c r="B204"/>
  <c r="E204"/>
  <c r="H204"/>
  <c r="E97"/>
  <c r="H97"/>
  <c r="D111"/>
  <c r="G111"/>
  <c r="P111"/>
  <c r="S111"/>
  <c r="D133"/>
  <c r="G133"/>
  <c r="B147"/>
  <c r="E147"/>
  <c r="H147"/>
  <c r="C159"/>
  <c r="F159"/>
  <c r="I159"/>
  <c r="C160"/>
  <c r="L160"/>
  <c r="C183"/>
  <c r="F183"/>
  <c r="I183"/>
  <c r="I152"/>
  <c r="I22" s="1"/>
  <c r="D202"/>
  <c r="G202"/>
  <c r="D204"/>
  <c r="G204"/>
  <c r="D97"/>
  <c r="C111"/>
  <c r="F111"/>
  <c r="C113"/>
  <c r="C114"/>
  <c r="C115"/>
  <c r="C116"/>
  <c r="C117"/>
  <c r="C118"/>
  <c r="C133"/>
  <c r="F133"/>
  <c r="D147"/>
  <c r="B159"/>
  <c r="E159"/>
  <c r="B160"/>
  <c r="K160"/>
  <c r="B183"/>
  <c r="E183"/>
  <c r="G151"/>
  <c r="G21" s="1"/>
  <c r="C202"/>
  <c r="C204"/>
  <c r="F204"/>
  <c r="J118" i="82"/>
  <c r="J117"/>
  <c r="J116"/>
  <c r="J115"/>
  <c r="J114"/>
  <c r="J113"/>
  <c r="J82"/>
  <c r="J81"/>
  <c r="J80"/>
  <c r="J79"/>
  <c r="J78"/>
  <c r="J77"/>
  <c r="C30"/>
  <c r="D61"/>
  <c r="G61"/>
  <c r="P75"/>
  <c r="S75"/>
  <c r="B14" i="81"/>
  <c r="B205" s="1"/>
  <c r="B4" i="82"/>
  <c r="E4"/>
  <c r="H4"/>
  <c r="B30"/>
  <c r="C61"/>
  <c r="F61"/>
  <c r="I61"/>
  <c r="O75"/>
  <c r="R75"/>
  <c r="E76"/>
  <c r="H76"/>
  <c r="M161"/>
  <c r="G161"/>
  <c r="D161"/>
  <c r="A161"/>
  <c r="J162"/>
  <c r="K161"/>
  <c r="H161"/>
  <c r="E161"/>
  <c r="B161"/>
  <c r="L161"/>
  <c r="I161"/>
  <c r="F161"/>
  <c r="C161"/>
  <c r="B14" i="78"/>
  <c r="B205" s="1"/>
  <c r="D4" i="82"/>
  <c r="B61"/>
  <c r="E61"/>
  <c r="N75"/>
  <c r="Q75"/>
  <c r="D76"/>
  <c r="C77"/>
  <c r="C78"/>
  <c r="N78" s="1"/>
  <c r="C79"/>
  <c r="N79" s="1"/>
  <c r="C80"/>
  <c r="N80" s="1"/>
  <c r="C81"/>
  <c r="N81" s="1"/>
  <c r="C82"/>
  <c r="N82" s="1"/>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81"/>
  <c r="J117"/>
  <c r="J116"/>
  <c r="J115"/>
  <c r="J114"/>
  <c r="J113"/>
  <c r="J82"/>
  <c r="D82" s="1"/>
  <c r="J81"/>
  <c r="D81" s="1"/>
  <c r="J80"/>
  <c r="D80" s="1"/>
  <c r="J79"/>
  <c r="D79" s="1"/>
  <c r="J78"/>
  <c r="D78" s="1"/>
  <c r="J77"/>
  <c r="D77" s="1"/>
  <c r="C33" i="77"/>
  <c r="B4" i="81"/>
  <c r="E4"/>
  <c r="H4"/>
  <c r="C14"/>
  <c r="C205" s="1"/>
  <c r="B30"/>
  <c r="C61"/>
  <c r="F61"/>
  <c r="I61"/>
  <c r="O75"/>
  <c r="R75"/>
  <c r="E76"/>
  <c r="C93" a="1"/>
  <c r="C93" s="1"/>
  <c r="C90" a="1"/>
  <c r="C90" s="1"/>
  <c r="C102" s="1"/>
  <c r="C87" a="1"/>
  <c r="C87" s="1"/>
  <c r="C99" s="1"/>
  <c r="C89" a="1"/>
  <c r="C89" s="1"/>
  <c r="C101" s="1"/>
  <c r="C91" a="1"/>
  <c r="C91" s="1"/>
  <c r="C103" s="1"/>
  <c r="M161"/>
  <c r="G161"/>
  <c r="D161"/>
  <c r="A161"/>
  <c r="J162"/>
  <c r="K161"/>
  <c r="H161"/>
  <c r="E161"/>
  <c r="B161"/>
  <c r="L161"/>
  <c r="I161"/>
  <c r="F161"/>
  <c r="C161"/>
  <c r="D4"/>
  <c r="G4"/>
  <c r="B61"/>
  <c r="E61"/>
  <c r="H61"/>
  <c r="N75"/>
  <c r="Q75"/>
  <c r="T75"/>
  <c r="D61"/>
  <c r="P75"/>
  <c r="E111"/>
  <c r="H111"/>
  <c r="E133"/>
  <c r="H133"/>
  <c r="D159"/>
  <c r="G159"/>
  <c r="M160"/>
  <c r="D183"/>
  <c r="G183"/>
  <c r="E153"/>
  <c r="E23" s="1"/>
  <c r="B202"/>
  <c r="E202"/>
  <c r="H202"/>
  <c r="B204"/>
  <c r="E204"/>
  <c r="H204"/>
  <c r="E97"/>
  <c r="H97"/>
  <c r="D111"/>
  <c r="G111"/>
  <c r="P111"/>
  <c r="S111"/>
  <c r="D133"/>
  <c r="G133"/>
  <c r="B147"/>
  <c r="E147"/>
  <c r="H147"/>
  <c r="C159"/>
  <c r="F159"/>
  <c r="I159"/>
  <c r="C160"/>
  <c r="L160"/>
  <c r="C183"/>
  <c r="F183"/>
  <c r="I183"/>
  <c r="E151"/>
  <c r="E21" s="1"/>
  <c r="D202"/>
  <c r="G202"/>
  <c r="D204"/>
  <c r="G204"/>
  <c r="D97"/>
  <c r="C111"/>
  <c r="F111"/>
  <c r="O111"/>
  <c r="C113"/>
  <c r="C114"/>
  <c r="C115"/>
  <c r="C116"/>
  <c r="C117"/>
  <c r="C118"/>
  <c r="C133"/>
  <c r="F133"/>
  <c r="D147"/>
  <c r="B159"/>
  <c r="E159"/>
  <c r="B160"/>
  <c r="K160"/>
  <c r="B183"/>
  <c r="E183"/>
  <c r="C202"/>
  <c r="C204"/>
  <c r="F204"/>
  <c r="J118" i="78"/>
  <c r="D118" s="1"/>
  <c r="J117"/>
  <c r="D117" s="1"/>
  <c r="J116"/>
  <c r="D116" s="1"/>
  <c r="J115"/>
  <c r="D115" s="1"/>
  <c r="J114"/>
  <c r="D114" s="1"/>
  <c r="J113"/>
  <c r="D113" s="1"/>
  <c r="J82"/>
  <c r="J81"/>
  <c r="J80"/>
  <c r="J79"/>
  <c r="J78"/>
  <c r="J77"/>
  <c r="C129" a="1"/>
  <c r="C129" s="1"/>
  <c r="C126" a="1"/>
  <c r="C126" s="1"/>
  <c r="C123" a="1"/>
  <c r="C123" s="1"/>
  <c r="C125" a="1"/>
  <c r="C125" s="1"/>
  <c r="C122" a="1"/>
  <c r="C122" s="1"/>
  <c r="H147"/>
  <c r="E147"/>
  <c r="B147"/>
  <c r="I147"/>
  <c r="F147"/>
  <c r="C147"/>
  <c r="C14" i="75"/>
  <c r="C205" s="1"/>
  <c r="C14" i="76"/>
  <c r="C205" s="1"/>
  <c r="C14" i="77"/>
  <c r="C205" s="1"/>
  <c r="B4" i="78"/>
  <c r="E4"/>
  <c r="H4"/>
  <c r="C14"/>
  <c r="C205" s="1"/>
  <c r="B30"/>
  <c r="E76"/>
  <c r="H76"/>
  <c r="C87" a="1"/>
  <c r="C87" s="1"/>
  <c r="C99" s="1"/>
  <c r="C88" a="1"/>
  <c r="C88" s="1"/>
  <c r="C100" s="1"/>
  <c r="C127" a="1"/>
  <c r="C127" s="1"/>
  <c r="C89" a="1"/>
  <c r="C89" s="1"/>
  <c r="C101" s="1"/>
  <c r="C91" a="1"/>
  <c r="C91" s="1"/>
  <c r="C103" s="1"/>
  <c r="C31" i="77"/>
  <c r="D4" i="78"/>
  <c r="G4"/>
  <c r="D30"/>
  <c r="C93" a="1"/>
  <c r="C93" s="1"/>
  <c r="B36" i="77"/>
  <c r="B206" s="1"/>
  <c r="C4" i="78"/>
  <c r="F4"/>
  <c r="D61"/>
  <c r="P75"/>
  <c r="C76"/>
  <c r="F76"/>
  <c r="C124" a="1"/>
  <c r="C124" s="1"/>
  <c r="D147"/>
  <c r="D155"/>
  <c r="E111"/>
  <c r="H111"/>
  <c r="E133"/>
  <c r="H133"/>
  <c r="D159"/>
  <c r="G159"/>
  <c r="M160"/>
  <c r="C161"/>
  <c r="F161"/>
  <c r="I161"/>
  <c r="L161"/>
  <c r="D183"/>
  <c r="G183"/>
  <c r="E150"/>
  <c r="E20" s="1"/>
  <c r="E153"/>
  <c r="E23" s="1"/>
  <c r="I154"/>
  <c r="I24" s="1"/>
  <c r="B202"/>
  <c r="E202"/>
  <c r="H202"/>
  <c r="E204"/>
  <c r="H204"/>
  <c r="E97"/>
  <c r="D111"/>
  <c r="P111"/>
  <c r="D133"/>
  <c r="C159"/>
  <c r="F159"/>
  <c r="C160"/>
  <c r="B161"/>
  <c r="E161"/>
  <c r="H161"/>
  <c r="K161"/>
  <c r="J162"/>
  <c r="C183"/>
  <c r="F183"/>
  <c r="G153"/>
  <c r="G23" s="1"/>
  <c r="D202"/>
  <c r="D204"/>
  <c r="J118" i="77"/>
  <c r="J117"/>
  <c r="J116"/>
  <c r="J115"/>
  <c r="J114"/>
  <c r="J113"/>
  <c r="J82"/>
  <c r="J81"/>
  <c r="J80"/>
  <c r="J79"/>
  <c r="J78"/>
  <c r="J77"/>
  <c r="C114"/>
  <c r="I204"/>
  <c r="F204"/>
  <c r="C204"/>
  <c r="G204"/>
  <c r="B204"/>
  <c r="H204"/>
  <c r="D204"/>
  <c r="C77"/>
  <c r="C78"/>
  <c r="N78" s="1"/>
  <c r="C79"/>
  <c r="N79" s="1"/>
  <c r="C80"/>
  <c r="N80" s="1"/>
  <c r="C81"/>
  <c r="N81" s="1"/>
  <c r="C82"/>
  <c r="N82" s="1"/>
  <c r="C115"/>
  <c r="C118"/>
  <c r="D118" s="1"/>
  <c r="J161"/>
  <c r="K160"/>
  <c r="B160"/>
  <c r="A160"/>
  <c r="L160"/>
  <c r="C160"/>
  <c r="H183"/>
  <c r="E183"/>
  <c r="B183"/>
  <c r="G183"/>
  <c r="C183"/>
  <c r="I183"/>
  <c r="D183"/>
  <c r="B65"/>
  <c r="C30"/>
  <c r="C61"/>
  <c r="O75"/>
  <c r="E76"/>
  <c r="D160"/>
  <c r="G76"/>
  <c r="D76"/>
  <c r="C117"/>
  <c r="H61"/>
  <c r="E61"/>
  <c r="B61"/>
  <c r="T75"/>
  <c r="Q75"/>
  <c r="N75"/>
  <c r="G97"/>
  <c r="D97"/>
  <c r="H97"/>
  <c r="C97"/>
  <c r="I97"/>
  <c r="E97"/>
  <c r="C113"/>
  <c r="C116"/>
  <c r="F151"/>
  <c r="F21" s="1"/>
  <c r="F76"/>
  <c r="B14"/>
  <c r="D25"/>
  <c r="F61"/>
  <c r="R75"/>
  <c r="C76"/>
  <c r="H76"/>
  <c r="E204"/>
  <c r="I111"/>
  <c r="F111"/>
  <c r="C111"/>
  <c r="F202"/>
  <c r="C202"/>
  <c r="R111"/>
  <c r="O111"/>
  <c r="I133"/>
  <c r="F133"/>
  <c r="C133"/>
  <c r="H159"/>
  <c r="E159"/>
  <c r="B159"/>
  <c r="G111"/>
  <c r="E202"/>
  <c r="D4"/>
  <c r="E111"/>
  <c r="Q111"/>
  <c r="G133"/>
  <c r="F159"/>
  <c r="D202"/>
  <c r="H202"/>
  <c r="D147"/>
  <c r="B36" i="76"/>
  <c r="B64"/>
  <c r="J118"/>
  <c r="J117"/>
  <c r="J116"/>
  <c r="J115"/>
  <c r="J114"/>
  <c r="J113"/>
  <c r="J82"/>
  <c r="J81"/>
  <c r="J80"/>
  <c r="J79"/>
  <c r="J78"/>
  <c r="J77"/>
  <c r="D4"/>
  <c r="B14"/>
  <c r="D30"/>
  <c r="B61"/>
  <c r="E61"/>
  <c r="H61"/>
  <c r="N75"/>
  <c r="Q75"/>
  <c r="T75"/>
  <c r="D76"/>
  <c r="G76"/>
  <c r="C77"/>
  <c r="C78"/>
  <c r="N78" s="1"/>
  <c r="C79"/>
  <c r="N79" s="1"/>
  <c r="C80"/>
  <c r="N80" s="1"/>
  <c r="C81"/>
  <c r="N81" s="1"/>
  <c r="C82"/>
  <c r="N82" s="1"/>
  <c r="C30"/>
  <c r="D61"/>
  <c r="G61"/>
  <c r="P75"/>
  <c r="S75"/>
  <c r="M161"/>
  <c r="G161"/>
  <c r="D161"/>
  <c r="A161"/>
  <c r="J162"/>
  <c r="K161"/>
  <c r="H161"/>
  <c r="E161"/>
  <c r="B161"/>
  <c r="L161"/>
  <c r="I161"/>
  <c r="F161"/>
  <c r="C161"/>
  <c r="C61"/>
  <c r="F61"/>
  <c r="O75"/>
  <c r="E76"/>
  <c r="E111"/>
  <c r="H111"/>
  <c r="E133"/>
  <c r="H133"/>
  <c r="D159"/>
  <c r="G159"/>
  <c r="M160"/>
  <c r="D183"/>
  <c r="G183"/>
  <c r="I154"/>
  <c r="I24" s="1"/>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C202"/>
  <c r="C204"/>
  <c r="F204"/>
  <c r="J118" i="75"/>
  <c r="J117"/>
  <c r="J116"/>
  <c r="J115"/>
  <c r="J114"/>
  <c r="J113"/>
  <c r="J82"/>
  <c r="J81"/>
  <c r="J80"/>
  <c r="J79"/>
  <c r="J78"/>
  <c r="J77"/>
  <c r="C30"/>
  <c r="D61"/>
  <c r="G61"/>
  <c r="P75"/>
  <c r="S75"/>
  <c r="B4"/>
  <c r="E4"/>
  <c r="H4"/>
  <c r="B30"/>
  <c r="C61"/>
  <c r="F61"/>
  <c r="I61"/>
  <c r="O75"/>
  <c r="R75"/>
  <c r="E76"/>
  <c r="M161"/>
  <c r="G161"/>
  <c r="D161"/>
  <c r="A161"/>
  <c r="J162"/>
  <c r="K161"/>
  <c r="H161"/>
  <c r="E161"/>
  <c r="B161"/>
  <c r="L161"/>
  <c r="I161"/>
  <c r="F161"/>
  <c r="C161"/>
  <c r="D4"/>
  <c r="B61"/>
  <c r="E61"/>
  <c r="N75"/>
  <c r="Q75"/>
  <c r="C77"/>
  <c r="N77" s="1"/>
  <c r="C78"/>
  <c r="N78" s="1"/>
  <c r="C79"/>
  <c r="N79" s="1"/>
  <c r="C80"/>
  <c r="N80" s="1"/>
  <c r="C81"/>
  <c r="N81" s="1"/>
  <c r="C82"/>
  <c r="N82" s="1"/>
  <c r="E111"/>
  <c r="H111"/>
  <c r="E133"/>
  <c r="H133"/>
  <c r="D159"/>
  <c r="G159"/>
  <c r="M160"/>
  <c r="D183"/>
  <c r="G183"/>
  <c r="B202"/>
  <c r="E202"/>
  <c r="H202"/>
  <c r="E204"/>
  <c r="H204"/>
  <c r="E97"/>
  <c r="H97"/>
  <c r="D111"/>
  <c r="G111"/>
  <c r="P111"/>
  <c r="S111"/>
  <c r="D133"/>
  <c r="G133"/>
  <c r="B147"/>
  <c r="E147"/>
  <c r="H147"/>
  <c r="C159"/>
  <c r="F159"/>
  <c r="I159"/>
  <c r="C160"/>
  <c r="L160"/>
  <c r="C183"/>
  <c r="F183"/>
  <c r="I183"/>
  <c r="F152"/>
  <c r="F22" s="1"/>
  <c r="D202"/>
  <c r="G202"/>
  <c r="D204"/>
  <c r="G204"/>
  <c r="D97"/>
  <c r="C111"/>
  <c r="F111"/>
  <c r="O111"/>
  <c r="C113"/>
  <c r="C114"/>
  <c r="C115"/>
  <c r="C116"/>
  <c r="C117"/>
  <c r="C118"/>
  <c r="C133"/>
  <c r="F133"/>
  <c r="D147"/>
  <c r="B159"/>
  <c r="E159"/>
  <c r="B160"/>
  <c r="K160"/>
  <c r="B183"/>
  <c r="E183"/>
  <c r="C202"/>
  <c r="C204"/>
  <c r="F204"/>
  <c r="J118" i="74"/>
  <c r="J115"/>
  <c r="J117"/>
  <c r="J114"/>
  <c r="J116"/>
  <c r="J113"/>
  <c r="J82"/>
  <c r="J79"/>
  <c r="J81"/>
  <c r="J78"/>
  <c r="J80"/>
  <c r="J77"/>
  <c r="G76"/>
  <c r="D76"/>
  <c r="I76"/>
  <c r="F76"/>
  <c r="C76"/>
  <c r="D25"/>
  <c r="C7" i="7"/>
  <c r="C228"/>
  <c r="B14" i="74"/>
  <c r="C14"/>
  <c r="C205" s="1"/>
  <c r="B36"/>
  <c r="H76"/>
  <c r="C35"/>
  <c r="B70"/>
  <c r="B208" s="1"/>
  <c r="E76"/>
  <c r="G97"/>
  <c r="D97"/>
  <c r="I97"/>
  <c r="F97"/>
  <c r="C97"/>
  <c r="R111"/>
  <c r="O111"/>
  <c r="T111"/>
  <c r="Q111"/>
  <c r="N111"/>
  <c r="C4"/>
  <c r="F4"/>
  <c r="I4"/>
  <c r="D61"/>
  <c r="P75"/>
  <c r="E97"/>
  <c r="C160"/>
  <c r="I204"/>
  <c r="F204"/>
  <c r="C204"/>
  <c r="H204"/>
  <c r="E204"/>
  <c r="B204"/>
  <c r="C93" a="1"/>
  <c r="C93" s="1"/>
  <c r="C90" a="1"/>
  <c r="C90" s="1"/>
  <c r="C102" s="1"/>
  <c r="C87" a="1"/>
  <c r="C87" s="1"/>
  <c r="C99" s="1"/>
  <c r="C91" a="1"/>
  <c r="C91" s="1"/>
  <c r="C103" s="1"/>
  <c r="J161"/>
  <c r="K160"/>
  <c r="B160"/>
  <c r="M160"/>
  <c r="D160"/>
  <c r="A160"/>
  <c r="F202"/>
  <c r="C202"/>
  <c r="H202"/>
  <c r="E202"/>
  <c r="B202"/>
  <c r="D155"/>
  <c r="B14" i="71"/>
  <c r="B205" s="1"/>
  <c r="B14" i="73"/>
  <c r="B205" s="1"/>
  <c r="D4" i="74"/>
  <c r="H97"/>
  <c r="G204"/>
  <c r="E111"/>
  <c r="H111"/>
  <c r="E133"/>
  <c r="H133"/>
  <c r="D159"/>
  <c r="G159"/>
  <c r="D183"/>
  <c r="G183"/>
  <c r="C111"/>
  <c r="F111"/>
  <c r="C113"/>
  <c r="C114"/>
  <c r="C115"/>
  <c r="C116"/>
  <c r="C117"/>
  <c r="C118"/>
  <c r="C133"/>
  <c r="F133"/>
  <c r="D147"/>
  <c r="B159"/>
  <c r="E159"/>
  <c r="B183"/>
  <c r="E183"/>
  <c r="G151"/>
  <c r="G21" s="1"/>
  <c r="J118" i="73"/>
  <c r="J117"/>
  <c r="J116"/>
  <c r="J115"/>
  <c r="J114"/>
  <c r="J113"/>
  <c r="J82"/>
  <c r="J81"/>
  <c r="J80"/>
  <c r="J79"/>
  <c r="J78"/>
  <c r="J77"/>
  <c r="J161"/>
  <c r="K160"/>
  <c r="B160"/>
  <c r="L160"/>
  <c r="C160"/>
  <c r="M160"/>
  <c r="D160"/>
  <c r="A160"/>
  <c r="B14" i="70"/>
  <c r="B205" s="1"/>
  <c r="C30" i="73"/>
  <c r="D61"/>
  <c r="G61"/>
  <c r="P75"/>
  <c r="S75"/>
  <c r="C14" i="72"/>
  <c r="C205" s="1"/>
  <c r="B30" i="73"/>
  <c r="C61"/>
  <c r="F61"/>
  <c r="I61"/>
  <c r="O75"/>
  <c r="R75"/>
  <c r="E76"/>
  <c r="H76"/>
  <c r="D4"/>
  <c r="B61"/>
  <c r="E61"/>
  <c r="N75"/>
  <c r="Q75"/>
  <c r="D76"/>
  <c r="C77"/>
  <c r="C78"/>
  <c r="N78" s="1"/>
  <c r="C79"/>
  <c r="N79" s="1"/>
  <c r="C80"/>
  <c r="C81"/>
  <c r="N81" s="1"/>
  <c r="C82"/>
  <c r="N82" s="1"/>
  <c r="E111"/>
  <c r="H111"/>
  <c r="E133"/>
  <c r="H133"/>
  <c r="C147"/>
  <c r="F147"/>
  <c r="I147"/>
  <c r="D159"/>
  <c r="G159"/>
  <c r="D183"/>
  <c r="G183"/>
  <c r="B202"/>
  <c r="E202"/>
  <c r="H202"/>
  <c r="B204"/>
  <c r="E204"/>
  <c r="H204"/>
  <c r="E97"/>
  <c r="H97"/>
  <c r="D111"/>
  <c r="G111"/>
  <c r="P111"/>
  <c r="S111"/>
  <c r="D133"/>
  <c r="G133"/>
  <c r="B147"/>
  <c r="E147"/>
  <c r="H147"/>
  <c r="C159"/>
  <c r="F159"/>
  <c r="I159"/>
  <c r="C183"/>
  <c r="F183"/>
  <c r="I183"/>
  <c r="D202"/>
  <c r="G202"/>
  <c r="D204"/>
  <c r="G204"/>
  <c r="D97"/>
  <c r="C111"/>
  <c r="F111"/>
  <c r="O111"/>
  <c r="C113"/>
  <c r="C114"/>
  <c r="C115"/>
  <c r="C116"/>
  <c r="C117"/>
  <c r="C118"/>
  <c r="C133"/>
  <c r="F133"/>
  <c r="D147"/>
  <c r="B159"/>
  <c r="E159"/>
  <c r="B183"/>
  <c r="E183"/>
  <c r="C202"/>
  <c r="C204"/>
  <c r="F204"/>
  <c r="J118" i="72"/>
  <c r="J117"/>
  <c r="J116"/>
  <c r="J115"/>
  <c r="J114"/>
  <c r="J113"/>
  <c r="J82"/>
  <c r="J81"/>
  <c r="J80"/>
  <c r="J79"/>
  <c r="J78"/>
  <c r="J77"/>
  <c r="B36"/>
  <c r="B64"/>
  <c r="D4"/>
  <c r="B14"/>
  <c r="D30"/>
  <c r="B61"/>
  <c r="E61"/>
  <c r="H61"/>
  <c r="N75"/>
  <c r="Q75"/>
  <c r="T75"/>
  <c r="D76"/>
  <c r="G76"/>
  <c r="C77"/>
  <c r="C78"/>
  <c r="N78" s="1"/>
  <c r="C79"/>
  <c r="N79" s="1"/>
  <c r="C80"/>
  <c r="N80" s="1"/>
  <c r="C81"/>
  <c r="N81" s="1"/>
  <c r="C82"/>
  <c r="N82" s="1"/>
  <c r="M161"/>
  <c r="G161"/>
  <c r="D161"/>
  <c r="A161"/>
  <c r="J162"/>
  <c r="K161"/>
  <c r="H161"/>
  <c r="E161"/>
  <c r="B161"/>
  <c r="L161"/>
  <c r="I161"/>
  <c r="F161"/>
  <c r="C161"/>
  <c r="B30" i="71"/>
  <c r="B36" s="1"/>
  <c r="C30" i="72"/>
  <c r="D61"/>
  <c r="G61"/>
  <c r="P75"/>
  <c r="S75"/>
  <c r="C61"/>
  <c r="F61"/>
  <c r="O75"/>
  <c r="E76"/>
  <c r="D79"/>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C113"/>
  <c r="C114"/>
  <c r="C115"/>
  <c r="C116"/>
  <c r="C117"/>
  <c r="C118"/>
  <c r="C133"/>
  <c r="F133"/>
  <c r="D147"/>
  <c r="B159"/>
  <c r="E159"/>
  <c r="B160"/>
  <c r="K160"/>
  <c r="B183"/>
  <c r="E183"/>
  <c r="C202"/>
  <c r="C204"/>
  <c r="F204"/>
  <c r="J118" i="71"/>
  <c r="J117"/>
  <c r="J116"/>
  <c r="J115"/>
  <c r="J114"/>
  <c r="J113"/>
  <c r="J82"/>
  <c r="J81"/>
  <c r="J80"/>
  <c r="J79"/>
  <c r="J78"/>
  <c r="J77"/>
  <c r="B30" i="70"/>
  <c r="B64" s="1"/>
  <c r="C30" i="71"/>
  <c r="D61"/>
  <c r="G61"/>
  <c r="P75"/>
  <c r="S75"/>
  <c r="C76"/>
  <c r="F76"/>
  <c r="I76"/>
  <c r="E76"/>
  <c r="H76"/>
  <c r="M161"/>
  <c r="G161"/>
  <c r="D161"/>
  <c r="A161"/>
  <c r="J162"/>
  <c r="K161"/>
  <c r="H161"/>
  <c r="E161"/>
  <c r="B161"/>
  <c r="L161"/>
  <c r="I161"/>
  <c r="F161"/>
  <c r="C161"/>
  <c r="C14" i="68"/>
  <c r="C205" s="1"/>
  <c r="C14" i="69"/>
  <c r="C205" s="1"/>
  <c r="D4" i="71"/>
  <c r="B61"/>
  <c r="E61"/>
  <c r="N75"/>
  <c r="Q75"/>
  <c r="D76"/>
  <c r="C77"/>
  <c r="C78"/>
  <c r="N78" s="1"/>
  <c r="C79"/>
  <c r="N79" s="1"/>
  <c r="C80"/>
  <c r="N80" s="1"/>
  <c r="C81"/>
  <c r="N81" s="1"/>
  <c r="C82"/>
  <c r="N82" s="1"/>
  <c r="E111"/>
  <c r="H111"/>
  <c r="E133"/>
  <c r="H133"/>
  <c r="D159"/>
  <c r="G159"/>
  <c r="M160"/>
  <c r="D183"/>
  <c r="G183"/>
  <c r="B202"/>
  <c r="E202"/>
  <c r="H202"/>
  <c r="B204"/>
  <c r="E204"/>
  <c r="H204"/>
  <c r="E97"/>
  <c r="H97"/>
  <c r="D111"/>
  <c r="G111"/>
  <c r="P111"/>
  <c r="D133"/>
  <c r="G133"/>
  <c r="B147"/>
  <c r="E147"/>
  <c r="H147"/>
  <c r="C159"/>
  <c r="F159"/>
  <c r="I159"/>
  <c r="C160"/>
  <c r="L160"/>
  <c r="C183"/>
  <c r="F183"/>
  <c r="I183"/>
  <c r="I152"/>
  <c r="I22" s="1"/>
  <c r="D202"/>
  <c r="G202"/>
  <c r="D204"/>
  <c r="G204"/>
  <c r="D97"/>
  <c r="C111"/>
  <c r="F111"/>
  <c r="C113"/>
  <c r="C114"/>
  <c r="C115"/>
  <c r="C116"/>
  <c r="C117"/>
  <c r="C118"/>
  <c r="C133"/>
  <c r="F133"/>
  <c r="D147"/>
  <c r="B159"/>
  <c r="E159"/>
  <c r="B160"/>
  <c r="K160"/>
  <c r="B183"/>
  <c r="E183"/>
  <c r="C204"/>
  <c r="F204"/>
  <c r="J118" i="70"/>
  <c r="J117"/>
  <c r="J116"/>
  <c r="J115"/>
  <c r="J114"/>
  <c r="J113"/>
  <c r="J82"/>
  <c r="J80"/>
  <c r="J78"/>
  <c r="J81"/>
  <c r="J79"/>
  <c r="J77"/>
  <c r="M161"/>
  <c r="G161"/>
  <c r="D161"/>
  <c r="A161"/>
  <c r="J162"/>
  <c r="K161"/>
  <c r="H161"/>
  <c r="E161"/>
  <c r="B161"/>
  <c r="L161"/>
  <c r="I161"/>
  <c r="F161"/>
  <c r="C161"/>
  <c r="D4"/>
  <c r="B61"/>
  <c r="E61"/>
  <c r="H61"/>
  <c r="N75"/>
  <c r="Q75"/>
  <c r="T75"/>
  <c r="D76"/>
  <c r="G76"/>
  <c r="C77"/>
  <c r="C78"/>
  <c r="N78" s="1"/>
  <c r="C79"/>
  <c r="N79" s="1"/>
  <c r="C80"/>
  <c r="N80" s="1"/>
  <c r="C81"/>
  <c r="N81" s="1"/>
  <c r="C82"/>
  <c r="N82" s="1"/>
  <c r="C14"/>
  <c r="C205" s="1"/>
  <c r="E76"/>
  <c r="H76"/>
  <c r="C33" i="69"/>
  <c r="D61" i="70"/>
  <c r="P75"/>
  <c r="C76"/>
  <c r="F76"/>
  <c r="E111"/>
  <c r="H111"/>
  <c r="E133"/>
  <c r="H133"/>
  <c r="D159"/>
  <c r="G159"/>
  <c r="M160"/>
  <c r="D183"/>
  <c r="G183"/>
  <c r="B202"/>
  <c r="E202"/>
  <c r="H202"/>
  <c r="B204"/>
  <c r="E204"/>
  <c r="H204"/>
  <c r="E97"/>
  <c r="H97"/>
  <c r="D111"/>
  <c r="G111"/>
  <c r="P111"/>
  <c r="S111"/>
  <c r="D133"/>
  <c r="G133"/>
  <c r="B147"/>
  <c r="E147"/>
  <c r="H147"/>
  <c r="C159"/>
  <c r="F159"/>
  <c r="I159"/>
  <c r="C160"/>
  <c r="L160"/>
  <c r="C183"/>
  <c r="F183"/>
  <c r="I183"/>
  <c r="D202"/>
  <c r="G202"/>
  <c r="D204"/>
  <c r="G204"/>
  <c r="D97"/>
  <c r="C111"/>
  <c r="F111"/>
  <c r="O111"/>
  <c r="C113"/>
  <c r="C114"/>
  <c r="C115"/>
  <c r="C116"/>
  <c r="C117"/>
  <c r="C118"/>
  <c r="C133"/>
  <c r="F133"/>
  <c r="D147"/>
  <c r="B159"/>
  <c r="E159"/>
  <c r="B160"/>
  <c r="K160"/>
  <c r="B183"/>
  <c r="E183"/>
  <c r="I153"/>
  <c r="I23" s="1"/>
  <c r="C202"/>
  <c r="C204"/>
  <c r="F204"/>
  <c r="B36" i="69"/>
  <c r="B64"/>
  <c r="J118"/>
  <c r="J117"/>
  <c r="J116"/>
  <c r="J115"/>
  <c r="J114"/>
  <c r="J113"/>
  <c r="J82"/>
  <c r="J81"/>
  <c r="J80"/>
  <c r="J79"/>
  <c r="J78"/>
  <c r="J77"/>
  <c r="M161"/>
  <c r="G161"/>
  <c r="D161"/>
  <c r="A161"/>
  <c r="J162"/>
  <c r="K161"/>
  <c r="H161"/>
  <c r="E161"/>
  <c r="B161"/>
  <c r="L161"/>
  <c r="I161"/>
  <c r="F161"/>
  <c r="C161"/>
  <c r="D4"/>
  <c r="G4"/>
  <c r="B14"/>
  <c r="B61"/>
  <c r="E61"/>
  <c r="H61"/>
  <c r="N75"/>
  <c r="Q75"/>
  <c r="T75"/>
  <c r="D76"/>
  <c r="G76"/>
  <c r="C77"/>
  <c r="C78"/>
  <c r="N78" s="1"/>
  <c r="C79"/>
  <c r="N79" s="1"/>
  <c r="C80"/>
  <c r="N80" s="1"/>
  <c r="C81"/>
  <c r="N81" s="1"/>
  <c r="C82"/>
  <c r="N82" s="1"/>
  <c r="C30"/>
  <c r="D61"/>
  <c r="G61"/>
  <c r="P75"/>
  <c r="S75"/>
  <c r="B14" i="67"/>
  <c r="B4" i="69"/>
  <c r="E4"/>
  <c r="C61"/>
  <c r="F61"/>
  <c r="O75"/>
  <c r="E76"/>
  <c r="E111"/>
  <c r="H111"/>
  <c r="E133"/>
  <c r="H133"/>
  <c r="D159"/>
  <c r="G159"/>
  <c r="M160"/>
  <c r="D183"/>
  <c r="G183"/>
  <c r="E150"/>
  <c r="E20" s="1"/>
  <c r="E153"/>
  <c r="E23" s="1"/>
  <c r="B202"/>
  <c r="E202"/>
  <c r="H202"/>
  <c r="B204"/>
  <c r="E204"/>
  <c r="H204"/>
  <c r="E97"/>
  <c r="H97"/>
  <c r="D111"/>
  <c r="G111"/>
  <c r="P111"/>
  <c r="D133"/>
  <c r="G133"/>
  <c r="B147"/>
  <c r="E147"/>
  <c r="H147"/>
  <c r="C159"/>
  <c r="F159"/>
  <c r="I159"/>
  <c r="C160"/>
  <c r="L160"/>
  <c r="C183"/>
  <c r="F183"/>
  <c r="I183"/>
  <c r="D202"/>
  <c r="G202"/>
  <c r="D204"/>
  <c r="G204"/>
  <c r="D97"/>
  <c r="C111"/>
  <c r="F111"/>
  <c r="C113"/>
  <c r="C114"/>
  <c r="D114" s="1"/>
  <c r="C115"/>
  <c r="C116"/>
  <c r="C117"/>
  <c r="C118"/>
  <c r="C133"/>
  <c r="F133"/>
  <c r="D147"/>
  <c r="B159"/>
  <c r="E159"/>
  <c r="B160"/>
  <c r="K160"/>
  <c r="B183"/>
  <c r="E183"/>
  <c r="C202"/>
  <c r="C204"/>
  <c r="F204"/>
  <c r="B36" i="68"/>
  <c r="B64"/>
  <c r="J118"/>
  <c r="J117"/>
  <c r="J116"/>
  <c r="J115"/>
  <c r="J114"/>
  <c r="J113"/>
  <c r="J82"/>
  <c r="J81"/>
  <c r="J80"/>
  <c r="J79"/>
  <c r="J78"/>
  <c r="J77"/>
  <c r="J161"/>
  <c r="K160"/>
  <c r="B160"/>
  <c r="L160"/>
  <c r="C160"/>
  <c r="M160"/>
  <c r="D160"/>
  <c r="A160"/>
  <c r="D4"/>
  <c r="G4"/>
  <c r="B14"/>
  <c r="B61"/>
  <c r="E61"/>
  <c r="H61"/>
  <c r="N75"/>
  <c r="Q75"/>
  <c r="T75"/>
  <c r="C77"/>
  <c r="C78"/>
  <c r="N78" s="1"/>
  <c r="C79"/>
  <c r="N79" s="1"/>
  <c r="C80"/>
  <c r="N80" s="1"/>
  <c r="C81"/>
  <c r="N81" s="1"/>
  <c r="C82"/>
  <c r="N82" s="1"/>
  <c r="C30"/>
  <c r="D61"/>
  <c r="G61"/>
  <c r="P75"/>
  <c r="S75"/>
  <c r="B4"/>
  <c r="E4"/>
  <c r="C61"/>
  <c r="F61"/>
  <c r="O75"/>
  <c r="E76"/>
  <c r="E111"/>
  <c r="H111"/>
  <c r="E133"/>
  <c r="H133"/>
  <c r="F147"/>
  <c r="I147"/>
  <c r="D159"/>
  <c r="G159"/>
  <c r="D183"/>
  <c r="G183"/>
  <c r="B202"/>
  <c r="E202"/>
  <c r="H202"/>
  <c r="B204"/>
  <c r="E204"/>
  <c r="H204"/>
  <c r="E97"/>
  <c r="H97"/>
  <c r="D111"/>
  <c r="G111"/>
  <c r="P111"/>
  <c r="S111"/>
  <c r="D133"/>
  <c r="G133"/>
  <c r="B147"/>
  <c r="E147"/>
  <c r="H147"/>
  <c r="C159"/>
  <c r="F159"/>
  <c r="I159"/>
  <c r="D202"/>
  <c r="G202"/>
  <c r="D204"/>
  <c r="G204"/>
  <c r="D97"/>
  <c r="C111"/>
  <c r="F111"/>
  <c r="O111"/>
  <c r="C113"/>
  <c r="C114"/>
  <c r="C115"/>
  <c r="C116"/>
  <c r="C117"/>
  <c r="C118"/>
  <c r="C133"/>
  <c r="F133"/>
  <c r="D147"/>
  <c r="B159"/>
  <c r="E159"/>
  <c r="B183"/>
  <c r="E183"/>
  <c r="C202"/>
  <c r="C204"/>
  <c r="F204"/>
  <c r="J118" i="67"/>
  <c r="J117"/>
  <c r="J116"/>
  <c r="J115"/>
  <c r="J114"/>
  <c r="J113"/>
  <c r="J82"/>
  <c r="J81"/>
  <c r="J80"/>
  <c r="J79"/>
  <c r="J78"/>
  <c r="J77"/>
  <c r="B4"/>
  <c r="E4"/>
  <c r="H4"/>
  <c r="C14"/>
  <c r="B30"/>
  <c r="C61"/>
  <c r="F61"/>
  <c r="I61"/>
  <c r="O75"/>
  <c r="R75"/>
  <c r="E76"/>
  <c r="H76"/>
  <c r="D4"/>
  <c r="B61"/>
  <c r="E61"/>
  <c r="H61"/>
  <c r="N75"/>
  <c r="Q75"/>
  <c r="T75"/>
  <c r="D76"/>
  <c r="C78"/>
  <c r="N78" s="1"/>
  <c r="C79"/>
  <c r="N79" s="1"/>
  <c r="C80"/>
  <c r="C81"/>
  <c r="N81" s="1"/>
  <c r="C82"/>
  <c r="N82" s="1"/>
  <c r="M161"/>
  <c r="G161"/>
  <c r="D161"/>
  <c r="A161"/>
  <c r="J162"/>
  <c r="K161"/>
  <c r="H161"/>
  <c r="E161"/>
  <c r="B161"/>
  <c r="L161"/>
  <c r="I161"/>
  <c r="F161"/>
  <c r="C161"/>
  <c r="D61"/>
  <c r="P75"/>
  <c r="E111"/>
  <c r="H111"/>
  <c r="E133"/>
  <c r="H133"/>
  <c r="D159"/>
  <c r="G159"/>
  <c r="M160"/>
  <c r="D183"/>
  <c r="G183"/>
  <c r="B203"/>
  <c r="E203"/>
  <c r="H203"/>
  <c r="B205"/>
  <c r="E205"/>
  <c r="H205"/>
  <c r="E97"/>
  <c r="H97"/>
  <c r="D111"/>
  <c r="G111"/>
  <c r="P111"/>
  <c r="D133"/>
  <c r="G133"/>
  <c r="B147"/>
  <c r="E147"/>
  <c r="H147"/>
  <c r="C159"/>
  <c r="F159"/>
  <c r="I159"/>
  <c r="C160"/>
  <c r="L160"/>
  <c r="C183"/>
  <c r="F183"/>
  <c r="I183"/>
  <c r="D203"/>
  <c r="G203"/>
  <c r="D205"/>
  <c r="G205"/>
  <c r="D97"/>
  <c r="C111"/>
  <c r="F111"/>
  <c r="C113"/>
  <c r="C114"/>
  <c r="C115"/>
  <c r="C116"/>
  <c r="C117"/>
  <c r="C118"/>
  <c r="C133"/>
  <c r="F133"/>
  <c r="D147"/>
  <c r="B159"/>
  <c r="E159"/>
  <c r="B160"/>
  <c r="K160"/>
  <c r="B183"/>
  <c r="E183"/>
  <c r="C205"/>
  <c r="F205"/>
  <c r="B24" i="114"/>
  <c r="C24" s="1"/>
  <c r="A33"/>
  <c r="F13" i="75"/>
  <c r="F8"/>
  <c r="F11" i="78"/>
  <c r="F8"/>
  <c r="D5" i="114"/>
  <c r="G5"/>
  <c r="J5"/>
  <c r="E12" i="67"/>
  <c r="E8" i="68"/>
  <c r="H9" i="70"/>
  <c r="H11" i="75"/>
  <c r="G8" i="77"/>
  <c r="E12"/>
  <c r="D11" i="72"/>
  <c r="I11" i="73"/>
  <c r="F8"/>
  <c r="F10" i="76"/>
  <c r="F8"/>
  <c r="F5" i="114"/>
  <c r="I5"/>
  <c r="G12" i="73"/>
  <c r="E8" i="74"/>
  <c r="D13" i="75"/>
  <c r="E8" i="77"/>
  <c r="D13" i="78"/>
  <c r="E5" i="114"/>
  <c r="F8" i="67"/>
  <c r="F8" i="68"/>
  <c r="F8" i="69"/>
  <c r="F12"/>
  <c r="F8" i="70"/>
  <c r="I10"/>
  <c r="F13"/>
  <c r="E13" i="77"/>
  <c r="I13" i="88"/>
  <c r="F10"/>
  <c r="E10" i="89"/>
  <c r="E8"/>
  <c r="I13"/>
  <c r="F11"/>
  <c r="I9"/>
  <c r="D8" i="81"/>
  <c r="F8"/>
  <c r="F10"/>
  <c r="D8" i="82"/>
  <c r="F9"/>
  <c r="D8" i="83"/>
  <c r="F8"/>
  <c r="D8" i="84"/>
  <c r="F8"/>
  <c r="E8" i="85"/>
  <c r="H9"/>
  <c r="E8" i="86"/>
  <c r="E11"/>
  <c r="G8" i="87"/>
  <c r="H13"/>
  <c r="H12" i="79"/>
  <c r="G11" i="80"/>
  <c r="E12"/>
  <c r="I10" i="79"/>
  <c r="E11" i="90"/>
  <c r="H9"/>
  <c r="E9"/>
  <c r="F11"/>
  <c r="I9"/>
  <c r="H9" i="81"/>
  <c r="E11"/>
  <c r="H13"/>
  <c r="G8" i="85"/>
  <c r="G13"/>
  <c r="G8" i="86"/>
  <c r="G10"/>
  <c r="G11"/>
  <c r="H12" i="87"/>
  <c r="G12" i="79"/>
  <c r="G12" i="90"/>
  <c r="F8" i="87"/>
  <c r="I13" i="80"/>
  <c r="F13"/>
  <c r="F8"/>
  <c r="D9" i="83"/>
  <c r="I8" i="85"/>
  <c r="F12"/>
  <c r="I12"/>
  <c r="F8" i="86"/>
  <c r="F10"/>
  <c r="I12"/>
  <c r="G9" i="87"/>
  <c r="G12"/>
  <c r="D13" i="79"/>
  <c r="F8" i="91"/>
  <c r="I9"/>
  <c r="F10"/>
  <c r="I12"/>
  <c r="I10" i="92"/>
  <c r="F11" i="93"/>
  <c r="D8" i="94"/>
  <c r="F8"/>
  <c r="F11"/>
  <c r="I13"/>
  <c r="G11" i="102"/>
  <c r="G9" i="108"/>
  <c r="G8" i="109"/>
  <c r="D11"/>
  <c r="D13"/>
  <c r="D9" i="127"/>
  <c r="G9"/>
  <c r="E9" i="91"/>
  <c r="E13"/>
  <c r="E8" i="92"/>
  <c r="E9"/>
  <c r="E12"/>
  <c r="E13"/>
  <c r="H10" i="93"/>
  <c r="E10" i="94"/>
  <c r="E13"/>
  <c r="H13"/>
  <c r="H11" i="95"/>
  <c r="G8" i="98"/>
  <c r="G9"/>
  <c r="D13"/>
  <c r="G8" i="99"/>
  <c r="G9"/>
  <c r="G8" i="100"/>
  <c r="G13"/>
  <c r="G8" i="101"/>
  <c r="D10"/>
  <c r="G11"/>
  <c r="F11" i="102"/>
  <c r="F12"/>
  <c r="F13"/>
  <c r="F9" i="108"/>
  <c r="F10"/>
  <c r="I11"/>
  <c r="F12"/>
  <c r="F8" i="109"/>
  <c r="F9"/>
  <c r="F10"/>
  <c r="I10"/>
  <c r="F8" i="127"/>
  <c r="F9"/>
  <c r="I13"/>
  <c r="G11" i="91"/>
  <c r="G12" i="93"/>
  <c r="G10" i="94"/>
  <c r="G8" i="95"/>
  <c r="D10"/>
  <c r="D12"/>
  <c r="G12"/>
  <c r="G12" i="97"/>
  <c r="F9" i="98"/>
  <c r="F10"/>
  <c r="F13"/>
  <c r="I9" i="99"/>
  <c r="F11"/>
  <c r="E8" i="102"/>
  <c r="H8"/>
  <c r="E10"/>
  <c r="E8" i="108"/>
  <c r="H8"/>
  <c r="E10"/>
  <c r="E12"/>
  <c r="E8" i="109"/>
  <c r="E9"/>
  <c r="E9" i="127"/>
  <c r="E12"/>
  <c r="B25" i="113"/>
  <c r="C25" s="1"/>
  <c r="A34"/>
  <c r="I12" i="48"/>
  <c r="F12"/>
  <c r="I10"/>
  <c r="I12" i="51"/>
  <c r="I9"/>
  <c r="E12" i="54"/>
  <c r="H9"/>
  <c r="I13"/>
  <c r="I10"/>
  <c r="D5" i="113"/>
  <c r="G5"/>
  <c r="J5"/>
  <c r="E9" i="38"/>
  <c r="E11"/>
  <c r="H11"/>
  <c r="H9" i="39"/>
  <c r="E12"/>
  <c r="E13"/>
  <c r="G8" i="47"/>
  <c r="D10"/>
  <c r="H8" i="48"/>
  <c r="D10" i="50"/>
  <c r="H10"/>
  <c r="D13"/>
  <c r="H11" i="51"/>
  <c r="G8" i="53"/>
  <c r="G11"/>
  <c r="G12" i="54"/>
  <c r="I13" i="46"/>
  <c r="I11" i="49"/>
  <c r="F10"/>
  <c r="I12" i="52"/>
  <c r="I11"/>
  <c r="I8"/>
  <c r="E13" i="55"/>
  <c r="H10"/>
  <c r="F13"/>
  <c r="F11"/>
  <c r="I8"/>
  <c r="F5" i="113"/>
  <c r="I5"/>
  <c r="G11" i="32"/>
  <c r="G8" i="38"/>
  <c r="D9"/>
  <c r="D12"/>
  <c r="G8" i="39"/>
  <c r="G11"/>
  <c r="D10" i="40"/>
  <c r="G10"/>
  <c r="G8" i="41"/>
  <c r="D10"/>
  <c r="G8" i="42"/>
  <c r="G10"/>
  <c r="G12"/>
  <c r="D10" i="43"/>
  <c r="G10"/>
  <c r="D12"/>
  <c r="G12"/>
  <c r="G8" i="44"/>
  <c r="D10"/>
  <c r="G11"/>
  <c r="G8" i="45"/>
  <c r="D11"/>
  <c r="D12"/>
  <c r="G8" i="46"/>
  <c r="H9" i="47"/>
  <c r="E13" i="49"/>
  <c r="G10" i="50"/>
  <c r="G8" i="51"/>
  <c r="D13"/>
  <c r="G10" i="53"/>
  <c r="F13" i="47"/>
  <c r="I10"/>
  <c r="I13" i="50"/>
  <c r="I10"/>
  <c r="I8"/>
  <c r="F13" i="53"/>
  <c r="G9" i="47"/>
  <c r="E10" i="50"/>
  <c r="G12"/>
  <c r="D10" i="52"/>
  <c r="H8" i="53"/>
  <c r="E10"/>
  <c r="F11" i="56"/>
  <c r="F8" i="57"/>
  <c r="I10"/>
  <c r="I11"/>
  <c r="F8" i="58"/>
  <c r="I13"/>
  <c r="F10" i="59"/>
  <c r="F12"/>
  <c r="I13"/>
  <c r="D8" i="60"/>
  <c r="F8"/>
  <c r="F9"/>
  <c r="I9"/>
  <c r="F13"/>
  <c r="E10" i="56"/>
  <c r="H10"/>
  <c r="E13"/>
  <c r="E9" i="57"/>
  <c r="H11"/>
  <c r="E9" i="58"/>
  <c r="H9"/>
  <c r="E8" i="59"/>
  <c r="E9"/>
  <c r="E11"/>
  <c r="H11"/>
  <c r="H13"/>
  <c r="E8" i="60"/>
  <c r="E10"/>
  <c r="H13"/>
  <c r="G8" i="56"/>
  <c r="G10"/>
  <c r="G11"/>
  <c r="G11" i="57"/>
  <c r="G8" i="59"/>
  <c r="D9"/>
  <c r="G10"/>
  <c r="D12"/>
  <c r="G12"/>
  <c r="D10" i="60"/>
  <c r="D11"/>
  <c r="G12"/>
  <c r="A34" i="7"/>
  <c r="B25"/>
  <c r="A255"/>
  <c r="B246"/>
  <c r="G5"/>
  <c r="J5"/>
  <c r="B16"/>
  <c r="E224"/>
  <c r="H224"/>
  <c r="K224"/>
  <c r="B237"/>
  <c r="F600"/>
  <c r="I600"/>
  <c r="L600"/>
  <c r="F5"/>
  <c r="I5"/>
  <c r="D224"/>
  <c r="D600" s="1"/>
  <c r="G224"/>
  <c r="J224"/>
  <c r="H25" i="107"/>
  <c r="D77" i="41" l="1"/>
  <c r="J606" i="130"/>
  <c r="D77" i="39"/>
  <c r="C34" i="104"/>
  <c r="H984" i="111"/>
  <c r="S984" s="1"/>
  <c r="D114" i="109"/>
  <c r="C34" i="63"/>
  <c r="D117" i="69"/>
  <c r="C31" i="104"/>
  <c r="C32"/>
  <c r="I983" i="111"/>
  <c r="T983" s="1"/>
  <c r="C33" i="63"/>
  <c r="D81" i="60"/>
  <c r="E81" s="1"/>
  <c r="D113" i="59"/>
  <c r="C32" i="63"/>
  <c r="K984" i="111"/>
  <c r="V984" s="1"/>
  <c r="J981"/>
  <c r="U981" s="1"/>
  <c r="C33" i="104"/>
  <c r="H982" i="111"/>
  <c r="S982" s="1"/>
  <c r="H980"/>
  <c r="S980" s="1"/>
  <c r="I981"/>
  <c r="T981" s="1"/>
  <c r="D80" i="84"/>
  <c r="E80" s="1"/>
  <c r="F80" s="1"/>
  <c r="I551" i="105"/>
  <c r="F979" i="111"/>
  <c r="Q979" s="1"/>
  <c r="K983"/>
  <c r="V983" s="1"/>
  <c r="D79" i="84"/>
  <c r="E79" s="1"/>
  <c r="E984" i="111"/>
  <c r="H979"/>
  <c r="S979" s="1"/>
  <c r="I980"/>
  <c r="T980" s="1"/>
  <c r="F983"/>
  <c r="Q983" s="1"/>
  <c r="J979"/>
  <c r="U979" s="1"/>
  <c r="E979"/>
  <c r="E982"/>
  <c r="K980"/>
  <c r="V980" s="1"/>
  <c r="G984"/>
  <c r="R984" s="1"/>
  <c r="J984"/>
  <c r="U984" s="1"/>
  <c r="H983"/>
  <c r="S983" s="1"/>
  <c r="F980"/>
  <c r="Q980" s="1"/>
  <c r="F982"/>
  <c r="Q982" s="1"/>
  <c r="I984"/>
  <c r="T984" s="1"/>
  <c r="J982"/>
  <c r="U982" s="1"/>
  <c r="E981"/>
  <c r="G981"/>
  <c r="R981" s="1"/>
  <c r="G979"/>
  <c r="R979" s="1"/>
  <c r="E983"/>
  <c r="C25" i="74"/>
  <c r="J25" i="109"/>
  <c r="C30" i="43"/>
  <c r="C36" s="1"/>
  <c r="C105" s="1"/>
  <c r="K606" i="130"/>
  <c r="D82" i="84"/>
  <c r="O82" s="1"/>
  <c r="D78"/>
  <c r="E78" s="1"/>
  <c r="E81"/>
  <c r="F81" s="1"/>
  <c r="D30" i="98"/>
  <c r="D123" i="128" a="1"/>
  <c r="D123" s="1"/>
  <c r="D114" i="67"/>
  <c r="E114" s="1"/>
  <c r="F114" s="1"/>
  <c r="G114" s="1"/>
  <c r="H114" s="1"/>
  <c r="I114" s="1"/>
  <c r="H129" i="128" a="1"/>
  <c r="H129" s="1"/>
  <c r="H127" a="1"/>
  <c r="H127" s="1"/>
  <c r="D77" i="84"/>
  <c r="E77" s="1"/>
  <c r="H124" i="128" a="1"/>
  <c r="H124" s="1"/>
  <c r="D124" a="1"/>
  <c r="D124" s="1"/>
  <c r="D80" i="67"/>
  <c r="O80" s="1"/>
  <c r="D77" i="89"/>
  <c r="O77" s="1"/>
  <c r="N80" i="67"/>
  <c r="C86" i="68" a="1"/>
  <c r="C86" s="1"/>
  <c r="C98" s="1"/>
  <c r="C86" i="70" a="1"/>
  <c r="C86" s="1"/>
  <c r="C98" s="1"/>
  <c r="C86" i="76" a="1"/>
  <c r="C86" s="1"/>
  <c r="C98" s="1"/>
  <c r="C86" i="83" a="1"/>
  <c r="C86" s="1"/>
  <c r="C98" s="1"/>
  <c r="N80" i="55"/>
  <c r="E125" i="128" a="1"/>
  <c r="E125" s="1"/>
  <c r="E126" a="1"/>
  <c r="E126" s="1"/>
  <c r="G125" a="1"/>
  <c r="G125" s="1"/>
  <c r="N77" i="76"/>
  <c r="G122" i="128" a="1"/>
  <c r="G122" s="1"/>
  <c r="N77" i="83"/>
  <c r="C86" i="72" a="1"/>
  <c r="C86" s="1"/>
  <c r="C98" s="1"/>
  <c r="N77"/>
  <c r="C86" i="85" a="1"/>
  <c r="C86" s="1"/>
  <c r="C98" s="1"/>
  <c r="N77"/>
  <c r="D79" i="86"/>
  <c r="E79" s="1"/>
  <c r="P79" s="1"/>
  <c r="N79"/>
  <c r="C86" i="91" a="1"/>
  <c r="C86" s="1"/>
  <c r="C98" s="1"/>
  <c r="N77"/>
  <c r="C86" i="98" a="1"/>
  <c r="C86" s="1"/>
  <c r="C98" s="1"/>
  <c r="N77"/>
  <c r="C86" i="102" a="1"/>
  <c r="C86" s="1"/>
  <c r="C98" s="1"/>
  <c r="N77"/>
  <c r="C86" i="60" a="1"/>
  <c r="C86" s="1"/>
  <c r="C98" s="1"/>
  <c r="N77"/>
  <c r="C86" i="95" a="1"/>
  <c r="C86" s="1"/>
  <c r="C98" s="1"/>
  <c r="C86" i="109" a="1"/>
  <c r="C86" s="1"/>
  <c r="C98" s="1"/>
  <c r="C86" i="127" a="1"/>
  <c r="C86" s="1"/>
  <c r="C98" s="1"/>
  <c r="C86" i="41" a="1"/>
  <c r="C86" s="1"/>
  <c r="C98" s="1"/>
  <c r="C86" i="84" a="1"/>
  <c r="C86" s="1"/>
  <c r="C98" s="1"/>
  <c r="C42" s="1"/>
  <c r="N77" i="127"/>
  <c r="N77" i="70"/>
  <c r="N77" i="84"/>
  <c r="N77" i="68"/>
  <c r="C86" i="71" a="1"/>
  <c r="C86" s="1"/>
  <c r="C98" s="1"/>
  <c r="N77"/>
  <c r="D80" i="73"/>
  <c r="O80" s="1"/>
  <c r="N80"/>
  <c r="C86" i="82" a="1"/>
  <c r="C86" s="1"/>
  <c r="C98" s="1"/>
  <c r="N77"/>
  <c r="C86" i="67" a="1"/>
  <c r="C86" s="1"/>
  <c r="C98" s="1"/>
  <c r="C86" i="73" a="1"/>
  <c r="C86" s="1"/>
  <c r="C98" s="1"/>
  <c r="C86" i="77" a="1"/>
  <c r="C86" s="1"/>
  <c r="C98" s="1"/>
  <c r="D116" i="81"/>
  <c r="E116" s="1"/>
  <c r="F116" s="1"/>
  <c r="G116" s="1"/>
  <c r="H116" s="1"/>
  <c r="I116" s="1"/>
  <c r="C86" i="86" a="1"/>
  <c r="C86" s="1"/>
  <c r="C98" s="1"/>
  <c r="C86" i="87" a="1"/>
  <c r="C86" s="1"/>
  <c r="C98" s="1"/>
  <c r="C86" i="89" a="1"/>
  <c r="C86" s="1"/>
  <c r="C98" s="1"/>
  <c r="C86" i="108" a="1"/>
  <c r="C86" s="1"/>
  <c r="C98" s="1"/>
  <c r="C86" i="39" a="1"/>
  <c r="C86" s="1"/>
  <c r="C98" s="1"/>
  <c r="C86" i="42" a="1"/>
  <c r="C86" s="1"/>
  <c r="C98" s="1"/>
  <c r="C86" i="43" a="1"/>
  <c r="C86" s="1"/>
  <c r="C98" s="1"/>
  <c r="C86" i="47" a="1"/>
  <c r="C86" s="1"/>
  <c r="C98" s="1"/>
  <c r="C86" i="48" a="1"/>
  <c r="C86" s="1"/>
  <c r="C98" s="1"/>
  <c r="D116" i="50"/>
  <c r="E116" s="1"/>
  <c r="F116" s="1"/>
  <c r="G116" s="1"/>
  <c r="H116" s="1"/>
  <c r="I116" s="1"/>
  <c r="C86" i="52" a="1"/>
  <c r="C86" s="1"/>
  <c r="C98" s="1"/>
  <c r="C86" i="58" a="1"/>
  <c r="C86" s="1"/>
  <c r="C98" s="1"/>
  <c r="C86" i="59" a="1"/>
  <c r="C86" s="1"/>
  <c r="C98" s="1"/>
  <c r="H35" i="131"/>
  <c r="E40"/>
  <c r="N77" i="52"/>
  <c r="N77" i="77"/>
  <c r="N77" i="39"/>
  <c r="N77" i="48"/>
  <c r="N77" i="108"/>
  <c r="N81" i="60"/>
  <c r="C86" i="69" a="1"/>
  <c r="C86" s="1"/>
  <c r="C98" s="1"/>
  <c r="N77"/>
  <c r="D77" i="90"/>
  <c r="O77" s="1"/>
  <c r="C86" a="1"/>
  <c r="C86" s="1"/>
  <c r="C98" s="1"/>
  <c r="D81" i="58"/>
  <c r="O81" s="1"/>
  <c r="N81"/>
  <c r="C86" i="75" a="1"/>
  <c r="C86" s="1"/>
  <c r="C98" s="1"/>
  <c r="C86" i="88" a="1"/>
  <c r="C86" s="1"/>
  <c r="C98" s="1"/>
  <c r="C86" i="79" a="1"/>
  <c r="C86" s="1"/>
  <c r="C98" s="1"/>
  <c r="C86" i="100" a="1"/>
  <c r="C86" s="1"/>
  <c r="C98" s="1"/>
  <c r="C86" i="128" a="1"/>
  <c r="C86" s="1"/>
  <c r="C98" s="1"/>
  <c r="C86" i="129" a="1"/>
  <c r="C86" s="1"/>
  <c r="C98" s="1"/>
  <c r="C86" i="32" a="1"/>
  <c r="C86" s="1"/>
  <c r="C98" s="1"/>
  <c r="C86" i="38" a="1"/>
  <c r="C86" s="1"/>
  <c r="C98" s="1"/>
  <c r="C86" i="45" a="1"/>
  <c r="C86" s="1"/>
  <c r="C98" s="1"/>
  <c r="C86" i="51" a="1"/>
  <c r="C86" s="1"/>
  <c r="C98" s="1"/>
  <c r="C86" i="54" a="1"/>
  <c r="C86" s="1"/>
  <c r="C98" s="1"/>
  <c r="C86" i="55" a="1"/>
  <c r="C86" s="1"/>
  <c r="C98" s="1"/>
  <c r="C86" i="57" a="1"/>
  <c r="C86" s="1"/>
  <c r="C98" s="1"/>
  <c r="G265" i="105"/>
  <c r="J376"/>
  <c r="N77" i="59"/>
  <c r="N77" i="54"/>
  <c r="N77" i="43"/>
  <c r="N77" i="128"/>
  <c r="N77" i="90"/>
  <c r="N77" i="86"/>
  <c r="N77" i="73"/>
  <c r="N77" i="100"/>
  <c r="N77" i="57"/>
  <c r="N77" i="38"/>
  <c r="O81" i="97"/>
  <c r="O81" i="44"/>
  <c r="O82" i="81"/>
  <c r="O81" i="84"/>
  <c r="O81" i="94"/>
  <c r="O82"/>
  <c r="O81" i="81"/>
  <c r="O82" i="80"/>
  <c r="O82" i="92"/>
  <c r="O81" i="56"/>
  <c r="O81" i="46"/>
  <c r="O81" i="92"/>
  <c r="O82" i="46"/>
  <c r="O82" i="56"/>
  <c r="O80" i="97"/>
  <c r="O80" i="80"/>
  <c r="O80" i="92"/>
  <c r="O79" i="94"/>
  <c r="O79" i="92"/>
  <c r="O80" i="56"/>
  <c r="O80" i="94"/>
  <c r="O80" i="81"/>
  <c r="O80" i="99"/>
  <c r="O79" i="84"/>
  <c r="O79" i="81"/>
  <c r="O80" i="55"/>
  <c r="O79" i="56"/>
  <c r="O80" i="84"/>
  <c r="O80" i="93"/>
  <c r="O79" i="72"/>
  <c r="O79" i="99"/>
  <c r="O79" i="46"/>
  <c r="O78" i="93"/>
  <c r="O78" i="81"/>
  <c r="O78" i="94"/>
  <c r="O78" i="92"/>
  <c r="O78" i="56"/>
  <c r="O77" i="94"/>
  <c r="O77" i="93"/>
  <c r="O77" i="39"/>
  <c r="O77" i="97"/>
  <c r="O77" i="92"/>
  <c r="O77" i="41"/>
  <c r="O77" i="46"/>
  <c r="O77" i="81"/>
  <c r="O77" i="56"/>
  <c r="C36" i="67"/>
  <c r="C105" s="1"/>
  <c r="C36" i="40"/>
  <c r="C105" s="1"/>
  <c r="D36" i="128"/>
  <c r="D206" s="1"/>
  <c r="C36" i="81"/>
  <c r="C206" s="1"/>
  <c r="C36" i="70"/>
  <c r="C206" s="1"/>
  <c r="C47" i="74"/>
  <c r="N118" s="1"/>
  <c r="C44" i="97"/>
  <c r="N115" s="1"/>
  <c r="C46" i="94"/>
  <c r="N117" s="1"/>
  <c r="C47" i="93"/>
  <c r="N118" s="1"/>
  <c r="C43" i="97"/>
  <c r="N114" s="1"/>
  <c r="C47" i="46"/>
  <c r="N118" s="1"/>
  <c r="C45" i="53"/>
  <c r="N116" s="1"/>
  <c r="C44" i="81"/>
  <c r="N115" s="1"/>
  <c r="C46" i="80"/>
  <c r="N117" s="1"/>
  <c r="C46" i="78"/>
  <c r="C45" i="44"/>
  <c r="N116" s="1"/>
  <c r="C46" i="99"/>
  <c r="N117" s="1"/>
  <c r="C45" i="78"/>
  <c r="C45" i="74"/>
  <c r="N116" s="1"/>
  <c r="C46"/>
  <c r="N117" s="1"/>
  <c r="C43" i="101"/>
  <c r="N114" s="1"/>
  <c r="C45" i="50"/>
  <c r="N116" s="1"/>
  <c r="C45" i="92"/>
  <c r="N116" s="1"/>
  <c r="C45" i="80"/>
  <c r="N116" s="1"/>
  <c r="C47" i="96"/>
  <c r="N118" s="1"/>
  <c r="C47" i="49"/>
  <c r="N118" s="1"/>
  <c r="C45" i="56"/>
  <c r="N116" s="1"/>
  <c r="C46"/>
  <c r="N117" s="1"/>
  <c r="C47" i="44"/>
  <c r="N118" s="1"/>
  <c r="C47" i="97"/>
  <c r="N118" s="1"/>
  <c r="C43" i="50"/>
  <c r="N114" s="1"/>
  <c r="C46" i="97"/>
  <c r="N117" s="1"/>
  <c r="C44" i="56"/>
  <c r="N115" s="1"/>
  <c r="C43" i="53"/>
  <c r="N114" s="1"/>
  <c r="C43" i="49"/>
  <c r="N114" s="1"/>
  <c r="C44" i="94"/>
  <c r="N115" s="1"/>
  <c r="C44" i="101"/>
  <c r="N115" s="1"/>
  <c r="C45" i="99"/>
  <c r="N116" s="1"/>
  <c r="C44" i="80"/>
  <c r="N115" s="1"/>
  <c r="C44" i="78"/>
  <c r="C46" i="101"/>
  <c r="N117" s="1"/>
  <c r="C47" i="92"/>
  <c r="N118" s="1"/>
  <c r="C43" i="81"/>
  <c r="N114" s="1"/>
  <c r="C45" i="49"/>
  <c r="N116" s="1"/>
  <c r="C43" i="40"/>
  <c r="N114" s="1"/>
  <c r="C45" i="93"/>
  <c r="N116" s="1"/>
  <c r="C45" i="81"/>
  <c r="N116" s="1"/>
  <c r="C47" i="99"/>
  <c r="N118" s="1"/>
  <c r="C47" i="40"/>
  <c r="N118" s="1"/>
  <c r="C47" i="50"/>
  <c r="N118" s="1"/>
  <c r="C43" i="94"/>
  <c r="N114" s="1"/>
  <c r="C44" i="53"/>
  <c r="N115" s="1"/>
  <c r="C47" i="56"/>
  <c r="N118" s="1"/>
  <c r="C44" i="46"/>
  <c r="N115" s="1"/>
  <c r="C46"/>
  <c r="N117" s="1"/>
  <c r="C45" i="40"/>
  <c r="N116" s="1"/>
  <c r="C47" i="101"/>
  <c r="N118" s="1"/>
  <c r="C47" i="80"/>
  <c r="N118" s="1"/>
  <c r="C47" i="78"/>
  <c r="C44" i="74"/>
  <c r="N115" s="1"/>
  <c r="C43" i="80"/>
  <c r="N114" s="1"/>
  <c r="C46" i="81"/>
  <c r="N117" s="1"/>
  <c r="C43" i="78"/>
  <c r="C44" i="50"/>
  <c r="N115" s="1"/>
  <c r="C46" i="40"/>
  <c r="N117" s="1"/>
  <c r="C45" i="101"/>
  <c r="N116" s="1"/>
  <c r="C45" i="96"/>
  <c r="N116" s="1"/>
  <c r="C43" i="92"/>
  <c r="N114" s="1"/>
  <c r="C46"/>
  <c r="N117" s="1"/>
  <c r="C44" i="99"/>
  <c r="N115" s="1"/>
  <c r="C44" i="40"/>
  <c r="N115" s="1"/>
  <c r="C36" i="38"/>
  <c r="C206" s="1"/>
  <c r="C44" i="44"/>
  <c r="N115" s="1"/>
  <c r="C46"/>
  <c r="N117" s="1"/>
  <c r="C36" i="78"/>
  <c r="C206" s="1"/>
  <c r="C36" i="86"/>
  <c r="C206" s="1"/>
  <c r="C47" i="81"/>
  <c r="N118" s="1"/>
  <c r="C36" i="83"/>
  <c r="C206" s="1"/>
  <c r="C43" i="46"/>
  <c r="N114" s="1"/>
  <c r="C36" i="32"/>
  <c r="C206" s="1"/>
  <c r="D32" i="60"/>
  <c r="D33"/>
  <c r="D34" i="59"/>
  <c r="D32" i="52"/>
  <c r="D31" i="59"/>
  <c r="D35" i="51"/>
  <c r="D34" i="45"/>
  <c r="D32" i="43"/>
  <c r="D32" i="50"/>
  <c r="D34" i="95"/>
  <c r="I32" i="109"/>
  <c r="D32" i="101"/>
  <c r="D35" i="98"/>
  <c r="E35" i="91"/>
  <c r="D35" i="78"/>
  <c r="D31" i="58"/>
  <c r="D30" i="108"/>
  <c r="D32" i="93"/>
  <c r="D30" i="89"/>
  <c r="D35" i="68"/>
  <c r="D32" i="55"/>
  <c r="D30" i="95"/>
  <c r="D31" i="32"/>
  <c r="D34" i="60"/>
  <c r="D30" i="56"/>
  <c r="D33" i="51"/>
  <c r="D33" i="48"/>
  <c r="D30" i="44"/>
  <c r="D33" i="41"/>
  <c r="I31" i="109"/>
  <c r="H33"/>
  <c r="G35"/>
  <c r="D33" i="97"/>
  <c r="D33" i="91"/>
  <c r="D33" i="80"/>
  <c r="D33" i="76"/>
  <c r="D33" i="73"/>
  <c r="D33" i="70"/>
  <c r="D33" i="90"/>
  <c r="D30" i="79"/>
  <c r="D33" i="86"/>
  <c r="D33" i="83"/>
  <c r="D33" i="75"/>
  <c r="H32" i="109"/>
  <c r="G34"/>
  <c r="D31" i="108"/>
  <c r="D33" i="101"/>
  <c r="D31" i="94"/>
  <c r="D33" i="92"/>
  <c r="D33" i="89"/>
  <c r="D33" i="88"/>
  <c r="D33" i="82"/>
  <c r="D33" i="77"/>
  <c r="D34" i="52"/>
  <c r="D35" i="101"/>
  <c r="D32" i="97"/>
  <c r="D32" i="94"/>
  <c r="D35" i="92"/>
  <c r="D31" i="89"/>
  <c r="D35" i="86"/>
  <c r="D31" i="84"/>
  <c r="I32" i="83"/>
  <c r="D31" i="82"/>
  <c r="D32" i="78"/>
  <c r="D32" i="76"/>
  <c r="D32" i="67"/>
  <c r="I35" i="109"/>
  <c r="D34" i="102"/>
  <c r="D34" i="99"/>
  <c r="D32" i="98"/>
  <c r="D34" i="96"/>
  <c r="D32" i="92"/>
  <c r="D32" i="82"/>
  <c r="D32" i="53"/>
  <c r="D32" i="59"/>
  <c r="D34" i="57"/>
  <c r="D34" i="56"/>
  <c r="D34" i="49"/>
  <c r="D34" i="46"/>
  <c r="D35" i="59"/>
  <c r="D35" i="53"/>
  <c r="D30" i="52"/>
  <c r="D32" i="96"/>
  <c r="D31" i="90"/>
  <c r="D34" i="78"/>
  <c r="D34" i="76"/>
  <c r="D34" i="68"/>
  <c r="G33" i="58"/>
  <c r="H31" i="109"/>
  <c r="D35" i="99"/>
  <c r="D34" i="98"/>
  <c r="D35" i="96"/>
  <c r="D34" i="87"/>
  <c r="D32" i="83"/>
  <c r="D34" i="77"/>
  <c r="D35" i="44"/>
  <c r="D35" i="41"/>
  <c r="D30" i="127"/>
  <c r="D34" i="92"/>
  <c r="D35" i="87"/>
  <c r="D34" i="86"/>
  <c r="D35" i="71"/>
  <c r="D34" i="67"/>
  <c r="D32" i="45"/>
  <c r="D35" i="49"/>
  <c r="D30" i="43"/>
  <c r="D33" i="59"/>
  <c r="D34" i="75"/>
  <c r="D31" i="48"/>
  <c r="D35" i="90"/>
  <c r="D32" i="79"/>
  <c r="D35" i="67"/>
  <c r="D35" i="43"/>
  <c r="D35" i="46"/>
  <c r="D34" i="91"/>
  <c r="D35" i="88"/>
  <c r="D35" i="70"/>
  <c r="D33" i="46"/>
  <c r="D33" i="42"/>
  <c r="D35" i="39"/>
  <c r="D31" i="80"/>
  <c r="D31" i="70"/>
  <c r="D35" i="54"/>
  <c r="D35" i="56"/>
  <c r="D33" i="127"/>
  <c r="D32" i="47"/>
  <c r="E31" i="109"/>
  <c r="F31"/>
  <c r="D33"/>
  <c r="D35" i="75"/>
  <c r="D33" i="72"/>
  <c r="D30" i="67"/>
  <c r="D30" i="96"/>
  <c r="D35" i="93"/>
  <c r="D30"/>
  <c r="D31" i="54"/>
  <c r="D33" i="56"/>
  <c r="D31" i="55"/>
  <c r="D34" i="50"/>
  <c r="D33" i="44"/>
  <c r="D34" i="40"/>
  <c r="E33" i="109"/>
  <c r="I34"/>
  <c r="D33" i="94"/>
  <c r="D33" i="81"/>
  <c r="E32" i="86"/>
  <c r="D33" i="69"/>
  <c r="E32" i="109"/>
  <c r="I33"/>
  <c r="H35"/>
  <c r="D34" i="100"/>
  <c r="D34" i="97"/>
  <c r="D33" i="95"/>
  <c r="D33" i="85"/>
  <c r="D34" i="53"/>
  <c r="D34" i="32"/>
  <c r="D33" i="53"/>
  <c r="D33" i="32"/>
  <c r="D33" i="102"/>
  <c r="D33" i="99"/>
  <c r="D35" i="95"/>
  <c r="D31" i="92"/>
  <c r="D32" i="90"/>
  <c r="D31" i="86"/>
  <c r="D32" i="85"/>
  <c r="D35" i="77"/>
  <c r="D32" i="73"/>
  <c r="D32" i="70"/>
  <c r="E34" i="109"/>
  <c r="D31" i="102"/>
  <c r="D34" i="93"/>
  <c r="D35" i="91"/>
  <c r="D32" i="89"/>
  <c r="D32" i="84"/>
  <c r="D34" i="54"/>
  <c r="D34" i="51"/>
  <c r="D34" i="44"/>
  <c r="D34" i="42"/>
  <c r="D35" i="38"/>
  <c r="D34" i="69"/>
  <c r="G33" i="109"/>
  <c r="D32" i="81"/>
  <c r="D31" i="69"/>
  <c r="D35" i="45"/>
  <c r="D32" i="108"/>
  <c r="D32" i="102"/>
  <c r="D32" i="88"/>
  <c r="D35" i="81"/>
  <c r="D33" i="58"/>
  <c r="D30" i="45"/>
  <c r="D32" i="91"/>
  <c r="D31" i="85"/>
  <c r="D35" i="74"/>
  <c r="D32" i="58"/>
  <c r="D33" i="55"/>
  <c r="D31" i="51"/>
  <c r="D30" i="49"/>
  <c r="D35" i="42"/>
  <c r="D35" i="102"/>
  <c r="D31" i="87"/>
  <c r="D34" i="82"/>
  <c r="D32" i="49"/>
  <c r="D32" i="42"/>
  <c r="D33" i="54"/>
  <c r="D30" i="50"/>
  <c r="D34" i="84"/>
  <c r="D35" i="58"/>
  <c r="D33" i="49"/>
  <c r="D34" i="83"/>
  <c r="D34" i="74"/>
  <c r="D30" i="39"/>
  <c r="D34" i="88"/>
  <c r="D32" i="39"/>
  <c r="D31" i="56"/>
  <c r="D33" i="45"/>
  <c r="D32" i="44"/>
  <c r="D34" i="43"/>
  <c r="D32" i="41"/>
  <c r="D32" i="40"/>
  <c r="D35" i="50"/>
  <c r="D32" i="95"/>
  <c r="F32" i="109"/>
  <c r="D35"/>
  <c r="D35" i="79"/>
  <c r="D31" i="83"/>
  <c r="D30" i="97"/>
  <c r="D32" i="56"/>
  <c r="D30" i="92"/>
  <c r="D34" i="90"/>
  <c r="D30" i="77"/>
  <c r="D31" i="57"/>
  <c r="D31" i="60"/>
  <c r="D34" i="55"/>
  <c r="D30" i="51"/>
  <c r="D30" i="48"/>
  <c r="D30" i="41"/>
  <c r="G32" i="109"/>
  <c r="F34"/>
  <c r="D33" i="108"/>
  <c r="D33" i="100"/>
  <c r="D34" i="79"/>
  <c r="F33" i="87"/>
  <c r="D33"/>
  <c r="D33" i="84"/>
  <c r="D33" i="67"/>
  <c r="D33" i="79"/>
  <c r="D33" i="78"/>
  <c r="G31" i="109"/>
  <c r="F33"/>
  <c r="E35"/>
  <c r="D34" i="108"/>
  <c r="D33" i="98"/>
  <c r="D34" i="94"/>
  <c r="D33" i="74"/>
  <c r="D33" i="68"/>
  <c r="D30" i="53"/>
  <c r="D33" i="96"/>
  <c r="D33" i="93"/>
  <c r="D35" i="89"/>
  <c r="I35" i="85"/>
  <c r="D35" i="84"/>
  <c r="D35" i="82"/>
  <c r="D31" i="77"/>
  <c r="H34" i="109"/>
  <c r="D35" i="76"/>
  <c r="D32" i="68"/>
  <c r="D34" i="127"/>
  <c r="D35" i="108"/>
  <c r="D35" i="100"/>
  <c r="D35" i="97"/>
  <c r="D35" i="94"/>
  <c r="D31" i="93"/>
  <c r="D31" i="91"/>
  <c r="D32" i="86"/>
  <c r="D32" i="75"/>
  <c r="D32" i="72"/>
  <c r="D32" i="69"/>
  <c r="D34" i="48"/>
  <c r="D34" i="41"/>
  <c r="D34" i="39"/>
  <c r="D30" i="38"/>
  <c r="D35" i="52"/>
  <c r="D32" i="99"/>
  <c r="D31" i="67"/>
  <c r="D34" i="73"/>
  <c r="D34" i="58"/>
  <c r="D35" i="32"/>
  <c r="D34" i="101"/>
  <c r="D34" i="85"/>
  <c r="D31" i="81"/>
  <c r="D30" i="58"/>
  <c r="D32" i="32"/>
  <c r="D35" i="48"/>
  <c r="D35" i="57"/>
  <c r="D35" i="127"/>
  <c r="D34" i="81"/>
  <c r="D31" i="74"/>
  <c r="D33" i="57"/>
  <c r="D32" i="54"/>
  <c r="D33" i="47"/>
  <c r="D32" i="46"/>
  <c r="D30" i="42"/>
  <c r="F35" i="109"/>
  <c r="D34" i="72"/>
  <c r="D32" i="57"/>
  <c r="D33" i="43"/>
  <c r="D35" i="73"/>
  <c r="D31" i="68"/>
  <c r="D35" i="60"/>
  <c r="D35" i="55"/>
  <c r="D30" i="46"/>
  <c r="D34" i="109"/>
  <c r="D34" i="70"/>
  <c r="D30" i="54"/>
  <c r="D33" i="40"/>
  <c r="D34" i="89"/>
  <c r="D35" i="85"/>
  <c r="D35" i="69"/>
  <c r="D33" i="52"/>
  <c r="D35" i="40"/>
  <c r="D35" i="80"/>
  <c r="D33" i="50"/>
  <c r="D30" i="40"/>
  <c r="D31" i="109"/>
  <c r="D35" i="83"/>
  <c r="D30" i="47"/>
  <c r="D34" i="80"/>
  <c r="D33" i="39"/>
  <c r="C36" i="100"/>
  <c r="C105" s="1"/>
  <c r="C36" i="91"/>
  <c r="C206" s="1"/>
  <c r="C36" i="92"/>
  <c r="C105" s="1"/>
  <c r="D118" i="45"/>
  <c r="E118" s="1"/>
  <c r="F118" s="1"/>
  <c r="G118" s="1"/>
  <c r="H118" s="1"/>
  <c r="I118" s="1"/>
  <c r="D115"/>
  <c r="E115" s="1"/>
  <c r="F115" s="1"/>
  <c r="G115" s="1"/>
  <c r="H115" s="1"/>
  <c r="I115" s="1"/>
  <c r="D113" i="91"/>
  <c r="E113" s="1"/>
  <c r="D117" i="83"/>
  <c r="E117" s="1"/>
  <c r="F117" s="1"/>
  <c r="G117" s="1"/>
  <c r="H117" s="1"/>
  <c r="I117" s="1"/>
  <c r="D114"/>
  <c r="E114" s="1"/>
  <c r="F114" s="1"/>
  <c r="G114" s="1"/>
  <c r="H114" s="1"/>
  <c r="I114" s="1"/>
  <c r="D117" i="41"/>
  <c r="E117" s="1"/>
  <c r="F117" s="1"/>
  <c r="G117" s="1"/>
  <c r="H117" s="1"/>
  <c r="I117" s="1"/>
  <c r="D114"/>
  <c r="E114" s="1"/>
  <c r="F114" s="1"/>
  <c r="G114" s="1"/>
  <c r="H114" s="1"/>
  <c r="I114" s="1"/>
  <c r="D116" i="47"/>
  <c r="E116" s="1"/>
  <c r="F116" s="1"/>
  <c r="G116" s="1"/>
  <c r="H116" s="1"/>
  <c r="I116" s="1"/>
  <c r="D113"/>
  <c r="E113" s="1"/>
  <c r="G31" i="46"/>
  <c r="J43" i="131"/>
  <c r="D43"/>
  <c r="D116" i="70"/>
  <c r="E116" s="1"/>
  <c r="F116" s="1"/>
  <c r="G116" s="1"/>
  <c r="H116" s="1"/>
  <c r="I116" s="1"/>
  <c r="D118" i="73"/>
  <c r="E118" s="1"/>
  <c r="F118" s="1"/>
  <c r="G118" s="1"/>
  <c r="H118" s="1"/>
  <c r="I118" s="1"/>
  <c r="D115"/>
  <c r="E115" s="1"/>
  <c r="F115" s="1"/>
  <c r="G115" s="1"/>
  <c r="H115" s="1"/>
  <c r="I115" s="1"/>
  <c r="D117" i="87"/>
  <c r="D117" i="32"/>
  <c r="E117" s="1"/>
  <c r="F117" s="1"/>
  <c r="G117" s="1"/>
  <c r="H117" s="1"/>
  <c r="I117" s="1"/>
  <c r="D114"/>
  <c r="E114" s="1"/>
  <c r="F114" s="1"/>
  <c r="G114" s="1"/>
  <c r="H114" s="1"/>
  <c r="I114" s="1"/>
  <c r="D116" i="53"/>
  <c r="E116" s="1"/>
  <c r="F116" s="1"/>
  <c r="G116" s="1"/>
  <c r="H116" s="1"/>
  <c r="I116" s="1"/>
  <c r="D114" i="96"/>
  <c r="E114" s="1"/>
  <c r="F114" s="1"/>
  <c r="G114" s="1"/>
  <c r="H114" s="1"/>
  <c r="I114" s="1"/>
  <c r="E32" i="91"/>
  <c r="I33" i="87"/>
  <c r="G34" i="80"/>
  <c r="G31" i="58"/>
  <c r="E33" i="59"/>
  <c r="E35" i="80"/>
  <c r="C42" i="74"/>
  <c r="C44" i="92"/>
  <c r="N115" s="1"/>
  <c r="C46" i="53"/>
  <c r="N117" s="1"/>
  <c r="C47" i="94"/>
  <c r="N118" s="1"/>
  <c r="C43" i="96"/>
  <c r="N114" s="1"/>
  <c r="C45" i="97"/>
  <c r="N116" s="1"/>
  <c r="C43" i="44"/>
  <c r="N114" s="1"/>
  <c r="C44" i="93"/>
  <c r="N115" s="1"/>
  <c r="C42" i="46"/>
  <c r="C46" i="49"/>
  <c r="N117" s="1"/>
  <c r="C46" i="50"/>
  <c r="N117" s="1"/>
  <c r="C36" i="74"/>
  <c r="C105" s="1"/>
  <c r="C46" i="93"/>
  <c r="N117" s="1"/>
  <c r="C36" i="102"/>
  <c r="C206" s="1"/>
  <c r="C36" i="47"/>
  <c r="C206" s="1"/>
  <c r="C46" i="96"/>
  <c r="N117" s="1"/>
  <c r="C47" i="53"/>
  <c r="N118" s="1"/>
  <c r="C36" i="97"/>
  <c r="C206" s="1"/>
  <c r="C36" i="93"/>
  <c r="C206" s="1"/>
  <c r="C43"/>
  <c r="N114" s="1"/>
  <c r="C43" i="56"/>
  <c r="N114" s="1"/>
  <c r="C19" i="104"/>
  <c r="C25" s="1"/>
  <c r="C139" s="1"/>
  <c r="C30" i="45"/>
  <c r="I34" i="59"/>
  <c r="C19" i="63"/>
  <c r="C25" s="1"/>
  <c r="C131" s="1"/>
  <c r="G35" i="91"/>
  <c r="G33" i="90"/>
  <c r="D30" i="55"/>
  <c r="D19" i="63"/>
  <c r="D25" s="1"/>
  <c r="D131" s="1"/>
  <c r="D25" i="89"/>
  <c r="D19" i="104"/>
  <c r="D25" s="1"/>
  <c r="D114" i="87"/>
  <c r="E114" s="1"/>
  <c r="F114" s="1"/>
  <c r="G114" s="1"/>
  <c r="H114" s="1"/>
  <c r="I114" s="1"/>
  <c r="D117" i="54"/>
  <c r="E117" s="1"/>
  <c r="F117" s="1"/>
  <c r="G117" s="1"/>
  <c r="H117" s="1"/>
  <c r="I117" s="1"/>
  <c r="D114"/>
  <c r="E114" s="1"/>
  <c r="F114" s="1"/>
  <c r="G114" s="1"/>
  <c r="H114" s="1"/>
  <c r="I114" s="1"/>
  <c r="E35" i="49"/>
  <c r="I33" i="73"/>
  <c r="I33" i="92"/>
  <c r="G35" i="87"/>
  <c r="H32" i="59"/>
  <c r="I35" i="40"/>
  <c r="D118" i="90"/>
  <c r="E118" s="1"/>
  <c r="F118" s="1"/>
  <c r="G118" s="1"/>
  <c r="H118" s="1"/>
  <c r="I118" s="1"/>
  <c r="D115"/>
  <c r="E115" s="1"/>
  <c r="F115" s="1"/>
  <c r="G115" s="1"/>
  <c r="H115" s="1"/>
  <c r="I115" s="1"/>
  <c r="D113" i="93"/>
  <c r="E113" s="1"/>
  <c r="D117" i="38"/>
  <c r="E117" s="1"/>
  <c r="F117" s="1"/>
  <c r="G117" s="1"/>
  <c r="H117" s="1"/>
  <c r="I117" s="1"/>
  <c r="D114"/>
  <c r="E114" s="1"/>
  <c r="F114" s="1"/>
  <c r="G114" s="1"/>
  <c r="H114" s="1"/>
  <c r="I114" s="1"/>
  <c r="G129" i="128" a="1"/>
  <c r="G129" s="1"/>
  <c r="D117" i="76"/>
  <c r="E117" s="1"/>
  <c r="F117" s="1"/>
  <c r="G117" s="1"/>
  <c r="H117" s="1"/>
  <c r="I117" s="1"/>
  <c r="D114"/>
  <c r="E114" s="1"/>
  <c r="F114" s="1"/>
  <c r="G114" s="1"/>
  <c r="H114" s="1"/>
  <c r="I114" s="1"/>
  <c r="D118" i="95"/>
  <c r="E118" s="1"/>
  <c r="F118" s="1"/>
  <c r="G118" s="1"/>
  <c r="H118" s="1"/>
  <c r="I118" s="1"/>
  <c r="D115"/>
  <c r="D116" i="102"/>
  <c r="E116" s="1"/>
  <c r="F116" s="1"/>
  <c r="G116" s="1"/>
  <c r="H116" s="1"/>
  <c r="I116" s="1"/>
  <c r="D116" i="108"/>
  <c r="E116" s="1"/>
  <c r="F116" s="1"/>
  <c r="G116" s="1"/>
  <c r="H116" s="1"/>
  <c r="I116" s="1"/>
  <c r="D113"/>
  <c r="E113" s="1"/>
  <c r="D117" i="57"/>
  <c r="E117" s="1"/>
  <c r="F117" s="1"/>
  <c r="G117" s="1"/>
  <c r="H117" s="1"/>
  <c r="I117" s="1"/>
  <c r="D114"/>
  <c r="E114" s="1"/>
  <c r="F114" s="1"/>
  <c r="G114" s="1"/>
  <c r="H114" s="1"/>
  <c r="I114" s="1"/>
  <c r="D38" i="131"/>
  <c r="H31" i="58"/>
  <c r="H32" i="56"/>
  <c r="H35" i="87"/>
  <c r="G34" i="58"/>
  <c r="I34" i="53"/>
  <c r="G31" i="91"/>
  <c r="H32"/>
  <c r="G34" i="87"/>
  <c r="I33" i="80"/>
  <c r="G31" i="86"/>
  <c r="I33" i="91"/>
  <c r="H35" i="73"/>
  <c r="G35" i="127"/>
  <c r="I33" i="98"/>
  <c r="G33" i="51"/>
  <c r="F35" i="55"/>
  <c r="I33" i="52"/>
  <c r="F33" i="56"/>
  <c r="D117" i="101"/>
  <c r="D114"/>
  <c r="E114" s="1"/>
  <c r="F114" s="1"/>
  <c r="G114" s="1"/>
  <c r="H114" s="1"/>
  <c r="I114" s="1"/>
  <c r="D117" i="108"/>
  <c r="D114"/>
  <c r="G126" i="128" a="1"/>
  <c r="G126" s="1"/>
  <c r="D113" i="53"/>
  <c r="E113" s="1"/>
  <c r="F113" s="1"/>
  <c r="D116" i="58"/>
  <c r="E116" s="1"/>
  <c r="F116" s="1"/>
  <c r="G116" s="1"/>
  <c r="H116" s="1"/>
  <c r="I116" s="1"/>
  <c r="D114" i="100"/>
  <c r="D116" i="127"/>
  <c r="E116" s="1"/>
  <c r="F116" s="1"/>
  <c r="G116" s="1"/>
  <c r="H116" s="1"/>
  <c r="I116" s="1"/>
  <c r="G127" i="128" a="1"/>
  <c r="G127" s="1"/>
  <c r="D117" i="75"/>
  <c r="E117" s="1"/>
  <c r="F117" s="1"/>
  <c r="G117" s="1"/>
  <c r="H117" s="1"/>
  <c r="I117" s="1"/>
  <c r="D114"/>
  <c r="E114" s="1"/>
  <c r="F114" s="1"/>
  <c r="G114" s="1"/>
  <c r="H114" s="1"/>
  <c r="I114" s="1"/>
  <c r="D114" i="77"/>
  <c r="E114" s="1"/>
  <c r="F114" s="1"/>
  <c r="G114" s="1"/>
  <c r="H114" s="1"/>
  <c r="I114" s="1"/>
  <c r="D116" i="85"/>
  <c r="E116" s="1"/>
  <c r="F116" s="1"/>
  <c r="G116" s="1"/>
  <c r="H116" s="1"/>
  <c r="I116" s="1"/>
  <c r="D113"/>
  <c r="D118" i="86"/>
  <c r="E118" s="1"/>
  <c r="F118" s="1"/>
  <c r="G118" s="1"/>
  <c r="H118" s="1"/>
  <c r="I118" s="1"/>
  <c r="D115"/>
  <c r="E115" s="1"/>
  <c r="F115" s="1"/>
  <c r="G115" s="1"/>
  <c r="H115" s="1"/>
  <c r="I115" s="1"/>
  <c r="D117" i="93"/>
  <c r="E117" s="1"/>
  <c r="F117" s="1"/>
  <c r="G117" s="1"/>
  <c r="H117" s="1"/>
  <c r="I117" s="1"/>
  <c r="D114"/>
  <c r="D80" i="32"/>
  <c r="O80" s="1"/>
  <c r="D118" i="39"/>
  <c r="E118" s="1"/>
  <c r="F118" s="1"/>
  <c r="G118" s="1"/>
  <c r="H118" s="1"/>
  <c r="I118" s="1"/>
  <c r="D115"/>
  <c r="D117" i="42"/>
  <c r="E117" s="1"/>
  <c r="F117" s="1"/>
  <c r="G117" s="1"/>
  <c r="H117" s="1"/>
  <c r="I117" s="1"/>
  <c r="D114"/>
  <c r="E114" s="1"/>
  <c r="F114" s="1"/>
  <c r="G114" s="1"/>
  <c r="H114" s="1"/>
  <c r="I114" s="1"/>
  <c r="D117" i="47"/>
  <c r="E117" s="1"/>
  <c r="F117" s="1"/>
  <c r="G117" s="1"/>
  <c r="H117" s="1"/>
  <c r="I117" s="1"/>
  <c r="D114" i="48"/>
  <c r="E114" s="1"/>
  <c r="F114" s="1"/>
  <c r="G114" s="1"/>
  <c r="H114" s="1"/>
  <c r="I114" s="1"/>
  <c r="D116" i="51"/>
  <c r="E116" s="1"/>
  <c r="F116" s="1"/>
  <c r="G116" s="1"/>
  <c r="H116" s="1"/>
  <c r="I116" s="1"/>
  <c r="D115" i="53"/>
  <c r="D113" i="58"/>
  <c r="G36" i="128"/>
  <c r="G206" s="1"/>
  <c r="I35" i="86"/>
  <c r="E32" i="87"/>
  <c r="H32" i="76"/>
  <c r="H32" i="86"/>
  <c r="E32" i="92"/>
  <c r="H35"/>
  <c r="E35" i="82"/>
  <c r="F33" i="74"/>
  <c r="G31" i="68"/>
  <c r="E35" i="52"/>
  <c r="G35" i="108"/>
  <c r="I31" i="55"/>
  <c r="G31" i="98"/>
  <c r="G34" i="90"/>
  <c r="D129" i="128" a="1"/>
  <c r="D129" s="1"/>
  <c r="E123" a="1"/>
  <c r="E123" s="1"/>
  <c r="D116" i="101"/>
  <c r="E116" s="1"/>
  <c r="F116" s="1"/>
  <c r="G116" s="1"/>
  <c r="H116" s="1"/>
  <c r="I116" s="1"/>
  <c r="D113"/>
  <c r="E113" s="1"/>
  <c r="D118" i="44"/>
  <c r="E118" s="1"/>
  <c r="F118" s="1"/>
  <c r="G118" s="1"/>
  <c r="H118" s="1"/>
  <c r="I118" s="1"/>
  <c r="D118" i="47"/>
  <c r="E118" s="1"/>
  <c r="F118" s="1"/>
  <c r="G118" s="1"/>
  <c r="H118" s="1"/>
  <c r="I118" s="1"/>
  <c r="H123" i="128" a="1"/>
  <c r="H123" s="1"/>
  <c r="D126" a="1"/>
  <c r="D126" s="1"/>
  <c r="E129" a="1"/>
  <c r="E129" s="1"/>
  <c r="D116" i="72"/>
  <c r="E116" s="1"/>
  <c r="F116" s="1"/>
  <c r="G116" s="1"/>
  <c r="H116" s="1"/>
  <c r="I116" s="1"/>
  <c r="D116" i="82"/>
  <c r="D115" i="83"/>
  <c r="D118" i="85"/>
  <c r="D116" i="87"/>
  <c r="E116" s="1"/>
  <c r="F116" s="1"/>
  <c r="G116" s="1"/>
  <c r="H116" s="1"/>
  <c r="I116" s="1"/>
  <c r="D113"/>
  <c r="D118" i="80"/>
  <c r="E118" s="1"/>
  <c r="F118" s="1"/>
  <c r="G118" s="1"/>
  <c r="H118" s="1"/>
  <c r="I118" s="1"/>
  <c r="D115"/>
  <c r="E115" s="1"/>
  <c r="F115" s="1"/>
  <c r="G115" s="1"/>
  <c r="H115" s="1"/>
  <c r="I115" s="1"/>
  <c r="D117" i="90"/>
  <c r="D114"/>
  <c r="D116" i="94"/>
  <c r="E116" s="1"/>
  <c r="F116" s="1"/>
  <c r="G116" s="1"/>
  <c r="H116" s="1"/>
  <c r="I116" s="1"/>
  <c r="D117" i="95"/>
  <c r="E117" s="1"/>
  <c r="F117" s="1"/>
  <c r="G117" s="1"/>
  <c r="H117" s="1"/>
  <c r="I117" s="1"/>
  <c r="D114"/>
  <c r="E114" s="1"/>
  <c r="F114" s="1"/>
  <c r="G114" s="1"/>
  <c r="H114" s="1"/>
  <c r="I114" s="1"/>
  <c r="D116" i="99"/>
  <c r="E116" s="1"/>
  <c r="F116" s="1"/>
  <c r="G116" s="1"/>
  <c r="H116" s="1"/>
  <c r="I116" s="1"/>
  <c r="D118" i="100"/>
  <c r="E118" s="1"/>
  <c r="F118" s="1"/>
  <c r="G118" s="1"/>
  <c r="H118" s="1"/>
  <c r="I118" s="1"/>
  <c r="D117" i="102"/>
  <c r="E117" s="1"/>
  <c r="F117" s="1"/>
  <c r="G117" s="1"/>
  <c r="H117" s="1"/>
  <c r="I117" s="1"/>
  <c r="D114"/>
  <c r="E114" s="1"/>
  <c r="F114" s="1"/>
  <c r="G114" s="1"/>
  <c r="H114" s="1"/>
  <c r="I114" s="1"/>
  <c r="D116" i="129"/>
  <c r="E116" s="1"/>
  <c r="F116" s="1"/>
  <c r="G116" s="1"/>
  <c r="H116" s="1"/>
  <c r="I116" s="1"/>
  <c r="D118" i="42"/>
  <c r="E118" s="1"/>
  <c r="F118" s="1"/>
  <c r="G118" s="1"/>
  <c r="H118" s="1"/>
  <c r="I118" s="1"/>
  <c r="D115"/>
  <c r="E115" s="1"/>
  <c r="F115" s="1"/>
  <c r="G115" s="1"/>
  <c r="H115" s="1"/>
  <c r="I115" s="1"/>
  <c r="D116" i="45"/>
  <c r="E116" s="1"/>
  <c r="F116" s="1"/>
  <c r="G116" s="1"/>
  <c r="H116" s="1"/>
  <c r="I116" s="1"/>
  <c r="D118" i="50"/>
  <c r="E118" s="1"/>
  <c r="F118" s="1"/>
  <c r="G118" s="1"/>
  <c r="H118" s="1"/>
  <c r="I118" s="1"/>
  <c r="D115"/>
  <c r="E115" s="1"/>
  <c r="F115" s="1"/>
  <c r="G115" s="1"/>
  <c r="H115" s="1"/>
  <c r="I115" s="1"/>
  <c r="D114" i="51"/>
  <c r="E114" s="1"/>
  <c r="F114" s="1"/>
  <c r="G114" s="1"/>
  <c r="H114" s="1"/>
  <c r="I114" s="1"/>
  <c r="E38" i="131"/>
  <c r="G123" i="128" a="1"/>
  <c r="G123" s="1"/>
  <c r="G43" i="131"/>
  <c r="D265" i="105"/>
  <c r="D116" i="55"/>
  <c r="E116" s="1"/>
  <c r="F116" s="1"/>
  <c r="G116" s="1"/>
  <c r="H116" s="1"/>
  <c r="I116" s="1"/>
  <c r="D118" i="70"/>
  <c r="E118" s="1"/>
  <c r="F118" s="1"/>
  <c r="G118" s="1"/>
  <c r="H118" s="1"/>
  <c r="I118" s="1"/>
  <c r="D115"/>
  <c r="D117" i="72"/>
  <c r="E117" s="1"/>
  <c r="F117" s="1"/>
  <c r="G117" s="1"/>
  <c r="H117" s="1"/>
  <c r="I117" s="1"/>
  <c r="D114"/>
  <c r="E114" s="1"/>
  <c r="F114" s="1"/>
  <c r="G114" s="1"/>
  <c r="H114" s="1"/>
  <c r="I114" s="1"/>
  <c r="D116" i="76"/>
  <c r="E116" s="1"/>
  <c r="F116" s="1"/>
  <c r="G116" s="1"/>
  <c r="H116" s="1"/>
  <c r="I116" s="1"/>
  <c r="D116" i="77"/>
  <c r="E116" s="1"/>
  <c r="F116" s="1"/>
  <c r="G116" s="1"/>
  <c r="H116" s="1"/>
  <c r="I116" s="1"/>
  <c r="D118" i="88"/>
  <c r="E118" s="1"/>
  <c r="F118" s="1"/>
  <c r="G118" s="1"/>
  <c r="H118" s="1"/>
  <c r="I118" s="1"/>
  <c r="D115"/>
  <c r="E115" s="1"/>
  <c r="F115" s="1"/>
  <c r="G115" s="1"/>
  <c r="H115" s="1"/>
  <c r="I115" s="1"/>
  <c r="D116" i="80"/>
  <c r="E116" s="1"/>
  <c r="F116" s="1"/>
  <c r="G116" s="1"/>
  <c r="H116" s="1"/>
  <c r="I116" s="1"/>
  <c r="D117" i="99"/>
  <c r="E117" s="1"/>
  <c r="F117" s="1"/>
  <c r="G117" s="1"/>
  <c r="H117" s="1"/>
  <c r="I117" s="1"/>
  <c r="D114"/>
  <c r="E114" s="1"/>
  <c r="F114" s="1"/>
  <c r="G114" s="1"/>
  <c r="H114" s="1"/>
  <c r="I114" s="1"/>
  <c r="E122" i="128" a="1"/>
  <c r="E122" s="1"/>
  <c r="H126" a="1"/>
  <c r="H126" s="1"/>
  <c r="D125" a="1"/>
  <c r="D125" s="1"/>
  <c r="D116" i="39"/>
  <c r="E116" s="1"/>
  <c r="F116" s="1"/>
  <c r="G116" s="1"/>
  <c r="H116" s="1"/>
  <c r="I116" s="1"/>
  <c r="D113"/>
  <c r="E113" s="1"/>
  <c r="D116" i="41"/>
  <c r="E116" s="1"/>
  <c r="F116" s="1"/>
  <c r="G116" s="1"/>
  <c r="H116" s="1"/>
  <c r="I116" s="1"/>
  <c r="D116" i="57"/>
  <c r="E116" s="1"/>
  <c r="F116" s="1"/>
  <c r="G116" s="1"/>
  <c r="H116" s="1"/>
  <c r="I116" s="1"/>
  <c r="D116" i="60"/>
  <c r="E116" s="1"/>
  <c r="F116" s="1"/>
  <c r="G116" s="1"/>
  <c r="H116" s="1"/>
  <c r="I116" s="1"/>
  <c r="F15" i="131"/>
  <c r="I376" i="130"/>
  <c r="H41" i="131" s="1"/>
  <c r="F606" i="105"/>
  <c r="D117" i="68"/>
  <c r="E117" s="1"/>
  <c r="F117" s="1"/>
  <c r="G117" s="1"/>
  <c r="H117" s="1"/>
  <c r="I117" s="1"/>
  <c r="D114"/>
  <c r="E114" s="1"/>
  <c r="F114" s="1"/>
  <c r="G114" s="1"/>
  <c r="H114" s="1"/>
  <c r="I114" s="1"/>
  <c r="D117" i="71"/>
  <c r="E117" s="1"/>
  <c r="F117" s="1"/>
  <c r="G117" s="1"/>
  <c r="H117" s="1"/>
  <c r="I117" s="1"/>
  <c r="D114"/>
  <c r="E114" s="1"/>
  <c r="F114" s="1"/>
  <c r="G114" s="1"/>
  <c r="H114" s="1"/>
  <c r="I114" s="1"/>
  <c r="D116" i="73"/>
  <c r="E116" s="1"/>
  <c r="F116" s="1"/>
  <c r="G116" s="1"/>
  <c r="H116" s="1"/>
  <c r="I116" s="1"/>
  <c r="D113"/>
  <c r="E113" s="1"/>
  <c r="D118" i="75"/>
  <c r="E118" s="1"/>
  <c r="F118" s="1"/>
  <c r="G118" s="1"/>
  <c r="H118" s="1"/>
  <c r="I118" s="1"/>
  <c r="D115"/>
  <c r="E115" s="1"/>
  <c r="F115" s="1"/>
  <c r="G115" s="1"/>
  <c r="H115" s="1"/>
  <c r="I115" s="1"/>
  <c r="D117" i="81"/>
  <c r="E117" s="1"/>
  <c r="F117" s="1"/>
  <c r="G117" s="1"/>
  <c r="H117" s="1"/>
  <c r="I117" s="1"/>
  <c r="D114"/>
  <c r="E114" s="1"/>
  <c r="F114" s="1"/>
  <c r="G114" s="1"/>
  <c r="H114" s="1"/>
  <c r="I114" s="1"/>
  <c r="D80" i="83"/>
  <c r="D117" i="85"/>
  <c r="E117" s="1"/>
  <c r="F117" s="1"/>
  <c r="G117" s="1"/>
  <c r="H117" s="1"/>
  <c r="I117" s="1"/>
  <c r="D118" i="89"/>
  <c r="E118" s="1"/>
  <c r="F118" s="1"/>
  <c r="G118" s="1"/>
  <c r="H118" s="1"/>
  <c r="I118" s="1"/>
  <c r="D115"/>
  <c r="E115" s="1"/>
  <c r="F115" s="1"/>
  <c r="G115" s="1"/>
  <c r="H115" s="1"/>
  <c r="I115" s="1"/>
  <c r="D117" i="91"/>
  <c r="E117" s="1"/>
  <c r="F117" s="1"/>
  <c r="G117" s="1"/>
  <c r="H117" s="1"/>
  <c r="I117" s="1"/>
  <c r="D118" i="94"/>
  <c r="E118" s="1"/>
  <c r="F118" s="1"/>
  <c r="G118" s="1"/>
  <c r="H118" s="1"/>
  <c r="I118" s="1"/>
  <c r="D115"/>
  <c r="E115" s="1"/>
  <c r="F115" s="1"/>
  <c r="G115" s="1"/>
  <c r="H115" s="1"/>
  <c r="I115" s="1"/>
  <c r="D118" i="96"/>
  <c r="E118" s="1"/>
  <c r="F118" s="1"/>
  <c r="G118" s="1"/>
  <c r="H118" s="1"/>
  <c r="I118" s="1"/>
  <c r="D115"/>
  <c r="E115" s="1"/>
  <c r="F115" s="1"/>
  <c r="G115" s="1"/>
  <c r="H115" s="1"/>
  <c r="I115" s="1"/>
  <c r="H122" i="128" a="1"/>
  <c r="H122" s="1"/>
  <c r="D127" a="1"/>
  <c r="D127" s="1"/>
  <c r="G124" a="1"/>
  <c r="G124" s="1"/>
  <c r="D115" i="43"/>
  <c r="E115" s="1"/>
  <c r="F115" s="1"/>
  <c r="G115" s="1"/>
  <c r="H115" s="1"/>
  <c r="I115" s="1"/>
  <c r="D115" i="47"/>
  <c r="E115" s="1"/>
  <c r="F115" s="1"/>
  <c r="G115" s="1"/>
  <c r="H115" s="1"/>
  <c r="I115" s="1"/>
  <c r="D114"/>
  <c r="E114" s="1"/>
  <c r="F114" s="1"/>
  <c r="G114" s="1"/>
  <c r="H114" s="1"/>
  <c r="I114" s="1"/>
  <c r="D118" i="53"/>
  <c r="E118" s="1"/>
  <c r="F118" s="1"/>
  <c r="G118" s="1"/>
  <c r="H118" s="1"/>
  <c r="I118" s="1"/>
  <c r="H551" i="105"/>
  <c r="F551"/>
  <c r="J983" i="111"/>
  <c r="U983" s="1"/>
  <c r="H981"/>
  <c r="S981" s="1"/>
  <c r="I979"/>
  <c r="T979" s="1"/>
  <c r="F981"/>
  <c r="Q981" s="1"/>
  <c r="I982"/>
  <c r="T982" s="1"/>
  <c r="F984"/>
  <c r="Q984" s="1"/>
  <c r="I606" i="130"/>
  <c r="F38" i="131"/>
  <c r="E45"/>
  <c r="K53"/>
  <c r="I44"/>
  <c r="G980" i="111"/>
  <c r="R980" s="1"/>
  <c r="K981"/>
  <c r="V981" s="1"/>
  <c r="G983"/>
  <c r="R983" s="1"/>
  <c r="J980"/>
  <c r="U980" s="1"/>
  <c r="K982"/>
  <c r="V982" s="1"/>
  <c r="E980"/>
  <c r="H33" i="88"/>
  <c r="G35" i="98"/>
  <c r="E34" i="100"/>
  <c r="E35" i="92"/>
  <c r="G34" i="98"/>
  <c r="G35" i="86"/>
  <c r="G35" i="45"/>
  <c r="G33" i="43"/>
  <c r="G31" i="39"/>
  <c r="H33" i="55"/>
  <c r="I35" i="48"/>
  <c r="G35" i="68"/>
  <c r="E32" i="102"/>
  <c r="G35" i="99"/>
  <c r="H32" i="80"/>
  <c r="H32" i="87"/>
  <c r="G34" i="68"/>
  <c r="F32" i="77"/>
  <c r="E32" i="82"/>
  <c r="G35" i="38"/>
  <c r="G33" i="77"/>
  <c r="E32" i="59"/>
  <c r="G31" i="93"/>
  <c r="G34" i="86"/>
  <c r="H32" i="90"/>
  <c r="I31" i="78"/>
  <c r="I32" i="77"/>
  <c r="I33" i="76"/>
  <c r="H35"/>
  <c r="F33" i="73"/>
  <c r="I33" i="86"/>
  <c r="H35"/>
  <c r="G31" i="92"/>
  <c r="H32" i="74"/>
  <c r="H32" i="68"/>
  <c r="H33" i="85"/>
  <c r="G31" i="102"/>
  <c r="G35" i="44"/>
  <c r="I35" i="53"/>
  <c r="G34" i="52"/>
  <c r="H32" i="102"/>
  <c r="I33" i="68"/>
  <c r="G33" i="71"/>
  <c r="E32" i="68"/>
  <c r="I35" i="100"/>
  <c r="I35" i="99"/>
  <c r="G35" i="88"/>
  <c r="F9" i="72"/>
  <c r="G58" i="114"/>
  <c r="I8" i="71"/>
  <c r="J49" i="114"/>
  <c r="G34" i="77"/>
  <c r="G31" i="80"/>
  <c r="I34" i="78"/>
  <c r="E34" i="53"/>
  <c r="G31" i="90"/>
  <c r="E35" i="86"/>
  <c r="F33" i="84"/>
  <c r="F32" i="97"/>
  <c r="G33" i="42"/>
  <c r="F184" i="114"/>
  <c r="H35" i="80"/>
  <c r="I33" i="84"/>
  <c r="F33" i="82"/>
  <c r="E32" i="74"/>
  <c r="H33" i="78"/>
  <c r="I35" i="96"/>
  <c r="G35" i="52"/>
  <c r="H35" i="78"/>
  <c r="G34" i="76"/>
  <c r="H35" i="74"/>
  <c r="H35" i="68"/>
  <c r="G35" i="82"/>
  <c r="D77" i="83"/>
  <c r="O77" s="1"/>
  <c r="D82"/>
  <c r="O82" s="1"/>
  <c r="D79"/>
  <c r="D81"/>
  <c r="D78"/>
  <c r="E78" s="1"/>
  <c r="P78" s="1"/>
  <c r="G35" i="90"/>
  <c r="G35" i="94"/>
  <c r="G35" i="32"/>
  <c r="D115" i="87"/>
  <c r="D113" i="90"/>
  <c r="E113" s="1"/>
  <c r="D117" i="100"/>
  <c r="E117" s="1"/>
  <c r="F117" s="1"/>
  <c r="G117" s="1"/>
  <c r="H117" s="1"/>
  <c r="I117" s="1"/>
  <c r="D114" i="43"/>
  <c r="E114" s="1"/>
  <c r="F114" s="1"/>
  <c r="G114" s="1"/>
  <c r="H114" s="1"/>
  <c r="I114" s="1"/>
  <c r="D117"/>
  <c r="E117" s="1"/>
  <c r="F117" s="1"/>
  <c r="G117" s="1"/>
  <c r="H117" s="1"/>
  <c r="I117" s="1"/>
  <c r="D116" i="44"/>
  <c r="E116" s="1"/>
  <c r="F116" s="1"/>
  <c r="G116" s="1"/>
  <c r="H116" s="1"/>
  <c r="I116" s="1"/>
  <c r="D118" i="48"/>
  <c r="E118" s="1"/>
  <c r="F118" s="1"/>
  <c r="G118" s="1"/>
  <c r="H118" s="1"/>
  <c r="I118" s="1"/>
  <c r="D115"/>
  <c r="E115" s="1"/>
  <c r="F115" s="1"/>
  <c r="G115" s="1"/>
  <c r="H115" s="1"/>
  <c r="I115" s="1"/>
  <c r="D118" i="51"/>
  <c r="E118" s="1"/>
  <c r="F118" s="1"/>
  <c r="G118" s="1"/>
  <c r="H118" s="1"/>
  <c r="I118" s="1"/>
  <c r="D115" i="58"/>
  <c r="E115" s="1"/>
  <c r="F115" s="1"/>
  <c r="G115" s="1"/>
  <c r="H115" s="1"/>
  <c r="I115" s="1"/>
  <c r="D606" i="105"/>
  <c r="I28" i="131"/>
  <c r="G606" i="130"/>
  <c r="H606"/>
  <c r="E97"/>
  <c r="D116" i="71"/>
  <c r="D115" i="77"/>
  <c r="E115" s="1"/>
  <c r="F115" s="1"/>
  <c r="G115" s="1"/>
  <c r="H115" s="1"/>
  <c r="I115" s="1"/>
  <c r="D113" i="55"/>
  <c r="E113" s="1"/>
  <c r="D606" i="130"/>
  <c r="D118" i="83"/>
  <c r="E118" s="1"/>
  <c r="F118" s="1"/>
  <c r="G118" s="1"/>
  <c r="H118" s="1"/>
  <c r="I118" s="1"/>
  <c r="D118" i="127"/>
  <c r="E118" s="1"/>
  <c r="F118" s="1"/>
  <c r="G118" s="1"/>
  <c r="H118" s="1"/>
  <c r="I118" s="1"/>
  <c r="D115"/>
  <c r="E115" s="1"/>
  <c r="F115" s="1"/>
  <c r="G115" s="1"/>
  <c r="H115" s="1"/>
  <c r="I115" s="1"/>
  <c r="D118" i="129"/>
  <c r="E118" s="1"/>
  <c r="F118" s="1"/>
  <c r="G118" s="1"/>
  <c r="H118" s="1"/>
  <c r="I118" s="1"/>
  <c r="D115"/>
  <c r="E115" s="1"/>
  <c r="F115" s="1"/>
  <c r="G115" s="1"/>
  <c r="H115" s="1"/>
  <c r="I115" s="1"/>
  <c r="D116" i="38"/>
  <c r="E116" s="1"/>
  <c r="F116" s="1"/>
  <c r="G116" s="1"/>
  <c r="H116" s="1"/>
  <c r="I116" s="1"/>
  <c r="D117" i="48"/>
  <c r="E117" s="1"/>
  <c r="F117" s="1"/>
  <c r="G117" s="1"/>
  <c r="H117" s="1"/>
  <c r="I117" s="1"/>
  <c r="D115" i="51"/>
  <c r="E115" s="1"/>
  <c r="F115" s="1"/>
  <c r="G115" s="1"/>
  <c r="H115" s="1"/>
  <c r="I115" s="1"/>
  <c r="D114" i="52"/>
  <c r="E114" s="1"/>
  <c r="F114" s="1"/>
  <c r="G114" s="1"/>
  <c r="H114" s="1"/>
  <c r="I114" s="1"/>
  <c r="D114" i="53"/>
  <c r="D117"/>
  <c r="E117" s="1"/>
  <c r="F117" s="1"/>
  <c r="G117" s="1"/>
  <c r="H117" s="1"/>
  <c r="I117" s="1"/>
  <c r="D116" i="54"/>
  <c r="E116" s="1"/>
  <c r="F116" s="1"/>
  <c r="G116" s="1"/>
  <c r="H116" s="1"/>
  <c r="I116" s="1"/>
  <c r="D114" i="55"/>
  <c r="E114" s="1"/>
  <c r="F114" s="1"/>
  <c r="G114" s="1"/>
  <c r="H114" s="1"/>
  <c r="I114" s="1"/>
  <c r="H512" i="105"/>
  <c r="D512"/>
  <c r="E265"/>
  <c r="I225"/>
  <c r="G225"/>
  <c r="I34" i="131"/>
  <c r="K225" i="130"/>
  <c r="D376" i="105"/>
  <c r="I33" i="74"/>
  <c r="G34" i="73"/>
  <c r="G35" i="69"/>
  <c r="G35" i="72"/>
  <c r="G35" i="84"/>
  <c r="G35" i="53"/>
  <c r="F33" i="102"/>
  <c r="F33" i="68"/>
  <c r="G35" i="70"/>
  <c r="F31" i="78"/>
  <c r="E32" i="93"/>
  <c r="G35" i="102"/>
  <c r="E31" i="85"/>
  <c r="I31" i="88"/>
  <c r="G31" i="71"/>
  <c r="G35" i="56"/>
  <c r="G35" i="97"/>
  <c r="G35" i="80"/>
  <c r="G35" i="59"/>
  <c r="F31" i="53"/>
  <c r="E33"/>
  <c r="H32" i="92"/>
  <c r="F33" i="86"/>
  <c r="F35" i="77"/>
  <c r="G35" i="83"/>
  <c r="H31" i="51"/>
  <c r="I35" i="69"/>
  <c r="I35" i="68"/>
  <c r="E35" i="72"/>
  <c r="I35" i="70"/>
  <c r="H34" i="48"/>
  <c r="I23" i="131"/>
  <c r="D114" i="85"/>
  <c r="E114" s="1"/>
  <c r="F114" s="1"/>
  <c r="G114" s="1"/>
  <c r="H114" s="1"/>
  <c r="I114" s="1"/>
  <c r="D118" i="67"/>
  <c r="E118" s="1"/>
  <c r="F118" s="1"/>
  <c r="G118" s="1"/>
  <c r="H118" s="1"/>
  <c r="I118" s="1"/>
  <c r="D115"/>
  <c r="E115" s="1"/>
  <c r="F115" s="1"/>
  <c r="G115" s="1"/>
  <c r="H115" s="1"/>
  <c r="I115" s="1"/>
  <c r="D117"/>
  <c r="D117" i="82"/>
  <c r="E117" s="1"/>
  <c r="F117" s="1"/>
  <c r="G117" s="1"/>
  <c r="H117" s="1"/>
  <c r="I117" s="1"/>
  <c r="D114"/>
  <c r="E114" s="1"/>
  <c r="F114" s="1"/>
  <c r="G114" s="1"/>
  <c r="H114" s="1"/>
  <c r="I114" s="1"/>
  <c r="D115" i="85"/>
  <c r="E115" s="1"/>
  <c r="F115" s="1"/>
  <c r="G115" s="1"/>
  <c r="H115" s="1"/>
  <c r="I115" s="1"/>
  <c r="D116" i="86"/>
  <c r="E116" s="1"/>
  <c r="F116" s="1"/>
  <c r="G116" s="1"/>
  <c r="H116" s="1"/>
  <c r="I116" s="1"/>
  <c r="D118" i="87"/>
  <c r="E118" s="1"/>
  <c r="F118" s="1"/>
  <c r="G118" s="1"/>
  <c r="H118" s="1"/>
  <c r="I118" s="1"/>
  <c r="D117" i="88"/>
  <c r="E117" s="1"/>
  <c r="F117" s="1"/>
  <c r="G117" s="1"/>
  <c r="H117" s="1"/>
  <c r="I117" s="1"/>
  <c r="D114"/>
  <c r="E114" s="1"/>
  <c r="F114" s="1"/>
  <c r="G114" s="1"/>
  <c r="H114" s="1"/>
  <c r="I114" s="1"/>
  <c r="D117" i="80"/>
  <c r="E117" s="1"/>
  <c r="F117" s="1"/>
  <c r="G117" s="1"/>
  <c r="H117" s="1"/>
  <c r="I117" s="1"/>
  <c r="D114"/>
  <c r="E114" s="1"/>
  <c r="F114" s="1"/>
  <c r="G114" s="1"/>
  <c r="H114" s="1"/>
  <c r="I114" s="1"/>
  <c r="D116" i="90"/>
  <c r="E116" s="1"/>
  <c r="F116" s="1"/>
  <c r="G116" s="1"/>
  <c r="H116" s="1"/>
  <c r="I116" s="1"/>
  <c r="D114" i="91"/>
  <c r="D116"/>
  <c r="E116" s="1"/>
  <c r="F116" s="1"/>
  <c r="G116" s="1"/>
  <c r="H116" s="1"/>
  <c r="I116" s="1"/>
  <c r="D116" i="96"/>
  <c r="E116" s="1"/>
  <c r="F116" s="1"/>
  <c r="G116" s="1"/>
  <c r="H116" s="1"/>
  <c r="I116" s="1"/>
  <c r="D117"/>
  <c r="E117" s="1"/>
  <c r="F117" s="1"/>
  <c r="G117" s="1"/>
  <c r="H117" s="1"/>
  <c r="I117" s="1"/>
  <c r="D118" i="97"/>
  <c r="E118" s="1"/>
  <c r="F118" s="1"/>
  <c r="G118" s="1"/>
  <c r="H118" s="1"/>
  <c r="I118" s="1"/>
  <c r="D115"/>
  <c r="E115" s="1"/>
  <c r="F115" s="1"/>
  <c r="G115" s="1"/>
  <c r="H115" s="1"/>
  <c r="I115" s="1"/>
  <c r="D115" i="100"/>
  <c r="E115" s="1"/>
  <c r="F115" s="1"/>
  <c r="G115" s="1"/>
  <c r="H115" s="1"/>
  <c r="I115" s="1"/>
  <c r="D113"/>
  <c r="E113" s="1"/>
  <c r="F113" s="1"/>
  <c r="D118" i="108"/>
  <c r="E118" s="1"/>
  <c r="F118" s="1"/>
  <c r="G118" s="1"/>
  <c r="H118" s="1"/>
  <c r="I118" s="1"/>
  <c r="D115"/>
  <c r="E115" s="1"/>
  <c r="F115" s="1"/>
  <c r="G115" s="1"/>
  <c r="H115" s="1"/>
  <c r="I115" s="1"/>
  <c r="D117" i="127"/>
  <c r="E117" s="1"/>
  <c r="F117" s="1"/>
  <c r="G117" s="1"/>
  <c r="H117" s="1"/>
  <c r="I117" s="1"/>
  <c r="D114"/>
  <c r="E114" s="1"/>
  <c r="F114" s="1"/>
  <c r="G114" s="1"/>
  <c r="H114" s="1"/>
  <c r="I114" s="1"/>
  <c r="D117" i="129"/>
  <c r="E117" s="1"/>
  <c r="F117" s="1"/>
  <c r="G117" s="1"/>
  <c r="H117" s="1"/>
  <c r="I117" s="1"/>
  <c r="D114"/>
  <c r="E114" s="1"/>
  <c r="F114" s="1"/>
  <c r="G114" s="1"/>
  <c r="H114" s="1"/>
  <c r="I114" s="1"/>
  <c r="D116" i="32"/>
  <c r="E116" s="1"/>
  <c r="F116" s="1"/>
  <c r="G116" s="1"/>
  <c r="H116" s="1"/>
  <c r="I116" s="1"/>
  <c r="D118" i="38"/>
  <c r="E118" s="1"/>
  <c r="F118" s="1"/>
  <c r="G118" s="1"/>
  <c r="H118" s="1"/>
  <c r="I118" s="1"/>
  <c r="D115"/>
  <c r="E115" s="1"/>
  <c r="F115" s="1"/>
  <c r="G115" s="1"/>
  <c r="H115" s="1"/>
  <c r="I115" s="1"/>
  <c r="D117" i="39"/>
  <c r="D114"/>
  <c r="E114" s="1"/>
  <c r="F114" s="1"/>
  <c r="G114" s="1"/>
  <c r="H114" s="1"/>
  <c r="I114" s="1"/>
  <c r="D117" i="45"/>
  <c r="E117" s="1"/>
  <c r="F117" s="1"/>
  <c r="G117" s="1"/>
  <c r="H117" s="1"/>
  <c r="I117" s="1"/>
  <c r="D114"/>
  <c r="E114" s="1"/>
  <c r="F114" s="1"/>
  <c r="G114" s="1"/>
  <c r="H114" s="1"/>
  <c r="I114" s="1"/>
  <c r="D116" i="52"/>
  <c r="E116" s="1"/>
  <c r="F116" s="1"/>
  <c r="G116" s="1"/>
  <c r="H116" s="1"/>
  <c r="I116" s="1"/>
  <c r="D118" i="57"/>
  <c r="E118" s="1"/>
  <c r="F118" s="1"/>
  <c r="G118" s="1"/>
  <c r="H118" s="1"/>
  <c r="I118" s="1"/>
  <c r="D115"/>
  <c r="E115" s="1"/>
  <c r="F115" s="1"/>
  <c r="G115" s="1"/>
  <c r="H115" s="1"/>
  <c r="I115" s="1"/>
  <c r="D118" i="58"/>
  <c r="E118" s="1"/>
  <c r="F118" s="1"/>
  <c r="G118" s="1"/>
  <c r="H118" s="1"/>
  <c r="I118" s="1"/>
  <c r="D114" i="59"/>
  <c r="E114" s="1"/>
  <c r="F114" s="1"/>
  <c r="G114" s="1"/>
  <c r="H114" s="1"/>
  <c r="I114" s="1"/>
  <c r="I606" i="105"/>
  <c r="F606" i="130"/>
  <c r="D551"/>
  <c r="D265"/>
  <c r="I39" i="131"/>
  <c r="I27"/>
  <c r="F40"/>
  <c r="I225" i="130"/>
  <c r="F265"/>
  <c r="H40" i="131"/>
  <c r="J30"/>
  <c r="I16"/>
  <c r="I48"/>
  <c r="I53" s="1"/>
  <c r="D122" i="128" a="1"/>
  <c r="D122" s="1"/>
  <c r="D118" i="68"/>
  <c r="E118" s="1"/>
  <c r="F118" s="1"/>
  <c r="G118" s="1"/>
  <c r="H118" s="1"/>
  <c r="I118" s="1"/>
  <c r="D115"/>
  <c r="E115" s="1"/>
  <c r="F115" s="1"/>
  <c r="G115" s="1"/>
  <c r="H115" s="1"/>
  <c r="I115" s="1"/>
  <c r="D118" i="69"/>
  <c r="E118" s="1"/>
  <c r="F118" s="1"/>
  <c r="G118" s="1"/>
  <c r="H118" s="1"/>
  <c r="I118" s="1"/>
  <c r="D115"/>
  <c r="E115" s="1"/>
  <c r="F115" s="1"/>
  <c r="G115" s="1"/>
  <c r="H115" s="1"/>
  <c r="I115" s="1"/>
  <c r="D118" i="71"/>
  <c r="D115"/>
  <c r="D113"/>
  <c r="D115" i="82"/>
  <c r="E115" s="1"/>
  <c r="F115" s="1"/>
  <c r="G115" s="1"/>
  <c r="H115" s="1"/>
  <c r="I115" s="1"/>
  <c r="D118"/>
  <c r="E118" s="1"/>
  <c r="F118" s="1"/>
  <c r="G118" s="1"/>
  <c r="H118" s="1"/>
  <c r="I118" s="1"/>
  <c r="D117" i="89"/>
  <c r="E117" s="1"/>
  <c r="F117" s="1"/>
  <c r="G117" s="1"/>
  <c r="H117" s="1"/>
  <c r="I117" s="1"/>
  <c r="D114"/>
  <c r="E114" s="1"/>
  <c r="F114" s="1"/>
  <c r="G114" s="1"/>
  <c r="H114" s="1"/>
  <c r="I114" s="1"/>
  <c r="D118" i="93"/>
  <c r="D115"/>
  <c r="E115" s="1"/>
  <c r="F115" s="1"/>
  <c r="G115" s="1"/>
  <c r="H115" s="1"/>
  <c r="I115" s="1"/>
  <c r="D116"/>
  <c r="E116" s="1"/>
  <c r="F116" s="1"/>
  <c r="G116" s="1"/>
  <c r="H116" s="1"/>
  <c r="I116" s="1"/>
  <c r="D117" i="94"/>
  <c r="E117" s="1"/>
  <c r="F117" s="1"/>
  <c r="G117" s="1"/>
  <c r="H117" s="1"/>
  <c r="I117" s="1"/>
  <c r="D114"/>
  <c r="E114" s="1"/>
  <c r="F114" s="1"/>
  <c r="G114" s="1"/>
  <c r="H114" s="1"/>
  <c r="I114" s="1"/>
  <c r="D116" i="95"/>
  <c r="E116" s="1"/>
  <c r="F116" s="1"/>
  <c r="G116" s="1"/>
  <c r="H116" s="1"/>
  <c r="I116" s="1"/>
  <c r="D118" i="109"/>
  <c r="E118" s="1"/>
  <c r="F118" s="1"/>
  <c r="G118" s="1"/>
  <c r="H118" s="1"/>
  <c r="I118" s="1"/>
  <c r="D115"/>
  <c r="E115" s="1"/>
  <c r="F115" s="1"/>
  <c r="G115" s="1"/>
  <c r="H115" s="1"/>
  <c r="I115" s="1"/>
  <c r="D113" i="51"/>
  <c r="D117"/>
  <c r="E117" s="1"/>
  <c r="F117" s="1"/>
  <c r="G117" s="1"/>
  <c r="H117" s="1"/>
  <c r="I117" s="1"/>
  <c r="E376" i="130"/>
  <c r="D41" i="131" s="1"/>
  <c r="F14"/>
  <c r="F19" s="1"/>
  <c r="H125" i="128" a="1"/>
  <c r="H125" s="1"/>
  <c r="D118" i="60"/>
  <c r="E118" s="1"/>
  <c r="F118" s="1"/>
  <c r="G118" s="1"/>
  <c r="H118" s="1"/>
  <c r="I118" s="1"/>
  <c r="D115"/>
  <c r="E115" s="1"/>
  <c r="F115" s="1"/>
  <c r="G115" s="1"/>
  <c r="H115" s="1"/>
  <c r="I115" s="1"/>
  <c r="G376" i="105"/>
  <c r="E606" i="130"/>
  <c r="I284"/>
  <c r="J14" i="131"/>
  <c r="F43"/>
  <c r="K43"/>
  <c r="E127" i="128" a="1"/>
  <c r="E127" s="1"/>
  <c r="E124" a="1"/>
  <c r="E124" s="1"/>
  <c r="I35" i="98"/>
  <c r="E35" i="42"/>
  <c r="G35"/>
  <c r="G35" i="101"/>
  <c r="G35" i="92"/>
  <c r="G35" i="60"/>
  <c r="G35" i="95"/>
  <c r="D80" i="51"/>
  <c r="O80" s="1"/>
  <c r="D77"/>
  <c r="E77" s="1"/>
  <c r="P77" s="1"/>
  <c r="H35" i="52"/>
  <c r="G35" i="77"/>
  <c r="H33" i="44"/>
  <c r="G35" i="49"/>
  <c r="H35" i="83"/>
  <c r="F31" i="38"/>
  <c r="I34" i="39"/>
  <c r="H35" i="84"/>
  <c r="G35" i="46"/>
  <c r="G35" i="89"/>
  <c r="G35" i="57"/>
  <c r="G551" i="130"/>
  <c r="F35" i="131"/>
  <c r="F36" s="1"/>
  <c r="E551" i="130"/>
  <c r="D35" i="131"/>
  <c r="E512" i="130"/>
  <c r="D45" i="131"/>
  <c r="H265" i="130"/>
  <c r="G38" i="131"/>
  <c r="K284" i="130"/>
  <c r="K40" i="131"/>
  <c r="I512" i="130"/>
  <c r="H45" i="131"/>
  <c r="H97" i="130"/>
  <c r="G12" i="131"/>
  <c r="D117" i="70"/>
  <c r="E117" s="1"/>
  <c r="F117" s="1"/>
  <c r="G117" s="1"/>
  <c r="H117" s="1"/>
  <c r="I117" s="1"/>
  <c r="D114"/>
  <c r="E114" s="1"/>
  <c r="F114" s="1"/>
  <c r="G114" s="1"/>
  <c r="H114" s="1"/>
  <c r="I114" s="1"/>
  <c r="D117" i="73"/>
  <c r="D114"/>
  <c r="E114" s="1"/>
  <c r="F114" s="1"/>
  <c r="G114" s="1"/>
  <c r="H114" s="1"/>
  <c r="I114" s="1"/>
  <c r="D118" i="81"/>
  <c r="E118" s="1"/>
  <c r="F118" s="1"/>
  <c r="G118" s="1"/>
  <c r="H118" s="1"/>
  <c r="I118" s="1"/>
  <c r="D115"/>
  <c r="E115" s="1"/>
  <c r="F115" s="1"/>
  <c r="G115" s="1"/>
  <c r="H115" s="1"/>
  <c r="I115" s="1"/>
  <c r="D116" i="88"/>
  <c r="E116" s="1"/>
  <c r="F116" s="1"/>
  <c r="G116" s="1"/>
  <c r="H116" s="1"/>
  <c r="I116" s="1"/>
  <c r="D117" i="97"/>
  <c r="E117" s="1"/>
  <c r="F117" s="1"/>
  <c r="G117" s="1"/>
  <c r="H117" s="1"/>
  <c r="I117" s="1"/>
  <c r="D114"/>
  <c r="E114" s="1"/>
  <c r="F114" s="1"/>
  <c r="G114" s="1"/>
  <c r="H114" s="1"/>
  <c r="I114" s="1"/>
  <c r="D118" i="101"/>
  <c r="E118" s="1"/>
  <c r="F118" s="1"/>
  <c r="G118" s="1"/>
  <c r="H118" s="1"/>
  <c r="I118" s="1"/>
  <c r="D115"/>
  <c r="E115" s="1"/>
  <c r="F115" s="1"/>
  <c r="G115" s="1"/>
  <c r="H115" s="1"/>
  <c r="I115" s="1"/>
  <c r="D118" i="102"/>
  <c r="E118" s="1"/>
  <c r="F118" s="1"/>
  <c r="G118" s="1"/>
  <c r="H118" s="1"/>
  <c r="I118" s="1"/>
  <c r="D115"/>
  <c r="E115" s="1"/>
  <c r="F115" s="1"/>
  <c r="G115" s="1"/>
  <c r="H115" s="1"/>
  <c r="I115" s="1"/>
  <c r="D116" i="109"/>
  <c r="E116" s="1"/>
  <c r="F116" s="1"/>
  <c r="G116" s="1"/>
  <c r="H116" s="1"/>
  <c r="I116" s="1"/>
  <c r="D118" i="32"/>
  <c r="E118" s="1"/>
  <c r="F118" s="1"/>
  <c r="G118" s="1"/>
  <c r="H118" s="1"/>
  <c r="I118" s="1"/>
  <c r="D115"/>
  <c r="E115" s="1"/>
  <c r="F115" s="1"/>
  <c r="G115" s="1"/>
  <c r="H115" s="1"/>
  <c r="I115" s="1"/>
  <c r="D118" i="41"/>
  <c r="D115"/>
  <c r="E115" s="1"/>
  <c r="F115" s="1"/>
  <c r="G115" s="1"/>
  <c r="H115" s="1"/>
  <c r="I115" s="1"/>
  <c r="D116" i="42"/>
  <c r="E116" s="1"/>
  <c r="F116" s="1"/>
  <c r="G116" s="1"/>
  <c r="H116" s="1"/>
  <c r="I116" s="1"/>
  <c r="D117" i="44"/>
  <c r="E117" s="1"/>
  <c r="F117" s="1"/>
  <c r="G117" s="1"/>
  <c r="H117" s="1"/>
  <c r="I117" s="1"/>
  <c r="D113" i="48"/>
  <c r="D117" i="50"/>
  <c r="D114"/>
  <c r="E114" s="1"/>
  <c r="F114" s="1"/>
  <c r="G114" s="1"/>
  <c r="H114" s="1"/>
  <c r="I114" s="1"/>
  <c r="D118" i="54"/>
  <c r="E118" s="1"/>
  <c r="F118" s="1"/>
  <c r="G118" s="1"/>
  <c r="H118" s="1"/>
  <c r="I118" s="1"/>
  <c r="D115"/>
  <c r="D117" i="60"/>
  <c r="E117" s="1"/>
  <c r="F117" s="1"/>
  <c r="G117" s="1"/>
  <c r="H117" s="1"/>
  <c r="I117" s="1"/>
  <c r="D114"/>
  <c r="E114" s="1"/>
  <c r="F114" s="1"/>
  <c r="G114" s="1"/>
  <c r="H114" s="1"/>
  <c r="I114" s="1"/>
  <c r="G606" i="105"/>
  <c r="G551"/>
  <c r="E512"/>
  <c r="K376"/>
  <c r="K265"/>
  <c r="F376"/>
  <c r="F225"/>
  <c r="D225"/>
  <c r="E225"/>
  <c r="I551" i="130"/>
  <c r="D512"/>
  <c r="D376"/>
  <c r="J42" i="131"/>
  <c r="G284" i="130"/>
  <c r="J225"/>
  <c r="F512"/>
  <c r="I26" i="131"/>
  <c r="F284" i="130"/>
  <c r="I29" i="131"/>
  <c r="G42"/>
  <c r="H36"/>
  <c r="G14"/>
  <c r="F30"/>
  <c r="H43"/>
  <c r="I21"/>
  <c r="D42"/>
  <c r="I32"/>
  <c r="I25"/>
  <c r="I24"/>
  <c r="I22"/>
  <c r="G15"/>
  <c r="E14"/>
  <c r="J551" i="130"/>
  <c r="J35" i="131"/>
  <c r="J36" s="1"/>
  <c r="H551" i="130"/>
  <c r="G35" i="131"/>
  <c r="G36" s="1"/>
  <c r="F551" i="130"/>
  <c r="E35" i="131"/>
  <c r="E36" s="1"/>
  <c r="G512" i="130"/>
  <c r="F45" i="131"/>
  <c r="H512" i="130"/>
  <c r="G45" i="131"/>
  <c r="K265" i="130"/>
  <c r="K38" i="131"/>
  <c r="E284" i="130"/>
  <c r="D40" i="131"/>
  <c r="J12"/>
  <c r="K606" i="105"/>
  <c r="J606"/>
  <c r="J551"/>
  <c r="K551"/>
  <c r="I512"/>
  <c r="J512"/>
  <c r="E376"/>
  <c r="I376"/>
  <c r="H225"/>
  <c r="J97"/>
  <c r="G376" i="130"/>
  <c r="F41" i="131" s="1"/>
  <c r="D225" i="130"/>
  <c r="F376"/>
  <c r="E41" i="131" s="1"/>
  <c r="E42"/>
  <c r="E15"/>
  <c r="E19" s="1"/>
  <c r="H30"/>
  <c r="I33"/>
  <c r="K14"/>
  <c r="I13"/>
  <c r="J53"/>
  <c r="G30"/>
  <c r="K15"/>
  <c r="D15"/>
  <c r="K551" i="130"/>
  <c r="K35" i="131"/>
  <c r="K36" s="1"/>
  <c r="J512" i="130"/>
  <c r="J45" i="131"/>
  <c r="K512" i="130"/>
  <c r="K45" i="131"/>
  <c r="J265" i="130"/>
  <c r="J38" i="131"/>
  <c r="H284" i="130"/>
  <c r="G40" i="131"/>
  <c r="J284" i="130"/>
  <c r="J40" i="131"/>
  <c r="I265" i="130"/>
  <c r="H38" i="131"/>
  <c r="D12"/>
  <c r="D116" i="67"/>
  <c r="E116" s="1"/>
  <c r="F116" s="1"/>
  <c r="G116" s="1"/>
  <c r="H116" s="1"/>
  <c r="I116" s="1"/>
  <c r="D116" i="68"/>
  <c r="E116" s="1"/>
  <c r="F116" s="1"/>
  <c r="G116" s="1"/>
  <c r="H116" s="1"/>
  <c r="I116" s="1"/>
  <c r="D116" i="69"/>
  <c r="E116" s="1"/>
  <c r="F116" s="1"/>
  <c r="G116" s="1"/>
  <c r="H116" s="1"/>
  <c r="I116" s="1"/>
  <c r="D118" i="72"/>
  <c r="D115"/>
  <c r="E115" s="1"/>
  <c r="F115" s="1"/>
  <c r="G115" s="1"/>
  <c r="H115" s="1"/>
  <c r="I115" s="1"/>
  <c r="D116" i="75"/>
  <c r="E116" s="1"/>
  <c r="F116" s="1"/>
  <c r="G116" s="1"/>
  <c r="H116" s="1"/>
  <c r="I116" s="1"/>
  <c r="D118" i="76"/>
  <c r="E118" s="1"/>
  <c r="F118" s="1"/>
  <c r="G118" s="1"/>
  <c r="H118" s="1"/>
  <c r="I118" s="1"/>
  <c r="D115"/>
  <c r="E115" s="1"/>
  <c r="F115" s="1"/>
  <c r="G115" s="1"/>
  <c r="H115" s="1"/>
  <c r="I115" s="1"/>
  <c r="D117" i="77"/>
  <c r="E117" s="1"/>
  <c r="F117" s="1"/>
  <c r="G117" s="1"/>
  <c r="H117" s="1"/>
  <c r="I117" s="1"/>
  <c r="D118" i="43"/>
  <c r="E118" s="1"/>
  <c r="F118" s="1"/>
  <c r="G118" s="1"/>
  <c r="H118" s="1"/>
  <c r="I118" s="1"/>
  <c r="D116" i="48"/>
  <c r="E116" s="1"/>
  <c r="F116" s="1"/>
  <c r="G116" s="1"/>
  <c r="H116" s="1"/>
  <c r="I116" s="1"/>
  <c r="D118" i="52"/>
  <c r="E118" s="1"/>
  <c r="F118" s="1"/>
  <c r="G118" s="1"/>
  <c r="H118" s="1"/>
  <c r="I118" s="1"/>
  <c r="D115"/>
  <c r="E115" s="1"/>
  <c r="F115" s="1"/>
  <c r="G115" s="1"/>
  <c r="H115" s="1"/>
  <c r="I115" s="1"/>
  <c r="D117" i="55"/>
  <c r="E117" s="1"/>
  <c r="F117" s="1"/>
  <c r="G117" s="1"/>
  <c r="H117" s="1"/>
  <c r="I117" s="1"/>
  <c r="E606" i="105"/>
  <c r="D551"/>
  <c r="K512"/>
  <c r="E551"/>
  <c r="G512"/>
  <c r="F512"/>
  <c r="H376"/>
  <c r="I265"/>
  <c r="J225"/>
  <c r="J226" s="1"/>
  <c r="K225"/>
  <c r="J376" i="130"/>
  <c r="J41" i="131" s="1"/>
  <c r="F42"/>
  <c r="K376" i="130"/>
  <c r="K41" i="131" s="1"/>
  <c r="H376" i="130"/>
  <c r="G41" i="131" s="1"/>
  <c r="G225" i="130"/>
  <c r="E225"/>
  <c r="E226" s="1"/>
  <c r="H225"/>
  <c r="D97"/>
  <c r="J97"/>
  <c r="D30" i="131"/>
  <c r="H42"/>
  <c r="E30"/>
  <c r="H15"/>
  <c r="D14"/>
  <c r="E43"/>
  <c r="K30"/>
  <c r="K42"/>
  <c r="I17"/>
  <c r="H14"/>
  <c r="J15"/>
  <c r="G35" i="81"/>
  <c r="G35" i="73"/>
  <c r="G35" i="76"/>
  <c r="H35" i="39"/>
  <c r="E32"/>
  <c r="E35" i="45"/>
  <c r="G34" i="39"/>
  <c r="G35" i="50"/>
  <c r="F33" i="49"/>
  <c r="G34" i="51"/>
  <c r="H35" i="102"/>
  <c r="G35" i="41"/>
  <c r="G35" i="55"/>
  <c r="H35" i="127"/>
  <c r="H33" i="41"/>
  <c r="G35" i="58"/>
  <c r="H34" i="100"/>
  <c r="H32" i="78"/>
  <c r="G35" i="96"/>
  <c r="H35" i="108"/>
  <c r="E35" i="40"/>
  <c r="G35" i="93"/>
  <c r="G35" i="71"/>
  <c r="G35" i="79"/>
  <c r="G35" i="75"/>
  <c r="G35" i="74"/>
  <c r="G35" i="39"/>
  <c r="G35" i="47"/>
  <c r="G34" i="46"/>
  <c r="G32" i="44"/>
  <c r="E35" i="43"/>
  <c r="F32"/>
  <c r="H32" i="83"/>
  <c r="H34" i="98"/>
  <c r="E35" i="41"/>
  <c r="D80" i="76"/>
  <c r="O80" s="1"/>
  <c r="D78" i="89"/>
  <c r="O78" s="1"/>
  <c r="D78" i="52"/>
  <c r="E78" s="1"/>
  <c r="F78" s="1"/>
  <c r="D77" i="55"/>
  <c r="O77" s="1"/>
  <c r="D79" i="87"/>
  <c r="E79" s="1"/>
  <c r="P79" s="1"/>
  <c r="F33" i="95"/>
  <c r="H31" i="100"/>
  <c r="E33" i="101"/>
  <c r="H31"/>
  <c r="I34" i="38"/>
  <c r="D78" i="69"/>
  <c r="O78" s="1"/>
  <c r="D82" i="87"/>
  <c r="O82" s="1"/>
  <c r="D82" i="89"/>
  <c r="O82" s="1"/>
  <c r="D79" i="52"/>
  <c r="O79" s="1"/>
  <c r="D82"/>
  <c r="D81" i="48"/>
  <c r="O81" s="1"/>
  <c r="D79"/>
  <c r="E79" s="1"/>
  <c r="D82"/>
  <c r="O82" s="1"/>
  <c r="H34" i="97"/>
  <c r="D80" i="108"/>
  <c r="O80" s="1"/>
  <c r="D77" i="69"/>
  <c r="E77" s="1"/>
  <c r="P77" s="1"/>
  <c r="D78" i="51"/>
  <c r="D79" i="54"/>
  <c r="O79" s="1"/>
  <c r="D78" i="39"/>
  <c r="E78" s="1"/>
  <c r="F78" s="1"/>
  <c r="D82" i="41"/>
  <c r="O82" s="1"/>
  <c r="D79" i="68"/>
  <c r="O79" s="1"/>
  <c r="D77" i="108"/>
  <c r="O77" s="1"/>
  <c r="D78"/>
  <c r="E78" s="1"/>
  <c r="D78" i="129"/>
  <c r="O78" s="1"/>
  <c r="D78" i="76"/>
  <c r="E78" s="1"/>
  <c r="D78" i="95"/>
  <c r="E78" s="1"/>
  <c r="D82" i="98"/>
  <c r="D78" i="87"/>
  <c r="E78" s="1"/>
  <c r="D79" i="39"/>
  <c r="E79" s="1"/>
  <c r="P79" s="1"/>
  <c r="D79" i="45"/>
  <c r="D80" i="48"/>
  <c r="O80" s="1"/>
  <c r="D80" i="69"/>
  <c r="O80" s="1"/>
  <c r="C90" i="84" a="1"/>
  <c r="C90" s="1"/>
  <c r="C102" s="1"/>
  <c r="D82" i="85"/>
  <c r="O82" s="1"/>
  <c r="D81" i="87"/>
  <c r="O81" s="1"/>
  <c r="D81" i="108"/>
  <c r="D80" i="127"/>
  <c r="O80" s="1"/>
  <c r="D77"/>
  <c r="O77" s="1"/>
  <c r="D81" i="69"/>
  <c r="D77" i="87"/>
  <c r="D81" i="89"/>
  <c r="D81" i="129"/>
  <c r="O81" s="1"/>
  <c r="C92" i="94" a="1"/>
  <c r="C92" s="1"/>
  <c r="C94" s="1"/>
  <c r="D77" i="129"/>
  <c r="O77" s="1"/>
  <c r="D81" i="32"/>
  <c r="O81" s="1"/>
  <c r="D79" i="41"/>
  <c r="D81" i="43"/>
  <c r="O81" s="1"/>
  <c r="D78"/>
  <c r="E78" s="1"/>
  <c r="F78" s="1"/>
  <c r="G78" s="1"/>
  <c r="D82" i="68"/>
  <c r="O82" s="1"/>
  <c r="D80" i="39"/>
  <c r="O80" s="1"/>
  <c r="D77" i="54"/>
  <c r="E77" s="1"/>
  <c r="D80"/>
  <c r="O80" s="1"/>
  <c r="D80" i="72"/>
  <c r="O80" s="1"/>
  <c r="D78"/>
  <c r="E78" s="1"/>
  <c r="D80" i="41"/>
  <c r="D77" i="48"/>
  <c r="O77" s="1"/>
  <c r="D82" i="54"/>
  <c r="O82" s="1"/>
  <c r="D77" i="68"/>
  <c r="E77" s="1"/>
  <c r="P77" s="1"/>
  <c r="D80"/>
  <c r="O80" s="1"/>
  <c r="D80" i="82"/>
  <c r="D79" i="85"/>
  <c r="O79" s="1"/>
  <c r="D78" i="90"/>
  <c r="O78" s="1"/>
  <c r="D82"/>
  <c r="D82" i="51"/>
  <c r="D81" i="55"/>
  <c r="O81" s="1"/>
  <c r="D77" i="57"/>
  <c r="E77" s="1"/>
  <c r="P77" s="1"/>
  <c r="D80"/>
  <c r="E80" s="1"/>
  <c r="D80" i="60"/>
  <c r="O80" s="1"/>
  <c r="D79" i="69"/>
  <c r="O79" s="1"/>
  <c r="D82"/>
  <c r="O82" s="1"/>
  <c r="D81" i="72"/>
  <c r="O81" s="1"/>
  <c r="D80" i="87"/>
  <c r="O80" s="1"/>
  <c r="D82" i="38"/>
  <c r="O82" s="1"/>
  <c r="D78" i="88"/>
  <c r="E78" s="1"/>
  <c r="D81" i="90"/>
  <c r="O81" s="1"/>
  <c r="D79" i="129"/>
  <c r="O79" s="1"/>
  <c r="D82"/>
  <c r="O82" s="1"/>
  <c r="D78" i="41"/>
  <c r="D81"/>
  <c r="O81" s="1"/>
  <c r="D81" i="52"/>
  <c r="O81" s="1"/>
  <c r="D77"/>
  <c r="E77" s="1"/>
  <c r="P77" s="1"/>
  <c r="D80"/>
  <c r="O80" s="1"/>
  <c r="D81" i="76"/>
  <c r="D77"/>
  <c r="O77" s="1"/>
  <c r="D81" i="88"/>
  <c r="O81" s="1"/>
  <c r="D82" i="79"/>
  <c r="D80" i="89"/>
  <c r="O80" s="1"/>
  <c r="D79" i="108"/>
  <c r="C92" i="56" a="1"/>
  <c r="C92" s="1"/>
  <c r="C94" s="1"/>
  <c r="D79" i="57"/>
  <c r="O79" s="1"/>
  <c r="D82"/>
  <c r="D80" i="58"/>
  <c r="O80" s="1"/>
  <c r="C93" i="84" a="1"/>
  <c r="C93" s="1"/>
  <c r="C87" a="1"/>
  <c r="C87" s="1"/>
  <c r="C99" s="1"/>
  <c r="D82" i="88"/>
  <c r="O82" s="1"/>
  <c r="D81" i="95"/>
  <c r="D80"/>
  <c r="O80" s="1"/>
  <c r="D77"/>
  <c r="E77" s="1"/>
  <c r="P77" s="1"/>
  <c r="D79"/>
  <c r="D82"/>
  <c r="O82" s="1"/>
  <c r="C92" i="96" a="1"/>
  <c r="C92" s="1"/>
  <c r="C94" s="1"/>
  <c r="D80" i="128"/>
  <c r="D77"/>
  <c r="O77" s="1"/>
  <c r="D81" i="54"/>
  <c r="O81" s="1"/>
  <c r="D78"/>
  <c r="E78" s="1"/>
  <c r="F78" s="1"/>
  <c r="Q78" s="1"/>
  <c r="D78" i="55"/>
  <c r="O78" s="1"/>
  <c r="D81" i="57"/>
  <c r="O81" s="1"/>
  <c r="D78"/>
  <c r="O78" s="1"/>
  <c r="D81" i="68"/>
  <c r="O81" s="1"/>
  <c r="D78"/>
  <c r="O78" s="1"/>
  <c r="C92" i="81" a="1"/>
  <c r="C92" s="1"/>
  <c r="C94" s="1"/>
  <c r="C91" i="84" a="1"/>
  <c r="C91" s="1"/>
  <c r="C103" s="1"/>
  <c r="D79" i="88"/>
  <c r="O79" s="1"/>
  <c r="D80" i="129"/>
  <c r="O80" s="1"/>
  <c r="D82" i="42"/>
  <c r="O82" s="1"/>
  <c r="D82" i="43"/>
  <c r="O82" s="1"/>
  <c r="D79" i="51"/>
  <c r="E79" s="1"/>
  <c r="D82" i="58"/>
  <c r="O82" s="1"/>
  <c r="D79"/>
  <c r="E79" s="1"/>
  <c r="D78" i="59"/>
  <c r="O78" s="1"/>
  <c r="D77" i="38"/>
  <c r="E77" s="1"/>
  <c r="P77" s="1"/>
  <c r="D82" i="76"/>
  <c r="O82" s="1"/>
  <c r="D79"/>
  <c r="D80" i="77"/>
  <c r="O80" s="1"/>
  <c r="D79" i="89"/>
  <c r="O79" s="1"/>
  <c r="D79" i="67"/>
  <c r="O79" s="1"/>
  <c r="C92" i="74" a="1"/>
  <c r="C92" s="1"/>
  <c r="C94" s="1"/>
  <c r="C43"/>
  <c r="N114" s="1"/>
  <c r="C92" i="93" a="1"/>
  <c r="C92" s="1"/>
  <c r="C94" s="1"/>
  <c r="C92" i="97" a="1"/>
  <c r="C92" s="1"/>
  <c r="C94" s="1"/>
  <c r="C92" i="99" a="1"/>
  <c r="C92" s="1"/>
  <c r="C94" s="1"/>
  <c r="D78" i="38"/>
  <c r="E78" s="1"/>
  <c r="D79" i="55"/>
  <c r="O79" s="1"/>
  <c r="D81" i="59"/>
  <c r="O81" s="1"/>
  <c r="D82" i="67"/>
  <c r="O82" s="1"/>
  <c r="D78" i="75"/>
  <c r="E78" s="1"/>
  <c r="F78" s="1"/>
  <c r="D82" i="39"/>
  <c r="O82" s="1"/>
  <c r="D78" i="42"/>
  <c r="E78" s="1"/>
  <c r="F78" s="1"/>
  <c r="G78" s="1"/>
  <c r="C88" i="84" a="1"/>
  <c r="C88" s="1"/>
  <c r="C89" a="1"/>
  <c r="C89" s="1"/>
  <c r="C101" s="1"/>
  <c r="D78" i="73"/>
  <c r="E78" s="1"/>
  <c r="D81" i="75"/>
  <c r="O81" s="1"/>
  <c r="D80" i="88"/>
  <c r="D78" i="48"/>
  <c r="O78" s="1"/>
  <c r="D81" i="51"/>
  <c r="O81" s="1"/>
  <c r="E33" i="71"/>
  <c r="G32" i="89"/>
  <c r="E33" i="51"/>
  <c r="H32" i="84"/>
  <c r="H33" i="71"/>
  <c r="H31"/>
  <c r="E31" i="84"/>
  <c r="G33" i="54"/>
  <c r="E35" i="44"/>
  <c r="F32" i="100"/>
  <c r="I31" i="42"/>
  <c r="E32"/>
  <c r="F31" i="43"/>
  <c r="E33"/>
  <c r="I34"/>
  <c r="I50" i="113"/>
  <c r="F31" i="59"/>
  <c r="G34" i="49"/>
  <c r="H31" i="55"/>
  <c r="F33" i="52"/>
  <c r="G31" i="87"/>
  <c r="G34" i="84"/>
  <c r="G31"/>
  <c r="G34" i="82"/>
  <c r="F33" i="80"/>
  <c r="H35" i="82"/>
  <c r="I33" i="90"/>
  <c r="G35" i="78"/>
  <c r="G34" i="74"/>
  <c r="G31"/>
  <c r="H31" i="77"/>
  <c r="E32" i="76"/>
  <c r="F33"/>
  <c r="G32" i="78"/>
  <c r="E14" i="113"/>
  <c r="F32" i="96"/>
  <c r="E31" i="73"/>
  <c r="E31" i="78"/>
  <c r="I32" i="40"/>
  <c r="H34" i="41"/>
  <c r="G32" i="80"/>
  <c r="E31" i="95"/>
  <c r="I35" i="41"/>
  <c r="E33" i="75"/>
  <c r="F32" i="101"/>
  <c r="F31" i="44"/>
  <c r="H31" i="49"/>
  <c r="I33" i="71"/>
  <c r="F32"/>
  <c r="H34" i="75"/>
  <c r="G32" i="87"/>
  <c r="E33" i="98"/>
  <c r="E33" i="99"/>
  <c r="I32" i="41"/>
  <c r="H35" i="71"/>
  <c r="F31" i="96"/>
  <c r="E33"/>
  <c r="H31" i="97"/>
  <c r="E33" i="100"/>
  <c r="H31" i="82"/>
  <c r="F35" i="95"/>
  <c r="H34" i="101"/>
  <c r="E34" i="49"/>
  <c r="G32" i="42"/>
  <c r="F34" i="98"/>
  <c r="G31" i="44"/>
  <c r="G33" i="91"/>
  <c r="I31" i="85"/>
  <c r="F31" i="88"/>
  <c r="H31" i="91"/>
  <c r="F35"/>
  <c r="G35" i="85"/>
  <c r="I34" i="88"/>
  <c r="F31" i="41"/>
  <c r="F34" i="44"/>
  <c r="I35"/>
  <c r="I31" i="39"/>
  <c r="C36" i="80"/>
  <c r="C206" s="1"/>
  <c r="F113" i="113"/>
  <c r="G31" i="77"/>
  <c r="H32" i="67"/>
  <c r="H22" i="104"/>
  <c r="I20"/>
  <c r="F25" i="69"/>
  <c r="H35" i="77"/>
  <c r="F35" i="71"/>
  <c r="F25" i="91"/>
  <c r="H34" i="71"/>
  <c r="I32"/>
  <c r="G33" i="73"/>
  <c r="H31" i="75"/>
  <c r="I31" i="95"/>
  <c r="F35" i="101"/>
  <c r="F31" i="46"/>
  <c r="E34"/>
  <c r="H34" i="49"/>
  <c r="H31" i="99"/>
  <c r="H33" i="43"/>
  <c r="E33" i="52"/>
  <c r="E33" i="84"/>
  <c r="I34" i="95"/>
  <c r="H34" i="96"/>
  <c r="E32" i="100"/>
  <c r="F31" i="40"/>
  <c r="H32" i="52"/>
  <c r="E31" i="83"/>
  <c r="I33" i="95"/>
  <c r="E31" i="96"/>
  <c r="F35"/>
  <c r="I33"/>
  <c r="H35"/>
  <c r="I33" i="97"/>
  <c r="F35"/>
  <c r="H31" i="98"/>
  <c r="H34" i="99"/>
  <c r="F33" i="38"/>
  <c r="E31" i="40"/>
  <c r="J270" i="114"/>
  <c r="I30" i="101"/>
  <c r="I35" i="43"/>
  <c r="H34" i="58"/>
  <c r="G31" i="56"/>
  <c r="E32" i="58"/>
  <c r="E32" i="56"/>
  <c r="F33" i="58"/>
  <c r="I33" i="49"/>
  <c r="H32" i="39"/>
  <c r="E35" i="102"/>
  <c r="G34" i="91"/>
  <c r="I33" i="102"/>
  <c r="H35" i="91"/>
  <c r="F33" i="92"/>
  <c r="F33" i="91"/>
  <c r="E220" i="114"/>
  <c r="H33" i="80"/>
  <c r="E35" i="87"/>
  <c r="I32" i="80"/>
  <c r="F33" i="90"/>
  <c r="F85" i="114"/>
  <c r="E35" i="73"/>
  <c r="G49" i="114"/>
  <c r="E35" i="68"/>
  <c r="G23" i="104"/>
  <c r="H21"/>
  <c r="H31" i="88"/>
  <c r="E33" i="80"/>
  <c r="E33" i="97"/>
  <c r="E31" i="98"/>
  <c r="I32" i="101"/>
  <c r="E31"/>
  <c r="I33" i="38"/>
  <c r="I34" i="41"/>
  <c r="E33"/>
  <c r="F35"/>
  <c r="F34" i="42"/>
  <c r="H32"/>
  <c r="I35"/>
  <c r="F34" i="43"/>
  <c r="H34" i="44"/>
  <c r="I32"/>
  <c r="H33" i="45"/>
  <c r="G33" i="46"/>
  <c r="H31"/>
  <c r="E33" i="49"/>
  <c r="G32" i="55"/>
  <c r="E35" i="98"/>
  <c r="H32" i="73"/>
  <c r="F33" i="71"/>
  <c r="E13" i="114"/>
  <c r="H35" i="46"/>
  <c r="D8" i="32"/>
  <c r="I33" i="39"/>
  <c r="E32" i="46"/>
  <c r="F32" i="53"/>
  <c r="E167" i="113"/>
  <c r="G31" i="40"/>
  <c r="E35" i="39"/>
  <c r="F33" i="98"/>
  <c r="G34" i="92"/>
  <c r="G32" i="98"/>
  <c r="G34" i="102"/>
  <c r="H211" i="114"/>
  <c r="I32" i="85"/>
  <c r="G31" i="82"/>
  <c r="I31" i="80"/>
  <c r="H34"/>
  <c r="E32" i="90"/>
  <c r="I33" i="82"/>
  <c r="E35" i="74"/>
  <c r="F30" i="68"/>
  <c r="I35" i="77"/>
  <c r="E35" i="76"/>
  <c r="E32" i="73"/>
  <c r="J58" i="114"/>
  <c r="F34" i="78"/>
  <c r="E33" i="82"/>
  <c r="E33" i="88"/>
  <c r="H34"/>
  <c r="F32" i="95"/>
  <c r="H31" i="96"/>
  <c r="I33" i="100"/>
  <c r="I33" i="101"/>
  <c r="H33" i="40"/>
  <c r="G24" i="63"/>
  <c r="F25" i="56"/>
  <c r="F288" i="114"/>
  <c r="E34" i="96"/>
  <c r="I32" i="97"/>
  <c r="H32" i="49"/>
  <c r="H32" i="46"/>
  <c r="I31" i="40"/>
  <c r="F33" i="44"/>
  <c r="I35" i="72"/>
  <c r="E34"/>
  <c r="F32"/>
  <c r="H33" i="83"/>
  <c r="H31"/>
  <c r="F34" i="97"/>
  <c r="E33" i="48"/>
  <c r="H34" i="51"/>
  <c r="I32" i="96"/>
  <c r="H32" i="97"/>
  <c r="I35"/>
  <c r="E34" i="98"/>
  <c r="H33" i="99"/>
  <c r="H33" i="42"/>
  <c r="H35"/>
  <c r="I33"/>
  <c r="H31"/>
  <c r="E32" i="43"/>
  <c r="H32" i="44"/>
  <c r="F33" i="72"/>
  <c r="E31"/>
  <c r="H35" i="88"/>
  <c r="G33" i="89"/>
  <c r="I31" i="96"/>
  <c r="E32" i="40"/>
  <c r="I33"/>
  <c r="H35"/>
  <c r="I34"/>
  <c r="I31" i="45"/>
  <c r="H35"/>
  <c r="I33"/>
  <c r="E32"/>
  <c r="H31"/>
  <c r="I31" i="97"/>
  <c r="F32" i="38"/>
  <c r="F34" i="71"/>
  <c r="E32"/>
  <c r="H32" i="88"/>
  <c r="I34" i="96"/>
  <c r="I34" i="101"/>
  <c r="I32" i="38"/>
  <c r="H35" i="41"/>
  <c r="I33"/>
  <c r="E32"/>
  <c r="I34" i="72"/>
  <c r="E33"/>
  <c r="H32"/>
  <c r="E34" i="75"/>
  <c r="E34" i="78"/>
  <c r="E35" i="83"/>
  <c r="E34" i="84"/>
  <c r="F33" i="100"/>
  <c r="H32" i="40"/>
  <c r="E34"/>
  <c r="F35" i="45"/>
  <c r="I31" i="71"/>
  <c r="I31" i="72"/>
  <c r="H34"/>
  <c r="I32"/>
  <c r="H35" i="75"/>
  <c r="E31"/>
  <c r="H34" i="84"/>
  <c r="E34" i="88"/>
  <c r="I35" i="95"/>
  <c r="F33" i="96"/>
  <c r="F33" i="97"/>
  <c r="E31"/>
  <c r="I31" i="100"/>
  <c r="H33"/>
  <c r="E35" i="101"/>
  <c r="F33"/>
  <c r="I35" i="38"/>
  <c r="I35" i="39"/>
  <c r="F32"/>
  <c r="I34" i="42"/>
  <c r="E33"/>
  <c r="I31" i="43"/>
  <c r="G35"/>
  <c r="I31" i="44"/>
  <c r="E32"/>
  <c r="E34" i="45"/>
  <c r="F32"/>
  <c r="E14" i="97"/>
  <c r="E205" s="1"/>
  <c r="I14" i="96"/>
  <c r="I205" s="1"/>
  <c r="E14" i="99"/>
  <c r="E205" s="1"/>
  <c r="E14" i="96"/>
  <c r="E205" s="1"/>
  <c r="I14" i="95"/>
  <c r="I205" s="1"/>
  <c r="I14" i="97"/>
  <c r="I205" s="1"/>
  <c r="I14" i="72"/>
  <c r="I205" s="1"/>
  <c r="E34" i="71"/>
  <c r="G33" i="75"/>
  <c r="H31" i="78"/>
  <c r="F31" i="95"/>
  <c r="H33" i="96"/>
  <c r="H35" i="97"/>
  <c r="E32"/>
  <c r="E35" i="99"/>
  <c r="E34"/>
  <c r="F31" i="100"/>
  <c r="H35" i="101"/>
  <c r="H34" i="40"/>
  <c r="F33"/>
  <c r="F32"/>
  <c r="F34" i="41"/>
  <c r="H32"/>
  <c r="F35" i="42"/>
  <c r="E31" i="43"/>
  <c r="H31"/>
  <c r="I33"/>
  <c r="H35"/>
  <c r="E34" i="44"/>
  <c r="F32"/>
  <c r="F33" i="45"/>
  <c r="H34"/>
  <c r="H34" i="46"/>
  <c r="I32"/>
  <c r="E31"/>
  <c r="E31" i="49"/>
  <c r="G33" i="52"/>
  <c r="H31"/>
  <c r="D14" i="67"/>
  <c r="D206" s="1"/>
  <c r="F34" i="72"/>
  <c r="H35"/>
  <c r="I33"/>
  <c r="H31"/>
  <c r="E31" i="76"/>
  <c r="E32" i="83"/>
  <c r="E34"/>
  <c r="G32" i="88"/>
  <c r="I32" i="95"/>
  <c r="E32" i="96"/>
  <c r="E34" i="97"/>
  <c r="E35" i="100"/>
  <c r="F34"/>
  <c r="D14" i="108"/>
  <c r="D205" s="1"/>
  <c r="I31" i="38"/>
  <c r="F34" i="39"/>
  <c r="H31" i="40"/>
  <c r="E34" i="42"/>
  <c r="F32"/>
  <c r="E31" i="44"/>
  <c r="H32" i="45"/>
  <c r="I35"/>
  <c r="E33" i="46"/>
  <c r="G35" i="48"/>
  <c r="G32" i="51"/>
  <c r="G32" i="52"/>
  <c r="I14" i="101"/>
  <c r="I205" s="1"/>
  <c r="I34" i="71"/>
  <c r="F31"/>
  <c r="H32"/>
  <c r="H32" i="75"/>
  <c r="E31" i="82"/>
  <c r="H34" i="83"/>
  <c r="H31" i="87"/>
  <c r="E31" i="88"/>
  <c r="F34" i="96"/>
  <c r="E35" i="97"/>
  <c r="H33" i="98"/>
  <c r="H35" i="99"/>
  <c r="E32"/>
  <c r="E31"/>
  <c r="H32" i="100"/>
  <c r="H33" i="101"/>
  <c r="I31"/>
  <c r="I35"/>
  <c r="E34"/>
  <c r="F34" i="38"/>
  <c r="F35" i="39"/>
  <c r="E34" i="41"/>
  <c r="F32"/>
  <c r="F31" i="42"/>
  <c r="H34"/>
  <c r="I32"/>
  <c r="F35" i="43"/>
  <c r="H35" i="44"/>
  <c r="I33"/>
  <c r="H31"/>
  <c r="G32" i="49"/>
  <c r="G35" i="51"/>
  <c r="H34" i="52"/>
  <c r="E31"/>
  <c r="E14" i="75"/>
  <c r="E205" s="1"/>
  <c r="B64" i="49"/>
  <c r="B70" s="1"/>
  <c r="B208" s="1"/>
  <c r="H14" i="44"/>
  <c r="H205" s="1"/>
  <c r="E14" i="100"/>
  <c r="E205" s="1"/>
  <c r="E14" i="101"/>
  <c r="E205" s="1"/>
  <c r="F14" i="95"/>
  <c r="F205" s="1"/>
  <c r="H14" i="41"/>
  <c r="H205" s="1"/>
  <c r="F14" i="38"/>
  <c r="F205" s="1"/>
  <c r="G14" i="89"/>
  <c r="G205" s="1"/>
  <c r="E14" i="88"/>
  <c r="E205" s="1"/>
  <c r="D14" i="91"/>
  <c r="D205" s="1"/>
  <c r="F14" i="47"/>
  <c r="F205" s="1"/>
  <c r="I14" i="55"/>
  <c r="I205" s="1"/>
  <c r="H14"/>
  <c r="H205" s="1"/>
  <c r="F35" i="72"/>
  <c r="G32" i="75"/>
  <c r="G33" i="78"/>
  <c r="E33" i="83"/>
  <c r="H31" i="84"/>
  <c r="F14" i="71"/>
  <c r="F205" s="1"/>
  <c r="G33" i="88"/>
  <c r="D30" i="91"/>
  <c r="D14" i="90"/>
  <c r="D205" s="1"/>
  <c r="F34" i="95"/>
  <c r="D14" i="92"/>
  <c r="D205" s="1"/>
  <c r="H32" i="99"/>
  <c r="I32" i="39"/>
  <c r="F34" i="40"/>
  <c r="F33" i="41"/>
  <c r="H31"/>
  <c r="F33" i="42"/>
  <c r="E31"/>
  <c r="H34" i="43"/>
  <c r="H32"/>
  <c r="I31" i="46"/>
  <c r="D14" i="102"/>
  <c r="D205" s="1"/>
  <c r="E14" i="98"/>
  <c r="E205" s="1"/>
  <c r="E31" i="71"/>
  <c r="H33" i="72"/>
  <c r="H33" i="84"/>
  <c r="E33" i="87"/>
  <c r="H31" i="80"/>
  <c r="D14" i="89"/>
  <c r="D205" s="1"/>
  <c r="D14" i="93"/>
  <c r="D205" s="1"/>
  <c r="E35" i="96"/>
  <c r="I34" i="97"/>
  <c r="F31"/>
  <c r="E32" i="101"/>
  <c r="D30" i="102"/>
  <c r="I34" i="44"/>
  <c r="E33"/>
  <c r="F34" i="45"/>
  <c r="C36" i="52"/>
  <c r="C105" s="1"/>
  <c r="G33" i="55"/>
  <c r="D14" i="54"/>
  <c r="D205" s="1"/>
  <c r="D14" i="56"/>
  <c r="D205" s="1"/>
  <c r="H14" i="68"/>
  <c r="H205" s="1"/>
  <c r="D14" i="58"/>
  <c r="D205" s="1"/>
  <c r="E14" i="48"/>
  <c r="E205" s="1"/>
  <c r="I14" i="54"/>
  <c r="I205" s="1"/>
  <c r="I14" i="51"/>
  <c r="I205" s="1"/>
  <c r="I14" i="48"/>
  <c r="I205" s="1"/>
  <c r="F14" i="78"/>
  <c r="F205" s="1"/>
  <c r="F14" i="75"/>
  <c r="F205" s="1"/>
  <c r="G14" i="51"/>
  <c r="G205" s="1"/>
  <c r="H14" i="54"/>
  <c r="H205" s="1"/>
  <c r="G14" i="68"/>
  <c r="G205" s="1"/>
  <c r="E14"/>
  <c r="E205" s="1"/>
  <c r="H32" i="96"/>
  <c r="H33" i="97"/>
  <c r="H35" i="100"/>
  <c r="F34" i="101"/>
  <c r="H32"/>
  <c r="F35" i="38"/>
  <c r="F35" i="40"/>
  <c r="E33"/>
  <c r="E31" i="41"/>
  <c r="I32" i="43"/>
  <c r="F33"/>
  <c r="F35" i="44"/>
  <c r="I34" i="45"/>
  <c r="E33"/>
  <c r="F31"/>
  <c r="I32"/>
  <c r="E31"/>
  <c r="F32" i="46"/>
  <c r="H31" i="48"/>
  <c r="G33" i="49"/>
  <c r="E34" i="52"/>
  <c r="D14" i="55"/>
  <c r="D205" s="1"/>
  <c r="H176" i="113"/>
  <c r="G9" i="55"/>
  <c r="E158" i="113"/>
  <c r="D9" i="53"/>
  <c r="F149" i="113"/>
  <c r="E10" i="52"/>
  <c r="E113" i="113"/>
  <c r="D10" i="48"/>
  <c r="I95" i="113"/>
  <c r="H11" i="46"/>
  <c r="D33" i="38"/>
  <c r="D11" i="63"/>
  <c r="D33" s="1"/>
  <c r="E149" i="113"/>
  <c r="D9" i="52"/>
  <c r="D35" i="47"/>
  <c r="D13" i="63"/>
  <c r="D35" s="1"/>
  <c r="G167" i="113"/>
  <c r="F8" i="54"/>
  <c r="F167" i="113"/>
  <c r="E8" i="54"/>
  <c r="G140" i="113"/>
  <c r="F8" i="51"/>
  <c r="G113" i="113"/>
  <c r="F8" i="48"/>
  <c r="F14" i="109"/>
  <c r="F205" s="1"/>
  <c r="F30"/>
  <c r="F30" i="102"/>
  <c r="F14"/>
  <c r="F205" s="1"/>
  <c r="E324" i="114"/>
  <c r="D9" i="101"/>
  <c r="E315" i="114"/>
  <c r="D10" i="100"/>
  <c r="E297" i="114"/>
  <c r="D9" i="98"/>
  <c r="E360" i="114"/>
  <c r="D10" i="127"/>
  <c r="F202" i="114"/>
  <c r="E10" i="80"/>
  <c r="E184" i="114"/>
  <c r="D9" i="88"/>
  <c r="F30" i="86"/>
  <c r="F14"/>
  <c r="F205" s="1"/>
  <c r="F30" i="80"/>
  <c r="F14"/>
  <c r="F205" s="1"/>
  <c r="F14" i="87"/>
  <c r="F205" s="1"/>
  <c r="F30"/>
  <c r="G220" i="114"/>
  <c r="F8" i="90"/>
  <c r="F220" i="114"/>
  <c r="E8" i="90"/>
  <c r="G193" i="114"/>
  <c r="F8" i="79"/>
  <c r="E202" i="114"/>
  <c r="D10" i="80"/>
  <c r="H184" i="114"/>
  <c r="G9" i="88"/>
  <c r="D30" i="82"/>
  <c r="D14"/>
  <c r="D205" s="1"/>
  <c r="I103" i="114"/>
  <c r="H8" i="77"/>
  <c r="H94" i="114"/>
  <c r="G9" i="76"/>
  <c r="E103" i="114"/>
  <c r="D10" i="77"/>
  <c r="H85" i="114"/>
  <c r="G9" i="75"/>
  <c r="E67" i="114"/>
  <c r="D9" i="73"/>
  <c r="I13" i="104"/>
  <c r="D34" i="71"/>
  <c r="D12" i="104"/>
  <c r="D34" s="1"/>
  <c r="D31" i="71"/>
  <c r="J112" i="114"/>
  <c r="I8" i="78"/>
  <c r="J85" i="114"/>
  <c r="I8" i="75"/>
  <c r="I34" i="67"/>
  <c r="I23" i="104"/>
  <c r="E33" i="67"/>
  <c r="E22" i="104"/>
  <c r="F31" i="67"/>
  <c r="F20" i="104"/>
  <c r="I35" i="67"/>
  <c r="I24" i="104"/>
  <c r="E34" i="67"/>
  <c r="E23" i="104"/>
  <c r="F32" i="67"/>
  <c r="F21" i="104"/>
  <c r="G14" i="60"/>
  <c r="G205" s="1"/>
  <c r="G14" i="59"/>
  <c r="G205" s="1"/>
  <c r="G14" i="56"/>
  <c r="G205" s="1"/>
  <c r="E14" i="60"/>
  <c r="E205" s="1"/>
  <c r="E14" i="59"/>
  <c r="E205" s="1"/>
  <c r="E14" i="58"/>
  <c r="E205" s="1"/>
  <c r="E14" i="57"/>
  <c r="E205" s="1"/>
  <c r="E14" i="56"/>
  <c r="E205" s="1"/>
  <c r="F14" i="60"/>
  <c r="F205" s="1"/>
  <c r="I14" i="59"/>
  <c r="I205" s="1"/>
  <c r="I14" i="53"/>
  <c r="I205" s="1"/>
  <c r="I14" i="50"/>
  <c r="I205" s="1"/>
  <c r="I14" i="47"/>
  <c r="I205" s="1"/>
  <c r="F10" i="63"/>
  <c r="H14" i="49"/>
  <c r="H205" s="1"/>
  <c r="E14" i="47"/>
  <c r="E205" s="1"/>
  <c r="G12" i="63"/>
  <c r="F12"/>
  <c r="I13"/>
  <c r="H14" i="51"/>
  <c r="H205" s="1"/>
  <c r="G14" i="47"/>
  <c r="G205" s="1"/>
  <c r="H13" i="63"/>
  <c r="H10"/>
  <c r="E9"/>
  <c r="E14" i="127"/>
  <c r="E205" s="1"/>
  <c r="H14" i="108"/>
  <c r="H205" s="1"/>
  <c r="E14" i="102"/>
  <c r="E205" s="1"/>
  <c r="I14" i="99"/>
  <c r="I205" s="1"/>
  <c r="F14" i="98"/>
  <c r="F205" s="1"/>
  <c r="G14" i="97"/>
  <c r="G205" s="1"/>
  <c r="G14" i="96"/>
  <c r="G205" s="1"/>
  <c r="G14" i="95"/>
  <c r="G205" s="1"/>
  <c r="G14" i="94"/>
  <c r="G205" s="1"/>
  <c r="G14" i="91"/>
  <c r="G205" s="1"/>
  <c r="F14" i="127"/>
  <c r="F205" s="1"/>
  <c r="F14" i="108"/>
  <c r="F205" s="1"/>
  <c r="G14" i="100"/>
  <c r="G205" s="1"/>
  <c r="E14" i="95"/>
  <c r="E205" s="1"/>
  <c r="H14" i="94"/>
  <c r="H205" s="1"/>
  <c r="H14" i="93"/>
  <c r="H205" s="1"/>
  <c r="H14" i="92"/>
  <c r="H205" s="1"/>
  <c r="H14" i="91"/>
  <c r="H205" s="1"/>
  <c r="G14" i="127"/>
  <c r="G205" s="1"/>
  <c r="I14" i="94"/>
  <c r="I205" s="1"/>
  <c r="F175" i="114"/>
  <c r="G14" i="86"/>
  <c r="G205" s="1"/>
  <c r="G14" i="85"/>
  <c r="G205" s="1"/>
  <c r="G14" i="90"/>
  <c r="G205" s="1"/>
  <c r="E14" i="79"/>
  <c r="E205" s="1"/>
  <c r="G14" i="87"/>
  <c r="G205" s="1"/>
  <c r="E14" i="86"/>
  <c r="E205" s="1"/>
  <c r="E14" i="85"/>
  <c r="E205" s="1"/>
  <c r="F14" i="84"/>
  <c r="F205" s="1"/>
  <c r="I14" i="83"/>
  <c r="I205" s="1"/>
  <c r="F14" i="81"/>
  <c r="F205" s="1"/>
  <c r="G14" i="72"/>
  <c r="G205" s="1"/>
  <c r="H14" i="74"/>
  <c r="H205" s="1"/>
  <c r="F14" i="70"/>
  <c r="F205" s="1"/>
  <c r="I14" i="68"/>
  <c r="I205" s="1"/>
  <c r="F11" i="104"/>
  <c r="I9"/>
  <c r="I14" i="77"/>
  <c r="I205" s="1"/>
  <c r="I14" i="74"/>
  <c r="I205" s="1"/>
  <c r="E14" i="77"/>
  <c r="E205" s="1"/>
  <c r="H14" i="73"/>
  <c r="H205" s="1"/>
  <c r="G12" i="104"/>
  <c r="H14" i="78"/>
  <c r="H205" s="1"/>
  <c r="E14" i="76"/>
  <c r="E205" s="1"/>
  <c r="G14" i="74"/>
  <c r="G205" s="1"/>
  <c r="H14" i="70"/>
  <c r="H205" s="1"/>
  <c r="H14" i="69"/>
  <c r="H205" s="1"/>
  <c r="F14" i="67"/>
  <c r="F206" s="1"/>
  <c r="I31"/>
  <c r="F34" i="68"/>
  <c r="G32"/>
  <c r="H34"/>
  <c r="I32"/>
  <c r="E31"/>
  <c r="F34" i="69"/>
  <c r="G32"/>
  <c r="H35"/>
  <c r="I33"/>
  <c r="E32"/>
  <c r="F35"/>
  <c r="G33"/>
  <c r="H31"/>
  <c r="H14" i="67"/>
  <c r="H206" s="1"/>
  <c r="D30" i="59"/>
  <c r="D14"/>
  <c r="D205" s="1"/>
  <c r="F14" i="57"/>
  <c r="F205" s="1"/>
  <c r="F30"/>
  <c r="F14" i="56"/>
  <c r="F205" s="1"/>
  <c r="F30"/>
  <c r="G158" i="113"/>
  <c r="F8" i="53"/>
  <c r="G131" i="113"/>
  <c r="F8" i="50"/>
  <c r="H167" i="113"/>
  <c r="G10" i="54"/>
  <c r="I149" i="113"/>
  <c r="H8" i="52"/>
  <c r="F140" i="113"/>
  <c r="E12" i="51"/>
  <c r="E140" i="113"/>
  <c r="D10" i="51"/>
  <c r="H122" i="113"/>
  <c r="G9" i="49"/>
  <c r="H113" i="113"/>
  <c r="G8" i="48"/>
  <c r="D31" i="47"/>
  <c r="D32" i="38"/>
  <c r="I14" i="52"/>
  <c r="I205" s="1"/>
  <c r="I30"/>
  <c r="J95" i="113"/>
  <c r="I11" i="46"/>
  <c r="E14" i="32"/>
  <c r="E205" s="1"/>
  <c r="E14" i="109"/>
  <c r="E205" s="1"/>
  <c r="E30"/>
  <c r="J315" i="114"/>
  <c r="I12" i="100"/>
  <c r="E288" i="114"/>
  <c r="D9" i="97"/>
  <c r="E279" i="114"/>
  <c r="D9" i="96"/>
  <c r="E270" i="114"/>
  <c r="D9" i="95"/>
  <c r="I30" i="109"/>
  <c r="I14"/>
  <c r="I205" s="1"/>
  <c r="I30" i="102"/>
  <c r="I14"/>
  <c r="I205" s="1"/>
  <c r="D31" i="100"/>
  <c r="D31" i="127"/>
  <c r="E351" i="114"/>
  <c r="D10" i="109"/>
  <c r="D14" i="94"/>
  <c r="D205" s="1"/>
  <c r="D30"/>
  <c r="F30" i="93"/>
  <c r="F14"/>
  <c r="F205" s="1"/>
  <c r="F30" i="91"/>
  <c r="F14"/>
  <c r="F205" s="1"/>
  <c r="I30" i="86"/>
  <c r="I14"/>
  <c r="I205" s="1"/>
  <c r="I130" i="114"/>
  <c r="H11" i="82"/>
  <c r="E193" i="114"/>
  <c r="D9" i="79"/>
  <c r="D14" i="83"/>
  <c r="D205" s="1"/>
  <c r="D30"/>
  <c r="F14" i="82"/>
  <c r="F205" s="1"/>
  <c r="F30"/>
  <c r="J211" i="114"/>
  <c r="I8" i="89"/>
  <c r="I211" i="114"/>
  <c r="H8" i="89"/>
  <c r="J184" i="114"/>
  <c r="I8" i="88"/>
  <c r="E112" i="114"/>
  <c r="D9" i="78"/>
  <c r="E85" i="114"/>
  <c r="D9" i="75"/>
  <c r="F14" i="69"/>
  <c r="F205" s="1"/>
  <c r="F30"/>
  <c r="G103" i="114"/>
  <c r="F8" i="77"/>
  <c r="G76" i="114"/>
  <c r="F8" i="74"/>
  <c r="H67" i="114"/>
  <c r="G9" i="73"/>
  <c r="G35" i="67"/>
  <c r="G13" i="104"/>
  <c r="J94" i="114"/>
  <c r="I8" i="76"/>
  <c r="J67" i="114"/>
  <c r="I8" i="73"/>
  <c r="D35" i="72"/>
  <c r="D13" i="104"/>
  <c r="D35" s="1"/>
  <c r="H112" i="114"/>
  <c r="G9" i="78"/>
  <c r="E94" i="114"/>
  <c r="D9" i="76"/>
  <c r="D33" i="71"/>
  <c r="D11" i="104"/>
  <c r="D33" s="1"/>
  <c r="E35" i="67"/>
  <c r="E24" i="104"/>
  <c r="F33" i="67"/>
  <c r="F22" i="104"/>
  <c r="G31" i="67"/>
  <c r="G20" i="104"/>
  <c r="H34" i="67"/>
  <c r="H23" i="104"/>
  <c r="I32" i="67"/>
  <c r="I21" i="104"/>
  <c r="E31" i="67"/>
  <c r="E20" i="104"/>
  <c r="G14" i="58"/>
  <c r="G205" s="1"/>
  <c r="H14" i="60"/>
  <c r="H205" s="1"/>
  <c r="H14" i="59"/>
  <c r="H205" s="1"/>
  <c r="H14" i="58"/>
  <c r="H205" s="1"/>
  <c r="H14" i="57"/>
  <c r="H205" s="1"/>
  <c r="H14" i="56"/>
  <c r="H205" s="1"/>
  <c r="I14" i="60"/>
  <c r="I205" s="1"/>
  <c r="F14" i="58"/>
  <c r="F205" s="1"/>
  <c r="H14" i="53"/>
  <c r="H205" s="1"/>
  <c r="I9" i="63"/>
  <c r="E14" i="50"/>
  <c r="E205" s="1"/>
  <c r="G14" i="46"/>
  <c r="G205" s="1"/>
  <c r="G14" i="45"/>
  <c r="G205" s="1"/>
  <c r="G14" i="44"/>
  <c r="G205" s="1"/>
  <c r="G14" i="43"/>
  <c r="G205" s="1"/>
  <c r="G14" i="42"/>
  <c r="G205" s="1"/>
  <c r="G14" i="41"/>
  <c r="G205" s="1"/>
  <c r="G14" i="40"/>
  <c r="G205" s="1"/>
  <c r="G14" i="39"/>
  <c r="G205" s="1"/>
  <c r="G14" i="38"/>
  <c r="G205" s="1"/>
  <c r="I14" i="49"/>
  <c r="I205" s="1"/>
  <c r="F13" i="63"/>
  <c r="G14" i="50"/>
  <c r="G205" s="1"/>
  <c r="E14" i="39"/>
  <c r="E205" s="1"/>
  <c r="E14" i="38"/>
  <c r="E205" s="1"/>
  <c r="H12" i="63"/>
  <c r="E11"/>
  <c r="H9"/>
  <c r="H14" i="127"/>
  <c r="H205" s="1"/>
  <c r="H14" i="102"/>
  <c r="H205" s="1"/>
  <c r="I14" i="98"/>
  <c r="I205" s="1"/>
  <c r="G14" i="93"/>
  <c r="G205" s="1"/>
  <c r="I14" i="127"/>
  <c r="I205" s="1"/>
  <c r="I14" i="108"/>
  <c r="I205" s="1"/>
  <c r="G14" i="99"/>
  <c r="G205" s="1"/>
  <c r="F14" i="92"/>
  <c r="F205" s="1"/>
  <c r="H14" i="80"/>
  <c r="H205" s="1"/>
  <c r="F14" i="85"/>
  <c r="F205" s="1"/>
  <c r="G14" i="84"/>
  <c r="G205" s="1"/>
  <c r="G14" i="83"/>
  <c r="G205" s="1"/>
  <c r="G14" i="82"/>
  <c r="G205" s="1"/>
  <c r="G14" i="81"/>
  <c r="G205" s="1"/>
  <c r="H14" i="79"/>
  <c r="H205" s="1"/>
  <c r="E14" i="81"/>
  <c r="E205" s="1"/>
  <c r="G14" i="80"/>
  <c r="G205" s="1"/>
  <c r="E14" i="87"/>
  <c r="E205" s="1"/>
  <c r="H14" i="86"/>
  <c r="H205" s="1"/>
  <c r="H14" i="85"/>
  <c r="H205" s="1"/>
  <c r="I14" i="84"/>
  <c r="I205" s="1"/>
  <c r="I14" i="81"/>
  <c r="I205" s="1"/>
  <c r="I14" i="70"/>
  <c r="I205" s="1"/>
  <c r="I11" i="104"/>
  <c r="F10"/>
  <c r="E14" i="74"/>
  <c r="E205" s="1"/>
  <c r="G10" i="104"/>
  <c r="G14" i="77"/>
  <c r="G205" s="1"/>
  <c r="H13" i="104"/>
  <c r="H10"/>
  <c r="E9"/>
  <c r="I14" i="67"/>
  <c r="I206" s="1"/>
  <c r="H33"/>
  <c r="G34"/>
  <c r="I34" i="68"/>
  <c r="E33"/>
  <c r="F31"/>
  <c r="F35"/>
  <c r="G33"/>
  <c r="H31"/>
  <c r="I34" i="69"/>
  <c r="E33"/>
  <c r="G34"/>
  <c r="H32"/>
  <c r="E34"/>
  <c r="H33" i="70"/>
  <c r="I31"/>
  <c r="H35"/>
  <c r="I33"/>
  <c r="E32"/>
  <c r="F35"/>
  <c r="G33"/>
  <c r="H31"/>
  <c r="D30" i="60"/>
  <c r="D14"/>
  <c r="D205" s="1"/>
  <c r="I30" i="57"/>
  <c r="I14"/>
  <c r="I205" s="1"/>
  <c r="I14" i="56"/>
  <c r="I205" s="1"/>
  <c r="I30"/>
  <c r="G35" i="54"/>
  <c r="G13" i="63"/>
  <c r="H149" i="113"/>
  <c r="G9" i="52"/>
  <c r="E131" i="113"/>
  <c r="D9" i="50"/>
  <c r="F122" i="113"/>
  <c r="E10" i="49"/>
  <c r="E104" i="113"/>
  <c r="D12" i="47"/>
  <c r="F95" i="113"/>
  <c r="E13" i="46"/>
  <c r="E95" i="113"/>
  <c r="D9" i="46"/>
  <c r="E86" i="113"/>
  <c r="D9" i="45"/>
  <c r="E77" i="113"/>
  <c r="D9" i="44"/>
  <c r="E68" i="113"/>
  <c r="D9" i="43"/>
  <c r="E59" i="113"/>
  <c r="D9" i="42"/>
  <c r="E50" i="113"/>
  <c r="D9" i="41"/>
  <c r="E41" i="113"/>
  <c r="D9" i="40"/>
  <c r="E32" i="113"/>
  <c r="D9" i="39"/>
  <c r="D34" i="38"/>
  <c r="D31"/>
  <c r="D14"/>
  <c r="D205" s="1"/>
  <c r="G14" i="32"/>
  <c r="G205" s="1"/>
  <c r="G176" i="113"/>
  <c r="F8" i="55"/>
  <c r="F176" i="113"/>
  <c r="E8" i="55"/>
  <c r="G149" i="113"/>
  <c r="F8" i="52"/>
  <c r="G122" i="113"/>
  <c r="F8" i="49"/>
  <c r="G95" i="113"/>
  <c r="F11" i="46"/>
  <c r="E122" i="113"/>
  <c r="D9" i="49"/>
  <c r="H14" i="32"/>
  <c r="H205" s="1"/>
  <c r="H30" i="109"/>
  <c r="H14"/>
  <c r="H205" s="1"/>
  <c r="G315" i="114"/>
  <c r="F13" i="100"/>
  <c r="E306" i="114"/>
  <c r="D9" i="99"/>
  <c r="G30" i="109"/>
  <c r="G14"/>
  <c r="G205" s="1"/>
  <c r="I30" i="93"/>
  <c r="I14"/>
  <c r="I205" s="1"/>
  <c r="I30" i="91"/>
  <c r="I14"/>
  <c r="I205" s="1"/>
  <c r="H193" i="114"/>
  <c r="G8" i="79"/>
  <c r="J202" i="114"/>
  <c r="I8" i="80"/>
  <c r="J175" i="114"/>
  <c r="I8" i="87"/>
  <c r="F130" i="114"/>
  <c r="E12" i="82"/>
  <c r="I30" i="90"/>
  <c r="I14"/>
  <c r="I205" s="1"/>
  <c r="E31" i="80"/>
  <c r="E175" i="114"/>
  <c r="D10" i="87"/>
  <c r="D30" i="84"/>
  <c r="D14"/>
  <c r="D205" s="1"/>
  <c r="I14" i="82"/>
  <c r="I205" s="1"/>
  <c r="I30"/>
  <c r="D30" i="81"/>
  <c r="D14"/>
  <c r="D205" s="1"/>
  <c r="F112" i="114"/>
  <c r="E11" i="78"/>
  <c r="I14" i="69"/>
  <c r="I205" s="1"/>
  <c r="I30"/>
  <c r="E49" i="114"/>
  <c r="D8" i="71"/>
  <c r="G14" i="67"/>
  <c r="G206" s="1"/>
  <c r="F14" i="76"/>
  <c r="F205" s="1"/>
  <c r="F30"/>
  <c r="F14" i="73"/>
  <c r="F205" s="1"/>
  <c r="F30"/>
  <c r="E58" i="114"/>
  <c r="D9" i="72"/>
  <c r="E76" i="114"/>
  <c r="D10" i="74"/>
  <c r="F49" i="114"/>
  <c r="E13" i="71"/>
  <c r="D32"/>
  <c r="E14" i="67"/>
  <c r="E206" s="1"/>
  <c r="F34"/>
  <c r="F23" i="104"/>
  <c r="G32" i="67"/>
  <c r="G21" i="104"/>
  <c r="H35" i="67"/>
  <c r="H24" i="104"/>
  <c r="I33" i="67"/>
  <c r="I22" i="104"/>
  <c r="E32" i="67"/>
  <c r="E21" i="104"/>
  <c r="F35" i="67"/>
  <c r="F24" i="104"/>
  <c r="G33" i="67"/>
  <c r="G22" i="104"/>
  <c r="H31" i="67"/>
  <c r="H20" i="104"/>
  <c r="G14" i="57"/>
  <c r="G205" s="1"/>
  <c r="F14" i="59"/>
  <c r="F205" s="1"/>
  <c r="I14" i="58"/>
  <c r="I205" s="1"/>
  <c r="H14" i="50"/>
  <c r="H205" s="1"/>
  <c r="H14" i="47"/>
  <c r="H205" s="1"/>
  <c r="F9" i="63"/>
  <c r="I10"/>
  <c r="E14" i="53"/>
  <c r="E205" s="1"/>
  <c r="G11" i="63"/>
  <c r="I12"/>
  <c r="G14" i="53"/>
  <c r="G205" s="1"/>
  <c r="H14" i="48"/>
  <c r="H205" s="1"/>
  <c r="H14" i="39"/>
  <c r="H205" s="1"/>
  <c r="H14" i="38"/>
  <c r="H205" s="1"/>
  <c r="E14" i="108"/>
  <c r="E205" s="1"/>
  <c r="F14" i="99"/>
  <c r="F205" s="1"/>
  <c r="G14" i="92"/>
  <c r="G205" s="1"/>
  <c r="G14" i="101"/>
  <c r="G205" s="1"/>
  <c r="G14" i="98"/>
  <c r="G205" s="1"/>
  <c r="H14" i="95"/>
  <c r="H205" s="1"/>
  <c r="E14" i="94"/>
  <c r="E205" s="1"/>
  <c r="E14" i="93"/>
  <c r="E205" s="1"/>
  <c r="E14" i="92"/>
  <c r="E205" s="1"/>
  <c r="E14" i="91"/>
  <c r="E205" s="1"/>
  <c r="G14" i="108"/>
  <c r="G205" s="1"/>
  <c r="G14" i="102"/>
  <c r="G205" s="1"/>
  <c r="F14" i="94"/>
  <c r="F205" s="1"/>
  <c r="I14" i="92"/>
  <c r="I205" s="1"/>
  <c r="H14" i="87"/>
  <c r="H205" s="1"/>
  <c r="I14" i="85"/>
  <c r="I205" s="1"/>
  <c r="H14" i="81"/>
  <c r="H205" s="1"/>
  <c r="H14" i="90"/>
  <c r="H205" s="1"/>
  <c r="I14" i="79"/>
  <c r="I205" s="1"/>
  <c r="H14" i="88"/>
  <c r="H205" s="1"/>
  <c r="F14" i="83"/>
  <c r="F205" s="1"/>
  <c r="F14" i="89"/>
  <c r="F205" s="1"/>
  <c r="E14"/>
  <c r="E205" s="1"/>
  <c r="F14" i="88"/>
  <c r="F205" s="1"/>
  <c r="F14" i="68"/>
  <c r="F205" s="1"/>
  <c r="F12" i="104"/>
  <c r="I10"/>
  <c r="H14" i="76"/>
  <c r="H205" s="1"/>
  <c r="G14" i="70"/>
  <c r="G205" s="1"/>
  <c r="G14" i="69"/>
  <c r="G205" s="1"/>
  <c r="G11" i="104"/>
  <c r="H14" i="75"/>
  <c r="H205" s="1"/>
  <c r="E14" i="73"/>
  <c r="E205" s="1"/>
  <c r="G14" i="71"/>
  <c r="G205" s="1"/>
  <c r="E14" i="70"/>
  <c r="E205" s="1"/>
  <c r="E14" i="69"/>
  <c r="E205" s="1"/>
  <c r="H12" i="104"/>
  <c r="H9"/>
  <c r="H33" i="68"/>
  <c r="I31"/>
  <c r="E34"/>
  <c r="F32"/>
  <c r="I30"/>
  <c r="H33" i="69"/>
  <c r="I31"/>
  <c r="E35"/>
  <c r="F33"/>
  <c r="G31"/>
  <c r="H34"/>
  <c r="I32"/>
  <c r="G34" i="71"/>
  <c r="I34" i="32"/>
  <c r="I23" i="63"/>
  <c r="E33" i="32"/>
  <c r="E22" i="63"/>
  <c r="F31" i="32"/>
  <c r="F20" i="63"/>
  <c r="E35" i="32"/>
  <c r="E24" i="63"/>
  <c r="F33" i="32"/>
  <c r="F22" i="63"/>
  <c r="G31" i="32"/>
  <c r="G20" i="63"/>
  <c r="H34" i="32"/>
  <c r="H23" i="63"/>
  <c r="I32" i="32"/>
  <c r="E31"/>
  <c r="E20" i="63"/>
  <c r="G279" i="114"/>
  <c r="F8" i="96"/>
  <c r="H8"/>
  <c r="I279" i="114"/>
  <c r="F58"/>
  <c r="E10" i="72"/>
  <c r="E40" i="114"/>
  <c r="D8" i="70"/>
  <c r="G86" i="113"/>
  <c r="F8" i="45"/>
  <c r="J86" i="113"/>
  <c r="I8" i="45"/>
  <c r="H8" i="42"/>
  <c r="I59" i="113"/>
  <c r="E8" i="40"/>
  <c r="F41" i="113"/>
  <c r="H8" i="43"/>
  <c r="I68" i="113"/>
  <c r="E166" i="114"/>
  <c r="D8" i="86"/>
  <c r="I148" i="114"/>
  <c r="H8" i="84"/>
  <c r="E8" i="41"/>
  <c r="F50" i="113"/>
  <c r="G32"/>
  <c r="F8" i="39"/>
  <c r="J32" i="113"/>
  <c r="I8" i="39"/>
  <c r="G32" i="72"/>
  <c r="G33"/>
  <c r="F34" i="73"/>
  <c r="G32"/>
  <c r="H34"/>
  <c r="I32"/>
  <c r="H33" i="74"/>
  <c r="I31"/>
  <c r="H34"/>
  <c r="I32"/>
  <c r="E31"/>
  <c r="H33" i="75"/>
  <c r="I31"/>
  <c r="I33"/>
  <c r="E32"/>
  <c r="I32"/>
  <c r="F34" i="76"/>
  <c r="G32"/>
  <c r="F35"/>
  <c r="G33"/>
  <c r="H31"/>
  <c r="H32" i="77"/>
  <c r="E34"/>
  <c r="F31"/>
  <c r="E33"/>
  <c r="I34"/>
  <c r="E35" i="78"/>
  <c r="F33"/>
  <c r="H34"/>
  <c r="I32"/>
  <c r="I34" i="81"/>
  <c r="E33"/>
  <c r="F31"/>
  <c r="E35"/>
  <c r="F33"/>
  <c r="G31"/>
  <c r="H34"/>
  <c r="I32"/>
  <c r="E31"/>
  <c r="F34" i="82"/>
  <c r="G32"/>
  <c r="H34"/>
  <c r="I32"/>
  <c r="F34" i="83"/>
  <c r="G32"/>
  <c r="I33"/>
  <c r="I35"/>
  <c r="F32"/>
  <c r="I34" i="84"/>
  <c r="F31"/>
  <c r="I35"/>
  <c r="F32"/>
  <c r="F35" i="85"/>
  <c r="E32"/>
  <c r="I33"/>
  <c r="H35"/>
  <c r="F31"/>
  <c r="E33"/>
  <c r="I34"/>
  <c r="F32"/>
  <c r="H33" i="86"/>
  <c r="I31"/>
  <c r="H34"/>
  <c r="I32"/>
  <c r="E31"/>
  <c r="H33" i="87"/>
  <c r="I31"/>
  <c r="I35"/>
  <c r="E34"/>
  <c r="F32"/>
  <c r="E35" i="88"/>
  <c r="F33"/>
  <c r="I32"/>
  <c r="I34" i="79"/>
  <c r="E33"/>
  <c r="F31"/>
  <c r="E35"/>
  <c r="F33"/>
  <c r="G31"/>
  <c r="F35"/>
  <c r="G33"/>
  <c r="H31"/>
  <c r="F34" i="89"/>
  <c r="G34"/>
  <c r="H32"/>
  <c r="I35"/>
  <c r="E34"/>
  <c r="F32"/>
  <c r="I34" i="90"/>
  <c r="E33"/>
  <c r="F31"/>
  <c r="E35"/>
  <c r="H34"/>
  <c r="I32"/>
  <c r="E31"/>
  <c r="I34" i="91"/>
  <c r="E33"/>
  <c r="I35"/>
  <c r="E34"/>
  <c r="F32"/>
  <c r="F34" i="92"/>
  <c r="G32"/>
  <c r="F35"/>
  <c r="G33"/>
  <c r="H31"/>
  <c r="I34" i="93"/>
  <c r="E33"/>
  <c r="F31"/>
  <c r="E35"/>
  <c r="F33"/>
  <c r="F35"/>
  <c r="G33"/>
  <c r="H31"/>
  <c r="H33" i="94"/>
  <c r="I31"/>
  <c r="H35"/>
  <c r="I33"/>
  <c r="E32"/>
  <c r="F35"/>
  <c r="G33"/>
  <c r="H31"/>
  <c r="E33" i="95"/>
  <c r="E35"/>
  <c r="G31"/>
  <c r="H34"/>
  <c r="G34" i="96"/>
  <c r="G33" i="97"/>
  <c r="I31" i="98"/>
  <c r="I32"/>
  <c r="I31" i="99"/>
  <c r="F33"/>
  <c r="G31"/>
  <c r="F32"/>
  <c r="F34" i="102"/>
  <c r="G32"/>
  <c r="H34"/>
  <c r="I32"/>
  <c r="E31"/>
  <c r="F34" i="108"/>
  <c r="G32"/>
  <c r="I33"/>
  <c r="E32"/>
  <c r="I35"/>
  <c r="E34"/>
  <c r="F32"/>
  <c r="I34" i="127"/>
  <c r="E33"/>
  <c r="F31"/>
  <c r="E35"/>
  <c r="F33"/>
  <c r="G31"/>
  <c r="H34"/>
  <c r="I32"/>
  <c r="E31"/>
  <c r="E33" i="38"/>
  <c r="G34"/>
  <c r="H32"/>
  <c r="E34"/>
  <c r="G32" i="39"/>
  <c r="H34"/>
  <c r="E31"/>
  <c r="G32" i="40"/>
  <c r="G31" i="41"/>
  <c r="G33"/>
  <c r="G34" i="43"/>
  <c r="G33" i="44"/>
  <c r="G33" i="45"/>
  <c r="I34" i="47"/>
  <c r="E33"/>
  <c r="F31"/>
  <c r="G34"/>
  <c r="H32"/>
  <c r="H34"/>
  <c r="I32"/>
  <c r="E31"/>
  <c r="E31" i="48"/>
  <c r="I33"/>
  <c r="H35"/>
  <c r="F31"/>
  <c r="I34"/>
  <c r="H33" i="49"/>
  <c r="I31"/>
  <c r="I32"/>
  <c r="I34" i="50"/>
  <c r="E33"/>
  <c r="F31"/>
  <c r="E35"/>
  <c r="F33"/>
  <c r="G31"/>
  <c r="H34"/>
  <c r="I32"/>
  <c r="E31"/>
  <c r="F33" i="51"/>
  <c r="I35"/>
  <c r="E32"/>
  <c r="F34"/>
  <c r="I34" i="52"/>
  <c r="F31"/>
  <c r="I32"/>
  <c r="F35" i="53"/>
  <c r="G32"/>
  <c r="H32"/>
  <c r="G34"/>
  <c r="H34"/>
  <c r="I31"/>
  <c r="F34" i="54"/>
  <c r="G34"/>
  <c r="H32"/>
  <c r="I35"/>
  <c r="E34"/>
  <c r="F32"/>
  <c r="F34" i="55"/>
  <c r="G34"/>
  <c r="H32"/>
  <c r="I34" i="56"/>
  <c r="E33"/>
  <c r="E35"/>
  <c r="F35"/>
  <c r="G33"/>
  <c r="H31"/>
  <c r="H33" i="57"/>
  <c r="I31"/>
  <c r="H35"/>
  <c r="I33"/>
  <c r="E32"/>
  <c r="I35"/>
  <c r="E34"/>
  <c r="F32"/>
  <c r="E34" i="58"/>
  <c r="I32"/>
  <c r="H35"/>
  <c r="F31"/>
  <c r="E33"/>
  <c r="I34"/>
  <c r="H33" i="59"/>
  <c r="I31"/>
  <c r="H35"/>
  <c r="I33"/>
  <c r="I35"/>
  <c r="E34"/>
  <c r="F32"/>
  <c r="H33" i="60"/>
  <c r="I31"/>
  <c r="H35"/>
  <c r="I33"/>
  <c r="E32"/>
  <c r="F35"/>
  <c r="G33"/>
  <c r="H31"/>
  <c r="E185" i="113"/>
  <c r="H32" i="82"/>
  <c r="F315" i="114"/>
  <c r="J288"/>
  <c r="E252"/>
  <c r="E35" i="84"/>
  <c r="H33" i="32"/>
  <c r="H22" i="63"/>
  <c r="I31" i="32"/>
  <c r="I20" i="63"/>
  <c r="H35" i="32"/>
  <c r="H24" i="63"/>
  <c r="I33" i="32"/>
  <c r="I22" i="63"/>
  <c r="E32" i="32"/>
  <c r="F35"/>
  <c r="F24" i="63"/>
  <c r="G33" i="32"/>
  <c r="G22" i="63"/>
  <c r="H31" i="32"/>
  <c r="H20" i="63"/>
  <c r="G324" i="114"/>
  <c r="F8" i="101"/>
  <c r="I297" i="114"/>
  <c r="H8" i="98"/>
  <c r="G288" i="114"/>
  <c r="F8" i="97"/>
  <c r="I315" i="114"/>
  <c r="H8" i="100"/>
  <c r="I49" i="114"/>
  <c r="H8" i="71"/>
  <c r="E8" i="45"/>
  <c r="F86" i="113"/>
  <c r="G59"/>
  <c r="F8" i="42"/>
  <c r="J59" i="113"/>
  <c r="I8" i="42"/>
  <c r="H8" i="45"/>
  <c r="I86" i="113"/>
  <c r="F139" i="114"/>
  <c r="E8" i="83"/>
  <c r="E31" i="114"/>
  <c r="D8" i="69"/>
  <c r="G68" i="113"/>
  <c r="F8" i="43"/>
  <c r="J68" i="113"/>
  <c r="I8" i="43"/>
  <c r="G14" i="113"/>
  <c r="F8" i="32"/>
  <c r="G77" i="113"/>
  <c r="F8" i="44"/>
  <c r="J77" i="113"/>
  <c r="I8" i="44"/>
  <c r="J23" i="113"/>
  <c r="I8" i="38"/>
  <c r="F32" i="69"/>
  <c r="F34" i="70"/>
  <c r="G32"/>
  <c r="G34"/>
  <c r="H32"/>
  <c r="E34"/>
  <c r="F32"/>
  <c r="G34" i="72"/>
  <c r="I34" i="73"/>
  <c r="E33"/>
  <c r="F31"/>
  <c r="F35"/>
  <c r="H31"/>
  <c r="F34" i="74"/>
  <c r="G32"/>
  <c r="F35"/>
  <c r="G33"/>
  <c r="H31"/>
  <c r="F34" i="75"/>
  <c r="G34"/>
  <c r="F35"/>
  <c r="I34" i="76"/>
  <c r="E33"/>
  <c r="F25"/>
  <c r="I35"/>
  <c r="E34"/>
  <c r="F32"/>
  <c r="F33" i="77"/>
  <c r="E32"/>
  <c r="H34"/>
  <c r="G32"/>
  <c r="F34"/>
  <c r="I33" i="78"/>
  <c r="E32"/>
  <c r="F35"/>
  <c r="H33" i="81"/>
  <c r="I31"/>
  <c r="H35"/>
  <c r="I33"/>
  <c r="E32"/>
  <c r="F35"/>
  <c r="G33"/>
  <c r="H31"/>
  <c r="I34" i="82"/>
  <c r="F31"/>
  <c r="F35"/>
  <c r="G33"/>
  <c r="I34" i="83"/>
  <c r="F31"/>
  <c r="G34"/>
  <c r="I31" i="84"/>
  <c r="I32"/>
  <c r="H31" i="85"/>
  <c r="G31"/>
  <c r="F33"/>
  <c r="E35"/>
  <c r="G32"/>
  <c r="F34"/>
  <c r="E34"/>
  <c r="F34" i="86"/>
  <c r="G32"/>
  <c r="F35"/>
  <c r="G33"/>
  <c r="H31"/>
  <c r="F34" i="87"/>
  <c r="H34"/>
  <c r="I32"/>
  <c r="E31"/>
  <c r="I33" i="88"/>
  <c r="E32"/>
  <c r="F35"/>
  <c r="H33" i="79"/>
  <c r="I31"/>
  <c r="H35"/>
  <c r="I33"/>
  <c r="E32"/>
  <c r="I35"/>
  <c r="E34"/>
  <c r="F32"/>
  <c r="F34" i="80"/>
  <c r="F35"/>
  <c r="G33"/>
  <c r="I34" i="89"/>
  <c r="E33"/>
  <c r="F31"/>
  <c r="E35"/>
  <c r="F33"/>
  <c r="G31"/>
  <c r="H34"/>
  <c r="I32"/>
  <c r="E31"/>
  <c r="H33" i="90"/>
  <c r="I31"/>
  <c r="H35"/>
  <c r="F35"/>
  <c r="H31"/>
  <c r="H33" i="91"/>
  <c r="I31"/>
  <c r="H34"/>
  <c r="I32"/>
  <c r="E31"/>
  <c r="I34" i="92"/>
  <c r="E33"/>
  <c r="F31"/>
  <c r="I35"/>
  <c r="E34"/>
  <c r="F32"/>
  <c r="H33" i="93"/>
  <c r="I31"/>
  <c r="H35"/>
  <c r="I33"/>
  <c r="I35"/>
  <c r="E34"/>
  <c r="F32"/>
  <c r="F34" i="94"/>
  <c r="G32"/>
  <c r="G34"/>
  <c r="H32"/>
  <c r="I35"/>
  <c r="E34"/>
  <c r="F32"/>
  <c r="H33" i="95"/>
  <c r="H35"/>
  <c r="E32"/>
  <c r="G33"/>
  <c r="H31"/>
  <c r="G32" i="97"/>
  <c r="G34"/>
  <c r="F35" i="98"/>
  <c r="G33"/>
  <c r="F34" i="99"/>
  <c r="G32"/>
  <c r="I33"/>
  <c r="I32"/>
  <c r="G31" i="100"/>
  <c r="G32"/>
  <c r="G32" i="101"/>
  <c r="G34"/>
  <c r="I34" i="102"/>
  <c r="E33"/>
  <c r="F31"/>
  <c r="F35"/>
  <c r="G33"/>
  <c r="H31"/>
  <c r="I34" i="108"/>
  <c r="E33"/>
  <c r="F31"/>
  <c r="G34"/>
  <c r="H32"/>
  <c r="H34"/>
  <c r="I32"/>
  <c r="E31"/>
  <c r="H33" i="127"/>
  <c r="I31"/>
  <c r="I33"/>
  <c r="E32"/>
  <c r="F35"/>
  <c r="G33"/>
  <c r="H31"/>
  <c r="H33" i="38"/>
  <c r="E35"/>
  <c r="G31"/>
  <c r="H34"/>
  <c r="E31"/>
  <c r="E33" i="39"/>
  <c r="F25"/>
  <c r="G33"/>
  <c r="H31"/>
  <c r="G33" i="40"/>
  <c r="G34"/>
  <c r="I25" i="41"/>
  <c r="G34" i="42"/>
  <c r="G34" i="44"/>
  <c r="G32" i="45"/>
  <c r="G34"/>
  <c r="F34" i="46"/>
  <c r="G32"/>
  <c r="F35"/>
  <c r="I191"/>
  <c r="I160" s="1"/>
  <c r="H33" i="47"/>
  <c r="I31"/>
  <c r="E35"/>
  <c r="F33"/>
  <c r="G31"/>
  <c r="F35"/>
  <c r="G33"/>
  <c r="H31"/>
  <c r="G33" i="48"/>
  <c r="G31"/>
  <c r="F33"/>
  <c r="E35"/>
  <c r="F34"/>
  <c r="E34"/>
  <c r="F34" i="49"/>
  <c r="F35"/>
  <c r="H33" i="50"/>
  <c r="I31"/>
  <c r="H35"/>
  <c r="I33"/>
  <c r="E32"/>
  <c r="F35"/>
  <c r="G33"/>
  <c r="H31"/>
  <c r="H32" i="51"/>
  <c r="F32"/>
  <c r="E35"/>
  <c r="E31"/>
  <c r="I33"/>
  <c r="I31"/>
  <c r="H33"/>
  <c r="H33" i="52"/>
  <c r="I31"/>
  <c r="F35"/>
  <c r="G33" i="53"/>
  <c r="E32"/>
  <c r="I33"/>
  <c r="H35"/>
  <c r="I32"/>
  <c r="I34" i="54"/>
  <c r="E33"/>
  <c r="F31"/>
  <c r="E35"/>
  <c r="F33"/>
  <c r="G31"/>
  <c r="H34"/>
  <c r="I32"/>
  <c r="E31"/>
  <c r="I34" i="55"/>
  <c r="E33"/>
  <c r="F31"/>
  <c r="E35"/>
  <c r="F33"/>
  <c r="I35"/>
  <c r="E34"/>
  <c r="F32"/>
  <c r="H33" i="56"/>
  <c r="I31"/>
  <c r="H35"/>
  <c r="I33"/>
  <c r="I35"/>
  <c r="E34"/>
  <c r="F32"/>
  <c r="F34" i="57"/>
  <c r="G32"/>
  <c r="G34"/>
  <c r="H32"/>
  <c r="H34"/>
  <c r="I32"/>
  <c r="E31"/>
  <c r="H32" i="58"/>
  <c r="I35"/>
  <c r="G32"/>
  <c r="F34"/>
  <c r="F34" i="59"/>
  <c r="G32"/>
  <c r="G34"/>
  <c r="H34"/>
  <c r="I32"/>
  <c r="E31"/>
  <c r="F34" i="60"/>
  <c r="G32"/>
  <c r="G34"/>
  <c r="H32"/>
  <c r="I35"/>
  <c r="E34"/>
  <c r="F32"/>
  <c r="E31" i="100"/>
  <c r="E342" i="114"/>
  <c r="E176" i="113"/>
  <c r="I32" i="100"/>
  <c r="H35" i="98"/>
  <c r="H35" i="49"/>
  <c r="E234" i="114"/>
  <c r="J324"/>
  <c r="F306"/>
  <c r="J279"/>
  <c r="E211"/>
  <c r="E34" i="43"/>
  <c r="F33" i="39"/>
  <c r="F34" i="32"/>
  <c r="F23" i="63"/>
  <c r="G32" i="32"/>
  <c r="G34"/>
  <c r="G23" i="63"/>
  <c r="H32" i="32"/>
  <c r="I35"/>
  <c r="I24" i="63"/>
  <c r="E34" i="32"/>
  <c r="E23" i="63"/>
  <c r="F32" i="32"/>
  <c r="I306" i="114"/>
  <c r="H8" i="99"/>
  <c r="I324" i="114"/>
  <c r="H8" i="101"/>
  <c r="H8" i="97"/>
  <c r="I288" i="114"/>
  <c r="E157"/>
  <c r="D8" i="85"/>
  <c r="E8" i="42"/>
  <c r="F59" i="113"/>
  <c r="I58" i="114"/>
  <c r="H8" i="72"/>
  <c r="I139" i="114"/>
  <c r="H8" i="83"/>
  <c r="E8" i="43"/>
  <c r="F68" i="113"/>
  <c r="G41"/>
  <c r="F8" i="40"/>
  <c r="J41" i="113"/>
  <c r="I8" i="40"/>
  <c r="H8"/>
  <c r="I41" i="113"/>
  <c r="J14"/>
  <c r="I8" i="32"/>
  <c r="F148" i="114"/>
  <c r="E8" i="84"/>
  <c r="E22" i="114"/>
  <c r="D8" i="68"/>
  <c r="E194" i="113"/>
  <c r="D8" i="57"/>
  <c r="E8" i="44"/>
  <c r="F77" i="113"/>
  <c r="G50"/>
  <c r="F8" i="41"/>
  <c r="J50" i="113"/>
  <c r="I8" i="41"/>
  <c r="E31" i="69"/>
  <c r="I34" i="70"/>
  <c r="E33"/>
  <c r="F31"/>
  <c r="E35"/>
  <c r="F33"/>
  <c r="G31"/>
  <c r="H34"/>
  <c r="I32"/>
  <c r="E31"/>
  <c r="G32" i="71"/>
  <c r="I35"/>
  <c r="G31" i="72"/>
  <c r="H33" i="73"/>
  <c r="I31"/>
  <c r="I35"/>
  <c r="E34"/>
  <c r="F32"/>
  <c r="I34" i="74"/>
  <c r="E33"/>
  <c r="F31"/>
  <c r="I35"/>
  <c r="E34"/>
  <c r="F32"/>
  <c r="I34" i="75"/>
  <c r="F31"/>
  <c r="E35"/>
  <c r="F33"/>
  <c r="I35"/>
  <c r="F32"/>
  <c r="H33" i="76"/>
  <c r="I31"/>
  <c r="H34"/>
  <c r="I32"/>
  <c r="E35" i="77"/>
  <c r="E31"/>
  <c r="I33"/>
  <c r="I31"/>
  <c r="H33"/>
  <c r="G34" i="78"/>
  <c r="I35"/>
  <c r="F32"/>
  <c r="F34" i="81"/>
  <c r="G32"/>
  <c r="G34"/>
  <c r="H32"/>
  <c r="I35"/>
  <c r="E34"/>
  <c r="F32"/>
  <c r="I31" i="82"/>
  <c r="I35"/>
  <c r="F32"/>
  <c r="I31" i="83"/>
  <c r="F33"/>
  <c r="G31"/>
  <c r="F35"/>
  <c r="G33"/>
  <c r="F34" i="84"/>
  <c r="G32"/>
  <c r="F35"/>
  <c r="G33"/>
  <c r="H34" i="85"/>
  <c r="G33"/>
  <c r="H32"/>
  <c r="G34"/>
  <c r="I34" i="86"/>
  <c r="E33"/>
  <c r="F31"/>
  <c r="E34"/>
  <c r="F32"/>
  <c r="I34" i="87"/>
  <c r="F31"/>
  <c r="F35"/>
  <c r="G33"/>
  <c r="F34" i="88"/>
  <c r="G34"/>
  <c r="I35"/>
  <c r="F32"/>
  <c r="F34" i="79"/>
  <c r="G32"/>
  <c r="G34"/>
  <c r="H32"/>
  <c r="H34"/>
  <c r="I32"/>
  <c r="E31"/>
  <c r="I34" i="80"/>
  <c r="F31"/>
  <c r="I35"/>
  <c r="E34"/>
  <c r="F32"/>
  <c r="I155"/>
  <c r="H33" i="89"/>
  <c r="I31"/>
  <c r="H35"/>
  <c r="I33"/>
  <c r="E32"/>
  <c r="F35"/>
  <c r="H31"/>
  <c r="F34" i="90"/>
  <c r="G32"/>
  <c r="I35"/>
  <c r="E34"/>
  <c r="F32"/>
  <c r="F34" i="91"/>
  <c r="G32"/>
  <c r="H33" i="92"/>
  <c r="I31"/>
  <c r="H34"/>
  <c r="I32"/>
  <c r="E31"/>
  <c r="F34" i="93"/>
  <c r="G32"/>
  <c r="G34"/>
  <c r="H32"/>
  <c r="H34"/>
  <c r="I32"/>
  <c r="E31"/>
  <c r="I34" i="94"/>
  <c r="E33"/>
  <c r="F31"/>
  <c r="E35"/>
  <c r="F33"/>
  <c r="G31"/>
  <c r="H34"/>
  <c r="I32"/>
  <c r="E31"/>
  <c r="G32" i="95"/>
  <c r="G34"/>
  <c r="H32"/>
  <c r="E34"/>
  <c r="G33" i="96"/>
  <c r="G31"/>
  <c r="G32"/>
  <c r="G31" i="97"/>
  <c r="I34" i="98"/>
  <c r="F31"/>
  <c r="F32"/>
  <c r="I34" i="99"/>
  <c r="F31"/>
  <c r="G34"/>
  <c r="F35"/>
  <c r="G33"/>
  <c r="G33" i="100"/>
  <c r="G34"/>
  <c r="G35"/>
  <c r="F25" i="101"/>
  <c r="G31"/>
  <c r="G33"/>
  <c r="H33" i="102"/>
  <c r="I31"/>
  <c r="I35"/>
  <c r="E34"/>
  <c r="F32"/>
  <c r="H33" i="108"/>
  <c r="I31"/>
  <c r="E35"/>
  <c r="F33"/>
  <c r="G31"/>
  <c r="F35"/>
  <c r="G33"/>
  <c r="H31"/>
  <c r="F34" i="127"/>
  <c r="G32"/>
  <c r="G34"/>
  <c r="H32"/>
  <c r="I35"/>
  <c r="E34"/>
  <c r="F32"/>
  <c r="G32" i="38"/>
  <c r="H35"/>
  <c r="E32"/>
  <c r="G33"/>
  <c r="H31"/>
  <c r="H33" i="39"/>
  <c r="E34"/>
  <c r="G35" i="40"/>
  <c r="G32" i="41"/>
  <c r="G34"/>
  <c r="G31" i="42"/>
  <c r="G31" i="43"/>
  <c r="G32"/>
  <c r="G31" i="45"/>
  <c r="I34" i="46"/>
  <c r="I35"/>
  <c r="F34" i="47"/>
  <c r="G32"/>
  <c r="H35"/>
  <c r="I33"/>
  <c r="E32"/>
  <c r="I35"/>
  <c r="E34"/>
  <c r="F32"/>
  <c r="F35" i="48"/>
  <c r="G34"/>
  <c r="I31"/>
  <c r="H33"/>
  <c r="I34" i="49"/>
  <c r="F31"/>
  <c r="I35"/>
  <c r="F32"/>
  <c r="F34" i="50"/>
  <c r="G32"/>
  <c r="G34"/>
  <c r="H32"/>
  <c r="I35"/>
  <c r="E34"/>
  <c r="F32"/>
  <c r="F35" i="51"/>
  <c r="G31"/>
  <c r="I32"/>
  <c r="H35"/>
  <c r="F31"/>
  <c r="I34"/>
  <c r="F34" i="52"/>
  <c r="I35"/>
  <c r="F32"/>
  <c r="F34" i="53"/>
  <c r="H31"/>
  <c r="G31"/>
  <c r="F33"/>
  <c r="E35"/>
  <c r="H33"/>
  <c r="E31"/>
  <c r="H33" i="54"/>
  <c r="I31"/>
  <c r="H35"/>
  <c r="I33"/>
  <c r="E32"/>
  <c r="F35"/>
  <c r="H31"/>
  <c r="H35" i="55"/>
  <c r="I33"/>
  <c r="E32"/>
  <c r="H34"/>
  <c r="I32"/>
  <c r="E31"/>
  <c r="F34" i="56"/>
  <c r="G32"/>
  <c r="G34"/>
  <c r="H34"/>
  <c r="I32"/>
  <c r="E31"/>
  <c r="I34" i="57"/>
  <c r="E33"/>
  <c r="F25"/>
  <c r="E35"/>
  <c r="F33"/>
  <c r="G31"/>
  <c r="F35"/>
  <c r="G33"/>
  <c r="H31"/>
  <c r="F35" i="58"/>
  <c r="F32"/>
  <c r="E35"/>
  <c r="E31"/>
  <c r="I33"/>
  <c r="I31"/>
  <c r="H33"/>
  <c r="E35" i="59"/>
  <c r="F33"/>
  <c r="G31"/>
  <c r="F35"/>
  <c r="G33"/>
  <c r="H31"/>
  <c r="I34" i="60"/>
  <c r="E33"/>
  <c r="F31"/>
  <c r="E35"/>
  <c r="F33"/>
  <c r="G31"/>
  <c r="H34"/>
  <c r="I32"/>
  <c r="E31"/>
  <c r="E32" i="98"/>
  <c r="F279" i="114"/>
  <c r="E243"/>
  <c r="E203" i="113"/>
  <c r="H32" i="98"/>
  <c r="E333" i="114"/>
  <c r="F324"/>
  <c r="F297"/>
  <c r="G270"/>
  <c r="I77" i="113"/>
  <c r="G24" i="104"/>
  <c r="G23" i="113"/>
  <c r="E32" i="84"/>
  <c r="B148" i="104"/>
  <c r="H226" i="130"/>
  <c r="G265"/>
  <c r="E265"/>
  <c r="G97"/>
  <c r="I97"/>
  <c r="I226" s="1"/>
  <c r="F97"/>
  <c r="K97"/>
  <c r="B19" i="135"/>
  <c r="B16" i="130"/>
  <c r="B326" i="135"/>
  <c r="B248" i="130"/>
  <c r="C7" i="135"/>
  <c r="C7" i="130"/>
  <c r="B314" i="135"/>
  <c r="B239" i="130"/>
  <c r="B31" i="135"/>
  <c r="B25" i="130"/>
  <c r="C302" i="135"/>
  <c r="C230" i="130"/>
  <c r="F225"/>
  <c r="C36" i="56"/>
  <c r="C206" s="1"/>
  <c r="B19" i="106"/>
  <c r="B22" i="111"/>
  <c r="B326" i="106"/>
  <c r="B405" i="111"/>
  <c r="C302" i="106"/>
  <c r="C375" i="111"/>
  <c r="B314" i="106"/>
  <c r="B390" i="111"/>
  <c r="B31" i="106"/>
  <c r="B37" i="111"/>
  <c r="C7" i="106"/>
  <c r="C7" i="111"/>
  <c r="B14" i="104"/>
  <c r="B85" s="1"/>
  <c r="C206" i="67"/>
  <c r="C14" i="104"/>
  <c r="C85" s="1"/>
  <c r="B64"/>
  <c r="B70" s="1"/>
  <c r="B89" s="1"/>
  <c r="B36"/>
  <c r="B206" i="67"/>
  <c r="C205" i="32"/>
  <c r="B64" i="63"/>
  <c r="B70" s="1"/>
  <c r="B88" s="1"/>
  <c r="B36"/>
  <c r="B205" i="32"/>
  <c r="B14" i="63"/>
  <c r="B85" s="1"/>
  <c r="C14"/>
  <c r="C85" s="1"/>
  <c r="B16" i="105"/>
  <c r="C246" i="7"/>
  <c r="C248" i="130" s="1"/>
  <c r="B248" i="105"/>
  <c r="B70" i="68"/>
  <c r="B208" s="1"/>
  <c r="L240" i="105"/>
  <c r="B70" i="72"/>
  <c r="B208" s="1"/>
  <c r="L277" i="105"/>
  <c r="C7"/>
  <c r="B70" i="77"/>
  <c r="B208" s="1"/>
  <c r="L324" i="105"/>
  <c r="B70" i="88"/>
  <c r="B208" s="1"/>
  <c r="L406" i="105"/>
  <c r="B70" i="95"/>
  <c r="B208" s="1"/>
  <c r="L487" i="105"/>
  <c r="B70" i="96"/>
  <c r="B208" s="1"/>
  <c r="L496" i="105"/>
  <c r="B70" i="98"/>
  <c r="B208" s="1"/>
  <c r="L516" i="105"/>
  <c r="L516" i="130" s="1"/>
  <c r="B70" i="41"/>
  <c r="B208" s="1"/>
  <c r="L44" i="105"/>
  <c r="B70" i="46"/>
  <c r="B208" s="1"/>
  <c r="L89" i="105"/>
  <c r="H265"/>
  <c r="J265"/>
  <c r="D97"/>
  <c r="D226" s="1"/>
  <c r="F97"/>
  <c r="H97"/>
  <c r="I97"/>
  <c r="B239"/>
  <c r="C25" i="7"/>
  <c r="C25" i="130" s="1"/>
  <c r="B25" i="105"/>
  <c r="B70" i="69"/>
  <c r="B208" s="1"/>
  <c r="L249" i="105"/>
  <c r="B70" i="70"/>
  <c r="B208" s="1"/>
  <c r="L258" i="105"/>
  <c r="B70" i="85"/>
  <c r="B208" s="1"/>
  <c r="L379" i="105"/>
  <c r="L379" i="130" s="1"/>
  <c r="B70" i="94"/>
  <c r="B208" s="1"/>
  <c r="L478" i="105"/>
  <c r="B70" i="129"/>
  <c r="B208" s="1"/>
  <c r="L599" i="105"/>
  <c r="B70" i="39"/>
  <c r="B208" s="1"/>
  <c r="L26" i="105"/>
  <c r="B70" i="53"/>
  <c r="B208" s="1"/>
  <c r="L154" i="105"/>
  <c r="B70" i="55"/>
  <c r="B208" s="1"/>
  <c r="L172" i="105"/>
  <c r="H606"/>
  <c r="G97"/>
  <c r="K97"/>
  <c r="F265"/>
  <c r="C230"/>
  <c r="B70" i="76"/>
  <c r="B208" s="1"/>
  <c r="L314" i="105"/>
  <c r="B70" i="87"/>
  <c r="B208" s="1"/>
  <c r="L397" i="105"/>
  <c r="B70" i="89"/>
  <c r="B208" s="1"/>
  <c r="L433" i="105"/>
  <c r="B70" i="90"/>
  <c r="B208" s="1"/>
  <c r="L442" i="105"/>
  <c r="B70" i="100"/>
  <c r="B208" s="1"/>
  <c r="L534" i="105"/>
  <c r="B70" i="108"/>
  <c r="B208" s="1"/>
  <c r="L563" i="105"/>
  <c r="B70" i="48"/>
  <c r="B208" s="1"/>
  <c r="L109" i="105"/>
  <c r="B70" i="52"/>
  <c r="B208" s="1"/>
  <c r="L145" i="105"/>
  <c r="B70" i="54"/>
  <c r="B208" s="1"/>
  <c r="L163" i="105"/>
  <c r="B70" i="57"/>
  <c r="B208" s="1"/>
  <c r="L190" i="105"/>
  <c r="C36" i="55"/>
  <c r="C105" s="1"/>
  <c r="E97" i="105"/>
  <c r="E191" i="60"/>
  <c r="E160" s="1"/>
  <c r="E149"/>
  <c r="G191"/>
  <c r="G160" s="1"/>
  <c r="G149"/>
  <c r="D82"/>
  <c r="O82" s="1"/>
  <c r="D79"/>
  <c r="O79" s="1"/>
  <c r="H191"/>
  <c r="H160" s="1"/>
  <c r="H149"/>
  <c r="C127" a="1"/>
  <c r="C127" s="1"/>
  <c r="C124" a="1"/>
  <c r="C124" s="1"/>
  <c r="C129" a="1"/>
  <c r="C129" s="1"/>
  <c r="C126" a="1"/>
  <c r="C126" s="1"/>
  <c r="C123" a="1"/>
  <c r="C123" s="1"/>
  <c r="C125" a="1"/>
  <c r="C125" s="1"/>
  <c r="C122" a="1"/>
  <c r="C122" s="1"/>
  <c r="F191"/>
  <c r="F160" s="1"/>
  <c r="F149"/>
  <c r="C93" a="1"/>
  <c r="C93" s="1"/>
  <c r="C90" a="1"/>
  <c r="C90" s="1"/>
  <c r="C87" a="1"/>
  <c r="C87" s="1"/>
  <c r="C89" a="1"/>
  <c r="C89" s="1"/>
  <c r="C88" a="1"/>
  <c r="C88" s="1"/>
  <c r="C100" s="1"/>
  <c r="C91" a="1"/>
  <c r="C91" s="1"/>
  <c r="D113"/>
  <c r="D78"/>
  <c r="O78" s="1"/>
  <c r="I191"/>
  <c r="I160" s="1"/>
  <c r="I149"/>
  <c r="L162"/>
  <c r="I162"/>
  <c r="F162"/>
  <c r="C162"/>
  <c r="M162"/>
  <c r="G162"/>
  <c r="D162"/>
  <c r="A162"/>
  <c r="J163"/>
  <c r="K162"/>
  <c r="H162"/>
  <c r="E162"/>
  <c r="B162"/>
  <c r="B36"/>
  <c r="B64"/>
  <c r="C36"/>
  <c r="D77"/>
  <c r="O77" s="1"/>
  <c r="E191" i="59"/>
  <c r="E160" s="1"/>
  <c r="E149"/>
  <c r="B36"/>
  <c r="B64"/>
  <c r="L162"/>
  <c r="I162"/>
  <c r="F162"/>
  <c r="C162"/>
  <c r="M162"/>
  <c r="G162"/>
  <c r="D162"/>
  <c r="A162"/>
  <c r="J163"/>
  <c r="K162"/>
  <c r="H162"/>
  <c r="E162"/>
  <c r="B162"/>
  <c r="C36"/>
  <c r="D116"/>
  <c r="E116" s="1"/>
  <c r="F116" s="1"/>
  <c r="G116" s="1"/>
  <c r="H116" s="1"/>
  <c r="I116" s="1"/>
  <c r="H191"/>
  <c r="H160" s="1"/>
  <c r="H149"/>
  <c r="F191"/>
  <c r="F160" s="1"/>
  <c r="F149"/>
  <c r="C127" a="1"/>
  <c r="C127" s="1"/>
  <c r="C124" a="1"/>
  <c r="C124" s="1"/>
  <c r="C129" a="1"/>
  <c r="C129" s="1"/>
  <c r="C123" a="1"/>
  <c r="C123" s="1"/>
  <c r="C122" a="1"/>
  <c r="C122" s="1"/>
  <c r="C126" a="1"/>
  <c r="C126" s="1"/>
  <c r="C125" a="1"/>
  <c r="C125" s="1"/>
  <c r="D115"/>
  <c r="E115" s="1"/>
  <c r="F115" s="1"/>
  <c r="G115" s="1"/>
  <c r="H115" s="1"/>
  <c r="I115" s="1"/>
  <c r="D118"/>
  <c r="E118" s="1"/>
  <c r="F118" s="1"/>
  <c r="G118" s="1"/>
  <c r="H118" s="1"/>
  <c r="I118" s="1"/>
  <c r="I191"/>
  <c r="I160" s="1"/>
  <c r="I149"/>
  <c r="G191"/>
  <c r="G160" s="1"/>
  <c r="G149"/>
  <c r="C93" a="1"/>
  <c r="C93" s="1"/>
  <c r="C90" a="1"/>
  <c r="C90" s="1"/>
  <c r="C102" s="1"/>
  <c r="C87" a="1"/>
  <c r="C87" s="1"/>
  <c r="C99" s="1"/>
  <c r="C89" a="1"/>
  <c r="C89" s="1"/>
  <c r="C101" s="1"/>
  <c r="C88" a="1"/>
  <c r="C88" s="1"/>
  <c r="C100" s="1"/>
  <c r="C91" a="1"/>
  <c r="C91" s="1"/>
  <c r="D117"/>
  <c r="E117" s="1"/>
  <c r="F117" s="1"/>
  <c r="G117" s="1"/>
  <c r="H117" s="1"/>
  <c r="I117" s="1"/>
  <c r="D80"/>
  <c r="O80" s="1"/>
  <c r="D77"/>
  <c r="E77" s="1"/>
  <c r="P77" s="1"/>
  <c r="I36" i="128"/>
  <c r="I206" s="1"/>
  <c r="C44" i="49"/>
  <c r="N115" s="1"/>
  <c r="E113" i="59"/>
  <c r="D82"/>
  <c r="O82" s="1"/>
  <c r="D79"/>
  <c r="O79" s="1"/>
  <c r="B205" i="58"/>
  <c r="E191"/>
  <c r="E160" s="1"/>
  <c r="E149"/>
  <c r="I155"/>
  <c r="I19"/>
  <c r="M161"/>
  <c r="G161"/>
  <c r="D161"/>
  <c r="A161"/>
  <c r="K161"/>
  <c r="F161"/>
  <c r="B161"/>
  <c r="L161"/>
  <c r="H161"/>
  <c r="C161"/>
  <c r="E161"/>
  <c r="J162"/>
  <c r="I161"/>
  <c r="C93" a="1"/>
  <c r="C93" s="1"/>
  <c r="C90" a="1"/>
  <c r="C90" s="1"/>
  <c r="C102" s="1"/>
  <c r="C87" a="1"/>
  <c r="C87" s="1"/>
  <c r="C89" a="1"/>
  <c r="C89" s="1"/>
  <c r="C88" a="1"/>
  <c r="C88" s="1"/>
  <c r="C100" s="1"/>
  <c r="C91" a="1"/>
  <c r="C91" s="1"/>
  <c r="D78"/>
  <c r="O78" s="1"/>
  <c r="F191"/>
  <c r="F160" s="1"/>
  <c r="F149"/>
  <c r="B206"/>
  <c r="B207"/>
  <c r="D77"/>
  <c r="O77" s="1"/>
  <c r="G191"/>
  <c r="G160" s="1"/>
  <c r="G149"/>
  <c r="H191"/>
  <c r="H160" s="1"/>
  <c r="H149"/>
  <c r="C127" a="1"/>
  <c r="C127" s="1"/>
  <c r="C124" a="1"/>
  <c r="C124" s="1"/>
  <c r="C129" a="1"/>
  <c r="C129" s="1"/>
  <c r="C123" a="1"/>
  <c r="C123" s="1"/>
  <c r="C122" a="1"/>
  <c r="C122" s="1"/>
  <c r="C126" a="1"/>
  <c r="C126" s="1"/>
  <c r="C125" a="1"/>
  <c r="C125" s="1"/>
  <c r="C36"/>
  <c r="E81"/>
  <c r="D117"/>
  <c r="E117" s="1"/>
  <c r="F117" s="1"/>
  <c r="G117" s="1"/>
  <c r="H117" s="1"/>
  <c r="I117" s="1"/>
  <c r="D114"/>
  <c r="E113"/>
  <c r="I191"/>
  <c r="I160" s="1"/>
  <c r="H191" i="57"/>
  <c r="H160" s="1"/>
  <c r="H149"/>
  <c r="C127" a="1"/>
  <c r="C127" s="1"/>
  <c r="C124" a="1"/>
  <c r="C124" s="1"/>
  <c r="C129" a="1"/>
  <c r="C129" s="1"/>
  <c r="C126" a="1"/>
  <c r="C126" s="1"/>
  <c r="C123" a="1"/>
  <c r="C123" s="1"/>
  <c r="C125" a="1"/>
  <c r="C125" s="1"/>
  <c r="C122" a="1"/>
  <c r="C122" s="1"/>
  <c r="L162"/>
  <c r="I162"/>
  <c r="F162"/>
  <c r="C162"/>
  <c r="M162"/>
  <c r="G162"/>
  <c r="D162"/>
  <c r="A162"/>
  <c r="J163"/>
  <c r="K162"/>
  <c r="H162"/>
  <c r="E162"/>
  <c r="B162"/>
  <c r="B206"/>
  <c r="B207"/>
  <c r="I191"/>
  <c r="I160" s="1"/>
  <c r="F155"/>
  <c r="F31"/>
  <c r="G191"/>
  <c r="G160" s="1"/>
  <c r="G149"/>
  <c r="B205"/>
  <c r="I155"/>
  <c r="I25"/>
  <c r="E191"/>
  <c r="E160" s="1"/>
  <c r="E149"/>
  <c r="C36"/>
  <c r="C93" a="1"/>
  <c r="C93" s="1"/>
  <c r="C90" a="1"/>
  <c r="C90" s="1"/>
  <c r="C102" s="1"/>
  <c r="C87" a="1"/>
  <c r="C87" s="1"/>
  <c r="C89" a="1"/>
  <c r="C89" s="1"/>
  <c r="C91" a="1"/>
  <c r="C91" s="1"/>
  <c r="C103" s="1"/>
  <c r="C88" a="1"/>
  <c r="C88" s="1"/>
  <c r="C100" s="1"/>
  <c r="D113"/>
  <c r="F191"/>
  <c r="F160" s="1"/>
  <c r="E191" i="56"/>
  <c r="E160" s="1"/>
  <c r="E149"/>
  <c r="L162"/>
  <c r="I162"/>
  <c r="F162"/>
  <c r="C162"/>
  <c r="M162"/>
  <c r="G162"/>
  <c r="D162"/>
  <c r="A162"/>
  <c r="J163"/>
  <c r="K162"/>
  <c r="H162"/>
  <c r="E162"/>
  <c r="B162"/>
  <c r="E79"/>
  <c r="E82"/>
  <c r="D115"/>
  <c r="E115" s="1"/>
  <c r="F115" s="1"/>
  <c r="G115" s="1"/>
  <c r="H115" s="1"/>
  <c r="I115" s="1"/>
  <c r="D118"/>
  <c r="E118" s="1"/>
  <c r="F118" s="1"/>
  <c r="G118" s="1"/>
  <c r="H118" s="1"/>
  <c r="I118" s="1"/>
  <c r="I155"/>
  <c r="I25"/>
  <c r="I191"/>
  <c r="I160" s="1"/>
  <c r="F31"/>
  <c r="H191"/>
  <c r="H160" s="1"/>
  <c r="H149"/>
  <c r="C127" a="1"/>
  <c r="C127" s="1"/>
  <c r="C124" a="1"/>
  <c r="C124" s="1"/>
  <c r="C129" a="1"/>
  <c r="C129" s="1"/>
  <c r="C126" a="1"/>
  <c r="C126" s="1"/>
  <c r="C123" a="1"/>
  <c r="C123" s="1"/>
  <c r="C125" a="1"/>
  <c r="C125" s="1"/>
  <c r="C122" a="1"/>
  <c r="C122" s="1"/>
  <c r="E78"/>
  <c r="E81"/>
  <c r="D114"/>
  <c r="E114" s="1"/>
  <c r="F114" s="1"/>
  <c r="G114" s="1"/>
  <c r="H114" s="1"/>
  <c r="I114" s="1"/>
  <c r="D117"/>
  <c r="E117" s="1"/>
  <c r="F117" s="1"/>
  <c r="G117" s="1"/>
  <c r="H117" s="1"/>
  <c r="I117" s="1"/>
  <c r="G191"/>
  <c r="G160" s="1"/>
  <c r="G149"/>
  <c r="D89" a="1"/>
  <c r="D89" s="1"/>
  <c r="D101" s="1"/>
  <c r="D93" a="1"/>
  <c r="D93" s="1"/>
  <c r="D90" a="1"/>
  <c r="D90" s="1"/>
  <c r="D102" s="1"/>
  <c r="D91" a="1"/>
  <c r="D91" s="1"/>
  <c r="D103" s="1"/>
  <c r="D88" a="1"/>
  <c r="D88" s="1"/>
  <c r="D87" a="1"/>
  <c r="D87" s="1"/>
  <c r="D99" s="1"/>
  <c r="D86" a="1"/>
  <c r="D86" s="1"/>
  <c r="D98" s="1"/>
  <c r="B64"/>
  <c r="B36"/>
  <c r="E77"/>
  <c r="F77" s="1"/>
  <c r="Q77" s="1"/>
  <c r="E80"/>
  <c r="P80" s="1"/>
  <c r="D113"/>
  <c r="D116"/>
  <c r="E116" s="1"/>
  <c r="F116" s="1"/>
  <c r="G116" s="1"/>
  <c r="H116" s="1"/>
  <c r="I116" s="1"/>
  <c r="F191"/>
  <c r="F160" s="1"/>
  <c r="F155"/>
  <c r="H191" i="55"/>
  <c r="H160" s="1"/>
  <c r="H149"/>
  <c r="F191"/>
  <c r="F160" s="1"/>
  <c r="F149"/>
  <c r="G191"/>
  <c r="G160" s="1"/>
  <c r="G149"/>
  <c r="E191"/>
  <c r="E160" s="1"/>
  <c r="E149"/>
  <c r="C93" a="1"/>
  <c r="C93" s="1"/>
  <c r="C90" a="1"/>
  <c r="C90" s="1"/>
  <c r="C89" a="1"/>
  <c r="C89" s="1"/>
  <c r="C101" s="1"/>
  <c r="C87" a="1"/>
  <c r="C87" s="1"/>
  <c r="C99" s="1"/>
  <c r="C91" a="1"/>
  <c r="C91" s="1"/>
  <c r="C88" a="1"/>
  <c r="C88" s="1"/>
  <c r="C100" s="1"/>
  <c r="L162"/>
  <c r="I162"/>
  <c r="F162"/>
  <c r="C162"/>
  <c r="M162"/>
  <c r="G162"/>
  <c r="D162"/>
  <c r="A162"/>
  <c r="J163"/>
  <c r="K162"/>
  <c r="H162"/>
  <c r="E162"/>
  <c r="B162"/>
  <c r="E80"/>
  <c r="B206"/>
  <c r="B207"/>
  <c r="D82"/>
  <c r="O82" s="1"/>
  <c r="B205"/>
  <c r="I191"/>
  <c r="I160" s="1"/>
  <c r="I149"/>
  <c r="C127" a="1"/>
  <c r="C127" s="1"/>
  <c r="C124" a="1"/>
  <c r="C124" s="1"/>
  <c r="C129" a="1"/>
  <c r="C129" s="1"/>
  <c r="C126" a="1"/>
  <c r="C126" s="1"/>
  <c r="C123" a="1"/>
  <c r="C123" s="1"/>
  <c r="C125" a="1"/>
  <c r="C125" s="1"/>
  <c r="C122" a="1"/>
  <c r="C122" s="1"/>
  <c r="D118"/>
  <c r="E118" s="1"/>
  <c r="F118" s="1"/>
  <c r="G118" s="1"/>
  <c r="H118" s="1"/>
  <c r="I118" s="1"/>
  <c r="D115"/>
  <c r="E191" i="54"/>
  <c r="E160" s="1"/>
  <c r="E149"/>
  <c r="G191"/>
  <c r="G160" s="1"/>
  <c r="G149"/>
  <c r="B206"/>
  <c r="B207"/>
  <c r="H191"/>
  <c r="H160" s="1"/>
  <c r="H149"/>
  <c r="C127" a="1"/>
  <c r="C127" s="1"/>
  <c r="C124" a="1"/>
  <c r="C124" s="1"/>
  <c r="C129" a="1"/>
  <c r="C129" s="1"/>
  <c r="C126" a="1"/>
  <c r="C126" s="1"/>
  <c r="C123" a="1"/>
  <c r="C123" s="1"/>
  <c r="C125" a="1"/>
  <c r="C125" s="1"/>
  <c r="C122" a="1"/>
  <c r="C122" s="1"/>
  <c r="F191"/>
  <c r="F160" s="1"/>
  <c r="F149"/>
  <c r="B205"/>
  <c r="E115"/>
  <c r="F115" s="1"/>
  <c r="G115" s="1"/>
  <c r="H115" s="1"/>
  <c r="I115" s="1"/>
  <c r="D113"/>
  <c r="E113" s="1"/>
  <c r="I191"/>
  <c r="I160" s="1"/>
  <c r="I149"/>
  <c r="C36"/>
  <c r="L162"/>
  <c r="I162"/>
  <c r="F162"/>
  <c r="C162"/>
  <c r="M162"/>
  <c r="G162"/>
  <c r="D162"/>
  <c r="A162"/>
  <c r="J163"/>
  <c r="K162"/>
  <c r="H162"/>
  <c r="E162"/>
  <c r="B162"/>
  <c r="C93" a="1"/>
  <c r="C93" s="1"/>
  <c r="C90" a="1"/>
  <c r="C90" s="1"/>
  <c r="C87" a="1"/>
  <c r="C87" s="1"/>
  <c r="C99" s="1"/>
  <c r="C89" a="1"/>
  <c r="C89" s="1"/>
  <c r="C101" s="1"/>
  <c r="C91" a="1"/>
  <c r="C91" s="1"/>
  <c r="C88" a="1"/>
  <c r="C88" s="1"/>
  <c r="J162" i="53"/>
  <c r="K161"/>
  <c r="H161"/>
  <c r="E161"/>
  <c r="B161"/>
  <c r="M161"/>
  <c r="I161"/>
  <c r="D161"/>
  <c r="F161"/>
  <c r="A161"/>
  <c r="G161"/>
  <c r="L161"/>
  <c r="C161"/>
  <c r="B205"/>
  <c r="B207"/>
  <c r="B206"/>
  <c r="D78"/>
  <c r="D80"/>
  <c r="O80" s="1"/>
  <c r="C92" a="1"/>
  <c r="C92" s="1"/>
  <c r="C94" s="1"/>
  <c r="I149"/>
  <c r="I191"/>
  <c r="I160" s="1"/>
  <c r="C129" a="1"/>
  <c r="C129" s="1"/>
  <c r="C126" a="1"/>
  <c r="C126" s="1"/>
  <c r="C123" a="1"/>
  <c r="C123" s="1"/>
  <c r="C125" a="1"/>
  <c r="C125" s="1"/>
  <c r="C124" a="1"/>
  <c r="C124" s="1"/>
  <c r="C127" a="1"/>
  <c r="C127" s="1"/>
  <c r="C122" a="1"/>
  <c r="C122" s="1"/>
  <c r="D82"/>
  <c r="O82" s="1"/>
  <c r="D77"/>
  <c r="E77" s="1"/>
  <c r="P77" s="1"/>
  <c r="G191"/>
  <c r="G160" s="1"/>
  <c r="H149"/>
  <c r="H191"/>
  <c r="H160" s="1"/>
  <c r="F191"/>
  <c r="F160" s="1"/>
  <c r="F149"/>
  <c r="E149"/>
  <c r="E191"/>
  <c r="E160" s="1"/>
  <c r="C36"/>
  <c r="G155"/>
  <c r="G19"/>
  <c r="D79"/>
  <c r="O79" s="1"/>
  <c r="D81"/>
  <c r="O81" s="1"/>
  <c r="C127" i="52" a="1"/>
  <c r="C127" s="1"/>
  <c r="C124" a="1"/>
  <c r="C124" s="1"/>
  <c r="C129" a="1"/>
  <c r="C129" s="1"/>
  <c r="C126" a="1"/>
  <c r="C126" s="1"/>
  <c r="C123" a="1"/>
  <c r="C123" s="1"/>
  <c r="C125" a="1"/>
  <c r="C125" s="1"/>
  <c r="C122" a="1"/>
  <c r="C122" s="1"/>
  <c r="C93" a="1"/>
  <c r="C93" s="1"/>
  <c r="C90" a="1"/>
  <c r="C90" s="1"/>
  <c r="C87" a="1"/>
  <c r="C87" s="1"/>
  <c r="C99" s="1"/>
  <c r="C89" a="1"/>
  <c r="C89" s="1"/>
  <c r="C91" a="1"/>
  <c r="C91" s="1"/>
  <c r="C88" a="1"/>
  <c r="C88" s="1"/>
  <c r="C100" s="1"/>
  <c r="B206"/>
  <c r="B207"/>
  <c r="F155"/>
  <c r="E191"/>
  <c r="E160" s="1"/>
  <c r="E149"/>
  <c r="G191"/>
  <c r="G160" s="1"/>
  <c r="G149"/>
  <c r="B205"/>
  <c r="M161"/>
  <c r="G161"/>
  <c r="D161"/>
  <c r="A161"/>
  <c r="J162"/>
  <c r="K161"/>
  <c r="H161"/>
  <c r="E161"/>
  <c r="B161"/>
  <c r="L161"/>
  <c r="I161"/>
  <c r="F161"/>
  <c r="C161"/>
  <c r="F191"/>
  <c r="F160" s="1"/>
  <c r="I155"/>
  <c r="F25"/>
  <c r="H191"/>
  <c r="H160" s="1"/>
  <c r="H149"/>
  <c r="E117"/>
  <c r="F117" s="1"/>
  <c r="G117" s="1"/>
  <c r="H117" s="1"/>
  <c r="I117" s="1"/>
  <c r="D113"/>
  <c r="I191"/>
  <c r="I160" s="1"/>
  <c r="I25"/>
  <c r="F191" i="51"/>
  <c r="F160" s="1"/>
  <c r="F149"/>
  <c r="C93" a="1"/>
  <c r="C93" s="1"/>
  <c r="C90" a="1"/>
  <c r="C90" s="1"/>
  <c r="C102" s="1"/>
  <c r="C87" a="1"/>
  <c r="C87" s="1"/>
  <c r="C99" s="1"/>
  <c r="C89" a="1"/>
  <c r="C89" s="1"/>
  <c r="C88" a="1"/>
  <c r="C88" s="1"/>
  <c r="C100" s="1"/>
  <c r="C91" a="1"/>
  <c r="C91" s="1"/>
  <c r="G191"/>
  <c r="G160" s="1"/>
  <c r="G149"/>
  <c r="H191"/>
  <c r="H160" s="1"/>
  <c r="H149"/>
  <c r="C127" a="1"/>
  <c r="C127" s="1"/>
  <c r="C124" a="1"/>
  <c r="C124" s="1"/>
  <c r="C129" a="1"/>
  <c r="C129" s="1"/>
  <c r="C123" a="1"/>
  <c r="C123" s="1"/>
  <c r="C122" a="1"/>
  <c r="C122" s="1"/>
  <c r="C126" a="1"/>
  <c r="C126" s="1"/>
  <c r="C125" a="1"/>
  <c r="C125" s="1"/>
  <c r="I191"/>
  <c r="I160" s="1"/>
  <c r="I149"/>
  <c r="M161"/>
  <c r="G161"/>
  <c r="D161"/>
  <c r="A161"/>
  <c r="K161"/>
  <c r="F161"/>
  <c r="B161"/>
  <c r="L161"/>
  <c r="H161"/>
  <c r="C161"/>
  <c r="E161"/>
  <c r="J162"/>
  <c r="I161"/>
  <c r="B205"/>
  <c r="E191"/>
  <c r="E160" s="1"/>
  <c r="E149"/>
  <c r="C36"/>
  <c r="B206"/>
  <c r="B207"/>
  <c r="H191" i="50"/>
  <c r="H160" s="1"/>
  <c r="H149"/>
  <c r="C127" a="1"/>
  <c r="C127" s="1"/>
  <c r="C124" a="1"/>
  <c r="C124" s="1"/>
  <c r="C129" a="1"/>
  <c r="C129" s="1"/>
  <c r="C126" a="1"/>
  <c r="C126" s="1"/>
  <c r="C123" a="1"/>
  <c r="C123" s="1"/>
  <c r="C125" a="1"/>
  <c r="C125" s="1"/>
  <c r="C122" a="1"/>
  <c r="C122" s="1"/>
  <c r="F191"/>
  <c r="F160" s="1"/>
  <c r="F149"/>
  <c r="L162"/>
  <c r="I162"/>
  <c r="F162"/>
  <c r="C162"/>
  <c r="M162"/>
  <c r="G162"/>
  <c r="D162"/>
  <c r="A162"/>
  <c r="J163"/>
  <c r="K162"/>
  <c r="H162"/>
  <c r="E162"/>
  <c r="B162"/>
  <c r="C36"/>
  <c r="D77"/>
  <c r="E77" s="1"/>
  <c r="P77" s="1"/>
  <c r="D80"/>
  <c r="O80" s="1"/>
  <c r="D113"/>
  <c r="E113" s="1"/>
  <c r="I191"/>
  <c r="I160" s="1"/>
  <c r="I149"/>
  <c r="B36"/>
  <c r="B64"/>
  <c r="D79"/>
  <c r="O79" s="1"/>
  <c r="D82"/>
  <c r="O82" s="1"/>
  <c r="E191"/>
  <c r="E160" s="1"/>
  <c r="E149"/>
  <c r="G191"/>
  <c r="G160" s="1"/>
  <c r="G149"/>
  <c r="D78"/>
  <c r="E78" s="1"/>
  <c r="P78" s="1"/>
  <c r="D81"/>
  <c r="O81" s="1"/>
  <c r="E117"/>
  <c r="F117" s="1"/>
  <c r="G117" s="1"/>
  <c r="H117" s="1"/>
  <c r="I117" s="1"/>
  <c r="C92" a="1"/>
  <c r="C92" s="1"/>
  <c r="C94" s="1"/>
  <c r="H191" i="49"/>
  <c r="H160" s="1"/>
  <c r="H149"/>
  <c r="M161"/>
  <c r="G161"/>
  <c r="D161"/>
  <c r="A161"/>
  <c r="L161"/>
  <c r="I161"/>
  <c r="F161"/>
  <c r="C161"/>
  <c r="K161"/>
  <c r="B161"/>
  <c r="J162"/>
  <c r="E161"/>
  <c r="H161"/>
  <c r="D117"/>
  <c r="E117" s="1"/>
  <c r="F117" s="1"/>
  <c r="G117" s="1"/>
  <c r="H117" s="1"/>
  <c r="I117" s="1"/>
  <c r="D79"/>
  <c r="O79" s="1"/>
  <c r="D82"/>
  <c r="O82" s="1"/>
  <c r="D115"/>
  <c r="E115" s="1"/>
  <c r="F115" s="1"/>
  <c r="G115" s="1"/>
  <c r="H115" s="1"/>
  <c r="I115" s="1"/>
  <c r="I191"/>
  <c r="I160" s="1"/>
  <c r="F191"/>
  <c r="F160" s="1"/>
  <c r="C92" a="1"/>
  <c r="C92" s="1"/>
  <c r="C94" s="1"/>
  <c r="C127" a="1"/>
  <c r="C127" s="1"/>
  <c r="C124" a="1"/>
  <c r="C124" s="1"/>
  <c r="C125" a="1"/>
  <c r="C125" s="1"/>
  <c r="C122" a="1"/>
  <c r="C122" s="1"/>
  <c r="C126" a="1"/>
  <c r="C126" s="1"/>
  <c r="C123" a="1"/>
  <c r="C123" s="1"/>
  <c r="C129" a="1"/>
  <c r="C129" s="1"/>
  <c r="G191"/>
  <c r="G160" s="1"/>
  <c r="G149"/>
  <c r="I155"/>
  <c r="I19"/>
  <c r="F155"/>
  <c r="F19"/>
  <c r="B206"/>
  <c r="B207"/>
  <c r="D114"/>
  <c r="E114" s="1"/>
  <c r="F114" s="1"/>
  <c r="G114" s="1"/>
  <c r="H114" s="1"/>
  <c r="I114" s="1"/>
  <c r="D78"/>
  <c r="E78" s="1"/>
  <c r="F78" s="1"/>
  <c r="Q78" s="1"/>
  <c r="D81"/>
  <c r="O81" s="1"/>
  <c r="D116"/>
  <c r="E116" s="1"/>
  <c r="F116" s="1"/>
  <c r="G116" s="1"/>
  <c r="H116" s="1"/>
  <c r="I116" s="1"/>
  <c r="E191"/>
  <c r="E160" s="1"/>
  <c r="E149"/>
  <c r="C36"/>
  <c r="D77"/>
  <c r="E77" s="1"/>
  <c r="F77" s="1"/>
  <c r="D80"/>
  <c r="O80" s="1"/>
  <c r="D113"/>
  <c r="E113" s="1"/>
  <c r="D118"/>
  <c r="E118" s="1"/>
  <c r="F118" s="1"/>
  <c r="G118" s="1"/>
  <c r="H118" s="1"/>
  <c r="I118" s="1"/>
  <c r="C36" i="128"/>
  <c r="C206" s="1"/>
  <c r="C45" i="46"/>
  <c r="N116" s="1"/>
  <c r="C36"/>
  <c r="C105" s="1"/>
  <c r="F149" i="48"/>
  <c r="G149"/>
  <c r="B205"/>
  <c r="C36"/>
  <c r="H149"/>
  <c r="C127" a="1"/>
  <c r="C127" s="1"/>
  <c r="C124" a="1"/>
  <c r="C124" s="1"/>
  <c r="C129" a="1"/>
  <c r="C129" s="1"/>
  <c r="C126" a="1"/>
  <c r="C126" s="1"/>
  <c r="C123" a="1"/>
  <c r="C123" s="1"/>
  <c r="C125" a="1"/>
  <c r="C125" s="1"/>
  <c r="C122" a="1"/>
  <c r="C122" s="1"/>
  <c r="C93" a="1"/>
  <c r="C93" s="1"/>
  <c r="C90" a="1"/>
  <c r="C90" s="1"/>
  <c r="C102" s="1"/>
  <c r="C87" a="1"/>
  <c r="C87" s="1"/>
  <c r="C99" s="1"/>
  <c r="C89" a="1"/>
  <c r="C89" s="1"/>
  <c r="C101" s="1"/>
  <c r="C88" a="1"/>
  <c r="C88" s="1"/>
  <c r="C91" a="1"/>
  <c r="C91" s="1"/>
  <c r="C103" s="1"/>
  <c r="B206"/>
  <c r="B207"/>
  <c r="M161"/>
  <c r="G161"/>
  <c r="D161"/>
  <c r="A161"/>
  <c r="J162"/>
  <c r="K161"/>
  <c r="H161"/>
  <c r="E161"/>
  <c r="B161"/>
  <c r="F161"/>
  <c r="I161"/>
  <c r="L161"/>
  <c r="C161"/>
  <c r="I149"/>
  <c r="E149"/>
  <c r="E82"/>
  <c r="E191" i="47"/>
  <c r="E160" s="1"/>
  <c r="E149"/>
  <c r="G191"/>
  <c r="G160" s="1"/>
  <c r="G149"/>
  <c r="B64"/>
  <c r="B36"/>
  <c r="D81"/>
  <c r="E81" s="1"/>
  <c r="D78"/>
  <c r="E78" s="1"/>
  <c r="H191"/>
  <c r="H160" s="1"/>
  <c r="H149"/>
  <c r="F191"/>
  <c r="F160" s="1"/>
  <c r="F149"/>
  <c r="C93" a="1"/>
  <c r="C93" s="1"/>
  <c r="C90" a="1"/>
  <c r="C90" s="1"/>
  <c r="C89" a="1"/>
  <c r="C89" s="1"/>
  <c r="C101" s="1"/>
  <c r="C91" a="1"/>
  <c r="C91" s="1"/>
  <c r="C88" a="1"/>
  <c r="C88" s="1"/>
  <c r="C87" a="1"/>
  <c r="C87" s="1"/>
  <c r="C99" s="1"/>
  <c r="D80"/>
  <c r="O80" s="1"/>
  <c r="D77"/>
  <c r="E77" s="1"/>
  <c r="P77" s="1"/>
  <c r="I191"/>
  <c r="I160" s="1"/>
  <c r="I149"/>
  <c r="C127" a="1"/>
  <c r="C127" s="1"/>
  <c r="C124" a="1"/>
  <c r="C124" s="1"/>
  <c r="C129" a="1"/>
  <c r="C129" s="1"/>
  <c r="C126" a="1"/>
  <c r="C126" s="1"/>
  <c r="C123" a="1"/>
  <c r="C123" s="1"/>
  <c r="C125" a="1"/>
  <c r="C125" s="1"/>
  <c r="C122" a="1"/>
  <c r="C122" s="1"/>
  <c r="L162"/>
  <c r="I162"/>
  <c r="F162"/>
  <c r="C162"/>
  <c r="M162"/>
  <c r="G162"/>
  <c r="D162"/>
  <c r="A162"/>
  <c r="J163"/>
  <c r="K162"/>
  <c r="H162"/>
  <c r="E162"/>
  <c r="B162"/>
  <c r="E80"/>
  <c r="D82"/>
  <c r="O82" s="1"/>
  <c r="D79"/>
  <c r="O79" s="1"/>
  <c r="C127" i="46" a="1"/>
  <c r="C127" s="1"/>
  <c r="C124" a="1"/>
  <c r="C124" s="1"/>
  <c r="C125" a="1"/>
  <c r="C125" s="1"/>
  <c r="C122" a="1"/>
  <c r="C122" s="1"/>
  <c r="C126" a="1"/>
  <c r="C126" s="1"/>
  <c r="C123" a="1"/>
  <c r="C123" s="1"/>
  <c r="C129" a="1"/>
  <c r="C129" s="1"/>
  <c r="G191"/>
  <c r="G160" s="1"/>
  <c r="G149"/>
  <c r="I155"/>
  <c r="I19"/>
  <c r="F155"/>
  <c r="F19"/>
  <c r="E79"/>
  <c r="P79" s="1"/>
  <c r="E82"/>
  <c r="F82" s="1"/>
  <c r="D115"/>
  <c r="E115" s="1"/>
  <c r="F115" s="1"/>
  <c r="G115" s="1"/>
  <c r="H115" s="1"/>
  <c r="I115" s="1"/>
  <c r="C92" a="1"/>
  <c r="C92" s="1"/>
  <c r="C94" s="1"/>
  <c r="E191"/>
  <c r="E160" s="1"/>
  <c r="E149"/>
  <c r="B205"/>
  <c r="E78"/>
  <c r="P78" s="1"/>
  <c r="E81"/>
  <c r="D117"/>
  <c r="E117" s="1"/>
  <c r="F117" s="1"/>
  <c r="G117" s="1"/>
  <c r="H117" s="1"/>
  <c r="I117" s="1"/>
  <c r="B206"/>
  <c r="B207"/>
  <c r="D80"/>
  <c r="H191"/>
  <c r="H160" s="1"/>
  <c r="H149"/>
  <c r="M161"/>
  <c r="G161"/>
  <c r="D161"/>
  <c r="A161"/>
  <c r="L161"/>
  <c r="I161"/>
  <c r="F161"/>
  <c r="C161"/>
  <c r="K161"/>
  <c r="B161"/>
  <c r="H161"/>
  <c r="J162"/>
  <c r="E161"/>
  <c r="E77"/>
  <c r="P77" s="1"/>
  <c r="D114"/>
  <c r="E114" s="1"/>
  <c r="F114" s="1"/>
  <c r="G114" s="1"/>
  <c r="H114" s="1"/>
  <c r="I114" s="1"/>
  <c r="D118"/>
  <c r="E118" s="1"/>
  <c r="F118" s="1"/>
  <c r="G118" s="1"/>
  <c r="H118" s="1"/>
  <c r="I118" s="1"/>
  <c r="D113"/>
  <c r="F191"/>
  <c r="F160" s="1"/>
  <c r="E191" i="45"/>
  <c r="E160" s="1"/>
  <c r="E149"/>
  <c r="G191"/>
  <c r="G160" s="1"/>
  <c r="G149"/>
  <c r="D81"/>
  <c r="O81" s="1"/>
  <c r="D78"/>
  <c r="E78" s="1"/>
  <c r="H191"/>
  <c r="H160" s="1"/>
  <c r="H149"/>
  <c r="C127" a="1"/>
  <c r="C127" s="1"/>
  <c r="C124" a="1"/>
  <c r="C124" s="1"/>
  <c r="C129" a="1"/>
  <c r="C129" s="1"/>
  <c r="C126" a="1"/>
  <c r="C126" s="1"/>
  <c r="C123" a="1"/>
  <c r="C123" s="1"/>
  <c r="C125" a="1"/>
  <c r="C125" s="1"/>
  <c r="C122" a="1"/>
  <c r="C122" s="1"/>
  <c r="F191"/>
  <c r="F160" s="1"/>
  <c r="F149"/>
  <c r="C93" a="1"/>
  <c r="C93" s="1"/>
  <c r="C90" a="1"/>
  <c r="C90" s="1"/>
  <c r="C87" a="1"/>
  <c r="C87" s="1"/>
  <c r="C89" a="1"/>
  <c r="C89" s="1"/>
  <c r="C101" s="1"/>
  <c r="C91" a="1"/>
  <c r="C91" s="1"/>
  <c r="C88" a="1"/>
  <c r="C88" s="1"/>
  <c r="L162"/>
  <c r="I162"/>
  <c r="F162"/>
  <c r="C162"/>
  <c r="M162"/>
  <c r="G162"/>
  <c r="D162"/>
  <c r="A162"/>
  <c r="J163"/>
  <c r="K162"/>
  <c r="H162"/>
  <c r="E162"/>
  <c r="B162"/>
  <c r="B64"/>
  <c r="B36"/>
  <c r="D113"/>
  <c r="E113" s="1"/>
  <c r="D80"/>
  <c r="O80" s="1"/>
  <c r="D77"/>
  <c r="E77" s="1"/>
  <c r="I191"/>
  <c r="I160" s="1"/>
  <c r="I149"/>
  <c r="D82"/>
  <c r="O82" s="1"/>
  <c r="I191" i="44"/>
  <c r="I160" s="1"/>
  <c r="I149"/>
  <c r="D79"/>
  <c r="O79" s="1"/>
  <c r="H191"/>
  <c r="H160" s="1"/>
  <c r="H149"/>
  <c r="C127" a="1"/>
  <c r="C127" s="1"/>
  <c r="C124" a="1"/>
  <c r="C124" s="1"/>
  <c r="C129" a="1"/>
  <c r="C129" s="1"/>
  <c r="C126" a="1"/>
  <c r="C126" s="1"/>
  <c r="C123" a="1"/>
  <c r="C123" s="1"/>
  <c r="C125" a="1"/>
  <c r="C125" s="1"/>
  <c r="C122" a="1"/>
  <c r="C122" s="1"/>
  <c r="F191"/>
  <c r="F160" s="1"/>
  <c r="F149"/>
  <c r="L162"/>
  <c r="I162"/>
  <c r="F162"/>
  <c r="C162"/>
  <c r="M162"/>
  <c r="G162"/>
  <c r="D162"/>
  <c r="A162"/>
  <c r="J163"/>
  <c r="K162"/>
  <c r="H162"/>
  <c r="E162"/>
  <c r="B162"/>
  <c r="E78"/>
  <c r="D82"/>
  <c r="O82" s="1"/>
  <c r="D113"/>
  <c r="B36"/>
  <c r="B64"/>
  <c r="D80"/>
  <c r="O80" s="1"/>
  <c r="E191"/>
  <c r="E160" s="1"/>
  <c r="E149"/>
  <c r="G191"/>
  <c r="G160" s="1"/>
  <c r="G149"/>
  <c r="C36"/>
  <c r="E81"/>
  <c r="D77"/>
  <c r="E77" s="1"/>
  <c r="D115"/>
  <c r="E115" s="1"/>
  <c r="F115" s="1"/>
  <c r="G115" s="1"/>
  <c r="H115" s="1"/>
  <c r="I115" s="1"/>
  <c r="C36" i="41"/>
  <c r="C206" s="1"/>
  <c r="D114" i="44"/>
  <c r="E114" s="1"/>
  <c r="F114" s="1"/>
  <c r="G114" s="1"/>
  <c r="H114" s="1"/>
  <c r="I114" s="1"/>
  <c r="F191" i="43"/>
  <c r="F160" s="1"/>
  <c r="F149"/>
  <c r="D116"/>
  <c r="E116" s="1"/>
  <c r="F116" s="1"/>
  <c r="G116" s="1"/>
  <c r="H116" s="1"/>
  <c r="I116" s="1"/>
  <c r="D113"/>
  <c r="G191"/>
  <c r="G160" s="1"/>
  <c r="D80"/>
  <c r="O80" s="1"/>
  <c r="D77"/>
  <c r="O77" s="1"/>
  <c r="I191"/>
  <c r="I160" s="1"/>
  <c r="I149"/>
  <c r="E149"/>
  <c r="E191"/>
  <c r="E160" s="1"/>
  <c r="B206"/>
  <c r="B207"/>
  <c r="M161"/>
  <c r="G161"/>
  <c r="D161"/>
  <c r="A161"/>
  <c r="J162"/>
  <c r="K161"/>
  <c r="H161"/>
  <c r="E161"/>
  <c r="B161"/>
  <c r="F161"/>
  <c r="I161"/>
  <c r="L161"/>
  <c r="C161"/>
  <c r="H191"/>
  <c r="H160" s="1"/>
  <c r="H149"/>
  <c r="C127" a="1"/>
  <c r="C127" s="1"/>
  <c r="C124" a="1"/>
  <c r="C124" s="1"/>
  <c r="C129" a="1"/>
  <c r="C129" s="1"/>
  <c r="C126" a="1"/>
  <c r="C126" s="1"/>
  <c r="C123" a="1"/>
  <c r="C123" s="1"/>
  <c r="C122" a="1"/>
  <c r="C122" s="1"/>
  <c r="C125" a="1"/>
  <c r="C125" s="1"/>
  <c r="G155"/>
  <c r="G19"/>
  <c r="C93" a="1"/>
  <c r="C93" s="1"/>
  <c r="C90" a="1"/>
  <c r="C90" s="1"/>
  <c r="C102" s="1"/>
  <c r="C87" a="1"/>
  <c r="C87" s="1"/>
  <c r="C89" a="1"/>
  <c r="C89" s="1"/>
  <c r="C101" s="1"/>
  <c r="C88" a="1"/>
  <c r="C88" s="1"/>
  <c r="C100" s="1"/>
  <c r="C91" a="1"/>
  <c r="C91" s="1"/>
  <c r="F36" i="128"/>
  <c r="F206" s="1"/>
  <c r="D79" i="43"/>
  <c r="B36" i="42"/>
  <c r="B64"/>
  <c r="L162"/>
  <c r="I162"/>
  <c r="F162"/>
  <c r="C162"/>
  <c r="M162"/>
  <c r="G162"/>
  <c r="D162"/>
  <c r="A162"/>
  <c r="J163"/>
  <c r="K162"/>
  <c r="H162"/>
  <c r="E162"/>
  <c r="B162"/>
  <c r="I191"/>
  <c r="I160" s="1"/>
  <c r="I149"/>
  <c r="D80"/>
  <c r="O80" s="1"/>
  <c r="D81"/>
  <c r="O81" s="1"/>
  <c r="E191"/>
  <c r="E160" s="1"/>
  <c r="E149"/>
  <c r="G191"/>
  <c r="G160" s="1"/>
  <c r="G149"/>
  <c r="C93" a="1"/>
  <c r="C93" s="1"/>
  <c r="C90" a="1"/>
  <c r="C90" s="1"/>
  <c r="C102" s="1"/>
  <c r="C87" a="1"/>
  <c r="C87" s="1"/>
  <c r="C89" a="1"/>
  <c r="C89" s="1"/>
  <c r="C91" a="1"/>
  <c r="C91" s="1"/>
  <c r="C103" s="1"/>
  <c r="C88" a="1"/>
  <c r="C88" s="1"/>
  <c r="H191"/>
  <c r="H160" s="1"/>
  <c r="H149"/>
  <c r="C127" a="1"/>
  <c r="C127" s="1"/>
  <c r="C124" a="1"/>
  <c r="C124" s="1"/>
  <c r="C129" a="1"/>
  <c r="C129" s="1"/>
  <c r="C126" a="1"/>
  <c r="C126" s="1"/>
  <c r="C123" a="1"/>
  <c r="C123" s="1"/>
  <c r="C125" a="1"/>
  <c r="C125" s="1"/>
  <c r="C122" a="1"/>
  <c r="C122" s="1"/>
  <c r="F191"/>
  <c r="F160" s="1"/>
  <c r="F149"/>
  <c r="C36"/>
  <c r="D77"/>
  <c r="O77" s="1"/>
  <c r="D113"/>
  <c r="D79"/>
  <c r="O79" s="1"/>
  <c r="H191" i="41"/>
  <c r="H160" s="1"/>
  <c r="H149"/>
  <c r="C127" a="1"/>
  <c r="C127" s="1"/>
  <c r="C124" a="1"/>
  <c r="C124" s="1"/>
  <c r="C129" a="1"/>
  <c r="C129" s="1"/>
  <c r="C126" a="1"/>
  <c r="C126" s="1"/>
  <c r="C123" a="1"/>
  <c r="C123" s="1"/>
  <c r="C125" a="1"/>
  <c r="C125" s="1"/>
  <c r="C122" a="1"/>
  <c r="C122" s="1"/>
  <c r="L162"/>
  <c r="I162"/>
  <c r="F162"/>
  <c r="C162"/>
  <c r="M162"/>
  <c r="G162"/>
  <c r="D162"/>
  <c r="A162"/>
  <c r="J163"/>
  <c r="K162"/>
  <c r="H162"/>
  <c r="E162"/>
  <c r="B162"/>
  <c r="E118"/>
  <c r="F118" s="1"/>
  <c r="G118" s="1"/>
  <c r="H118" s="1"/>
  <c r="I118" s="1"/>
  <c r="I191"/>
  <c r="I160" s="1"/>
  <c r="I31"/>
  <c r="G191"/>
  <c r="G160" s="1"/>
  <c r="G149"/>
  <c r="B205"/>
  <c r="B206"/>
  <c r="B207"/>
  <c r="F25"/>
  <c r="I155"/>
  <c r="E191"/>
  <c r="E160" s="1"/>
  <c r="E149"/>
  <c r="C93" a="1"/>
  <c r="C93" s="1"/>
  <c r="C90" a="1"/>
  <c r="C90" s="1"/>
  <c r="C102" s="1"/>
  <c r="C87" a="1"/>
  <c r="C87" s="1"/>
  <c r="C89" a="1"/>
  <c r="C89" s="1"/>
  <c r="C91" a="1"/>
  <c r="C91" s="1"/>
  <c r="C103" s="1"/>
  <c r="C88" a="1"/>
  <c r="C88" s="1"/>
  <c r="E77"/>
  <c r="D113"/>
  <c r="F155"/>
  <c r="F191"/>
  <c r="F160" s="1"/>
  <c r="C104" i="40"/>
  <c r="C42"/>
  <c r="C125" a="1"/>
  <c r="C125" s="1"/>
  <c r="C122" a="1"/>
  <c r="C122" s="1"/>
  <c r="C127" a="1"/>
  <c r="C127" s="1"/>
  <c r="C124" a="1"/>
  <c r="C124" s="1"/>
  <c r="C126" a="1"/>
  <c r="C126" s="1"/>
  <c r="C123" a="1"/>
  <c r="C123" s="1"/>
  <c r="C129" a="1"/>
  <c r="C129" s="1"/>
  <c r="I191"/>
  <c r="I160" s="1"/>
  <c r="I149"/>
  <c r="E149"/>
  <c r="E191"/>
  <c r="E160" s="1"/>
  <c r="G191"/>
  <c r="G160" s="1"/>
  <c r="G149"/>
  <c r="D79"/>
  <c r="O79" s="1"/>
  <c r="D82"/>
  <c r="O82" s="1"/>
  <c r="D113"/>
  <c r="E113" s="1"/>
  <c r="D118"/>
  <c r="E118" s="1"/>
  <c r="F118" s="1"/>
  <c r="G118" s="1"/>
  <c r="H118" s="1"/>
  <c r="I118" s="1"/>
  <c r="F191"/>
  <c r="F160" s="1"/>
  <c r="F149"/>
  <c r="D78"/>
  <c r="E78" s="1"/>
  <c r="P78" s="1"/>
  <c r="D81"/>
  <c r="O81" s="1"/>
  <c r="D117"/>
  <c r="E117" s="1"/>
  <c r="F117" s="1"/>
  <c r="G117" s="1"/>
  <c r="H117" s="1"/>
  <c r="I117" s="1"/>
  <c r="D115"/>
  <c r="E115" s="1"/>
  <c r="F115" s="1"/>
  <c r="G115" s="1"/>
  <c r="H115" s="1"/>
  <c r="I115" s="1"/>
  <c r="H149"/>
  <c r="H191"/>
  <c r="H160" s="1"/>
  <c r="B64"/>
  <c r="B36"/>
  <c r="G161"/>
  <c r="D161"/>
  <c r="A161"/>
  <c r="J162"/>
  <c r="H161"/>
  <c r="E161"/>
  <c r="B161"/>
  <c r="L161"/>
  <c r="C161"/>
  <c r="F161"/>
  <c r="I161"/>
  <c r="M161"/>
  <c r="D77"/>
  <c r="E77" s="1"/>
  <c r="F77" s="1"/>
  <c r="D80"/>
  <c r="O80" s="1"/>
  <c r="D114"/>
  <c r="E114" s="1"/>
  <c r="F114" s="1"/>
  <c r="G114" s="1"/>
  <c r="H114" s="1"/>
  <c r="I114" s="1"/>
  <c r="D116"/>
  <c r="E116" s="1"/>
  <c r="F116" s="1"/>
  <c r="G116" s="1"/>
  <c r="H116" s="1"/>
  <c r="I116" s="1"/>
  <c r="B36" i="96"/>
  <c r="B207" s="1"/>
  <c r="C92" i="40" a="1"/>
  <c r="C92" s="1"/>
  <c r="C94" s="1"/>
  <c r="L162" i="39"/>
  <c r="I162"/>
  <c r="F162"/>
  <c r="C162"/>
  <c r="M162"/>
  <c r="G162"/>
  <c r="D162"/>
  <c r="A162"/>
  <c r="J163"/>
  <c r="K162"/>
  <c r="H162"/>
  <c r="E162"/>
  <c r="B162"/>
  <c r="B205"/>
  <c r="B206"/>
  <c r="B207"/>
  <c r="F155"/>
  <c r="D81"/>
  <c r="O81" s="1"/>
  <c r="I155"/>
  <c r="F31"/>
  <c r="E191"/>
  <c r="E160" s="1"/>
  <c r="E149"/>
  <c r="C36"/>
  <c r="C93" a="1"/>
  <c r="C93" s="1"/>
  <c r="C90" a="1"/>
  <c r="C90" s="1"/>
  <c r="C102" s="1"/>
  <c r="C87" a="1"/>
  <c r="C87" s="1"/>
  <c r="C89" a="1"/>
  <c r="C89" s="1"/>
  <c r="C101" s="1"/>
  <c r="C91" a="1"/>
  <c r="C91" s="1"/>
  <c r="C88" a="1"/>
  <c r="C88" s="1"/>
  <c r="E77"/>
  <c r="P77" s="1"/>
  <c r="F191"/>
  <c r="F160" s="1"/>
  <c r="I191"/>
  <c r="I160" s="1"/>
  <c r="I25"/>
  <c r="H191"/>
  <c r="H160" s="1"/>
  <c r="H149"/>
  <c r="C127" a="1"/>
  <c r="C127" s="1"/>
  <c r="C124" a="1"/>
  <c r="C124" s="1"/>
  <c r="C129" a="1"/>
  <c r="C129" s="1"/>
  <c r="C126" a="1"/>
  <c r="C126" s="1"/>
  <c r="C123" a="1"/>
  <c r="C123" s="1"/>
  <c r="C125" a="1"/>
  <c r="C125" s="1"/>
  <c r="C122" a="1"/>
  <c r="C122" s="1"/>
  <c r="G191"/>
  <c r="G160" s="1"/>
  <c r="G149"/>
  <c r="E191" i="38"/>
  <c r="E160" s="1"/>
  <c r="E149"/>
  <c r="I191"/>
  <c r="I160" s="1"/>
  <c r="I149"/>
  <c r="D81"/>
  <c r="H191"/>
  <c r="H160" s="1"/>
  <c r="H149"/>
  <c r="C127" a="1"/>
  <c r="C127" s="1"/>
  <c r="C124" a="1"/>
  <c r="C124" s="1"/>
  <c r="C129" a="1"/>
  <c r="C129" s="1"/>
  <c r="C126" a="1"/>
  <c r="C126" s="1"/>
  <c r="C123" a="1"/>
  <c r="C123" s="1"/>
  <c r="C125" a="1"/>
  <c r="C125" s="1"/>
  <c r="C122" a="1"/>
  <c r="C122" s="1"/>
  <c r="G191"/>
  <c r="G160" s="1"/>
  <c r="G149"/>
  <c r="L162"/>
  <c r="I162"/>
  <c r="F162"/>
  <c r="C162"/>
  <c r="M162"/>
  <c r="G162"/>
  <c r="D162"/>
  <c r="A162"/>
  <c r="J163"/>
  <c r="K162"/>
  <c r="H162"/>
  <c r="E162"/>
  <c r="B162"/>
  <c r="B64"/>
  <c r="B36"/>
  <c r="D80"/>
  <c r="O80" s="1"/>
  <c r="F191"/>
  <c r="F160" s="1"/>
  <c r="F149"/>
  <c r="C93" a="1"/>
  <c r="C93" s="1"/>
  <c r="C90" a="1"/>
  <c r="C90" s="1"/>
  <c r="C102" s="1"/>
  <c r="C87" a="1"/>
  <c r="C87" s="1"/>
  <c r="C89" a="1"/>
  <c r="C89" s="1"/>
  <c r="C91" a="1"/>
  <c r="C91" s="1"/>
  <c r="C103" s="1"/>
  <c r="C88" a="1"/>
  <c r="C88" s="1"/>
  <c r="D113"/>
  <c r="D79"/>
  <c r="O79" s="1"/>
  <c r="E191" i="32"/>
  <c r="E160" s="1"/>
  <c r="E149"/>
  <c r="G191"/>
  <c r="G160" s="1"/>
  <c r="G149"/>
  <c r="D82"/>
  <c r="O82" s="1"/>
  <c r="D79"/>
  <c r="O79" s="1"/>
  <c r="H191"/>
  <c r="H160" s="1"/>
  <c r="H149"/>
  <c r="C127" a="1"/>
  <c r="C127" s="1"/>
  <c r="C124" a="1"/>
  <c r="C124" s="1"/>
  <c r="C129" a="1"/>
  <c r="C129" s="1"/>
  <c r="C126" a="1"/>
  <c r="C126" s="1"/>
  <c r="C123" a="1"/>
  <c r="C123" s="1"/>
  <c r="C125" a="1"/>
  <c r="C125" s="1"/>
  <c r="C122" a="1"/>
  <c r="C122" s="1"/>
  <c r="F191"/>
  <c r="F160" s="1"/>
  <c r="F149"/>
  <c r="C93" a="1"/>
  <c r="C93" s="1"/>
  <c r="C90" a="1"/>
  <c r="C90" s="1"/>
  <c r="C102" s="1"/>
  <c r="C87" a="1"/>
  <c r="C87" s="1"/>
  <c r="C99" s="1"/>
  <c r="C89" a="1"/>
  <c r="C89" s="1"/>
  <c r="C101" s="1"/>
  <c r="C91" a="1"/>
  <c r="C91" s="1"/>
  <c r="C103" s="1"/>
  <c r="C88" a="1"/>
  <c r="C88" s="1"/>
  <c r="C100" s="1"/>
  <c r="D113"/>
  <c r="D78"/>
  <c r="O78" s="1"/>
  <c r="I191"/>
  <c r="I160" s="1"/>
  <c r="I149"/>
  <c r="L162"/>
  <c r="I162"/>
  <c r="F162"/>
  <c r="C162"/>
  <c r="M162"/>
  <c r="G162"/>
  <c r="D162"/>
  <c r="A162"/>
  <c r="J163"/>
  <c r="K162"/>
  <c r="H162"/>
  <c r="E162"/>
  <c r="B162"/>
  <c r="B64"/>
  <c r="B36"/>
  <c r="D77"/>
  <c r="E191" i="129"/>
  <c r="E160" s="1"/>
  <c r="E149"/>
  <c r="I191"/>
  <c r="I160" s="1"/>
  <c r="I149"/>
  <c r="D36"/>
  <c r="B205"/>
  <c r="H191"/>
  <c r="H160" s="1"/>
  <c r="H149"/>
  <c r="C127" a="1"/>
  <c r="C127" s="1"/>
  <c r="C124" a="1"/>
  <c r="C124" s="1"/>
  <c r="C129" a="1"/>
  <c r="C129" s="1"/>
  <c r="C126" a="1"/>
  <c r="C126" s="1"/>
  <c r="C123" a="1"/>
  <c r="C123" s="1"/>
  <c r="C125" a="1"/>
  <c r="C125" s="1"/>
  <c r="C122" a="1"/>
  <c r="C122" s="1"/>
  <c r="C36"/>
  <c r="L162"/>
  <c r="I162"/>
  <c r="F162"/>
  <c r="C162"/>
  <c r="M162"/>
  <c r="G162"/>
  <c r="D162"/>
  <c r="A162"/>
  <c r="J163"/>
  <c r="K162"/>
  <c r="H162"/>
  <c r="E162"/>
  <c r="B162"/>
  <c r="C93" a="1"/>
  <c r="C93" s="1"/>
  <c r="C90" a="1"/>
  <c r="C90" s="1"/>
  <c r="C102" s="1"/>
  <c r="C87" a="1"/>
  <c r="C87" s="1"/>
  <c r="C99" s="1"/>
  <c r="C89" a="1"/>
  <c r="C89" s="1"/>
  <c r="C91" a="1"/>
  <c r="C91" s="1"/>
  <c r="C88" a="1"/>
  <c r="C88" s="1"/>
  <c r="F191"/>
  <c r="F160" s="1"/>
  <c r="F149"/>
  <c r="G191"/>
  <c r="G160" s="1"/>
  <c r="G149"/>
  <c r="B206"/>
  <c r="B207"/>
  <c r="D113"/>
  <c r="F127" i="128" a="1"/>
  <c r="F127" s="1"/>
  <c r="F124" a="1"/>
  <c r="F124" s="1"/>
  <c r="F129" a="1"/>
  <c r="F129" s="1"/>
  <c r="F126" a="1"/>
  <c r="F126" s="1"/>
  <c r="F123" a="1"/>
  <c r="F123" s="1"/>
  <c r="F125" a="1"/>
  <c r="F125" s="1"/>
  <c r="F122" a="1"/>
  <c r="F122" s="1"/>
  <c r="M161"/>
  <c r="G161"/>
  <c r="D161"/>
  <c r="A161"/>
  <c r="J162"/>
  <c r="K161"/>
  <c r="H161"/>
  <c r="E161"/>
  <c r="B161"/>
  <c r="L161"/>
  <c r="I161"/>
  <c r="F161"/>
  <c r="C161"/>
  <c r="H36"/>
  <c r="J25"/>
  <c r="I128" a="1"/>
  <c r="I128" s="1"/>
  <c r="I130" s="1"/>
  <c r="D82"/>
  <c r="O82" s="1"/>
  <c r="D79"/>
  <c r="O79" s="1"/>
  <c r="C93" a="1"/>
  <c r="C93" s="1"/>
  <c r="C90" a="1"/>
  <c r="C90" s="1"/>
  <c r="C102" s="1"/>
  <c r="C87" a="1"/>
  <c r="C87" s="1"/>
  <c r="C99" s="1"/>
  <c r="C91" a="1"/>
  <c r="C91" s="1"/>
  <c r="C103" s="1"/>
  <c r="C88" a="1"/>
  <c r="C88" s="1"/>
  <c r="C89" a="1"/>
  <c r="C89" s="1"/>
  <c r="C101" s="1"/>
  <c r="B36"/>
  <c r="B64"/>
  <c r="D81"/>
  <c r="O81" s="1"/>
  <c r="D78"/>
  <c r="O78" s="1"/>
  <c r="C127" a="1"/>
  <c r="C127" s="1"/>
  <c r="C124" a="1"/>
  <c r="C124" s="1"/>
  <c r="C129" a="1"/>
  <c r="C129" s="1"/>
  <c r="C126" a="1"/>
  <c r="C126" s="1"/>
  <c r="C125" a="1"/>
  <c r="C125" s="1"/>
  <c r="C122" a="1"/>
  <c r="C122" s="1"/>
  <c r="C123" a="1"/>
  <c r="C123" s="1"/>
  <c r="E36"/>
  <c r="I191" i="127"/>
  <c r="I160" s="1"/>
  <c r="I149"/>
  <c r="L162"/>
  <c r="I162"/>
  <c r="F162"/>
  <c r="C162"/>
  <c r="M162"/>
  <c r="G162"/>
  <c r="D162"/>
  <c r="A162"/>
  <c r="J163"/>
  <c r="K162"/>
  <c r="H162"/>
  <c r="E162"/>
  <c r="B162"/>
  <c r="B36"/>
  <c r="B64"/>
  <c r="C36"/>
  <c r="D81"/>
  <c r="O81" s="1"/>
  <c r="D78"/>
  <c r="O78" s="1"/>
  <c r="E191"/>
  <c r="E160" s="1"/>
  <c r="E149"/>
  <c r="G191"/>
  <c r="G160" s="1"/>
  <c r="G149"/>
  <c r="H191"/>
  <c r="H160" s="1"/>
  <c r="H149"/>
  <c r="C127" a="1"/>
  <c r="C127" s="1"/>
  <c r="C124" a="1"/>
  <c r="C124" s="1"/>
  <c r="C129" a="1"/>
  <c r="C129" s="1"/>
  <c r="C126" a="1"/>
  <c r="C126" s="1"/>
  <c r="C123" a="1"/>
  <c r="C123" s="1"/>
  <c r="C125" a="1"/>
  <c r="C125" s="1"/>
  <c r="C122" a="1"/>
  <c r="C122" s="1"/>
  <c r="F191"/>
  <c r="F160" s="1"/>
  <c r="F149"/>
  <c r="C93" a="1"/>
  <c r="C93" s="1"/>
  <c r="C90" a="1"/>
  <c r="C90" s="1"/>
  <c r="C87" a="1"/>
  <c r="C87" s="1"/>
  <c r="C89" a="1"/>
  <c r="C89" s="1"/>
  <c r="C91" a="1"/>
  <c r="C91" s="1"/>
  <c r="C88" a="1"/>
  <c r="C88" s="1"/>
  <c r="C100" s="1"/>
  <c r="D82"/>
  <c r="O82" s="1"/>
  <c r="D113"/>
  <c r="D79"/>
  <c r="E114" i="109"/>
  <c r="F114" s="1"/>
  <c r="G114" s="1"/>
  <c r="H114" s="1"/>
  <c r="I114" s="1"/>
  <c r="E117"/>
  <c r="F117" s="1"/>
  <c r="G117" s="1"/>
  <c r="H117" s="1"/>
  <c r="I117" s="1"/>
  <c r="B36" i="100"/>
  <c r="B206" s="1"/>
  <c r="D82" i="109"/>
  <c r="O82" s="1"/>
  <c r="D79"/>
  <c r="E79" s="1"/>
  <c r="P79" s="1"/>
  <c r="C125" a="1"/>
  <c r="C125" s="1"/>
  <c r="C122" a="1"/>
  <c r="C122" s="1"/>
  <c r="C127" a="1"/>
  <c r="C127" s="1"/>
  <c r="C124" a="1"/>
  <c r="C124" s="1"/>
  <c r="C129" a="1"/>
  <c r="C129" s="1"/>
  <c r="C126" a="1"/>
  <c r="C126" s="1"/>
  <c r="C123" a="1"/>
  <c r="C123" s="1"/>
  <c r="B36"/>
  <c r="B64"/>
  <c r="C36"/>
  <c r="D113"/>
  <c r="D81"/>
  <c r="O81" s="1"/>
  <c r="D78"/>
  <c r="O78" s="1"/>
  <c r="C91" a="1"/>
  <c r="C91" s="1"/>
  <c r="C88" a="1"/>
  <c r="C88" s="1"/>
  <c r="C93" a="1"/>
  <c r="C93" s="1"/>
  <c r="C90" a="1"/>
  <c r="C90" s="1"/>
  <c r="C87" a="1"/>
  <c r="C87" s="1"/>
  <c r="C99" s="1"/>
  <c r="C89" a="1"/>
  <c r="C89" s="1"/>
  <c r="L161"/>
  <c r="I161"/>
  <c r="F161"/>
  <c r="C161"/>
  <c r="M161"/>
  <c r="G161"/>
  <c r="D161"/>
  <c r="A161"/>
  <c r="J162"/>
  <c r="K161"/>
  <c r="H161"/>
  <c r="E161"/>
  <c r="B161"/>
  <c r="C45" i="94"/>
  <c r="N116" s="1"/>
  <c r="D80" i="109"/>
  <c r="O80" s="1"/>
  <c r="D77"/>
  <c r="E191" i="108"/>
  <c r="E160" s="1"/>
  <c r="E149"/>
  <c r="I191"/>
  <c r="I160" s="1"/>
  <c r="I149"/>
  <c r="D82"/>
  <c r="O82" s="1"/>
  <c r="H191"/>
  <c r="H160" s="1"/>
  <c r="H149"/>
  <c r="C127" a="1"/>
  <c r="C127" s="1"/>
  <c r="C124" a="1"/>
  <c r="C124" s="1"/>
  <c r="C129" a="1"/>
  <c r="C129" s="1"/>
  <c r="C126" a="1"/>
  <c r="C126" s="1"/>
  <c r="C123" a="1"/>
  <c r="C123" s="1"/>
  <c r="C125" a="1"/>
  <c r="C125" s="1"/>
  <c r="C122" a="1"/>
  <c r="C122" s="1"/>
  <c r="C36"/>
  <c r="L162"/>
  <c r="I162"/>
  <c r="F162"/>
  <c r="C162"/>
  <c r="M162"/>
  <c r="G162"/>
  <c r="D162"/>
  <c r="A162"/>
  <c r="J163"/>
  <c r="K162"/>
  <c r="H162"/>
  <c r="E162"/>
  <c r="B162"/>
  <c r="B205"/>
  <c r="B206"/>
  <c r="B207"/>
  <c r="E117"/>
  <c r="F117" s="1"/>
  <c r="G117" s="1"/>
  <c r="H117" s="1"/>
  <c r="I117" s="1"/>
  <c r="F191"/>
  <c r="F160" s="1"/>
  <c r="F149"/>
  <c r="G191"/>
  <c r="G160" s="1"/>
  <c r="G149"/>
  <c r="C93" a="1"/>
  <c r="C93" s="1"/>
  <c r="C90" a="1"/>
  <c r="C90" s="1"/>
  <c r="C87" a="1"/>
  <c r="C87" s="1"/>
  <c r="C99" s="1"/>
  <c r="C89" a="1"/>
  <c r="C89" s="1"/>
  <c r="C101" s="1"/>
  <c r="C91" a="1"/>
  <c r="C91" s="1"/>
  <c r="C103" s="1"/>
  <c r="C88" a="1"/>
  <c r="C88" s="1"/>
  <c r="C36" i="98"/>
  <c r="C105" s="1"/>
  <c r="E191" i="102"/>
  <c r="E160" s="1"/>
  <c r="E149"/>
  <c r="C93" a="1"/>
  <c r="C93" s="1"/>
  <c r="C90" a="1"/>
  <c r="C90" s="1"/>
  <c r="C87" a="1"/>
  <c r="C87" s="1"/>
  <c r="C89" a="1"/>
  <c r="C89" s="1"/>
  <c r="C101" s="1"/>
  <c r="C91" a="1"/>
  <c r="C91" s="1"/>
  <c r="C103" s="1"/>
  <c r="C88" a="1"/>
  <c r="C88" s="1"/>
  <c r="C100" s="1"/>
  <c r="F191"/>
  <c r="F160" s="1"/>
  <c r="I191"/>
  <c r="I160" s="1"/>
  <c r="D82"/>
  <c r="O82" s="1"/>
  <c r="D79"/>
  <c r="O79" s="1"/>
  <c r="F25"/>
  <c r="H191"/>
  <c r="H160" s="1"/>
  <c r="H149"/>
  <c r="C127" a="1"/>
  <c r="C127" s="1"/>
  <c r="C124" a="1"/>
  <c r="C124" s="1"/>
  <c r="C129" a="1"/>
  <c r="C129" s="1"/>
  <c r="C126" a="1"/>
  <c r="C126" s="1"/>
  <c r="C123" a="1"/>
  <c r="C123" s="1"/>
  <c r="C125" a="1"/>
  <c r="C125" s="1"/>
  <c r="C122" a="1"/>
  <c r="C122" s="1"/>
  <c r="G191"/>
  <c r="G160" s="1"/>
  <c r="G149"/>
  <c r="B64"/>
  <c r="B36"/>
  <c r="D81"/>
  <c r="O81" s="1"/>
  <c r="D78"/>
  <c r="O78" s="1"/>
  <c r="L162"/>
  <c r="I162"/>
  <c r="F162"/>
  <c r="C162"/>
  <c r="M162"/>
  <c r="G162"/>
  <c r="D162"/>
  <c r="A162"/>
  <c r="J163"/>
  <c r="K162"/>
  <c r="H162"/>
  <c r="E162"/>
  <c r="B162"/>
  <c r="D113"/>
  <c r="F155"/>
  <c r="I155"/>
  <c r="D80"/>
  <c r="O80" s="1"/>
  <c r="D77"/>
  <c r="O77" s="1"/>
  <c r="I25"/>
  <c r="G191" i="101"/>
  <c r="G160" s="1"/>
  <c r="G149"/>
  <c r="E77"/>
  <c r="P77" s="1"/>
  <c r="D80"/>
  <c r="O80" s="1"/>
  <c r="F155"/>
  <c r="I155"/>
  <c r="C92" a="1"/>
  <c r="C92" s="1"/>
  <c r="C94" s="1"/>
  <c r="E191"/>
  <c r="E160" s="1"/>
  <c r="E149"/>
  <c r="D79"/>
  <c r="O79" s="1"/>
  <c r="D82"/>
  <c r="O82" s="1"/>
  <c r="F191"/>
  <c r="F160" s="1"/>
  <c r="F31"/>
  <c r="H191"/>
  <c r="H160" s="1"/>
  <c r="H149"/>
  <c r="C127" a="1"/>
  <c r="C127" s="1"/>
  <c r="C124" a="1"/>
  <c r="C124" s="1"/>
  <c r="C129" a="1"/>
  <c r="C129" s="1"/>
  <c r="C126" a="1"/>
  <c r="C126" s="1"/>
  <c r="C123" a="1"/>
  <c r="C123" s="1"/>
  <c r="C125" a="1"/>
  <c r="C125" s="1"/>
  <c r="C122" a="1"/>
  <c r="C122" s="1"/>
  <c r="B36"/>
  <c r="B64"/>
  <c r="C36"/>
  <c r="L162"/>
  <c r="I162"/>
  <c r="F162"/>
  <c r="C162"/>
  <c r="M162"/>
  <c r="G162"/>
  <c r="D162"/>
  <c r="A162"/>
  <c r="J163"/>
  <c r="K162"/>
  <c r="H162"/>
  <c r="E162"/>
  <c r="B162"/>
  <c r="E78"/>
  <c r="D81"/>
  <c r="O81" s="1"/>
  <c r="I191"/>
  <c r="I160" s="1"/>
  <c r="I25"/>
  <c r="I191" i="100"/>
  <c r="I160" s="1"/>
  <c r="I149"/>
  <c r="E149"/>
  <c r="E191"/>
  <c r="E160" s="1"/>
  <c r="G155"/>
  <c r="G19"/>
  <c r="D78"/>
  <c r="O78" s="1"/>
  <c r="D81"/>
  <c r="O81" s="1"/>
  <c r="F191"/>
  <c r="F160" s="1"/>
  <c r="F149"/>
  <c r="C93" a="1"/>
  <c r="C93" s="1"/>
  <c r="C90" a="1"/>
  <c r="C90" s="1"/>
  <c r="C102" s="1"/>
  <c r="C87" a="1"/>
  <c r="C87" s="1"/>
  <c r="C99" s="1"/>
  <c r="C89" a="1"/>
  <c r="C89" s="1"/>
  <c r="C101" s="1"/>
  <c r="C91" a="1"/>
  <c r="C91" s="1"/>
  <c r="C88" a="1"/>
  <c r="C88" s="1"/>
  <c r="D77"/>
  <c r="D80"/>
  <c r="O80" s="1"/>
  <c r="E116"/>
  <c r="F116" s="1"/>
  <c r="G116" s="1"/>
  <c r="H116" s="1"/>
  <c r="I116" s="1"/>
  <c r="H149"/>
  <c r="H191"/>
  <c r="H160" s="1"/>
  <c r="C127" a="1"/>
  <c r="C127" s="1"/>
  <c r="C124" a="1"/>
  <c r="C124" s="1"/>
  <c r="C129" a="1"/>
  <c r="C129" s="1"/>
  <c r="C126" a="1"/>
  <c r="C126" s="1"/>
  <c r="C123" a="1"/>
  <c r="C123" s="1"/>
  <c r="C125" a="1"/>
  <c r="C125" s="1"/>
  <c r="C122" a="1"/>
  <c r="C122" s="1"/>
  <c r="M161"/>
  <c r="G161"/>
  <c r="D161"/>
  <c r="A161"/>
  <c r="J162"/>
  <c r="K161"/>
  <c r="H161"/>
  <c r="E161"/>
  <c r="B161"/>
  <c r="I161"/>
  <c r="L161"/>
  <c r="C161"/>
  <c r="F161"/>
  <c r="D79"/>
  <c r="D82"/>
  <c r="O82" s="1"/>
  <c r="G191"/>
  <c r="G160" s="1"/>
  <c r="H191" i="99"/>
  <c r="H160" s="1"/>
  <c r="H149"/>
  <c r="C127" a="1"/>
  <c r="C127" s="1"/>
  <c r="C124" a="1"/>
  <c r="C124" s="1"/>
  <c r="C129" a="1"/>
  <c r="C129" s="1"/>
  <c r="C126" a="1"/>
  <c r="C126" s="1"/>
  <c r="C123" a="1"/>
  <c r="C123" s="1"/>
  <c r="C125" a="1"/>
  <c r="C125" s="1"/>
  <c r="C122" a="1"/>
  <c r="C122" s="1"/>
  <c r="G191"/>
  <c r="G160" s="1"/>
  <c r="G149"/>
  <c r="B36"/>
  <c r="B64"/>
  <c r="C36"/>
  <c r="E79"/>
  <c r="D82"/>
  <c r="O82" s="1"/>
  <c r="C43"/>
  <c r="N114" s="1"/>
  <c r="F191"/>
  <c r="F160" s="1"/>
  <c r="F149"/>
  <c r="L162"/>
  <c r="I162"/>
  <c r="F162"/>
  <c r="C162"/>
  <c r="M162"/>
  <c r="G162"/>
  <c r="D162"/>
  <c r="A162"/>
  <c r="J163"/>
  <c r="K162"/>
  <c r="H162"/>
  <c r="E162"/>
  <c r="B162"/>
  <c r="E78"/>
  <c r="P78" s="1"/>
  <c r="D81"/>
  <c r="O81" s="1"/>
  <c r="C36" i="96"/>
  <c r="C105" s="1"/>
  <c r="D113" i="99"/>
  <c r="E191"/>
  <c r="E160" s="1"/>
  <c r="E149"/>
  <c r="I191"/>
  <c r="I160" s="1"/>
  <c r="I149"/>
  <c r="E77"/>
  <c r="F77" s="1"/>
  <c r="Q77" s="1"/>
  <c r="E80"/>
  <c r="D118"/>
  <c r="E118" s="1"/>
  <c r="F118" s="1"/>
  <c r="G118" s="1"/>
  <c r="H118" s="1"/>
  <c r="I118" s="1"/>
  <c r="D115"/>
  <c r="E115" s="1"/>
  <c r="F115" s="1"/>
  <c r="G115" s="1"/>
  <c r="H115" s="1"/>
  <c r="I115" s="1"/>
  <c r="D116" i="98"/>
  <c r="E116" s="1"/>
  <c r="F116" s="1"/>
  <c r="G116" s="1"/>
  <c r="H116" s="1"/>
  <c r="I116" s="1"/>
  <c r="C127" a="1"/>
  <c r="C127" s="1"/>
  <c r="C124" a="1"/>
  <c r="C124" s="1"/>
  <c r="C125" a="1"/>
  <c r="C125" s="1"/>
  <c r="C122" a="1"/>
  <c r="C122" s="1"/>
  <c r="C126" a="1"/>
  <c r="C126" s="1"/>
  <c r="C129" a="1"/>
  <c r="C129" s="1"/>
  <c r="C123" a="1"/>
  <c r="C123" s="1"/>
  <c r="G191"/>
  <c r="G160" s="1"/>
  <c r="G149"/>
  <c r="M161"/>
  <c r="G161"/>
  <c r="D161"/>
  <c r="A161"/>
  <c r="L161"/>
  <c r="I161"/>
  <c r="F161"/>
  <c r="C161"/>
  <c r="K161"/>
  <c r="B161"/>
  <c r="J162"/>
  <c r="E161"/>
  <c r="H161"/>
  <c r="B205"/>
  <c r="F155"/>
  <c r="F19"/>
  <c r="D114"/>
  <c r="E114" s="1"/>
  <c r="F114" s="1"/>
  <c r="G114" s="1"/>
  <c r="H114" s="1"/>
  <c r="I114" s="1"/>
  <c r="D115"/>
  <c r="E115" s="1"/>
  <c r="F115" s="1"/>
  <c r="G115" s="1"/>
  <c r="H115" s="1"/>
  <c r="I115" s="1"/>
  <c r="D81"/>
  <c r="O81" s="1"/>
  <c r="D78"/>
  <c r="E78" s="1"/>
  <c r="P78" s="1"/>
  <c r="I191"/>
  <c r="I160" s="1"/>
  <c r="D79"/>
  <c r="O79" s="1"/>
  <c r="E191"/>
  <c r="E160" s="1"/>
  <c r="E149"/>
  <c r="I155"/>
  <c r="I19"/>
  <c r="D113"/>
  <c r="E113" s="1"/>
  <c r="H191"/>
  <c r="H160" s="1"/>
  <c r="H149"/>
  <c r="D117"/>
  <c r="E117" s="1"/>
  <c r="F117" s="1"/>
  <c r="G117" s="1"/>
  <c r="H117" s="1"/>
  <c r="I117" s="1"/>
  <c r="D118"/>
  <c r="E118" s="1"/>
  <c r="F118" s="1"/>
  <c r="G118" s="1"/>
  <c r="H118" s="1"/>
  <c r="I118" s="1"/>
  <c r="B206"/>
  <c r="B207"/>
  <c r="C93" a="1"/>
  <c r="C93" s="1"/>
  <c r="C90" a="1"/>
  <c r="C90" s="1"/>
  <c r="C87" a="1"/>
  <c r="C87" s="1"/>
  <c r="C99" s="1"/>
  <c r="C91" a="1"/>
  <c r="C91" s="1"/>
  <c r="C103" s="1"/>
  <c r="C88" a="1"/>
  <c r="C88" s="1"/>
  <c r="C89" a="1"/>
  <c r="C89" s="1"/>
  <c r="C101" s="1"/>
  <c r="F191"/>
  <c r="F160" s="1"/>
  <c r="D80"/>
  <c r="O80" s="1"/>
  <c r="D77"/>
  <c r="O77" s="1"/>
  <c r="I191" i="97"/>
  <c r="I160" s="1"/>
  <c r="I149"/>
  <c r="B64"/>
  <c r="B36"/>
  <c r="E77"/>
  <c r="F77" s="1"/>
  <c r="E80"/>
  <c r="E191"/>
  <c r="E160" s="1"/>
  <c r="E149"/>
  <c r="G191"/>
  <c r="G160" s="1"/>
  <c r="G149"/>
  <c r="H191"/>
  <c r="H160" s="1"/>
  <c r="H149"/>
  <c r="C127" a="1"/>
  <c r="C127" s="1"/>
  <c r="C124" a="1"/>
  <c r="C124" s="1"/>
  <c r="C129" a="1"/>
  <c r="C129" s="1"/>
  <c r="C126" a="1"/>
  <c r="C126" s="1"/>
  <c r="C123" a="1"/>
  <c r="C123" s="1"/>
  <c r="C125" a="1"/>
  <c r="C125" s="1"/>
  <c r="C122" a="1"/>
  <c r="C122" s="1"/>
  <c r="F191"/>
  <c r="F160" s="1"/>
  <c r="F149"/>
  <c r="L162"/>
  <c r="I162"/>
  <c r="F162"/>
  <c r="C162"/>
  <c r="M162"/>
  <c r="G162"/>
  <c r="D162"/>
  <c r="A162"/>
  <c r="J163"/>
  <c r="K162"/>
  <c r="H162"/>
  <c r="E162"/>
  <c r="B162"/>
  <c r="E78"/>
  <c r="P78" s="1"/>
  <c r="E81"/>
  <c r="C44" i="96"/>
  <c r="N115" s="1"/>
  <c r="D116" i="97"/>
  <c r="E116" s="1"/>
  <c r="F116" s="1"/>
  <c r="G116" s="1"/>
  <c r="H116" s="1"/>
  <c r="I116" s="1"/>
  <c r="D113"/>
  <c r="E113" s="1"/>
  <c r="D82"/>
  <c r="O82" s="1"/>
  <c r="D79"/>
  <c r="O79" s="1"/>
  <c r="M161" i="96"/>
  <c r="G161"/>
  <c r="D161"/>
  <c r="A161"/>
  <c r="J162"/>
  <c r="K161"/>
  <c r="H161"/>
  <c r="E161"/>
  <c r="B161"/>
  <c r="F161"/>
  <c r="L161"/>
  <c r="I161"/>
  <c r="C161"/>
  <c r="G155"/>
  <c r="G19"/>
  <c r="H191"/>
  <c r="H160" s="1"/>
  <c r="H149"/>
  <c r="C127" a="1"/>
  <c r="C127" s="1"/>
  <c r="C124" a="1"/>
  <c r="C124" s="1"/>
  <c r="C129" a="1"/>
  <c r="C129" s="1"/>
  <c r="C126" a="1"/>
  <c r="C126" s="1"/>
  <c r="C123" a="1"/>
  <c r="C123" s="1"/>
  <c r="C122" a="1"/>
  <c r="C122" s="1"/>
  <c r="C125" a="1"/>
  <c r="C125" s="1"/>
  <c r="D80"/>
  <c r="O80" s="1"/>
  <c r="D82"/>
  <c r="O82" s="1"/>
  <c r="I191"/>
  <c r="I160" s="1"/>
  <c r="I149"/>
  <c r="E149"/>
  <c r="E191"/>
  <c r="E160" s="1"/>
  <c r="D77"/>
  <c r="O77" s="1"/>
  <c r="D81"/>
  <c r="O81" s="1"/>
  <c r="F191"/>
  <c r="F160" s="1"/>
  <c r="F149"/>
  <c r="D79"/>
  <c r="O79" s="1"/>
  <c r="D78"/>
  <c r="E78" s="1"/>
  <c r="P78" s="1"/>
  <c r="G191"/>
  <c r="G160" s="1"/>
  <c r="D113"/>
  <c r="E113" s="1"/>
  <c r="I191" i="95"/>
  <c r="I160" s="1"/>
  <c r="I149"/>
  <c r="C36"/>
  <c r="C93" a="1"/>
  <c r="C93" s="1"/>
  <c r="C90" a="1"/>
  <c r="C90" s="1"/>
  <c r="C102" s="1"/>
  <c r="C87" a="1"/>
  <c r="C87" s="1"/>
  <c r="C99" s="1"/>
  <c r="C91" a="1"/>
  <c r="C91" s="1"/>
  <c r="C103" s="1"/>
  <c r="C89" a="1"/>
  <c r="C89" s="1"/>
  <c r="C88" a="1"/>
  <c r="C88" s="1"/>
  <c r="C100" s="1"/>
  <c r="B206"/>
  <c r="B207"/>
  <c r="E191"/>
  <c r="E160" s="1"/>
  <c r="E149"/>
  <c r="G191"/>
  <c r="G160" s="1"/>
  <c r="G149"/>
  <c r="L162"/>
  <c r="I162"/>
  <c r="F162"/>
  <c r="C162"/>
  <c r="M162"/>
  <c r="G162"/>
  <c r="D162"/>
  <c r="A162"/>
  <c r="J163"/>
  <c r="K162"/>
  <c r="H162"/>
  <c r="E162"/>
  <c r="B162"/>
  <c r="H191"/>
  <c r="H160" s="1"/>
  <c r="H149"/>
  <c r="C127" a="1"/>
  <c r="C127" s="1"/>
  <c r="C124" a="1"/>
  <c r="C124" s="1"/>
  <c r="C129" a="1"/>
  <c r="C129" s="1"/>
  <c r="C126" a="1"/>
  <c r="C126" s="1"/>
  <c r="C123" a="1"/>
  <c r="C123" s="1"/>
  <c r="C125" a="1"/>
  <c r="C125" s="1"/>
  <c r="C122" a="1"/>
  <c r="C122" s="1"/>
  <c r="F191"/>
  <c r="F160" s="1"/>
  <c r="F149"/>
  <c r="B205"/>
  <c r="E115"/>
  <c r="F115" s="1"/>
  <c r="G115" s="1"/>
  <c r="H115" s="1"/>
  <c r="I115" s="1"/>
  <c r="D113"/>
  <c r="E113" s="1"/>
  <c r="E191" i="94"/>
  <c r="E160" s="1"/>
  <c r="E149"/>
  <c r="G191"/>
  <c r="G160" s="1"/>
  <c r="G149"/>
  <c r="D89" a="1"/>
  <c r="D89" s="1"/>
  <c r="D101" s="1"/>
  <c r="D91" a="1"/>
  <c r="D91" s="1"/>
  <c r="D103" s="1"/>
  <c r="D88" a="1"/>
  <c r="D88" s="1"/>
  <c r="D100" s="1"/>
  <c r="D93" a="1"/>
  <c r="D93" s="1"/>
  <c r="D90" a="1"/>
  <c r="D90" s="1"/>
  <c r="D102" s="1"/>
  <c r="D86" a="1"/>
  <c r="D86" s="1"/>
  <c r="D98" s="1"/>
  <c r="D87" a="1"/>
  <c r="D87" s="1"/>
  <c r="D99" s="1"/>
  <c r="E77"/>
  <c r="F77" s="1"/>
  <c r="Q77" s="1"/>
  <c r="E80"/>
  <c r="B206"/>
  <c r="B207"/>
  <c r="H191"/>
  <c r="H160" s="1"/>
  <c r="H149"/>
  <c r="C127" a="1"/>
  <c r="C127" s="1"/>
  <c r="C124" a="1"/>
  <c r="C124" s="1"/>
  <c r="C129" a="1"/>
  <c r="C129" s="1"/>
  <c r="C126" a="1"/>
  <c r="C126" s="1"/>
  <c r="C123" a="1"/>
  <c r="C123" s="1"/>
  <c r="C125" a="1"/>
  <c r="C125" s="1"/>
  <c r="C122" a="1"/>
  <c r="C122" s="1"/>
  <c r="F191"/>
  <c r="F160" s="1"/>
  <c r="F149"/>
  <c r="C36"/>
  <c r="L162"/>
  <c r="I162"/>
  <c r="F162"/>
  <c r="C162"/>
  <c r="M162"/>
  <c r="G162"/>
  <c r="D162"/>
  <c r="A162"/>
  <c r="J163"/>
  <c r="K162"/>
  <c r="H162"/>
  <c r="E162"/>
  <c r="B162"/>
  <c r="B205"/>
  <c r="E79"/>
  <c r="E82"/>
  <c r="D113"/>
  <c r="E113" s="1"/>
  <c r="I191"/>
  <c r="I160" s="1"/>
  <c r="I149"/>
  <c r="E78"/>
  <c r="P78" s="1"/>
  <c r="E81"/>
  <c r="B207" i="77"/>
  <c r="H191" i="93"/>
  <c r="H160" s="1"/>
  <c r="H149"/>
  <c r="C127" a="1"/>
  <c r="C127" s="1"/>
  <c r="C124" a="1"/>
  <c r="C124" s="1"/>
  <c r="C129" a="1"/>
  <c r="C129" s="1"/>
  <c r="C126" a="1"/>
  <c r="C126" s="1"/>
  <c r="C123" a="1"/>
  <c r="C123" s="1"/>
  <c r="C125" a="1"/>
  <c r="C125" s="1"/>
  <c r="C122" a="1"/>
  <c r="C122" s="1"/>
  <c r="G191"/>
  <c r="G160" s="1"/>
  <c r="G149"/>
  <c r="E77"/>
  <c r="F77" s="1"/>
  <c r="G77" s="1"/>
  <c r="R77" s="1"/>
  <c r="E80"/>
  <c r="I191"/>
  <c r="I160" s="1"/>
  <c r="F25"/>
  <c r="D82"/>
  <c r="O82" s="1"/>
  <c r="E118"/>
  <c r="F118" s="1"/>
  <c r="G118" s="1"/>
  <c r="H118" s="1"/>
  <c r="I118" s="1"/>
  <c r="F155"/>
  <c r="E191"/>
  <c r="E160" s="1"/>
  <c r="E149"/>
  <c r="L162"/>
  <c r="I162"/>
  <c r="F162"/>
  <c r="C162"/>
  <c r="M162"/>
  <c r="G162"/>
  <c r="D162"/>
  <c r="A162"/>
  <c r="J163"/>
  <c r="K162"/>
  <c r="H162"/>
  <c r="E162"/>
  <c r="B162"/>
  <c r="B64"/>
  <c r="B36"/>
  <c r="E78"/>
  <c r="D81"/>
  <c r="O81" s="1"/>
  <c r="F191"/>
  <c r="F160" s="1"/>
  <c r="I155"/>
  <c r="D79"/>
  <c r="O79" s="1"/>
  <c r="I25"/>
  <c r="H191" i="92"/>
  <c r="H160" s="1"/>
  <c r="H149"/>
  <c r="I155"/>
  <c r="I19"/>
  <c r="E78"/>
  <c r="F78" s="1"/>
  <c r="E81"/>
  <c r="D116"/>
  <c r="E116" s="1"/>
  <c r="F116" s="1"/>
  <c r="G116" s="1"/>
  <c r="H116" s="1"/>
  <c r="I116" s="1"/>
  <c r="D114"/>
  <c r="E114" s="1"/>
  <c r="F114" s="1"/>
  <c r="G114" s="1"/>
  <c r="H114" s="1"/>
  <c r="I114" s="1"/>
  <c r="C92" a="1"/>
  <c r="C92" s="1"/>
  <c r="C94" s="1"/>
  <c r="G191"/>
  <c r="G160" s="1"/>
  <c r="G149"/>
  <c r="M161"/>
  <c r="G161"/>
  <c r="A161"/>
  <c r="J162"/>
  <c r="K161"/>
  <c r="H161"/>
  <c r="E161"/>
  <c r="B161"/>
  <c r="L161"/>
  <c r="I161"/>
  <c r="F161"/>
  <c r="C161"/>
  <c r="E77"/>
  <c r="F77" s="1"/>
  <c r="Q77" s="1"/>
  <c r="E80"/>
  <c r="P80" s="1"/>
  <c r="D113"/>
  <c r="E113" s="1"/>
  <c r="D118"/>
  <c r="E118" s="1"/>
  <c r="F118" s="1"/>
  <c r="G118" s="1"/>
  <c r="H118" s="1"/>
  <c r="I118" s="1"/>
  <c r="F191"/>
  <c r="F160" s="1"/>
  <c r="I191"/>
  <c r="I160" s="1"/>
  <c r="E191"/>
  <c r="E160" s="1"/>
  <c r="E149"/>
  <c r="F155"/>
  <c r="F19"/>
  <c r="C127" a="1"/>
  <c r="C127" s="1"/>
  <c r="C124" a="1"/>
  <c r="C124" s="1"/>
  <c r="C125" a="1"/>
  <c r="C125" s="1"/>
  <c r="C122" a="1"/>
  <c r="C122" s="1"/>
  <c r="C129" a="1"/>
  <c r="C129" s="1"/>
  <c r="C126" a="1"/>
  <c r="C126" s="1"/>
  <c r="C123" a="1"/>
  <c r="C123" s="1"/>
  <c r="D89" a="1"/>
  <c r="D89" s="1"/>
  <c r="D101" s="1"/>
  <c r="D93" a="1"/>
  <c r="D93" s="1"/>
  <c r="D90" a="1"/>
  <c r="D90" s="1"/>
  <c r="D102" s="1"/>
  <c r="D88" a="1"/>
  <c r="D88" s="1"/>
  <c r="D100" s="1"/>
  <c r="D87" a="1"/>
  <c r="D87" s="1"/>
  <c r="D99" s="1"/>
  <c r="D91" a="1"/>
  <c r="D91" s="1"/>
  <c r="D103" s="1"/>
  <c r="D86" a="1"/>
  <c r="D86" s="1"/>
  <c r="D98" s="1"/>
  <c r="B64"/>
  <c r="B36"/>
  <c r="E79"/>
  <c r="P79" s="1"/>
  <c r="E82"/>
  <c r="P82" s="1"/>
  <c r="D115"/>
  <c r="E115" s="1"/>
  <c r="F115" s="1"/>
  <c r="G115" s="1"/>
  <c r="H115" s="1"/>
  <c r="I115" s="1"/>
  <c r="D117"/>
  <c r="E117" s="1"/>
  <c r="F117" s="1"/>
  <c r="G117" s="1"/>
  <c r="H117" s="1"/>
  <c r="I117" s="1"/>
  <c r="E191" i="91"/>
  <c r="E160" s="1"/>
  <c r="E149"/>
  <c r="E114"/>
  <c r="F114" s="1"/>
  <c r="G114" s="1"/>
  <c r="H114" s="1"/>
  <c r="I114" s="1"/>
  <c r="I191"/>
  <c r="I160" s="1"/>
  <c r="D80"/>
  <c r="O80" s="1"/>
  <c r="F155"/>
  <c r="D82"/>
  <c r="O82" s="1"/>
  <c r="D79"/>
  <c r="O79" s="1"/>
  <c r="I25"/>
  <c r="G191"/>
  <c r="G160" s="1"/>
  <c r="G149"/>
  <c r="C93" a="1"/>
  <c r="C93" s="1"/>
  <c r="C90" a="1"/>
  <c r="C90" s="1"/>
  <c r="C102" s="1"/>
  <c r="C87" a="1"/>
  <c r="C87" s="1"/>
  <c r="C99" s="1"/>
  <c r="C89" a="1"/>
  <c r="C89" s="1"/>
  <c r="C101" s="1"/>
  <c r="C91" a="1"/>
  <c r="C91" s="1"/>
  <c r="C88" a="1"/>
  <c r="C88" s="1"/>
  <c r="C100" s="1"/>
  <c r="B64"/>
  <c r="B36"/>
  <c r="H191"/>
  <c r="H160" s="1"/>
  <c r="H149"/>
  <c r="C127" a="1"/>
  <c r="C127" s="1"/>
  <c r="C124" a="1"/>
  <c r="C124" s="1"/>
  <c r="C129" a="1"/>
  <c r="C129" s="1"/>
  <c r="C126" a="1"/>
  <c r="C126" s="1"/>
  <c r="C123" a="1"/>
  <c r="C123" s="1"/>
  <c r="C125" a="1"/>
  <c r="C125" s="1"/>
  <c r="C122" a="1"/>
  <c r="C122" s="1"/>
  <c r="L162"/>
  <c r="I162"/>
  <c r="F162"/>
  <c r="C162"/>
  <c r="M162"/>
  <c r="G162"/>
  <c r="D162"/>
  <c r="A162"/>
  <c r="J163"/>
  <c r="K162"/>
  <c r="H162"/>
  <c r="E162"/>
  <c r="B162"/>
  <c r="D77"/>
  <c r="O77" s="1"/>
  <c r="F31"/>
  <c r="D118"/>
  <c r="E118" s="1"/>
  <c r="F118" s="1"/>
  <c r="G118" s="1"/>
  <c r="H118" s="1"/>
  <c r="I118" s="1"/>
  <c r="D115"/>
  <c r="F191"/>
  <c r="F160" s="1"/>
  <c r="I155"/>
  <c r="D81"/>
  <c r="O81" s="1"/>
  <c r="D78"/>
  <c r="O78" s="1"/>
  <c r="G191" i="90"/>
  <c r="G160" s="1"/>
  <c r="G149"/>
  <c r="B205"/>
  <c r="E114"/>
  <c r="F114" s="1"/>
  <c r="G114" s="1"/>
  <c r="H114" s="1"/>
  <c r="I114" s="1"/>
  <c r="D80"/>
  <c r="O80" s="1"/>
  <c r="I155"/>
  <c r="E191"/>
  <c r="E160" s="1"/>
  <c r="E149"/>
  <c r="C93" a="1"/>
  <c r="C93" s="1"/>
  <c r="C90" a="1"/>
  <c r="C90" s="1"/>
  <c r="C87" a="1"/>
  <c r="C87" s="1"/>
  <c r="C99" s="1"/>
  <c r="C89" a="1"/>
  <c r="C89" s="1"/>
  <c r="C91" a="1"/>
  <c r="C91" s="1"/>
  <c r="C103" s="1"/>
  <c r="C88" a="1"/>
  <c r="C88" s="1"/>
  <c r="C100" s="1"/>
  <c r="B206"/>
  <c r="B207"/>
  <c r="F155"/>
  <c r="F191"/>
  <c r="F160" s="1"/>
  <c r="F25"/>
  <c r="H191"/>
  <c r="H160" s="1"/>
  <c r="H149"/>
  <c r="C127" a="1"/>
  <c r="C127" s="1"/>
  <c r="C124" a="1"/>
  <c r="C124" s="1"/>
  <c r="C129" a="1"/>
  <c r="C129" s="1"/>
  <c r="C126" a="1"/>
  <c r="C126" s="1"/>
  <c r="C123" a="1"/>
  <c r="C123" s="1"/>
  <c r="C125" a="1"/>
  <c r="C125" s="1"/>
  <c r="C122" a="1"/>
  <c r="C122" s="1"/>
  <c r="C36"/>
  <c r="L162"/>
  <c r="I162"/>
  <c r="F162"/>
  <c r="C162"/>
  <c r="M162"/>
  <c r="G162"/>
  <c r="D162"/>
  <c r="A162"/>
  <c r="J163"/>
  <c r="K162"/>
  <c r="H162"/>
  <c r="E162"/>
  <c r="B162"/>
  <c r="I191"/>
  <c r="I160" s="1"/>
  <c r="D79"/>
  <c r="O79" s="1"/>
  <c r="I25"/>
  <c r="H191" i="89"/>
  <c r="H160" s="1"/>
  <c r="H149"/>
  <c r="C127" a="1"/>
  <c r="C127" s="1"/>
  <c r="C124" a="1"/>
  <c r="C124" s="1"/>
  <c r="C129" a="1"/>
  <c r="C129" s="1"/>
  <c r="C126" a="1"/>
  <c r="C126" s="1"/>
  <c r="C123" a="1"/>
  <c r="C123" s="1"/>
  <c r="C125" a="1"/>
  <c r="C125" s="1"/>
  <c r="C122" a="1"/>
  <c r="C122" s="1"/>
  <c r="F191"/>
  <c r="F160" s="1"/>
  <c r="F149"/>
  <c r="B205"/>
  <c r="B206"/>
  <c r="B207"/>
  <c r="E77"/>
  <c r="P77" s="1"/>
  <c r="E116"/>
  <c r="F116" s="1"/>
  <c r="G116" s="1"/>
  <c r="H116" s="1"/>
  <c r="I116" s="1"/>
  <c r="D113"/>
  <c r="I191"/>
  <c r="I160" s="1"/>
  <c r="I149"/>
  <c r="E191"/>
  <c r="E160" s="1"/>
  <c r="E149"/>
  <c r="G191"/>
  <c r="G160" s="1"/>
  <c r="G149"/>
  <c r="C36"/>
  <c r="L162"/>
  <c r="I162"/>
  <c r="F162"/>
  <c r="C162"/>
  <c r="M162"/>
  <c r="G162"/>
  <c r="D162"/>
  <c r="A162"/>
  <c r="J163"/>
  <c r="K162"/>
  <c r="H162"/>
  <c r="E162"/>
  <c r="B162"/>
  <c r="C93" a="1"/>
  <c r="C93" s="1"/>
  <c r="C90" a="1"/>
  <c r="C90" s="1"/>
  <c r="C102" s="1"/>
  <c r="C87" a="1"/>
  <c r="C87" s="1"/>
  <c r="C99" s="1"/>
  <c r="C89" a="1"/>
  <c r="C89" s="1"/>
  <c r="C91" a="1"/>
  <c r="C91" s="1"/>
  <c r="C103" s="1"/>
  <c r="C88" a="1"/>
  <c r="C88" s="1"/>
  <c r="H191" i="80"/>
  <c r="H160" s="1"/>
  <c r="H149"/>
  <c r="M161"/>
  <c r="G161"/>
  <c r="D161"/>
  <c r="A161"/>
  <c r="J162"/>
  <c r="K161"/>
  <c r="H161"/>
  <c r="E161"/>
  <c r="B161"/>
  <c r="L161"/>
  <c r="I161"/>
  <c r="F161"/>
  <c r="C161"/>
  <c r="E79"/>
  <c r="F79" s="1"/>
  <c r="E82"/>
  <c r="P82" s="1"/>
  <c r="I25"/>
  <c r="G191"/>
  <c r="G160" s="1"/>
  <c r="G149"/>
  <c r="B64"/>
  <c r="B36"/>
  <c r="F155"/>
  <c r="I191"/>
  <c r="I160" s="1"/>
  <c r="C92" a="1"/>
  <c r="C92" s="1"/>
  <c r="C94" s="1"/>
  <c r="F25"/>
  <c r="E191"/>
  <c r="E160" s="1"/>
  <c r="E149"/>
  <c r="C127" a="1"/>
  <c r="C127" s="1"/>
  <c r="C124" a="1"/>
  <c r="C124" s="1"/>
  <c r="C129" a="1"/>
  <c r="C129" s="1"/>
  <c r="C126" a="1"/>
  <c r="C126" s="1"/>
  <c r="C123" a="1"/>
  <c r="C123" s="1"/>
  <c r="C125" a="1"/>
  <c r="C125" s="1"/>
  <c r="C122" a="1"/>
  <c r="C122" s="1"/>
  <c r="C42"/>
  <c r="E77"/>
  <c r="F77" s="1"/>
  <c r="Q77" s="1"/>
  <c r="E80"/>
  <c r="P80" s="1"/>
  <c r="D113"/>
  <c r="F191"/>
  <c r="F160" s="1"/>
  <c r="D81"/>
  <c r="O81" s="1"/>
  <c r="D78"/>
  <c r="O78" s="1"/>
  <c r="H191" i="79"/>
  <c r="H160" s="1"/>
  <c r="H149"/>
  <c r="C127" a="1"/>
  <c r="C127" s="1"/>
  <c r="C124" a="1"/>
  <c r="C124" s="1"/>
  <c r="C129" a="1"/>
  <c r="C129" s="1"/>
  <c r="C126" a="1"/>
  <c r="C126" s="1"/>
  <c r="C123" a="1"/>
  <c r="C123" s="1"/>
  <c r="C125" a="1"/>
  <c r="C125" s="1"/>
  <c r="C122" a="1"/>
  <c r="C122" s="1"/>
  <c r="F191"/>
  <c r="F160" s="1"/>
  <c r="F149"/>
  <c r="G191"/>
  <c r="G160" s="1"/>
  <c r="G149"/>
  <c r="C93" a="1"/>
  <c r="C93" s="1"/>
  <c r="C90" a="1"/>
  <c r="C90" s="1"/>
  <c r="C87" a="1"/>
  <c r="C87" s="1"/>
  <c r="C91" a="1"/>
  <c r="C91" s="1"/>
  <c r="C89" a="1"/>
  <c r="C89" s="1"/>
  <c r="C101" s="1"/>
  <c r="C88" a="1"/>
  <c r="C88" s="1"/>
  <c r="B36"/>
  <c r="B64"/>
  <c r="D115"/>
  <c r="E115" s="1"/>
  <c r="F115" s="1"/>
  <c r="G115" s="1"/>
  <c r="H115" s="1"/>
  <c r="I115" s="1"/>
  <c r="D118"/>
  <c r="E118" s="1"/>
  <c r="F118" s="1"/>
  <c r="G118" s="1"/>
  <c r="H118" s="1"/>
  <c r="I118" s="1"/>
  <c r="D81"/>
  <c r="O81" s="1"/>
  <c r="D78"/>
  <c r="E78" s="1"/>
  <c r="I191"/>
  <c r="I160" s="1"/>
  <c r="I149"/>
  <c r="L162"/>
  <c r="I162"/>
  <c r="F162"/>
  <c r="C162"/>
  <c r="M162"/>
  <c r="G162"/>
  <c r="D162"/>
  <c r="A162"/>
  <c r="J163"/>
  <c r="K162"/>
  <c r="H162"/>
  <c r="E162"/>
  <c r="B162"/>
  <c r="D114"/>
  <c r="E114" s="1"/>
  <c r="F114" s="1"/>
  <c r="G114" s="1"/>
  <c r="H114" s="1"/>
  <c r="I114" s="1"/>
  <c r="D117"/>
  <c r="E117" s="1"/>
  <c r="F117" s="1"/>
  <c r="G117" s="1"/>
  <c r="H117" s="1"/>
  <c r="I117" s="1"/>
  <c r="D80"/>
  <c r="O80" s="1"/>
  <c r="D77"/>
  <c r="O77" s="1"/>
  <c r="E191"/>
  <c r="E160" s="1"/>
  <c r="E149"/>
  <c r="C36"/>
  <c r="D113"/>
  <c r="E113" s="1"/>
  <c r="D116"/>
  <c r="E116" s="1"/>
  <c r="F116" s="1"/>
  <c r="G116" s="1"/>
  <c r="H116" s="1"/>
  <c r="I116" s="1"/>
  <c r="C36" i="85"/>
  <c r="C206" s="1"/>
  <c r="D79" i="79"/>
  <c r="O79" s="1"/>
  <c r="E191" i="88"/>
  <c r="E160" s="1"/>
  <c r="E149"/>
  <c r="G191"/>
  <c r="G160" s="1"/>
  <c r="G149"/>
  <c r="C36"/>
  <c r="L162"/>
  <c r="I162"/>
  <c r="F162"/>
  <c r="C162"/>
  <c r="M162"/>
  <c r="G162"/>
  <c r="D162"/>
  <c r="A162"/>
  <c r="J163"/>
  <c r="K162"/>
  <c r="H162"/>
  <c r="E162"/>
  <c r="B162"/>
  <c r="C93" a="1"/>
  <c r="C93" s="1"/>
  <c r="C90" a="1"/>
  <c r="C90" s="1"/>
  <c r="C87" a="1"/>
  <c r="C87" s="1"/>
  <c r="C99" s="1"/>
  <c r="C89" a="1"/>
  <c r="C89" s="1"/>
  <c r="C101" s="1"/>
  <c r="C91" a="1"/>
  <c r="C91" s="1"/>
  <c r="C88" a="1"/>
  <c r="C88" s="1"/>
  <c r="D77"/>
  <c r="O77" s="1"/>
  <c r="H191"/>
  <c r="H160" s="1"/>
  <c r="H149"/>
  <c r="C127" a="1"/>
  <c r="C127" s="1"/>
  <c r="C124" a="1"/>
  <c r="C124" s="1"/>
  <c r="C129" a="1"/>
  <c r="C129" s="1"/>
  <c r="C126" a="1"/>
  <c r="C126" s="1"/>
  <c r="C123" a="1"/>
  <c r="C123" s="1"/>
  <c r="C125" a="1"/>
  <c r="C125" s="1"/>
  <c r="C122" a="1"/>
  <c r="C122" s="1"/>
  <c r="F191"/>
  <c r="F160" s="1"/>
  <c r="F149"/>
  <c r="E77"/>
  <c r="P77" s="1"/>
  <c r="D113"/>
  <c r="I191"/>
  <c r="I160" s="1"/>
  <c r="I149"/>
  <c r="B205"/>
  <c r="B206"/>
  <c r="B207"/>
  <c r="E113" i="87"/>
  <c r="B206"/>
  <c r="B207"/>
  <c r="C36" i="84"/>
  <c r="C206" s="1"/>
  <c r="F155" i="87"/>
  <c r="F25"/>
  <c r="E191"/>
  <c r="E160" s="1"/>
  <c r="E149"/>
  <c r="L162"/>
  <c r="I162"/>
  <c r="F162"/>
  <c r="C162"/>
  <c r="M162"/>
  <c r="G162"/>
  <c r="D162"/>
  <c r="A162"/>
  <c r="J163"/>
  <c r="K162"/>
  <c r="H162"/>
  <c r="E162"/>
  <c r="B162"/>
  <c r="C36"/>
  <c r="C93" a="1"/>
  <c r="C93" s="1"/>
  <c r="C90" a="1"/>
  <c r="C90" s="1"/>
  <c r="C87" a="1"/>
  <c r="C87" s="1"/>
  <c r="C99" s="1"/>
  <c r="C89" a="1"/>
  <c r="C89" s="1"/>
  <c r="C91" a="1"/>
  <c r="C91" s="1"/>
  <c r="C103" s="1"/>
  <c r="C88" a="1"/>
  <c r="C88" s="1"/>
  <c r="C100" s="1"/>
  <c r="F191"/>
  <c r="F160" s="1"/>
  <c r="I155"/>
  <c r="I25"/>
  <c r="H191"/>
  <c r="H160" s="1"/>
  <c r="H149"/>
  <c r="C127" a="1"/>
  <c r="C127" s="1"/>
  <c r="C124" a="1"/>
  <c r="C124" s="1"/>
  <c r="C129" a="1"/>
  <c r="C129" s="1"/>
  <c r="C126" a="1"/>
  <c r="C126" s="1"/>
  <c r="C123" a="1"/>
  <c r="C123" s="1"/>
  <c r="C125" a="1"/>
  <c r="C125" s="1"/>
  <c r="C122" a="1"/>
  <c r="C122" s="1"/>
  <c r="G191"/>
  <c r="G160" s="1"/>
  <c r="G149"/>
  <c r="B205"/>
  <c r="E117"/>
  <c r="F117" s="1"/>
  <c r="G117" s="1"/>
  <c r="H117" s="1"/>
  <c r="I117" s="1"/>
  <c r="I191"/>
  <c r="I160" s="1"/>
  <c r="H191" i="86"/>
  <c r="H160" s="1"/>
  <c r="H149"/>
  <c r="C127" a="1"/>
  <c r="C127" s="1"/>
  <c r="C124" a="1"/>
  <c r="C124" s="1"/>
  <c r="C129" a="1"/>
  <c r="C129" s="1"/>
  <c r="C126" a="1"/>
  <c r="C126" s="1"/>
  <c r="C123" a="1"/>
  <c r="C123" s="1"/>
  <c r="C125" a="1"/>
  <c r="C125" s="1"/>
  <c r="C122" a="1"/>
  <c r="C122" s="1"/>
  <c r="G191"/>
  <c r="G160" s="1"/>
  <c r="G149"/>
  <c r="L162"/>
  <c r="I162"/>
  <c r="F162"/>
  <c r="C162"/>
  <c r="M162"/>
  <c r="G162"/>
  <c r="D162"/>
  <c r="A162"/>
  <c r="J163"/>
  <c r="K162"/>
  <c r="H162"/>
  <c r="E162"/>
  <c r="B162"/>
  <c r="B64"/>
  <c r="B36"/>
  <c r="I155"/>
  <c r="D81"/>
  <c r="O81" s="1"/>
  <c r="D78"/>
  <c r="E78" s="1"/>
  <c r="F25"/>
  <c r="C93" a="1"/>
  <c r="C93" s="1"/>
  <c r="C90" a="1"/>
  <c r="C90" s="1"/>
  <c r="C102" s="1"/>
  <c r="C87" a="1"/>
  <c r="C87" s="1"/>
  <c r="C99" s="1"/>
  <c r="C89" a="1"/>
  <c r="C89" s="1"/>
  <c r="C91" a="1"/>
  <c r="C91" s="1"/>
  <c r="C103" s="1"/>
  <c r="C88" a="1"/>
  <c r="C88" s="1"/>
  <c r="C100" s="1"/>
  <c r="E114"/>
  <c r="F114" s="1"/>
  <c r="G114" s="1"/>
  <c r="H114" s="1"/>
  <c r="I114" s="1"/>
  <c r="E117"/>
  <c r="F117" s="1"/>
  <c r="G117" s="1"/>
  <c r="H117" s="1"/>
  <c r="I117" s="1"/>
  <c r="D113"/>
  <c r="E113" s="1"/>
  <c r="F155"/>
  <c r="I191"/>
  <c r="I160" s="1"/>
  <c r="D80"/>
  <c r="O80" s="1"/>
  <c r="D77"/>
  <c r="E77" s="1"/>
  <c r="P77" s="1"/>
  <c r="E191"/>
  <c r="E160" s="1"/>
  <c r="E149"/>
  <c r="F191"/>
  <c r="F160" s="1"/>
  <c r="D82"/>
  <c r="O82" s="1"/>
  <c r="I25"/>
  <c r="E113" i="85"/>
  <c r="H191"/>
  <c r="H160" s="1"/>
  <c r="H149"/>
  <c r="B64" i="84"/>
  <c r="B36"/>
  <c r="M161" i="85"/>
  <c r="G161"/>
  <c r="D161"/>
  <c r="A161"/>
  <c r="J162"/>
  <c r="K161"/>
  <c r="H161"/>
  <c r="E161"/>
  <c r="B161"/>
  <c r="F161"/>
  <c r="I161"/>
  <c r="L161"/>
  <c r="C161"/>
  <c r="F191"/>
  <c r="F160" s="1"/>
  <c r="F149"/>
  <c r="G191"/>
  <c r="G160" s="1"/>
  <c r="G149"/>
  <c r="B205"/>
  <c r="B206"/>
  <c r="B207"/>
  <c r="D81"/>
  <c r="O81" s="1"/>
  <c r="D78"/>
  <c r="O78" s="1"/>
  <c r="C127" a="1"/>
  <c r="C127" s="1"/>
  <c r="C124" a="1"/>
  <c r="C124" s="1"/>
  <c r="C129" a="1"/>
  <c r="C129" s="1"/>
  <c r="C126" a="1"/>
  <c r="C126" s="1"/>
  <c r="C123" a="1"/>
  <c r="C123" s="1"/>
  <c r="C125" a="1"/>
  <c r="C125" s="1"/>
  <c r="C122" a="1"/>
  <c r="C122" s="1"/>
  <c r="C93" a="1"/>
  <c r="C93" s="1"/>
  <c r="C90" a="1"/>
  <c r="C90" s="1"/>
  <c r="C102" s="1"/>
  <c r="C87" a="1"/>
  <c r="C87" s="1"/>
  <c r="C89" a="1"/>
  <c r="C89" s="1"/>
  <c r="C88" a="1"/>
  <c r="C88" s="1"/>
  <c r="C91" a="1"/>
  <c r="C91" s="1"/>
  <c r="C103" s="1"/>
  <c r="I191"/>
  <c r="I160" s="1"/>
  <c r="I149"/>
  <c r="E149"/>
  <c r="E191"/>
  <c r="E160" s="1"/>
  <c r="D80"/>
  <c r="O80" s="1"/>
  <c r="D77"/>
  <c r="E77" s="1"/>
  <c r="P77" s="1"/>
  <c r="E191" i="84"/>
  <c r="E160" s="1"/>
  <c r="E149"/>
  <c r="I155"/>
  <c r="I19"/>
  <c r="D117"/>
  <c r="E117" s="1"/>
  <c r="F117" s="1"/>
  <c r="G117" s="1"/>
  <c r="H117" s="1"/>
  <c r="I117" s="1"/>
  <c r="D116"/>
  <c r="H191"/>
  <c r="H160" s="1"/>
  <c r="H149"/>
  <c r="D114"/>
  <c r="E114" s="1"/>
  <c r="F114" s="1"/>
  <c r="G114" s="1"/>
  <c r="D118"/>
  <c r="F191"/>
  <c r="F160" s="1"/>
  <c r="C127" a="1"/>
  <c r="C127" s="1"/>
  <c r="C124" a="1"/>
  <c r="C124" s="1"/>
  <c r="C125" a="1"/>
  <c r="C125" s="1"/>
  <c r="C122" a="1"/>
  <c r="C122" s="1"/>
  <c r="C126" a="1"/>
  <c r="C126" s="1"/>
  <c r="C129" a="1"/>
  <c r="C129" s="1"/>
  <c r="C123" a="1"/>
  <c r="C123" s="1"/>
  <c r="G191"/>
  <c r="G160" s="1"/>
  <c r="G149"/>
  <c r="M161"/>
  <c r="G161"/>
  <c r="D161"/>
  <c r="A161"/>
  <c r="L161"/>
  <c r="I161"/>
  <c r="F161"/>
  <c r="C161"/>
  <c r="K161"/>
  <c r="B161"/>
  <c r="J162"/>
  <c r="E161"/>
  <c r="H161"/>
  <c r="F155"/>
  <c r="F19"/>
  <c r="D113"/>
  <c r="E113" s="1"/>
  <c r="D115"/>
  <c r="E115" s="1"/>
  <c r="F115" s="1"/>
  <c r="G115" s="1"/>
  <c r="H115" s="1"/>
  <c r="I115" s="1"/>
  <c r="I191"/>
  <c r="I160" s="1"/>
  <c r="G191" i="83"/>
  <c r="G160" s="1"/>
  <c r="G149"/>
  <c r="C93" a="1"/>
  <c r="C93" s="1"/>
  <c r="C90" a="1"/>
  <c r="C90" s="1"/>
  <c r="C87" a="1"/>
  <c r="C87" s="1"/>
  <c r="C89" a="1"/>
  <c r="C89" s="1"/>
  <c r="C91" a="1"/>
  <c r="C91" s="1"/>
  <c r="C103" s="1"/>
  <c r="C88" a="1"/>
  <c r="C88" s="1"/>
  <c r="F191"/>
  <c r="F160" s="1"/>
  <c r="F149"/>
  <c r="E115"/>
  <c r="F115" s="1"/>
  <c r="G115" s="1"/>
  <c r="H115" s="1"/>
  <c r="I115" s="1"/>
  <c r="D116"/>
  <c r="E116" s="1"/>
  <c r="D113"/>
  <c r="E113" s="1"/>
  <c r="H191"/>
  <c r="H160" s="1"/>
  <c r="H149"/>
  <c r="C127" a="1"/>
  <c r="C127" s="1"/>
  <c r="C124" a="1"/>
  <c r="C124" s="1"/>
  <c r="C129" a="1"/>
  <c r="C129" s="1"/>
  <c r="C126" a="1"/>
  <c r="C126" s="1"/>
  <c r="C123" a="1"/>
  <c r="C123" s="1"/>
  <c r="C125" a="1"/>
  <c r="C125" s="1"/>
  <c r="C122" a="1"/>
  <c r="C122" s="1"/>
  <c r="E191"/>
  <c r="E160" s="1"/>
  <c r="E149"/>
  <c r="I191"/>
  <c r="I160" s="1"/>
  <c r="I149"/>
  <c r="L162"/>
  <c r="I162"/>
  <c r="F162"/>
  <c r="C162"/>
  <c r="M162"/>
  <c r="G162"/>
  <c r="D162"/>
  <c r="A162"/>
  <c r="J163"/>
  <c r="K162"/>
  <c r="H162"/>
  <c r="E162"/>
  <c r="B162"/>
  <c r="B64"/>
  <c r="B36"/>
  <c r="H191" i="82"/>
  <c r="H160" s="1"/>
  <c r="H149"/>
  <c r="C127" a="1"/>
  <c r="C127" s="1"/>
  <c r="C124" a="1"/>
  <c r="C124" s="1"/>
  <c r="C129" a="1"/>
  <c r="C129" s="1"/>
  <c r="C126" a="1"/>
  <c r="C126" s="1"/>
  <c r="C123" a="1"/>
  <c r="C123" s="1"/>
  <c r="C125" a="1"/>
  <c r="C125" s="1"/>
  <c r="C122" a="1"/>
  <c r="C122" s="1"/>
  <c r="G191"/>
  <c r="G160" s="1"/>
  <c r="G149"/>
  <c r="L162"/>
  <c r="I162"/>
  <c r="F162"/>
  <c r="C162"/>
  <c r="M162"/>
  <c r="G162"/>
  <c r="D162"/>
  <c r="A162"/>
  <c r="J163"/>
  <c r="K162"/>
  <c r="H162"/>
  <c r="E162"/>
  <c r="B162"/>
  <c r="I155"/>
  <c r="D82"/>
  <c r="O82" s="1"/>
  <c r="D79"/>
  <c r="O79" s="1"/>
  <c r="B36"/>
  <c r="B64"/>
  <c r="C36"/>
  <c r="B64" i="71"/>
  <c r="D113" i="82"/>
  <c r="E113" s="1"/>
  <c r="F155"/>
  <c r="I191"/>
  <c r="I160" s="1"/>
  <c r="D81"/>
  <c r="O81" s="1"/>
  <c r="D78"/>
  <c r="O78" s="1"/>
  <c r="F25"/>
  <c r="E191"/>
  <c r="E160" s="1"/>
  <c r="E149"/>
  <c r="C93" a="1"/>
  <c r="C93" s="1"/>
  <c r="C90" a="1"/>
  <c r="C90" s="1"/>
  <c r="C87" a="1"/>
  <c r="C87" s="1"/>
  <c r="C89" a="1"/>
  <c r="C89" s="1"/>
  <c r="C91" a="1"/>
  <c r="C91" s="1"/>
  <c r="C88" a="1"/>
  <c r="C88" s="1"/>
  <c r="E116"/>
  <c r="F116" s="1"/>
  <c r="G116" s="1"/>
  <c r="H116" s="1"/>
  <c r="I116" s="1"/>
  <c r="F191"/>
  <c r="F160" s="1"/>
  <c r="D77"/>
  <c r="E77" s="1"/>
  <c r="P77" s="1"/>
  <c r="I25"/>
  <c r="E191" i="81"/>
  <c r="E160" s="1"/>
  <c r="E149"/>
  <c r="G191"/>
  <c r="G160" s="1"/>
  <c r="G149"/>
  <c r="E79"/>
  <c r="P79" s="1"/>
  <c r="E82"/>
  <c r="H191"/>
  <c r="H160" s="1"/>
  <c r="H149"/>
  <c r="C127" a="1"/>
  <c r="C127" s="1"/>
  <c r="C124" a="1"/>
  <c r="C124" s="1"/>
  <c r="C129" a="1"/>
  <c r="C129" s="1"/>
  <c r="C126" a="1"/>
  <c r="C126" s="1"/>
  <c r="C123" a="1"/>
  <c r="C123" s="1"/>
  <c r="C125" a="1"/>
  <c r="C125" s="1"/>
  <c r="C122" a="1"/>
  <c r="C122" s="1"/>
  <c r="F191"/>
  <c r="F160" s="1"/>
  <c r="F149"/>
  <c r="E78"/>
  <c r="F78" s="1"/>
  <c r="G78" s="1"/>
  <c r="E81"/>
  <c r="P81" s="1"/>
  <c r="D113"/>
  <c r="E113" s="1"/>
  <c r="I191"/>
  <c r="I160" s="1"/>
  <c r="I149"/>
  <c r="L162"/>
  <c r="I162"/>
  <c r="F162"/>
  <c r="C162"/>
  <c r="M162"/>
  <c r="G162"/>
  <c r="D162"/>
  <c r="A162"/>
  <c r="J163"/>
  <c r="K162"/>
  <c r="H162"/>
  <c r="E162"/>
  <c r="B162"/>
  <c r="D89" a="1"/>
  <c r="D89" s="1"/>
  <c r="D101" s="1"/>
  <c r="D91" a="1"/>
  <c r="D91" s="1"/>
  <c r="D103" s="1"/>
  <c r="D88" a="1"/>
  <c r="D88" s="1"/>
  <c r="D100" s="1"/>
  <c r="D93" a="1"/>
  <c r="D93" s="1"/>
  <c r="D90" a="1"/>
  <c r="D90" s="1"/>
  <c r="D102" s="1"/>
  <c r="D87" a="1"/>
  <c r="D87" s="1"/>
  <c r="D99" s="1"/>
  <c r="D86" a="1"/>
  <c r="D86" s="1"/>
  <c r="D98" s="1"/>
  <c r="B64"/>
  <c r="B36"/>
  <c r="E77"/>
  <c r="F77" s="1"/>
  <c r="Q77" s="1"/>
  <c r="E80"/>
  <c r="P80" s="1"/>
  <c r="C42" i="78"/>
  <c r="D125" a="1"/>
  <c r="D125" s="1"/>
  <c r="D122" a="1"/>
  <c r="D122" s="1"/>
  <c r="D127" a="1"/>
  <c r="D127" s="1"/>
  <c r="D124" a="1"/>
  <c r="D124" s="1"/>
  <c r="D129" a="1"/>
  <c r="D129" s="1"/>
  <c r="D126" a="1"/>
  <c r="D126" s="1"/>
  <c r="D123" a="1"/>
  <c r="D123" s="1"/>
  <c r="G191"/>
  <c r="G160" s="1"/>
  <c r="G149"/>
  <c r="B64"/>
  <c r="B36"/>
  <c r="D78"/>
  <c r="E78" s="1"/>
  <c r="P78" s="1"/>
  <c r="D81"/>
  <c r="O81" s="1"/>
  <c r="E114"/>
  <c r="F114" s="1"/>
  <c r="G114" s="1"/>
  <c r="H114" s="1"/>
  <c r="I114" s="1"/>
  <c r="E117"/>
  <c r="F117" s="1"/>
  <c r="G117" s="1"/>
  <c r="H117" s="1"/>
  <c r="I117" s="1"/>
  <c r="H191"/>
  <c r="H160" s="1"/>
  <c r="C128" a="1"/>
  <c r="C128" s="1"/>
  <c r="C130" s="1"/>
  <c r="F191"/>
  <c r="F160" s="1"/>
  <c r="F149"/>
  <c r="L162"/>
  <c r="I162"/>
  <c r="F162"/>
  <c r="C162"/>
  <c r="M162"/>
  <c r="G162"/>
  <c r="D162"/>
  <c r="A162"/>
  <c r="J163"/>
  <c r="K162"/>
  <c r="H162"/>
  <c r="E162"/>
  <c r="B162"/>
  <c r="E155"/>
  <c r="E19"/>
  <c r="D77"/>
  <c r="O77" s="1"/>
  <c r="D80"/>
  <c r="O80" s="1"/>
  <c r="E113"/>
  <c r="F113" s="1"/>
  <c r="E116"/>
  <c r="F116" s="1"/>
  <c r="G116" s="1"/>
  <c r="H116" s="1"/>
  <c r="I116" s="1"/>
  <c r="C92" a="1"/>
  <c r="C92" s="1"/>
  <c r="C94" s="1"/>
  <c r="I191"/>
  <c r="I160" s="1"/>
  <c r="I149"/>
  <c r="H155"/>
  <c r="H19"/>
  <c r="D79"/>
  <c r="O79" s="1"/>
  <c r="D82"/>
  <c r="O82" s="1"/>
  <c r="E115"/>
  <c r="F115" s="1"/>
  <c r="G115" s="1"/>
  <c r="H115" s="1"/>
  <c r="I115" s="1"/>
  <c r="E118"/>
  <c r="F118" s="1"/>
  <c r="G118" s="1"/>
  <c r="H118" s="1"/>
  <c r="I118" s="1"/>
  <c r="E191"/>
  <c r="E160" s="1"/>
  <c r="G191" i="77"/>
  <c r="G160" s="1"/>
  <c r="G149"/>
  <c r="H191"/>
  <c r="H160" s="1"/>
  <c r="H149"/>
  <c r="C127" a="1"/>
  <c r="C127" s="1"/>
  <c r="C124" a="1"/>
  <c r="C124" s="1"/>
  <c r="C129" a="1"/>
  <c r="C129" s="1"/>
  <c r="C123" a="1"/>
  <c r="C123" s="1"/>
  <c r="C122" a="1"/>
  <c r="C122" s="1"/>
  <c r="C126" a="1"/>
  <c r="C126" s="1"/>
  <c r="C125" a="1"/>
  <c r="C125" s="1"/>
  <c r="C36"/>
  <c r="E191"/>
  <c r="E160" s="1"/>
  <c r="E149"/>
  <c r="E118"/>
  <c r="F118" s="1"/>
  <c r="G118" s="1"/>
  <c r="H118" s="1"/>
  <c r="I118" s="1"/>
  <c r="D82"/>
  <c r="O82" s="1"/>
  <c r="D79"/>
  <c r="C93" a="1"/>
  <c r="C93" s="1"/>
  <c r="C90" a="1"/>
  <c r="C90" s="1"/>
  <c r="C102" s="1"/>
  <c r="C87" a="1"/>
  <c r="C87" s="1"/>
  <c r="C99" s="1"/>
  <c r="C89" a="1"/>
  <c r="C89" s="1"/>
  <c r="C88" a="1"/>
  <c r="C88" s="1"/>
  <c r="C100" s="1"/>
  <c r="C91" a="1"/>
  <c r="C91" s="1"/>
  <c r="C103" s="1"/>
  <c r="B205"/>
  <c r="F191"/>
  <c r="F160" s="1"/>
  <c r="F149"/>
  <c r="I191"/>
  <c r="I160" s="1"/>
  <c r="I149"/>
  <c r="M161"/>
  <c r="G161"/>
  <c r="D161"/>
  <c r="A161"/>
  <c r="K161"/>
  <c r="F161"/>
  <c r="B161"/>
  <c r="L161"/>
  <c r="H161"/>
  <c r="C161"/>
  <c r="J162"/>
  <c r="I161"/>
  <c r="E161"/>
  <c r="D77"/>
  <c r="O77" s="1"/>
  <c r="B36" i="70"/>
  <c r="B206" s="1"/>
  <c r="D113" i="77"/>
  <c r="D81"/>
  <c r="O81" s="1"/>
  <c r="D78"/>
  <c r="O78" s="1"/>
  <c r="H191" i="76"/>
  <c r="H160" s="1"/>
  <c r="H149"/>
  <c r="C127" a="1"/>
  <c r="C127" s="1"/>
  <c r="C124" a="1"/>
  <c r="C124" s="1"/>
  <c r="C129" a="1"/>
  <c r="C129" s="1"/>
  <c r="C126" a="1"/>
  <c r="C126" s="1"/>
  <c r="C123" a="1"/>
  <c r="C123" s="1"/>
  <c r="C125" a="1"/>
  <c r="C125" s="1"/>
  <c r="C122" a="1"/>
  <c r="C122" s="1"/>
  <c r="G191"/>
  <c r="G160" s="1"/>
  <c r="G149"/>
  <c r="B205"/>
  <c r="L162"/>
  <c r="I162"/>
  <c r="F162"/>
  <c r="C162"/>
  <c r="M162"/>
  <c r="G162"/>
  <c r="D162"/>
  <c r="A162"/>
  <c r="J163"/>
  <c r="K162"/>
  <c r="H162"/>
  <c r="E162"/>
  <c r="B162"/>
  <c r="C36"/>
  <c r="C93" a="1"/>
  <c r="C93" s="1"/>
  <c r="C90" a="1"/>
  <c r="C90" s="1"/>
  <c r="C87" a="1"/>
  <c r="C87" s="1"/>
  <c r="C99" s="1"/>
  <c r="C89" a="1"/>
  <c r="C89" s="1"/>
  <c r="C91" a="1"/>
  <c r="C91" s="1"/>
  <c r="C88" a="1"/>
  <c r="C88" s="1"/>
  <c r="C100" s="1"/>
  <c r="B206"/>
  <c r="B207"/>
  <c r="D113"/>
  <c r="F155"/>
  <c r="I155"/>
  <c r="F31"/>
  <c r="E191"/>
  <c r="E160" s="1"/>
  <c r="E149"/>
  <c r="F191"/>
  <c r="F160" s="1"/>
  <c r="I191"/>
  <c r="I160" s="1"/>
  <c r="I25"/>
  <c r="I191" i="75"/>
  <c r="I160" s="1"/>
  <c r="I149"/>
  <c r="C93" a="1"/>
  <c r="C93" s="1"/>
  <c r="C90" a="1"/>
  <c r="C90" s="1"/>
  <c r="C102" s="1"/>
  <c r="C87" a="1"/>
  <c r="C87" s="1"/>
  <c r="C89" a="1"/>
  <c r="C89" s="1"/>
  <c r="C91" a="1"/>
  <c r="C91" s="1"/>
  <c r="C88" a="1"/>
  <c r="C88" s="1"/>
  <c r="E191"/>
  <c r="E160" s="1"/>
  <c r="E149"/>
  <c r="L162"/>
  <c r="I162"/>
  <c r="F162"/>
  <c r="C162"/>
  <c r="M162"/>
  <c r="G162"/>
  <c r="D162"/>
  <c r="A162"/>
  <c r="J163"/>
  <c r="K162"/>
  <c r="H162"/>
  <c r="E162"/>
  <c r="B162"/>
  <c r="B36"/>
  <c r="B64"/>
  <c r="D80"/>
  <c r="O80" s="1"/>
  <c r="D77"/>
  <c r="H191"/>
  <c r="H160" s="1"/>
  <c r="H149"/>
  <c r="C127" a="1"/>
  <c r="C127" s="1"/>
  <c r="C124" a="1"/>
  <c r="C124" s="1"/>
  <c r="C129" a="1"/>
  <c r="C129" s="1"/>
  <c r="C126" a="1"/>
  <c r="C126" s="1"/>
  <c r="C123" a="1"/>
  <c r="C123" s="1"/>
  <c r="C125" a="1"/>
  <c r="C125" s="1"/>
  <c r="C122" a="1"/>
  <c r="C122" s="1"/>
  <c r="F191"/>
  <c r="F160" s="1"/>
  <c r="F149"/>
  <c r="G191"/>
  <c r="G160" s="1"/>
  <c r="G149"/>
  <c r="C36"/>
  <c r="D113"/>
  <c r="D82"/>
  <c r="O82" s="1"/>
  <c r="D79"/>
  <c r="O79" s="1"/>
  <c r="E191" i="74"/>
  <c r="E160" s="1"/>
  <c r="E149"/>
  <c r="M161"/>
  <c r="G161"/>
  <c r="D161"/>
  <c r="A161"/>
  <c r="L161"/>
  <c r="I161"/>
  <c r="F161"/>
  <c r="C161"/>
  <c r="K161"/>
  <c r="B161"/>
  <c r="J162"/>
  <c r="E161"/>
  <c r="H161"/>
  <c r="F155"/>
  <c r="F19"/>
  <c r="B205"/>
  <c r="D78"/>
  <c r="O78" s="1"/>
  <c r="D82"/>
  <c r="O82" s="1"/>
  <c r="D114"/>
  <c r="E114" s="1"/>
  <c r="F114" s="1"/>
  <c r="G114" s="1"/>
  <c r="H114" s="1"/>
  <c r="I114" s="1"/>
  <c r="D118"/>
  <c r="E118" s="1"/>
  <c r="F118" s="1"/>
  <c r="G118" s="1"/>
  <c r="H118" s="1"/>
  <c r="I118" s="1"/>
  <c r="I191"/>
  <c r="I160" s="1"/>
  <c r="H191"/>
  <c r="H160" s="1"/>
  <c r="H149"/>
  <c r="I155"/>
  <c r="I19"/>
  <c r="D80"/>
  <c r="O80" s="1"/>
  <c r="D79"/>
  <c r="D116"/>
  <c r="E116" s="1"/>
  <c r="F116" s="1"/>
  <c r="G116" s="1"/>
  <c r="H116" s="1"/>
  <c r="I116" s="1"/>
  <c r="D115"/>
  <c r="E115" s="1"/>
  <c r="F115" s="1"/>
  <c r="G115" s="1"/>
  <c r="H115" s="1"/>
  <c r="I115" s="1"/>
  <c r="C127" a="1"/>
  <c r="C127" s="1"/>
  <c r="C124" a="1"/>
  <c r="C124" s="1"/>
  <c r="C125" a="1"/>
  <c r="C125" s="1"/>
  <c r="C122" a="1"/>
  <c r="C122" s="1"/>
  <c r="C126" a="1"/>
  <c r="C126" s="1"/>
  <c r="C129" a="1"/>
  <c r="C129" s="1"/>
  <c r="C123" a="1"/>
  <c r="C123" s="1"/>
  <c r="G191"/>
  <c r="G160" s="1"/>
  <c r="G149"/>
  <c r="B206"/>
  <c r="B207"/>
  <c r="D77"/>
  <c r="D81"/>
  <c r="O81" s="1"/>
  <c r="D113"/>
  <c r="E113" s="1"/>
  <c r="D117"/>
  <c r="E117" s="1"/>
  <c r="F117" s="1"/>
  <c r="G117" s="1"/>
  <c r="H117" s="1"/>
  <c r="I117" s="1"/>
  <c r="F191"/>
  <c r="F160" s="1"/>
  <c r="E191" i="73"/>
  <c r="E160" s="1"/>
  <c r="E149"/>
  <c r="G191"/>
  <c r="G160" s="1"/>
  <c r="G149"/>
  <c r="C93" a="1"/>
  <c r="C93" s="1"/>
  <c r="C90" a="1"/>
  <c r="C90" s="1"/>
  <c r="C102" s="1"/>
  <c r="C87" a="1"/>
  <c r="C87" s="1"/>
  <c r="C99" s="1"/>
  <c r="C89" a="1"/>
  <c r="C89" s="1"/>
  <c r="C91" a="1"/>
  <c r="C91" s="1"/>
  <c r="C88" a="1"/>
  <c r="C88" s="1"/>
  <c r="C100" s="1"/>
  <c r="C36"/>
  <c r="M161"/>
  <c r="G161"/>
  <c r="D161"/>
  <c r="A161"/>
  <c r="J162"/>
  <c r="K161"/>
  <c r="H161"/>
  <c r="E161"/>
  <c r="B161"/>
  <c r="L161"/>
  <c r="I161"/>
  <c r="F161"/>
  <c r="C161"/>
  <c r="F191"/>
  <c r="F160" s="1"/>
  <c r="I155"/>
  <c r="D82"/>
  <c r="O82" s="1"/>
  <c r="D79"/>
  <c r="O79" s="1"/>
  <c r="I25"/>
  <c r="F25"/>
  <c r="H191"/>
  <c r="H160" s="1"/>
  <c r="H149"/>
  <c r="B36"/>
  <c r="B64"/>
  <c r="I191"/>
  <c r="I160" s="1"/>
  <c r="D81"/>
  <c r="O81" s="1"/>
  <c r="C127" a="1"/>
  <c r="C127" s="1"/>
  <c r="C124" a="1"/>
  <c r="C124" s="1"/>
  <c r="C129" a="1"/>
  <c r="C129" s="1"/>
  <c r="C126" a="1"/>
  <c r="C126" s="1"/>
  <c r="C123" a="1"/>
  <c r="C123" s="1"/>
  <c r="C125" a="1"/>
  <c r="C125" s="1"/>
  <c r="C122" a="1"/>
  <c r="C122" s="1"/>
  <c r="F155"/>
  <c r="D77"/>
  <c r="O77" s="1"/>
  <c r="E191" i="72"/>
  <c r="E160" s="1"/>
  <c r="E149"/>
  <c r="I191"/>
  <c r="I160" s="1"/>
  <c r="I149"/>
  <c r="L162"/>
  <c r="I162"/>
  <c r="F162"/>
  <c r="C162"/>
  <c r="M162"/>
  <c r="G162"/>
  <c r="D162"/>
  <c r="A162"/>
  <c r="J163"/>
  <c r="K162"/>
  <c r="H162"/>
  <c r="E162"/>
  <c r="B162"/>
  <c r="B205"/>
  <c r="H191"/>
  <c r="H160" s="1"/>
  <c r="H149"/>
  <c r="C127" a="1"/>
  <c r="C127" s="1"/>
  <c r="C124" a="1"/>
  <c r="C124" s="1"/>
  <c r="C129" a="1"/>
  <c r="C129" s="1"/>
  <c r="C126" a="1"/>
  <c r="C126" s="1"/>
  <c r="C123" a="1"/>
  <c r="C123" s="1"/>
  <c r="C125" a="1"/>
  <c r="C125" s="1"/>
  <c r="C122" a="1"/>
  <c r="C122" s="1"/>
  <c r="G191"/>
  <c r="G160" s="1"/>
  <c r="G149"/>
  <c r="C36"/>
  <c r="C93" a="1"/>
  <c r="C93" s="1"/>
  <c r="C90" a="1"/>
  <c r="C90" s="1"/>
  <c r="C102" s="1"/>
  <c r="C87" a="1"/>
  <c r="C87" s="1"/>
  <c r="C99" s="1"/>
  <c r="C89" a="1"/>
  <c r="C89" s="1"/>
  <c r="C91" a="1"/>
  <c r="C91" s="1"/>
  <c r="C103" s="1"/>
  <c r="C88" a="1"/>
  <c r="C88" s="1"/>
  <c r="C100" s="1"/>
  <c r="B206"/>
  <c r="B207"/>
  <c r="E79"/>
  <c r="F79" s="1"/>
  <c r="D82"/>
  <c r="E118"/>
  <c r="F118" s="1"/>
  <c r="G118" s="1"/>
  <c r="H118" s="1"/>
  <c r="I118" s="1"/>
  <c r="F191"/>
  <c r="F160" s="1"/>
  <c r="F149"/>
  <c r="D113"/>
  <c r="E113" s="1"/>
  <c r="D77"/>
  <c r="O77" s="1"/>
  <c r="F191" i="71"/>
  <c r="F160" s="1"/>
  <c r="F149"/>
  <c r="G191"/>
  <c r="G160" s="1"/>
  <c r="G149"/>
  <c r="D77"/>
  <c r="E77" s="1"/>
  <c r="F77" s="1"/>
  <c r="G77" s="1"/>
  <c r="R77" s="1"/>
  <c r="D80"/>
  <c r="O80" s="1"/>
  <c r="E116"/>
  <c r="F116" s="1"/>
  <c r="G116" s="1"/>
  <c r="H116" s="1"/>
  <c r="I116" s="1"/>
  <c r="E191"/>
  <c r="E160" s="1"/>
  <c r="E149"/>
  <c r="I191"/>
  <c r="I160" s="1"/>
  <c r="I149"/>
  <c r="C93" a="1"/>
  <c r="C93" s="1"/>
  <c r="C90" a="1"/>
  <c r="C90" s="1"/>
  <c r="C102" s="1"/>
  <c r="C87" a="1"/>
  <c r="C87" s="1"/>
  <c r="C89" a="1"/>
  <c r="C89" s="1"/>
  <c r="C101" s="1"/>
  <c r="C91" a="1"/>
  <c r="C91" s="1"/>
  <c r="C103" s="1"/>
  <c r="C88" a="1"/>
  <c r="C88" s="1"/>
  <c r="D79"/>
  <c r="O79" s="1"/>
  <c r="D82"/>
  <c r="O82" s="1"/>
  <c r="H191"/>
  <c r="H160" s="1"/>
  <c r="H149"/>
  <c r="C127" a="1"/>
  <c r="C127" s="1"/>
  <c r="C124" a="1"/>
  <c r="C124" s="1"/>
  <c r="C129" a="1"/>
  <c r="C129" s="1"/>
  <c r="C126" a="1"/>
  <c r="C126" s="1"/>
  <c r="C123" a="1"/>
  <c r="C123" s="1"/>
  <c r="C125" a="1"/>
  <c r="C125" s="1"/>
  <c r="C122" a="1"/>
  <c r="C122" s="1"/>
  <c r="L162"/>
  <c r="I162"/>
  <c r="F162"/>
  <c r="C162"/>
  <c r="M162"/>
  <c r="G162"/>
  <c r="D162"/>
  <c r="A162"/>
  <c r="J163"/>
  <c r="K162"/>
  <c r="H162"/>
  <c r="E162"/>
  <c r="B162"/>
  <c r="C36"/>
  <c r="D78"/>
  <c r="O78" s="1"/>
  <c r="D81"/>
  <c r="B206"/>
  <c r="B207"/>
  <c r="I191" i="70"/>
  <c r="I160" s="1"/>
  <c r="I149"/>
  <c r="C93" a="1"/>
  <c r="C93" s="1"/>
  <c r="C90" a="1"/>
  <c r="C90" s="1"/>
  <c r="C102" s="1"/>
  <c r="C87" a="1"/>
  <c r="C87" s="1"/>
  <c r="C89" a="1"/>
  <c r="C89" s="1"/>
  <c r="C101" s="1"/>
  <c r="C91" a="1"/>
  <c r="C91" s="1"/>
  <c r="C103" s="1"/>
  <c r="C88" a="1"/>
  <c r="C88" s="1"/>
  <c r="C100" s="1"/>
  <c r="L162"/>
  <c r="I162"/>
  <c r="F162"/>
  <c r="C162"/>
  <c r="M162"/>
  <c r="G162"/>
  <c r="D162"/>
  <c r="A162"/>
  <c r="J163"/>
  <c r="K162"/>
  <c r="H162"/>
  <c r="E162"/>
  <c r="B162"/>
  <c r="D79"/>
  <c r="O79" s="1"/>
  <c r="D80"/>
  <c r="O80" s="1"/>
  <c r="E191"/>
  <c r="E160" s="1"/>
  <c r="E149"/>
  <c r="G191"/>
  <c r="G160" s="1"/>
  <c r="G149"/>
  <c r="D77"/>
  <c r="D78"/>
  <c r="O78" s="1"/>
  <c r="H191"/>
  <c r="H160" s="1"/>
  <c r="H149"/>
  <c r="C127" a="1"/>
  <c r="C127" s="1"/>
  <c r="C124" a="1"/>
  <c r="C124" s="1"/>
  <c r="C129" a="1"/>
  <c r="C129" s="1"/>
  <c r="C126" a="1"/>
  <c r="C126" s="1"/>
  <c r="C123" a="1"/>
  <c r="C123" s="1"/>
  <c r="C125" a="1"/>
  <c r="C125" s="1"/>
  <c r="C122" a="1"/>
  <c r="C122" s="1"/>
  <c r="F191"/>
  <c r="F160" s="1"/>
  <c r="F149"/>
  <c r="D81"/>
  <c r="O81" s="1"/>
  <c r="D82"/>
  <c r="O82" s="1"/>
  <c r="E115"/>
  <c r="F115" s="1"/>
  <c r="G115" s="1"/>
  <c r="H115" s="1"/>
  <c r="I115" s="1"/>
  <c r="D113"/>
  <c r="E113" s="1"/>
  <c r="E191" i="69"/>
  <c r="E160" s="1"/>
  <c r="E149"/>
  <c r="C93" a="1"/>
  <c r="C93" s="1"/>
  <c r="C90" a="1"/>
  <c r="C90" s="1"/>
  <c r="C87" a="1"/>
  <c r="C87" s="1"/>
  <c r="C89" a="1"/>
  <c r="C89" s="1"/>
  <c r="C101" s="1"/>
  <c r="C91" a="1"/>
  <c r="C91" s="1"/>
  <c r="C103" s="1"/>
  <c r="C88" a="1"/>
  <c r="C88" s="1"/>
  <c r="B206"/>
  <c r="B207"/>
  <c r="I191"/>
  <c r="I160" s="1"/>
  <c r="F191"/>
  <c r="F160" s="1"/>
  <c r="F31"/>
  <c r="H191"/>
  <c r="H160" s="1"/>
  <c r="H149"/>
  <c r="C127" a="1"/>
  <c r="C127" s="1"/>
  <c r="C124" a="1"/>
  <c r="C124" s="1"/>
  <c r="C129" a="1"/>
  <c r="C129" s="1"/>
  <c r="C126" a="1"/>
  <c r="C126" s="1"/>
  <c r="C123" a="1"/>
  <c r="C123" s="1"/>
  <c r="C125" a="1"/>
  <c r="C125" s="1"/>
  <c r="C122" a="1"/>
  <c r="C122" s="1"/>
  <c r="G191"/>
  <c r="G160" s="1"/>
  <c r="G149"/>
  <c r="C36"/>
  <c r="D113"/>
  <c r="E113" s="1"/>
  <c r="I25"/>
  <c r="B205"/>
  <c r="L162"/>
  <c r="I162"/>
  <c r="F162"/>
  <c r="C162"/>
  <c r="M162"/>
  <c r="G162"/>
  <c r="D162"/>
  <c r="A162"/>
  <c r="J163"/>
  <c r="K162"/>
  <c r="H162"/>
  <c r="E162"/>
  <c r="B162"/>
  <c r="E114"/>
  <c r="F114" s="1"/>
  <c r="G114" s="1"/>
  <c r="H114" s="1"/>
  <c r="I114" s="1"/>
  <c r="E117"/>
  <c r="F117" s="1"/>
  <c r="G117" s="1"/>
  <c r="H117" s="1"/>
  <c r="I117" s="1"/>
  <c r="F155"/>
  <c r="I155"/>
  <c r="C127" i="68" a="1"/>
  <c r="C127" s="1"/>
  <c r="C124" a="1"/>
  <c r="C124" s="1"/>
  <c r="C129" a="1"/>
  <c r="C129" s="1"/>
  <c r="C126" a="1"/>
  <c r="C126" s="1"/>
  <c r="C123" a="1"/>
  <c r="C123" s="1"/>
  <c r="C125" a="1"/>
  <c r="C125" s="1"/>
  <c r="C122" a="1"/>
  <c r="C122" s="1"/>
  <c r="B205"/>
  <c r="M161"/>
  <c r="G161"/>
  <c r="D161"/>
  <c r="A161"/>
  <c r="J162"/>
  <c r="K161"/>
  <c r="H161"/>
  <c r="E161"/>
  <c r="B161"/>
  <c r="L161"/>
  <c r="I161"/>
  <c r="F161"/>
  <c r="C161"/>
  <c r="F25"/>
  <c r="I25"/>
  <c r="E191"/>
  <c r="E160" s="1"/>
  <c r="E149"/>
  <c r="G191"/>
  <c r="G160" s="1"/>
  <c r="G149"/>
  <c r="C36"/>
  <c r="F155"/>
  <c r="I155"/>
  <c r="H191"/>
  <c r="H160" s="1"/>
  <c r="H149"/>
  <c r="C93" a="1"/>
  <c r="C93" s="1"/>
  <c r="C90" a="1"/>
  <c r="C90" s="1"/>
  <c r="C87" a="1"/>
  <c r="C87" s="1"/>
  <c r="C99" s="1"/>
  <c r="C89" a="1"/>
  <c r="C89" s="1"/>
  <c r="C91" a="1"/>
  <c r="C91" s="1"/>
  <c r="C88" a="1"/>
  <c r="C88" s="1"/>
  <c r="B206"/>
  <c r="B207"/>
  <c r="D113"/>
  <c r="F191"/>
  <c r="F160" s="1"/>
  <c r="I191"/>
  <c r="I160" s="1"/>
  <c r="H191" i="67"/>
  <c r="H160" s="1"/>
  <c r="H149"/>
  <c r="C127" a="1"/>
  <c r="C127" s="1"/>
  <c r="C124" a="1"/>
  <c r="C124" s="1"/>
  <c r="C129" a="1"/>
  <c r="C129" s="1"/>
  <c r="C126" a="1"/>
  <c r="C126" s="1"/>
  <c r="C123" a="1"/>
  <c r="C123" s="1"/>
  <c r="C125" a="1"/>
  <c r="C125" s="1"/>
  <c r="C122" a="1"/>
  <c r="C122" s="1"/>
  <c r="L162"/>
  <c r="I162"/>
  <c r="F162"/>
  <c r="C162"/>
  <c r="M162"/>
  <c r="G162"/>
  <c r="D162"/>
  <c r="A162"/>
  <c r="J163"/>
  <c r="K162"/>
  <c r="H162"/>
  <c r="E162"/>
  <c r="B162"/>
  <c r="C93" a="1"/>
  <c r="C93" s="1"/>
  <c r="C90" a="1"/>
  <c r="C90" s="1"/>
  <c r="C102" s="1"/>
  <c r="C87" a="1"/>
  <c r="C87" s="1"/>
  <c r="C99" s="1"/>
  <c r="C89" a="1"/>
  <c r="C89" s="1"/>
  <c r="C91" a="1"/>
  <c r="C91" s="1"/>
  <c r="C103" s="1"/>
  <c r="C88" a="1"/>
  <c r="C88" s="1"/>
  <c r="C100" s="1"/>
  <c r="E117"/>
  <c r="F117" s="1"/>
  <c r="G117" s="1"/>
  <c r="H117" s="1"/>
  <c r="I117" s="1"/>
  <c r="F191"/>
  <c r="F160" s="1"/>
  <c r="F149"/>
  <c r="G191"/>
  <c r="G160" s="1"/>
  <c r="G149"/>
  <c r="B64"/>
  <c r="B36"/>
  <c r="D113"/>
  <c r="E113" s="1"/>
  <c r="D81"/>
  <c r="O81" s="1"/>
  <c r="D78"/>
  <c r="O78" s="1"/>
  <c r="E191"/>
  <c r="E160" s="1"/>
  <c r="E149"/>
  <c r="I191"/>
  <c r="I160" s="1"/>
  <c r="I149"/>
  <c r="D77"/>
  <c r="O77" s="1"/>
  <c r="G13" i="114"/>
  <c r="I13"/>
  <c r="F360"/>
  <c r="I342"/>
  <c r="F333"/>
  <c r="J306"/>
  <c r="G297"/>
  <c r="H288"/>
  <c r="H279"/>
  <c r="H270"/>
  <c r="H261"/>
  <c r="H234"/>
  <c r="G360"/>
  <c r="G351"/>
  <c r="G342"/>
  <c r="G333"/>
  <c r="H315"/>
  <c r="F270"/>
  <c r="I261"/>
  <c r="I252"/>
  <c r="I243"/>
  <c r="I234"/>
  <c r="H360"/>
  <c r="J261"/>
  <c r="I175"/>
  <c r="J157"/>
  <c r="H166"/>
  <c r="H157"/>
  <c r="H220"/>
  <c r="I166"/>
  <c r="I157"/>
  <c r="J148"/>
  <c r="E139"/>
  <c r="G130"/>
  <c r="J121"/>
  <c r="I76"/>
  <c r="G40"/>
  <c r="J22"/>
  <c r="F76"/>
  <c r="I112"/>
  <c r="F94"/>
  <c r="H76"/>
  <c r="I40"/>
  <c r="I31"/>
  <c r="I22"/>
  <c r="J13"/>
  <c r="H13"/>
  <c r="A42"/>
  <c r="B33"/>
  <c r="C33" s="1"/>
  <c r="I360"/>
  <c r="F351"/>
  <c r="I333"/>
  <c r="J297"/>
  <c r="H252"/>
  <c r="J360"/>
  <c r="J351"/>
  <c r="J342"/>
  <c r="J333"/>
  <c r="H306"/>
  <c r="E261"/>
  <c r="G252"/>
  <c r="G243"/>
  <c r="G234"/>
  <c r="G166"/>
  <c r="G202"/>
  <c r="G175"/>
  <c r="I193"/>
  <c r="F121"/>
  <c r="H202"/>
  <c r="I184"/>
  <c r="E148"/>
  <c r="G139"/>
  <c r="J130"/>
  <c r="E121"/>
  <c r="G211"/>
  <c r="F211"/>
  <c r="G184"/>
  <c r="J40"/>
  <c r="G31"/>
  <c r="I94"/>
  <c r="H40"/>
  <c r="H31"/>
  <c r="H22"/>
  <c r="G94"/>
  <c r="G67"/>
  <c r="H103"/>
  <c r="G112"/>
  <c r="G85"/>
  <c r="F13"/>
  <c r="I351"/>
  <c r="F342"/>
  <c r="G306"/>
  <c r="H243"/>
  <c r="H324"/>
  <c r="H297"/>
  <c r="I270"/>
  <c r="F261"/>
  <c r="F252"/>
  <c r="F243"/>
  <c r="F234"/>
  <c r="H351"/>
  <c r="H342"/>
  <c r="H333"/>
  <c r="G261"/>
  <c r="J252"/>
  <c r="J243"/>
  <c r="J234"/>
  <c r="I202"/>
  <c r="J166"/>
  <c r="G157"/>
  <c r="H148"/>
  <c r="H139"/>
  <c r="H130"/>
  <c r="H121"/>
  <c r="I121"/>
  <c r="J220"/>
  <c r="I220"/>
  <c r="J193"/>
  <c r="F193"/>
  <c r="H175"/>
  <c r="F166"/>
  <c r="F157"/>
  <c r="G148"/>
  <c r="J139"/>
  <c r="E130"/>
  <c r="G121"/>
  <c r="H58"/>
  <c r="J31"/>
  <c r="G22"/>
  <c r="J103"/>
  <c r="J76"/>
  <c r="F103"/>
  <c r="I67"/>
  <c r="I85"/>
  <c r="F67"/>
  <c r="H49"/>
  <c r="F40"/>
  <c r="F31"/>
  <c r="F22"/>
  <c r="G104" i="113"/>
  <c r="H14"/>
  <c r="I14"/>
  <c r="H194"/>
  <c r="E221"/>
  <c r="G212"/>
  <c r="J203"/>
  <c r="J194"/>
  <c r="J185"/>
  <c r="F131"/>
  <c r="H131"/>
  <c r="I113"/>
  <c r="I32"/>
  <c r="I23"/>
  <c r="J167"/>
  <c r="I167"/>
  <c r="J140"/>
  <c r="J113"/>
  <c r="E23"/>
  <c r="I104"/>
  <c r="F104"/>
  <c r="H104"/>
  <c r="B34"/>
  <c r="C34" s="1"/>
  <c r="A43"/>
  <c r="H221"/>
  <c r="H212"/>
  <c r="H185"/>
  <c r="F221"/>
  <c r="F212"/>
  <c r="F203"/>
  <c r="F194"/>
  <c r="F185"/>
  <c r="G221"/>
  <c r="J212"/>
  <c r="I158"/>
  <c r="I131"/>
  <c r="F158"/>
  <c r="H140"/>
  <c r="J104"/>
  <c r="F14"/>
  <c r="H203"/>
  <c r="I221"/>
  <c r="I212"/>
  <c r="I203"/>
  <c r="I194"/>
  <c r="I185"/>
  <c r="J221"/>
  <c r="E212"/>
  <c r="G203"/>
  <c r="G194"/>
  <c r="G185"/>
  <c r="J158"/>
  <c r="J131"/>
  <c r="I122"/>
  <c r="H95"/>
  <c r="H86"/>
  <c r="H77"/>
  <c r="H68"/>
  <c r="H59"/>
  <c r="H50"/>
  <c r="H41"/>
  <c r="H32"/>
  <c r="H23"/>
  <c r="J176"/>
  <c r="I176"/>
  <c r="J149"/>
  <c r="J122"/>
  <c r="H158"/>
  <c r="I140"/>
  <c r="F32"/>
  <c r="F23"/>
  <c r="A264" i="7"/>
  <c r="B255"/>
  <c r="A43"/>
  <c r="B34"/>
  <c r="H600"/>
  <c r="G600"/>
  <c r="C16"/>
  <c r="K600"/>
  <c r="J600"/>
  <c r="C237"/>
  <c r="E600"/>
  <c r="E82" i="84" l="1"/>
  <c r="F82" s="1"/>
  <c r="G607" i="105"/>
  <c r="K607"/>
  <c r="O81" i="60"/>
  <c r="E77" i="90"/>
  <c r="F77" s="1"/>
  <c r="G77" s="1"/>
  <c r="R77" s="1"/>
  <c r="E80" i="73"/>
  <c r="P80" s="1"/>
  <c r="K226" i="105"/>
  <c r="F226"/>
  <c r="F79" i="84"/>
  <c r="Q79" s="1"/>
  <c r="P79"/>
  <c r="J607" i="105"/>
  <c r="E607" i="130"/>
  <c r="O78" i="84"/>
  <c r="C135" i="78"/>
  <c r="C54" s="1"/>
  <c r="C65" s="1"/>
  <c r="M333" i="105" s="1"/>
  <c r="M333" i="130" s="1"/>
  <c r="N114" i="78"/>
  <c r="C137"/>
  <c r="C56" s="1"/>
  <c r="C67" s="1"/>
  <c r="M335" i="105" s="1"/>
  <c r="M335" i="130" s="1"/>
  <c r="N116" i="78"/>
  <c r="C138"/>
  <c r="C57" s="1"/>
  <c r="C68" s="1"/>
  <c r="M336" i="105" s="1"/>
  <c r="M336" i="130" s="1"/>
  <c r="N117" i="78"/>
  <c r="C136"/>
  <c r="C55" s="1"/>
  <c r="C66" s="1"/>
  <c r="M334" i="105" s="1"/>
  <c r="M334" i="130" s="1"/>
  <c r="N115" i="78"/>
  <c r="C139"/>
  <c r="C58" s="1"/>
  <c r="C69" s="1"/>
  <c r="M337" i="105" s="1"/>
  <c r="M337" i="130" s="1"/>
  <c r="N118" i="78"/>
  <c r="K607" i="130"/>
  <c r="P81" i="84"/>
  <c r="P80"/>
  <c r="F78"/>
  <c r="G78" s="1"/>
  <c r="R78" s="1"/>
  <c r="P78"/>
  <c r="C135" i="99"/>
  <c r="C54" s="1"/>
  <c r="C65" s="1"/>
  <c r="M526" i="105" s="1"/>
  <c r="M526" i="130" s="1"/>
  <c r="P82" i="84"/>
  <c r="O77" i="32"/>
  <c r="G82" i="84"/>
  <c r="Q82"/>
  <c r="G79"/>
  <c r="Q81"/>
  <c r="G81"/>
  <c r="G80"/>
  <c r="Q80"/>
  <c r="C134" i="46"/>
  <c r="N113"/>
  <c r="C134" i="84"/>
  <c r="N113"/>
  <c r="C134" i="78"/>
  <c r="N113"/>
  <c r="C134" i="74"/>
  <c r="N113"/>
  <c r="C134" i="80"/>
  <c r="N113"/>
  <c r="C134" i="40"/>
  <c r="N113"/>
  <c r="C139" i="81"/>
  <c r="C58" s="1"/>
  <c r="C69" s="1"/>
  <c r="M346" i="105" s="1"/>
  <c r="M346" i="130" s="1"/>
  <c r="C139" i="56"/>
  <c r="C58" s="1"/>
  <c r="C69" s="1"/>
  <c r="M186" i="105" s="1"/>
  <c r="M186" i="130" s="1"/>
  <c r="C139" i="50"/>
  <c r="C58" s="1"/>
  <c r="C69" s="1"/>
  <c r="M132" i="105" s="1"/>
  <c r="M132" i="130" s="1"/>
  <c r="C139" i="44"/>
  <c r="C58" s="1"/>
  <c r="C69" s="1"/>
  <c r="M76" i="105" s="1"/>
  <c r="M76" i="130" s="1"/>
  <c r="C139" i="49"/>
  <c r="C58" s="1"/>
  <c r="C69" s="1"/>
  <c r="M123" i="105" s="1"/>
  <c r="M123" i="130" s="1"/>
  <c r="C139" i="46"/>
  <c r="C58" s="1"/>
  <c r="C69" s="1"/>
  <c r="M94" i="105" s="1"/>
  <c r="M94" i="130" s="1"/>
  <c r="C139" i="94"/>
  <c r="C58" s="1"/>
  <c r="C69" s="1"/>
  <c r="M483" i="105" s="1"/>
  <c r="M483" i="130" s="1"/>
  <c r="C139" i="101"/>
  <c r="C58" s="1"/>
  <c r="C69" s="1"/>
  <c r="M548" i="105" s="1"/>
  <c r="M548" i="130" s="1"/>
  <c r="C139" i="99"/>
  <c r="C58" s="1"/>
  <c r="C69" s="1"/>
  <c r="M530" i="105" s="1"/>
  <c r="M530" i="130" s="1"/>
  <c r="C139" i="92"/>
  <c r="C58" s="1"/>
  <c r="C69" s="1"/>
  <c r="M465" i="105" s="1"/>
  <c r="M465" i="130" s="1"/>
  <c r="C139" i="97"/>
  <c r="C58" s="1"/>
  <c r="C69" s="1"/>
  <c r="M510" i="105" s="1"/>
  <c r="M510" i="130" s="1"/>
  <c r="C139" i="93"/>
  <c r="C58" s="1"/>
  <c r="C69" s="1"/>
  <c r="M474" i="105" s="1"/>
  <c r="M474" i="130" s="1"/>
  <c r="C139" i="74"/>
  <c r="C58" s="1"/>
  <c r="C69" s="1"/>
  <c r="M301" i="105" s="1"/>
  <c r="M301" i="130" s="1"/>
  <c r="C139" i="53"/>
  <c r="C58" s="1"/>
  <c r="C69" s="1"/>
  <c r="M159" i="105" s="1"/>
  <c r="M159" i="130" s="1"/>
  <c r="C139" i="80"/>
  <c r="C58" s="1"/>
  <c r="C69" s="1"/>
  <c r="M429" i="105" s="1"/>
  <c r="M429" i="130" s="1"/>
  <c r="C139" i="40"/>
  <c r="C58" s="1"/>
  <c r="C69" s="1"/>
  <c r="M40" i="105" s="1"/>
  <c r="M40" i="130" s="1"/>
  <c r="C139" i="96"/>
  <c r="C58" s="1"/>
  <c r="C69" s="1"/>
  <c r="M501" i="105" s="1"/>
  <c r="M501" i="130" s="1"/>
  <c r="C138" i="53"/>
  <c r="C57" s="1"/>
  <c r="C68" s="1"/>
  <c r="M158" i="105" s="1"/>
  <c r="M158" i="130" s="1"/>
  <c r="C138" i="44"/>
  <c r="C57" s="1"/>
  <c r="C68" s="1"/>
  <c r="M75" i="105" s="1"/>
  <c r="M75" i="130" s="1"/>
  <c r="C138" i="40"/>
  <c r="C57" s="1"/>
  <c r="C68" s="1"/>
  <c r="M39" i="105" s="1"/>
  <c r="M39" i="130" s="1"/>
  <c r="C138" i="81"/>
  <c r="C57" s="1"/>
  <c r="C68" s="1"/>
  <c r="M345" i="105" s="1"/>
  <c r="M345" i="130" s="1"/>
  <c r="C138" i="101"/>
  <c r="C57" s="1"/>
  <c r="C68" s="1"/>
  <c r="M547" i="105" s="1"/>
  <c r="M547" i="130" s="1"/>
  <c r="C138" i="97"/>
  <c r="C57" s="1"/>
  <c r="C68" s="1"/>
  <c r="M509" i="105" s="1"/>
  <c r="M509" i="130" s="1"/>
  <c r="C138" i="74"/>
  <c r="C57" s="1"/>
  <c r="C68" s="1"/>
  <c r="M300" i="105" s="1"/>
  <c r="M300" i="130" s="1"/>
  <c r="C138" i="99"/>
  <c r="C57" s="1"/>
  <c r="C68" s="1"/>
  <c r="M529" i="105" s="1"/>
  <c r="M529" i="130" s="1"/>
  <c r="C138" i="80"/>
  <c r="C57" s="1"/>
  <c r="C68" s="1"/>
  <c r="M428" i="105" s="1"/>
  <c r="M428" i="130" s="1"/>
  <c r="C138" i="94"/>
  <c r="C57" s="1"/>
  <c r="C68" s="1"/>
  <c r="M482" i="105" s="1"/>
  <c r="M482" i="130" s="1"/>
  <c r="C138" i="96"/>
  <c r="C57" s="1"/>
  <c r="C68" s="1"/>
  <c r="M500" i="105" s="1"/>
  <c r="M500" i="130" s="1"/>
  <c r="C138" i="93"/>
  <c r="C57" s="1"/>
  <c r="C68" s="1"/>
  <c r="M473" i="105" s="1"/>
  <c r="M473" i="130" s="1"/>
  <c r="C138" i="49"/>
  <c r="C57" s="1"/>
  <c r="C68" s="1"/>
  <c r="M122" i="105" s="1"/>
  <c r="M122" i="130" s="1"/>
  <c r="C138" i="92"/>
  <c r="C57" s="1"/>
  <c r="C68" s="1"/>
  <c r="M464" i="105" s="1"/>
  <c r="M464" i="130" s="1"/>
  <c r="C138" i="50"/>
  <c r="C57" s="1"/>
  <c r="C68" s="1"/>
  <c r="M131" i="105" s="1"/>
  <c r="M131" i="130" s="1"/>
  <c r="C138" i="46"/>
  <c r="C57" s="1"/>
  <c r="C68" s="1"/>
  <c r="M93" i="105" s="1"/>
  <c r="M93" i="130" s="1"/>
  <c r="C138" i="56"/>
  <c r="C57" s="1"/>
  <c r="C68" s="1"/>
  <c r="M185" i="105" s="1"/>
  <c r="M185" i="130" s="1"/>
  <c r="C137" i="97"/>
  <c r="C56" s="1"/>
  <c r="C67" s="1"/>
  <c r="M508" i="105" s="1"/>
  <c r="M508" i="130" s="1"/>
  <c r="C137" i="40"/>
  <c r="C56" s="1"/>
  <c r="C67" s="1"/>
  <c r="M38" i="105" s="1"/>
  <c r="M38" i="130" s="1"/>
  <c r="C137" i="81"/>
  <c r="C56" s="1"/>
  <c r="C67" s="1"/>
  <c r="M344" i="105" s="1"/>
  <c r="M344" i="130" s="1"/>
  <c r="C137" i="49"/>
  <c r="C56" s="1"/>
  <c r="C67" s="1"/>
  <c r="M121" i="105" s="1"/>
  <c r="M121" i="130" s="1"/>
  <c r="C137" i="99"/>
  <c r="C56" s="1"/>
  <c r="C67" s="1"/>
  <c r="M528" i="105" s="1"/>
  <c r="M528" i="130" s="1"/>
  <c r="C137" i="92"/>
  <c r="C56" s="1"/>
  <c r="C67" s="1"/>
  <c r="M463" i="105" s="1"/>
  <c r="M463" i="130" s="1"/>
  <c r="C137" i="94"/>
  <c r="C56" s="1"/>
  <c r="C67" s="1"/>
  <c r="M481" i="105" s="1"/>
  <c r="M481" i="130" s="1"/>
  <c r="C137" i="46"/>
  <c r="C56" s="1"/>
  <c r="C67" s="1"/>
  <c r="M92" i="105" s="1"/>
  <c r="M92" i="130" s="1"/>
  <c r="C137" i="101"/>
  <c r="C56" s="1"/>
  <c r="C67" s="1"/>
  <c r="M546" i="105" s="1"/>
  <c r="M546" i="130" s="1"/>
  <c r="C137" i="56"/>
  <c r="C56" s="1"/>
  <c r="C67" s="1"/>
  <c r="M184" i="105" s="1"/>
  <c r="M184" i="130" s="1"/>
  <c r="C137" i="80"/>
  <c r="C56" s="1"/>
  <c r="C67" s="1"/>
  <c r="M427" i="105" s="1"/>
  <c r="M427" i="130" s="1"/>
  <c r="C137" i="53"/>
  <c r="C56" s="1"/>
  <c r="C67" s="1"/>
  <c r="M157" i="105" s="1"/>
  <c r="M157" i="130" s="1"/>
  <c r="C137" i="96"/>
  <c r="C56" s="1"/>
  <c r="C67" s="1"/>
  <c r="M499" i="105" s="1"/>
  <c r="M499" i="130" s="1"/>
  <c r="C137" i="93"/>
  <c r="C56" s="1"/>
  <c r="C67" s="1"/>
  <c r="M472" i="105" s="1"/>
  <c r="M472" i="130" s="1"/>
  <c r="C137" i="50"/>
  <c r="C56" s="1"/>
  <c r="C67" s="1"/>
  <c r="M130" i="105" s="1"/>
  <c r="M130" i="130" s="1"/>
  <c r="C137" i="74"/>
  <c r="C56" s="1"/>
  <c r="C67" s="1"/>
  <c r="M299" i="105" s="1"/>
  <c r="M299" i="130" s="1"/>
  <c r="C137" i="44"/>
  <c r="C56" s="1"/>
  <c r="C67" s="1"/>
  <c r="M74" i="105" s="1"/>
  <c r="M74" i="130" s="1"/>
  <c r="C136" i="96"/>
  <c r="C55" s="1"/>
  <c r="C66" s="1"/>
  <c r="M498" i="105" s="1"/>
  <c r="M498" i="130" s="1"/>
  <c r="C136" i="40"/>
  <c r="C55" s="1"/>
  <c r="C66" s="1"/>
  <c r="M37" i="105" s="1"/>
  <c r="M37" i="130" s="1"/>
  <c r="C136" i="74"/>
  <c r="C55" s="1"/>
  <c r="C66" s="1"/>
  <c r="M298" i="105" s="1"/>
  <c r="M298" i="130" s="1"/>
  <c r="C136" i="46"/>
  <c r="C55" s="1"/>
  <c r="C66" s="1"/>
  <c r="M91" i="105" s="1"/>
  <c r="M91" i="130" s="1"/>
  <c r="C136" i="80"/>
  <c r="C55" s="1"/>
  <c r="C66" s="1"/>
  <c r="M426" i="105" s="1"/>
  <c r="M426" i="130" s="1"/>
  <c r="C136" i="94"/>
  <c r="C55" s="1"/>
  <c r="C66" s="1"/>
  <c r="M480" i="105" s="1"/>
  <c r="M480" i="130" s="1"/>
  <c r="C136" i="56"/>
  <c r="C55" s="1"/>
  <c r="C66" s="1"/>
  <c r="M183" i="105" s="1"/>
  <c r="M183" i="130" s="1"/>
  <c r="C136" i="49"/>
  <c r="C55" s="1"/>
  <c r="C66" s="1"/>
  <c r="M120" i="105" s="1"/>
  <c r="M120" i="130" s="1"/>
  <c r="C136" i="93"/>
  <c r="C55" s="1"/>
  <c r="C66" s="1"/>
  <c r="M471" i="105" s="1"/>
  <c r="M471" i="130" s="1"/>
  <c r="C136" i="92"/>
  <c r="C55" s="1"/>
  <c r="C66" s="1"/>
  <c r="M462" i="105" s="1"/>
  <c r="M462" i="130" s="1"/>
  <c r="C136" i="44"/>
  <c r="C55" s="1"/>
  <c r="C66" s="1"/>
  <c r="M73" i="105" s="1"/>
  <c r="M73" i="130" s="1"/>
  <c r="C136" i="99"/>
  <c r="C55" s="1"/>
  <c r="C66" s="1"/>
  <c r="M527" i="105" s="1"/>
  <c r="M527" i="130" s="1"/>
  <c r="C136" i="50"/>
  <c r="C55" s="1"/>
  <c r="C66" s="1"/>
  <c r="M129" i="105" s="1"/>
  <c r="M129" i="130" s="1"/>
  <c r="C136" i="53"/>
  <c r="C55" s="1"/>
  <c r="C66" s="1"/>
  <c r="M156" i="105" s="1"/>
  <c r="M156" i="130" s="1"/>
  <c r="C136" i="101"/>
  <c r="C55" s="1"/>
  <c r="C66" s="1"/>
  <c r="M545" i="105" s="1"/>
  <c r="M545" i="130" s="1"/>
  <c r="C136" i="81"/>
  <c r="C55" s="1"/>
  <c r="C66" s="1"/>
  <c r="M343" i="105" s="1"/>
  <c r="M343" i="130" s="1"/>
  <c r="C136" i="97"/>
  <c r="C55" s="1"/>
  <c r="C66" s="1"/>
  <c r="M507" i="105" s="1"/>
  <c r="M507" i="130" s="1"/>
  <c r="C135" i="74"/>
  <c r="C54" s="1"/>
  <c r="C65" s="1"/>
  <c r="M297" i="105" s="1"/>
  <c r="M297" i="130" s="1"/>
  <c r="C135" i="56"/>
  <c r="C54" s="1"/>
  <c r="C65" s="1"/>
  <c r="M182" i="105" s="1"/>
  <c r="M182" i="130" s="1"/>
  <c r="C135" i="92"/>
  <c r="C54" s="1"/>
  <c r="C65" s="1"/>
  <c r="M461" i="105" s="1"/>
  <c r="M461" i="130" s="1"/>
  <c r="C135" i="49"/>
  <c r="C54" s="1"/>
  <c r="C65" s="1"/>
  <c r="M119" i="105" s="1"/>
  <c r="M119" i="130" s="1"/>
  <c r="C135" i="44"/>
  <c r="C54" s="1"/>
  <c r="C65" s="1"/>
  <c r="M72" i="105" s="1"/>
  <c r="M72" i="130" s="1"/>
  <c r="C135" i="94"/>
  <c r="C54" s="1"/>
  <c r="C65" s="1"/>
  <c r="M479" i="105" s="1"/>
  <c r="M479" i="130" s="1"/>
  <c r="C135" i="40"/>
  <c r="C54" s="1"/>
  <c r="C65" s="1"/>
  <c r="M36" i="105" s="1"/>
  <c r="M36" i="130" s="1"/>
  <c r="C135" i="101"/>
  <c r="C54" s="1"/>
  <c r="C65" s="1"/>
  <c r="M544" i="105" s="1"/>
  <c r="M544" i="130" s="1"/>
  <c r="C135" i="93"/>
  <c r="C54" s="1"/>
  <c r="C65" s="1"/>
  <c r="M470" i="105" s="1"/>
  <c r="M470" i="130" s="1"/>
  <c r="C135" i="96"/>
  <c r="C54" s="1"/>
  <c r="C65" s="1"/>
  <c r="M497" i="105" s="1"/>
  <c r="M497" i="130" s="1"/>
  <c r="C135" i="46"/>
  <c r="C54" s="1"/>
  <c r="C65" s="1"/>
  <c r="M90" i="105" s="1"/>
  <c r="M90" i="130" s="1"/>
  <c r="C135" i="80"/>
  <c r="C54" s="1"/>
  <c r="C65" s="1"/>
  <c r="M425" i="105" s="1"/>
  <c r="M425" i="130" s="1"/>
  <c r="C135" i="81"/>
  <c r="C54" s="1"/>
  <c r="C65" s="1"/>
  <c r="M342" i="105" s="1"/>
  <c r="M342" i="130" s="1"/>
  <c r="C135" i="53"/>
  <c r="C54" s="1"/>
  <c r="C65" s="1"/>
  <c r="M155" i="105" s="1"/>
  <c r="M155" i="130" s="1"/>
  <c r="C135" i="50"/>
  <c r="C54" s="1"/>
  <c r="C65" s="1"/>
  <c r="M128" i="105" s="1"/>
  <c r="M128" i="130" s="1"/>
  <c r="C135" i="97"/>
  <c r="C54" s="1"/>
  <c r="C65" s="1"/>
  <c r="M506" i="105" s="1"/>
  <c r="M506" i="130" s="1"/>
  <c r="D125" i="100" a="1"/>
  <c r="D125" s="1"/>
  <c r="D124" i="90" a="1"/>
  <c r="D124" s="1"/>
  <c r="D123" i="71" a="1"/>
  <c r="D123" s="1"/>
  <c r="D124" i="53" a="1"/>
  <c r="D124" s="1"/>
  <c r="D127" i="39" a="1"/>
  <c r="D127" s="1"/>
  <c r="D125" i="108" a="1"/>
  <c r="D125" s="1"/>
  <c r="E114" i="53"/>
  <c r="F114" s="1"/>
  <c r="G114" s="1"/>
  <c r="H114" s="1"/>
  <c r="I114" s="1"/>
  <c r="E118" i="71"/>
  <c r="F118" s="1"/>
  <c r="G118" s="1"/>
  <c r="H118" s="1"/>
  <c r="I118" s="1"/>
  <c r="D124" a="1"/>
  <c r="D124" s="1"/>
  <c r="D129" i="73" a="1"/>
  <c r="D129" s="1"/>
  <c r="D129" i="90" a="1"/>
  <c r="D129" s="1"/>
  <c r="D123" i="87" a="1"/>
  <c r="D123" s="1"/>
  <c r="D124" i="100" a="1"/>
  <c r="D124" s="1"/>
  <c r="D122" i="101" a="1"/>
  <c r="D122" s="1"/>
  <c r="D91" i="84" a="1"/>
  <c r="D91" s="1"/>
  <c r="D103" s="1"/>
  <c r="D47" s="1"/>
  <c r="O118" s="1"/>
  <c r="E80" i="67"/>
  <c r="F80" s="1"/>
  <c r="E79" i="69"/>
  <c r="P79" s="1"/>
  <c r="O77" i="84"/>
  <c r="F77"/>
  <c r="F87" s="1" a="1"/>
  <c r="F87" s="1"/>
  <c r="F99" s="1"/>
  <c r="F43" s="1"/>
  <c r="E90" a="1"/>
  <c r="E90" s="1"/>
  <c r="E102" s="1"/>
  <c r="E46" s="1"/>
  <c r="E86" a="1"/>
  <c r="E86" s="1"/>
  <c r="E88" a="1"/>
  <c r="E88" s="1"/>
  <c r="E100" s="1"/>
  <c r="E44" s="1"/>
  <c r="D122" i="73" a="1"/>
  <c r="D122" s="1"/>
  <c r="D127" i="87" a="1"/>
  <c r="D127" s="1"/>
  <c r="D125" i="90" a="1"/>
  <c r="D125" s="1"/>
  <c r="E117"/>
  <c r="F117" s="1"/>
  <c r="G117" s="1"/>
  <c r="H117" s="1"/>
  <c r="I117" s="1"/>
  <c r="D129" i="100" a="1"/>
  <c r="D129" s="1"/>
  <c r="E114"/>
  <c r="F114" s="1"/>
  <c r="G114" s="1"/>
  <c r="H114" s="1"/>
  <c r="I114" s="1"/>
  <c r="D122" i="51" a="1"/>
  <c r="D122" s="1"/>
  <c r="D89" i="84" a="1"/>
  <c r="D89" s="1"/>
  <c r="D101" s="1"/>
  <c r="D45" s="1"/>
  <c r="O116" s="1"/>
  <c r="D86" a="1"/>
  <c r="D86" s="1"/>
  <c r="D98" s="1"/>
  <c r="D42" s="1"/>
  <c r="O113" s="1"/>
  <c r="E115" i="71"/>
  <c r="F115" s="1"/>
  <c r="G115" s="1"/>
  <c r="H115" s="1"/>
  <c r="I115" s="1"/>
  <c r="D124" i="85" a="1"/>
  <c r="D124" s="1"/>
  <c r="E80" i="32"/>
  <c r="D88" i="84" a="1"/>
  <c r="D88" s="1"/>
  <c r="D100" s="1"/>
  <c r="D44" s="1"/>
  <c r="O115" s="1"/>
  <c r="D90" a="1"/>
  <c r="D90" s="1"/>
  <c r="D102" s="1"/>
  <c r="D46" s="1"/>
  <c r="O117" s="1"/>
  <c r="D87" a="1"/>
  <c r="D87" s="1"/>
  <c r="D99" s="1"/>
  <c r="D43" s="1"/>
  <c r="O114" s="1"/>
  <c r="D93" a="1"/>
  <c r="D93" s="1"/>
  <c r="O79" i="86"/>
  <c r="E87" i="84" a="1"/>
  <c r="E87" s="1"/>
  <c r="E99" s="1"/>
  <c r="E43" s="1"/>
  <c r="E93" a="1"/>
  <c r="E93" s="1"/>
  <c r="E91" a="1"/>
  <c r="E91" s="1"/>
  <c r="E103" s="1"/>
  <c r="E47" s="1"/>
  <c r="E89" a="1"/>
  <c r="E89" s="1"/>
  <c r="E101" s="1"/>
  <c r="E45" s="1"/>
  <c r="D125" i="53" a="1"/>
  <c r="D125" s="1"/>
  <c r="E78" i="58"/>
  <c r="F78" s="1"/>
  <c r="Q78" s="1"/>
  <c r="P78" i="54"/>
  <c r="P78" i="43"/>
  <c r="O77" i="53"/>
  <c r="O78" i="83"/>
  <c r="O79" i="39"/>
  <c r="C206" i="40"/>
  <c r="F78" i="86"/>
  <c r="P78"/>
  <c r="C103" i="73"/>
  <c r="C47" s="1"/>
  <c r="C101" i="75"/>
  <c r="C45" s="1"/>
  <c r="C100" i="82"/>
  <c r="C44" s="1"/>
  <c r="C99" i="83"/>
  <c r="C43" s="1"/>
  <c r="C101" i="85"/>
  <c r="C45" s="1"/>
  <c r="C102" i="90"/>
  <c r="C46" s="1"/>
  <c r="C103" i="91"/>
  <c r="C47" s="1"/>
  <c r="C102" i="98"/>
  <c r="C46" s="1"/>
  <c r="C103" i="100"/>
  <c r="C47" s="1"/>
  <c r="C102" i="102"/>
  <c r="C46" s="1"/>
  <c r="C99" i="127"/>
  <c r="C43" s="1"/>
  <c r="C103" i="129"/>
  <c r="C47" s="1"/>
  <c r="E81" i="38"/>
  <c r="O81"/>
  <c r="C99" i="41"/>
  <c r="C43" s="1"/>
  <c r="N114" s="1"/>
  <c r="C103" i="45"/>
  <c r="C47" s="1"/>
  <c r="C102"/>
  <c r="C46" s="1"/>
  <c r="F81" i="46"/>
  <c r="P81"/>
  <c r="C100" i="47"/>
  <c r="C44" s="1"/>
  <c r="C102"/>
  <c r="C46" s="1"/>
  <c r="C101" i="51"/>
  <c r="C45" s="1"/>
  <c r="C101" i="52"/>
  <c r="C45" s="1"/>
  <c r="F82" i="56"/>
  <c r="P82"/>
  <c r="C99" i="57"/>
  <c r="C43" s="1"/>
  <c r="C102" i="60"/>
  <c r="C46" s="1"/>
  <c r="E80" i="88"/>
  <c r="O80"/>
  <c r="C100" i="84"/>
  <c r="C44" s="1"/>
  <c r="H78" i="42"/>
  <c r="S78" s="1"/>
  <c r="R78"/>
  <c r="F78" i="38"/>
  <c r="P78"/>
  <c r="F79" i="51"/>
  <c r="P79"/>
  <c r="E82" i="79"/>
  <c r="O82"/>
  <c r="E81" i="76"/>
  <c r="O81"/>
  <c r="F80" i="57"/>
  <c r="P80"/>
  <c r="E82" i="51"/>
  <c r="O82"/>
  <c r="E80" i="41"/>
  <c r="O80"/>
  <c r="E79"/>
  <c r="O79"/>
  <c r="E77" i="87"/>
  <c r="P77" s="1"/>
  <c r="O77"/>
  <c r="F78"/>
  <c r="P78"/>
  <c r="F78" i="76"/>
  <c r="P78"/>
  <c r="F78" i="108"/>
  <c r="P78"/>
  <c r="E78" i="51"/>
  <c r="O78"/>
  <c r="F79" i="48"/>
  <c r="P79"/>
  <c r="E82" i="52"/>
  <c r="P82" s="1"/>
  <c r="O82"/>
  <c r="G78"/>
  <c r="H78" s="1"/>
  <c r="Q78"/>
  <c r="E81" i="83"/>
  <c r="O81"/>
  <c r="E80"/>
  <c r="O80"/>
  <c r="O77" i="52"/>
  <c r="O77" i="82"/>
  <c r="O77" i="40"/>
  <c r="O77" i="51"/>
  <c r="P77" i="94"/>
  <c r="P77" i="97"/>
  <c r="P78" i="81"/>
  <c r="O78" i="38"/>
  <c r="O80" i="57"/>
  <c r="C101" i="67"/>
  <c r="C45" s="1"/>
  <c r="C99" i="69"/>
  <c r="C43" s="1"/>
  <c r="F80" i="73"/>
  <c r="Q80" s="1"/>
  <c r="E77" i="74"/>
  <c r="O77"/>
  <c r="C101" i="76"/>
  <c r="C45" s="1"/>
  <c r="H78" i="81"/>
  <c r="S78" s="1"/>
  <c r="R78"/>
  <c r="C99" i="82"/>
  <c r="C43" s="1"/>
  <c r="C100" i="83"/>
  <c r="C44" s="1"/>
  <c r="C102" i="87"/>
  <c r="C46" s="1"/>
  <c r="C100" i="88"/>
  <c r="C44" s="1"/>
  <c r="C45" i="32"/>
  <c r="C99" i="38"/>
  <c r="C43" s="1"/>
  <c r="C100" i="41"/>
  <c r="C44" s="1"/>
  <c r="C103" i="68"/>
  <c r="C47" s="1"/>
  <c r="N118" s="1"/>
  <c r="C102"/>
  <c r="C46" s="1"/>
  <c r="C99" i="70"/>
  <c r="C43" s="1"/>
  <c r="E81" i="71"/>
  <c r="O81"/>
  <c r="G79" i="72"/>
  <c r="Q79"/>
  <c r="C103" i="75"/>
  <c r="C47" s="1"/>
  <c r="C103" i="76"/>
  <c r="C47" s="1"/>
  <c r="C102"/>
  <c r="C46" s="1"/>
  <c r="C101" i="77"/>
  <c r="C45" s="1"/>
  <c r="F82" i="81"/>
  <c r="P82"/>
  <c r="C101" i="82"/>
  <c r="C45" s="1"/>
  <c r="C101" i="83"/>
  <c r="C45" s="1"/>
  <c r="C100" i="85"/>
  <c r="C44" s="1"/>
  <c r="F78" i="79"/>
  <c r="P78"/>
  <c r="C100"/>
  <c r="C44" s="1"/>
  <c r="C99"/>
  <c r="C43" s="1"/>
  <c r="C100" i="89"/>
  <c r="C44" s="1"/>
  <c r="G78" i="92"/>
  <c r="R78" s="1"/>
  <c r="Q78"/>
  <c r="F80" i="93"/>
  <c r="P80"/>
  <c r="F81" i="94"/>
  <c r="P81"/>
  <c r="F79"/>
  <c r="Q79" s="1"/>
  <c r="P79"/>
  <c r="C101" i="95"/>
  <c r="C45" s="1"/>
  <c r="F80" i="97"/>
  <c r="P80"/>
  <c r="F80" i="99"/>
  <c r="Q80" s="1"/>
  <c r="P80"/>
  <c r="C100" i="100"/>
  <c r="C44" s="1"/>
  <c r="F78" i="101"/>
  <c r="P78"/>
  <c r="C99" i="102"/>
  <c r="C43" s="1"/>
  <c r="C102" i="108"/>
  <c r="C46" s="1"/>
  <c r="C101" i="109"/>
  <c r="C45" s="1"/>
  <c r="C101" i="127"/>
  <c r="C45" s="1"/>
  <c r="C100" i="128"/>
  <c r="C44" s="1"/>
  <c r="C100" i="129"/>
  <c r="C44" s="1"/>
  <c r="C47" i="32"/>
  <c r="C101" i="38"/>
  <c r="C45" s="1"/>
  <c r="C103" i="39"/>
  <c r="C47" s="1"/>
  <c r="C101" i="41"/>
  <c r="C45" s="1"/>
  <c r="N116" s="1"/>
  <c r="C100" i="42"/>
  <c r="C44" s="1"/>
  <c r="C99"/>
  <c r="C43" s="1"/>
  <c r="E79" i="43"/>
  <c r="P79" s="1"/>
  <c r="O79"/>
  <c r="F81" i="44"/>
  <c r="Q81" s="1"/>
  <c r="P81"/>
  <c r="F78"/>
  <c r="P78"/>
  <c r="C100" i="45"/>
  <c r="C44" s="1"/>
  <c r="C99"/>
  <c r="C43" s="1"/>
  <c r="D89" i="46" a="1"/>
  <c r="D89" s="1"/>
  <c r="D101" s="1"/>
  <c r="D45" s="1"/>
  <c r="O116" s="1"/>
  <c r="O80"/>
  <c r="F81" i="47"/>
  <c r="P81"/>
  <c r="C103" i="52"/>
  <c r="C47" s="1"/>
  <c r="C102"/>
  <c r="C46" s="1"/>
  <c r="C103" i="54"/>
  <c r="C47" s="1"/>
  <c r="C102"/>
  <c r="C46" s="1"/>
  <c r="F80" i="55"/>
  <c r="P80"/>
  <c r="C103"/>
  <c r="C47" s="1"/>
  <c r="C102"/>
  <c r="C46" s="1"/>
  <c r="F78" i="56"/>
  <c r="P78"/>
  <c r="C101" i="57"/>
  <c r="C45" s="1"/>
  <c r="N116" s="1"/>
  <c r="C103" i="58"/>
  <c r="C47" s="1"/>
  <c r="C99"/>
  <c r="C43" s="1"/>
  <c r="C103" i="59"/>
  <c r="C47" s="1"/>
  <c r="C103" i="60"/>
  <c r="C47" s="1"/>
  <c r="C99"/>
  <c r="C43" s="1"/>
  <c r="F81"/>
  <c r="P81"/>
  <c r="F78" i="73"/>
  <c r="P78"/>
  <c r="G78" i="75"/>
  <c r="H78" s="1"/>
  <c r="Q78"/>
  <c r="E79" i="76"/>
  <c r="P79" s="1"/>
  <c r="O79"/>
  <c r="E80" i="128"/>
  <c r="P80" s="1"/>
  <c r="O80"/>
  <c r="O83" s="1"/>
  <c r="E79" i="95"/>
  <c r="O79"/>
  <c r="E81"/>
  <c r="O81"/>
  <c r="E81" i="89"/>
  <c r="O81"/>
  <c r="F78" i="95"/>
  <c r="P78"/>
  <c r="G78" i="39"/>
  <c r="R78" s="1"/>
  <c r="Q78"/>
  <c r="E82" i="77"/>
  <c r="D125" i="47" a="1"/>
  <c r="D125" s="1"/>
  <c r="D126" i="53" a="1"/>
  <c r="D126" s="1"/>
  <c r="G226" i="130"/>
  <c r="O77" i="95"/>
  <c r="O77" i="54"/>
  <c r="O77" i="50"/>
  <c r="O77" i="45"/>
  <c r="P77" i="99"/>
  <c r="P77" i="56"/>
  <c r="P77" i="80"/>
  <c r="P77" i="93"/>
  <c r="P77" i="49"/>
  <c r="P77" i="71"/>
  <c r="Q77"/>
  <c r="P78" i="49"/>
  <c r="P78" i="52"/>
  <c r="O78" i="86"/>
  <c r="O78" i="47"/>
  <c r="O78" i="108"/>
  <c r="P78" i="75"/>
  <c r="P78" i="92"/>
  <c r="Q78" i="43"/>
  <c r="Q78" i="42"/>
  <c r="O79" i="58"/>
  <c r="C101" i="68"/>
  <c r="C45" s="1"/>
  <c r="C100" i="69"/>
  <c r="C44" s="1"/>
  <c r="E77" i="75"/>
  <c r="P77" s="1"/>
  <c r="O77"/>
  <c r="C102" i="79"/>
  <c r="C46" s="1"/>
  <c r="C100" i="98"/>
  <c r="C44" s="1"/>
  <c r="F79" i="99"/>
  <c r="P79"/>
  <c r="C100" i="109"/>
  <c r="C44" s="1"/>
  <c r="C100" i="38"/>
  <c r="C44" s="1"/>
  <c r="C100" i="68"/>
  <c r="C44" s="1"/>
  <c r="C102" i="69"/>
  <c r="C46" s="1"/>
  <c r="C100" i="71"/>
  <c r="C44" s="1"/>
  <c r="C99"/>
  <c r="C43" s="1"/>
  <c r="E82" i="72"/>
  <c r="O82"/>
  <c r="C101"/>
  <c r="C45" s="1"/>
  <c r="C101" i="73"/>
  <c r="C45" s="1"/>
  <c r="C100" i="75"/>
  <c r="C44" s="1"/>
  <c r="C99"/>
  <c r="C43" s="1"/>
  <c r="C103" i="82"/>
  <c r="C47" s="1"/>
  <c r="C102"/>
  <c r="C46" s="1"/>
  <c r="C102" i="83"/>
  <c r="C46" s="1"/>
  <c r="C99" i="85"/>
  <c r="C43" s="1"/>
  <c r="N114" s="1"/>
  <c r="C101" i="86"/>
  <c r="C45" s="1"/>
  <c r="C101" i="87"/>
  <c r="C45" s="1"/>
  <c r="C103" i="88"/>
  <c r="C47" s="1"/>
  <c r="C102"/>
  <c r="C46" s="1"/>
  <c r="C103" i="79"/>
  <c r="C47" s="1"/>
  <c r="G79" i="80"/>
  <c r="R79" s="1"/>
  <c r="Q79"/>
  <c r="C101" i="89"/>
  <c r="C45" s="1"/>
  <c r="C101" i="90"/>
  <c r="C45" s="1"/>
  <c r="F81" i="92"/>
  <c r="P81"/>
  <c r="F78" i="93"/>
  <c r="P78"/>
  <c r="F82" i="94"/>
  <c r="Q82" s="1"/>
  <c r="P82"/>
  <c r="F80"/>
  <c r="P80"/>
  <c r="F81" i="97"/>
  <c r="P81"/>
  <c r="E77" i="100"/>
  <c r="P77" s="1"/>
  <c r="O77"/>
  <c r="C100" i="108"/>
  <c r="C44" s="1"/>
  <c r="N115" s="1"/>
  <c r="E77" i="109"/>
  <c r="P77" s="1"/>
  <c r="O77"/>
  <c r="C102"/>
  <c r="C46" s="1"/>
  <c r="C103"/>
  <c r="C47" s="1"/>
  <c r="C103" i="127"/>
  <c r="C47" s="1"/>
  <c r="C102"/>
  <c r="C46" s="1"/>
  <c r="C101" i="129"/>
  <c r="C45" s="1"/>
  <c r="C100" i="39"/>
  <c r="C44" s="1"/>
  <c r="C99"/>
  <c r="C43" s="1"/>
  <c r="C101" i="42"/>
  <c r="C45" s="1"/>
  <c r="C103" i="43"/>
  <c r="C47" s="1"/>
  <c r="C99"/>
  <c r="C43" s="1"/>
  <c r="F78" i="45"/>
  <c r="P78"/>
  <c r="G82" i="46"/>
  <c r="R82" s="1"/>
  <c r="Q82"/>
  <c r="F80" i="47"/>
  <c r="P80"/>
  <c r="C103"/>
  <c r="C47" s="1"/>
  <c r="F78"/>
  <c r="P78"/>
  <c r="F82" i="48"/>
  <c r="P82"/>
  <c r="C100"/>
  <c r="C44" s="1"/>
  <c r="C103" i="51"/>
  <c r="C47" s="1"/>
  <c r="C100" i="54"/>
  <c r="C44" s="1"/>
  <c r="D100" i="56"/>
  <c r="D44" s="1"/>
  <c r="O115" s="1"/>
  <c r="F81"/>
  <c r="P81"/>
  <c r="F79"/>
  <c r="P79"/>
  <c r="F81" i="58"/>
  <c r="P81"/>
  <c r="C101"/>
  <c r="C45" s="1"/>
  <c r="C101" i="60"/>
  <c r="C45" s="1"/>
  <c r="F79" i="58"/>
  <c r="P79"/>
  <c r="E82" i="57"/>
  <c r="O82"/>
  <c r="E79" i="108"/>
  <c r="O79"/>
  <c r="F78" i="88"/>
  <c r="P78"/>
  <c r="E82" i="90"/>
  <c r="O82"/>
  <c r="E80" i="82"/>
  <c r="O80"/>
  <c r="F78" i="72"/>
  <c r="G78" s="1"/>
  <c r="P78"/>
  <c r="H78" i="43"/>
  <c r="R78"/>
  <c r="E81" i="69"/>
  <c r="O81"/>
  <c r="E81" i="108"/>
  <c r="O81"/>
  <c r="E79" i="45"/>
  <c r="O79"/>
  <c r="E82" i="98"/>
  <c r="P82" s="1"/>
  <c r="O82"/>
  <c r="E79" i="83"/>
  <c r="O79"/>
  <c r="I43" i="131"/>
  <c r="I607" i="130"/>
  <c r="J607"/>
  <c r="O77" i="44"/>
  <c r="O77" i="47"/>
  <c r="O77" i="38"/>
  <c r="O77" i="49"/>
  <c r="O77" i="59"/>
  <c r="P77" i="81"/>
  <c r="P77" i="92"/>
  <c r="Q77" i="93"/>
  <c r="P78" i="42"/>
  <c r="P78" i="39"/>
  <c r="O78" i="87"/>
  <c r="O78" i="54"/>
  <c r="Q78" i="81"/>
  <c r="P82" i="46"/>
  <c r="O81" i="47"/>
  <c r="P79" i="72"/>
  <c r="P79" i="80"/>
  <c r="O79" i="100"/>
  <c r="O79" i="48"/>
  <c r="O79" i="109"/>
  <c r="O79" i="80"/>
  <c r="O79" i="127"/>
  <c r="O79" i="74"/>
  <c r="O79" i="87"/>
  <c r="O79" i="51"/>
  <c r="O79" i="77"/>
  <c r="O78" i="41"/>
  <c r="O78" i="44"/>
  <c r="O78" i="50"/>
  <c r="O78" i="72"/>
  <c r="O78" i="49"/>
  <c r="O78" i="40"/>
  <c r="O78" i="43"/>
  <c r="O78" i="46"/>
  <c r="O78" i="75"/>
  <c r="O78" i="96"/>
  <c r="O78" i="73"/>
  <c r="O78" i="52"/>
  <c r="O78" i="99"/>
  <c r="O78" i="78"/>
  <c r="O78" i="79"/>
  <c r="O78" i="97"/>
  <c r="O78" i="101"/>
  <c r="O78" i="39"/>
  <c r="O78" i="42"/>
  <c r="O78" i="45"/>
  <c r="O78" i="76"/>
  <c r="O78" i="95"/>
  <c r="O78" i="88"/>
  <c r="O78" i="98"/>
  <c r="O78" i="53"/>
  <c r="Q77" i="97"/>
  <c r="Q77" i="90"/>
  <c r="Q77" i="40"/>
  <c r="Q77" i="49"/>
  <c r="P77" i="41"/>
  <c r="P77" i="44"/>
  <c r="P77" i="45"/>
  <c r="P77" i="40"/>
  <c r="P77" i="90"/>
  <c r="P77" i="54"/>
  <c r="E98" i="84"/>
  <c r="P77"/>
  <c r="O77" i="85"/>
  <c r="O77" i="57"/>
  <c r="O77" i="69"/>
  <c r="O77" i="86"/>
  <c r="O77" i="70"/>
  <c r="O77" i="71"/>
  <c r="O77" i="68"/>
  <c r="C105" i="81"/>
  <c r="C105" i="78"/>
  <c r="C105" i="91"/>
  <c r="C207" i="67"/>
  <c r="C206" i="100"/>
  <c r="N83" i="81"/>
  <c r="C105" i="38"/>
  <c r="C105" i="83"/>
  <c r="N83" i="74"/>
  <c r="C105" i="70"/>
  <c r="C47" i="71"/>
  <c r="N118" s="1"/>
  <c r="C46"/>
  <c r="N117" s="1"/>
  <c r="C104" i="78"/>
  <c r="C44" i="86"/>
  <c r="N115" s="1"/>
  <c r="C43"/>
  <c r="N114" s="1"/>
  <c r="C43" i="89"/>
  <c r="N114" s="1"/>
  <c r="C44" i="90"/>
  <c r="N115" s="1"/>
  <c r="C44" i="95"/>
  <c r="N115" s="1"/>
  <c r="C43"/>
  <c r="N114" s="1"/>
  <c r="C45" i="100"/>
  <c r="N116" s="1"/>
  <c r="C44" i="102"/>
  <c r="N115" s="1"/>
  <c r="C47" i="108"/>
  <c r="N118" s="1"/>
  <c r="C45" i="128"/>
  <c r="C43"/>
  <c r="C46" i="41"/>
  <c r="N117" s="1"/>
  <c r="C44" i="57"/>
  <c r="N115" s="1"/>
  <c r="C44" i="59"/>
  <c r="N115" s="1"/>
  <c r="C46"/>
  <c r="N117" s="1"/>
  <c r="C44" i="60"/>
  <c r="N115" s="1"/>
  <c r="D36" i="92"/>
  <c r="D206" s="1"/>
  <c r="N83" i="78"/>
  <c r="C47" i="70"/>
  <c r="N118" s="1"/>
  <c r="C45" i="71"/>
  <c r="N116" s="1"/>
  <c r="C44" i="76"/>
  <c r="N115" s="1"/>
  <c r="C44" i="77"/>
  <c r="N115" s="1"/>
  <c r="C46"/>
  <c r="N117" s="1"/>
  <c r="C46" i="86"/>
  <c r="N117" s="1"/>
  <c r="C46" i="89"/>
  <c r="N117" s="1"/>
  <c r="C47" i="90"/>
  <c r="N118" s="1"/>
  <c r="C46" i="128"/>
  <c r="C46" i="32"/>
  <c r="N117" s="1"/>
  <c r="C43" i="47"/>
  <c r="N114" s="1"/>
  <c r="C45" i="48"/>
  <c r="N116" s="1"/>
  <c r="C44" i="52"/>
  <c r="N115" s="1"/>
  <c r="C43" i="54"/>
  <c r="N114" s="1"/>
  <c r="N83" i="40"/>
  <c r="N84" s="1"/>
  <c r="N83" i="91"/>
  <c r="N83" i="97"/>
  <c r="N83" i="80"/>
  <c r="C44" i="67"/>
  <c r="N115" s="1"/>
  <c r="C43"/>
  <c r="N114" s="1"/>
  <c r="C43" i="68"/>
  <c r="N114" s="1"/>
  <c r="C44" i="72"/>
  <c r="N115" s="1"/>
  <c r="C43"/>
  <c r="N114" s="1"/>
  <c r="C44" i="73"/>
  <c r="N115" s="1"/>
  <c r="C43"/>
  <c r="N114" s="1"/>
  <c r="C46" i="85"/>
  <c r="N117" s="1"/>
  <c r="C44" i="87"/>
  <c r="N115" s="1"/>
  <c r="C43"/>
  <c r="N114" s="1"/>
  <c r="C45" i="88"/>
  <c r="N116" s="1"/>
  <c r="C44" i="91"/>
  <c r="N115" s="1"/>
  <c r="C43"/>
  <c r="N114" s="1"/>
  <c r="C46" i="95"/>
  <c r="N117" s="1"/>
  <c r="C47" i="102"/>
  <c r="N118" s="1"/>
  <c r="C45" i="108"/>
  <c r="N116" s="1"/>
  <c r="C43" i="109"/>
  <c r="N114" s="1"/>
  <c r="C44" i="127"/>
  <c r="N115" s="1"/>
  <c r="C43" i="129"/>
  <c r="N114" s="1"/>
  <c r="C44" i="32"/>
  <c r="N115" s="1"/>
  <c r="C47" i="38"/>
  <c r="N118" s="1"/>
  <c r="C46"/>
  <c r="N117" s="1"/>
  <c r="C46" i="39"/>
  <c r="N117" s="1"/>
  <c r="C44" i="43"/>
  <c r="N115" s="1"/>
  <c r="C46"/>
  <c r="N117" s="1"/>
  <c r="C43" i="51"/>
  <c r="N114" s="1"/>
  <c r="C45" i="54"/>
  <c r="N116" s="1"/>
  <c r="C43" i="55"/>
  <c r="N83" i="93"/>
  <c r="C47" i="67"/>
  <c r="N118" s="1"/>
  <c r="C46"/>
  <c r="N117" s="1"/>
  <c r="C45" i="69"/>
  <c r="N116" s="1"/>
  <c r="C47" i="72"/>
  <c r="N118" s="1"/>
  <c r="C46"/>
  <c r="N117" s="1"/>
  <c r="C46" i="73"/>
  <c r="N117" s="1"/>
  <c r="C47" i="77"/>
  <c r="N118" s="1"/>
  <c r="C43"/>
  <c r="N114" s="1"/>
  <c r="C47" i="86"/>
  <c r="N118" s="1"/>
  <c r="C47" i="87"/>
  <c r="N118" s="1"/>
  <c r="C43" i="88"/>
  <c r="N114" s="1"/>
  <c r="C45" i="79"/>
  <c r="N116" s="1"/>
  <c r="C43" i="90"/>
  <c r="N114" s="1"/>
  <c r="C46" i="91"/>
  <c r="N117" s="1"/>
  <c r="C45" i="98"/>
  <c r="N116" s="1"/>
  <c r="C43"/>
  <c r="N114" s="1"/>
  <c r="C45" i="102"/>
  <c r="N116" s="1"/>
  <c r="C46" i="129"/>
  <c r="N117" s="1"/>
  <c r="C105" i="32"/>
  <c r="C45" i="39"/>
  <c r="N116" s="1"/>
  <c r="C47" i="42"/>
  <c r="N118" s="1"/>
  <c r="C45" i="43"/>
  <c r="N116" s="1"/>
  <c r="C47" i="48"/>
  <c r="N118" s="1"/>
  <c r="C43"/>
  <c r="N114" s="1"/>
  <c r="C44" i="51"/>
  <c r="N115" s="1"/>
  <c r="C43" i="52"/>
  <c r="N114" s="1"/>
  <c r="C44" i="55"/>
  <c r="N115" s="1"/>
  <c r="C45"/>
  <c r="N116" s="1"/>
  <c r="C47" i="57"/>
  <c r="N118" s="1"/>
  <c r="C45" i="59"/>
  <c r="N116" s="1"/>
  <c r="C45" i="84"/>
  <c r="N116" s="1"/>
  <c r="C47"/>
  <c r="N118" s="1"/>
  <c r="D36" i="67"/>
  <c r="D207" s="1"/>
  <c r="D36" i="89"/>
  <c r="D206" s="1"/>
  <c r="N83" i="92"/>
  <c r="N83" i="46"/>
  <c r="N83" i="56"/>
  <c r="C44" i="70"/>
  <c r="N115" s="1"/>
  <c r="C47" i="85"/>
  <c r="N118" s="1"/>
  <c r="C206" i="92"/>
  <c r="C47" i="95"/>
  <c r="N118" s="1"/>
  <c r="C47" i="98"/>
  <c r="N118" s="1"/>
  <c r="C46" i="100"/>
  <c r="N117" s="1"/>
  <c r="C43" i="32"/>
  <c r="N114" s="1"/>
  <c r="C45" i="47"/>
  <c r="N116" s="1"/>
  <c r="C46" i="48"/>
  <c r="N117" s="1"/>
  <c r="C46" i="51"/>
  <c r="N117" s="1"/>
  <c r="C46" i="57"/>
  <c r="N117" s="1"/>
  <c r="C44" i="58"/>
  <c r="N115" s="1"/>
  <c r="C46"/>
  <c r="N117" s="1"/>
  <c r="C43" i="59"/>
  <c r="N114" s="1"/>
  <c r="C43" i="84"/>
  <c r="N114" s="1"/>
  <c r="C46"/>
  <c r="N117" s="1"/>
  <c r="C45" i="70"/>
  <c r="N116" s="1"/>
  <c r="C47" i="83"/>
  <c r="N118" s="1"/>
  <c r="C47" i="69"/>
  <c r="N118" s="1"/>
  <c r="C46" i="70"/>
  <c r="N117" s="1"/>
  <c r="C46" i="75"/>
  <c r="N117" s="1"/>
  <c r="C43" i="76"/>
  <c r="N114" s="1"/>
  <c r="C47" i="89"/>
  <c r="N118" s="1"/>
  <c r="C45" i="91"/>
  <c r="N116" s="1"/>
  <c r="C43" i="100"/>
  <c r="N114" s="1"/>
  <c r="C43" i="108"/>
  <c r="N114" s="1"/>
  <c r="C47" i="128"/>
  <c r="C47" i="41"/>
  <c r="N118" s="1"/>
  <c r="C46" i="42"/>
  <c r="N117" s="1"/>
  <c r="C45" i="45"/>
  <c r="N116" s="1"/>
  <c r="D42" i="94"/>
  <c r="O113" s="1"/>
  <c r="D43" i="92"/>
  <c r="O114" s="1"/>
  <c r="D45" i="94"/>
  <c r="O116" s="1"/>
  <c r="D46" i="92"/>
  <c r="O117" s="1"/>
  <c r="D44"/>
  <c r="O115" s="1"/>
  <c r="D44" i="94"/>
  <c r="O115" s="1"/>
  <c r="D43"/>
  <c r="O114" s="1"/>
  <c r="D47"/>
  <c r="O118" s="1"/>
  <c r="D46"/>
  <c r="O117" s="1"/>
  <c r="D43" i="56"/>
  <c r="O114" s="1"/>
  <c r="D45" i="81"/>
  <c r="O116" s="1"/>
  <c r="D47" i="56"/>
  <c r="O118" s="1"/>
  <c r="D47" i="92"/>
  <c r="O118" s="1"/>
  <c r="D45"/>
  <c r="O116" s="1"/>
  <c r="D46" i="81"/>
  <c r="O117" s="1"/>
  <c r="D43"/>
  <c r="O114" s="1"/>
  <c r="D47"/>
  <c r="O118" s="1"/>
  <c r="D44"/>
  <c r="O115" s="1"/>
  <c r="D45" i="56"/>
  <c r="O116" s="1"/>
  <c r="D46"/>
  <c r="O117" s="1"/>
  <c r="C36" i="45"/>
  <c r="C206" s="1"/>
  <c r="N83"/>
  <c r="D36" i="83"/>
  <c r="D206" s="1"/>
  <c r="I36" i="109"/>
  <c r="I206" s="1"/>
  <c r="E36"/>
  <c r="E206" s="1"/>
  <c r="D36" i="59"/>
  <c r="D206" s="1"/>
  <c r="F36" i="109"/>
  <c r="F206" s="1"/>
  <c r="D36" i="82"/>
  <c r="D206" s="1"/>
  <c r="D36" i="54"/>
  <c r="D206" s="1"/>
  <c r="D36" i="93"/>
  <c r="D206" s="1"/>
  <c r="D36" i="56"/>
  <c r="D206" s="1"/>
  <c r="D36" i="58"/>
  <c r="D206" s="1"/>
  <c r="D36" i="90"/>
  <c r="D206" s="1"/>
  <c r="D36" i="108"/>
  <c r="D206" s="1"/>
  <c r="C105" i="86"/>
  <c r="G36" i="109"/>
  <c r="G206" s="1"/>
  <c r="H36"/>
  <c r="H206" s="1"/>
  <c r="D36" i="60"/>
  <c r="D206" s="1"/>
  <c r="D36" i="102"/>
  <c r="D206" s="1"/>
  <c r="D36" i="91"/>
  <c r="D206" s="1"/>
  <c r="D36" i="55"/>
  <c r="D206" s="1"/>
  <c r="E14" i="84"/>
  <c r="E205" s="1"/>
  <c r="I14" i="40"/>
  <c r="I205" s="1"/>
  <c r="H14" i="83"/>
  <c r="H205" s="1"/>
  <c r="H14" i="97"/>
  <c r="H205" s="1"/>
  <c r="H14" i="99"/>
  <c r="H205" s="1"/>
  <c r="F14" i="44"/>
  <c r="F205" s="1"/>
  <c r="F14" i="43"/>
  <c r="F205" s="1"/>
  <c r="F14" i="97"/>
  <c r="F205" s="1"/>
  <c r="H14" i="84"/>
  <c r="H205" s="1"/>
  <c r="H14" i="42"/>
  <c r="H205" s="1"/>
  <c r="F14" i="45"/>
  <c r="F205" s="1"/>
  <c r="E13" i="104"/>
  <c r="E35" s="1"/>
  <c r="E33" i="78"/>
  <c r="E14" i="55"/>
  <c r="E205" s="1"/>
  <c r="E13" i="63"/>
  <c r="E35" s="1"/>
  <c r="F14" i="77"/>
  <c r="F205" s="1"/>
  <c r="I14" i="89"/>
  <c r="I205" s="1"/>
  <c r="I14" i="100"/>
  <c r="I205" s="1"/>
  <c r="G10" i="63"/>
  <c r="I14" i="75"/>
  <c r="I205" s="1"/>
  <c r="F14" i="79"/>
  <c r="F205" s="1"/>
  <c r="F14" i="51"/>
  <c r="F205" s="1"/>
  <c r="H14" i="46"/>
  <c r="H205" s="1"/>
  <c r="F31" i="72"/>
  <c r="H14" i="40"/>
  <c r="H205" s="1"/>
  <c r="F14"/>
  <c r="F205" s="1"/>
  <c r="E14" i="43"/>
  <c r="E205" s="1"/>
  <c r="H14" i="72"/>
  <c r="H205" s="1"/>
  <c r="E14" i="42"/>
  <c r="E205" s="1"/>
  <c r="I14" i="38"/>
  <c r="I205" s="1"/>
  <c r="I14" i="42"/>
  <c r="I205" s="1"/>
  <c r="H14" i="71"/>
  <c r="H205" s="1"/>
  <c r="H14" i="98"/>
  <c r="H205" s="1"/>
  <c r="E14" i="41"/>
  <c r="E205" s="1"/>
  <c r="H14" i="43"/>
  <c r="H205" s="1"/>
  <c r="F14" i="96"/>
  <c r="F205" s="1"/>
  <c r="F14" i="100"/>
  <c r="F205" s="1"/>
  <c r="F14" i="49"/>
  <c r="F205" s="1"/>
  <c r="F14" i="55"/>
  <c r="F205" s="1"/>
  <c r="D34" i="47"/>
  <c r="I14" i="88"/>
  <c r="I205" s="1"/>
  <c r="H14" i="82"/>
  <c r="H205" s="1"/>
  <c r="G14" i="48"/>
  <c r="G205" s="1"/>
  <c r="E12" i="63"/>
  <c r="E34" s="1"/>
  <c r="F14" i="50"/>
  <c r="F205" s="1"/>
  <c r="I14" i="78"/>
  <c r="I205" s="1"/>
  <c r="G14" i="88"/>
  <c r="G205" s="1"/>
  <c r="E14" i="90"/>
  <c r="E205" s="1"/>
  <c r="E32" i="80"/>
  <c r="D32" i="100"/>
  <c r="E14" i="54"/>
  <c r="E205" s="1"/>
  <c r="G14" i="55"/>
  <c r="G205" s="1"/>
  <c r="E14" i="44"/>
  <c r="E205" s="1"/>
  <c r="H14" i="101"/>
  <c r="H205" s="1"/>
  <c r="I14" i="44"/>
  <c r="I205" s="1"/>
  <c r="I14" i="43"/>
  <c r="I205" s="1"/>
  <c r="E14" i="83"/>
  <c r="E205" s="1"/>
  <c r="H14" i="45"/>
  <c r="H205" s="1"/>
  <c r="F14" i="42"/>
  <c r="F205" s="1"/>
  <c r="E14" i="45"/>
  <c r="E205" s="1"/>
  <c r="H14" i="100"/>
  <c r="H205" s="1"/>
  <c r="E14" i="40"/>
  <c r="E205" s="1"/>
  <c r="I14" i="45"/>
  <c r="I205" s="1"/>
  <c r="E14" i="72"/>
  <c r="E205" s="1"/>
  <c r="H14" i="96"/>
  <c r="H205" s="1"/>
  <c r="E14" i="82"/>
  <c r="E205" s="1"/>
  <c r="G14" i="79"/>
  <c r="G205" s="1"/>
  <c r="G14" i="78"/>
  <c r="G205" s="1"/>
  <c r="F14" i="74"/>
  <c r="F205" s="1"/>
  <c r="H14" i="89"/>
  <c r="H205" s="1"/>
  <c r="H14" i="52"/>
  <c r="H205" s="1"/>
  <c r="F14" i="53"/>
  <c r="F205" s="1"/>
  <c r="G14" i="75"/>
  <c r="G205" s="1"/>
  <c r="H14" i="77"/>
  <c r="H205" s="1"/>
  <c r="D32" i="127"/>
  <c r="F14" i="48"/>
  <c r="F205" s="1"/>
  <c r="F14" i="54"/>
  <c r="F205" s="1"/>
  <c r="D14" i="32"/>
  <c r="D205" s="1"/>
  <c r="I14" i="71"/>
  <c r="I205" s="1"/>
  <c r="C105" i="93"/>
  <c r="C105" i="102"/>
  <c r="D139" i="104"/>
  <c r="C105" i="47"/>
  <c r="C206" i="74"/>
  <c r="C105" i="97"/>
  <c r="C30" i="63"/>
  <c r="C36" s="1"/>
  <c r="C86" s="1"/>
  <c r="C30" i="104"/>
  <c r="C36" s="1"/>
  <c r="C140" s="1"/>
  <c r="F607" i="130"/>
  <c r="D607"/>
  <c r="D86" i="83" a="1"/>
  <c r="D86" s="1"/>
  <c r="D98" s="1"/>
  <c r="D125" i="73" a="1"/>
  <c r="D125" s="1"/>
  <c r="D129" i="53" a="1"/>
  <c r="D129" s="1"/>
  <c r="D123" i="39" a="1"/>
  <c r="D123" s="1"/>
  <c r="D122" i="93" a="1"/>
  <c r="D122" s="1"/>
  <c r="D129" i="108" a="1"/>
  <c r="D129" s="1"/>
  <c r="D126" i="101" a="1"/>
  <c r="D126" s="1"/>
  <c r="D124" i="48" a="1"/>
  <c r="D124" s="1"/>
  <c r="D129" i="71" a="1"/>
  <c r="D129" s="1"/>
  <c r="D126" i="87" a="1"/>
  <c r="D126" s="1"/>
  <c r="I38" i="131"/>
  <c r="E78" i="68"/>
  <c r="E82" i="89"/>
  <c r="E82" i="42"/>
  <c r="E82" i="87"/>
  <c r="P82" s="1"/>
  <c r="D124" a="1"/>
  <c r="D124" s="1"/>
  <c r="D125" a="1"/>
  <c r="D125" s="1"/>
  <c r="D129" a="1"/>
  <c r="D129" s="1"/>
  <c r="E114" i="93"/>
  <c r="F114" s="1"/>
  <c r="G114" s="1"/>
  <c r="H114" s="1"/>
  <c r="I114" s="1"/>
  <c r="D126" a="1"/>
  <c r="D126" s="1"/>
  <c r="D122" i="100" a="1"/>
  <c r="D122" s="1"/>
  <c r="D126" a="1"/>
  <c r="D126" s="1"/>
  <c r="E117" i="101"/>
  <c r="F117" s="1"/>
  <c r="G117" s="1"/>
  <c r="H117" s="1"/>
  <c r="I117" s="1"/>
  <c r="D124" i="108" a="1"/>
  <c r="D124" s="1"/>
  <c r="E114"/>
  <c r="F114" s="1"/>
  <c r="G114" s="1"/>
  <c r="H114" s="1"/>
  <c r="I114" s="1"/>
  <c r="E115" i="39"/>
  <c r="F115" s="1"/>
  <c r="G115" s="1"/>
  <c r="H115" s="1"/>
  <c r="I115" s="1"/>
  <c r="D124" i="47" a="1"/>
  <c r="D124" s="1"/>
  <c r="D123" i="48" a="1"/>
  <c r="D123" s="1"/>
  <c r="D129" i="51" a="1"/>
  <c r="D129" s="1"/>
  <c r="E115" i="53"/>
  <c r="F115" s="1"/>
  <c r="G115" s="1"/>
  <c r="H115" s="1"/>
  <c r="I115" s="1"/>
  <c r="D123" a="1"/>
  <c r="D123" s="1"/>
  <c r="D122" a="1"/>
  <c r="D122" s="1"/>
  <c r="E79" i="54"/>
  <c r="D123" i="51" a="1"/>
  <c r="D123" s="1"/>
  <c r="D125" i="71" a="1"/>
  <c r="D125" s="1"/>
  <c r="D124" i="73" a="1"/>
  <c r="D124" s="1"/>
  <c r="D126" a="1"/>
  <c r="D126" s="1"/>
  <c r="E113" i="71"/>
  <c r="D127" a="1"/>
  <c r="D127" s="1"/>
  <c r="D88" i="83" a="1"/>
  <c r="D88" s="1"/>
  <c r="D100" s="1"/>
  <c r="D123" i="85" a="1"/>
  <c r="D123" s="1"/>
  <c r="E115" i="87"/>
  <c r="F115" s="1"/>
  <c r="G115" s="1"/>
  <c r="H115" s="1"/>
  <c r="I115" s="1"/>
  <c r="D122" a="1"/>
  <c r="D122" s="1"/>
  <c r="D127" i="100" a="1"/>
  <c r="D127" s="1"/>
  <c r="D123" a="1"/>
  <c r="D123" s="1"/>
  <c r="E80" i="108"/>
  <c r="D129" i="47" a="1"/>
  <c r="D129" s="1"/>
  <c r="D125" i="51" a="1"/>
  <c r="D125" s="1"/>
  <c r="D127" i="53" a="1"/>
  <c r="D127" s="1"/>
  <c r="E82" i="83"/>
  <c r="D91" a="1"/>
  <c r="D91" s="1"/>
  <c r="G128" i="128" a="1"/>
  <c r="G128" s="1"/>
  <c r="G130" s="1"/>
  <c r="D87" i="83" a="1"/>
  <c r="D87" s="1"/>
  <c r="D99" s="1"/>
  <c r="D89" a="1"/>
  <c r="D89" s="1"/>
  <c r="E80" i="90"/>
  <c r="D93" i="83" a="1"/>
  <c r="D93" s="1"/>
  <c r="E82" i="41"/>
  <c r="E80" i="51"/>
  <c r="D123" i="73" a="1"/>
  <c r="D123" s="1"/>
  <c r="D129" i="93" a="1"/>
  <c r="D129" s="1"/>
  <c r="D126" i="39" a="1"/>
  <c r="D126" s="1"/>
  <c r="D123" i="108" a="1"/>
  <c r="D123" s="1"/>
  <c r="D123" i="90" a="1"/>
  <c r="D123" s="1"/>
  <c r="D126" i="71" a="1"/>
  <c r="D126" s="1"/>
  <c r="D128" i="128" a="1"/>
  <c r="D128" s="1"/>
  <c r="D130" s="1"/>
  <c r="D126" i="85" a="1"/>
  <c r="D126" s="1"/>
  <c r="H128" i="128" a="1"/>
  <c r="H128" s="1"/>
  <c r="H130" s="1"/>
  <c r="D129" i="101" a="1"/>
  <c r="D129" s="1"/>
  <c r="D126" i="48" a="1"/>
  <c r="D126" s="1"/>
  <c r="D127" i="85" a="1"/>
  <c r="D127" s="1"/>
  <c r="D125" a="1"/>
  <c r="D125" s="1"/>
  <c r="D129" a="1"/>
  <c r="D129" s="1"/>
  <c r="E79" i="88"/>
  <c r="D122" i="90" a="1"/>
  <c r="D122" s="1"/>
  <c r="D126" a="1"/>
  <c r="D126" s="1"/>
  <c r="D127" i="93" a="1"/>
  <c r="D127" s="1"/>
  <c r="D123" a="1"/>
  <c r="D123" s="1"/>
  <c r="D127" i="101" a="1"/>
  <c r="D127" s="1"/>
  <c r="D123" a="1"/>
  <c r="D123" s="1"/>
  <c r="D122" i="108" a="1"/>
  <c r="D122" s="1"/>
  <c r="D126" a="1"/>
  <c r="D126" s="1"/>
  <c r="E77" i="127"/>
  <c r="E117" i="39"/>
  <c r="F117" s="1"/>
  <c r="G117" s="1"/>
  <c r="H117" s="1"/>
  <c r="I117" s="1"/>
  <c r="D124" a="1"/>
  <c r="D124" s="1"/>
  <c r="D125" a="1"/>
  <c r="D125" s="1"/>
  <c r="D129" a="1"/>
  <c r="D129" s="1"/>
  <c r="D122" i="47" a="1"/>
  <c r="D122" s="1"/>
  <c r="D126" a="1"/>
  <c r="D126" s="1"/>
  <c r="D127" i="48" a="1"/>
  <c r="D127" s="1"/>
  <c r="D125" a="1"/>
  <c r="D125" s="1"/>
  <c r="D129" a="1"/>
  <c r="D129" s="1"/>
  <c r="E113" i="51"/>
  <c r="E129" s="1" a="1"/>
  <c r="E129" s="1"/>
  <c r="D124" a="1"/>
  <c r="D124" s="1"/>
  <c r="D126" a="1"/>
  <c r="D126" s="1"/>
  <c r="C128" i="59" a="1"/>
  <c r="C128" s="1"/>
  <c r="C130" s="1"/>
  <c r="H226" i="105"/>
  <c r="G609" i="130"/>
  <c r="G607"/>
  <c r="E118" i="85"/>
  <c r="F118" s="1"/>
  <c r="G118" s="1"/>
  <c r="H118" s="1"/>
  <c r="I118" s="1"/>
  <c r="E77" i="83"/>
  <c r="F77" s="1"/>
  <c r="E80" i="68"/>
  <c r="E82" i="69"/>
  <c r="D122" i="71" a="1"/>
  <c r="D122" s="1"/>
  <c r="E80" i="72"/>
  <c r="E117" i="73"/>
  <c r="F117" s="1"/>
  <c r="G117" s="1"/>
  <c r="H117" s="1"/>
  <c r="I117" s="1"/>
  <c r="D127" a="1"/>
  <c r="D127" s="1"/>
  <c r="D90" i="83" a="1"/>
  <c r="D90" s="1"/>
  <c r="D102" s="1"/>
  <c r="D122" i="85" a="1"/>
  <c r="D122" s="1"/>
  <c r="D127" i="90" a="1"/>
  <c r="D127" s="1"/>
  <c r="E81"/>
  <c r="D124" i="93" a="1"/>
  <c r="D124" s="1"/>
  <c r="D125" a="1"/>
  <c r="D125" s="1"/>
  <c r="D124" i="101" a="1"/>
  <c r="D124" s="1"/>
  <c r="D125" a="1"/>
  <c r="D125" s="1"/>
  <c r="D127" i="108" a="1"/>
  <c r="D127" s="1"/>
  <c r="E77" i="129"/>
  <c r="E80" i="39"/>
  <c r="D122" a="1"/>
  <c r="D122" s="1"/>
  <c r="D127" i="47" a="1"/>
  <c r="D127" s="1"/>
  <c r="D123" a="1"/>
  <c r="D123" s="1"/>
  <c r="E113" i="48"/>
  <c r="E127" s="1" a="1"/>
  <c r="E127" s="1"/>
  <c r="D122" a="1"/>
  <c r="D122" s="1"/>
  <c r="D127" i="51" a="1"/>
  <c r="D127" s="1"/>
  <c r="E80" i="60"/>
  <c r="F607" i="105"/>
  <c r="I31" i="104"/>
  <c r="I607" i="105"/>
  <c r="D607"/>
  <c r="F226" i="130"/>
  <c r="E56" i="131" s="1"/>
  <c r="I40"/>
  <c r="F46"/>
  <c r="F54" s="1"/>
  <c r="C128" i="76" a="1"/>
  <c r="C128" s="1"/>
  <c r="C130" s="1"/>
  <c r="E128" i="128" a="1"/>
  <c r="E128" s="1"/>
  <c r="E130" s="1"/>
  <c r="F9" i="104"/>
  <c r="F31" s="1"/>
  <c r="F14" i="72"/>
  <c r="F205" s="1"/>
  <c r="F78" i="83"/>
  <c r="Q78" s="1"/>
  <c r="C128" i="94" a="1"/>
  <c r="C128" s="1"/>
  <c r="C130" s="1"/>
  <c r="D126" i="55" a="1"/>
  <c r="D126" s="1"/>
  <c r="C128" i="87" a="1"/>
  <c r="C128" s="1"/>
  <c r="C130" s="1"/>
  <c r="C104" i="80"/>
  <c r="E78" i="129"/>
  <c r="E81" i="68"/>
  <c r="E82"/>
  <c r="D91" a="1"/>
  <c r="D91" s="1"/>
  <c r="D103" s="1"/>
  <c r="E77" i="76"/>
  <c r="P77" s="1"/>
  <c r="E80" i="69"/>
  <c r="E80" i="89"/>
  <c r="E77" i="108"/>
  <c r="E80" i="127"/>
  <c r="D87" i="51" a="1"/>
  <c r="D87" s="1"/>
  <c r="D99" s="1"/>
  <c r="D91" i="69" a="1"/>
  <c r="D91" s="1"/>
  <c r="D103" s="1"/>
  <c r="E81" i="32"/>
  <c r="P81" s="1"/>
  <c r="E82" i="67"/>
  <c r="E80" i="76"/>
  <c r="E78" i="89"/>
  <c r="E77" i="128"/>
  <c r="P77" s="1"/>
  <c r="E79" i="129"/>
  <c r="E80" i="48"/>
  <c r="E81"/>
  <c r="E79" i="57"/>
  <c r="D124" i="55" a="1"/>
  <c r="D124" s="1"/>
  <c r="E609" i="130"/>
  <c r="H609"/>
  <c r="I15" i="131"/>
  <c r="C128" i="129" a="1"/>
  <c r="C128" s="1"/>
  <c r="C130" s="1"/>
  <c r="C128" i="41" a="1"/>
  <c r="C128" s="1"/>
  <c r="C130" s="1"/>
  <c r="C128" i="55" a="1"/>
  <c r="C128" s="1"/>
  <c r="C130" s="1"/>
  <c r="J609" i="105"/>
  <c r="J636" s="1"/>
  <c r="J226" i="130"/>
  <c r="J609" s="1"/>
  <c r="K19" i="131"/>
  <c r="I41"/>
  <c r="E607" i="105"/>
  <c r="C128" i="77" a="1"/>
  <c r="C128" s="1"/>
  <c r="C130" s="1"/>
  <c r="C128" i="89" a="1"/>
  <c r="C128" s="1"/>
  <c r="C130" s="1"/>
  <c r="C128" i="39" a="1"/>
  <c r="C128" s="1"/>
  <c r="C130" s="1"/>
  <c r="C128" i="47" a="1"/>
  <c r="C128" s="1"/>
  <c r="C130" s="1"/>
  <c r="H19" i="131"/>
  <c r="H56" s="1"/>
  <c r="D90" i="68" a="1"/>
  <c r="D90" s="1"/>
  <c r="E32" i="72"/>
  <c r="I12" i="131"/>
  <c r="D19"/>
  <c r="C128" i="70" a="1"/>
  <c r="C128" s="1"/>
  <c r="C130" s="1"/>
  <c r="C128" i="69" a="1"/>
  <c r="C128" s="1"/>
  <c r="C130" s="1"/>
  <c r="C128" i="81" a="1"/>
  <c r="C128" s="1"/>
  <c r="C130" s="1"/>
  <c r="D129" i="91" a="1"/>
  <c r="D129" s="1"/>
  <c r="C128" i="97" a="1"/>
  <c r="C128" s="1"/>
  <c r="C130" s="1"/>
  <c r="C128" i="52" a="1"/>
  <c r="C128" s="1"/>
  <c r="C130" s="1"/>
  <c r="E77" i="55"/>
  <c r="F77" s="1"/>
  <c r="Q77" s="1"/>
  <c r="D129" a="1"/>
  <c r="D129" s="1"/>
  <c r="D129" i="58" a="1"/>
  <c r="D129" s="1"/>
  <c r="C128" i="60" a="1"/>
  <c r="C128" s="1"/>
  <c r="C130" s="1"/>
  <c r="D609" i="105"/>
  <c r="D636" s="1"/>
  <c r="H607"/>
  <c r="H607" i="130"/>
  <c r="D226"/>
  <c r="D609" s="1"/>
  <c r="K46" i="131"/>
  <c r="I42"/>
  <c r="E46"/>
  <c r="I45"/>
  <c r="D46"/>
  <c r="F56"/>
  <c r="I35"/>
  <c r="I36" s="1"/>
  <c r="D36"/>
  <c r="C128" i="43" a="1"/>
  <c r="C128" s="1"/>
  <c r="C130" s="1"/>
  <c r="C128" i="44" a="1"/>
  <c r="C128" s="1"/>
  <c r="C130" s="1"/>
  <c r="C128" i="49" a="1"/>
  <c r="C128" s="1"/>
  <c r="C130" s="1"/>
  <c r="D125" i="55" a="1"/>
  <c r="D125" s="1"/>
  <c r="F609" i="105"/>
  <c r="F636" s="1"/>
  <c r="I14" i="131"/>
  <c r="H46"/>
  <c r="H57" s="1"/>
  <c r="J46"/>
  <c r="J19"/>
  <c r="C128" i="73" a="1"/>
  <c r="C128" s="1"/>
  <c r="C130" s="1"/>
  <c r="C128" i="85" a="1"/>
  <c r="C128" s="1"/>
  <c r="C130" s="1"/>
  <c r="C128" i="93" a="1"/>
  <c r="C128" s="1"/>
  <c r="C130" s="1"/>
  <c r="C128" i="108" a="1"/>
  <c r="C128" s="1"/>
  <c r="C130" s="1"/>
  <c r="C128" i="128" a="1"/>
  <c r="C128" s="1"/>
  <c r="C130" s="1"/>
  <c r="F128" a="1"/>
  <c r="F128" s="1"/>
  <c r="F130" s="1"/>
  <c r="H609" i="105"/>
  <c r="H636" s="1"/>
  <c r="I609" i="130"/>
  <c r="I30" i="131"/>
  <c r="G19"/>
  <c r="G46"/>
  <c r="F34" i="104"/>
  <c r="E79" i="67"/>
  <c r="E81" i="41"/>
  <c r="E82" i="54"/>
  <c r="E78" i="69"/>
  <c r="D90" a="1"/>
  <c r="D90" s="1"/>
  <c r="E81" i="72"/>
  <c r="D88" i="76" a="1"/>
  <c r="D88" s="1"/>
  <c r="D100" s="1"/>
  <c r="E79" i="52"/>
  <c r="F79" s="1"/>
  <c r="Q79" s="1"/>
  <c r="E80"/>
  <c r="E78" i="59"/>
  <c r="E82" i="39"/>
  <c r="D89" i="129" a="1"/>
  <c r="D89" s="1"/>
  <c r="N83" i="98"/>
  <c r="D91" i="87" a="1"/>
  <c r="D91" s="1"/>
  <c r="D89" i="51" a="1"/>
  <c r="D89" s="1"/>
  <c r="D101" s="1"/>
  <c r="E80" i="77"/>
  <c r="E82" i="85"/>
  <c r="E79"/>
  <c r="D90" i="87" a="1"/>
  <c r="D90" s="1"/>
  <c r="D102" s="1"/>
  <c r="E82" i="95"/>
  <c r="E80"/>
  <c r="E82" i="129"/>
  <c r="D89" i="39" a="1"/>
  <c r="D89" s="1"/>
  <c r="D101" s="1"/>
  <c r="D93" i="51" a="1"/>
  <c r="D93" s="1"/>
  <c r="E80" i="54"/>
  <c r="E78" i="55"/>
  <c r="D90" i="51" a="1"/>
  <c r="D90" s="1"/>
  <c r="D102" s="1"/>
  <c r="D88" i="54" a="1"/>
  <c r="D88" s="1"/>
  <c r="D86" i="68" a="1"/>
  <c r="D86" s="1"/>
  <c r="D98" s="1"/>
  <c r="E80" i="87"/>
  <c r="D93" i="89" a="1"/>
  <c r="D93" s="1"/>
  <c r="E81" i="52"/>
  <c r="D88" i="57" a="1"/>
  <c r="D88" s="1"/>
  <c r="D100" s="1"/>
  <c r="E79" i="68"/>
  <c r="P79" s="1"/>
  <c r="D87" a="1"/>
  <c r="D87" s="1"/>
  <c r="D88" a="1"/>
  <c r="D88" s="1"/>
  <c r="D100" s="1"/>
  <c r="D89" a="1"/>
  <c r="D89" s="1"/>
  <c r="D101" s="1"/>
  <c r="D87" i="69" a="1"/>
  <c r="D87" s="1"/>
  <c r="D88" a="1"/>
  <c r="D88" s="1"/>
  <c r="D100" s="1"/>
  <c r="D89" a="1"/>
  <c r="D89" s="1"/>
  <c r="D101" s="1"/>
  <c r="D93" i="129" a="1"/>
  <c r="D93" s="1"/>
  <c r="E80"/>
  <c r="E81"/>
  <c r="E78" i="57"/>
  <c r="D93" i="68" a="1"/>
  <c r="D93" s="1"/>
  <c r="D93" i="69" a="1"/>
  <c r="D93" s="1"/>
  <c r="D86" a="1"/>
  <c r="D86" s="1"/>
  <c r="D98" s="1"/>
  <c r="E81" i="75"/>
  <c r="D87" i="129" a="1"/>
  <c r="D87" s="1"/>
  <c r="D93" i="48" a="1"/>
  <c r="D93" s="1"/>
  <c r="E79" i="55"/>
  <c r="E80" i="58"/>
  <c r="D86" i="54" a="1"/>
  <c r="D86" s="1"/>
  <c r="D93" i="52" a="1"/>
  <c r="D93" s="1"/>
  <c r="D90" i="41" a="1"/>
  <c r="D90" s="1"/>
  <c r="D86" i="87" a="1"/>
  <c r="D86" s="1"/>
  <c r="D89" i="48" a="1"/>
  <c r="D89" s="1"/>
  <c r="D101" s="1"/>
  <c r="D88" i="129" a="1"/>
  <c r="D88" s="1"/>
  <c r="E81" i="59"/>
  <c r="E82" i="60"/>
  <c r="D93" i="76" a="1"/>
  <c r="D93" s="1"/>
  <c r="D89" a="1"/>
  <c r="D89" s="1"/>
  <c r="D101" s="1"/>
  <c r="E81" i="87"/>
  <c r="D87" a="1"/>
  <c r="D87" s="1"/>
  <c r="D99" s="1"/>
  <c r="D88" a="1"/>
  <c r="D88" s="1"/>
  <c r="D100" s="1"/>
  <c r="D89" a="1"/>
  <c r="D89" s="1"/>
  <c r="D101" s="1"/>
  <c r="E82" i="88"/>
  <c r="D90" i="89" a="1"/>
  <c r="D90" s="1"/>
  <c r="D102" s="1"/>
  <c r="D89" a="1"/>
  <c r="D89" s="1"/>
  <c r="D101" s="1"/>
  <c r="E79"/>
  <c r="D93" i="95" a="1"/>
  <c r="D93" s="1"/>
  <c r="D90" i="129" a="1"/>
  <c r="D90" s="1"/>
  <c r="D91" a="1"/>
  <c r="D91" s="1"/>
  <c r="D91" i="41" a="1"/>
  <c r="D91" s="1"/>
  <c r="D103" s="1"/>
  <c r="E81" i="43"/>
  <c r="D87" i="48" a="1"/>
  <c r="D87" s="1"/>
  <c r="D99" s="1"/>
  <c r="D86" i="51" a="1"/>
  <c r="D86" s="1"/>
  <c r="D98" s="1"/>
  <c r="D91" a="1"/>
  <c r="D91" s="1"/>
  <c r="D86" i="52" a="1"/>
  <c r="D86" s="1"/>
  <c r="D98" s="1"/>
  <c r="D86" i="57" a="1"/>
  <c r="D86" s="1"/>
  <c r="D98" s="1"/>
  <c r="G31" i="78"/>
  <c r="D87" i="76" a="1"/>
  <c r="D87" s="1"/>
  <c r="D99" s="1"/>
  <c r="D86" a="1"/>
  <c r="D86" s="1"/>
  <c r="C92" i="84" a="1"/>
  <c r="C92" s="1"/>
  <c r="C94" s="1"/>
  <c r="D93" i="87" a="1"/>
  <c r="D93" s="1"/>
  <c r="D87" i="89" a="1"/>
  <c r="D87" s="1"/>
  <c r="D88" a="1"/>
  <c r="D88" s="1"/>
  <c r="D86" i="95" a="1"/>
  <c r="D86" s="1"/>
  <c r="D98" s="1"/>
  <c r="D88" i="108" a="1"/>
  <c r="D88" s="1"/>
  <c r="D100" s="1"/>
  <c r="D86" i="129" a="1"/>
  <c r="D86" s="1"/>
  <c r="D98" s="1"/>
  <c r="E82" i="32"/>
  <c r="P82" s="1"/>
  <c r="E77" i="48"/>
  <c r="E81" i="51"/>
  <c r="F81" s="1"/>
  <c r="D88" a="1"/>
  <c r="D88" s="1"/>
  <c r="D100" s="1"/>
  <c r="E78" i="85"/>
  <c r="D86" i="108" a="1"/>
  <c r="D86" s="1"/>
  <c r="D90" i="39" a="1"/>
  <c r="D90" s="1"/>
  <c r="D102" s="1"/>
  <c r="D88" i="99" a="1"/>
  <c r="D88" s="1"/>
  <c r="D100" s="1"/>
  <c r="C92" i="73" a="1"/>
  <c r="C92" s="1"/>
  <c r="C94" s="1"/>
  <c r="D89" i="54" a="1"/>
  <c r="D89" s="1"/>
  <c r="D88" i="95" a="1"/>
  <c r="D88" s="1"/>
  <c r="D100" s="1"/>
  <c r="D91" i="52" a="1"/>
  <c r="D91" s="1"/>
  <c r="E82" i="100"/>
  <c r="E79" i="128"/>
  <c r="P79" s="1"/>
  <c r="D88" i="39" a="1"/>
  <c r="D88" s="1"/>
  <c r="D100" s="1"/>
  <c r="D89" i="108" a="1"/>
  <c r="D89" s="1"/>
  <c r="D101" s="1"/>
  <c r="D88" i="41" a="1"/>
  <c r="D88" s="1"/>
  <c r="D100" s="1"/>
  <c r="E80" i="75"/>
  <c r="E79" i="32"/>
  <c r="P79" s="1"/>
  <c r="D87" i="39" a="1"/>
  <c r="D87" s="1"/>
  <c r="D99" s="1"/>
  <c r="D91" a="1"/>
  <c r="D91" s="1"/>
  <c r="E80" i="42"/>
  <c r="E81" i="85"/>
  <c r="E82" i="71"/>
  <c r="F82" s="1"/>
  <c r="E82" i="73"/>
  <c r="E82" i="76"/>
  <c r="D90" a="1"/>
  <c r="D90" s="1"/>
  <c r="D102" s="1"/>
  <c r="D91" a="1"/>
  <c r="D91" s="1"/>
  <c r="D103" s="1"/>
  <c r="E81" i="86"/>
  <c r="E81" i="88"/>
  <c r="D86" i="89" a="1"/>
  <c r="D86" s="1"/>
  <c r="D98" s="1"/>
  <c r="D91" a="1"/>
  <c r="D91" s="1"/>
  <c r="E78" i="90"/>
  <c r="D90" i="95" a="1"/>
  <c r="D90" s="1"/>
  <c r="D102" s="1"/>
  <c r="D87" a="1"/>
  <c r="D87" s="1"/>
  <c r="D99" s="1"/>
  <c r="D89" a="1"/>
  <c r="D89" s="1"/>
  <c r="D101" s="1"/>
  <c r="D90" i="108" a="1"/>
  <c r="D90" s="1"/>
  <c r="D102" s="1"/>
  <c r="D91" a="1"/>
  <c r="D91" s="1"/>
  <c r="E82" i="109"/>
  <c r="P82" s="1"/>
  <c r="D93" i="39" a="1"/>
  <c r="D93" s="1"/>
  <c r="D86" a="1"/>
  <c r="D86" s="1"/>
  <c r="D98" s="1"/>
  <c r="E78" i="41"/>
  <c r="D87" a="1"/>
  <c r="D87" s="1"/>
  <c r="D99" s="1"/>
  <c r="D93" a="1"/>
  <c r="D93" s="1"/>
  <c r="D89" a="1"/>
  <c r="D89" s="1"/>
  <c r="D101" s="1"/>
  <c r="E82" i="43"/>
  <c r="P82" s="1"/>
  <c r="E81" i="45"/>
  <c r="D90" i="48" a="1"/>
  <c r="D90" s="1"/>
  <c r="D102" s="1"/>
  <c r="D88" a="1"/>
  <c r="D88" s="1"/>
  <c r="D100" s="1"/>
  <c r="D87" i="52" a="1"/>
  <c r="D87" s="1"/>
  <c r="D99" s="1"/>
  <c r="D88" a="1"/>
  <c r="D88" s="1"/>
  <c r="D100" s="1"/>
  <c r="D89" a="1"/>
  <c r="D89" s="1"/>
  <c r="D101" s="1"/>
  <c r="E81" i="54"/>
  <c r="D90" a="1"/>
  <c r="D90" s="1"/>
  <c r="D102" s="1"/>
  <c r="D91" a="1"/>
  <c r="D91" s="1"/>
  <c r="D103" s="1"/>
  <c r="E81" i="55"/>
  <c r="E81" i="57"/>
  <c r="D90" a="1"/>
  <c r="D90" s="1"/>
  <c r="D102" s="1"/>
  <c r="D91" a="1"/>
  <c r="D91" s="1"/>
  <c r="D103" s="1"/>
  <c r="E80" i="91"/>
  <c r="D91" i="95" a="1"/>
  <c r="D91" s="1"/>
  <c r="D86" i="99" a="1"/>
  <c r="D86" s="1"/>
  <c r="D98" s="1"/>
  <c r="E81"/>
  <c r="E80" i="102"/>
  <c r="D87" i="108" a="1"/>
  <c r="D87" s="1"/>
  <c r="D93" a="1"/>
  <c r="D93" s="1"/>
  <c r="E82" i="38"/>
  <c r="D86" i="41" a="1"/>
  <c r="D86" s="1"/>
  <c r="D98" s="1"/>
  <c r="E78" i="48"/>
  <c r="D86" a="1"/>
  <c r="D86" s="1"/>
  <c r="D98" s="1"/>
  <c r="D91" a="1"/>
  <c r="D91" s="1"/>
  <c r="D103" s="1"/>
  <c r="D90" i="52" a="1"/>
  <c r="D90" s="1"/>
  <c r="D102" s="1"/>
  <c r="D87" i="54" a="1"/>
  <c r="D87" s="1"/>
  <c r="D99" s="1"/>
  <c r="D93" a="1"/>
  <c r="D93" s="1"/>
  <c r="D87" i="57" a="1"/>
  <c r="D87" s="1"/>
  <c r="D99" s="1"/>
  <c r="D93" a="1"/>
  <c r="D93" s="1"/>
  <c r="D89" a="1"/>
  <c r="D89" s="1"/>
  <c r="E82" i="58"/>
  <c r="E81" i="79"/>
  <c r="E78" i="74"/>
  <c r="E79" i="91"/>
  <c r="P79" s="1"/>
  <c r="F82" i="92"/>
  <c r="C92" i="88" a="1"/>
  <c r="C92" s="1"/>
  <c r="C94" s="1"/>
  <c r="D87" i="128" a="1"/>
  <c r="D87" s="1"/>
  <c r="E78"/>
  <c r="P78" s="1"/>
  <c r="N83"/>
  <c r="E80" i="79"/>
  <c r="F80" i="80"/>
  <c r="Q80" s="1"/>
  <c r="F79" i="92"/>
  <c r="Q79" s="1"/>
  <c r="C92" i="60" a="1"/>
  <c r="C92" s="1"/>
  <c r="C94" s="1"/>
  <c r="E82" i="74"/>
  <c r="E79" i="70"/>
  <c r="C92" i="89" a="1"/>
  <c r="C92" s="1"/>
  <c r="C94" s="1"/>
  <c r="C92" i="90" a="1"/>
  <c r="C92" s="1"/>
  <c r="C94" s="1"/>
  <c r="E82" i="127"/>
  <c r="D86" i="128" a="1"/>
  <c r="D86" s="1"/>
  <c r="D98" s="1"/>
  <c r="E81"/>
  <c r="P81" s="1"/>
  <c r="E81" i="49"/>
  <c r="D91" i="55" a="1"/>
  <c r="D91" s="1"/>
  <c r="F78" i="78"/>
  <c r="Q78" s="1"/>
  <c r="E81" i="70"/>
  <c r="E79" i="73"/>
  <c r="P79" s="1"/>
  <c r="E80" i="86"/>
  <c r="E79" i="90"/>
  <c r="P79" s="1"/>
  <c r="C92" i="72" a="1"/>
  <c r="C92" s="1"/>
  <c r="C94" s="1"/>
  <c r="C92" i="87" a="1"/>
  <c r="C92" s="1"/>
  <c r="C94" s="1"/>
  <c r="F82" i="80"/>
  <c r="E82" i="93"/>
  <c r="D92" i="94" a="1"/>
  <c r="D92" s="1"/>
  <c r="D94" s="1"/>
  <c r="E82" i="96"/>
  <c r="E80" i="40"/>
  <c r="P80" s="1"/>
  <c r="E82" i="49"/>
  <c r="P82" s="1"/>
  <c r="E82" i="55"/>
  <c r="D86" a="1"/>
  <c r="D86" s="1"/>
  <c r="E80" i="78"/>
  <c r="F80" s="1"/>
  <c r="E77"/>
  <c r="E81"/>
  <c r="D92" i="81" a="1"/>
  <c r="D92" s="1"/>
  <c r="D94" s="1"/>
  <c r="E79" i="82"/>
  <c r="C92" i="79" a="1"/>
  <c r="C92" s="1"/>
  <c r="C94" s="1"/>
  <c r="D92" i="92" a="1"/>
  <c r="D92" s="1"/>
  <c r="D94" s="1"/>
  <c r="F78" i="98"/>
  <c r="E80" i="100"/>
  <c r="E80" i="101"/>
  <c r="P80" s="1"/>
  <c r="C92" i="109" a="1"/>
  <c r="C92" s="1"/>
  <c r="C94" s="1"/>
  <c r="C92" i="39" a="1"/>
  <c r="C92" s="1"/>
  <c r="C94" s="1"/>
  <c r="E81" i="40"/>
  <c r="P81" s="1"/>
  <c r="E80" i="43"/>
  <c r="E80" i="44"/>
  <c r="E79"/>
  <c r="C92" i="48" a="1"/>
  <c r="C92" s="1"/>
  <c r="C94" s="1"/>
  <c r="E80" i="49"/>
  <c r="P80" s="1"/>
  <c r="E79"/>
  <c r="F79" s="1"/>
  <c r="Q79" s="1"/>
  <c r="E81" i="50"/>
  <c r="P81" s="1"/>
  <c r="C92" i="51" a="1"/>
  <c r="C92" s="1"/>
  <c r="C94" s="1"/>
  <c r="E81" i="53"/>
  <c r="P81" s="1"/>
  <c r="D92" i="56" a="1"/>
  <c r="D92" s="1"/>
  <c r="D94" s="1"/>
  <c r="C105" i="80"/>
  <c r="G32" i="104"/>
  <c r="F35" i="63"/>
  <c r="D30" i="32"/>
  <c r="G34" i="63"/>
  <c r="H31" i="104"/>
  <c r="H34" i="63"/>
  <c r="E223" i="113"/>
  <c r="E224" s="1"/>
  <c r="J380" i="114"/>
  <c r="G33" i="63"/>
  <c r="F31"/>
  <c r="H35" i="104"/>
  <c r="I33"/>
  <c r="I35"/>
  <c r="H31" i="63"/>
  <c r="C206" i="55"/>
  <c r="F34" i="63"/>
  <c r="H33" i="46"/>
  <c r="E31" i="63"/>
  <c r="E34" i="82"/>
  <c r="I34" i="100"/>
  <c r="D36" i="81"/>
  <c r="D206" s="1"/>
  <c r="E33" i="63"/>
  <c r="E10"/>
  <c r="D14" i="127"/>
  <c r="D205" s="1"/>
  <c r="E31" i="104"/>
  <c r="G35" i="63"/>
  <c r="F32" i="104"/>
  <c r="I36" i="102"/>
  <c r="I206" s="1"/>
  <c r="F36" i="87"/>
  <c r="F206" s="1"/>
  <c r="I36" i="82"/>
  <c r="I206" s="1"/>
  <c r="I36" i="91"/>
  <c r="I206" s="1"/>
  <c r="D36" i="38"/>
  <c r="D206" s="1"/>
  <c r="I36" i="101"/>
  <c r="I206" s="1"/>
  <c r="F36" i="86"/>
  <c r="F206" s="1"/>
  <c r="L118" i="105"/>
  <c r="L118" i="130" s="1"/>
  <c r="L124" s="1"/>
  <c r="L22" i="131" s="1"/>
  <c r="H35" i="63"/>
  <c r="I35"/>
  <c r="I36" i="86"/>
  <c r="I206" s="1"/>
  <c r="E34" i="51"/>
  <c r="F36" i="73"/>
  <c r="F206" s="1"/>
  <c r="D36" i="84"/>
  <c r="D206" s="1"/>
  <c r="C206" i="52"/>
  <c r="I31" i="63"/>
  <c r="H34" i="104"/>
  <c r="H32"/>
  <c r="G33"/>
  <c r="G31" i="55"/>
  <c r="G8" i="104"/>
  <c r="G8" i="63"/>
  <c r="H33" i="82"/>
  <c r="G31" i="75"/>
  <c r="G31" i="88"/>
  <c r="E14" i="80"/>
  <c r="E205" s="1"/>
  <c r="D14" i="100"/>
  <c r="D205" s="1"/>
  <c r="D10" i="63"/>
  <c r="D32" s="1"/>
  <c r="D12"/>
  <c r="D34" s="1"/>
  <c r="I36" i="90"/>
  <c r="I206" s="1"/>
  <c r="D10" i="104"/>
  <c r="D32" s="1"/>
  <c r="D9"/>
  <c r="D31" s="1"/>
  <c r="F36" i="102"/>
  <c r="F206" s="1"/>
  <c r="I36" i="93"/>
  <c r="I206" s="1"/>
  <c r="F36" i="82"/>
  <c r="F206" s="1"/>
  <c r="I36" i="56"/>
  <c r="I206" s="1"/>
  <c r="I36" i="57"/>
  <c r="I206" s="1"/>
  <c r="F36" i="68"/>
  <c r="F206" s="1"/>
  <c r="I36"/>
  <c r="I206" s="1"/>
  <c r="F36" i="80"/>
  <c r="F206" s="1"/>
  <c r="I36" i="52"/>
  <c r="I206" s="1"/>
  <c r="F36" i="93"/>
  <c r="F206" s="1"/>
  <c r="I36" i="69"/>
  <c r="I206" s="1"/>
  <c r="F36"/>
  <c r="F206" s="1"/>
  <c r="D36" i="94"/>
  <c r="D206" s="1"/>
  <c r="O83" i="129"/>
  <c r="I34" i="63"/>
  <c r="I32" i="104"/>
  <c r="F33"/>
  <c r="G34"/>
  <c r="F36" i="76"/>
  <c r="F206" s="1"/>
  <c r="G32" i="54"/>
  <c r="F35" i="100"/>
  <c r="H11" i="63"/>
  <c r="E11" i="104"/>
  <c r="E14" i="78"/>
  <c r="E205" s="1"/>
  <c r="G14" i="54"/>
  <c r="G205" s="1"/>
  <c r="F30" i="41"/>
  <c r="F14"/>
  <c r="F205" s="1"/>
  <c r="D8" i="104"/>
  <c r="D14" i="68"/>
  <c r="D205" s="1"/>
  <c r="D30"/>
  <c r="D32" i="74"/>
  <c r="D14"/>
  <c r="D205" s="1"/>
  <c r="I14" i="87"/>
  <c r="I205" s="1"/>
  <c r="I30"/>
  <c r="D31" i="99"/>
  <c r="D14"/>
  <c r="D205" s="1"/>
  <c r="D31" i="39"/>
  <c r="D14"/>
  <c r="D205" s="1"/>
  <c r="D31" i="42"/>
  <c r="D14"/>
  <c r="D205" s="1"/>
  <c r="D31" i="45"/>
  <c r="D14"/>
  <c r="D205" s="1"/>
  <c r="G31" i="52"/>
  <c r="G14"/>
  <c r="G205" s="1"/>
  <c r="D31" i="76"/>
  <c r="D14"/>
  <c r="D205" s="1"/>
  <c r="I30" i="73"/>
  <c r="I14"/>
  <c r="I205" s="1"/>
  <c r="G31"/>
  <c r="G14"/>
  <c r="G205" s="1"/>
  <c r="D32" i="109"/>
  <c r="D14"/>
  <c r="D205" s="1"/>
  <c r="D14" i="96"/>
  <c r="D205" s="1"/>
  <c r="D31"/>
  <c r="D31" i="73"/>
  <c r="D14"/>
  <c r="D205" s="1"/>
  <c r="G31" i="76"/>
  <c r="G14"/>
  <c r="G205" s="1"/>
  <c r="D31" i="88"/>
  <c r="D14"/>
  <c r="D205" s="1"/>
  <c r="D31" i="98"/>
  <c r="D14"/>
  <c r="D205" s="1"/>
  <c r="D31" i="53"/>
  <c r="D14"/>
  <c r="D205" s="1"/>
  <c r="J223" i="113"/>
  <c r="J224" s="1"/>
  <c r="G35" i="104"/>
  <c r="E8" i="63"/>
  <c r="E10" i="104"/>
  <c r="D30" i="85"/>
  <c r="D14"/>
  <c r="D205" s="1"/>
  <c r="F8" i="63"/>
  <c r="F14" i="32"/>
  <c r="F205" s="1"/>
  <c r="D14" i="69"/>
  <c r="D205" s="1"/>
  <c r="D30"/>
  <c r="I14" i="39"/>
  <c r="I205" s="1"/>
  <c r="I30"/>
  <c r="D31" i="72"/>
  <c r="D14"/>
  <c r="D205" s="1"/>
  <c r="I30" i="80"/>
  <c r="I14"/>
  <c r="I205" s="1"/>
  <c r="D31" i="49"/>
  <c r="D14"/>
  <c r="D205" s="1"/>
  <c r="F14" i="52"/>
  <c r="F205" s="1"/>
  <c r="F30"/>
  <c r="D31" i="40"/>
  <c r="D14"/>
  <c r="D205" s="1"/>
  <c r="D31" i="43"/>
  <c r="D14"/>
  <c r="D205" s="1"/>
  <c r="D31" i="46"/>
  <c r="D14"/>
  <c r="D205" s="1"/>
  <c r="E32" i="49"/>
  <c r="E14"/>
  <c r="E205" s="1"/>
  <c r="I14" i="76"/>
  <c r="I205" s="1"/>
  <c r="I30"/>
  <c r="D31" i="75"/>
  <c r="D14"/>
  <c r="D205" s="1"/>
  <c r="D31" i="97"/>
  <c r="D14"/>
  <c r="D205" s="1"/>
  <c r="G31" i="49"/>
  <c r="G14"/>
  <c r="G205" s="1"/>
  <c r="D31" i="52"/>
  <c r="D14"/>
  <c r="D205" s="1"/>
  <c r="D32" i="48"/>
  <c r="D14"/>
  <c r="D205" s="1"/>
  <c r="I223" i="113"/>
  <c r="I224" s="1"/>
  <c r="I380" i="114"/>
  <c r="G380"/>
  <c r="D9" i="63"/>
  <c r="D31" s="1"/>
  <c r="E12" i="104"/>
  <c r="H8"/>
  <c r="G9"/>
  <c r="F8"/>
  <c r="I12"/>
  <c r="E14" i="51"/>
  <c r="E205" s="1"/>
  <c r="I14" i="41"/>
  <c r="I205" s="1"/>
  <c r="I30"/>
  <c r="D8" i="63"/>
  <c r="D30" i="57"/>
  <c r="D14"/>
  <c r="D205" s="1"/>
  <c r="I14" i="32"/>
  <c r="I205" s="1"/>
  <c r="I8" i="63"/>
  <c r="F30" i="101"/>
  <c r="F14"/>
  <c r="F205" s="1"/>
  <c r="F14" i="39"/>
  <c r="F205" s="1"/>
  <c r="F30"/>
  <c r="D14" i="86"/>
  <c r="D205" s="1"/>
  <c r="D30"/>
  <c r="D30" i="70"/>
  <c r="D14"/>
  <c r="D205" s="1"/>
  <c r="E14" i="71"/>
  <c r="E205" s="1"/>
  <c r="E35"/>
  <c r="D30"/>
  <c r="D14"/>
  <c r="D205" s="1"/>
  <c r="D32" i="87"/>
  <c r="D14"/>
  <c r="D205" s="1"/>
  <c r="F11" i="63"/>
  <c r="F33" i="46"/>
  <c r="F14"/>
  <c r="F205" s="1"/>
  <c r="D31" i="41"/>
  <c r="D14"/>
  <c r="D205" s="1"/>
  <c r="D31" i="44"/>
  <c r="D14"/>
  <c r="D205" s="1"/>
  <c r="E14" i="46"/>
  <c r="E205" s="1"/>
  <c r="E35"/>
  <c r="D31" i="50"/>
  <c r="D14"/>
  <c r="D205" s="1"/>
  <c r="D31" i="78"/>
  <c r="D14"/>
  <c r="D205" s="1"/>
  <c r="D31" i="79"/>
  <c r="D14"/>
  <c r="D205" s="1"/>
  <c r="D31" i="95"/>
  <c r="D14"/>
  <c r="D205" s="1"/>
  <c r="I11" i="63"/>
  <c r="I33" i="46"/>
  <c r="I14"/>
  <c r="I205" s="1"/>
  <c r="D32" i="51"/>
  <c r="D14"/>
  <c r="D205" s="1"/>
  <c r="D32" i="77"/>
  <c r="D14"/>
  <c r="D205" s="1"/>
  <c r="D32" i="80"/>
  <c r="D14"/>
  <c r="D205" s="1"/>
  <c r="F14" i="90"/>
  <c r="F205" s="1"/>
  <c r="F30"/>
  <c r="D31" i="101"/>
  <c r="D14"/>
  <c r="D205" s="1"/>
  <c r="E32" i="52"/>
  <c r="E14"/>
  <c r="E205" s="1"/>
  <c r="F223" i="113"/>
  <c r="F224" s="1"/>
  <c r="H223"/>
  <c r="H224" s="1"/>
  <c r="F380" i="114"/>
  <c r="E380"/>
  <c r="H380"/>
  <c r="E8" i="104"/>
  <c r="H8" i="63"/>
  <c r="I8" i="104"/>
  <c r="F13"/>
  <c r="D14" i="47"/>
  <c r="D205" s="1"/>
  <c r="H11" i="104"/>
  <c r="G9" i="63"/>
  <c r="C105" i="84"/>
  <c r="C105" i="56"/>
  <c r="C314" i="135"/>
  <c r="C239" i="130"/>
  <c r="B43" i="135"/>
  <c r="B34" i="130"/>
  <c r="L169" i="105"/>
  <c r="L163" i="130"/>
  <c r="L169" s="1"/>
  <c r="L26" i="131" s="1"/>
  <c r="L115" i="105"/>
  <c r="L109" i="130"/>
  <c r="L115" s="1"/>
  <c r="L21" i="131" s="1"/>
  <c r="L448" i="105"/>
  <c r="L442" i="130"/>
  <c r="L448" s="1"/>
  <c r="L320" i="105"/>
  <c r="L314" i="130"/>
  <c r="L320" s="1"/>
  <c r="L178" i="105"/>
  <c r="L172" i="130"/>
  <c r="L178" s="1"/>
  <c r="L27" i="131" s="1"/>
  <c r="L605" i="105"/>
  <c r="L599" i="130"/>
  <c r="L605" s="1"/>
  <c r="L264" i="105"/>
  <c r="L258" i="130"/>
  <c r="L264" s="1"/>
  <c r="L50" i="105"/>
  <c r="L44" i="130"/>
  <c r="L50" s="1"/>
  <c r="L493" i="105"/>
  <c r="L487" i="130"/>
  <c r="L493" s="1"/>
  <c r="L246" i="105"/>
  <c r="L240" i="130"/>
  <c r="L246" s="1"/>
  <c r="K226"/>
  <c r="K609" s="1"/>
  <c r="C19" i="135"/>
  <c r="C16" i="130"/>
  <c r="B338" i="135"/>
  <c r="B257" i="130"/>
  <c r="L151" i="105"/>
  <c r="L145" i="130"/>
  <c r="L151" s="1"/>
  <c r="L32" i="131" s="1"/>
  <c r="L569" i="105"/>
  <c r="L563" i="130"/>
  <c r="L569" s="1"/>
  <c r="L439" i="105"/>
  <c r="L433" i="130"/>
  <c r="L439" s="1"/>
  <c r="L44" i="131" s="1"/>
  <c r="L160" i="105"/>
  <c r="L154" i="130"/>
  <c r="L160" s="1"/>
  <c r="L33" i="131" s="1"/>
  <c r="L484" i="105"/>
  <c r="L478" i="130"/>
  <c r="L484" s="1"/>
  <c r="L255" i="105"/>
  <c r="L249" i="130"/>
  <c r="L255" s="1"/>
  <c r="L39" i="131" s="1"/>
  <c r="L522" i="130"/>
  <c r="L412" i="105"/>
  <c r="L406" i="130"/>
  <c r="L412" s="1"/>
  <c r="L196" i="105"/>
  <c r="L190" i="130"/>
  <c r="L196" s="1"/>
  <c r="L23" i="131" s="1"/>
  <c r="L540" i="105"/>
  <c r="L534" i="130"/>
  <c r="L540" s="1"/>
  <c r="L403" i="105"/>
  <c r="L397" i="130"/>
  <c r="L403" s="1"/>
  <c r="L32" i="105"/>
  <c r="L26" i="130"/>
  <c r="L32" s="1"/>
  <c r="L385"/>
  <c r="L95" i="105"/>
  <c r="L89" i="130"/>
  <c r="L95" s="1"/>
  <c r="L17" i="131" s="1"/>
  <c r="L502" i="105"/>
  <c r="L496" i="130"/>
  <c r="L502" s="1"/>
  <c r="L329" i="105"/>
  <c r="L324" i="130"/>
  <c r="L329" s="1"/>
  <c r="L283" i="105"/>
  <c r="L277" i="130"/>
  <c r="L283" s="1"/>
  <c r="C37" i="111"/>
  <c r="C31" i="135"/>
  <c r="C405" i="111"/>
  <c r="C326" i="135"/>
  <c r="B139" i="63"/>
  <c r="B145" s="1"/>
  <c r="C104" i="46"/>
  <c r="B338" i="106"/>
  <c r="B420" i="111"/>
  <c r="N83" i="70"/>
  <c r="N83" i="83"/>
  <c r="N83" i="100"/>
  <c r="N83" i="49"/>
  <c r="C19" i="106"/>
  <c r="C22" i="111"/>
  <c r="B43" i="106"/>
  <c r="B52" i="111"/>
  <c r="N83" i="76"/>
  <c r="N83" i="88"/>
  <c r="N83" i="90"/>
  <c r="N83" i="99"/>
  <c r="N83" i="102"/>
  <c r="N83" i="43"/>
  <c r="N83" i="44"/>
  <c r="N83" i="47"/>
  <c r="N83" i="48"/>
  <c r="N83" i="50"/>
  <c r="N83" i="53"/>
  <c r="N83" i="59"/>
  <c r="C206" i="43"/>
  <c r="B138" i="104"/>
  <c r="C314" i="106"/>
  <c r="C390" i="111"/>
  <c r="N83" i="68"/>
  <c r="N83" i="71"/>
  <c r="N83" i="75"/>
  <c r="N83" i="94"/>
  <c r="N83" i="109"/>
  <c r="N83" i="54"/>
  <c r="N83" i="55"/>
  <c r="N83" i="67"/>
  <c r="N83" i="89"/>
  <c r="N83" i="95"/>
  <c r="N83" i="101"/>
  <c r="N83" i="108"/>
  <c r="N83" i="129"/>
  <c r="N83" i="39"/>
  <c r="N83" i="52"/>
  <c r="C25" i="105"/>
  <c r="C31" i="106"/>
  <c r="C248" i="105"/>
  <c r="C326" i="106"/>
  <c r="C138" i="104"/>
  <c r="B87"/>
  <c r="B86"/>
  <c r="B147"/>
  <c r="B130" i="63"/>
  <c r="N83" i="60"/>
  <c r="C130" i="63"/>
  <c r="B87"/>
  <c r="B86"/>
  <c r="C239" i="105"/>
  <c r="C255" i="7"/>
  <c r="C257" i="130" s="1"/>
  <c r="B257" i="105"/>
  <c r="B70" i="67"/>
  <c r="B209" s="1"/>
  <c r="L231" i="105"/>
  <c r="L231" i="130" s="1"/>
  <c r="B70" i="84"/>
  <c r="B208" s="1"/>
  <c r="L368" i="105"/>
  <c r="B70" i="101"/>
  <c r="B208" s="1"/>
  <c r="L543" i="105"/>
  <c r="B70" i="109"/>
  <c r="B208" s="1"/>
  <c r="L572" i="105"/>
  <c r="B70" i="128"/>
  <c r="B208" s="1"/>
  <c r="L590" i="105"/>
  <c r="B70" i="40"/>
  <c r="B208" s="1"/>
  <c r="L35" i="105"/>
  <c r="B70" i="47"/>
  <c r="B208" s="1"/>
  <c r="L100" i="105"/>
  <c r="L100" i="130" s="1"/>
  <c r="B70" i="50"/>
  <c r="B208" s="1"/>
  <c r="L127" i="105"/>
  <c r="B70" i="60"/>
  <c r="B208" s="1"/>
  <c r="L217" i="105"/>
  <c r="I226"/>
  <c r="I609" s="1"/>
  <c r="K609"/>
  <c r="K636" s="1"/>
  <c r="E226"/>
  <c r="E609" s="1"/>
  <c r="E636" s="1"/>
  <c r="G226"/>
  <c r="G609" s="1"/>
  <c r="G636" s="1"/>
  <c r="B70" i="81"/>
  <c r="B208" s="1"/>
  <c r="L341" i="105"/>
  <c r="B70" i="71"/>
  <c r="B208" s="1"/>
  <c r="L268" i="105"/>
  <c r="L268" i="130" s="1"/>
  <c r="B70" i="82"/>
  <c r="B208" s="1"/>
  <c r="L350" i="105"/>
  <c r="B70" i="83"/>
  <c r="B208" s="1"/>
  <c r="L359" i="105"/>
  <c r="B70" i="86"/>
  <c r="B208" s="1"/>
  <c r="L388" i="105"/>
  <c r="B70" i="91"/>
  <c r="B208" s="1"/>
  <c r="L451" i="105"/>
  <c r="B70" i="92"/>
  <c r="B208" s="1"/>
  <c r="L460" i="105"/>
  <c r="B70" i="97"/>
  <c r="B208" s="1"/>
  <c r="L505" i="105"/>
  <c r="B70" i="99"/>
  <c r="B208" s="1"/>
  <c r="L525" i="105"/>
  <c r="B70" i="102"/>
  <c r="B208" s="1"/>
  <c r="L554" i="105"/>
  <c r="L554" i="130" s="1"/>
  <c r="B70" i="127"/>
  <c r="B208" s="1"/>
  <c r="L581" i="105"/>
  <c r="B70" i="32"/>
  <c r="B208" s="1"/>
  <c r="L8" i="105"/>
  <c r="L8" i="130" s="1"/>
  <c r="B70" i="38"/>
  <c r="B208" s="1"/>
  <c r="L17" i="105"/>
  <c r="B70" i="42"/>
  <c r="B208" s="1"/>
  <c r="L53" i="105"/>
  <c r="B70" i="44"/>
  <c r="B208" s="1"/>
  <c r="L71" i="105"/>
  <c r="B70" i="56"/>
  <c r="B208" s="1"/>
  <c r="L181" i="105"/>
  <c r="L522"/>
  <c r="C16"/>
  <c r="C34" i="7"/>
  <c r="C34" i="130" s="1"/>
  <c r="B34" i="105"/>
  <c r="B70" i="73"/>
  <c r="B208" s="1"/>
  <c r="L287" i="105"/>
  <c r="L287" i="130" s="1"/>
  <c r="B70" i="75"/>
  <c r="B208" s="1"/>
  <c r="L305" i="105"/>
  <c r="B70" i="78"/>
  <c r="B208" s="1"/>
  <c r="L332" i="105"/>
  <c r="B70" i="79"/>
  <c r="B208" s="1"/>
  <c r="L415" i="105"/>
  <c r="B70" i="80"/>
  <c r="B208" s="1"/>
  <c r="L424" i="105"/>
  <c r="B70" i="93"/>
  <c r="B208" s="1"/>
  <c r="L469" i="105"/>
  <c r="B70" i="45"/>
  <c r="B208" s="1"/>
  <c r="L80" i="105"/>
  <c r="B70" i="59"/>
  <c r="B208" s="1"/>
  <c r="L208" i="105"/>
  <c r="L385"/>
  <c r="C206" i="60"/>
  <c r="C105"/>
  <c r="B206"/>
  <c r="B207"/>
  <c r="E79"/>
  <c r="P79" s="1"/>
  <c r="G155"/>
  <c r="G19"/>
  <c r="J164"/>
  <c r="K163"/>
  <c r="H163"/>
  <c r="E163"/>
  <c r="B163"/>
  <c r="L163"/>
  <c r="I163"/>
  <c r="F163"/>
  <c r="C163"/>
  <c r="M163"/>
  <c r="G163"/>
  <c r="D163"/>
  <c r="A163"/>
  <c r="I155"/>
  <c r="I19"/>
  <c r="D129" a="1"/>
  <c r="D129" s="1"/>
  <c r="D126" a="1"/>
  <c r="D126" s="1"/>
  <c r="D123" a="1"/>
  <c r="D123" s="1"/>
  <c r="D125" a="1"/>
  <c r="D125" s="1"/>
  <c r="D122" a="1"/>
  <c r="D122" s="1"/>
  <c r="D127" a="1"/>
  <c r="D127" s="1"/>
  <c r="D124" a="1"/>
  <c r="D124" s="1"/>
  <c r="F155"/>
  <c r="F19"/>
  <c r="H155"/>
  <c r="H19"/>
  <c r="E155"/>
  <c r="E19"/>
  <c r="E113"/>
  <c r="D89" a="1"/>
  <c r="D89" s="1"/>
  <c r="D91" a="1"/>
  <c r="D91" s="1"/>
  <c r="D103" s="1"/>
  <c r="D88" a="1"/>
  <c r="D88" s="1"/>
  <c r="D93" a="1"/>
  <c r="D93" s="1"/>
  <c r="D87" a="1"/>
  <c r="D87" s="1"/>
  <c r="D99" s="1"/>
  <c r="D90" a="1"/>
  <c r="D90" s="1"/>
  <c r="D86" a="1"/>
  <c r="D86" s="1"/>
  <c r="D98" s="1"/>
  <c r="E77"/>
  <c r="P77" s="1"/>
  <c r="E78"/>
  <c r="P78" s="1"/>
  <c r="F77" i="59"/>
  <c r="Q77" s="1"/>
  <c r="E125" a="1"/>
  <c r="E125" s="1"/>
  <c r="E122" a="1"/>
  <c r="E122" s="1"/>
  <c r="E129" a="1"/>
  <c r="E129" s="1"/>
  <c r="E124" a="1"/>
  <c r="E124" s="1"/>
  <c r="E123" a="1"/>
  <c r="E123" s="1"/>
  <c r="E127" a="1"/>
  <c r="E127" s="1"/>
  <c r="E126" a="1"/>
  <c r="E126" s="1"/>
  <c r="F113"/>
  <c r="I155"/>
  <c r="I19"/>
  <c r="C206"/>
  <c r="C105"/>
  <c r="J164"/>
  <c r="K163"/>
  <c r="H163"/>
  <c r="E163"/>
  <c r="B163"/>
  <c r="L163"/>
  <c r="I163"/>
  <c r="F163"/>
  <c r="C163"/>
  <c r="M163"/>
  <c r="G163"/>
  <c r="D163"/>
  <c r="A163"/>
  <c r="C92" a="1"/>
  <c r="C92" s="1"/>
  <c r="C94" s="1"/>
  <c r="E79"/>
  <c r="P79" s="1"/>
  <c r="D127" a="1"/>
  <c r="D127" s="1"/>
  <c r="D123" a="1"/>
  <c r="D123" s="1"/>
  <c r="D89" a="1"/>
  <c r="D89" s="1"/>
  <c r="D101" s="1"/>
  <c r="D91" a="1"/>
  <c r="D91" s="1"/>
  <c r="D90" a="1"/>
  <c r="D90" s="1"/>
  <c r="D93" a="1"/>
  <c r="D93" s="1"/>
  <c r="D86" a="1"/>
  <c r="D86" s="1"/>
  <c r="D98" s="1"/>
  <c r="D88" a="1"/>
  <c r="D88" s="1"/>
  <c r="D87" a="1"/>
  <c r="D87" s="1"/>
  <c r="D99" s="1"/>
  <c r="H19"/>
  <c r="H155"/>
  <c r="D122" a="1"/>
  <c r="D122" s="1"/>
  <c r="D125" a="1"/>
  <c r="D125" s="1"/>
  <c r="D129" a="1"/>
  <c r="D129" s="1"/>
  <c r="G155"/>
  <c r="G19"/>
  <c r="F155"/>
  <c r="F19"/>
  <c r="B206"/>
  <c r="B207"/>
  <c r="E155"/>
  <c r="E19"/>
  <c r="N83" i="57"/>
  <c r="N83" i="58"/>
  <c r="E82" i="59"/>
  <c r="P82" s="1"/>
  <c r="E80"/>
  <c r="P80" s="1"/>
  <c r="D124" a="1"/>
  <c r="D124" s="1"/>
  <c r="D126" a="1"/>
  <c r="D126" s="1"/>
  <c r="F113" i="58"/>
  <c r="H155"/>
  <c r="H19"/>
  <c r="L162"/>
  <c r="I162"/>
  <c r="F162"/>
  <c r="C162"/>
  <c r="K162"/>
  <c r="G162"/>
  <c r="B162"/>
  <c r="M162"/>
  <c r="H162"/>
  <c r="D162"/>
  <c r="A162"/>
  <c r="E162"/>
  <c r="J163"/>
  <c r="I30"/>
  <c r="I25"/>
  <c r="E155"/>
  <c r="E19"/>
  <c r="G155"/>
  <c r="G19"/>
  <c r="F155"/>
  <c r="F19"/>
  <c r="C105"/>
  <c r="C206"/>
  <c r="C42"/>
  <c r="D89" a="1"/>
  <c r="D89" s="1"/>
  <c r="D101" s="1"/>
  <c r="D91" a="1"/>
  <c r="D91" s="1"/>
  <c r="D103" s="1"/>
  <c r="D90" a="1"/>
  <c r="D90" s="1"/>
  <c r="D93" a="1"/>
  <c r="D93" s="1"/>
  <c r="D86" a="1"/>
  <c r="D86" s="1"/>
  <c r="D98" s="1"/>
  <c r="D88" a="1"/>
  <c r="D88" s="1"/>
  <c r="D87" a="1"/>
  <c r="D87" s="1"/>
  <c r="D99" s="1"/>
  <c r="E77"/>
  <c r="P77" s="1"/>
  <c r="D124" a="1"/>
  <c r="D124" s="1"/>
  <c r="D126" a="1"/>
  <c r="D126" s="1"/>
  <c r="G78"/>
  <c r="R78" s="1"/>
  <c r="E114"/>
  <c r="F114" s="1"/>
  <c r="G114" s="1"/>
  <c r="H114" s="1"/>
  <c r="I114" s="1"/>
  <c r="C128" a="1"/>
  <c r="C128" s="1"/>
  <c r="C130" s="1"/>
  <c r="D127" a="1"/>
  <c r="D127" s="1"/>
  <c r="D123" a="1"/>
  <c r="D123" s="1"/>
  <c r="D122" a="1"/>
  <c r="D122" s="1"/>
  <c r="D125" a="1"/>
  <c r="D125" s="1"/>
  <c r="C92" a="1"/>
  <c r="C92" s="1"/>
  <c r="C94" s="1"/>
  <c r="F77" i="57"/>
  <c r="Q77" s="1"/>
  <c r="J164"/>
  <c r="K163"/>
  <c r="H163"/>
  <c r="E163"/>
  <c r="B163"/>
  <c r="L163"/>
  <c r="I163"/>
  <c r="F163"/>
  <c r="C163"/>
  <c r="M163"/>
  <c r="G163"/>
  <c r="D163"/>
  <c r="A163"/>
  <c r="D129" a="1"/>
  <c r="D129" s="1"/>
  <c r="D126" a="1"/>
  <c r="D126" s="1"/>
  <c r="D123" a="1"/>
  <c r="D123" s="1"/>
  <c r="D125" a="1"/>
  <c r="D125" s="1"/>
  <c r="D122" a="1"/>
  <c r="D122" s="1"/>
  <c r="D127" a="1"/>
  <c r="D127" s="1"/>
  <c r="D124" a="1"/>
  <c r="D124" s="1"/>
  <c r="C206"/>
  <c r="C105"/>
  <c r="E155"/>
  <c r="E19"/>
  <c r="H155"/>
  <c r="H19"/>
  <c r="G155"/>
  <c r="G19"/>
  <c r="E113"/>
  <c r="C206" i="46"/>
  <c r="C92" i="57" a="1"/>
  <c r="C92" s="1"/>
  <c r="C94" s="1"/>
  <c r="F36"/>
  <c r="C128" a="1"/>
  <c r="C128" s="1"/>
  <c r="C130" s="1"/>
  <c r="D129" i="56" a="1"/>
  <c r="D129" s="1"/>
  <c r="D126" a="1"/>
  <c r="D126" s="1"/>
  <c r="D123" a="1"/>
  <c r="D123" s="1"/>
  <c r="D125" a="1"/>
  <c r="D125" s="1"/>
  <c r="D122" a="1"/>
  <c r="D122" s="1"/>
  <c r="D127" a="1"/>
  <c r="D127" s="1"/>
  <c r="D124" a="1"/>
  <c r="D124" s="1"/>
  <c r="G77"/>
  <c r="R77" s="1"/>
  <c r="G155"/>
  <c r="G19"/>
  <c r="E155"/>
  <c r="E19"/>
  <c r="C104"/>
  <c r="C42"/>
  <c r="E91" a="1"/>
  <c r="E91" s="1"/>
  <c r="E103" s="1"/>
  <c r="E88" a="1"/>
  <c r="E88" s="1"/>
  <c r="E100" s="1"/>
  <c r="E93" a="1"/>
  <c r="E93" s="1"/>
  <c r="E87" a="1"/>
  <c r="E87" s="1"/>
  <c r="E99" s="1"/>
  <c r="E86" a="1"/>
  <c r="E86" s="1"/>
  <c r="E98" s="1"/>
  <c r="E90" a="1"/>
  <c r="E90" s="1"/>
  <c r="E89" a="1"/>
  <c r="E89" s="1"/>
  <c r="E101" s="1"/>
  <c r="H155"/>
  <c r="H19"/>
  <c r="J164"/>
  <c r="K163"/>
  <c r="H163"/>
  <c r="E163"/>
  <c r="B163"/>
  <c r="L163"/>
  <c r="I163"/>
  <c r="F163"/>
  <c r="C163"/>
  <c r="M163"/>
  <c r="G163"/>
  <c r="D163"/>
  <c r="A163"/>
  <c r="F80"/>
  <c r="B206"/>
  <c r="B207"/>
  <c r="F36"/>
  <c r="E113"/>
  <c r="C128" a="1"/>
  <c r="C128" s="1"/>
  <c r="C130" s="1"/>
  <c r="J164" i="55"/>
  <c r="K163"/>
  <c r="H163"/>
  <c r="E163"/>
  <c r="B163"/>
  <c r="L163"/>
  <c r="I163"/>
  <c r="F163"/>
  <c r="C163"/>
  <c r="M163"/>
  <c r="G163"/>
  <c r="D163"/>
  <c r="A163"/>
  <c r="F113"/>
  <c r="I155"/>
  <c r="I19"/>
  <c r="C92" a="1"/>
  <c r="C92" s="1"/>
  <c r="C94" s="1"/>
  <c r="E155"/>
  <c r="E19"/>
  <c r="F155"/>
  <c r="F19"/>
  <c r="C105" i="128"/>
  <c r="N83" i="51"/>
  <c r="D127" i="55" a="1"/>
  <c r="D127" s="1"/>
  <c r="D123" a="1"/>
  <c r="D123" s="1"/>
  <c r="D93" a="1"/>
  <c r="D93" s="1"/>
  <c r="D90" a="1"/>
  <c r="D90" s="1"/>
  <c r="D102" s="1"/>
  <c r="D89" a="1"/>
  <c r="D89" s="1"/>
  <c r="D101" s="1"/>
  <c r="E115"/>
  <c r="F115" s="1"/>
  <c r="G115" s="1"/>
  <c r="H115" s="1"/>
  <c r="I115" s="1"/>
  <c r="G155"/>
  <c r="G19"/>
  <c r="H155"/>
  <c r="H19"/>
  <c r="D122" a="1"/>
  <c r="D122" s="1"/>
  <c r="D87" a="1"/>
  <c r="D87" s="1"/>
  <c r="D99" s="1"/>
  <c r="D88" a="1"/>
  <c r="D88" s="1"/>
  <c r="D100" s="1"/>
  <c r="E125" i="54" a="1"/>
  <c r="E125" s="1"/>
  <c r="E122" a="1"/>
  <c r="E122" s="1"/>
  <c r="E127" a="1"/>
  <c r="E127" s="1"/>
  <c r="E124" a="1"/>
  <c r="E124" s="1"/>
  <c r="E129" a="1"/>
  <c r="E129" s="1"/>
  <c r="E126" a="1"/>
  <c r="E126" s="1"/>
  <c r="E123" a="1"/>
  <c r="E123" s="1"/>
  <c r="F113"/>
  <c r="I155"/>
  <c r="I19"/>
  <c r="C92" a="1"/>
  <c r="C92" s="1"/>
  <c r="C94" s="1"/>
  <c r="C128" a="1"/>
  <c r="C128" s="1"/>
  <c r="C130" s="1"/>
  <c r="G78"/>
  <c r="R78" s="1"/>
  <c r="C206"/>
  <c r="C105"/>
  <c r="F155"/>
  <c r="F19"/>
  <c r="E155"/>
  <c r="E19"/>
  <c r="J164"/>
  <c r="K163"/>
  <c r="H163"/>
  <c r="E163"/>
  <c r="B163"/>
  <c r="L163"/>
  <c r="I163"/>
  <c r="F163"/>
  <c r="C163"/>
  <c r="M163"/>
  <c r="G163"/>
  <c r="D163"/>
  <c r="A163"/>
  <c r="D129" a="1"/>
  <c r="D129" s="1"/>
  <c r="D126" a="1"/>
  <c r="D126" s="1"/>
  <c r="D123" a="1"/>
  <c r="D123" s="1"/>
  <c r="D125" a="1"/>
  <c r="D125" s="1"/>
  <c r="D122" a="1"/>
  <c r="D122" s="1"/>
  <c r="D127" a="1"/>
  <c r="D127" s="1"/>
  <c r="D124" a="1"/>
  <c r="D124" s="1"/>
  <c r="H155"/>
  <c r="H19"/>
  <c r="F77"/>
  <c r="Q77" s="1"/>
  <c r="G155"/>
  <c r="G19"/>
  <c r="G113" i="53"/>
  <c r="F77"/>
  <c r="Q77" s="1"/>
  <c r="G25"/>
  <c r="G30"/>
  <c r="F155"/>
  <c r="F19"/>
  <c r="H155"/>
  <c r="H19"/>
  <c r="N83" i="41"/>
  <c r="E82" i="53"/>
  <c r="P82" s="1"/>
  <c r="E80"/>
  <c r="P80" s="1"/>
  <c r="E78"/>
  <c r="P78" s="1"/>
  <c r="C206"/>
  <c r="C105"/>
  <c r="E19"/>
  <c r="E155"/>
  <c r="D91" a="1"/>
  <c r="D91" s="1"/>
  <c r="D103" s="1"/>
  <c r="D88" a="1"/>
  <c r="D88" s="1"/>
  <c r="D93" a="1"/>
  <c r="D93" s="1"/>
  <c r="D86" a="1"/>
  <c r="D86" s="1"/>
  <c r="D98" s="1"/>
  <c r="D87" a="1"/>
  <c r="D87" s="1"/>
  <c r="D99" s="1"/>
  <c r="D90" a="1"/>
  <c r="D90" s="1"/>
  <c r="D102" s="1"/>
  <c r="D89" a="1"/>
  <c r="D89" s="1"/>
  <c r="D101" s="1"/>
  <c r="M162"/>
  <c r="G162"/>
  <c r="D162"/>
  <c r="A162"/>
  <c r="J163"/>
  <c r="I162"/>
  <c r="E162"/>
  <c r="K162"/>
  <c r="F162"/>
  <c r="B162"/>
  <c r="H162"/>
  <c r="L162"/>
  <c r="C162"/>
  <c r="C128" a="1"/>
  <c r="C128" s="1"/>
  <c r="C130" s="1"/>
  <c r="C104"/>
  <c r="C42"/>
  <c r="I155"/>
  <c r="I19"/>
  <c r="E79"/>
  <c r="P79" s="1"/>
  <c r="D129" i="52" a="1"/>
  <c r="D129" s="1"/>
  <c r="D126" a="1"/>
  <c r="D126" s="1"/>
  <c r="D123" a="1"/>
  <c r="D123" s="1"/>
  <c r="D125" a="1"/>
  <c r="D125" s="1"/>
  <c r="D122" a="1"/>
  <c r="D122" s="1"/>
  <c r="D127" a="1"/>
  <c r="D127" s="1"/>
  <c r="D124" a="1"/>
  <c r="D124" s="1"/>
  <c r="F77"/>
  <c r="Q77" s="1"/>
  <c r="L162"/>
  <c r="I162"/>
  <c r="F162"/>
  <c r="C162"/>
  <c r="M162"/>
  <c r="G162"/>
  <c r="D162"/>
  <c r="A162"/>
  <c r="J163"/>
  <c r="K162"/>
  <c r="H162"/>
  <c r="E162"/>
  <c r="B162"/>
  <c r="G155"/>
  <c r="G19"/>
  <c r="C92" a="1"/>
  <c r="C92" s="1"/>
  <c r="C94" s="1"/>
  <c r="E113"/>
  <c r="H155"/>
  <c r="H19"/>
  <c r="F82"/>
  <c r="Q82" s="1"/>
  <c r="E155"/>
  <c r="E19"/>
  <c r="E155" i="51"/>
  <c r="E19"/>
  <c r="L162"/>
  <c r="I162"/>
  <c r="F162"/>
  <c r="C162"/>
  <c r="K162"/>
  <c r="G162"/>
  <c r="B162"/>
  <c r="M162"/>
  <c r="H162"/>
  <c r="D162"/>
  <c r="A162"/>
  <c r="E162"/>
  <c r="J163"/>
  <c r="I155"/>
  <c r="I19"/>
  <c r="F77"/>
  <c r="Q77" s="1"/>
  <c r="H155"/>
  <c r="H19"/>
  <c r="C105"/>
  <c r="C206"/>
  <c r="C42"/>
  <c r="G155"/>
  <c r="G19"/>
  <c r="F155"/>
  <c r="F19"/>
  <c r="C128" a="1"/>
  <c r="C128" s="1"/>
  <c r="C130" s="1"/>
  <c r="F77" i="50"/>
  <c r="Q77" s="1"/>
  <c r="E125" a="1"/>
  <c r="E125" s="1"/>
  <c r="E122" a="1"/>
  <c r="E122" s="1"/>
  <c r="E127" a="1"/>
  <c r="E127" s="1"/>
  <c r="E124" a="1"/>
  <c r="E124" s="1"/>
  <c r="E129" a="1"/>
  <c r="E129" s="1"/>
  <c r="E126" a="1"/>
  <c r="E126" s="1"/>
  <c r="E123" a="1"/>
  <c r="E123" s="1"/>
  <c r="F113"/>
  <c r="B206"/>
  <c r="B207"/>
  <c r="G155"/>
  <c r="G19"/>
  <c r="D129" a="1"/>
  <c r="D129" s="1"/>
  <c r="D126" a="1"/>
  <c r="D126" s="1"/>
  <c r="D123" a="1"/>
  <c r="D123" s="1"/>
  <c r="D125" a="1"/>
  <c r="D125" s="1"/>
  <c r="D122" a="1"/>
  <c r="D122" s="1"/>
  <c r="D127" a="1"/>
  <c r="D127" s="1"/>
  <c r="D124" a="1"/>
  <c r="D124" s="1"/>
  <c r="C206"/>
  <c r="C105"/>
  <c r="C104"/>
  <c r="C42"/>
  <c r="J164"/>
  <c r="K163"/>
  <c r="H163"/>
  <c r="E163"/>
  <c r="B163"/>
  <c r="L163"/>
  <c r="I163"/>
  <c r="F163"/>
  <c r="C163"/>
  <c r="M163"/>
  <c r="G163"/>
  <c r="D163"/>
  <c r="A163"/>
  <c r="F155"/>
  <c r="F19"/>
  <c r="H155"/>
  <c r="H19"/>
  <c r="F78"/>
  <c r="Q78" s="1"/>
  <c r="E82"/>
  <c r="P82" s="1"/>
  <c r="E79"/>
  <c r="P79" s="1"/>
  <c r="E80"/>
  <c r="P80" s="1"/>
  <c r="E155"/>
  <c r="E19"/>
  <c r="I155"/>
  <c r="I19"/>
  <c r="D89" a="1"/>
  <c r="D89" s="1"/>
  <c r="D101" s="1"/>
  <c r="D91" a="1"/>
  <c r="D91" s="1"/>
  <c r="D103" s="1"/>
  <c r="D88" a="1"/>
  <c r="D88" s="1"/>
  <c r="D93" a="1"/>
  <c r="D93" s="1"/>
  <c r="D90" a="1"/>
  <c r="D90" s="1"/>
  <c r="D102" s="1"/>
  <c r="D87" a="1"/>
  <c r="D87" s="1"/>
  <c r="D99" s="1"/>
  <c r="D86" a="1"/>
  <c r="D86" s="1"/>
  <c r="D98" s="1"/>
  <c r="C128" a="1"/>
  <c r="C128" s="1"/>
  <c r="C130" s="1"/>
  <c r="E125" i="49" a="1"/>
  <c r="E125" s="1"/>
  <c r="E122" a="1"/>
  <c r="E122" s="1"/>
  <c r="E129" a="1"/>
  <c r="E129" s="1"/>
  <c r="E126" a="1"/>
  <c r="E126" s="1"/>
  <c r="E123" a="1"/>
  <c r="E123" s="1"/>
  <c r="E127" a="1"/>
  <c r="E127" s="1"/>
  <c r="E124" a="1"/>
  <c r="E124" s="1"/>
  <c r="F113"/>
  <c r="G77"/>
  <c r="R77" s="1"/>
  <c r="C206"/>
  <c r="C105"/>
  <c r="C104"/>
  <c r="C42"/>
  <c r="G19"/>
  <c r="G155"/>
  <c r="L162"/>
  <c r="I162"/>
  <c r="F162"/>
  <c r="C162"/>
  <c r="J163"/>
  <c r="K162"/>
  <c r="H162"/>
  <c r="E162"/>
  <c r="B162"/>
  <c r="G162"/>
  <c r="A162"/>
  <c r="M162"/>
  <c r="D162"/>
  <c r="E155"/>
  <c r="E19"/>
  <c r="F25"/>
  <c r="F30"/>
  <c r="H155"/>
  <c r="H19"/>
  <c r="D129" a="1"/>
  <c r="D129" s="1"/>
  <c r="D126" a="1"/>
  <c r="D126" s="1"/>
  <c r="D123" a="1"/>
  <c r="D123" s="1"/>
  <c r="D127" a="1"/>
  <c r="D127" s="1"/>
  <c r="D124" a="1"/>
  <c r="D124" s="1"/>
  <c r="D122" a="1"/>
  <c r="D122" s="1"/>
  <c r="D125" a="1"/>
  <c r="D125" s="1"/>
  <c r="D89" a="1"/>
  <c r="D89" s="1"/>
  <c r="D93" a="1"/>
  <c r="D93" s="1"/>
  <c r="D90" a="1"/>
  <c r="D90" s="1"/>
  <c r="D102" s="1"/>
  <c r="D91" a="1"/>
  <c r="D91" s="1"/>
  <c r="D86" a="1"/>
  <c r="D86" s="1"/>
  <c r="D98" s="1"/>
  <c r="D88" a="1"/>
  <c r="D88" s="1"/>
  <c r="D100" s="1"/>
  <c r="D87" a="1"/>
  <c r="D87" s="1"/>
  <c r="D99" s="1"/>
  <c r="I25"/>
  <c r="I30"/>
  <c r="G78"/>
  <c r="R78" s="1"/>
  <c r="L162" i="48"/>
  <c r="I162"/>
  <c r="F162"/>
  <c r="C162"/>
  <c r="M162"/>
  <c r="G162"/>
  <c r="D162"/>
  <c r="A162"/>
  <c r="K162"/>
  <c r="B162"/>
  <c r="J163"/>
  <c r="E162"/>
  <c r="H162"/>
  <c r="H19"/>
  <c r="G19"/>
  <c r="E123" a="1"/>
  <c r="E123" s="1"/>
  <c r="E19"/>
  <c r="I19"/>
  <c r="C206"/>
  <c r="C105"/>
  <c r="F19"/>
  <c r="C128" a="1"/>
  <c r="C128" s="1"/>
  <c r="C130" s="1"/>
  <c r="F77" i="47"/>
  <c r="Q77" s="1"/>
  <c r="J164"/>
  <c r="K163"/>
  <c r="H163"/>
  <c r="E163"/>
  <c r="B163"/>
  <c r="L163"/>
  <c r="I163"/>
  <c r="F163"/>
  <c r="C163"/>
  <c r="M163"/>
  <c r="G163"/>
  <c r="D163"/>
  <c r="A163"/>
  <c r="D91" a="1"/>
  <c r="D91" s="1"/>
  <c r="D103" s="1"/>
  <c r="D88" a="1"/>
  <c r="D88" s="1"/>
  <c r="D100" s="1"/>
  <c r="D90" a="1"/>
  <c r="D90" s="1"/>
  <c r="D102" s="1"/>
  <c r="D87" a="1"/>
  <c r="D87" s="1"/>
  <c r="D86" a="1"/>
  <c r="D86" s="1"/>
  <c r="D98" s="1"/>
  <c r="D89" a="1"/>
  <c r="D89" s="1"/>
  <c r="D101" s="1"/>
  <c r="D93" a="1"/>
  <c r="D93" s="1"/>
  <c r="C92" a="1"/>
  <c r="C92" s="1"/>
  <c r="C94" s="1"/>
  <c r="E155"/>
  <c r="E19"/>
  <c r="E79"/>
  <c r="P79" s="1"/>
  <c r="E125" a="1"/>
  <c r="E125" s="1"/>
  <c r="E122" a="1"/>
  <c r="E122" s="1"/>
  <c r="E127" a="1"/>
  <c r="E127" s="1"/>
  <c r="E124" a="1"/>
  <c r="E124" s="1"/>
  <c r="E129" a="1"/>
  <c r="E129" s="1"/>
  <c r="E126" a="1"/>
  <c r="E126" s="1"/>
  <c r="E123" a="1"/>
  <c r="E123" s="1"/>
  <c r="F113"/>
  <c r="F155"/>
  <c r="F19"/>
  <c r="H155"/>
  <c r="H19"/>
  <c r="B206"/>
  <c r="B207"/>
  <c r="I155"/>
  <c r="I19"/>
  <c r="G155"/>
  <c r="G19"/>
  <c r="E82"/>
  <c r="P82" s="1"/>
  <c r="L162" i="46"/>
  <c r="I162"/>
  <c r="F162"/>
  <c r="C162"/>
  <c r="J163"/>
  <c r="K162"/>
  <c r="H162"/>
  <c r="E162"/>
  <c r="B162"/>
  <c r="G162"/>
  <c r="A162"/>
  <c r="M162"/>
  <c r="D162"/>
  <c r="H155"/>
  <c r="H19"/>
  <c r="E155"/>
  <c r="E19"/>
  <c r="I25"/>
  <c r="I30"/>
  <c r="N83" i="42"/>
  <c r="F78" i="46"/>
  <c r="Q78" s="1"/>
  <c r="F79"/>
  <c r="Q79" s="1"/>
  <c r="D88" a="1"/>
  <c r="D88" s="1"/>
  <c r="D100" s="1"/>
  <c r="D93" a="1"/>
  <c r="D93" s="1"/>
  <c r="C48"/>
  <c r="D129" a="1"/>
  <c r="D129" s="1"/>
  <c r="D126" a="1"/>
  <c r="D126" s="1"/>
  <c r="D123" a="1"/>
  <c r="D123" s="1"/>
  <c r="D127" a="1"/>
  <c r="D127" s="1"/>
  <c r="D124" a="1"/>
  <c r="D124" s="1"/>
  <c r="D122" a="1"/>
  <c r="D122" s="1"/>
  <c r="D125" a="1"/>
  <c r="D125" s="1"/>
  <c r="G155"/>
  <c r="G19"/>
  <c r="D87" a="1"/>
  <c r="D87" s="1"/>
  <c r="D99" s="1"/>
  <c r="D90" a="1"/>
  <c r="D90" s="1"/>
  <c r="D102" s="1"/>
  <c r="F25"/>
  <c r="F30"/>
  <c r="E113"/>
  <c r="E80"/>
  <c r="F77"/>
  <c r="Q77" s="1"/>
  <c r="C128" a="1"/>
  <c r="C128" s="1"/>
  <c r="C130" s="1"/>
  <c r="D86" a="1"/>
  <c r="D86" s="1"/>
  <c r="D98" s="1"/>
  <c r="D91" a="1"/>
  <c r="D91" s="1"/>
  <c r="D103" s="1"/>
  <c r="F77" i="45"/>
  <c r="Q77" s="1"/>
  <c r="E155"/>
  <c r="E19"/>
  <c r="C128" a="1"/>
  <c r="C128" s="1"/>
  <c r="C130" s="1"/>
  <c r="E125" a="1"/>
  <c r="E125" s="1"/>
  <c r="E122" a="1"/>
  <c r="E122" s="1"/>
  <c r="E127" a="1"/>
  <c r="E127" s="1"/>
  <c r="E124" a="1"/>
  <c r="E124" s="1"/>
  <c r="E129" a="1"/>
  <c r="E129" s="1"/>
  <c r="E126" a="1"/>
  <c r="E126" s="1"/>
  <c r="E123" a="1"/>
  <c r="E123" s="1"/>
  <c r="F113"/>
  <c r="D89" a="1"/>
  <c r="D89" s="1"/>
  <c r="D91" a="1"/>
  <c r="D91" s="1"/>
  <c r="D103" s="1"/>
  <c r="D88" a="1"/>
  <c r="D88" s="1"/>
  <c r="D100" s="1"/>
  <c r="D93" a="1"/>
  <c r="D93" s="1"/>
  <c r="D90" a="1"/>
  <c r="D90" s="1"/>
  <c r="D87" a="1"/>
  <c r="D87" s="1"/>
  <c r="D99" s="1"/>
  <c r="D86" a="1"/>
  <c r="D86" s="1"/>
  <c r="D98" s="1"/>
  <c r="C92" a="1"/>
  <c r="C92" s="1"/>
  <c r="C94" s="1"/>
  <c r="F155"/>
  <c r="F19"/>
  <c r="G155"/>
  <c r="G19"/>
  <c r="I155"/>
  <c r="I19"/>
  <c r="D129" a="1"/>
  <c r="D129" s="1"/>
  <c r="D126" a="1"/>
  <c r="D126" s="1"/>
  <c r="D123" a="1"/>
  <c r="D123" s="1"/>
  <c r="D125" a="1"/>
  <c r="D125" s="1"/>
  <c r="D122" a="1"/>
  <c r="D122" s="1"/>
  <c r="D127" a="1"/>
  <c r="D127" s="1"/>
  <c r="D124" a="1"/>
  <c r="D124" s="1"/>
  <c r="B206"/>
  <c r="B207"/>
  <c r="J164"/>
  <c r="K163"/>
  <c r="H163"/>
  <c r="E163"/>
  <c r="B163"/>
  <c r="L163"/>
  <c r="I163"/>
  <c r="F163"/>
  <c r="C163"/>
  <c r="M163"/>
  <c r="G163"/>
  <c r="D163"/>
  <c r="A163"/>
  <c r="H155"/>
  <c r="H19"/>
  <c r="E80"/>
  <c r="P80" s="1"/>
  <c r="E82"/>
  <c r="P82" s="1"/>
  <c r="F77" i="44"/>
  <c r="Q77" s="1"/>
  <c r="C206"/>
  <c r="C105"/>
  <c r="C104"/>
  <c r="C42"/>
  <c r="D129" a="1"/>
  <c r="D129" s="1"/>
  <c r="D126" a="1"/>
  <c r="D126" s="1"/>
  <c r="D123" a="1"/>
  <c r="D123" s="1"/>
  <c r="D125" a="1"/>
  <c r="D125" s="1"/>
  <c r="D122" a="1"/>
  <c r="D122" s="1"/>
  <c r="D127" a="1"/>
  <c r="D127" s="1"/>
  <c r="D124" a="1"/>
  <c r="D124" s="1"/>
  <c r="J164"/>
  <c r="K163"/>
  <c r="H163"/>
  <c r="E163"/>
  <c r="B163"/>
  <c r="L163"/>
  <c r="I163"/>
  <c r="F163"/>
  <c r="C163"/>
  <c r="M163"/>
  <c r="G163"/>
  <c r="D163"/>
  <c r="A163"/>
  <c r="F155"/>
  <c r="F19"/>
  <c r="H155"/>
  <c r="H19"/>
  <c r="I155"/>
  <c r="I19"/>
  <c r="C105" i="41"/>
  <c r="E82" i="44"/>
  <c r="P82" s="1"/>
  <c r="D91" a="1"/>
  <c r="D91" s="1"/>
  <c r="D88" a="1"/>
  <c r="D88" s="1"/>
  <c r="D100" s="1"/>
  <c r="D87" a="1"/>
  <c r="D87" s="1"/>
  <c r="D99" s="1"/>
  <c r="D86" a="1"/>
  <c r="D86" s="1"/>
  <c r="D98" s="1"/>
  <c r="D93" a="1"/>
  <c r="D93" s="1"/>
  <c r="D90" a="1"/>
  <c r="D90" s="1"/>
  <c r="D102" s="1"/>
  <c r="D89" a="1"/>
  <c r="D89" s="1"/>
  <c r="G155"/>
  <c r="G19"/>
  <c r="B206"/>
  <c r="B207"/>
  <c r="E155"/>
  <c r="E19"/>
  <c r="E113"/>
  <c r="G25" i="43"/>
  <c r="G30"/>
  <c r="L162"/>
  <c r="I162"/>
  <c r="F162"/>
  <c r="C162"/>
  <c r="M162"/>
  <c r="G162"/>
  <c r="D162"/>
  <c r="A162"/>
  <c r="K162"/>
  <c r="B162"/>
  <c r="J163"/>
  <c r="E162"/>
  <c r="H162"/>
  <c r="D129" a="1"/>
  <c r="D129" s="1"/>
  <c r="D126" a="1"/>
  <c r="D126" s="1"/>
  <c r="D123" a="1"/>
  <c r="D123" s="1"/>
  <c r="D125" a="1"/>
  <c r="D125" s="1"/>
  <c r="D122" a="1"/>
  <c r="D122" s="1"/>
  <c r="D124" a="1"/>
  <c r="D124" s="1"/>
  <c r="D127" a="1"/>
  <c r="D127" s="1"/>
  <c r="C92" a="1"/>
  <c r="C92" s="1"/>
  <c r="C94" s="1"/>
  <c r="H155"/>
  <c r="H19"/>
  <c r="E155"/>
  <c r="E19"/>
  <c r="B206" i="96"/>
  <c r="D89" i="43" a="1"/>
  <c r="D89" s="1"/>
  <c r="D101" s="1"/>
  <c r="D91" a="1"/>
  <c r="D91" s="1"/>
  <c r="D103" s="1"/>
  <c r="D88" a="1"/>
  <c r="D88" s="1"/>
  <c r="D93" a="1"/>
  <c r="D93" s="1"/>
  <c r="D90" a="1"/>
  <c r="D90" s="1"/>
  <c r="D102" s="1"/>
  <c r="D86" a="1"/>
  <c r="D86" s="1"/>
  <c r="D98" s="1"/>
  <c r="D87" a="1"/>
  <c r="D87" s="1"/>
  <c r="D99" s="1"/>
  <c r="F155"/>
  <c r="F19"/>
  <c r="I155"/>
  <c r="I19"/>
  <c r="E113"/>
  <c r="E77"/>
  <c r="P77" s="1"/>
  <c r="I78" i="42"/>
  <c r="T78" s="1"/>
  <c r="F155"/>
  <c r="F19"/>
  <c r="B206"/>
  <c r="B207"/>
  <c r="D129" a="1"/>
  <c r="D129" s="1"/>
  <c r="D126" a="1"/>
  <c r="D126" s="1"/>
  <c r="D123" a="1"/>
  <c r="D123" s="1"/>
  <c r="D125" a="1"/>
  <c r="D125" s="1"/>
  <c r="D122" a="1"/>
  <c r="D122" s="1"/>
  <c r="D127" a="1"/>
  <c r="D127" s="1"/>
  <c r="D124" a="1"/>
  <c r="D124" s="1"/>
  <c r="C206"/>
  <c r="C105"/>
  <c r="C42"/>
  <c r="I155"/>
  <c r="I19"/>
  <c r="B207" i="100"/>
  <c r="E113" i="42"/>
  <c r="C92" a="1"/>
  <c r="C92" s="1"/>
  <c r="C94" s="1"/>
  <c r="E81"/>
  <c r="P81" s="1"/>
  <c r="D89" a="1"/>
  <c r="D89" s="1"/>
  <c r="D101" s="1"/>
  <c r="D91" a="1"/>
  <c r="D91" s="1"/>
  <c r="D88" a="1"/>
  <c r="D88" s="1"/>
  <c r="D100" s="1"/>
  <c r="D93" a="1"/>
  <c r="D93" s="1"/>
  <c r="D87" a="1"/>
  <c r="D87" s="1"/>
  <c r="D99" s="1"/>
  <c r="D86" a="1"/>
  <c r="D86" s="1"/>
  <c r="D98" s="1"/>
  <c r="D90" a="1"/>
  <c r="D90" s="1"/>
  <c r="D102" s="1"/>
  <c r="H155"/>
  <c r="H19"/>
  <c r="G155"/>
  <c r="G19"/>
  <c r="E155"/>
  <c r="E19"/>
  <c r="J164"/>
  <c r="K163"/>
  <c r="H163"/>
  <c r="E163"/>
  <c r="B163"/>
  <c r="L163"/>
  <c r="I163"/>
  <c r="F163"/>
  <c r="C163"/>
  <c r="M163"/>
  <c r="G163"/>
  <c r="D163"/>
  <c r="A163"/>
  <c r="E77"/>
  <c r="P77" s="1"/>
  <c r="C128" a="1"/>
  <c r="C128" s="1"/>
  <c r="C130" s="1"/>
  <c r="E79"/>
  <c r="P79" s="1"/>
  <c r="D129" i="41" a="1"/>
  <c r="D129" s="1"/>
  <c r="D126" a="1"/>
  <c r="D126" s="1"/>
  <c r="D123" a="1"/>
  <c r="D123" s="1"/>
  <c r="D125" a="1"/>
  <c r="D125" s="1"/>
  <c r="D122" a="1"/>
  <c r="D122" s="1"/>
  <c r="D127" a="1"/>
  <c r="D127" s="1"/>
  <c r="D124" a="1"/>
  <c r="D124" s="1"/>
  <c r="C92" a="1"/>
  <c r="C92" s="1"/>
  <c r="C94" s="1"/>
  <c r="E155"/>
  <c r="E19"/>
  <c r="H155"/>
  <c r="H19"/>
  <c r="F77"/>
  <c r="Q77" s="1"/>
  <c r="G155"/>
  <c r="G19"/>
  <c r="J164"/>
  <c r="K163"/>
  <c r="H163"/>
  <c r="E163"/>
  <c r="B163"/>
  <c r="L163"/>
  <c r="I163"/>
  <c r="F163"/>
  <c r="C163"/>
  <c r="M163"/>
  <c r="G163"/>
  <c r="D163"/>
  <c r="A163"/>
  <c r="E113"/>
  <c r="G77" i="40"/>
  <c r="R77" s="1"/>
  <c r="E129" a="1"/>
  <c r="E129" s="1"/>
  <c r="E126" a="1"/>
  <c r="E126" s="1"/>
  <c r="E123" a="1"/>
  <c r="E123" s="1"/>
  <c r="E125" a="1"/>
  <c r="E125" s="1"/>
  <c r="E122" a="1"/>
  <c r="E122" s="1"/>
  <c r="E127" a="1"/>
  <c r="E127" s="1"/>
  <c r="E124" a="1"/>
  <c r="E124" s="1"/>
  <c r="F113"/>
  <c r="H155"/>
  <c r="H19"/>
  <c r="G155"/>
  <c r="G19"/>
  <c r="E155"/>
  <c r="E19"/>
  <c r="F78"/>
  <c r="Q78" s="1"/>
  <c r="E82"/>
  <c r="P82" s="1"/>
  <c r="E79"/>
  <c r="P79" s="1"/>
  <c r="B206"/>
  <c r="B207"/>
  <c r="F155"/>
  <c r="F19"/>
  <c r="C48"/>
  <c r="D93" a="1"/>
  <c r="D93" s="1"/>
  <c r="D90" a="1"/>
  <c r="D90" s="1"/>
  <c r="D102" s="1"/>
  <c r="D89" a="1"/>
  <c r="D89" s="1"/>
  <c r="D91" a="1"/>
  <c r="D91" s="1"/>
  <c r="D103" s="1"/>
  <c r="D88" a="1"/>
  <c r="D88" s="1"/>
  <c r="D100" s="1"/>
  <c r="D87" a="1"/>
  <c r="D87" s="1"/>
  <c r="D99" s="1"/>
  <c r="D86" a="1"/>
  <c r="D86" s="1"/>
  <c r="D98" s="1"/>
  <c r="L162"/>
  <c r="I162"/>
  <c r="F162"/>
  <c r="C162"/>
  <c r="M162"/>
  <c r="G162"/>
  <c r="D162"/>
  <c r="A162"/>
  <c r="K162"/>
  <c r="B162"/>
  <c r="J163"/>
  <c r="E162"/>
  <c r="H162"/>
  <c r="D127" a="1"/>
  <c r="D127" s="1"/>
  <c r="D124" a="1"/>
  <c r="D124" s="1"/>
  <c r="D129" a="1"/>
  <c r="D129" s="1"/>
  <c r="D126" a="1"/>
  <c r="D126" s="1"/>
  <c r="D123" a="1"/>
  <c r="D123" s="1"/>
  <c r="D122" a="1"/>
  <c r="D122" s="1"/>
  <c r="D125" a="1"/>
  <c r="D125" s="1"/>
  <c r="I155"/>
  <c r="I19"/>
  <c r="C128" a="1"/>
  <c r="C128" s="1"/>
  <c r="C130" s="1"/>
  <c r="F79" i="39"/>
  <c r="Q79" s="1"/>
  <c r="C206"/>
  <c r="C105"/>
  <c r="G155"/>
  <c r="G19"/>
  <c r="H155"/>
  <c r="H19"/>
  <c r="F77"/>
  <c r="Q77" s="1"/>
  <c r="N83" i="38"/>
  <c r="E81" i="39"/>
  <c r="P81" s="1"/>
  <c r="F113"/>
  <c r="E155"/>
  <c r="E19"/>
  <c r="J164"/>
  <c r="K163"/>
  <c r="H163"/>
  <c r="E163"/>
  <c r="B163"/>
  <c r="L163"/>
  <c r="I163"/>
  <c r="F163"/>
  <c r="C163"/>
  <c r="M163"/>
  <c r="G163"/>
  <c r="D163"/>
  <c r="A163"/>
  <c r="C92" i="38" a="1"/>
  <c r="C92" s="1"/>
  <c r="C94" s="1"/>
  <c r="F155"/>
  <c r="F19"/>
  <c r="B206"/>
  <c r="B207"/>
  <c r="J164"/>
  <c r="K163"/>
  <c r="H163"/>
  <c r="E163"/>
  <c r="B163"/>
  <c r="L163"/>
  <c r="I163"/>
  <c r="F163"/>
  <c r="C163"/>
  <c r="M163"/>
  <c r="G163"/>
  <c r="D163"/>
  <c r="A163"/>
  <c r="G155"/>
  <c r="G19"/>
  <c r="I155"/>
  <c r="I19"/>
  <c r="N83" i="32"/>
  <c r="E80" i="38"/>
  <c r="P80" s="1"/>
  <c r="D87" a="1"/>
  <c r="D87" s="1"/>
  <c r="D99" s="1"/>
  <c r="D88" a="1"/>
  <c r="D88" s="1"/>
  <c r="D129" a="1"/>
  <c r="D129" s="1"/>
  <c r="D126" a="1"/>
  <c r="D126" s="1"/>
  <c r="D123" a="1"/>
  <c r="D123" s="1"/>
  <c r="D125" a="1"/>
  <c r="D125" s="1"/>
  <c r="D122" a="1"/>
  <c r="D122" s="1"/>
  <c r="D127" a="1"/>
  <c r="D127" s="1"/>
  <c r="D124" a="1"/>
  <c r="D124" s="1"/>
  <c r="H155"/>
  <c r="H19"/>
  <c r="F77"/>
  <c r="Q77" s="1"/>
  <c r="D86" a="1"/>
  <c r="D86" s="1"/>
  <c r="D98" s="1"/>
  <c r="D93" a="1"/>
  <c r="D93" s="1"/>
  <c r="D89" a="1"/>
  <c r="D89" s="1"/>
  <c r="E155"/>
  <c r="E19"/>
  <c r="E79"/>
  <c r="P79" s="1"/>
  <c r="C128" a="1"/>
  <c r="C128" s="1"/>
  <c r="C130" s="1"/>
  <c r="E113"/>
  <c r="E122" s="1" a="1"/>
  <c r="E122" s="1"/>
  <c r="D90" a="1"/>
  <c r="D90" s="1"/>
  <c r="D102" s="1"/>
  <c r="D91" a="1"/>
  <c r="D91" s="1"/>
  <c r="D89" i="32" a="1"/>
  <c r="D89" s="1"/>
  <c r="D101" s="1"/>
  <c r="D91" a="1"/>
  <c r="D91" s="1"/>
  <c r="D103" s="1"/>
  <c r="D88" a="1"/>
  <c r="D88" s="1"/>
  <c r="D100" s="1"/>
  <c r="D93" a="1"/>
  <c r="D93" s="1"/>
  <c r="D90" a="1"/>
  <c r="D90" s="1"/>
  <c r="D102" s="1"/>
  <c r="D87" a="1"/>
  <c r="D87" s="1"/>
  <c r="D99" s="1"/>
  <c r="D86" a="1"/>
  <c r="D86" s="1"/>
  <c r="D98" s="1"/>
  <c r="I155"/>
  <c r="I19"/>
  <c r="C92" a="1"/>
  <c r="C92" s="1"/>
  <c r="C94" s="1"/>
  <c r="F155"/>
  <c r="F19"/>
  <c r="E77"/>
  <c r="P77" s="1"/>
  <c r="D129" a="1"/>
  <c r="D129" s="1"/>
  <c r="D126" a="1"/>
  <c r="D126" s="1"/>
  <c r="D123" a="1"/>
  <c r="D123" s="1"/>
  <c r="D125" a="1"/>
  <c r="D125" s="1"/>
  <c r="D122" a="1"/>
  <c r="D122" s="1"/>
  <c r="D127" a="1"/>
  <c r="D127" s="1"/>
  <c r="D124" a="1"/>
  <c r="D124" s="1"/>
  <c r="H155"/>
  <c r="H19"/>
  <c r="E155"/>
  <c r="E19"/>
  <c r="E113"/>
  <c r="E78"/>
  <c r="P78" s="1"/>
  <c r="B206"/>
  <c r="B207"/>
  <c r="J164"/>
  <c r="K163"/>
  <c r="H163"/>
  <c r="E163"/>
  <c r="B163"/>
  <c r="L163"/>
  <c r="I163"/>
  <c r="F163"/>
  <c r="C163"/>
  <c r="M163"/>
  <c r="G163"/>
  <c r="D163"/>
  <c r="A163"/>
  <c r="G155"/>
  <c r="G19"/>
  <c r="C128" a="1"/>
  <c r="C128" s="1"/>
  <c r="C130" s="1"/>
  <c r="C42" i="129"/>
  <c r="D129" a="1"/>
  <c r="D129" s="1"/>
  <c r="D126" a="1"/>
  <c r="D126" s="1"/>
  <c r="D123" a="1"/>
  <c r="D123" s="1"/>
  <c r="D125" a="1"/>
  <c r="D125" s="1"/>
  <c r="D122" a="1"/>
  <c r="D122" s="1"/>
  <c r="D127" a="1"/>
  <c r="D127" s="1"/>
  <c r="D124" a="1"/>
  <c r="D124" s="1"/>
  <c r="G155"/>
  <c r="G19"/>
  <c r="J164"/>
  <c r="K163"/>
  <c r="H163"/>
  <c r="E163"/>
  <c r="B163"/>
  <c r="L163"/>
  <c r="I163"/>
  <c r="F163"/>
  <c r="C163"/>
  <c r="M163"/>
  <c r="G163"/>
  <c r="D163"/>
  <c r="A163"/>
  <c r="I155"/>
  <c r="I19"/>
  <c r="F155"/>
  <c r="F19"/>
  <c r="E155"/>
  <c r="E19"/>
  <c r="N83" i="127"/>
  <c r="C92" i="129" a="1"/>
  <c r="C92" s="1"/>
  <c r="C94" s="1"/>
  <c r="C206"/>
  <c r="C105"/>
  <c r="H155"/>
  <c r="H19"/>
  <c r="D206"/>
  <c r="D105"/>
  <c r="E113"/>
  <c r="E206" i="128"/>
  <c r="C92" a="1"/>
  <c r="C92" s="1"/>
  <c r="C94" s="1"/>
  <c r="C206" i="96"/>
  <c r="C206" i="98"/>
  <c r="D91" i="128" a="1"/>
  <c r="D91" s="1"/>
  <c r="D93" a="1"/>
  <c r="D93" s="1"/>
  <c r="B206"/>
  <c r="B207"/>
  <c r="H206"/>
  <c r="L162"/>
  <c r="I162"/>
  <c r="F162"/>
  <c r="C162"/>
  <c r="M162"/>
  <c r="G162"/>
  <c r="D162"/>
  <c r="A162"/>
  <c r="J163"/>
  <c r="K162"/>
  <c r="H162"/>
  <c r="E162"/>
  <c r="B162"/>
  <c r="J36"/>
  <c r="D88" a="1"/>
  <c r="D88" s="1"/>
  <c r="D90" a="1"/>
  <c r="D90" s="1"/>
  <c r="D89" a="1"/>
  <c r="D89" s="1"/>
  <c r="E82"/>
  <c r="P82" s="1"/>
  <c r="F155" i="127"/>
  <c r="F19"/>
  <c r="H155"/>
  <c r="H19"/>
  <c r="E155"/>
  <c r="E19"/>
  <c r="E79"/>
  <c r="P79" s="1"/>
  <c r="E78"/>
  <c r="P78" s="1"/>
  <c r="D90" a="1"/>
  <c r="D90" s="1"/>
  <c r="D102" s="1"/>
  <c r="D91" a="1"/>
  <c r="D91" s="1"/>
  <c r="D103" s="1"/>
  <c r="C206"/>
  <c r="C105"/>
  <c r="B206"/>
  <c r="B207"/>
  <c r="C92" a="1"/>
  <c r="C92" s="1"/>
  <c r="C94" s="1"/>
  <c r="C128" a="1"/>
  <c r="C128" s="1"/>
  <c r="C130" s="1"/>
  <c r="D87" a="1"/>
  <c r="D87" s="1"/>
  <c r="D99" s="1"/>
  <c r="D88" a="1"/>
  <c r="D88" s="1"/>
  <c r="D100" s="1"/>
  <c r="D129" a="1"/>
  <c r="D129" s="1"/>
  <c r="D126" a="1"/>
  <c r="D126" s="1"/>
  <c r="D123" a="1"/>
  <c r="D123" s="1"/>
  <c r="D125" a="1"/>
  <c r="D125" s="1"/>
  <c r="D122" a="1"/>
  <c r="D122" s="1"/>
  <c r="D127" a="1"/>
  <c r="D127" s="1"/>
  <c r="D124" a="1"/>
  <c r="D124" s="1"/>
  <c r="G155"/>
  <c r="G19"/>
  <c r="J164"/>
  <c r="K163"/>
  <c r="H163"/>
  <c r="E163"/>
  <c r="B163"/>
  <c r="L163"/>
  <c r="I163"/>
  <c r="F163"/>
  <c r="C163"/>
  <c r="M163"/>
  <c r="G163"/>
  <c r="D163"/>
  <c r="A163"/>
  <c r="I155"/>
  <c r="I19"/>
  <c r="E113"/>
  <c r="E81"/>
  <c r="P81" s="1"/>
  <c r="D86" a="1"/>
  <c r="D86" s="1"/>
  <c r="D98" s="1"/>
  <c r="D93" a="1"/>
  <c r="D93" s="1"/>
  <c r="D89" a="1"/>
  <c r="D89" s="1"/>
  <c r="D101" s="1"/>
  <c r="E80" i="109"/>
  <c r="P80" s="1"/>
  <c r="F79"/>
  <c r="Q79" s="1"/>
  <c r="E81"/>
  <c r="P81" s="1"/>
  <c r="D93" a="1"/>
  <c r="D93" s="1"/>
  <c r="D90" a="1"/>
  <c r="D90" s="1"/>
  <c r="D102" s="1"/>
  <c r="D87" a="1"/>
  <c r="D87" s="1"/>
  <c r="D89" a="1"/>
  <c r="D89" s="1"/>
  <c r="D86" a="1"/>
  <c r="D86" s="1"/>
  <c r="D98" s="1"/>
  <c r="D91" a="1"/>
  <c r="D91" s="1"/>
  <c r="D103" s="1"/>
  <c r="D88" a="1"/>
  <c r="D88" s="1"/>
  <c r="D100" s="1"/>
  <c r="J163"/>
  <c r="K162"/>
  <c r="H162"/>
  <c r="E162"/>
  <c r="B162"/>
  <c r="L162"/>
  <c r="I162"/>
  <c r="F162"/>
  <c r="C162"/>
  <c r="M162"/>
  <c r="G162"/>
  <c r="D162"/>
  <c r="A162"/>
  <c r="D127" a="1"/>
  <c r="D127" s="1"/>
  <c r="D124" a="1"/>
  <c r="D124" s="1"/>
  <c r="D129" a="1"/>
  <c r="D129" s="1"/>
  <c r="D126" a="1"/>
  <c r="D126" s="1"/>
  <c r="D123" a="1"/>
  <c r="D123" s="1"/>
  <c r="D125" a="1"/>
  <c r="D125" s="1"/>
  <c r="D122" a="1"/>
  <c r="D122" s="1"/>
  <c r="C206"/>
  <c r="B206"/>
  <c r="B207"/>
  <c r="E113"/>
  <c r="C128" a="1"/>
  <c r="C128" s="1"/>
  <c r="C130" s="1"/>
  <c r="E78"/>
  <c r="P78" s="1"/>
  <c r="J164" i="108"/>
  <c r="K163"/>
  <c r="H163"/>
  <c r="E163"/>
  <c r="B163"/>
  <c r="L163"/>
  <c r="I163"/>
  <c r="F163"/>
  <c r="C163"/>
  <c r="M163"/>
  <c r="G163"/>
  <c r="D163"/>
  <c r="A163"/>
  <c r="H155"/>
  <c r="H19"/>
  <c r="I155"/>
  <c r="I19"/>
  <c r="C92" a="1"/>
  <c r="C92" s="1"/>
  <c r="C94" s="1"/>
  <c r="E82"/>
  <c r="P82" s="1"/>
  <c r="E125" a="1"/>
  <c r="E125" s="1"/>
  <c r="F113"/>
  <c r="E155"/>
  <c r="E19"/>
  <c r="G155"/>
  <c r="G19"/>
  <c r="F155"/>
  <c r="F19"/>
  <c r="C206"/>
  <c r="C105"/>
  <c r="D89" i="102" a="1"/>
  <c r="D89" s="1"/>
  <c r="D86" a="1"/>
  <c r="D86" s="1"/>
  <c r="D98" s="1"/>
  <c r="D91" a="1"/>
  <c r="D91" s="1"/>
  <c r="D103" s="1"/>
  <c r="D88" a="1"/>
  <c r="D88" s="1"/>
  <c r="D93" a="1"/>
  <c r="D93" s="1"/>
  <c r="D90" a="1"/>
  <c r="D90" s="1"/>
  <c r="D87" a="1"/>
  <c r="D87" s="1"/>
  <c r="D99" s="1"/>
  <c r="G155"/>
  <c r="G19"/>
  <c r="H155"/>
  <c r="H19"/>
  <c r="E82"/>
  <c r="P82" s="1"/>
  <c r="J164"/>
  <c r="K163"/>
  <c r="H163"/>
  <c r="E163"/>
  <c r="B163"/>
  <c r="L163"/>
  <c r="I163"/>
  <c r="F163"/>
  <c r="C163"/>
  <c r="M163"/>
  <c r="G163"/>
  <c r="D163"/>
  <c r="A163"/>
  <c r="E77"/>
  <c r="P77" s="1"/>
  <c r="E81"/>
  <c r="P81" s="1"/>
  <c r="C128" a="1"/>
  <c r="C128" s="1"/>
  <c r="C130" s="1"/>
  <c r="E79"/>
  <c r="P79" s="1"/>
  <c r="D129" a="1"/>
  <c r="D129" s="1"/>
  <c r="D126" a="1"/>
  <c r="D126" s="1"/>
  <c r="D123" a="1"/>
  <c r="D123" s="1"/>
  <c r="D125" a="1"/>
  <c r="D125" s="1"/>
  <c r="D122" a="1"/>
  <c r="D122" s="1"/>
  <c r="D127" a="1"/>
  <c r="D127" s="1"/>
  <c r="D124" a="1"/>
  <c r="D124" s="1"/>
  <c r="B206"/>
  <c r="B207"/>
  <c r="C92" a="1"/>
  <c r="C92" s="1"/>
  <c r="C94" s="1"/>
  <c r="E155"/>
  <c r="E19"/>
  <c r="E113"/>
  <c r="E78"/>
  <c r="P78" s="1"/>
  <c r="F113" i="101"/>
  <c r="E81"/>
  <c r="P81" s="1"/>
  <c r="D87" a="1"/>
  <c r="D87" s="1"/>
  <c r="D99" s="1"/>
  <c r="D93" a="1"/>
  <c r="D93" s="1"/>
  <c r="D89" a="1"/>
  <c r="D89" s="1"/>
  <c r="D101" s="1"/>
  <c r="E82"/>
  <c r="P82" s="1"/>
  <c r="E79"/>
  <c r="P79" s="1"/>
  <c r="J164"/>
  <c r="K163"/>
  <c r="H163"/>
  <c r="E163"/>
  <c r="B163"/>
  <c r="L163"/>
  <c r="I163"/>
  <c r="F163"/>
  <c r="C163"/>
  <c r="M163"/>
  <c r="G163"/>
  <c r="D163"/>
  <c r="A163"/>
  <c r="C206"/>
  <c r="C105"/>
  <c r="C104"/>
  <c r="C42"/>
  <c r="B206"/>
  <c r="B207"/>
  <c r="H155"/>
  <c r="H19"/>
  <c r="G155"/>
  <c r="G19"/>
  <c r="D90" a="1"/>
  <c r="D90" s="1"/>
  <c r="D102" s="1"/>
  <c r="D91" a="1"/>
  <c r="D91" s="1"/>
  <c r="D103" s="1"/>
  <c r="E155"/>
  <c r="E19"/>
  <c r="D86" a="1"/>
  <c r="D86" s="1"/>
  <c r="D98" s="1"/>
  <c r="D88" a="1"/>
  <c r="D88" s="1"/>
  <c r="C128" a="1"/>
  <c r="C128" s="1"/>
  <c r="C130" s="1"/>
  <c r="F77"/>
  <c r="Q77" s="1"/>
  <c r="H155" i="100"/>
  <c r="H19"/>
  <c r="D89" a="1"/>
  <c r="D89" s="1"/>
  <c r="D101" s="1"/>
  <c r="D91" a="1"/>
  <c r="D91" s="1"/>
  <c r="D103" s="1"/>
  <c r="D88" a="1"/>
  <c r="D88" s="1"/>
  <c r="D87" a="1"/>
  <c r="D87" s="1"/>
  <c r="D99" s="1"/>
  <c r="D93" a="1"/>
  <c r="D93" s="1"/>
  <c r="D90" a="1"/>
  <c r="D90" s="1"/>
  <c r="D102" s="1"/>
  <c r="D86" a="1"/>
  <c r="D86" s="1"/>
  <c r="D98" s="1"/>
  <c r="F155"/>
  <c r="F19"/>
  <c r="G25"/>
  <c r="G30"/>
  <c r="I155"/>
  <c r="I19"/>
  <c r="E79"/>
  <c r="P79" s="1"/>
  <c r="E81"/>
  <c r="P81" s="1"/>
  <c r="C92" a="1"/>
  <c r="C92" s="1"/>
  <c r="C94" s="1"/>
  <c r="E155"/>
  <c r="E19"/>
  <c r="G113"/>
  <c r="C128" a="1"/>
  <c r="C128" s="1"/>
  <c r="C130" s="1"/>
  <c r="L162"/>
  <c r="I162"/>
  <c r="F162"/>
  <c r="C162"/>
  <c r="M162"/>
  <c r="G162"/>
  <c r="D162"/>
  <c r="A162"/>
  <c r="J163"/>
  <c r="E162"/>
  <c r="H162"/>
  <c r="K162"/>
  <c r="B162"/>
  <c r="E78"/>
  <c r="P78" s="1"/>
  <c r="G77" i="99"/>
  <c r="R77" s="1"/>
  <c r="I155"/>
  <c r="I19"/>
  <c r="G155"/>
  <c r="G19"/>
  <c r="E155"/>
  <c r="E19"/>
  <c r="D129" a="1"/>
  <c r="D129" s="1"/>
  <c r="D126" a="1"/>
  <c r="D126" s="1"/>
  <c r="D123" a="1"/>
  <c r="D123" s="1"/>
  <c r="D125" a="1"/>
  <c r="D125" s="1"/>
  <c r="D122" a="1"/>
  <c r="D122" s="1"/>
  <c r="D127" a="1"/>
  <c r="D127" s="1"/>
  <c r="D124" a="1"/>
  <c r="D124" s="1"/>
  <c r="J164"/>
  <c r="K163"/>
  <c r="H163"/>
  <c r="E163"/>
  <c r="B163"/>
  <c r="L163"/>
  <c r="I163"/>
  <c r="F163"/>
  <c r="C163"/>
  <c r="M163"/>
  <c r="G163"/>
  <c r="D163"/>
  <c r="A163"/>
  <c r="F155"/>
  <c r="F19"/>
  <c r="C206"/>
  <c r="C105"/>
  <c r="C104"/>
  <c r="C42"/>
  <c r="B206"/>
  <c r="B207"/>
  <c r="D87" a="1"/>
  <c r="D87" s="1"/>
  <c r="D99" s="1"/>
  <c r="D93" a="1"/>
  <c r="D93" s="1"/>
  <c r="D89" a="1"/>
  <c r="D89" s="1"/>
  <c r="D101" s="1"/>
  <c r="F78"/>
  <c r="Q78" s="1"/>
  <c r="C128" a="1"/>
  <c r="C128" s="1"/>
  <c r="C130" s="1"/>
  <c r="H155"/>
  <c r="H19"/>
  <c r="N83" i="96"/>
  <c r="E113" i="99"/>
  <c r="D90" a="1"/>
  <c r="D90" s="1"/>
  <c r="D91" a="1"/>
  <c r="D91" s="1"/>
  <c r="D103" s="1"/>
  <c r="E82"/>
  <c r="P82" s="1"/>
  <c r="C92" i="98" a="1"/>
  <c r="C92" s="1"/>
  <c r="C94" s="1"/>
  <c r="D129" a="1"/>
  <c r="D129" s="1"/>
  <c r="D126" a="1"/>
  <c r="D126" s="1"/>
  <c r="D123" a="1"/>
  <c r="D123" s="1"/>
  <c r="D127" a="1"/>
  <c r="D127" s="1"/>
  <c r="D124" a="1"/>
  <c r="D124" s="1"/>
  <c r="D122" a="1"/>
  <c r="D122" s="1"/>
  <c r="D125" a="1"/>
  <c r="D125" s="1"/>
  <c r="E81"/>
  <c r="P81" s="1"/>
  <c r="F30"/>
  <c r="F25"/>
  <c r="L162"/>
  <c r="I162"/>
  <c r="F162"/>
  <c r="C162"/>
  <c r="J163"/>
  <c r="K162"/>
  <c r="H162"/>
  <c r="E162"/>
  <c r="B162"/>
  <c r="G162"/>
  <c r="M162"/>
  <c r="D162"/>
  <c r="A162"/>
  <c r="D89" a="1"/>
  <c r="D89" s="1"/>
  <c r="D93" a="1"/>
  <c r="D93" s="1"/>
  <c r="D90" a="1"/>
  <c r="D90" s="1"/>
  <c r="D102" s="1"/>
  <c r="D91" a="1"/>
  <c r="D91" s="1"/>
  <c r="D86" a="1"/>
  <c r="D86" s="1"/>
  <c r="D98" s="1"/>
  <c r="D88" a="1"/>
  <c r="D88" s="1"/>
  <c r="D100" s="1"/>
  <c r="D87" a="1"/>
  <c r="D87" s="1"/>
  <c r="D99" s="1"/>
  <c r="E77"/>
  <c r="P77" s="1"/>
  <c r="E155"/>
  <c r="E19"/>
  <c r="E80"/>
  <c r="P80" s="1"/>
  <c r="H155"/>
  <c r="H19"/>
  <c r="E125" a="1"/>
  <c r="E125" s="1"/>
  <c r="E122" a="1"/>
  <c r="E122" s="1"/>
  <c r="E129" a="1"/>
  <c r="E129" s="1"/>
  <c r="E126" a="1"/>
  <c r="E126" s="1"/>
  <c r="E123" a="1"/>
  <c r="E123" s="1"/>
  <c r="E127" a="1"/>
  <c r="E127" s="1"/>
  <c r="E124" a="1"/>
  <c r="E124" s="1"/>
  <c r="F113"/>
  <c r="I30"/>
  <c r="I25"/>
  <c r="E79"/>
  <c r="P79" s="1"/>
  <c r="G155"/>
  <c r="G19"/>
  <c r="C128" a="1"/>
  <c r="C128" s="1"/>
  <c r="C130" s="1"/>
  <c r="G77" i="97"/>
  <c r="R77" s="1"/>
  <c r="E125" a="1"/>
  <c r="E125" s="1"/>
  <c r="E122" a="1"/>
  <c r="E122" s="1"/>
  <c r="E127" a="1"/>
  <c r="E127" s="1"/>
  <c r="E124" a="1"/>
  <c r="E124" s="1"/>
  <c r="E129" a="1"/>
  <c r="E129" s="1"/>
  <c r="E126" a="1"/>
  <c r="E126" s="1"/>
  <c r="E123" a="1"/>
  <c r="E123" s="1"/>
  <c r="F113"/>
  <c r="H155"/>
  <c r="H19"/>
  <c r="C104"/>
  <c r="C42"/>
  <c r="G155"/>
  <c r="G19"/>
  <c r="E155"/>
  <c r="E19"/>
  <c r="F78"/>
  <c r="Q78" s="1"/>
  <c r="E79"/>
  <c r="P79" s="1"/>
  <c r="D90" a="1"/>
  <c r="D90" s="1"/>
  <c r="D91" a="1"/>
  <c r="D91" s="1"/>
  <c r="D103" s="1"/>
  <c r="J164"/>
  <c r="K163"/>
  <c r="H163"/>
  <c r="E163"/>
  <c r="B163"/>
  <c r="L163"/>
  <c r="I163"/>
  <c r="F163"/>
  <c r="C163"/>
  <c r="M163"/>
  <c r="G163"/>
  <c r="D163"/>
  <c r="A163"/>
  <c r="B206"/>
  <c r="B207"/>
  <c r="I155"/>
  <c r="I19"/>
  <c r="E82"/>
  <c r="P82" s="1"/>
  <c r="D87" a="1"/>
  <c r="D87" s="1"/>
  <c r="D99" s="1"/>
  <c r="D88" a="1"/>
  <c r="D88" s="1"/>
  <c r="D100" s="1"/>
  <c r="D129" a="1"/>
  <c r="D129" s="1"/>
  <c r="D126" a="1"/>
  <c r="D126" s="1"/>
  <c r="D123" a="1"/>
  <c r="D123" s="1"/>
  <c r="D125" a="1"/>
  <c r="D125" s="1"/>
  <c r="D122" a="1"/>
  <c r="D122" s="1"/>
  <c r="D127" a="1"/>
  <c r="D127" s="1"/>
  <c r="D124" a="1"/>
  <c r="D124" s="1"/>
  <c r="F155"/>
  <c r="F19"/>
  <c r="D86" a="1"/>
  <c r="D86" s="1"/>
  <c r="D98" s="1"/>
  <c r="D93" a="1"/>
  <c r="D93" s="1"/>
  <c r="D89" a="1"/>
  <c r="D89" s="1"/>
  <c r="D101" s="1"/>
  <c r="F78" i="96"/>
  <c r="Q78" s="1"/>
  <c r="E125" a="1"/>
  <c r="E125" s="1"/>
  <c r="E122" a="1"/>
  <c r="E122" s="1"/>
  <c r="E127" a="1"/>
  <c r="E127" s="1"/>
  <c r="E124" a="1"/>
  <c r="E124" s="1"/>
  <c r="E129" a="1"/>
  <c r="E129" s="1"/>
  <c r="E126" a="1"/>
  <c r="E126" s="1"/>
  <c r="E123" a="1"/>
  <c r="E123" s="1"/>
  <c r="F113"/>
  <c r="D89" a="1"/>
  <c r="D89" s="1"/>
  <c r="D101" s="1"/>
  <c r="D91" a="1"/>
  <c r="D91" s="1"/>
  <c r="D103" s="1"/>
  <c r="D88" a="1"/>
  <c r="D88" s="1"/>
  <c r="D100" s="1"/>
  <c r="D93" a="1"/>
  <c r="D93" s="1"/>
  <c r="D87" a="1"/>
  <c r="D87" s="1"/>
  <c r="D99" s="1"/>
  <c r="D90" a="1"/>
  <c r="D90" s="1"/>
  <c r="D102" s="1"/>
  <c r="D86" a="1"/>
  <c r="D86" s="1"/>
  <c r="D98" s="1"/>
  <c r="E155"/>
  <c r="E19"/>
  <c r="H155"/>
  <c r="H19"/>
  <c r="G30"/>
  <c r="G25"/>
  <c r="F155"/>
  <c r="F19"/>
  <c r="E79"/>
  <c r="P79" s="1"/>
  <c r="E80"/>
  <c r="P80" s="1"/>
  <c r="C104"/>
  <c r="C42"/>
  <c r="D129" a="1"/>
  <c r="D129" s="1"/>
  <c r="D126" a="1"/>
  <c r="D126" s="1"/>
  <c r="D123" a="1"/>
  <c r="D123" s="1"/>
  <c r="D125" a="1"/>
  <c r="D125" s="1"/>
  <c r="D122" a="1"/>
  <c r="D122" s="1"/>
  <c r="D124" a="1"/>
  <c r="D124" s="1"/>
  <c r="D127" a="1"/>
  <c r="D127" s="1"/>
  <c r="I155"/>
  <c r="I19"/>
  <c r="L162"/>
  <c r="I162"/>
  <c r="F162"/>
  <c r="C162"/>
  <c r="M162"/>
  <c r="G162"/>
  <c r="D162"/>
  <c r="A162"/>
  <c r="K162"/>
  <c r="B162"/>
  <c r="J163"/>
  <c r="E162"/>
  <c r="H162"/>
  <c r="E81"/>
  <c r="P81" s="1"/>
  <c r="E77"/>
  <c r="P77" s="1"/>
  <c r="C128" a="1"/>
  <c r="C128" s="1"/>
  <c r="C130" s="1"/>
  <c r="E125" i="95" a="1"/>
  <c r="E125" s="1"/>
  <c r="E122" a="1"/>
  <c r="E122" s="1"/>
  <c r="E127" a="1"/>
  <c r="E127" s="1"/>
  <c r="E124" a="1"/>
  <c r="E124" s="1"/>
  <c r="E129" a="1"/>
  <c r="E129" s="1"/>
  <c r="E126" a="1"/>
  <c r="E126" s="1"/>
  <c r="E123" a="1"/>
  <c r="E123" s="1"/>
  <c r="F113"/>
  <c r="F77"/>
  <c r="Q77" s="1"/>
  <c r="J164"/>
  <c r="K163"/>
  <c r="H163"/>
  <c r="E163"/>
  <c r="B163"/>
  <c r="L163"/>
  <c r="I163"/>
  <c r="F163"/>
  <c r="C163"/>
  <c r="M163"/>
  <c r="G163"/>
  <c r="D163"/>
  <c r="A163"/>
  <c r="F155"/>
  <c r="F19"/>
  <c r="H155"/>
  <c r="H19"/>
  <c r="E155"/>
  <c r="E19"/>
  <c r="I155"/>
  <c r="I19"/>
  <c r="D129" a="1"/>
  <c r="D129" s="1"/>
  <c r="D126" a="1"/>
  <c r="D126" s="1"/>
  <c r="D123" a="1"/>
  <c r="D123" s="1"/>
  <c r="D125" a="1"/>
  <c r="D125" s="1"/>
  <c r="D122" a="1"/>
  <c r="D122" s="1"/>
  <c r="D127" a="1"/>
  <c r="D127" s="1"/>
  <c r="D124" a="1"/>
  <c r="D124" s="1"/>
  <c r="G155"/>
  <c r="G19"/>
  <c r="C42"/>
  <c r="C206"/>
  <c r="C105"/>
  <c r="C128" a="1"/>
  <c r="C128" s="1"/>
  <c r="C130" s="1"/>
  <c r="C92" a="1"/>
  <c r="C92" s="1"/>
  <c r="C94" s="1"/>
  <c r="E125" i="94" a="1"/>
  <c r="E125" s="1"/>
  <c r="E122" a="1"/>
  <c r="E122" s="1"/>
  <c r="E127" a="1"/>
  <c r="E127" s="1"/>
  <c r="E124" a="1"/>
  <c r="E124" s="1"/>
  <c r="E129" a="1"/>
  <c r="E129" s="1"/>
  <c r="E126" a="1"/>
  <c r="E126" s="1"/>
  <c r="E123" a="1"/>
  <c r="E123" s="1"/>
  <c r="F113"/>
  <c r="G77"/>
  <c r="R77" s="1"/>
  <c r="C206"/>
  <c r="C105"/>
  <c r="H155"/>
  <c r="H19"/>
  <c r="E155"/>
  <c r="E19"/>
  <c r="N83" i="85"/>
  <c r="C105"/>
  <c r="F78" i="94"/>
  <c r="D129" a="1"/>
  <c r="D129" s="1"/>
  <c r="D126" a="1"/>
  <c r="D126" s="1"/>
  <c r="D123" a="1"/>
  <c r="D123" s="1"/>
  <c r="D125" a="1"/>
  <c r="D125" s="1"/>
  <c r="D122" a="1"/>
  <c r="D122" s="1"/>
  <c r="D127" a="1"/>
  <c r="D127" s="1"/>
  <c r="D124" a="1"/>
  <c r="D124" s="1"/>
  <c r="J164"/>
  <c r="K163"/>
  <c r="H163"/>
  <c r="E163"/>
  <c r="B163"/>
  <c r="L163"/>
  <c r="I163"/>
  <c r="F163"/>
  <c r="C163"/>
  <c r="M163"/>
  <c r="G163"/>
  <c r="D163"/>
  <c r="A163"/>
  <c r="C104"/>
  <c r="C42"/>
  <c r="E91" a="1"/>
  <c r="E91" s="1"/>
  <c r="E103" s="1"/>
  <c r="E88" a="1"/>
  <c r="E88" s="1"/>
  <c r="E100" s="1"/>
  <c r="E93" a="1"/>
  <c r="E93" s="1"/>
  <c r="E90" a="1"/>
  <c r="E90" s="1"/>
  <c r="E87" a="1"/>
  <c r="E87" s="1"/>
  <c r="E89" a="1"/>
  <c r="E89" s="1"/>
  <c r="E101" s="1"/>
  <c r="E86" a="1"/>
  <c r="E86" s="1"/>
  <c r="E98" s="1"/>
  <c r="G155"/>
  <c r="G19"/>
  <c r="I155"/>
  <c r="I19"/>
  <c r="F155"/>
  <c r="F19"/>
  <c r="B206" i="93"/>
  <c r="B207"/>
  <c r="J164"/>
  <c r="K163"/>
  <c r="H163"/>
  <c r="E163"/>
  <c r="B163"/>
  <c r="L163"/>
  <c r="I163"/>
  <c r="F163"/>
  <c r="C163"/>
  <c r="M163"/>
  <c r="G163"/>
  <c r="D163"/>
  <c r="A163"/>
  <c r="E155"/>
  <c r="E19"/>
  <c r="C104"/>
  <c r="C42"/>
  <c r="G155"/>
  <c r="G19"/>
  <c r="H155"/>
  <c r="H19"/>
  <c r="E81"/>
  <c r="P81" s="1"/>
  <c r="D86" a="1"/>
  <c r="D86" s="1"/>
  <c r="D98" s="1"/>
  <c r="D93" a="1"/>
  <c r="D93" s="1"/>
  <c r="D89" a="1"/>
  <c r="D89" s="1"/>
  <c r="D101" s="1"/>
  <c r="E127" a="1"/>
  <c r="E127" s="1"/>
  <c r="F113"/>
  <c r="E79"/>
  <c r="P79" s="1"/>
  <c r="H77"/>
  <c r="S77" s="1"/>
  <c r="D90" a="1"/>
  <c r="D90" s="1"/>
  <c r="D102" s="1"/>
  <c r="D91" a="1"/>
  <c r="D91" s="1"/>
  <c r="D103" s="1"/>
  <c r="D87" a="1"/>
  <c r="D87" s="1"/>
  <c r="D88" a="1"/>
  <c r="D88" s="1"/>
  <c r="D100" s="1"/>
  <c r="B206" i="92"/>
  <c r="B207"/>
  <c r="E155"/>
  <c r="E19"/>
  <c r="D129" a="1"/>
  <c r="D129" s="1"/>
  <c r="D126" a="1"/>
  <c r="D126" s="1"/>
  <c r="D123" a="1"/>
  <c r="D123" s="1"/>
  <c r="D127" a="1"/>
  <c r="D127" s="1"/>
  <c r="D124" a="1"/>
  <c r="D124" s="1"/>
  <c r="D125" a="1"/>
  <c r="D125" s="1"/>
  <c r="D122" a="1"/>
  <c r="D122" s="1"/>
  <c r="E91" a="1"/>
  <c r="E91" s="1"/>
  <c r="E88" a="1"/>
  <c r="E88" s="1"/>
  <c r="E100" s="1"/>
  <c r="E89" a="1"/>
  <c r="E89" s="1"/>
  <c r="E101" s="1"/>
  <c r="E90" a="1"/>
  <c r="E90" s="1"/>
  <c r="E87" a="1"/>
  <c r="E87" s="1"/>
  <c r="E99" s="1"/>
  <c r="E86" a="1"/>
  <c r="E86" s="1"/>
  <c r="E98" s="1"/>
  <c r="E93" a="1"/>
  <c r="E93" s="1"/>
  <c r="I25"/>
  <c r="I30"/>
  <c r="C128" a="1"/>
  <c r="C128" s="1"/>
  <c r="C130" s="1"/>
  <c r="F80"/>
  <c r="Q80" s="1"/>
  <c r="C104"/>
  <c r="C42"/>
  <c r="G155"/>
  <c r="G19"/>
  <c r="H155"/>
  <c r="H19"/>
  <c r="F25"/>
  <c r="F30"/>
  <c r="E125" a="1"/>
  <c r="E125" s="1"/>
  <c r="E122" a="1"/>
  <c r="E122" s="1"/>
  <c r="E129" a="1"/>
  <c r="E129" s="1"/>
  <c r="E126" a="1"/>
  <c r="E126" s="1"/>
  <c r="E123" a="1"/>
  <c r="E123" s="1"/>
  <c r="E127" a="1"/>
  <c r="E127" s="1"/>
  <c r="E124" a="1"/>
  <c r="E124" s="1"/>
  <c r="F113"/>
  <c r="L162"/>
  <c r="I162"/>
  <c r="F162"/>
  <c r="C162"/>
  <c r="M162"/>
  <c r="G162"/>
  <c r="D162"/>
  <c r="A162"/>
  <c r="J163"/>
  <c r="K162"/>
  <c r="H162"/>
  <c r="E162"/>
  <c r="B162"/>
  <c r="G77"/>
  <c r="R77" s="1"/>
  <c r="F36" i="91"/>
  <c r="H155"/>
  <c r="H19"/>
  <c r="C92" a="1"/>
  <c r="C92" s="1"/>
  <c r="C94" s="1"/>
  <c r="E115"/>
  <c r="F115" s="1"/>
  <c r="G115" s="1"/>
  <c r="H115" s="1"/>
  <c r="I115" s="1"/>
  <c r="E78"/>
  <c r="P78" s="1"/>
  <c r="D122" a="1"/>
  <c r="D122" s="1"/>
  <c r="D126" a="1"/>
  <c r="D126" s="1"/>
  <c r="E82"/>
  <c r="P82" s="1"/>
  <c r="J164"/>
  <c r="K163"/>
  <c r="H163"/>
  <c r="E163"/>
  <c r="B163"/>
  <c r="L163"/>
  <c r="I163"/>
  <c r="F163"/>
  <c r="C163"/>
  <c r="M163"/>
  <c r="G163"/>
  <c r="D163"/>
  <c r="A163"/>
  <c r="E155"/>
  <c r="E19"/>
  <c r="E77"/>
  <c r="P77" s="1"/>
  <c r="C128" a="1"/>
  <c r="C128" s="1"/>
  <c r="C130" s="1"/>
  <c r="D127" a="1"/>
  <c r="D127" s="1"/>
  <c r="D123" a="1"/>
  <c r="D123" s="1"/>
  <c r="D89" a="1"/>
  <c r="D89" s="1"/>
  <c r="D101" s="1"/>
  <c r="D86" a="1"/>
  <c r="D86" s="1"/>
  <c r="D98" s="1"/>
  <c r="D91" a="1"/>
  <c r="D91" s="1"/>
  <c r="D88" a="1"/>
  <c r="D88" s="1"/>
  <c r="D100" s="1"/>
  <c r="D93" a="1"/>
  <c r="D93" s="1"/>
  <c r="D90" a="1"/>
  <c r="D90" s="1"/>
  <c r="D87" a="1"/>
  <c r="D87" s="1"/>
  <c r="D99" s="1"/>
  <c r="F113"/>
  <c r="B206"/>
  <c r="B207"/>
  <c r="G155"/>
  <c r="G19"/>
  <c r="E81"/>
  <c r="P81" s="1"/>
  <c r="D124" a="1"/>
  <c r="D124" s="1"/>
  <c r="D125" a="1"/>
  <c r="D125" s="1"/>
  <c r="H77" i="90"/>
  <c r="S77" s="1"/>
  <c r="J164"/>
  <c r="K163"/>
  <c r="H163"/>
  <c r="E163"/>
  <c r="B163"/>
  <c r="L163"/>
  <c r="I163"/>
  <c r="F163"/>
  <c r="C163"/>
  <c r="M163"/>
  <c r="G163"/>
  <c r="D163"/>
  <c r="A163"/>
  <c r="C128" a="1"/>
  <c r="C128" s="1"/>
  <c r="C130" s="1"/>
  <c r="D90" a="1"/>
  <c r="D90" s="1"/>
  <c r="D102" s="1"/>
  <c r="D91" a="1"/>
  <c r="D91" s="1"/>
  <c r="E155"/>
  <c r="E19"/>
  <c r="D87" a="1"/>
  <c r="D87" s="1"/>
  <c r="D88" a="1"/>
  <c r="D88" s="1"/>
  <c r="D100" s="1"/>
  <c r="D89" a="1"/>
  <c r="D89" s="1"/>
  <c r="D101" s="1"/>
  <c r="C206"/>
  <c r="C105"/>
  <c r="H155"/>
  <c r="H19"/>
  <c r="F113"/>
  <c r="G155"/>
  <c r="G19"/>
  <c r="D93" a="1"/>
  <c r="D93" s="1"/>
  <c r="D86" a="1"/>
  <c r="D86" s="1"/>
  <c r="D98" s="1"/>
  <c r="H155" i="89"/>
  <c r="H19"/>
  <c r="B207" i="70"/>
  <c r="N83" i="86"/>
  <c r="N83" i="87"/>
  <c r="C206" i="89"/>
  <c r="C105"/>
  <c r="E155"/>
  <c r="E19"/>
  <c r="F77"/>
  <c r="Q77" s="1"/>
  <c r="J164"/>
  <c r="K163"/>
  <c r="H163"/>
  <c r="E163"/>
  <c r="B163"/>
  <c r="L163"/>
  <c r="I163"/>
  <c r="F163"/>
  <c r="C163"/>
  <c r="M163"/>
  <c r="G163"/>
  <c r="D163"/>
  <c r="A163"/>
  <c r="G155"/>
  <c r="G19"/>
  <c r="I155"/>
  <c r="I19"/>
  <c r="D129" a="1"/>
  <c r="D129" s="1"/>
  <c r="D126" a="1"/>
  <c r="D126" s="1"/>
  <c r="D123" a="1"/>
  <c r="D123" s="1"/>
  <c r="D125" a="1"/>
  <c r="D125" s="1"/>
  <c r="D122" a="1"/>
  <c r="D122" s="1"/>
  <c r="D127" a="1"/>
  <c r="D127" s="1"/>
  <c r="D124" a="1"/>
  <c r="D124" s="1"/>
  <c r="F155"/>
  <c r="F19"/>
  <c r="E113"/>
  <c r="D129" i="80" a="1"/>
  <c r="D129" s="1"/>
  <c r="D126" a="1"/>
  <c r="D126" s="1"/>
  <c r="D123" a="1"/>
  <c r="D123" s="1"/>
  <c r="D125" a="1"/>
  <c r="D125" s="1"/>
  <c r="D122" a="1"/>
  <c r="D122" s="1"/>
  <c r="D127" a="1"/>
  <c r="D127" s="1"/>
  <c r="D124" a="1"/>
  <c r="D124" s="1"/>
  <c r="B206"/>
  <c r="B207"/>
  <c r="G155"/>
  <c r="G19"/>
  <c r="C128" a="1"/>
  <c r="C128" s="1"/>
  <c r="C130" s="1"/>
  <c r="E78"/>
  <c r="P78" s="1"/>
  <c r="D90" a="1"/>
  <c r="D90" s="1"/>
  <c r="D102" s="1"/>
  <c r="D91" a="1"/>
  <c r="D91" s="1"/>
  <c r="C48"/>
  <c r="E81"/>
  <c r="P81" s="1"/>
  <c r="D87" a="1"/>
  <c r="D87" s="1"/>
  <c r="D88" a="1"/>
  <c r="D88" s="1"/>
  <c r="D100" s="1"/>
  <c r="D89" a="1"/>
  <c r="D89" s="1"/>
  <c r="D101" s="1"/>
  <c r="H79"/>
  <c r="S79" s="1"/>
  <c r="G77"/>
  <c r="R77" s="1"/>
  <c r="E155"/>
  <c r="E19"/>
  <c r="L162"/>
  <c r="I162"/>
  <c r="F162"/>
  <c r="C162"/>
  <c r="M162"/>
  <c r="G162"/>
  <c r="D162"/>
  <c r="A162"/>
  <c r="J163"/>
  <c r="K162"/>
  <c r="H162"/>
  <c r="E162"/>
  <c r="B162"/>
  <c r="H155"/>
  <c r="H19"/>
  <c r="E113"/>
  <c r="D93" a="1"/>
  <c r="D93" s="1"/>
  <c r="D86" a="1"/>
  <c r="D86" s="1"/>
  <c r="D98" s="1"/>
  <c r="D89" i="79" a="1"/>
  <c r="D89" s="1"/>
  <c r="D91" a="1"/>
  <c r="D91" s="1"/>
  <c r="D103" s="1"/>
  <c r="D93" a="1"/>
  <c r="D93" s="1"/>
  <c r="D90" a="1"/>
  <c r="D90" s="1"/>
  <c r="D86" a="1"/>
  <c r="D86" s="1"/>
  <c r="D98" s="1"/>
  <c r="D88" a="1"/>
  <c r="D88" s="1"/>
  <c r="D100" s="1"/>
  <c r="D87" a="1"/>
  <c r="D87" s="1"/>
  <c r="D99" s="1"/>
  <c r="J164"/>
  <c r="K163"/>
  <c r="H163"/>
  <c r="E163"/>
  <c r="B163"/>
  <c r="L163"/>
  <c r="I163"/>
  <c r="F163"/>
  <c r="C163"/>
  <c r="M163"/>
  <c r="G163"/>
  <c r="D163"/>
  <c r="A163"/>
  <c r="I155"/>
  <c r="I19"/>
  <c r="C206"/>
  <c r="C105"/>
  <c r="G155"/>
  <c r="G19"/>
  <c r="C128" a="1"/>
  <c r="C128" s="1"/>
  <c r="C130" s="1"/>
  <c r="E125" a="1"/>
  <c r="E125" s="1"/>
  <c r="E122" a="1"/>
  <c r="E122" s="1"/>
  <c r="E127" a="1"/>
  <c r="E127" s="1"/>
  <c r="E124" a="1"/>
  <c r="E124" s="1"/>
  <c r="E129" a="1"/>
  <c r="E129" s="1"/>
  <c r="E126" a="1"/>
  <c r="E126" s="1"/>
  <c r="E123" a="1"/>
  <c r="E123" s="1"/>
  <c r="F113"/>
  <c r="F155"/>
  <c r="F19"/>
  <c r="D129" a="1"/>
  <c r="D129" s="1"/>
  <c r="D126" a="1"/>
  <c r="D126" s="1"/>
  <c r="D123" a="1"/>
  <c r="D123" s="1"/>
  <c r="D125" a="1"/>
  <c r="D125" s="1"/>
  <c r="D122" a="1"/>
  <c r="D122" s="1"/>
  <c r="D127" a="1"/>
  <c r="D127" s="1"/>
  <c r="D124" a="1"/>
  <c r="D124" s="1"/>
  <c r="E155"/>
  <c r="E19"/>
  <c r="B206"/>
  <c r="B207"/>
  <c r="H155"/>
  <c r="H19"/>
  <c r="E77"/>
  <c r="P77" s="1"/>
  <c r="N83"/>
  <c r="E79"/>
  <c r="P79" s="1"/>
  <c r="H155" i="88"/>
  <c r="H19"/>
  <c r="J164"/>
  <c r="K163"/>
  <c r="H163"/>
  <c r="E163"/>
  <c r="B163"/>
  <c r="L163"/>
  <c r="I163"/>
  <c r="F163"/>
  <c r="C163"/>
  <c r="M163"/>
  <c r="G163"/>
  <c r="D163"/>
  <c r="A163"/>
  <c r="E155"/>
  <c r="E19"/>
  <c r="F77"/>
  <c r="Q77" s="1"/>
  <c r="D89" a="1"/>
  <c r="D89" s="1"/>
  <c r="D101" s="1"/>
  <c r="D91" a="1"/>
  <c r="D91" s="1"/>
  <c r="D103" s="1"/>
  <c r="D88" a="1"/>
  <c r="D88" s="1"/>
  <c r="D100" s="1"/>
  <c r="D93" a="1"/>
  <c r="D93" s="1"/>
  <c r="D86" a="1"/>
  <c r="D86" s="1"/>
  <c r="D98" s="1"/>
  <c r="D90" a="1"/>
  <c r="D90" s="1"/>
  <c r="D87" a="1"/>
  <c r="D87" s="1"/>
  <c r="D99" s="1"/>
  <c r="G155"/>
  <c r="G19"/>
  <c r="C128" a="1"/>
  <c r="C128" s="1"/>
  <c r="C130" s="1"/>
  <c r="I155"/>
  <c r="I19"/>
  <c r="D129" a="1"/>
  <c r="D129" s="1"/>
  <c r="D126" a="1"/>
  <c r="D126" s="1"/>
  <c r="D123" a="1"/>
  <c r="D123" s="1"/>
  <c r="D125" a="1"/>
  <c r="D125" s="1"/>
  <c r="D122" a="1"/>
  <c r="D122" s="1"/>
  <c r="D127" a="1"/>
  <c r="D127" s="1"/>
  <c r="D124" a="1"/>
  <c r="D124" s="1"/>
  <c r="F155"/>
  <c r="F19"/>
  <c r="C206"/>
  <c r="C105"/>
  <c r="N83" i="77"/>
  <c r="E113" i="88"/>
  <c r="C206" i="87"/>
  <c r="C105"/>
  <c r="F77"/>
  <c r="Q77" s="1"/>
  <c r="G155"/>
  <c r="G19"/>
  <c r="H155"/>
  <c r="H19"/>
  <c r="F79"/>
  <c r="Q79" s="1"/>
  <c r="J164"/>
  <c r="K163"/>
  <c r="H163"/>
  <c r="E163"/>
  <c r="B163"/>
  <c r="L163"/>
  <c r="I163"/>
  <c r="F163"/>
  <c r="C163"/>
  <c r="M163"/>
  <c r="G163"/>
  <c r="D163"/>
  <c r="A163"/>
  <c r="E155"/>
  <c r="E19"/>
  <c r="F113"/>
  <c r="F77" i="86"/>
  <c r="Q77" s="1"/>
  <c r="D89" a="1"/>
  <c r="D89" s="1"/>
  <c r="D86" a="1"/>
  <c r="D86" s="1"/>
  <c r="D98" s="1"/>
  <c r="D91" a="1"/>
  <c r="D91" s="1"/>
  <c r="D103" s="1"/>
  <c r="D88" a="1"/>
  <c r="D88" s="1"/>
  <c r="D100" s="1"/>
  <c r="D93" a="1"/>
  <c r="D93" s="1"/>
  <c r="D90" a="1"/>
  <c r="D90" s="1"/>
  <c r="D87" a="1"/>
  <c r="D87" s="1"/>
  <c r="E82"/>
  <c r="P82" s="1"/>
  <c r="C128" a="1"/>
  <c r="C128" s="1"/>
  <c r="C130" s="1"/>
  <c r="E125" a="1"/>
  <c r="E125" s="1"/>
  <c r="E122" a="1"/>
  <c r="E122" s="1"/>
  <c r="E127" a="1"/>
  <c r="E127" s="1"/>
  <c r="E124" a="1"/>
  <c r="E124" s="1"/>
  <c r="E129" a="1"/>
  <c r="E129" s="1"/>
  <c r="E126" a="1"/>
  <c r="E126" s="1"/>
  <c r="E123" a="1"/>
  <c r="E123" s="1"/>
  <c r="F113"/>
  <c r="E155"/>
  <c r="E19"/>
  <c r="C92" a="1"/>
  <c r="C92" s="1"/>
  <c r="C94" s="1"/>
  <c r="F79"/>
  <c r="Q79" s="1"/>
  <c r="D129" a="1"/>
  <c r="D129" s="1"/>
  <c r="D126" a="1"/>
  <c r="D126" s="1"/>
  <c r="D123" a="1"/>
  <c r="D123" s="1"/>
  <c r="D125" a="1"/>
  <c r="D125" s="1"/>
  <c r="D122" a="1"/>
  <c r="D122" s="1"/>
  <c r="D127" a="1"/>
  <c r="D127" s="1"/>
  <c r="D124" a="1"/>
  <c r="D124" s="1"/>
  <c r="B206"/>
  <c r="B207"/>
  <c r="J164"/>
  <c r="K163"/>
  <c r="H163"/>
  <c r="E163"/>
  <c r="B163"/>
  <c r="L163"/>
  <c r="I163"/>
  <c r="F163"/>
  <c r="C163"/>
  <c r="M163"/>
  <c r="G163"/>
  <c r="D163"/>
  <c r="A163"/>
  <c r="G155"/>
  <c r="G19"/>
  <c r="H155"/>
  <c r="H19"/>
  <c r="F77" i="85"/>
  <c r="Q77" s="1"/>
  <c r="D89" a="1"/>
  <c r="D89" s="1"/>
  <c r="D91" a="1"/>
  <c r="D91" s="1"/>
  <c r="D103" s="1"/>
  <c r="D88" a="1"/>
  <c r="D88" s="1"/>
  <c r="D93" a="1"/>
  <c r="D93" s="1"/>
  <c r="D86" a="1"/>
  <c r="D86" s="1"/>
  <c r="D98" s="1"/>
  <c r="D90" a="1"/>
  <c r="D90" s="1"/>
  <c r="D102" s="1"/>
  <c r="D87" a="1"/>
  <c r="D87" s="1"/>
  <c r="D99" s="1"/>
  <c r="E155"/>
  <c r="E19"/>
  <c r="I155"/>
  <c r="I19"/>
  <c r="F155"/>
  <c r="F19"/>
  <c r="B206" i="84"/>
  <c r="B207"/>
  <c r="N83" i="69"/>
  <c r="C92" i="85" a="1"/>
  <c r="C92" s="1"/>
  <c r="C94" s="1"/>
  <c r="G155"/>
  <c r="G19"/>
  <c r="L162"/>
  <c r="I162"/>
  <c r="F162"/>
  <c r="C162"/>
  <c r="M162"/>
  <c r="G162"/>
  <c r="D162"/>
  <c r="A162"/>
  <c r="K162"/>
  <c r="B162"/>
  <c r="J163"/>
  <c r="E162"/>
  <c r="H162"/>
  <c r="H19"/>
  <c r="H155"/>
  <c r="F113"/>
  <c r="N83" i="84"/>
  <c r="E80" i="85"/>
  <c r="P80" s="1"/>
  <c r="D129" i="84" a="1"/>
  <c r="D129" s="1"/>
  <c r="D126" a="1"/>
  <c r="D126" s="1"/>
  <c r="D123" a="1"/>
  <c r="D123" s="1"/>
  <c r="D127" a="1"/>
  <c r="D127" s="1"/>
  <c r="D124" a="1"/>
  <c r="D124" s="1"/>
  <c r="D122" a="1"/>
  <c r="D122" s="1"/>
  <c r="D125" a="1"/>
  <c r="D125" s="1"/>
  <c r="E155"/>
  <c r="E19"/>
  <c r="C128" a="1"/>
  <c r="C128" s="1"/>
  <c r="C130" s="1"/>
  <c r="E118"/>
  <c r="E116"/>
  <c r="F113"/>
  <c r="L162"/>
  <c r="I162"/>
  <c r="F162"/>
  <c r="C162"/>
  <c r="J163"/>
  <c r="K162"/>
  <c r="H162"/>
  <c r="E162"/>
  <c r="B162"/>
  <c r="G162"/>
  <c r="A162"/>
  <c r="M162"/>
  <c r="D162"/>
  <c r="H114"/>
  <c r="F25"/>
  <c r="F30"/>
  <c r="G19"/>
  <c r="G155"/>
  <c r="H155"/>
  <c r="H19"/>
  <c r="I25"/>
  <c r="I30"/>
  <c r="F116" i="83"/>
  <c r="G116" s="1"/>
  <c r="H116" s="1"/>
  <c r="I116" s="1"/>
  <c r="J164"/>
  <c r="K163"/>
  <c r="H163"/>
  <c r="E163"/>
  <c r="B163"/>
  <c r="L163"/>
  <c r="I163"/>
  <c r="F163"/>
  <c r="C163"/>
  <c r="M163"/>
  <c r="G163"/>
  <c r="D163"/>
  <c r="A163"/>
  <c r="I155"/>
  <c r="I19"/>
  <c r="E125" a="1"/>
  <c r="E125" s="1"/>
  <c r="E122" a="1"/>
  <c r="E122" s="1"/>
  <c r="E127" a="1"/>
  <c r="E127" s="1"/>
  <c r="E124" a="1"/>
  <c r="E124" s="1"/>
  <c r="E129" a="1"/>
  <c r="E129" s="1"/>
  <c r="E126" a="1"/>
  <c r="E126" s="1"/>
  <c r="E123" a="1"/>
  <c r="E123" s="1"/>
  <c r="H155"/>
  <c r="H19"/>
  <c r="D129" a="1"/>
  <c r="D129" s="1"/>
  <c r="D126" a="1"/>
  <c r="D126" s="1"/>
  <c r="D123" a="1"/>
  <c r="D123" s="1"/>
  <c r="D125" a="1"/>
  <c r="D125" s="1"/>
  <c r="D122" a="1"/>
  <c r="D122" s="1"/>
  <c r="D127" a="1"/>
  <c r="D127" s="1"/>
  <c r="D124" a="1"/>
  <c r="D124" s="1"/>
  <c r="B206"/>
  <c r="B207"/>
  <c r="C128" a="1"/>
  <c r="C128" s="1"/>
  <c r="C130" s="1"/>
  <c r="F113"/>
  <c r="E155"/>
  <c r="E19"/>
  <c r="F155"/>
  <c r="F19"/>
  <c r="C92" a="1"/>
  <c r="C92" s="1"/>
  <c r="C94" s="1"/>
  <c r="G155"/>
  <c r="G19"/>
  <c r="E125" i="82" a="1"/>
  <c r="E125" s="1"/>
  <c r="E122" a="1"/>
  <c r="E122" s="1"/>
  <c r="E127" a="1"/>
  <c r="E127" s="1"/>
  <c r="E124" a="1"/>
  <c r="E124" s="1"/>
  <c r="E129" a="1"/>
  <c r="E129" s="1"/>
  <c r="E126" a="1"/>
  <c r="E126" s="1"/>
  <c r="E123" a="1"/>
  <c r="E123" s="1"/>
  <c r="F113"/>
  <c r="D89" a="1"/>
  <c r="D89" s="1"/>
  <c r="D86" a="1"/>
  <c r="D86" s="1"/>
  <c r="D98" s="1"/>
  <c r="D91" a="1"/>
  <c r="D91" s="1"/>
  <c r="D103" s="1"/>
  <c r="D88" a="1"/>
  <c r="D88" s="1"/>
  <c r="D100" s="1"/>
  <c r="D93" a="1"/>
  <c r="D93" s="1"/>
  <c r="D90" a="1"/>
  <c r="D90" s="1"/>
  <c r="D102" s="1"/>
  <c r="D87" a="1"/>
  <c r="D87" s="1"/>
  <c r="E155"/>
  <c r="E19"/>
  <c r="J164"/>
  <c r="K163"/>
  <c r="H163"/>
  <c r="E163"/>
  <c r="B163"/>
  <c r="L163"/>
  <c r="I163"/>
  <c r="F163"/>
  <c r="C163"/>
  <c r="M163"/>
  <c r="G163"/>
  <c r="D163"/>
  <c r="A163"/>
  <c r="G155"/>
  <c r="G19"/>
  <c r="H155"/>
  <c r="H19"/>
  <c r="E78"/>
  <c r="P78" s="1"/>
  <c r="N83"/>
  <c r="C206"/>
  <c r="C105"/>
  <c r="B206"/>
  <c r="B207"/>
  <c r="C92" a="1"/>
  <c r="C92" s="1"/>
  <c r="C94" s="1"/>
  <c r="E82"/>
  <c r="P82" s="1"/>
  <c r="C128" a="1"/>
  <c r="C128" s="1"/>
  <c r="C130" s="1"/>
  <c r="F77"/>
  <c r="Q77" s="1"/>
  <c r="D129" a="1"/>
  <c r="D129" s="1"/>
  <c r="D126" a="1"/>
  <c r="D126" s="1"/>
  <c r="D123" a="1"/>
  <c r="D123" s="1"/>
  <c r="D125" a="1"/>
  <c r="D125" s="1"/>
  <c r="D122" a="1"/>
  <c r="D122" s="1"/>
  <c r="D127" a="1"/>
  <c r="D127" s="1"/>
  <c r="D124" a="1"/>
  <c r="D124" s="1"/>
  <c r="E81"/>
  <c r="P81" s="1"/>
  <c r="E91" i="81" a="1"/>
  <c r="E91" s="1"/>
  <c r="E103" s="1"/>
  <c r="E88" a="1"/>
  <c r="E88" s="1"/>
  <c r="E93" a="1"/>
  <c r="E93" s="1"/>
  <c r="E90" a="1"/>
  <c r="E90" s="1"/>
  <c r="E102" s="1"/>
  <c r="E87" a="1"/>
  <c r="E87" s="1"/>
  <c r="E86" a="1"/>
  <c r="E86" s="1"/>
  <c r="E98" s="1"/>
  <c r="E89" a="1"/>
  <c r="E89" s="1"/>
  <c r="E101" s="1"/>
  <c r="J164"/>
  <c r="K163"/>
  <c r="H163"/>
  <c r="E163"/>
  <c r="B163"/>
  <c r="L163"/>
  <c r="I163"/>
  <c r="F163"/>
  <c r="C163"/>
  <c r="M163"/>
  <c r="G163"/>
  <c r="D163"/>
  <c r="A163"/>
  <c r="I155"/>
  <c r="I19"/>
  <c r="C104"/>
  <c r="C42"/>
  <c r="F80"/>
  <c r="Q80" s="1"/>
  <c r="F81"/>
  <c r="Q81" s="1"/>
  <c r="F79"/>
  <c r="Q79" s="1"/>
  <c r="B206"/>
  <c r="B207"/>
  <c r="H155"/>
  <c r="H19"/>
  <c r="E125" a="1"/>
  <c r="E125" s="1"/>
  <c r="E122" a="1"/>
  <c r="E122" s="1"/>
  <c r="E127" a="1"/>
  <c r="E127" s="1"/>
  <c r="E124" a="1"/>
  <c r="E124" s="1"/>
  <c r="E129" a="1"/>
  <c r="E129" s="1"/>
  <c r="E126" a="1"/>
  <c r="E126" s="1"/>
  <c r="E123" a="1"/>
  <c r="E123" s="1"/>
  <c r="F113"/>
  <c r="G77"/>
  <c r="R77" s="1"/>
  <c r="D129" a="1"/>
  <c r="D129" s="1"/>
  <c r="D126" a="1"/>
  <c r="D126" s="1"/>
  <c r="D123" a="1"/>
  <c r="D123" s="1"/>
  <c r="D125" a="1"/>
  <c r="D125" s="1"/>
  <c r="D122" a="1"/>
  <c r="D122" s="1"/>
  <c r="D127" a="1"/>
  <c r="D127" s="1"/>
  <c r="D124" a="1"/>
  <c r="D124" s="1"/>
  <c r="F155"/>
  <c r="F19"/>
  <c r="G155"/>
  <c r="G19"/>
  <c r="E155"/>
  <c r="E19"/>
  <c r="F129" i="78" a="1"/>
  <c r="F129" s="1"/>
  <c r="F126" a="1"/>
  <c r="F126" s="1"/>
  <c r="F123" a="1"/>
  <c r="F123" s="1"/>
  <c r="F125" a="1"/>
  <c r="F125" s="1"/>
  <c r="F122" a="1"/>
  <c r="F122" s="1"/>
  <c r="F127" a="1"/>
  <c r="F127" s="1"/>
  <c r="F124" a="1"/>
  <c r="F124" s="1"/>
  <c r="G113"/>
  <c r="D91" a="1"/>
  <c r="D91" s="1"/>
  <c r="D88" a="1"/>
  <c r="D88" s="1"/>
  <c r="D100" s="1"/>
  <c r="D93" a="1"/>
  <c r="D93" s="1"/>
  <c r="D90" a="1"/>
  <c r="D90" s="1"/>
  <c r="D102" s="1"/>
  <c r="D87" a="1"/>
  <c r="D87" s="1"/>
  <c r="D99" s="1"/>
  <c r="D89" a="1"/>
  <c r="D89" s="1"/>
  <c r="D86" a="1"/>
  <c r="D86" s="1"/>
  <c r="D98" s="1"/>
  <c r="B206"/>
  <c r="B207"/>
  <c r="C48"/>
  <c r="E82"/>
  <c r="P82" s="1"/>
  <c r="E79"/>
  <c r="P79" s="1"/>
  <c r="D128" a="1"/>
  <c r="D128" s="1"/>
  <c r="D130" s="1"/>
  <c r="H25"/>
  <c r="H30"/>
  <c r="I155"/>
  <c r="I19"/>
  <c r="E127" a="1"/>
  <c r="E127" s="1"/>
  <c r="E124" a="1"/>
  <c r="E124" s="1"/>
  <c r="E129" a="1"/>
  <c r="E129" s="1"/>
  <c r="E126" a="1"/>
  <c r="E126" s="1"/>
  <c r="E123" a="1"/>
  <c r="E123" s="1"/>
  <c r="E125" a="1"/>
  <c r="E125" s="1"/>
  <c r="E122" a="1"/>
  <c r="E122" s="1"/>
  <c r="E25"/>
  <c r="E30"/>
  <c r="J164"/>
  <c r="K163"/>
  <c r="H163"/>
  <c r="E163"/>
  <c r="B163"/>
  <c r="L163"/>
  <c r="I163"/>
  <c r="F163"/>
  <c r="C163"/>
  <c r="M163"/>
  <c r="G163"/>
  <c r="D163"/>
  <c r="A163"/>
  <c r="F155"/>
  <c r="F19"/>
  <c r="G155"/>
  <c r="G19"/>
  <c r="I155" i="77"/>
  <c r="I19"/>
  <c r="E155"/>
  <c r="E19"/>
  <c r="H155"/>
  <c r="H19"/>
  <c r="E81"/>
  <c r="P81" s="1"/>
  <c r="D129" a="1"/>
  <c r="D129" s="1"/>
  <c r="D126" a="1"/>
  <c r="D126" s="1"/>
  <c r="D123" a="1"/>
  <c r="D123" s="1"/>
  <c r="D125" a="1"/>
  <c r="D125" s="1"/>
  <c r="D124" a="1"/>
  <c r="D124" s="1"/>
  <c r="D127" a="1"/>
  <c r="D127" s="1"/>
  <c r="D122" a="1"/>
  <c r="D122" s="1"/>
  <c r="E113"/>
  <c r="F155"/>
  <c r="F19"/>
  <c r="C105"/>
  <c r="C206"/>
  <c r="G155"/>
  <c r="G19"/>
  <c r="C92" a="1"/>
  <c r="C92" s="1"/>
  <c r="C94" s="1"/>
  <c r="E78"/>
  <c r="P78" s="1"/>
  <c r="D89" a="1"/>
  <c r="D89" s="1"/>
  <c r="D91" a="1"/>
  <c r="D91" s="1"/>
  <c r="D103" s="1"/>
  <c r="D90" a="1"/>
  <c r="D90" s="1"/>
  <c r="D93" a="1"/>
  <c r="D93" s="1"/>
  <c r="D86" a="1"/>
  <c r="D86" s="1"/>
  <c r="D98" s="1"/>
  <c r="D88" a="1"/>
  <c r="D88" s="1"/>
  <c r="D100" s="1"/>
  <c r="D87" a="1"/>
  <c r="D87" s="1"/>
  <c r="D99" s="1"/>
  <c r="E77"/>
  <c r="P77" s="1"/>
  <c r="L162"/>
  <c r="I162"/>
  <c r="F162"/>
  <c r="C162"/>
  <c r="K162"/>
  <c r="G162"/>
  <c r="B162"/>
  <c r="M162"/>
  <c r="H162"/>
  <c r="D162"/>
  <c r="A162"/>
  <c r="J163"/>
  <c r="E162"/>
  <c r="E79"/>
  <c r="P79" s="1"/>
  <c r="C42" i="76"/>
  <c r="E155"/>
  <c r="E19"/>
  <c r="C206"/>
  <c r="C105"/>
  <c r="G155"/>
  <c r="G19"/>
  <c r="H155"/>
  <c r="H19"/>
  <c r="D129" a="1"/>
  <c r="D129" s="1"/>
  <c r="D126" a="1"/>
  <c r="D126" s="1"/>
  <c r="D123" a="1"/>
  <c r="D123" s="1"/>
  <c r="D125" a="1"/>
  <c r="D125" s="1"/>
  <c r="D122" a="1"/>
  <c r="D122" s="1"/>
  <c r="D127" a="1"/>
  <c r="D127" s="1"/>
  <c r="D124" a="1"/>
  <c r="D124" s="1"/>
  <c r="J164"/>
  <c r="K163"/>
  <c r="H163"/>
  <c r="E163"/>
  <c r="B163"/>
  <c r="L163"/>
  <c r="I163"/>
  <c r="F163"/>
  <c r="C163"/>
  <c r="M163"/>
  <c r="G163"/>
  <c r="D163"/>
  <c r="A163"/>
  <c r="E113"/>
  <c r="C92" a="1"/>
  <c r="C92" s="1"/>
  <c r="C94" s="1"/>
  <c r="D129" i="75" a="1"/>
  <c r="D129" s="1"/>
  <c r="D126" a="1"/>
  <c r="D126" s="1"/>
  <c r="D123" a="1"/>
  <c r="D123" s="1"/>
  <c r="D125" a="1"/>
  <c r="D125" s="1"/>
  <c r="D122" a="1"/>
  <c r="D122" s="1"/>
  <c r="D127" a="1"/>
  <c r="D127" s="1"/>
  <c r="D124" a="1"/>
  <c r="D124" s="1"/>
  <c r="G155"/>
  <c r="G19"/>
  <c r="H155"/>
  <c r="H19"/>
  <c r="D89" a="1"/>
  <c r="D89" s="1"/>
  <c r="D91" a="1"/>
  <c r="D91" s="1"/>
  <c r="D103" s="1"/>
  <c r="D88" a="1"/>
  <c r="D88" s="1"/>
  <c r="D100" s="1"/>
  <c r="D93" a="1"/>
  <c r="D93" s="1"/>
  <c r="D90" a="1"/>
  <c r="D90" s="1"/>
  <c r="D102" s="1"/>
  <c r="D87" a="1"/>
  <c r="D87" s="1"/>
  <c r="D99" s="1"/>
  <c r="D86" a="1"/>
  <c r="D86" s="1"/>
  <c r="D98" s="1"/>
  <c r="C92" a="1"/>
  <c r="C92" s="1"/>
  <c r="C94" s="1"/>
  <c r="F77"/>
  <c r="Q77" s="1"/>
  <c r="F155"/>
  <c r="F19"/>
  <c r="B206"/>
  <c r="B207"/>
  <c r="C128" a="1"/>
  <c r="C128" s="1"/>
  <c r="C130" s="1"/>
  <c r="E82"/>
  <c r="P82" s="1"/>
  <c r="C206"/>
  <c r="C105"/>
  <c r="C42"/>
  <c r="J164"/>
  <c r="K163"/>
  <c r="H163"/>
  <c r="E163"/>
  <c r="B163"/>
  <c r="L163"/>
  <c r="I163"/>
  <c r="F163"/>
  <c r="C163"/>
  <c r="M163"/>
  <c r="G163"/>
  <c r="D163"/>
  <c r="A163"/>
  <c r="E155"/>
  <c r="E19"/>
  <c r="I155"/>
  <c r="I19"/>
  <c r="E113"/>
  <c r="E79"/>
  <c r="P79" s="1"/>
  <c r="E125" i="74" a="1"/>
  <c r="E125" s="1"/>
  <c r="E122" a="1"/>
  <c r="E122" s="1"/>
  <c r="E129" a="1"/>
  <c r="E129" s="1"/>
  <c r="E126" a="1"/>
  <c r="E126" s="1"/>
  <c r="E123" a="1"/>
  <c r="E123" s="1"/>
  <c r="E127" a="1"/>
  <c r="E127" s="1"/>
  <c r="E124" a="1"/>
  <c r="E124" s="1"/>
  <c r="F113"/>
  <c r="D89" a="1"/>
  <c r="D89" s="1"/>
  <c r="D93" a="1"/>
  <c r="D93" s="1"/>
  <c r="D90" a="1"/>
  <c r="D90" s="1"/>
  <c r="D102" s="1"/>
  <c r="D91" a="1"/>
  <c r="D91" s="1"/>
  <c r="D86" a="1"/>
  <c r="D86" s="1"/>
  <c r="D98" s="1"/>
  <c r="D88" a="1"/>
  <c r="D88" s="1"/>
  <c r="D100" s="1"/>
  <c r="D87" a="1"/>
  <c r="D87" s="1"/>
  <c r="H155"/>
  <c r="H19"/>
  <c r="F25"/>
  <c r="F30"/>
  <c r="E155"/>
  <c r="E19"/>
  <c r="C104"/>
  <c r="G19"/>
  <c r="G155"/>
  <c r="C48"/>
  <c r="D129" a="1"/>
  <c r="D129" s="1"/>
  <c r="D126" a="1"/>
  <c r="D126" s="1"/>
  <c r="D123" a="1"/>
  <c r="D123" s="1"/>
  <c r="D127" a="1"/>
  <c r="D127" s="1"/>
  <c r="D124" a="1"/>
  <c r="D124" s="1"/>
  <c r="D122" a="1"/>
  <c r="D122" s="1"/>
  <c r="D125" a="1"/>
  <c r="D125" s="1"/>
  <c r="I25"/>
  <c r="I30"/>
  <c r="L162"/>
  <c r="I162"/>
  <c r="F162"/>
  <c r="C162"/>
  <c r="J163"/>
  <c r="K162"/>
  <c r="H162"/>
  <c r="E162"/>
  <c r="B162"/>
  <c r="G162"/>
  <c r="M162"/>
  <c r="D162"/>
  <c r="A162"/>
  <c r="E81"/>
  <c r="P81" s="1"/>
  <c r="C128" a="1"/>
  <c r="C128" s="1"/>
  <c r="C130" s="1"/>
  <c r="E79"/>
  <c r="P79" s="1"/>
  <c r="E80"/>
  <c r="P80" s="1"/>
  <c r="C206" i="73"/>
  <c r="C105"/>
  <c r="G155"/>
  <c r="G19"/>
  <c r="D89" a="1"/>
  <c r="D89" s="1"/>
  <c r="D86" a="1"/>
  <c r="D86" s="1"/>
  <c r="D98" s="1"/>
  <c r="D91" a="1"/>
  <c r="D91" s="1"/>
  <c r="D103" s="1"/>
  <c r="D88" a="1"/>
  <c r="D88" s="1"/>
  <c r="D100" s="1"/>
  <c r="D93" a="1"/>
  <c r="D93" s="1"/>
  <c r="D90" a="1"/>
  <c r="D90" s="1"/>
  <c r="D102" s="1"/>
  <c r="D87" a="1"/>
  <c r="D87" s="1"/>
  <c r="D99" s="1"/>
  <c r="H155"/>
  <c r="H19"/>
  <c r="E155"/>
  <c r="E19"/>
  <c r="E77"/>
  <c r="P77" s="1"/>
  <c r="E123" a="1"/>
  <c r="E123" s="1"/>
  <c r="F113"/>
  <c r="B206"/>
  <c r="B207"/>
  <c r="L162"/>
  <c r="I162"/>
  <c r="F162"/>
  <c r="C162"/>
  <c r="M162"/>
  <c r="G162"/>
  <c r="D162"/>
  <c r="A162"/>
  <c r="J163"/>
  <c r="K162"/>
  <c r="H162"/>
  <c r="E162"/>
  <c r="B162"/>
  <c r="E81"/>
  <c r="P81" s="1"/>
  <c r="N83"/>
  <c r="E125" i="72" a="1"/>
  <c r="E125" s="1"/>
  <c r="E122" a="1"/>
  <c r="E122" s="1"/>
  <c r="E127" a="1"/>
  <c r="E127" s="1"/>
  <c r="E124" a="1"/>
  <c r="E124" s="1"/>
  <c r="E129" a="1"/>
  <c r="E129" s="1"/>
  <c r="E126" a="1"/>
  <c r="E126" s="1"/>
  <c r="E123" a="1"/>
  <c r="E123" s="1"/>
  <c r="F113"/>
  <c r="C206"/>
  <c r="C105"/>
  <c r="C128" a="1"/>
  <c r="C128" s="1"/>
  <c r="C130" s="1"/>
  <c r="D129" a="1"/>
  <c r="D129" s="1"/>
  <c r="D126" a="1"/>
  <c r="D126" s="1"/>
  <c r="D123" a="1"/>
  <c r="D123" s="1"/>
  <c r="D125" a="1"/>
  <c r="D125" s="1"/>
  <c r="D122" a="1"/>
  <c r="D122" s="1"/>
  <c r="D127" a="1"/>
  <c r="D127" s="1"/>
  <c r="D124" a="1"/>
  <c r="D124" s="1"/>
  <c r="F155"/>
  <c r="F19"/>
  <c r="J164"/>
  <c r="K163"/>
  <c r="H163"/>
  <c r="E163"/>
  <c r="B163"/>
  <c r="L163"/>
  <c r="I163"/>
  <c r="F163"/>
  <c r="C163"/>
  <c r="M163"/>
  <c r="G163"/>
  <c r="D163"/>
  <c r="A163"/>
  <c r="I155"/>
  <c r="I19"/>
  <c r="N83"/>
  <c r="D89" a="1"/>
  <c r="D89" s="1"/>
  <c r="D101" s="1"/>
  <c r="D91" a="1"/>
  <c r="D91" s="1"/>
  <c r="D88" a="1"/>
  <c r="D88" s="1"/>
  <c r="D93" a="1"/>
  <c r="D93" s="1"/>
  <c r="D90" a="1"/>
  <c r="D90" s="1"/>
  <c r="D86" a="1"/>
  <c r="D86" s="1"/>
  <c r="D98" s="1"/>
  <c r="D87" a="1"/>
  <c r="D87" s="1"/>
  <c r="D99" s="1"/>
  <c r="G155"/>
  <c r="G19"/>
  <c r="H155"/>
  <c r="H19"/>
  <c r="E155"/>
  <c r="E19"/>
  <c r="E77"/>
  <c r="P77" s="1"/>
  <c r="H77" i="71"/>
  <c r="S77" s="1"/>
  <c r="C206"/>
  <c r="C105"/>
  <c r="C42"/>
  <c r="J164"/>
  <c r="K163"/>
  <c r="H163"/>
  <c r="E163"/>
  <c r="B163"/>
  <c r="L163"/>
  <c r="I163"/>
  <c r="F163"/>
  <c r="C163"/>
  <c r="M163"/>
  <c r="G163"/>
  <c r="D163"/>
  <c r="A163"/>
  <c r="C128" a="1"/>
  <c r="C128" s="1"/>
  <c r="C130" s="1"/>
  <c r="E79"/>
  <c r="P79" s="1"/>
  <c r="I155"/>
  <c r="I19"/>
  <c r="E78"/>
  <c r="P78" s="1"/>
  <c r="H155"/>
  <c r="H19"/>
  <c r="E155"/>
  <c r="E19"/>
  <c r="D89" a="1"/>
  <c r="D89" s="1"/>
  <c r="D101" s="1"/>
  <c r="D91" a="1"/>
  <c r="D91" s="1"/>
  <c r="D88" a="1"/>
  <c r="D88" s="1"/>
  <c r="D93" a="1"/>
  <c r="D93" s="1"/>
  <c r="D90" a="1"/>
  <c r="D90" s="1"/>
  <c r="D86" a="1"/>
  <c r="D86" s="1"/>
  <c r="D98" s="1"/>
  <c r="D87" a="1"/>
  <c r="D87" s="1"/>
  <c r="D99" s="1"/>
  <c r="G155"/>
  <c r="G19"/>
  <c r="F155"/>
  <c r="F19"/>
  <c r="C92" a="1"/>
  <c r="C92" s="1"/>
  <c r="C94" s="1"/>
  <c r="E80"/>
  <c r="P80" s="1"/>
  <c r="E125" i="70" a="1"/>
  <c r="E125" s="1"/>
  <c r="E122" a="1"/>
  <c r="E122" s="1"/>
  <c r="E127" a="1"/>
  <c r="E127" s="1"/>
  <c r="E124" a="1"/>
  <c r="E124" s="1"/>
  <c r="E129" a="1"/>
  <c r="E129" s="1"/>
  <c r="E126" a="1"/>
  <c r="E126" s="1"/>
  <c r="E123" a="1"/>
  <c r="E123" s="1"/>
  <c r="F113"/>
  <c r="D89" a="1"/>
  <c r="D89" s="1"/>
  <c r="D91" a="1"/>
  <c r="D91" s="1"/>
  <c r="D103" s="1"/>
  <c r="D88" a="1"/>
  <c r="D88" s="1"/>
  <c r="D100" s="1"/>
  <c r="D93" a="1"/>
  <c r="D93" s="1"/>
  <c r="D90" a="1"/>
  <c r="D90" s="1"/>
  <c r="D102" s="1"/>
  <c r="D87" a="1"/>
  <c r="D87" s="1"/>
  <c r="D99" s="1"/>
  <c r="D86" a="1"/>
  <c r="D86" s="1"/>
  <c r="D98" s="1"/>
  <c r="E155"/>
  <c r="E19"/>
  <c r="J164"/>
  <c r="K163"/>
  <c r="H163"/>
  <c r="E163"/>
  <c r="B163"/>
  <c r="L163"/>
  <c r="I163"/>
  <c r="F163"/>
  <c r="C163"/>
  <c r="M163"/>
  <c r="G163"/>
  <c r="D163"/>
  <c r="A163"/>
  <c r="I155"/>
  <c r="I19"/>
  <c r="E82"/>
  <c r="P82" s="1"/>
  <c r="E77"/>
  <c r="P77" s="1"/>
  <c r="E80"/>
  <c r="P80" s="1"/>
  <c r="D129" a="1"/>
  <c r="D129" s="1"/>
  <c r="D126" a="1"/>
  <c r="D126" s="1"/>
  <c r="D123" a="1"/>
  <c r="D123" s="1"/>
  <c r="D125" a="1"/>
  <c r="D125" s="1"/>
  <c r="D122" a="1"/>
  <c r="D122" s="1"/>
  <c r="D127" a="1"/>
  <c r="D127" s="1"/>
  <c r="D124" a="1"/>
  <c r="D124" s="1"/>
  <c r="F155"/>
  <c r="F19"/>
  <c r="H155"/>
  <c r="H19"/>
  <c r="G155"/>
  <c r="G19"/>
  <c r="C92" a="1"/>
  <c r="C92" s="1"/>
  <c r="C94" s="1"/>
  <c r="E78"/>
  <c r="P78" s="1"/>
  <c r="E125" i="69" a="1"/>
  <c r="E125" s="1"/>
  <c r="E122" a="1"/>
  <c r="E122" s="1"/>
  <c r="E127" a="1"/>
  <c r="E127" s="1"/>
  <c r="E124" a="1"/>
  <c r="E124" s="1"/>
  <c r="E129" a="1"/>
  <c r="E129" s="1"/>
  <c r="E126" a="1"/>
  <c r="E126" s="1"/>
  <c r="E123" a="1"/>
  <c r="E123" s="1"/>
  <c r="F113"/>
  <c r="H155"/>
  <c r="H19"/>
  <c r="F77"/>
  <c r="Q77" s="1"/>
  <c r="C206"/>
  <c r="C105"/>
  <c r="J164"/>
  <c r="K163"/>
  <c r="H163"/>
  <c r="E163"/>
  <c r="B163"/>
  <c r="L163"/>
  <c r="I163"/>
  <c r="F163"/>
  <c r="C163"/>
  <c r="M163"/>
  <c r="G163"/>
  <c r="D163"/>
  <c r="A163"/>
  <c r="D129" a="1"/>
  <c r="D129" s="1"/>
  <c r="D126" a="1"/>
  <c r="D126" s="1"/>
  <c r="D123" a="1"/>
  <c r="D123" s="1"/>
  <c r="D125" a="1"/>
  <c r="D125" s="1"/>
  <c r="D122" a="1"/>
  <c r="D122" s="1"/>
  <c r="D127" a="1"/>
  <c r="D127" s="1"/>
  <c r="D124" a="1"/>
  <c r="D124" s="1"/>
  <c r="C42"/>
  <c r="G155"/>
  <c r="G19"/>
  <c r="E155"/>
  <c r="E19"/>
  <c r="C92" a="1"/>
  <c r="C92" s="1"/>
  <c r="C94" s="1"/>
  <c r="D129" i="68" a="1"/>
  <c r="D129" s="1"/>
  <c r="D126" a="1"/>
  <c r="D126" s="1"/>
  <c r="D123" a="1"/>
  <c r="D123" s="1"/>
  <c r="D125" a="1"/>
  <c r="D125" s="1"/>
  <c r="D122" a="1"/>
  <c r="D122" s="1"/>
  <c r="D127" a="1"/>
  <c r="D127" s="1"/>
  <c r="D124" a="1"/>
  <c r="D124" s="1"/>
  <c r="F77"/>
  <c r="Q77" s="1"/>
  <c r="G155"/>
  <c r="G19"/>
  <c r="H155"/>
  <c r="H19"/>
  <c r="C206"/>
  <c r="C105"/>
  <c r="E155"/>
  <c r="E19"/>
  <c r="L162"/>
  <c r="I162"/>
  <c r="F162"/>
  <c r="C162"/>
  <c r="M162"/>
  <c r="G162"/>
  <c r="D162"/>
  <c r="A162"/>
  <c r="J163"/>
  <c r="K162"/>
  <c r="H162"/>
  <c r="E162"/>
  <c r="B162"/>
  <c r="E113"/>
  <c r="C92" a="1"/>
  <c r="C92" s="1"/>
  <c r="C94" s="1"/>
  <c r="C128" a="1"/>
  <c r="C128" s="1"/>
  <c r="C130" s="1"/>
  <c r="E125" i="67" a="1"/>
  <c r="E125" s="1"/>
  <c r="E122" a="1"/>
  <c r="E122" s="1"/>
  <c r="E127" a="1"/>
  <c r="E127" s="1"/>
  <c r="E124" a="1"/>
  <c r="E124" s="1"/>
  <c r="E129" a="1"/>
  <c r="E129" s="1"/>
  <c r="E126" a="1"/>
  <c r="E126" s="1"/>
  <c r="E123" a="1"/>
  <c r="E123" s="1"/>
  <c r="F113"/>
  <c r="E155"/>
  <c r="E19"/>
  <c r="B207"/>
  <c r="B208"/>
  <c r="J164"/>
  <c r="K163"/>
  <c r="H163"/>
  <c r="E163"/>
  <c r="B163"/>
  <c r="L163"/>
  <c r="I163"/>
  <c r="F163"/>
  <c r="C163"/>
  <c r="M163"/>
  <c r="G163"/>
  <c r="D163"/>
  <c r="A163"/>
  <c r="E78"/>
  <c r="P78" s="1"/>
  <c r="C128" a="1"/>
  <c r="C128" s="1"/>
  <c r="C130" s="1"/>
  <c r="G155"/>
  <c r="G19"/>
  <c r="D89" a="1"/>
  <c r="D89" s="1"/>
  <c r="D101" s="1"/>
  <c r="D91" a="1"/>
  <c r="D91" s="1"/>
  <c r="D88" a="1"/>
  <c r="D88" s="1"/>
  <c r="D100" s="1"/>
  <c r="D93" a="1"/>
  <c r="D93" s="1"/>
  <c r="D90" a="1"/>
  <c r="D90" s="1"/>
  <c r="D87" a="1"/>
  <c r="D87" s="1"/>
  <c r="D99" s="1"/>
  <c r="D86" a="1"/>
  <c r="D86" s="1"/>
  <c r="D98" s="1"/>
  <c r="I155"/>
  <c r="I19"/>
  <c r="D129" a="1"/>
  <c r="D129" s="1"/>
  <c r="D126" a="1"/>
  <c r="D126" s="1"/>
  <c r="D123" a="1"/>
  <c r="D123" s="1"/>
  <c r="D125" a="1"/>
  <c r="D125" s="1"/>
  <c r="D122" a="1"/>
  <c r="D122" s="1"/>
  <c r="D127" a="1"/>
  <c r="D127" s="1"/>
  <c r="D124" a="1"/>
  <c r="D124" s="1"/>
  <c r="F155"/>
  <c r="F19"/>
  <c r="C92" a="1"/>
  <c r="C92" s="1"/>
  <c r="C94" s="1"/>
  <c r="H155"/>
  <c r="H19"/>
  <c r="E77"/>
  <c r="P77" s="1"/>
  <c r="E81"/>
  <c r="P81" s="1"/>
  <c r="B42" i="114"/>
  <c r="C42" s="1"/>
  <c r="A51"/>
  <c r="B43" i="113"/>
  <c r="C43" s="1"/>
  <c r="A52"/>
  <c r="G223"/>
  <c r="G224" s="1"/>
  <c r="B264" i="7"/>
  <c r="A273"/>
  <c r="A52"/>
  <c r="B43"/>
  <c r="F77" i="76" l="1"/>
  <c r="Q77" s="1"/>
  <c r="H82" i="46"/>
  <c r="S82" s="1"/>
  <c r="F79" i="69"/>
  <c r="Q79" s="1"/>
  <c r="E129" i="90" a="1"/>
  <c r="E129" s="1"/>
  <c r="E126" i="93" a="1"/>
  <c r="E126" s="1"/>
  <c r="E124" i="108" a="1"/>
  <c r="E124" s="1"/>
  <c r="H78" i="84"/>
  <c r="I78" s="1"/>
  <c r="T78" s="1"/>
  <c r="Q78"/>
  <c r="G81" i="44"/>
  <c r="R81" s="1"/>
  <c r="J57" i="131"/>
  <c r="K57"/>
  <c r="E126" i="87" a="1"/>
  <c r="E126" s="1"/>
  <c r="H78" i="92"/>
  <c r="S78" s="1"/>
  <c r="F77" i="100"/>
  <c r="Q77" s="1"/>
  <c r="D57" i="131"/>
  <c r="F57"/>
  <c r="G80" i="73"/>
  <c r="R80" s="1"/>
  <c r="G79" i="94"/>
  <c r="R79" s="1"/>
  <c r="F127" i="100" a="1"/>
  <c r="F127" s="1"/>
  <c r="E57" i="131"/>
  <c r="C136" i="48"/>
  <c r="C55" s="1"/>
  <c r="C66" s="1"/>
  <c r="M111" i="105" s="1"/>
  <c r="M111" i="130" s="1"/>
  <c r="N115" i="48"/>
  <c r="C135" i="43"/>
  <c r="C54" s="1"/>
  <c r="C65" s="1"/>
  <c r="M63" i="105" s="1"/>
  <c r="M63" i="130" s="1"/>
  <c r="N114" i="43"/>
  <c r="C135" i="39"/>
  <c r="C54" s="1"/>
  <c r="C65" s="1"/>
  <c r="M27" i="105" s="1"/>
  <c r="M27" i="130" s="1"/>
  <c r="N114" i="39"/>
  <c r="C138" i="127"/>
  <c r="C57" s="1"/>
  <c r="C68" s="1"/>
  <c r="M585" i="105" s="1"/>
  <c r="M585" i="130" s="1"/>
  <c r="N117" i="127"/>
  <c r="C138" i="109"/>
  <c r="C57" s="1"/>
  <c r="C68" s="1"/>
  <c r="M576" i="105" s="1"/>
  <c r="M576" i="130" s="1"/>
  <c r="N117" i="109"/>
  <c r="C138" i="88"/>
  <c r="C57" s="1"/>
  <c r="C68" s="1"/>
  <c r="M410" i="105" s="1"/>
  <c r="M410" i="130" s="1"/>
  <c r="N117" i="88"/>
  <c r="C137" i="86"/>
  <c r="C56" s="1"/>
  <c r="C67" s="1"/>
  <c r="M391" i="105" s="1"/>
  <c r="M391" i="130" s="1"/>
  <c r="N116" i="86"/>
  <c r="C138" i="82"/>
  <c r="C57" s="1"/>
  <c r="C68" s="1"/>
  <c r="M354" i="105" s="1"/>
  <c r="M354" i="130" s="1"/>
  <c r="N117" i="82"/>
  <c r="C136" i="75"/>
  <c r="C55" s="1"/>
  <c r="C66" s="1"/>
  <c r="M307" i="105" s="1"/>
  <c r="M307" i="130" s="1"/>
  <c r="N115" i="75"/>
  <c r="C136" i="71"/>
  <c r="C55" s="1"/>
  <c r="C66" s="1"/>
  <c r="M270" i="105" s="1"/>
  <c r="M270" i="130" s="1"/>
  <c r="N115" i="71"/>
  <c r="C136" i="38"/>
  <c r="C55" s="1"/>
  <c r="C66" s="1"/>
  <c r="M19" i="105" s="1"/>
  <c r="M19" i="130" s="1"/>
  <c r="N115" i="38"/>
  <c r="C137" i="68"/>
  <c r="C56" s="1"/>
  <c r="C67" s="1"/>
  <c r="M243" i="105" s="1"/>
  <c r="M243" i="130" s="1"/>
  <c r="N116" i="68"/>
  <c r="C139" i="59"/>
  <c r="C58" s="1"/>
  <c r="C69" s="1"/>
  <c r="M213" i="105" s="1"/>
  <c r="M213" i="130" s="1"/>
  <c r="N118" i="59"/>
  <c r="C138" i="55"/>
  <c r="C57" s="1"/>
  <c r="C68" s="1"/>
  <c r="M176" i="105" s="1"/>
  <c r="M176" i="130" s="1"/>
  <c r="N117" i="55"/>
  <c r="C138" i="52"/>
  <c r="C57" s="1"/>
  <c r="C68" s="1"/>
  <c r="M149" i="105" s="1"/>
  <c r="M149" i="130" s="1"/>
  <c r="N117" i="52"/>
  <c r="C135" i="45"/>
  <c r="C54" s="1"/>
  <c r="C65" s="1"/>
  <c r="M81" i="105" s="1"/>
  <c r="M81" i="130" s="1"/>
  <c r="N114" i="45"/>
  <c r="C136" i="42"/>
  <c r="C55" s="1"/>
  <c r="C66" s="1"/>
  <c r="M55" i="105" s="1"/>
  <c r="M55" i="130" s="1"/>
  <c r="N115" i="42"/>
  <c r="C137" i="38"/>
  <c r="C56" s="1"/>
  <c r="C67" s="1"/>
  <c r="M20" i="105" s="1"/>
  <c r="M20" i="130" s="1"/>
  <c r="N116" i="38"/>
  <c r="C138" i="108"/>
  <c r="C57" s="1"/>
  <c r="C68" s="1"/>
  <c r="M567" i="105" s="1"/>
  <c r="M567" i="130" s="1"/>
  <c r="N117" i="108"/>
  <c r="C137" i="95"/>
  <c r="C56" s="1"/>
  <c r="C67" s="1"/>
  <c r="M490" i="105" s="1"/>
  <c r="M490" i="130" s="1"/>
  <c r="N116" i="95"/>
  <c r="C136" i="89"/>
  <c r="C55" s="1"/>
  <c r="C66" s="1"/>
  <c r="M435" i="105" s="1"/>
  <c r="M435" i="130" s="1"/>
  <c r="N115" i="89"/>
  <c r="C137" i="83"/>
  <c r="C56" s="1"/>
  <c r="C67" s="1"/>
  <c r="M362" i="105" s="1"/>
  <c r="M362" i="130" s="1"/>
  <c r="N116" i="83"/>
  <c r="C139" i="76"/>
  <c r="C58" s="1"/>
  <c r="C69" s="1"/>
  <c r="M319" i="105" s="1"/>
  <c r="M319" i="130" s="1"/>
  <c r="N118" i="76"/>
  <c r="C135" i="70"/>
  <c r="C54" s="1"/>
  <c r="C65" s="1"/>
  <c r="M259" i="105" s="1"/>
  <c r="M259" i="130" s="1"/>
  <c r="N114" i="70"/>
  <c r="C137" i="32"/>
  <c r="C56" s="1"/>
  <c r="C67" s="1"/>
  <c r="N116"/>
  <c r="C136" i="83"/>
  <c r="C55" s="1"/>
  <c r="C66" s="1"/>
  <c r="M361" i="105" s="1"/>
  <c r="M361" i="130" s="1"/>
  <c r="N115" i="83"/>
  <c r="C135" i="69"/>
  <c r="C54" s="1"/>
  <c r="C65" s="1"/>
  <c r="M250" i="105" s="1"/>
  <c r="M250" i="130" s="1"/>
  <c r="N114" i="69"/>
  <c r="C137" i="51"/>
  <c r="C56" s="1"/>
  <c r="C67" s="1"/>
  <c r="M139" i="105" s="1"/>
  <c r="M139" i="130" s="1"/>
  <c r="N116" i="51"/>
  <c r="C139" i="45"/>
  <c r="C58" s="1"/>
  <c r="C69" s="1"/>
  <c r="M85" i="105" s="1"/>
  <c r="M85" i="130" s="1"/>
  <c r="N118" i="45"/>
  <c r="C138" i="102"/>
  <c r="C57" s="1"/>
  <c r="C68" s="1"/>
  <c r="M558" i="105" s="1"/>
  <c r="M558" i="130" s="1"/>
  <c r="N117" i="102"/>
  <c r="C139" i="91"/>
  <c r="C58" s="1"/>
  <c r="C69" s="1"/>
  <c r="M456" i="105" s="1"/>
  <c r="M456" i="130" s="1"/>
  <c r="N118" i="91"/>
  <c r="C135" i="83"/>
  <c r="C54" s="1"/>
  <c r="C65" s="1"/>
  <c r="M360" i="105" s="1"/>
  <c r="M360" i="130" s="1"/>
  <c r="N114" i="83"/>
  <c r="C139" i="73"/>
  <c r="C58" s="1"/>
  <c r="C69" s="1"/>
  <c r="M292" i="105" s="1"/>
  <c r="M292" i="130" s="1"/>
  <c r="N118" i="73"/>
  <c r="C137" i="58"/>
  <c r="C56" s="1"/>
  <c r="C67" s="1"/>
  <c r="M202" i="105" s="1"/>
  <c r="M202" i="130" s="1"/>
  <c r="N116" i="58"/>
  <c r="C139" i="51"/>
  <c r="C58" s="1"/>
  <c r="C69" s="1"/>
  <c r="M141" i="105" s="1"/>
  <c r="M141" i="130" s="1"/>
  <c r="N118" i="51"/>
  <c r="C139" i="47"/>
  <c r="C58" s="1"/>
  <c r="C69" s="1"/>
  <c r="M105" i="105" s="1"/>
  <c r="M105" i="130" s="1"/>
  <c r="N118" i="47"/>
  <c r="C137" i="42"/>
  <c r="C56" s="1"/>
  <c r="C67" s="1"/>
  <c r="M56" i="105" s="1"/>
  <c r="M56" i="130" s="1"/>
  <c r="N116" i="42"/>
  <c r="C137" i="129"/>
  <c r="C56" s="1"/>
  <c r="C67" s="1"/>
  <c r="M602" i="105" s="1"/>
  <c r="M602" i="130" s="1"/>
  <c r="N116" i="129"/>
  <c r="C139" i="109"/>
  <c r="C58" s="1"/>
  <c r="C69" s="1"/>
  <c r="M577" i="105" s="1"/>
  <c r="M577" i="130" s="1"/>
  <c r="N118" i="109"/>
  <c r="C137" i="89"/>
  <c r="C56" s="1"/>
  <c r="C67" s="1"/>
  <c r="M436" i="105" s="1"/>
  <c r="M436" i="130" s="1"/>
  <c r="N116" i="89"/>
  <c r="C139" i="79"/>
  <c r="C58" s="1"/>
  <c r="C69" s="1"/>
  <c r="M420" i="105" s="1"/>
  <c r="M420" i="130" s="1"/>
  <c r="N118" i="79"/>
  <c r="C137" i="87"/>
  <c r="C56" s="1"/>
  <c r="C67" s="1"/>
  <c r="M400" i="105" s="1"/>
  <c r="M400" i="130" s="1"/>
  <c r="N116" i="87"/>
  <c r="C138" i="83"/>
  <c r="C57" s="1"/>
  <c r="C68" s="1"/>
  <c r="M363" i="105" s="1"/>
  <c r="M363" i="130" s="1"/>
  <c r="N117" i="83"/>
  <c r="C135" i="75"/>
  <c r="C54" s="1"/>
  <c r="C65" s="1"/>
  <c r="M306" i="105" s="1"/>
  <c r="M306" i="130" s="1"/>
  <c r="N114" i="75"/>
  <c r="C137" i="72"/>
  <c r="C56" s="1"/>
  <c r="C67" s="1"/>
  <c r="M280" i="105" s="1"/>
  <c r="M280" i="130" s="1"/>
  <c r="N116" i="72"/>
  <c r="C135" i="71"/>
  <c r="C54" s="1"/>
  <c r="C65" s="1"/>
  <c r="M269" i="105" s="1"/>
  <c r="M269" i="130" s="1"/>
  <c r="N114" i="71"/>
  <c r="C136" i="68"/>
  <c r="C55" s="1"/>
  <c r="C66" s="1"/>
  <c r="M242" i="105" s="1"/>
  <c r="M242" i="130" s="1"/>
  <c r="N115" i="68"/>
  <c r="C138" i="79"/>
  <c r="C57" s="1"/>
  <c r="C68" s="1"/>
  <c r="M419" i="105" s="1"/>
  <c r="M419" i="130" s="1"/>
  <c r="N117" i="79"/>
  <c r="C136" i="69"/>
  <c r="C55" s="1"/>
  <c r="C66" s="1"/>
  <c r="M251" i="105" s="1"/>
  <c r="M251" i="130" s="1"/>
  <c r="N115" i="69"/>
  <c r="C139" i="60"/>
  <c r="C58" s="1"/>
  <c r="C69" s="1"/>
  <c r="M222" i="105" s="1"/>
  <c r="M222" i="130" s="1"/>
  <c r="N118" i="60"/>
  <c r="C139" i="58"/>
  <c r="C58" s="1"/>
  <c r="C69" s="1"/>
  <c r="M204" i="105" s="1"/>
  <c r="M204" i="130" s="1"/>
  <c r="N118" i="58"/>
  <c r="C139" i="54"/>
  <c r="C58" s="1"/>
  <c r="C69" s="1"/>
  <c r="M168" i="105" s="1"/>
  <c r="M168" i="130" s="1"/>
  <c r="N118" i="54"/>
  <c r="C135" i="42"/>
  <c r="C54" s="1"/>
  <c r="C65" s="1"/>
  <c r="M54" i="105" s="1"/>
  <c r="M54" i="130" s="1"/>
  <c r="N114" i="42"/>
  <c r="C139" i="39"/>
  <c r="C58" s="1"/>
  <c r="C69" s="1"/>
  <c r="M31" i="105" s="1"/>
  <c r="M31" i="130" s="1"/>
  <c r="N118" i="39"/>
  <c r="C136" i="129"/>
  <c r="C55" s="1"/>
  <c r="C66" s="1"/>
  <c r="M601" i="105" s="1"/>
  <c r="M601" i="130" s="1"/>
  <c r="N115" i="129"/>
  <c r="C137" i="109"/>
  <c r="C56" s="1"/>
  <c r="C67" s="1"/>
  <c r="M575" i="105" s="1"/>
  <c r="M575" i="130" s="1"/>
  <c r="N116" i="109"/>
  <c r="C136" i="79"/>
  <c r="C55" s="1"/>
  <c r="C66" s="1"/>
  <c r="M417" i="105" s="1"/>
  <c r="M417" i="130" s="1"/>
  <c r="N115" i="79"/>
  <c r="C136" i="85"/>
  <c r="C55" s="1"/>
  <c r="C66" s="1"/>
  <c r="M381" i="105" s="1"/>
  <c r="M381" i="130" s="1"/>
  <c r="N115" i="85"/>
  <c r="C138" i="76"/>
  <c r="C57" s="1"/>
  <c r="C68" s="1"/>
  <c r="M318" i="105" s="1"/>
  <c r="M318" i="130" s="1"/>
  <c r="N117" i="76"/>
  <c r="C138" i="68"/>
  <c r="C57" s="1"/>
  <c r="C68" s="1"/>
  <c r="M244" i="105" s="1"/>
  <c r="M244" i="130" s="1"/>
  <c r="N117" i="68"/>
  <c r="C135" i="38"/>
  <c r="C54" s="1"/>
  <c r="C65" s="1"/>
  <c r="M18" i="105" s="1"/>
  <c r="M18" i="130" s="1"/>
  <c r="N114" i="38"/>
  <c r="C138" i="87"/>
  <c r="C57" s="1"/>
  <c r="C68" s="1"/>
  <c r="M401" i="105" s="1"/>
  <c r="M401" i="130" s="1"/>
  <c r="N117" i="87"/>
  <c r="C135" i="57"/>
  <c r="C54" s="1"/>
  <c r="C65" s="1"/>
  <c r="M191" i="105" s="1"/>
  <c r="M191" i="130" s="1"/>
  <c r="N114" i="57"/>
  <c r="C137" i="52"/>
  <c r="C56" s="1"/>
  <c r="C67" s="1"/>
  <c r="M148" i="105" s="1"/>
  <c r="M148" i="130" s="1"/>
  <c r="N116" i="52"/>
  <c r="C136" i="47"/>
  <c r="C55" s="1"/>
  <c r="C66" s="1"/>
  <c r="M102" i="105" s="1"/>
  <c r="M102" i="130" s="1"/>
  <c r="N115" i="47"/>
  <c r="C138" i="45"/>
  <c r="C57" s="1"/>
  <c r="C68" s="1"/>
  <c r="M84" i="105" s="1"/>
  <c r="M84" i="130" s="1"/>
  <c r="N117" i="45"/>
  <c r="C135" i="127"/>
  <c r="C54" s="1"/>
  <c r="C65" s="1"/>
  <c r="M582" i="105" s="1"/>
  <c r="M582" i="130" s="1"/>
  <c r="N114" i="127"/>
  <c r="C138" i="98"/>
  <c r="C57" s="1"/>
  <c r="C68" s="1"/>
  <c r="M520" i="105" s="1"/>
  <c r="M520" i="130" s="1"/>
  <c r="N117" i="98"/>
  <c r="C137" i="85"/>
  <c r="C56" s="1"/>
  <c r="C67" s="1"/>
  <c r="M382" i="105" s="1"/>
  <c r="M382" i="130" s="1"/>
  <c r="N116" i="85"/>
  <c r="C137" i="75"/>
  <c r="C56" s="1"/>
  <c r="C67" s="1"/>
  <c r="M308" i="105" s="1"/>
  <c r="M308" i="130" s="1"/>
  <c r="N116" i="75"/>
  <c r="C135" i="55"/>
  <c r="C54" s="1"/>
  <c r="C65" s="1"/>
  <c r="M173" i="105" s="1"/>
  <c r="M173" i="130" s="1"/>
  <c r="N114" i="55"/>
  <c r="C137" i="60"/>
  <c r="C56" s="1"/>
  <c r="C67" s="1"/>
  <c r="M220" i="105" s="1"/>
  <c r="M220" i="130" s="1"/>
  <c r="N116" i="60"/>
  <c r="C136" i="54"/>
  <c r="C55" s="1"/>
  <c r="C66" s="1"/>
  <c r="M165" i="105" s="1"/>
  <c r="M165" i="130" s="1"/>
  <c r="N115" i="54"/>
  <c r="C139" i="43"/>
  <c r="C58" s="1"/>
  <c r="C69" s="1"/>
  <c r="M67" i="105" s="1"/>
  <c r="M67" i="130" s="1"/>
  <c r="N118" i="43"/>
  <c r="C136" i="39"/>
  <c r="C55" s="1"/>
  <c r="C66" s="1"/>
  <c r="M28" i="105" s="1"/>
  <c r="M28" i="130" s="1"/>
  <c r="N115" i="39"/>
  <c r="C139" i="127"/>
  <c r="C58" s="1"/>
  <c r="C69" s="1"/>
  <c r="M586" i="105" s="1"/>
  <c r="M586" i="130" s="1"/>
  <c r="N118" i="127"/>
  <c r="C137" i="90"/>
  <c r="C56" s="1"/>
  <c r="C67" s="1"/>
  <c r="M445" i="105" s="1"/>
  <c r="M445" i="130" s="1"/>
  <c r="N116" i="90"/>
  <c r="C139" i="88"/>
  <c r="C58" s="1"/>
  <c r="C69" s="1"/>
  <c r="M411" i="105" s="1"/>
  <c r="M411" i="130" s="1"/>
  <c r="N118" i="88"/>
  <c r="C139" i="82"/>
  <c r="C58" s="1"/>
  <c r="C69" s="1"/>
  <c r="M355" i="105" s="1"/>
  <c r="M355" i="130" s="1"/>
  <c r="N118" i="82"/>
  <c r="C137" i="73"/>
  <c r="C56" s="1"/>
  <c r="C67" s="1"/>
  <c r="M290" i="105" s="1"/>
  <c r="M290" i="130" s="1"/>
  <c r="N116" i="73"/>
  <c r="C138" i="69"/>
  <c r="C57" s="1"/>
  <c r="C68" s="1"/>
  <c r="M253" i="105" s="1"/>
  <c r="M253" i="130" s="1"/>
  <c r="N117" i="69"/>
  <c r="C136" i="109"/>
  <c r="C55" s="1"/>
  <c r="C66" s="1"/>
  <c r="M574" i="105" s="1"/>
  <c r="M574" i="130" s="1"/>
  <c r="N115" i="109"/>
  <c r="C136" i="98"/>
  <c r="C55" s="1"/>
  <c r="C66" s="1"/>
  <c r="M518" i="105" s="1"/>
  <c r="M518" i="130" s="1"/>
  <c r="N115" i="98"/>
  <c r="C135" i="60"/>
  <c r="C54" s="1"/>
  <c r="C65" s="1"/>
  <c r="M218" i="105" s="1"/>
  <c r="M218" i="130" s="1"/>
  <c r="N114" i="60"/>
  <c r="C135" i="58"/>
  <c r="C54" s="1"/>
  <c r="C65" s="1"/>
  <c r="M200" i="105" s="1"/>
  <c r="M200" i="130" s="1"/>
  <c r="N114" i="58"/>
  <c r="C139" i="55"/>
  <c r="C58" s="1"/>
  <c r="C69" s="1"/>
  <c r="M177" i="105" s="1"/>
  <c r="M177" i="130" s="1"/>
  <c r="N118" i="55"/>
  <c r="C138" i="54"/>
  <c r="C57" s="1"/>
  <c r="C68" s="1"/>
  <c r="M167" i="105" s="1"/>
  <c r="M167" i="130" s="1"/>
  <c r="N117" i="54"/>
  <c r="C139" i="52"/>
  <c r="C58" s="1"/>
  <c r="C69" s="1"/>
  <c r="M150" i="105" s="1"/>
  <c r="M150" i="130" s="1"/>
  <c r="N118" i="52"/>
  <c r="C136" i="45"/>
  <c r="C55" s="1"/>
  <c r="C66" s="1"/>
  <c r="M82" i="105" s="1"/>
  <c r="M82" i="130" s="1"/>
  <c r="N115" i="45"/>
  <c r="C139" i="32"/>
  <c r="C58" s="1"/>
  <c r="C69" s="1"/>
  <c r="N118"/>
  <c r="C137" i="127"/>
  <c r="C56" s="1"/>
  <c r="C67" s="1"/>
  <c r="M584" i="105" s="1"/>
  <c r="M584" i="130" s="1"/>
  <c r="N116" i="127"/>
  <c r="C135" i="102"/>
  <c r="C54" s="1"/>
  <c r="C65" s="1"/>
  <c r="M555" i="105" s="1"/>
  <c r="M555" i="130" s="1"/>
  <c r="N114" i="102"/>
  <c r="C136" i="100"/>
  <c r="C55" s="1"/>
  <c r="C66" s="1"/>
  <c r="M536" i="105" s="1"/>
  <c r="M536" i="130" s="1"/>
  <c r="N115" i="100"/>
  <c r="C135" i="79"/>
  <c r="C54" s="1"/>
  <c r="C65" s="1"/>
  <c r="M416" i="105" s="1"/>
  <c r="M416" i="130" s="1"/>
  <c r="N114" i="79"/>
  <c r="C137" i="82"/>
  <c r="C56" s="1"/>
  <c r="C67" s="1"/>
  <c r="M353" i="105" s="1"/>
  <c r="M353" i="130" s="1"/>
  <c r="N116" i="82"/>
  <c r="C137" i="77"/>
  <c r="C56" s="1"/>
  <c r="C67" s="1"/>
  <c r="M326" i="105" s="1"/>
  <c r="M326" i="130" s="1"/>
  <c r="N116" i="77"/>
  <c r="C139" i="75"/>
  <c r="C58" s="1"/>
  <c r="C69" s="1"/>
  <c r="M310" i="105" s="1"/>
  <c r="M310" i="130" s="1"/>
  <c r="N118" i="75"/>
  <c r="C136" i="41"/>
  <c r="C55" s="1"/>
  <c r="C66" s="1"/>
  <c r="M46" i="105" s="1"/>
  <c r="M46" i="130" s="1"/>
  <c r="N115" i="41"/>
  <c r="C136" i="88"/>
  <c r="C55" s="1"/>
  <c r="C66" s="1"/>
  <c r="M408" i="105" s="1"/>
  <c r="M408" i="130" s="1"/>
  <c r="N115" i="88"/>
  <c r="C135" i="82"/>
  <c r="C54" s="1"/>
  <c r="C65" s="1"/>
  <c r="M351" i="105" s="1"/>
  <c r="M351" i="130" s="1"/>
  <c r="N114" i="82"/>
  <c r="C137" i="76"/>
  <c r="C56" s="1"/>
  <c r="C67" s="1"/>
  <c r="M317" i="105" s="1"/>
  <c r="M317" i="130" s="1"/>
  <c r="N116" i="76"/>
  <c r="C137" i="67"/>
  <c r="C56" s="1"/>
  <c r="C67" s="1"/>
  <c r="N116"/>
  <c r="C136" i="84"/>
  <c r="C55" s="1"/>
  <c r="C66" s="1"/>
  <c r="M370" i="105" s="1"/>
  <c r="M370" i="130" s="1"/>
  <c r="N115" i="84"/>
  <c r="C138" i="60"/>
  <c r="C57" s="1"/>
  <c r="C68" s="1"/>
  <c r="M221" i="105" s="1"/>
  <c r="M221" i="130" s="1"/>
  <c r="N117" i="60"/>
  <c r="C138" i="47"/>
  <c r="C57" s="1"/>
  <c r="C68" s="1"/>
  <c r="M104" i="105" s="1"/>
  <c r="M104" i="130" s="1"/>
  <c r="N117" i="47"/>
  <c r="C139" i="129"/>
  <c r="C58" s="1"/>
  <c r="C69" s="1"/>
  <c r="M604" i="105" s="1"/>
  <c r="M604" i="130" s="1"/>
  <c r="N118" i="129"/>
  <c r="C139" i="100"/>
  <c r="C58" s="1"/>
  <c r="C69" s="1"/>
  <c r="M539" i="105" s="1"/>
  <c r="M539" i="130" s="1"/>
  <c r="N118" i="100"/>
  <c r="C138" i="90"/>
  <c r="C57" s="1"/>
  <c r="C68" s="1"/>
  <c r="M446" i="105" s="1"/>
  <c r="M446" i="130" s="1"/>
  <c r="N117" i="90"/>
  <c r="C136" i="82"/>
  <c r="C55" s="1"/>
  <c r="C66" s="1"/>
  <c r="M352" i="105" s="1"/>
  <c r="M352" i="130" s="1"/>
  <c r="N115" i="82"/>
  <c r="F80" i="32"/>
  <c r="Q80" s="1"/>
  <c r="P80"/>
  <c r="F79" i="43"/>
  <c r="Q79" s="1"/>
  <c r="G77" i="84"/>
  <c r="G90" s="1" a="1"/>
  <c r="G90" s="1"/>
  <c r="G102" s="1"/>
  <c r="G46" s="1"/>
  <c r="G79" i="69"/>
  <c r="R79" s="1"/>
  <c r="F79" i="76"/>
  <c r="Q79" s="1"/>
  <c r="I78" i="81"/>
  <c r="T78" s="1"/>
  <c r="E92" i="84" a="1"/>
  <c r="E92" s="1"/>
  <c r="E94" s="1"/>
  <c r="P80" i="67"/>
  <c r="F89" i="84" a="1"/>
  <c r="F89" s="1"/>
  <c r="F101" s="1"/>
  <c r="F45" s="1"/>
  <c r="S78"/>
  <c r="H81"/>
  <c r="R81"/>
  <c r="H79"/>
  <c r="R79"/>
  <c r="H80"/>
  <c r="R80"/>
  <c r="H82"/>
  <c r="R82"/>
  <c r="D138" i="56"/>
  <c r="D57" s="1"/>
  <c r="D68" s="1"/>
  <c r="N185" i="105" s="1"/>
  <c r="D139" i="81"/>
  <c r="D58" s="1"/>
  <c r="D69" s="1"/>
  <c r="N346" i="105" s="1"/>
  <c r="D137" i="92"/>
  <c r="D56" s="1"/>
  <c r="D67" s="1"/>
  <c r="N463" i="105" s="1"/>
  <c r="D137" i="81"/>
  <c r="D56" s="1"/>
  <c r="D67" s="1"/>
  <c r="N344" i="105" s="1"/>
  <c r="D139" i="94"/>
  <c r="D58" s="1"/>
  <c r="D69" s="1"/>
  <c r="N483" i="105" s="1"/>
  <c r="D136" i="92"/>
  <c r="D55" s="1"/>
  <c r="D66" s="1"/>
  <c r="N462" i="105" s="1"/>
  <c r="D135" i="92"/>
  <c r="D54" s="1"/>
  <c r="D65" s="1"/>
  <c r="N461" i="105" s="1"/>
  <c r="D136" i="56"/>
  <c r="D55" s="1"/>
  <c r="D66" s="1"/>
  <c r="N183" i="105" s="1"/>
  <c r="D135" i="84"/>
  <c r="D54" s="1"/>
  <c r="D65" s="1"/>
  <c r="N369" i="105" s="1"/>
  <c r="D136" i="81"/>
  <c r="D55" s="1"/>
  <c r="D66" s="1"/>
  <c r="N343" i="105" s="1"/>
  <c r="D138" i="81"/>
  <c r="D57" s="1"/>
  <c r="D68" s="1"/>
  <c r="N345" i="105" s="1"/>
  <c r="D139" i="56"/>
  <c r="D58" s="1"/>
  <c r="D69" s="1"/>
  <c r="N186" i="105" s="1"/>
  <c r="D138" i="94"/>
  <c r="D57" s="1"/>
  <c r="D68" s="1"/>
  <c r="N482" i="105" s="1"/>
  <c r="D136" i="94"/>
  <c r="D55" s="1"/>
  <c r="D66" s="1"/>
  <c r="N480" i="105" s="1"/>
  <c r="D137" i="94"/>
  <c r="D56" s="1"/>
  <c r="D67" s="1"/>
  <c r="N481" i="105" s="1"/>
  <c r="D136" i="84"/>
  <c r="D55" s="1"/>
  <c r="D66" s="1"/>
  <c r="N370" i="105" s="1"/>
  <c r="D137" i="56"/>
  <c r="D56" s="1"/>
  <c r="D67" s="1"/>
  <c r="N184" i="105" s="1"/>
  <c r="D135" i="81"/>
  <c r="D54" s="1"/>
  <c r="D65" s="1"/>
  <c r="N342" i="105" s="1"/>
  <c r="D139" i="92"/>
  <c r="D58" s="1"/>
  <c r="D69" s="1"/>
  <c r="N465" i="105" s="1"/>
  <c r="D135" i="56"/>
  <c r="D54" s="1"/>
  <c r="D65" s="1"/>
  <c r="N182" i="105" s="1"/>
  <c r="D135" i="94"/>
  <c r="D54" s="1"/>
  <c r="D65" s="1"/>
  <c r="N479" i="105" s="1"/>
  <c r="D138" i="92"/>
  <c r="D57" s="1"/>
  <c r="D68" s="1"/>
  <c r="N464" i="105" s="1"/>
  <c r="D137" i="46"/>
  <c r="D56" s="1"/>
  <c r="D67" s="1"/>
  <c r="N92" i="105" s="1"/>
  <c r="D138" i="84"/>
  <c r="D57" s="1"/>
  <c r="D68" s="1"/>
  <c r="N372" i="105" s="1"/>
  <c r="D137" i="84"/>
  <c r="D56" s="1"/>
  <c r="D67" s="1"/>
  <c r="N371" i="105" s="1"/>
  <c r="D139" i="84"/>
  <c r="D58" s="1"/>
  <c r="D69" s="1"/>
  <c r="N373" i="105" s="1"/>
  <c r="P116" i="84"/>
  <c r="P114"/>
  <c r="P115"/>
  <c r="P117"/>
  <c r="P118"/>
  <c r="Q114"/>
  <c r="D134" i="94"/>
  <c r="D134" i="84"/>
  <c r="C134" i="75"/>
  <c r="N113"/>
  <c r="C134" i="92"/>
  <c r="N113"/>
  <c r="C134" i="96"/>
  <c r="N113"/>
  <c r="C134" i="50"/>
  <c r="N113"/>
  <c r="C134" i="76"/>
  <c r="N113"/>
  <c r="C134" i="81"/>
  <c r="N113"/>
  <c r="C134" i="94"/>
  <c r="N113"/>
  <c r="C134" i="95"/>
  <c r="N113"/>
  <c r="C134" i="99"/>
  <c r="N113"/>
  <c r="C134" i="44"/>
  <c r="N113"/>
  <c r="C134" i="53"/>
  <c r="N113"/>
  <c r="C134" i="56"/>
  <c r="N113"/>
  <c r="C134" i="58"/>
  <c r="N113"/>
  <c r="C134" i="129"/>
  <c r="N113"/>
  <c r="C134" i="42"/>
  <c r="N113"/>
  <c r="C134" i="69"/>
  <c r="N113"/>
  <c r="C134" i="71"/>
  <c r="N113"/>
  <c r="C134" i="93"/>
  <c r="N113"/>
  <c r="C134" i="97"/>
  <c r="N113"/>
  <c r="C134" i="101"/>
  <c r="N113"/>
  <c r="C134" i="49"/>
  <c r="N113"/>
  <c r="C134" i="51"/>
  <c r="N113"/>
  <c r="D36" i="47"/>
  <c r="D206" s="1"/>
  <c r="D36" i="127"/>
  <c r="D206" s="1"/>
  <c r="C139" i="41"/>
  <c r="C58" s="1"/>
  <c r="C69" s="1"/>
  <c r="M49" i="105" s="1"/>
  <c r="M49" i="130" s="1"/>
  <c r="C139" i="69"/>
  <c r="C58" s="1"/>
  <c r="C69" s="1"/>
  <c r="M254" i="105" s="1"/>
  <c r="M254" i="130" s="1"/>
  <c r="C139" i="57"/>
  <c r="C58" s="1"/>
  <c r="C69" s="1"/>
  <c r="M195" i="105" s="1"/>
  <c r="M195" i="130" s="1"/>
  <c r="C139" i="42"/>
  <c r="C58" s="1"/>
  <c r="C69" s="1"/>
  <c r="M58" i="105" s="1"/>
  <c r="M58" i="130" s="1"/>
  <c r="C139" i="87"/>
  <c r="C58" s="1"/>
  <c r="C69" s="1"/>
  <c r="M402" i="105" s="1"/>
  <c r="M402" i="130" s="1"/>
  <c r="C139" i="77"/>
  <c r="C58" s="1"/>
  <c r="C69" s="1"/>
  <c r="M328" i="105" s="1"/>
  <c r="M328" i="130" s="1"/>
  <c r="C139" i="72"/>
  <c r="C58" s="1"/>
  <c r="C69" s="1"/>
  <c r="M282" i="105" s="1"/>
  <c r="M282" i="130" s="1"/>
  <c r="C139" i="67"/>
  <c r="C58" s="1"/>
  <c r="C69" s="1"/>
  <c r="C139" i="70"/>
  <c r="C58" s="1"/>
  <c r="C69" s="1"/>
  <c r="M263" i="105" s="1"/>
  <c r="M263" i="130" s="1"/>
  <c r="C139" i="128"/>
  <c r="C58" s="1"/>
  <c r="C69" s="1"/>
  <c r="M595" i="105" s="1"/>
  <c r="M595" i="130" s="1"/>
  <c r="C139" i="95"/>
  <c r="C58" s="1"/>
  <c r="C69" s="1"/>
  <c r="M492" i="105" s="1"/>
  <c r="M492" i="130" s="1"/>
  <c r="C139" i="85"/>
  <c r="C58" s="1"/>
  <c r="C69" s="1"/>
  <c r="M384" i="105" s="1"/>
  <c r="M384" i="130" s="1"/>
  <c r="C139" i="84"/>
  <c r="C58" s="1"/>
  <c r="C69" s="1"/>
  <c r="M373" i="105" s="1"/>
  <c r="M373" i="130" s="1"/>
  <c r="C139" i="90"/>
  <c r="C58" s="1"/>
  <c r="C69" s="1"/>
  <c r="M447" i="105" s="1"/>
  <c r="M447" i="130" s="1"/>
  <c r="C139" i="108"/>
  <c r="C58" s="1"/>
  <c r="C69" s="1"/>
  <c r="M568" i="105" s="1"/>
  <c r="M568" i="130" s="1"/>
  <c r="C139" i="71"/>
  <c r="C58" s="1"/>
  <c r="C69" s="1"/>
  <c r="M273" i="105" s="1"/>
  <c r="M273" i="130" s="1"/>
  <c r="C139" i="68"/>
  <c r="C58" s="1"/>
  <c r="C69" s="1"/>
  <c r="M245" i="105" s="1"/>
  <c r="M245" i="130" s="1"/>
  <c r="C139" i="89"/>
  <c r="C58" s="1"/>
  <c r="C69" s="1"/>
  <c r="M438" i="105" s="1"/>
  <c r="M438" i="130" s="1"/>
  <c r="C139" i="83"/>
  <c r="C58" s="1"/>
  <c r="C69" s="1"/>
  <c r="M364" i="105" s="1"/>
  <c r="M364" i="130" s="1"/>
  <c r="C139" i="98"/>
  <c r="C58" s="1"/>
  <c r="C69" s="1"/>
  <c r="M521" i="105" s="1"/>
  <c r="M521" i="130" s="1"/>
  <c r="C139" i="48"/>
  <c r="C58" s="1"/>
  <c r="C69" s="1"/>
  <c r="M114" i="105" s="1"/>
  <c r="M114" i="130" s="1"/>
  <c r="C139" i="86"/>
  <c r="C58" s="1"/>
  <c r="C69" s="1"/>
  <c r="M393" i="105" s="1"/>
  <c r="M393" i="130" s="1"/>
  <c r="C139" i="38"/>
  <c r="C58" s="1"/>
  <c r="C69" s="1"/>
  <c r="M22" i="105" s="1"/>
  <c r="M22" i="130" s="1"/>
  <c r="C139" i="102"/>
  <c r="C58" s="1"/>
  <c r="C69" s="1"/>
  <c r="M559" i="105" s="1"/>
  <c r="M559" i="130" s="1"/>
  <c r="C138" i="42"/>
  <c r="C57" s="1"/>
  <c r="C68" s="1"/>
  <c r="M57" i="105" s="1"/>
  <c r="M57" i="130" s="1"/>
  <c r="C138" i="70"/>
  <c r="C57" s="1"/>
  <c r="C68" s="1"/>
  <c r="M262" i="105" s="1"/>
  <c r="M262" i="130" s="1"/>
  <c r="C138" i="57"/>
  <c r="C57" s="1"/>
  <c r="C68" s="1"/>
  <c r="M194" i="105" s="1"/>
  <c r="M194" i="130" s="1"/>
  <c r="C138" i="91"/>
  <c r="C57" s="1"/>
  <c r="C68" s="1"/>
  <c r="M455" i="105" s="1"/>
  <c r="M455" i="130" s="1"/>
  <c r="C138" i="72"/>
  <c r="C57" s="1"/>
  <c r="C68" s="1"/>
  <c r="M281" i="105" s="1"/>
  <c r="M281" i="130" s="1"/>
  <c r="C138" i="67"/>
  <c r="C57" s="1"/>
  <c r="C68" s="1"/>
  <c r="C138" i="43"/>
  <c r="C57" s="1"/>
  <c r="C68" s="1"/>
  <c r="M66" i="105" s="1"/>
  <c r="M66" i="130" s="1"/>
  <c r="C138" i="39"/>
  <c r="C57" s="1"/>
  <c r="C68" s="1"/>
  <c r="M30" i="105" s="1"/>
  <c r="M30" i="130" s="1"/>
  <c r="C138" i="95"/>
  <c r="C57" s="1"/>
  <c r="C68" s="1"/>
  <c r="M491" i="105" s="1"/>
  <c r="M491" i="130" s="1"/>
  <c r="C138" i="85"/>
  <c r="C57" s="1"/>
  <c r="C68" s="1"/>
  <c r="M383" i="105" s="1"/>
  <c r="M383" i="130" s="1"/>
  <c r="C138" i="32"/>
  <c r="C57" s="1"/>
  <c r="C68" s="1"/>
  <c r="C138" i="77"/>
  <c r="C57" s="1"/>
  <c r="C68" s="1"/>
  <c r="M327" i="105" s="1"/>
  <c r="M327" i="130" s="1"/>
  <c r="C138" i="41"/>
  <c r="C57" s="1"/>
  <c r="C68" s="1"/>
  <c r="M48" i="105" s="1"/>
  <c r="M48" i="130" s="1"/>
  <c r="C138" i="48"/>
  <c r="C57" s="1"/>
  <c r="C68" s="1"/>
  <c r="M113" i="105" s="1"/>
  <c r="M113" i="130" s="1"/>
  <c r="C138" i="100"/>
  <c r="C57" s="1"/>
  <c r="C68" s="1"/>
  <c r="M538" i="105" s="1"/>
  <c r="M538" i="130" s="1"/>
  <c r="C138" i="73"/>
  <c r="C57" s="1"/>
  <c r="C68" s="1"/>
  <c r="M291" i="105" s="1"/>
  <c r="M291" i="130" s="1"/>
  <c r="C138" i="86"/>
  <c r="C57" s="1"/>
  <c r="C68" s="1"/>
  <c r="M392" i="105" s="1"/>
  <c r="M392" i="130" s="1"/>
  <c r="C138" i="59"/>
  <c r="C57" s="1"/>
  <c r="C68" s="1"/>
  <c r="M212" i="105" s="1"/>
  <c r="M212" i="130" s="1"/>
  <c r="C138" i="71"/>
  <c r="C57" s="1"/>
  <c r="C68" s="1"/>
  <c r="M272" i="105" s="1"/>
  <c r="M272" i="130" s="1"/>
  <c r="C138" i="75"/>
  <c r="C57" s="1"/>
  <c r="C68" s="1"/>
  <c r="M309" i="105" s="1"/>
  <c r="M309" i="130" s="1"/>
  <c r="C138" i="84"/>
  <c r="C57" s="1"/>
  <c r="C68" s="1"/>
  <c r="M372" i="105" s="1"/>
  <c r="M372" i="130" s="1"/>
  <c r="C138" i="58"/>
  <c r="C57" s="1"/>
  <c r="C68" s="1"/>
  <c r="M203" i="105" s="1"/>
  <c r="M203" i="130" s="1"/>
  <c r="C138" i="51"/>
  <c r="C57" s="1"/>
  <c r="C68" s="1"/>
  <c r="M140" i="105" s="1"/>
  <c r="M140" i="130" s="1"/>
  <c r="C138" i="129"/>
  <c r="C57" s="1"/>
  <c r="C68" s="1"/>
  <c r="M603" i="105" s="1"/>
  <c r="M603" i="130" s="1"/>
  <c r="C138" i="38"/>
  <c r="C57" s="1"/>
  <c r="C68" s="1"/>
  <c r="M21" i="105" s="1"/>
  <c r="M21" i="130" s="1"/>
  <c r="C138" i="128"/>
  <c r="C57" s="1"/>
  <c r="C68" s="1"/>
  <c r="M594" i="105" s="1"/>
  <c r="M594" i="130" s="1"/>
  <c r="C138" i="89"/>
  <c r="C57" s="1"/>
  <c r="C68" s="1"/>
  <c r="M437" i="105" s="1"/>
  <c r="M437" i="130" s="1"/>
  <c r="C137" i="84"/>
  <c r="C56" s="1"/>
  <c r="C67" s="1"/>
  <c r="M371" i="105" s="1"/>
  <c r="M371" i="130" s="1"/>
  <c r="C137" i="55"/>
  <c r="C56" s="1"/>
  <c r="C67" s="1"/>
  <c r="M175" i="105" s="1"/>
  <c r="M175" i="130" s="1"/>
  <c r="C137" i="39"/>
  <c r="C56" s="1"/>
  <c r="C67" s="1"/>
  <c r="M29" i="105" s="1"/>
  <c r="M29" i="130" s="1"/>
  <c r="C137" i="102"/>
  <c r="C56" s="1"/>
  <c r="C67" s="1"/>
  <c r="M557" i="105" s="1"/>
  <c r="M557" i="130" s="1"/>
  <c r="C137" i="79"/>
  <c r="C56" s="1"/>
  <c r="C67" s="1"/>
  <c r="M418" i="105" s="1"/>
  <c r="M418" i="130" s="1"/>
  <c r="C137" i="69"/>
  <c r="C56" s="1"/>
  <c r="C67" s="1"/>
  <c r="M252" i="105" s="1"/>
  <c r="M252" i="130" s="1"/>
  <c r="C137" i="128"/>
  <c r="C56" s="1"/>
  <c r="C67" s="1"/>
  <c r="M593" i="105" s="1"/>
  <c r="M593" i="130" s="1"/>
  <c r="C137" i="45"/>
  <c r="C56" s="1"/>
  <c r="C67" s="1"/>
  <c r="M83" i="105" s="1"/>
  <c r="M83" i="130" s="1"/>
  <c r="C137" i="91"/>
  <c r="C56" s="1"/>
  <c r="C67" s="1"/>
  <c r="M454" i="105" s="1"/>
  <c r="M454" i="130" s="1"/>
  <c r="C137" i="98"/>
  <c r="C56" s="1"/>
  <c r="C67" s="1"/>
  <c r="M519" i="105" s="1"/>
  <c r="M519" i="130" s="1"/>
  <c r="C137" i="54"/>
  <c r="C56" s="1"/>
  <c r="C67" s="1"/>
  <c r="M166" i="105" s="1"/>
  <c r="M166" i="130" s="1"/>
  <c r="C137" i="108"/>
  <c r="C56" s="1"/>
  <c r="C67" s="1"/>
  <c r="M566" i="105" s="1"/>
  <c r="M566" i="130" s="1"/>
  <c r="C137" i="48"/>
  <c r="C56" s="1"/>
  <c r="C67" s="1"/>
  <c r="M112" i="105" s="1"/>
  <c r="M112" i="130" s="1"/>
  <c r="C137" i="41"/>
  <c r="C56" s="1"/>
  <c r="C67" s="1"/>
  <c r="M47" i="105" s="1"/>
  <c r="M47" i="130" s="1"/>
  <c r="C137" i="70"/>
  <c r="C56" s="1"/>
  <c r="C67" s="1"/>
  <c r="M261" i="105" s="1"/>
  <c r="M261" i="130" s="1"/>
  <c r="C137" i="47"/>
  <c r="C56" s="1"/>
  <c r="C67" s="1"/>
  <c r="M103" i="105" s="1"/>
  <c r="M103" i="130" s="1"/>
  <c r="C137" i="59"/>
  <c r="C56" s="1"/>
  <c r="C67" s="1"/>
  <c r="M211" i="105" s="1"/>
  <c r="M211" i="130" s="1"/>
  <c r="C137" i="43"/>
  <c r="C56" s="1"/>
  <c r="C67" s="1"/>
  <c r="M65" i="105" s="1"/>
  <c r="M65" i="130" s="1"/>
  <c r="C137" i="88"/>
  <c r="C56" s="1"/>
  <c r="C67" s="1"/>
  <c r="M409" i="105" s="1"/>
  <c r="M409" i="130" s="1"/>
  <c r="C137" i="71"/>
  <c r="C56" s="1"/>
  <c r="C67" s="1"/>
  <c r="M271" i="105" s="1"/>
  <c r="M271" i="130" s="1"/>
  <c r="C137" i="100"/>
  <c r="C56" s="1"/>
  <c r="C67" s="1"/>
  <c r="M537" i="105" s="1"/>
  <c r="M537" i="130" s="1"/>
  <c r="C137" i="57"/>
  <c r="C56" s="1"/>
  <c r="C67" s="1"/>
  <c r="M193" i="105" s="1"/>
  <c r="M193" i="130" s="1"/>
  <c r="C136" i="43"/>
  <c r="C55" s="1"/>
  <c r="C66" s="1"/>
  <c r="M64" i="105" s="1"/>
  <c r="M64" i="130" s="1"/>
  <c r="C136" i="73"/>
  <c r="C55" s="1"/>
  <c r="C66" s="1"/>
  <c r="M289" i="105" s="1"/>
  <c r="M289" i="130" s="1"/>
  <c r="C136" i="77"/>
  <c r="C55" s="1"/>
  <c r="C66" s="1"/>
  <c r="M325" i="105" s="1"/>
  <c r="M325" i="130" s="1"/>
  <c r="C136" i="60"/>
  <c r="C55" s="1"/>
  <c r="C66" s="1"/>
  <c r="M219" i="105" s="1"/>
  <c r="M219" i="130" s="1"/>
  <c r="C136" i="57"/>
  <c r="C55" s="1"/>
  <c r="C66" s="1"/>
  <c r="M192" i="105" s="1"/>
  <c r="M192" i="130" s="1"/>
  <c r="C136" i="102"/>
  <c r="C55" s="1"/>
  <c r="C66" s="1"/>
  <c r="M556" i="105" s="1"/>
  <c r="M556" i="130" s="1"/>
  <c r="C136" i="108"/>
  <c r="C55" s="1"/>
  <c r="C66" s="1"/>
  <c r="M565" i="105" s="1"/>
  <c r="M565" i="130" s="1"/>
  <c r="C136" i="55"/>
  <c r="C55" s="1"/>
  <c r="C66" s="1"/>
  <c r="M174" i="105" s="1"/>
  <c r="M174" i="130" s="1"/>
  <c r="C136" i="32"/>
  <c r="C55" s="1"/>
  <c r="C66" s="1"/>
  <c r="C136" i="72"/>
  <c r="C55" s="1"/>
  <c r="C66" s="1"/>
  <c r="M279" i="105" s="1"/>
  <c r="M279" i="130" s="1"/>
  <c r="C136" i="67"/>
  <c r="C55" s="1"/>
  <c r="C66" s="1"/>
  <c r="C136" i="52"/>
  <c r="C55" s="1"/>
  <c r="C66" s="1"/>
  <c r="M147" i="105" s="1"/>
  <c r="M147" i="130" s="1"/>
  <c r="C136" i="59"/>
  <c r="C55" s="1"/>
  <c r="C66" s="1"/>
  <c r="M210" i="105" s="1"/>
  <c r="M210" i="130" s="1"/>
  <c r="C136" i="90"/>
  <c r="C55" s="1"/>
  <c r="C66" s="1"/>
  <c r="M444" i="105" s="1"/>
  <c r="M444" i="130" s="1"/>
  <c r="C136" i="86"/>
  <c r="C55" s="1"/>
  <c r="C66" s="1"/>
  <c r="M390" i="105" s="1"/>
  <c r="M390" i="130" s="1"/>
  <c r="C136" i="128"/>
  <c r="C55" s="1"/>
  <c r="C66" s="1"/>
  <c r="M592" i="105" s="1"/>
  <c r="M592" i="130" s="1"/>
  <c r="C136" i="58"/>
  <c r="C55" s="1"/>
  <c r="C66" s="1"/>
  <c r="M201" i="105" s="1"/>
  <c r="M201" i="130" s="1"/>
  <c r="C136" i="70"/>
  <c r="C55" s="1"/>
  <c r="C66" s="1"/>
  <c r="M260" i="105" s="1"/>
  <c r="M260" i="130" s="1"/>
  <c r="C136" i="51"/>
  <c r="C55" s="1"/>
  <c r="C66" s="1"/>
  <c r="M138" i="105" s="1"/>
  <c r="M138" i="130" s="1"/>
  <c r="C136" i="127"/>
  <c r="C55" s="1"/>
  <c r="C66" s="1"/>
  <c r="M583" i="105" s="1"/>
  <c r="M583" i="130" s="1"/>
  <c r="C136" i="91"/>
  <c r="C55" s="1"/>
  <c r="C66" s="1"/>
  <c r="M453" i="105" s="1"/>
  <c r="M453" i="130" s="1"/>
  <c r="C136" i="87"/>
  <c r="C55" s="1"/>
  <c r="C66" s="1"/>
  <c r="M399" i="105" s="1"/>
  <c r="M399" i="130" s="1"/>
  <c r="C136" i="76"/>
  <c r="C55" s="1"/>
  <c r="C66" s="1"/>
  <c r="M316" i="105" s="1"/>
  <c r="M316" i="130" s="1"/>
  <c r="C136" i="95"/>
  <c r="C55" s="1"/>
  <c r="C66" s="1"/>
  <c r="M489" i="105" s="1"/>
  <c r="M489" i="130" s="1"/>
  <c r="C135" i="100"/>
  <c r="C54" s="1"/>
  <c r="C65" s="1"/>
  <c r="M535" i="105" s="1"/>
  <c r="M535" i="130" s="1"/>
  <c r="C135" i="76"/>
  <c r="C54" s="1"/>
  <c r="C65" s="1"/>
  <c r="M315" i="105" s="1"/>
  <c r="M315" i="130" s="1"/>
  <c r="C135" i="59"/>
  <c r="C54" s="1"/>
  <c r="C65" s="1"/>
  <c r="M209" i="105" s="1"/>
  <c r="M209" i="130" s="1"/>
  <c r="C135" i="98"/>
  <c r="C54" s="1"/>
  <c r="C65" s="1"/>
  <c r="M517" i="105" s="1"/>
  <c r="M517" i="130" s="1"/>
  <c r="C135" i="88"/>
  <c r="C54" s="1"/>
  <c r="C65" s="1"/>
  <c r="M407" i="105" s="1"/>
  <c r="M407" i="130" s="1"/>
  <c r="C135" i="77"/>
  <c r="C54" s="1"/>
  <c r="C65" s="1"/>
  <c r="M324" i="105" s="1"/>
  <c r="M324" i="130" s="1"/>
  <c r="C135" i="109"/>
  <c r="C54" s="1"/>
  <c r="C65" s="1"/>
  <c r="M573" i="105" s="1"/>
  <c r="M573" i="130" s="1"/>
  <c r="C135" i="73"/>
  <c r="C54" s="1"/>
  <c r="C65" s="1"/>
  <c r="M288" i="105" s="1"/>
  <c r="M288" i="130" s="1"/>
  <c r="C135" i="84"/>
  <c r="C54" s="1"/>
  <c r="C65" s="1"/>
  <c r="M369" i="105" s="1"/>
  <c r="M369" i="130" s="1"/>
  <c r="C135" i="51"/>
  <c r="C54" s="1"/>
  <c r="C65" s="1"/>
  <c r="M137" i="105" s="1"/>
  <c r="M137" i="130" s="1"/>
  <c r="C135" i="72"/>
  <c r="C54" s="1"/>
  <c r="C65" s="1"/>
  <c r="M278" i="105" s="1"/>
  <c r="M278" i="130" s="1"/>
  <c r="C135" i="67"/>
  <c r="C54" s="1"/>
  <c r="C65" s="1"/>
  <c r="C135" i="54"/>
  <c r="C54" s="1"/>
  <c r="C65" s="1"/>
  <c r="M164" i="105" s="1"/>
  <c r="M164" i="130" s="1"/>
  <c r="C135" i="47"/>
  <c r="C54" s="1"/>
  <c r="C65" s="1"/>
  <c r="M101" i="105" s="1"/>
  <c r="M101" i="130" s="1"/>
  <c r="C135" i="86"/>
  <c r="C54" s="1"/>
  <c r="C65" s="1"/>
  <c r="M389" i="105" s="1"/>
  <c r="M389" i="130" s="1"/>
  <c r="C135" i="85"/>
  <c r="C54" s="1"/>
  <c r="C65" s="1"/>
  <c r="M380" i="105" s="1"/>
  <c r="M380" i="130" s="1"/>
  <c r="C135" i="108"/>
  <c r="C54" s="1"/>
  <c r="C65" s="1"/>
  <c r="M564" i="105" s="1"/>
  <c r="M564" i="130" s="1"/>
  <c r="C135" i="32"/>
  <c r="C54" s="1"/>
  <c r="C65" s="1"/>
  <c r="C135" i="52"/>
  <c r="C54" s="1"/>
  <c r="C65" s="1"/>
  <c r="M146" i="105" s="1"/>
  <c r="M146" i="130" s="1"/>
  <c r="C135" i="48"/>
  <c r="C54" s="1"/>
  <c r="C65" s="1"/>
  <c r="M110" i="105" s="1"/>
  <c r="M110" i="130" s="1"/>
  <c r="C135" i="90"/>
  <c r="C54" s="1"/>
  <c r="C65" s="1"/>
  <c r="M443" i="105" s="1"/>
  <c r="M443" i="130" s="1"/>
  <c r="C135" i="129"/>
  <c r="C54" s="1"/>
  <c r="C65" s="1"/>
  <c r="M600" i="105" s="1"/>
  <c r="M600" i="130" s="1"/>
  <c r="C135" i="91"/>
  <c r="C54" s="1"/>
  <c r="C65" s="1"/>
  <c r="M452" i="105" s="1"/>
  <c r="M452" i="130" s="1"/>
  <c r="C135" i="87"/>
  <c r="C54" s="1"/>
  <c r="C65" s="1"/>
  <c r="M398" i="105" s="1"/>
  <c r="M398" i="130" s="1"/>
  <c r="C135" i="68"/>
  <c r="C54" s="1"/>
  <c r="C65" s="1"/>
  <c r="M241" i="105" s="1"/>
  <c r="M241" i="130" s="1"/>
  <c r="C135" i="128"/>
  <c r="C54" s="1"/>
  <c r="C65" s="1"/>
  <c r="M591" i="105" s="1"/>
  <c r="M591" i="130" s="1"/>
  <c r="C135" i="95"/>
  <c r="C54" s="1"/>
  <c r="C65" s="1"/>
  <c r="M488" i="105" s="1"/>
  <c r="M488" i="130" s="1"/>
  <c r="C135" i="89"/>
  <c r="C54" s="1"/>
  <c r="C65" s="1"/>
  <c r="M434" i="105" s="1"/>
  <c r="M434" i="130" s="1"/>
  <c r="C135" i="41"/>
  <c r="C54" s="1"/>
  <c r="C65" s="1"/>
  <c r="M45" i="105" s="1"/>
  <c r="M45" i="130" s="1"/>
  <c r="F91" i="84" a="1"/>
  <c r="F91" s="1"/>
  <c r="F103" s="1"/>
  <c r="F47" s="1"/>
  <c r="F90" a="1"/>
  <c r="F90" s="1"/>
  <c r="F102" s="1"/>
  <c r="F46" s="1"/>
  <c r="F93" a="1"/>
  <c r="F93" s="1"/>
  <c r="F88" a="1"/>
  <c r="F88" s="1"/>
  <c r="F100" s="1"/>
  <c r="F44" s="1"/>
  <c r="E129" i="85" a="1"/>
  <c r="E129" s="1"/>
  <c r="E127" i="87" a="1"/>
  <c r="E127" s="1"/>
  <c r="E122" i="90" a="1"/>
  <c r="E122" s="1"/>
  <c r="E123" i="108" a="1"/>
  <c r="E123" s="1"/>
  <c r="E123" i="87" a="1"/>
  <c r="E123" s="1"/>
  <c r="E124" a="1"/>
  <c r="E124" s="1"/>
  <c r="E125" a="1"/>
  <c r="E125" s="1"/>
  <c r="E127" i="73" a="1"/>
  <c r="E127" s="1"/>
  <c r="E125" i="85" a="1"/>
  <c r="E125" s="1"/>
  <c r="E129" i="87" a="1"/>
  <c r="E129" s="1"/>
  <c r="E122" a="1"/>
  <c r="E122" s="1"/>
  <c r="E122" i="53" a="1"/>
  <c r="E122" s="1"/>
  <c r="F126" a="1"/>
  <c r="F126" s="1"/>
  <c r="E126" i="90" a="1"/>
  <c r="E126" s="1"/>
  <c r="E127" a="1"/>
  <c r="E127" s="1"/>
  <c r="E123" i="93" a="1"/>
  <c r="E123" s="1"/>
  <c r="E124" a="1"/>
  <c r="E124" s="1"/>
  <c r="E125" a="1"/>
  <c r="E125" s="1"/>
  <c r="E129" i="108" a="1"/>
  <c r="E129" s="1"/>
  <c r="E122" a="1"/>
  <c r="E122" s="1"/>
  <c r="E125" i="48" a="1"/>
  <c r="E125" s="1"/>
  <c r="E123" i="90" a="1"/>
  <c r="E123" s="1"/>
  <c r="E124" a="1"/>
  <c r="E124" s="1"/>
  <c r="E125" a="1"/>
  <c r="E125" s="1"/>
  <c r="E129" i="93" a="1"/>
  <c r="E129" s="1"/>
  <c r="E122" a="1"/>
  <c r="E122" s="1"/>
  <c r="E126" i="108" a="1"/>
  <c r="E126" s="1"/>
  <c r="E127" a="1"/>
  <c r="E127" s="1"/>
  <c r="E124" i="48" a="1"/>
  <c r="E124" s="1"/>
  <c r="E126" i="71" a="1"/>
  <c r="E126" s="1"/>
  <c r="E127" a="1"/>
  <c r="E127" s="1"/>
  <c r="E126" i="100" a="1"/>
  <c r="E126" s="1"/>
  <c r="F125" a="1"/>
  <c r="F125" s="1"/>
  <c r="E129" i="101" a="1"/>
  <c r="E129" s="1"/>
  <c r="F113" i="51"/>
  <c r="F127" s="1" a="1"/>
  <c r="F127" s="1"/>
  <c r="E125" i="53" a="1"/>
  <c r="E125" s="1"/>
  <c r="F126" i="100" a="1"/>
  <c r="F126" s="1"/>
  <c r="E124" a="1"/>
  <c r="E124" s="1"/>
  <c r="E127" i="53" a="1"/>
  <c r="E127" s="1"/>
  <c r="F125" a="1"/>
  <c r="F125" s="1"/>
  <c r="E123" i="100" a="1"/>
  <c r="E123" s="1"/>
  <c r="E122" a="1"/>
  <c r="E122" s="1"/>
  <c r="F123" a="1"/>
  <c r="F123" s="1"/>
  <c r="F124" a="1"/>
  <c r="F124" s="1"/>
  <c r="E125" a="1"/>
  <c r="E125" s="1"/>
  <c r="E127" a="1"/>
  <c r="E127" s="1"/>
  <c r="F122" a="1"/>
  <c r="F122" s="1"/>
  <c r="F129" a="1"/>
  <c r="F129" s="1"/>
  <c r="E129" a="1"/>
  <c r="E129" s="1"/>
  <c r="E122" i="101" a="1"/>
  <c r="E122" s="1"/>
  <c r="E124" i="39" a="1"/>
  <c r="E124" s="1"/>
  <c r="E124" i="51" a="1"/>
  <c r="E124" s="1"/>
  <c r="D128" i="87" a="1"/>
  <c r="D128" s="1"/>
  <c r="D130" s="1"/>
  <c r="D128" i="71" a="1"/>
  <c r="D128" s="1"/>
  <c r="D130" s="1"/>
  <c r="D92" i="84" a="1"/>
  <c r="D92" s="1"/>
  <c r="D94" s="1"/>
  <c r="F86" a="1"/>
  <c r="F86" s="1"/>
  <c r="Q77"/>
  <c r="E122" i="71" a="1"/>
  <c r="E122" s="1"/>
  <c r="R78" i="52"/>
  <c r="F80" i="128"/>
  <c r="Q80" s="1"/>
  <c r="P78" i="58"/>
  <c r="R78" i="75"/>
  <c r="F82" i="98"/>
  <c r="Q82" s="1"/>
  <c r="G82" i="94"/>
  <c r="R82" s="1"/>
  <c r="F77" i="109"/>
  <c r="Q77" s="1"/>
  <c r="G80" i="99"/>
  <c r="R80" s="1"/>
  <c r="H78" i="39"/>
  <c r="S78" s="1"/>
  <c r="Q78" i="72"/>
  <c r="N84" i="97"/>
  <c r="C104" i="90"/>
  <c r="N84" s="1"/>
  <c r="C104" i="58"/>
  <c r="N84" s="1"/>
  <c r="C104" i="84"/>
  <c r="N84" s="1"/>
  <c r="C104" i="71"/>
  <c r="N84" s="1"/>
  <c r="C104" i="69"/>
  <c r="N84" s="1"/>
  <c r="C104" i="76"/>
  <c r="N84" s="1"/>
  <c r="C104" i="129"/>
  <c r="N84" s="1"/>
  <c r="C104" i="42"/>
  <c r="N84" s="1"/>
  <c r="C104" i="75"/>
  <c r="N84" s="1"/>
  <c r="N84" i="81"/>
  <c r="C104" i="95"/>
  <c r="N84" s="1"/>
  <c r="C104" i="51"/>
  <c r="N84" s="1"/>
  <c r="D102" i="67"/>
  <c r="D46" s="1"/>
  <c r="D103"/>
  <c r="D47" s="1"/>
  <c r="D100" i="71"/>
  <c r="D44" s="1"/>
  <c r="O115" s="1"/>
  <c r="D99" i="74"/>
  <c r="D43" s="1"/>
  <c r="D103"/>
  <c r="D47" s="1"/>
  <c r="D101"/>
  <c r="D45" s="1"/>
  <c r="D101" i="77"/>
  <c r="D45" s="1"/>
  <c r="D101" i="78"/>
  <c r="D45" s="1"/>
  <c r="E99" i="81"/>
  <c r="E43" s="1"/>
  <c r="E100"/>
  <c r="E44" s="1"/>
  <c r="D99" i="82"/>
  <c r="D43" s="1"/>
  <c r="D101"/>
  <c r="D45" s="1"/>
  <c r="D102" i="79"/>
  <c r="D46" s="1"/>
  <c r="D101"/>
  <c r="D45" s="1"/>
  <c r="D103" i="80"/>
  <c r="D47" s="1"/>
  <c r="E102" i="92"/>
  <c r="E46" s="1"/>
  <c r="E103"/>
  <c r="E47" s="1"/>
  <c r="E99" i="94"/>
  <c r="E43" s="1"/>
  <c r="F87" a="1"/>
  <c r="F87" s="1"/>
  <c r="Q78"/>
  <c r="D102" i="97"/>
  <c r="D46" s="1"/>
  <c r="D102" i="102"/>
  <c r="D46" s="1"/>
  <c r="D101" i="109"/>
  <c r="D45" s="1"/>
  <c r="D102" i="128"/>
  <c r="D46" s="1"/>
  <c r="D138" s="1"/>
  <c r="D44" i="32"/>
  <c r="O115" s="1"/>
  <c r="D101" i="44"/>
  <c r="D45" s="1"/>
  <c r="D103"/>
  <c r="D47" s="1"/>
  <c r="D100" i="59"/>
  <c r="D44" s="1"/>
  <c r="O115" s="1"/>
  <c r="D102"/>
  <c r="D46" s="1"/>
  <c r="D102" i="60"/>
  <c r="D46" s="1"/>
  <c r="D100"/>
  <c r="D44" s="1"/>
  <c r="O115" s="1"/>
  <c r="F80" i="44"/>
  <c r="Q80" s="1"/>
  <c r="P80"/>
  <c r="F80" i="100"/>
  <c r="P80"/>
  <c r="G80" i="78"/>
  <c r="Q80"/>
  <c r="F82" i="55"/>
  <c r="Q82" s="1"/>
  <c r="P82"/>
  <c r="F82" i="96"/>
  <c r="P82"/>
  <c r="G82" i="80"/>
  <c r="R82" s="1"/>
  <c r="Q82"/>
  <c r="F81" i="70"/>
  <c r="Q81" s="1"/>
  <c r="P81"/>
  <c r="F81" i="49"/>
  <c r="P81"/>
  <c r="F82" i="127"/>
  <c r="P82"/>
  <c r="F79" i="70"/>
  <c r="Q79" s="1"/>
  <c r="P79"/>
  <c r="D99" i="128"/>
  <c r="D43" s="1"/>
  <c r="D135" s="1"/>
  <c r="F81" i="79"/>
  <c r="P81"/>
  <c r="D101" i="57"/>
  <c r="D45" s="1"/>
  <c r="D99" i="108"/>
  <c r="D43" s="1"/>
  <c r="F81" i="57"/>
  <c r="P81"/>
  <c r="F78" i="41"/>
  <c r="P78"/>
  <c r="F78" i="90"/>
  <c r="P78"/>
  <c r="F81" i="88"/>
  <c r="P81"/>
  <c r="G82" i="71"/>
  <c r="R82" s="1"/>
  <c r="Q82"/>
  <c r="F80" i="42"/>
  <c r="P80"/>
  <c r="F79" i="32"/>
  <c r="Q79" s="1"/>
  <c r="F82" i="100"/>
  <c r="P82"/>
  <c r="D101" i="54"/>
  <c r="D45" s="1"/>
  <c r="G81" i="51"/>
  <c r="Q81"/>
  <c r="D100" i="89"/>
  <c r="D44" s="1"/>
  <c r="O115" s="1"/>
  <c r="D103" i="51"/>
  <c r="D47" s="1"/>
  <c r="F81" i="43"/>
  <c r="Q81" s="1"/>
  <c r="P81"/>
  <c r="D102" i="129"/>
  <c r="D46" s="1"/>
  <c r="F81" i="87"/>
  <c r="P81"/>
  <c r="F82" i="60"/>
  <c r="P82"/>
  <c r="F80" i="58"/>
  <c r="P80"/>
  <c r="D99" i="129"/>
  <c r="D43" s="1"/>
  <c r="F81"/>
  <c r="Q81" s="1"/>
  <c r="P81"/>
  <c r="D99" i="69"/>
  <c r="D43" s="1"/>
  <c r="D99" i="68"/>
  <c r="D43" s="1"/>
  <c r="F81" i="52"/>
  <c r="P81"/>
  <c r="F78" i="55"/>
  <c r="P78"/>
  <c r="F82" i="95"/>
  <c r="P82"/>
  <c r="F82" i="85"/>
  <c r="P82"/>
  <c r="D103" i="87"/>
  <c r="D47" s="1"/>
  <c r="D101" i="129"/>
  <c r="D45" s="1"/>
  <c r="F80" i="52"/>
  <c r="P80"/>
  <c r="F81" i="72"/>
  <c r="P81"/>
  <c r="F82" i="54"/>
  <c r="P82"/>
  <c r="F80" i="48"/>
  <c r="P80"/>
  <c r="F78" i="89"/>
  <c r="P78"/>
  <c r="F81" i="32"/>
  <c r="Q81" s="1"/>
  <c r="F80" i="89"/>
  <c r="P80"/>
  <c r="F80" i="39"/>
  <c r="P80"/>
  <c r="F82" i="69"/>
  <c r="Q82" s="1"/>
  <c r="P82"/>
  <c r="F82" i="41"/>
  <c r="P82"/>
  <c r="D101" i="83"/>
  <c r="D45" s="1"/>
  <c r="D103"/>
  <c r="D47" s="1"/>
  <c r="F79" i="54"/>
  <c r="P79"/>
  <c r="F78" i="68"/>
  <c r="P78"/>
  <c r="F79" i="45"/>
  <c r="P79"/>
  <c r="I78" i="43"/>
  <c r="T78" s="1"/>
  <c r="S78"/>
  <c r="F82" i="90"/>
  <c r="P82"/>
  <c r="F82" i="57"/>
  <c r="P82"/>
  <c r="G81" i="56"/>
  <c r="Q81"/>
  <c r="G78" i="47"/>
  <c r="Q78"/>
  <c r="G81" i="97"/>
  <c r="Q81"/>
  <c r="G78" i="93"/>
  <c r="Q78"/>
  <c r="F82" i="72"/>
  <c r="P82"/>
  <c r="G79" i="99"/>
  <c r="Q79"/>
  <c r="F82" i="77"/>
  <c r="P82"/>
  <c r="F81" i="89"/>
  <c r="P81"/>
  <c r="G78" i="73"/>
  <c r="Q78"/>
  <c r="G80" i="93"/>
  <c r="Q80"/>
  <c r="G82" i="81"/>
  <c r="Q82"/>
  <c r="F81" i="71"/>
  <c r="P81"/>
  <c r="F80" i="83"/>
  <c r="P80"/>
  <c r="G78" i="108"/>
  <c r="Q78"/>
  <c r="F82" i="51"/>
  <c r="P82"/>
  <c r="F82" i="79"/>
  <c r="P82"/>
  <c r="G78" i="86"/>
  <c r="Q78"/>
  <c r="P79" i="49"/>
  <c r="P82" i="71"/>
  <c r="D102" i="72"/>
  <c r="D46" s="1"/>
  <c r="D103"/>
  <c r="D47" s="1"/>
  <c r="D101" i="75"/>
  <c r="D45" s="1"/>
  <c r="D103" i="78"/>
  <c r="D47" s="1"/>
  <c r="D100" i="85"/>
  <c r="D44" s="1"/>
  <c r="O115" s="1"/>
  <c r="D102" i="86"/>
  <c r="D46" s="1"/>
  <c r="D99" i="90"/>
  <c r="D43" s="1"/>
  <c r="D103" i="98"/>
  <c r="D47" s="1"/>
  <c r="D101"/>
  <c r="D45" s="1"/>
  <c r="D102" i="99"/>
  <c r="D46" s="1"/>
  <c r="D100" i="101"/>
  <c r="D44" s="1"/>
  <c r="O115" s="1"/>
  <c r="D100" i="102"/>
  <c r="D44" s="1"/>
  <c r="O115" s="1"/>
  <c r="D101"/>
  <c r="D45" s="1"/>
  <c r="D101" i="128"/>
  <c r="D45" s="1"/>
  <c r="D137" s="1"/>
  <c r="D101" i="38"/>
  <c r="D45" s="1"/>
  <c r="D100"/>
  <c r="D44" s="1"/>
  <c r="O115" s="1"/>
  <c r="D101" i="40"/>
  <c r="D45" s="1"/>
  <c r="D101" i="45"/>
  <c r="D45" s="1"/>
  <c r="E93" i="46" a="1"/>
  <c r="E93" s="1"/>
  <c r="P80"/>
  <c r="D99" i="47"/>
  <c r="D43" s="1"/>
  <c r="D100" i="53"/>
  <c r="D44" s="1"/>
  <c r="O115" s="1"/>
  <c r="F93" i="56" a="1"/>
  <c r="F93" s="1"/>
  <c r="Q80"/>
  <c r="E102"/>
  <c r="E46" s="1"/>
  <c r="D101" i="60"/>
  <c r="D45" s="1"/>
  <c r="F79" i="44"/>
  <c r="P79"/>
  <c r="F79" i="82"/>
  <c r="Q79" s="1"/>
  <c r="P79"/>
  <c r="F77" i="78"/>
  <c r="P77"/>
  <c r="D98" i="55"/>
  <c r="D42" s="1"/>
  <c r="O113" s="1"/>
  <c r="F82" i="93"/>
  <c r="P82"/>
  <c r="D103" i="55"/>
  <c r="D47" s="1"/>
  <c r="G82" i="92"/>
  <c r="R82" s="1"/>
  <c r="Q82"/>
  <c r="F82" i="58"/>
  <c r="P82"/>
  <c r="F78" i="48"/>
  <c r="P78"/>
  <c r="F81" i="99"/>
  <c r="P81"/>
  <c r="F80" i="91"/>
  <c r="P80"/>
  <c r="F82" i="73"/>
  <c r="Q82" s="1"/>
  <c r="P82"/>
  <c r="F81" i="85"/>
  <c r="P81"/>
  <c r="D98" i="108"/>
  <c r="D42" s="1"/>
  <c r="O113" s="1"/>
  <c r="F82" i="32"/>
  <c r="Q82" s="1"/>
  <c r="D103" i="129"/>
  <c r="D47" s="1"/>
  <c r="F79" i="89"/>
  <c r="P79"/>
  <c r="F82" i="88"/>
  <c r="Q82" s="1"/>
  <c r="P82"/>
  <c r="D100" i="129"/>
  <c r="D44" s="1"/>
  <c r="O115" s="1"/>
  <c r="D102" i="41"/>
  <c r="D46" s="1"/>
  <c r="F78" i="57"/>
  <c r="P78"/>
  <c r="F80" i="87"/>
  <c r="P80"/>
  <c r="F80" i="95"/>
  <c r="P80"/>
  <c r="F79" i="85"/>
  <c r="P79"/>
  <c r="F78" i="59"/>
  <c r="P78"/>
  <c r="F78" i="69"/>
  <c r="P78"/>
  <c r="F79" i="67"/>
  <c r="P79"/>
  <c r="F81" i="48"/>
  <c r="P81"/>
  <c r="F82" i="67"/>
  <c r="Q82" s="1"/>
  <c r="P82"/>
  <c r="F77" i="108"/>
  <c r="Q77" s="1"/>
  <c r="P77"/>
  <c r="F81" i="68"/>
  <c r="P81"/>
  <c r="F80" i="60"/>
  <c r="P80"/>
  <c r="G77" i="83"/>
  <c r="Q77"/>
  <c r="F77" i="127"/>
  <c r="Q77" s="1"/>
  <c r="P77"/>
  <c r="F79" i="88"/>
  <c r="P79"/>
  <c r="F80" i="51"/>
  <c r="P80"/>
  <c r="F80" i="90"/>
  <c r="P80"/>
  <c r="F80" i="108"/>
  <c r="P80"/>
  <c r="F82" i="89"/>
  <c r="P82"/>
  <c r="F79" i="83"/>
  <c r="P79"/>
  <c r="F81" i="108"/>
  <c r="P81"/>
  <c r="H78" i="72"/>
  <c r="R78"/>
  <c r="G78" i="88"/>
  <c r="Q78"/>
  <c r="G79" i="58"/>
  <c r="Q79"/>
  <c r="G81"/>
  <c r="Q81"/>
  <c r="G78" i="45"/>
  <c r="Q78"/>
  <c r="G80" i="94"/>
  <c r="Q80"/>
  <c r="G81" i="92"/>
  <c r="Q81"/>
  <c r="F81" i="95"/>
  <c r="P81"/>
  <c r="G81" i="60"/>
  <c r="Q81"/>
  <c r="G81" i="47"/>
  <c r="Q81"/>
  <c r="F81" i="83"/>
  <c r="P81"/>
  <c r="G79" i="48"/>
  <c r="Q79"/>
  <c r="G78" i="76"/>
  <c r="Q78"/>
  <c r="F79" i="41"/>
  <c r="P79"/>
  <c r="G80" i="57"/>
  <c r="Q80"/>
  <c r="G79" i="51"/>
  <c r="Q79"/>
  <c r="G81" i="46"/>
  <c r="Q81"/>
  <c r="P80" i="78"/>
  <c r="P81" i="51"/>
  <c r="D101" i="70"/>
  <c r="D45" s="1"/>
  <c r="D102" i="71"/>
  <c r="D46" s="1"/>
  <c r="D103"/>
  <c r="D47" s="1"/>
  <c r="D100" i="72"/>
  <c r="D44" s="1"/>
  <c r="O115" s="1"/>
  <c r="D101" i="73"/>
  <c r="D45" s="1"/>
  <c r="D102" i="77"/>
  <c r="D46" s="1"/>
  <c r="D101" i="85"/>
  <c r="D45" s="1"/>
  <c r="D99" i="86"/>
  <c r="D43" s="1"/>
  <c r="D101"/>
  <c r="D45" s="1"/>
  <c r="D102" i="88"/>
  <c r="D46" s="1"/>
  <c r="D99" i="80"/>
  <c r="D43" s="1"/>
  <c r="D103" i="90"/>
  <c r="D47" s="1"/>
  <c r="D102" i="91"/>
  <c r="D46" s="1"/>
  <c r="D103"/>
  <c r="D47" s="1"/>
  <c r="D99" i="93"/>
  <c r="D43" s="1"/>
  <c r="E102" i="94"/>
  <c r="E46" s="1"/>
  <c r="D99" i="109"/>
  <c r="D43" s="1"/>
  <c r="D100" i="128"/>
  <c r="D44" s="1"/>
  <c r="D136" s="1"/>
  <c r="D103"/>
  <c r="D47" s="1"/>
  <c r="D139" s="1"/>
  <c r="D46" i="32"/>
  <c r="D47"/>
  <c r="D103" i="38"/>
  <c r="D47" s="1"/>
  <c r="D103" i="42"/>
  <c r="D47" s="1"/>
  <c r="D100" i="43"/>
  <c r="D44" s="1"/>
  <c r="O115" s="1"/>
  <c r="D102" i="45"/>
  <c r="D46" s="1"/>
  <c r="D103" i="49"/>
  <c r="D47" s="1"/>
  <c r="D101"/>
  <c r="D45" s="1"/>
  <c r="D100" i="50"/>
  <c r="D44" s="1"/>
  <c r="O115" s="1"/>
  <c r="D100" i="58"/>
  <c r="D44" s="1"/>
  <c r="O115" s="1"/>
  <c r="D102"/>
  <c r="D46" s="1"/>
  <c r="D103" i="59"/>
  <c r="D47" s="1"/>
  <c r="F80" i="43"/>
  <c r="Q80" s="1"/>
  <c r="P80"/>
  <c r="G78" i="98"/>
  <c r="R78" s="1"/>
  <c r="Q78"/>
  <c r="F81" i="78"/>
  <c r="Q81" s="1"/>
  <c r="P81"/>
  <c r="F80" i="86"/>
  <c r="P80"/>
  <c r="F82" i="74"/>
  <c r="Q82" s="1"/>
  <c r="P82"/>
  <c r="F80" i="79"/>
  <c r="P80"/>
  <c r="F78" i="74"/>
  <c r="P78"/>
  <c r="F82" i="38"/>
  <c r="Q82" s="1"/>
  <c r="P82"/>
  <c r="F80" i="102"/>
  <c r="P80"/>
  <c r="D103" i="95"/>
  <c r="D47" s="1"/>
  <c r="F81" i="55"/>
  <c r="P81"/>
  <c r="F81" i="54"/>
  <c r="Q81" s="1"/>
  <c r="P81"/>
  <c r="F81" i="45"/>
  <c r="P81"/>
  <c r="D103" i="108"/>
  <c r="D47" s="1"/>
  <c r="D103" i="89"/>
  <c r="D47" s="1"/>
  <c r="F81" i="86"/>
  <c r="P81"/>
  <c r="F82" i="76"/>
  <c r="Q82" s="1"/>
  <c r="P82"/>
  <c r="D103" i="39"/>
  <c r="D47" s="1"/>
  <c r="F80" i="75"/>
  <c r="P80"/>
  <c r="D103" i="52"/>
  <c r="D47" s="1"/>
  <c r="F78" i="85"/>
  <c r="P78"/>
  <c r="F77" i="48"/>
  <c r="Q77" s="1"/>
  <c r="P77"/>
  <c r="D99" i="89"/>
  <c r="D43" s="1"/>
  <c r="D98" i="76"/>
  <c r="D42" s="1"/>
  <c r="O113" s="1"/>
  <c r="F81" i="59"/>
  <c r="P81"/>
  <c r="D98" i="87"/>
  <c r="D42" s="1"/>
  <c r="O113" s="1"/>
  <c r="D98" i="54"/>
  <c r="D42" s="1"/>
  <c r="O113" s="1"/>
  <c r="F79" i="55"/>
  <c r="P79"/>
  <c r="F81" i="75"/>
  <c r="P81"/>
  <c r="F80" i="129"/>
  <c r="P80"/>
  <c r="D100" i="54"/>
  <c r="D44" s="1"/>
  <c r="O115" s="1"/>
  <c r="F80"/>
  <c r="P80"/>
  <c r="F82" i="129"/>
  <c r="P82"/>
  <c r="F80" i="77"/>
  <c r="P80"/>
  <c r="F82" i="39"/>
  <c r="Q82" s="1"/>
  <c r="P82"/>
  <c r="D102" i="69"/>
  <c r="D46" s="1"/>
  <c r="F81" i="41"/>
  <c r="P81"/>
  <c r="D102" i="68"/>
  <c r="D46" s="1"/>
  <c r="F79" i="57"/>
  <c r="P79"/>
  <c r="F79" i="129"/>
  <c r="P79"/>
  <c r="F80" i="76"/>
  <c r="P80"/>
  <c r="F80" i="127"/>
  <c r="P80"/>
  <c r="F80" i="69"/>
  <c r="P80"/>
  <c r="F82" i="68"/>
  <c r="Q82" s="1"/>
  <c r="P82"/>
  <c r="F78" i="129"/>
  <c r="Q78" s="1"/>
  <c r="P78"/>
  <c r="F77"/>
  <c r="Q77" s="1"/>
  <c r="P77"/>
  <c r="F81" i="90"/>
  <c r="P81"/>
  <c r="F80" i="72"/>
  <c r="P80"/>
  <c r="F80" i="68"/>
  <c r="P80"/>
  <c r="F82" i="83"/>
  <c r="P82"/>
  <c r="F82" i="42"/>
  <c r="P82"/>
  <c r="F81" i="69"/>
  <c r="P81"/>
  <c r="F80" i="82"/>
  <c r="P80"/>
  <c r="F79" i="108"/>
  <c r="P79"/>
  <c r="G79" i="56"/>
  <c r="Q79"/>
  <c r="G82" i="48"/>
  <c r="Q82"/>
  <c r="G80" i="47"/>
  <c r="Q80"/>
  <c r="G80" i="67"/>
  <c r="Q80"/>
  <c r="G78" i="95"/>
  <c r="Q78"/>
  <c r="F79"/>
  <c r="P79"/>
  <c r="I78" i="75"/>
  <c r="T78" s="1"/>
  <c r="S78"/>
  <c r="G78" i="56"/>
  <c r="Q78"/>
  <c r="G80" i="55"/>
  <c r="Q80"/>
  <c r="G78" i="44"/>
  <c r="Q78"/>
  <c r="G78" i="101"/>
  <c r="Q78"/>
  <c r="G80" i="97"/>
  <c r="Q80"/>
  <c r="G81" i="94"/>
  <c r="Q81"/>
  <c r="G78" i="79"/>
  <c r="Q78"/>
  <c r="H79" i="72"/>
  <c r="R79"/>
  <c r="F77" i="74"/>
  <c r="P77"/>
  <c r="I78" i="52"/>
  <c r="T78" s="1"/>
  <c r="S78"/>
  <c r="F78" i="51"/>
  <c r="P78"/>
  <c r="G78" i="87"/>
  <c r="Q78"/>
  <c r="F80" i="41"/>
  <c r="P80"/>
  <c r="F81" i="76"/>
  <c r="P81"/>
  <c r="G78" i="38"/>
  <c r="Q78"/>
  <c r="F80" i="88"/>
  <c r="P80"/>
  <c r="G82" i="56"/>
  <c r="Q82"/>
  <c r="F81" i="38"/>
  <c r="P81"/>
  <c r="P77" i="55"/>
  <c r="P77" i="83"/>
  <c r="P79" i="52"/>
  <c r="D100" i="100"/>
  <c r="D44" s="1"/>
  <c r="O115" s="1"/>
  <c r="C47" i="63"/>
  <c r="N84" i="78"/>
  <c r="N84" i="80"/>
  <c r="N84" i="92"/>
  <c r="O83" i="102"/>
  <c r="N84" i="74"/>
  <c r="O83" i="59"/>
  <c r="C45" i="63"/>
  <c r="C43"/>
  <c r="D46" i="70"/>
  <c r="D43" i="85"/>
  <c r="D47" i="88"/>
  <c r="D43" i="91"/>
  <c r="D45"/>
  <c r="E43" i="92"/>
  <c r="E44"/>
  <c r="D47" i="93"/>
  <c r="E45" i="94"/>
  <c r="D44" i="98"/>
  <c r="O115" s="1"/>
  <c r="D45" i="99"/>
  <c r="D46" i="100"/>
  <c r="D43" i="102"/>
  <c r="D47" i="127"/>
  <c r="D43" i="32"/>
  <c r="D44" i="40"/>
  <c r="O115" s="1"/>
  <c r="D46" i="42"/>
  <c r="D44" i="45"/>
  <c r="O115" s="1"/>
  <c r="D46" i="46"/>
  <c r="D43" i="55"/>
  <c r="E45" i="56"/>
  <c r="E43"/>
  <c r="E47"/>
  <c r="D43" i="58"/>
  <c r="D43" i="60"/>
  <c r="D47"/>
  <c r="D44" i="67"/>
  <c r="O115" s="1"/>
  <c r="D45" i="71"/>
  <c r="D46" i="74"/>
  <c r="D46" i="82"/>
  <c r="D47" i="85"/>
  <c r="D44" i="88"/>
  <c r="O115" s="1"/>
  <c r="D44" i="79"/>
  <c r="O115" s="1"/>
  <c r="D46" i="80"/>
  <c r="D45" i="90"/>
  <c r="E47" i="94"/>
  <c r="D45" i="96"/>
  <c r="D47" i="109"/>
  <c r="D45" i="127"/>
  <c r="D43" i="38"/>
  <c r="D45" i="47"/>
  <c r="D45" i="50"/>
  <c r="D44" i="55"/>
  <c r="O115" s="1"/>
  <c r="N84" i="46"/>
  <c r="D43" i="87"/>
  <c r="D45" i="69"/>
  <c r="D45" i="68"/>
  <c r="D46" i="83"/>
  <c r="D46" i="48"/>
  <c r="D46" i="76"/>
  <c r="D45" i="108"/>
  <c r="D45" i="89"/>
  <c r="D45" i="87"/>
  <c r="D44" i="69"/>
  <c r="O115" s="1"/>
  <c r="D44" i="68"/>
  <c r="O115" s="1"/>
  <c r="D46" i="87"/>
  <c r="D47" i="69"/>
  <c r="D44" i="83"/>
  <c r="O115" s="1"/>
  <c r="O83" i="89"/>
  <c r="O83" i="91"/>
  <c r="D44" i="108"/>
  <c r="O115" s="1"/>
  <c r="D47" i="68"/>
  <c r="C47" i="104"/>
  <c r="C46" i="63"/>
  <c r="C44" i="104"/>
  <c r="C44" i="63"/>
  <c r="C45" i="104"/>
  <c r="D46" i="73"/>
  <c r="D47"/>
  <c r="D44" i="82"/>
  <c r="O115" s="1"/>
  <c r="C48" i="84"/>
  <c r="C141" s="1"/>
  <c r="D46" i="85"/>
  <c r="D47" i="86"/>
  <c r="D44" i="90"/>
  <c r="O115" s="1"/>
  <c r="D45" i="93"/>
  <c r="N84"/>
  <c r="D47" i="100"/>
  <c r="D47" i="102"/>
  <c r="D46" i="109"/>
  <c r="D43" i="127"/>
  <c r="D46" i="40"/>
  <c r="D45" i="42"/>
  <c r="D46" i="43"/>
  <c r="D46" i="44"/>
  <c r="D47" i="46"/>
  <c r="D46" i="49"/>
  <c r="D45" i="55"/>
  <c r="E44" i="56"/>
  <c r="N84"/>
  <c r="C43" i="104"/>
  <c r="C46"/>
  <c r="D43" i="54"/>
  <c r="D42" i="48"/>
  <c r="O113" s="1"/>
  <c r="D47" i="57"/>
  <c r="D44" i="39"/>
  <c r="O115" s="1"/>
  <c r="D46"/>
  <c r="D44" i="70"/>
  <c r="O115" s="1"/>
  <c r="D43" i="71"/>
  <c r="D44" i="78"/>
  <c r="O115" s="1"/>
  <c r="E45" i="81"/>
  <c r="E46"/>
  <c r="E47"/>
  <c r="D47" i="82"/>
  <c r="D45" i="88"/>
  <c r="D45" i="80"/>
  <c r="D44" i="91"/>
  <c r="O115" s="1"/>
  <c r="D46" i="96"/>
  <c r="D45" i="97"/>
  <c r="D46" i="98"/>
  <c r="D45" i="100"/>
  <c r="D47" i="101"/>
  <c r="D46" i="127"/>
  <c r="D46" i="38"/>
  <c r="D47" i="40"/>
  <c r="D44" i="42"/>
  <c r="O115" s="1"/>
  <c r="D46" i="53"/>
  <c r="D46" i="55"/>
  <c r="D43" i="57"/>
  <c r="D47" i="54"/>
  <c r="D42" i="52"/>
  <c r="O113" s="1"/>
  <c r="D43" i="48"/>
  <c r="D45" i="51"/>
  <c r="O83" i="93"/>
  <c r="O83" i="56"/>
  <c r="O83" i="84"/>
  <c r="O83" i="94"/>
  <c r="O83" i="67"/>
  <c r="O83" i="90"/>
  <c r="O83" i="81"/>
  <c r="D45" i="67"/>
  <c r="D43" i="70"/>
  <c r="D45" i="72"/>
  <c r="D44" i="75"/>
  <c r="O115" s="1"/>
  <c r="D47" i="77"/>
  <c r="D47" i="79"/>
  <c r="D46" i="90"/>
  <c r="D44" i="96"/>
  <c r="O115" s="1"/>
  <c r="D44" i="97"/>
  <c r="O115" s="1"/>
  <c r="D47"/>
  <c r="D47" i="99"/>
  <c r="D43" i="100"/>
  <c r="D45" i="101"/>
  <c r="D47" i="43"/>
  <c r="D44" i="47"/>
  <c r="O115" s="1"/>
  <c r="D44" i="49"/>
  <c r="O115" s="1"/>
  <c r="D46" i="50"/>
  <c r="D47"/>
  <c r="D45" i="53"/>
  <c r="D47"/>
  <c r="D47" i="58"/>
  <c r="D46" i="52"/>
  <c r="D46" i="57"/>
  <c r="D45" i="52"/>
  <c r="D47" i="76"/>
  <c r="D45"/>
  <c r="D45" i="48"/>
  <c r="D46" i="51"/>
  <c r="D44" i="76"/>
  <c r="O115" s="1"/>
  <c r="C105" i="45"/>
  <c r="O83" i="92"/>
  <c r="D43" i="67"/>
  <c r="D47" i="70"/>
  <c r="D44" i="73"/>
  <c r="O115" s="1"/>
  <c r="D46" i="75"/>
  <c r="D47"/>
  <c r="D43" i="77"/>
  <c r="D46" i="78"/>
  <c r="D44" i="86"/>
  <c r="O115" s="1"/>
  <c r="E45" i="92"/>
  <c r="D44" i="93"/>
  <c r="O115" s="1"/>
  <c r="D46"/>
  <c r="E44" i="94"/>
  <c r="D47" i="96"/>
  <c r="D46" i="101"/>
  <c r="D45" i="32"/>
  <c r="D45" i="43"/>
  <c r="D44" i="44"/>
  <c r="O115" s="1"/>
  <c r="D47" i="45"/>
  <c r="D44" i="46"/>
  <c r="O115" s="1"/>
  <c r="D47" i="47"/>
  <c r="D45" i="58"/>
  <c r="D47" i="48"/>
  <c r="D42" i="41"/>
  <c r="O113" s="1"/>
  <c r="D46" i="54"/>
  <c r="D44" i="52"/>
  <c r="O115" s="1"/>
  <c r="D45" i="41"/>
  <c r="D45" i="95"/>
  <c r="D44" i="99"/>
  <c r="O115" s="1"/>
  <c r="D45" i="39"/>
  <c r="D43" i="83"/>
  <c r="O83" i="55"/>
  <c r="D43" i="59"/>
  <c r="O114" s="1"/>
  <c r="D45"/>
  <c r="D46" i="108"/>
  <c r="D46" i="95"/>
  <c r="D44" i="41"/>
  <c r="O115" s="1"/>
  <c r="D44" i="95"/>
  <c r="O115" s="1"/>
  <c r="D47" i="41"/>
  <c r="D46" i="89"/>
  <c r="D44" i="57"/>
  <c r="O115" s="1"/>
  <c r="D43" i="51"/>
  <c r="O83"/>
  <c r="D44"/>
  <c r="O115" s="1"/>
  <c r="O83" i="44"/>
  <c r="D43"/>
  <c r="O83" i="48"/>
  <c r="D44"/>
  <c r="O115" s="1"/>
  <c r="O83" i="97"/>
  <c r="O83" i="73"/>
  <c r="O83" i="39"/>
  <c r="D43"/>
  <c r="O83" i="127"/>
  <c r="D44"/>
  <c r="O115" s="1"/>
  <c r="O83" i="80"/>
  <c r="D44"/>
  <c r="O115" s="1"/>
  <c r="O83" i="95"/>
  <c r="D43"/>
  <c r="O83" i="41"/>
  <c r="D43"/>
  <c r="O83" i="52"/>
  <c r="D43" i="75"/>
  <c r="O83" i="46"/>
  <c r="D43"/>
  <c r="O83" i="72"/>
  <c r="O83" i="69"/>
  <c r="O83" i="88"/>
  <c r="O83" i="99"/>
  <c r="D43"/>
  <c r="O83" i="47"/>
  <c r="D46"/>
  <c r="O83" i="101"/>
  <c r="D43"/>
  <c r="O83" i="87"/>
  <c r="O83" i="70"/>
  <c r="O83" i="43"/>
  <c r="O83" i="42"/>
  <c r="O83" i="68"/>
  <c r="D36" i="78"/>
  <c r="D206" s="1"/>
  <c r="O83"/>
  <c r="D36" i="71"/>
  <c r="D206" s="1"/>
  <c r="O83"/>
  <c r="I36" i="76"/>
  <c r="I206" s="1"/>
  <c r="D36" i="40"/>
  <c r="D206" s="1"/>
  <c r="O83"/>
  <c r="I36" i="80"/>
  <c r="I206" s="1"/>
  <c r="I36" i="39"/>
  <c r="I206" s="1"/>
  <c r="D36" i="98"/>
  <c r="D206" s="1"/>
  <c r="O83"/>
  <c r="I36" i="87"/>
  <c r="I206" s="1"/>
  <c r="D36" i="74"/>
  <c r="D206" s="1"/>
  <c r="D36" i="32"/>
  <c r="D206" s="1"/>
  <c r="O83"/>
  <c r="F36" i="90"/>
  <c r="F206" s="1"/>
  <c r="D36" i="50"/>
  <c r="D206" s="1"/>
  <c r="I36" i="73"/>
  <c r="I206" s="1"/>
  <c r="D36" i="45"/>
  <c r="D206" s="1"/>
  <c r="F36" i="41"/>
  <c r="F206" s="1"/>
  <c r="D36" i="77"/>
  <c r="D206" s="1"/>
  <c r="D36" i="79"/>
  <c r="D206" s="1"/>
  <c r="O83"/>
  <c r="F36" i="39"/>
  <c r="F206" s="1"/>
  <c r="F36" i="101"/>
  <c r="F206" s="1"/>
  <c r="I36" i="41"/>
  <c r="I206" s="1"/>
  <c r="F36" i="52"/>
  <c r="F206" s="1"/>
  <c r="D36" i="49"/>
  <c r="D206" s="1"/>
  <c r="O83"/>
  <c r="D36" i="85"/>
  <c r="D206" s="1"/>
  <c r="O83"/>
  <c r="D36" i="53"/>
  <c r="D206" s="1"/>
  <c r="O83"/>
  <c r="D36" i="96"/>
  <c r="D206" s="1"/>
  <c r="O83"/>
  <c r="D36" i="109"/>
  <c r="D206" s="1"/>
  <c r="O83"/>
  <c r="D36" i="100"/>
  <c r="D206" s="1"/>
  <c r="O83"/>
  <c r="C132" i="63"/>
  <c r="E90" i="83" a="1"/>
  <c r="E90" s="1"/>
  <c r="F58" i="131"/>
  <c r="C86" i="104"/>
  <c r="D128" i="73" a="1"/>
  <c r="D128" s="1"/>
  <c r="D130" s="1"/>
  <c r="E124" a="1"/>
  <c r="E124" s="1"/>
  <c r="E123" i="85" a="1"/>
  <c r="E123" s="1"/>
  <c r="E122" a="1"/>
  <c r="E122" s="1"/>
  <c r="E126" i="101" a="1"/>
  <c r="E126" s="1"/>
  <c r="E127" a="1"/>
  <c r="E127" s="1"/>
  <c r="E126" i="39" a="1"/>
  <c r="E126" s="1"/>
  <c r="E125" a="1"/>
  <c r="E125" s="1"/>
  <c r="E123" i="51" a="1"/>
  <c r="E123" s="1"/>
  <c r="E125" a="1"/>
  <c r="E125" s="1"/>
  <c r="D128" i="39" a="1"/>
  <c r="D128" s="1"/>
  <c r="D130" s="1"/>
  <c r="D128" i="51" a="1"/>
  <c r="D128" s="1"/>
  <c r="D130" s="1"/>
  <c r="D128" i="48" a="1"/>
  <c r="D128" s="1"/>
  <c r="D130" s="1"/>
  <c r="D128" i="90" a="1"/>
  <c r="D128" s="1"/>
  <c r="D130" s="1"/>
  <c r="D128" i="53" a="1"/>
  <c r="D128" s="1"/>
  <c r="D130" s="1"/>
  <c r="D128" i="100" a="1"/>
  <c r="D128" s="1"/>
  <c r="D130" s="1"/>
  <c r="E126" i="73" a="1"/>
  <c r="E126" s="1"/>
  <c r="E125" a="1"/>
  <c r="E125" s="1"/>
  <c r="E124" i="85" a="1"/>
  <c r="E124" s="1"/>
  <c r="E123" i="101" a="1"/>
  <c r="E123" s="1"/>
  <c r="E124" a="1"/>
  <c r="E124" s="1"/>
  <c r="E125" a="1"/>
  <c r="E125" s="1"/>
  <c r="E123" i="39" a="1"/>
  <c r="E123" s="1"/>
  <c r="E127" a="1"/>
  <c r="E127" s="1"/>
  <c r="E126" i="51" a="1"/>
  <c r="E126" s="1"/>
  <c r="E122" a="1"/>
  <c r="E122" s="1"/>
  <c r="O83" i="83"/>
  <c r="D92" a="1"/>
  <c r="D92" s="1"/>
  <c r="D94" s="1"/>
  <c r="E89" a="1"/>
  <c r="E89" s="1"/>
  <c r="E123" i="71" a="1"/>
  <c r="E123" s="1"/>
  <c r="E124" a="1"/>
  <c r="E124" s="1"/>
  <c r="E125" a="1"/>
  <c r="E125" s="1"/>
  <c r="F82" i="87"/>
  <c r="F113" i="48"/>
  <c r="F129" s="1" a="1"/>
  <c r="F129" s="1"/>
  <c r="E129" a="1"/>
  <c r="E129" s="1"/>
  <c r="E122" a="1"/>
  <c r="E122" s="1"/>
  <c r="E129" i="53" a="1"/>
  <c r="E129" s="1"/>
  <c r="E124" a="1"/>
  <c r="E124" s="1"/>
  <c r="F124" a="1"/>
  <c r="F124" s="1"/>
  <c r="F123" a="1"/>
  <c r="F123" s="1"/>
  <c r="E87" i="83" a="1"/>
  <c r="E87" s="1"/>
  <c r="E91" a="1"/>
  <c r="E91" s="1"/>
  <c r="F113" i="71"/>
  <c r="F124" s="1" a="1"/>
  <c r="F124" s="1"/>
  <c r="E129" a="1"/>
  <c r="E129" s="1"/>
  <c r="E129" i="91" a="1"/>
  <c r="E129" s="1"/>
  <c r="E126" i="48" a="1"/>
  <c r="E126" s="1"/>
  <c r="E123" i="53" a="1"/>
  <c r="E123" s="1"/>
  <c r="E126" a="1"/>
  <c r="E126" s="1"/>
  <c r="F127" a="1"/>
  <c r="F127" s="1"/>
  <c r="F122" a="1"/>
  <c r="F122" s="1"/>
  <c r="F129" a="1"/>
  <c r="F129" s="1"/>
  <c r="E93" i="83" a="1"/>
  <c r="E93" s="1"/>
  <c r="E88" a="1"/>
  <c r="E88" s="1"/>
  <c r="E86" a="1"/>
  <c r="E86" s="1"/>
  <c r="E98" s="1"/>
  <c r="D128" i="101" a="1"/>
  <c r="D128" s="1"/>
  <c r="D130" s="1"/>
  <c r="D128" i="93" a="1"/>
  <c r="D128" s="1"/>
  <c r="D130" s="1"/>
  <c r="D128" i="85" a="1"/>
  <c r="D128" s="1"/>
  <c r="D130" s="1"/>
  <c r="D128" i="47" a="1"/>
  <c r="D128" s="1"/>
  <c r="D130" s="1"/>
  <c r="D128" i="108" a="1"/>
  <c r="D128" s="1"/>
  <c r="D130" s="1"/>
  <c r="E90" i="69" a="1"/>
  <c r="E90" s="1"/>
  <c r="D128" i="77" a="1"/>
  <c r="D128" s="1"/>
  <c r="D130" s="1"/>
  <c r="F77" i="128"/>
  <c r="E129" i="73" a="1"/>
  <c r="E129" s="1"/>
  <c r="E122" a="1"/>
  <c r="E122" s="1"/>
  <c r="E126" i="85" a="1"/>
  <c r="E126" s="1"/>
  <c r="E127" a="1"/>
  <c r="E127" s="1"/>
  <c r="E122" i="91" a="1"/>
  <c r="E122" s="1"/>
  <c r="E129" i="39" a="1"/>
  <c r="E129" s="1"/>
  <c r="E122" a="1"/>
  <c r="E122" s="1"/>
  <c r="E127" i="51" a="1"/>
  <c r="E127" s="1"/>
  <c r="O83" i="54"/>
  <c r="E89" i="69" a="1"/>
  <c r="E89" s="1"/>
  <c r="E91" a="1"/>
  <c r="E91" s="1"/>
  <c r="E125" i="84" a="1"/>
  <c r="E125" s="1"/>
  <c r="G57" i="131"/>
  <c r="F609" i="130"/>
  <c r="F635" s="1"/>
  <c r="E86" i="69" a="1"/>
  <c r="E86" s="1"/>
  <c r="E98" s="1"/>
  <c r="E93" a="1"/>
  <c r="E93" s="1"/>
  <c r="E128" i="79" a="1"/>
  <c r="E128" s="1"/>
  <c r="E130" s="1"/>
  <c r="E93" i="108" a="1"/>
  <c r="E93" s="1"/>
  <c r="O83"/>
  <c r="G78" i="83"/>
  <c r="R78" s="1"/>
  <c r="E91" i="68" a="1"/>
  <c r="E91" s="1"/>
  <c r="E126" i="91" a="1"/>
  <c r="E126" s="1"/>
  <c r="E127" a="1"/>
  <c r="E127" s="1"/>
  <c r="I46" i="131"/>
  <c r="D635" i="130"/>
  <c r="J635"/>
  <c r="E123" i="91" a="1"/>
  <c r="E123" s="1"/>
  <c r="E124" a="1"/>
  <c r="E124" s="1"/>
  <c r="E125" a="1"/>
  <c r="E125" s="1"/>
  <c r="E93" i="51" a="1"/>
  <c r="E93" s="1"/>
  <c r="E87" i="69" a="1"/>
  <c r="E87" s="1"/>
  <c r="E88" a="1"/>
  <c r="E88" s="1"/>
  <c r="E87" i="87" a="1"/>
  <c r="E87" s="1"/>
  <c r="E93" i="39" a="1"/>
  <c r="E93" s="1"/>
  <c r="D128" i="54" a="1"/>
  <c r="D128" s="1"/>
  <c r="D130" s="1"/>
  <c r="E128" i="78" a="1"/>
  <c r="E128" s="1"/>
  <c r="E130" s="1"/>
  <c r="D128" i="97" a="1"/>
  <c r="D128" s="1"/>
  <c r="D130" s="1"/>
  <c r="D128" i="58" a="1"/>
  <c r="D128" s="1"/>
  <c r="D130" s="1"/>
  <c r="E93" i="76" a="1"/>
  <c r="E93" s="1"/>
  <c r="E91" i="51" a="1"/>
  <c r="E91" s="1"/>
  <c r="E88" i="52" a="1"/>
  <c r="E88" s="1"/>
  <c r="E100" s="1"/>
  <c r="E89" i="76" a="1"/>
  <c r="E89" s="1"/>
  <c r="E86" i="51" a="1"/>
  <c r="E86" s="1"/>
  <c r="E98" s="1"/>
  <c r="E87" i="52" a="1"/>
  <c r="E87" s="1"/>
  <c r="F79" i="73"/>
  <c r="E87" i="88" a="1"/>
  <c r="E87" s="1"/>
  <c r="E87" i="68" a="1"/>
  <c r="E87" s="1"/>
  <c r="E88" a="1"/>
  <c r="E88" s="1"/>
  <c r="E89" i="89" a="1"/>
  <c r="E89" s="1"/>
  <c r="O83" i="58"/>
  <c r="G54" i="131"/>
  <c r="G58" s="1"/>
  <c r="G56"/>
  <c r="D128" i="74" a="1"/>
  <c r="D128" s="1"/>
  <c r="D130" s="1"/>
  <c r="D128" i="76" a="1"/>
  <c r="D128" s="1"/>
  <c r="D130" s="1"/>
  <c r="D128" i="82" a="1"/>
  <c r="D128" s="1"/>
  <c r="D130" s="1"/>
  <c r="E123" i="84" a="1"/>
  <c r="E123" s="1"/>
  <c r="E135" s="1"/>
  <c r="E128" i="86" a="1"/>
  <c r="E128" s="1"/>
  <c r="E130" s="1"/>
  <c r="D128" i="50" a="1"/>
  <c r="D128" s="1"/>
  <c r="D130" s="1"/>
  <c r="E123" i="55" a="1"/>
  <c r="E123" s="1"/>
  <c r="I635" i="130"/>
  <c r="J130" i="128"/>
  <c r="I19" i="131"/>
  <c r="K54"/>
  <c r="K58" s="1"/>
  <c r="D54"/>
  <c r="D58" s="1"/>
  <c r="D56"/>
  <c r="E125" i="55" a="1"/>
  <c r="E125" s="1"/>
  <c r="K635" i="130"/>
  <c r="H54" i="131"/>
  <c r="H58" s="1"/>
  <c r="K56"/>
  <c r="E635" i="130"/>
  <c r="J56" i="131"/>
  <c r="J54"/>
  <c r="J58" s="1"/>
  <c r="E128" i="69" a="1"/>
  <c r="E128" s="1"/>
  <c r="E130" s="1"/>
  <c r="E122" i="84" a="1"/>
  <c r="E122" s="1"/>
  <c r="D128" i="94" a="1"/>
  <c r="D128" s="1"/>
  <c r="D130" s="1"/>
  <c r="E124" i="55" a="1"/>
  <c r="E124" s="1"/>
  <c r="G635" i="130"/>
  <c r="E54" i="131"/>
  <c r="H635" i="130"/>
  <c r="O83" i="82"/>
  <c r="E87" i="76" a="1"/>
  <c r="E87" s="1"/>
  <c r="E88" a="1"/>
  <c r="E88" s="1"/>
  <c r="G78" i="78"/>
  <c r="G80" i="80"/>
  <c r="E89" i="51" a="1"/>
  <c r="E89" s="1"/>
  <c r="E87" a="1"/>
  <c r="E87" s="1"/>
  <c r="E86" i="52" a="1"/>
  <c r="E86" s="1"/>
  <c r="E98" s="1"/>
  <c r="E90" a="1"/>
  <c r="E90" s="1"/>
  <c r="E91" a="1"/>
  <c r="E91" s="1"/>
  <c r="E86" i="76" a="1"/>
  <c r="E86" s="1"/>
  <c r="E98" s="1"/>
  <c r="E90" a="1"/>
  <c r="E90" s="1"/>
  <c r="E91" a="1"/>
  <c r="E91" s="1"/>
  <c r="E90" i="51" a="1"/>
  <c r="E90" s="1"/>
  <c r="E102" s="1"/>
  <c r="E88" a="1"/>
  <c r="E88" s="1"/>
  <c r="E89" i="52" a="1"/>
  <c r="E89" s="1"/>
  <c r="E93" a="1"/>
  <c r="E93" s="1"/>
  <c r="D92" i="51" a="1"/>
  <c r="D92" s="1"/>
  <c r="D94" s="1"/>
  <c r="E89" i="87" a="1"/>
  <c r="E89" s="1"/>
  <c r="E88" a="1"/>
  <c r="E88" s="1"/>
  <c r="D92" i="76" a="1"/>
  <c r="D92" s="1"/>
  <c r="D94" s="1"/>
  <c r="E93" i="87" a="1"/>
  <c r="E93" s="1"/>
  <c r="E88" i="88" a="1"/>
  <c r="E88" s="1"/>
  <c r="E90" i="90" a="1"/>
  <c r="E90" s="1"/>
  <c r="F80" i="49"/>
  <c r="Q80" s="1"/>
  <c r="E88" i="55" a="1"/>
  <c r="E88" s="1"/>
  <c r="E88" i="95" a="1"/>
  <c r="E88" s="1"/>
  <c r="G80" i="128"/>
  <c r="E87" i="48" a="1"/>
  <c r="E87" s="1"/>
  <c r="E87" i="57" a="1"/>
  <c r="E87" s="1"/>
  <c r="E88" i="89" a="1"/>
  <c r="E88" s="1"/>
  <c r="E90" i="95" a="1"/>
  <c r="E90" s="1"/>
  <c r="E88" i="129" a="1"/>
  <c r="E88" s="1"/>
  <c r="F80" i="40"/>
  <c r="E91" i="41" a="1"/>
  <c r="E91" s="1"/>
  <c r="E86" i="90" a="1"/>
  <c r="E86" s="1"/>
  <c r="E98" s="1"/>
  <c r="E93" i="99" a="1"/>
  <c r="E93" s="1"/>
  <c r="F82" i="109"/>
  <c r="Q82" s="1"/>
  <c r="E87" i="129" a="1"/>
  <c r="E87" s="1"/>
  <c r="E93" i="54" a="1"/>
  <c r="E93" s="1"/>
  <c r="D92" i="69" a="1"/>
  <c r="D92" s="1"/>
  <c r="D94" s="1"/>
  <c r="E86" i="87" a="1"/>
  <c r="E86" s="1"/>
  <c r="E98" s="1"/>
  <c r="E90" a="1"/>
  <c r="E90" s="1"/>
  <c r="E91" a="1"/>
  <c r="E91" s="1"/>
  <c r="E91" i="90" a="1"/>
  <c r="E91" s="1"/>
  <c r="E88" i="48" a="1"/>
  <c r="E88" s="1"/>
  <c r="D92" i="54" a="1"/>
  <c r="D92" s="1"/>
  <c r="D94" s="1"/>
  <c r="D104" i="84"/>
  <c r="C42" i="90"/>
  <c r="N113" s="1"/>
  <c r="D92" i="68" a="1"/>
  <c r="D92" s="1"/>
  <c r="D94" s="1"/>
  <c r="E91" i="48" a="1"/>
  <c r="E91" s="1"/>
  <c r="F79" i="68"/>
  <c r="E89" a="1"/>
  <c r="E89" s="1"/>
  <c r="E93" a="1"/>
  <c r="E93" s="1"/>
  <c r="E93" i="85" a="1"/>
  <c r="E93" s="1"/>
  <c r="D92" i="87" a="1"/>
  <c r="D92" s="1"/>
  <c r="D94" s="1"/>
  <c r="E89" i="88" a="1"/>
  <c r="E89" s="1"/>
  <c r="E93" a="1"/>
  <c r="E93" s="1"/>
  <c r="E87" i="89" a="1"/>
  <c r="E87" s="1"/>
  <c r="E93" a="1"/>
  <c r="E93" s="1"/>
  <c r="E89" i="95" a="1"/>
  <c r="E89" s="1"/>
  <c r="E93" a="1"/>
  <c r="E93" s="1"/>
  <c r="F78" i="128"/>
  <c r="E89" i="129" a="1"/>
  <c r="E89" s="1"/>
  <c r="E93" a="1"/>
  <c r="E93" s="1"/>
  <c r="E90" i="41" a="1"/>
  <c r="E90" s="1"/>
  <c r="E89" i="48" a="1"/>
  <c r="E89" s="1"/>
  <c r="E93" a="1"/>
  <c r="E93" s="1"/>
  <c r="E88" i="49" a="1"/>
  <c r="E88" s="1"/>
  <c r="E100" s="1"/>
  <c r="E89" i="54" a="1"/>
  <c r="E89" s="1"/>
  <c r="E87" i="55" a="1"/>
  <c r="E87" s="1"/>
  <c r="E89" i="57" a="1"/>
  <c r="E89" s="1"/>
  <c r="E88" a="1"/>
  <c r="E88" s="1"/>
  <c r="E86" i="68" a="1"/>
  <c r="E86" s="1"/>
  <c r="E98" s="1"/>
  <c r="E90" a="1"/>
  <c r="E90" s="1"/>
  <c r="E86" i="88" a="1"/>
  <c r="E86" s="1"/>
  <c r="E98" s="1"/>
  <c r="E90" a="1"/>
  <c r="E90" s="1"/>
  <c r="E91" a="1"/>
  <c r="E91" s="1"/>
  <c r="E86" i="89" a="1"/>
  <c r="E86" s="1"/>
  <c r="E98" s="1"/>
  <c r="E90" a="1"/>
  <c r="E90" s="1"/>
  <c r="E91" a="1"/>
  <c r="E91" s="1"/>
  <c r="E86" i="95" a="1"/>
  <c r="E86" s="1"/>
  <c r="E98" s="1"/>
  <c r="E87" a="1"/>
  <c r="E87" s="1"/>
  <c r="E91" a="1"/>
  <c r="E91" s="1"/>
  <c r="F80" i="101"/>
  <c r="E91" i="128" a="1"/>
  <c r="E91" s="1"/>
  <c r="E86" i="129" a="1"/>
  <c r="E86" s="1"/>
  <c r="E98" s="1"/>
  <c r="E90" a="1"/>
  <c r="E90" s="1"/>
  <c r="E91" a="1"/>
  <c r="E91" s="1"/>
  <c r="F81" i="40"/>
  <c r="Q81" s="1"/>
  <c r="E86" i="41" a="1"/>
  <c r="E86" s="1"/>
  <c r="E98" s="1"/>
  <c r="E86" i="48" a="1"/>
  <c r="E86" s="1"/>
  <c r="E98" s="1"/>
  <c r="E90" a="1"/>
  <c r="E90" s="1"/>
  <c r="E93" i="57" a="1"/>
  <c r="E93" s="1"/>
  <c r="D92" i="41" a="1"/>
  <c r="D92" s="1"/>
  <c r="D94" s="1"/>
  <c r="E88" i="93" a="1"/>
  <c r="E88" s="1"/>
  <c r="D92" i="129" a="1"/>
  <c r="D92" s="1"/>
  <c r="D94" s="1"/>
  <c r="E90" i="40" a="1"/>
  <c r="E90" s="1"/>
  <c r="D92" i="89" a="1"/>
  <c r="D92" s="1"/>
  <c r="D94" s="1"/>
  <c r="E93" i="90" a="1"/>
  <c r="E93" s="1"/>
  <c r="D92" i="95" a="1"/>
  <c r="D92" s="1"/>
  <c r="D94" s="1"/>
  <c r="D92" i="52" a="1"/>
  <c r="D92" s="1"/>
  <c r="D94" s="1"/>
  <c r="D92" i="39" a="1"/>
  <c r="D92" s="1"/>
  <c r="D94" s="1"/>
  <c r="E87" i="90" a="1"/>
  <c r="E87" s="1"/>
  <c r="E88" a="1"/>
  <c r="E88" s="1"/>
  <c r="E87" i="97" a="1"/>
  <c r="E87" s="1"/>
  <c r="E87" i="41" a="1"/>
  <c r="E87" s="1"/>
  <c r="E88" a="1"/>
  <c r="E88" s="1"/>
  <c r="E86" i="49" a="1"/>
  <c r="E86" s="1"/>
  <c r="E98" s="1"/>
  <c r="E86" i="54" a="1"/>
  <c r="E86" s="1"/>
  <c r="E98" s="1"/>
  <c r="E90" a="1"/>
  <c r="E90" s="1"/>
  <c r="E91" a="1"/>
  <c r="E91" s="1"/>
  <c r="E89" i="55" a="1"/>
  <c r="E89" s="1"/>
  <c r="E93" a="1"/>
  <c r="E93" s="1"/>
  <c r="D92" i="57" a="1"/>
  <c r="D92" s="1"/>
  <c r="D94" s="1"/>
  <c r="F79" i="90"/>
  <c r="F87" i="92" a="1"/>
  <c r="F87" s="1"/>
  <c r="E89" i="90" a="1"/>
  <c r="E89" s="1"/>
  <c r="F86" i="92" a="1"/>
  <c r="F86" s="1"/>
  <c r="F98" s="1"/>
  <c r="D92" i="108" a="1"/>
  <c r="D92" s="1"/>
  <c r="D94" s="1"/>
  <c r="E91" i="38" a="1"/>
  <c r="E91" s="1"/>
  <c r="E89" i="41" a="1"/>
  <c r="E89" s="1"/>
  <c r="E93" a="1"/>
  <c r="E93" s="1"/>
  <c r="D92" i="48" a="1"/>
  <c r="D92" s="1"/>
  <c r="D94" s="1"/>
  <c r="E87" i="54" a="1"/>
  <c r="E87" s="1"/>
  <c r="E88" a="1"/>
  <c r="E88" s="1"/>
  <c r="E86" i="55" a="1"/>
  <c r="E86" s="1"/>
  <c r="E98" s="1"/>
  <c r="E90" a="1"/>
  <c r="E90" s="1"/>
  <c r="E91" a="1"/>
  <c r="E91" s="1"/>
  <c r="E86" i="57" a="1"/>
  <c r="E86" s="1"/>
  <c r="E98" s="1"/>
  <c r="E90" a="1"/>
  <c r="E90" s="1"/>
  <c r="E91" a="1"/>
  <c r="E91" s="1"/>
  <c r="F81" i="128"/>
  <c r="Q81" s="1"/>
  <c r="F87" i="81" a="1"/>
  <c r="F87" s="1"/>
  <c r="F79" i="128"/>
  <c r="Q79" s="1"/>
  <c r="F82" i="43"/>
  <c r="Q82" s="1"/>
  <c r="E93" i="78" a="1"/>
  <c r="E93" s="1"/>
  <c r="F86" i="81" a="1"/>
  <c r="F86" s="1"/>
  <c r="F98" s="1"/>
  <c r="E87" i="93" a="1"/>
  <c r="E87" s="1"/>
  <c r="E91" i="74" a="1"/>
  <c r="E91" s="1"/>
  <c r="E87" i="78" a="1"/>
  <c r="E87" s="1"/>
  <c r="F79" i="91"/>
  <c r="Q79" s="1"/>
  <c r="E91" i="40" a="1"/>
  <c r="E91" s="1"/>
  <c r="D104" i="94"/>
  <c r="E89" i="78" a="1"/>
  <c r="E89" s="1"/>
  <c r="E101" s="1"/>
  <c r="F89" i="92" a="1"/>
  <c r="F89" s="1"/>
  <c r="F91" a="1"/>
  <c r="F91" s="1"/>
  <c r="F93" a="1"/>
  <c r="F93" s="1"/>
  <c r="E91" i="93" a="1"/>
  <c r="E91" s="1"/>
  <c r="E92" i="94" a="1"/>
  <c r="E92" s="1"/>
  <c r="E94" s="1"/>
  <c r="E89" i="101" a="1"/>
  <c r="E89" s="1"/>
  <c r="E93" i="49" a="1"/>
  <c r="E93" s="1"/>
  <c r="E89" a="1"/>
  <c r="E89" s="1"/>
  <c r="F81" i="50"/>
  <c r="Q81" s="1"/>
  <c r="E93" i="75" a="1"/>
  <c r="E93" s="1"/>
  <c r="E88" i="78" a="1"/>
  <c r="E88" s="1"/>
  <c r="F90" i="81" a="1"/>
  <c r="F90" s="1"/>
  <c r="E91" i="82" a="1"/>
  <c r="E91" s="1"/>
  <c r="E93" i="86" a="1"/>
  <c r="E93" s="1"/>
  <c r="F88" i="92" a="1"/>
  <c r="F88" s="1"/>
  <c r="F90" a="1"/>
  <c r="F90" s="1"/>
  <c r="G79"/>
  <c r="R79" s="1"/>
  <c r="E92" a="1"/>
  <c r="E92" s="1"/>
  <c r="E94" s="1"/>
  <c r="E93" i="109" a="1"/>
  <c r="E93" s="1"/>
  <c r="E86" i="38" a="1"/>
  <c r="E86" s="1"/>
  <c r="E98" s="1"/>
  <c r="E88" i="45" a="1"/>
  <c r="E88" s="1"/>
  <c r="E90" i="49" a="1"/>
  <c r="E90" s="1"/>
  <c r="E87" a="1"/>
  <c r="E87" s="1"/>
  <c r="E91" a="1"/>
  <c r="E91" s="1"/>
  <c r="F82"/>
  <c r="Q82" s="1"/>
  <c r="E88" i="108" a="1"/>
  <c r="E88" s="1"/>
  <c r="E86" i="109" a="1"/>
  <c r="E86" s="1"/>
  <c r="E98" s="1"/>
  <c r="E90" i="46" a="1"/>
  <c r="E90" s="1"/>
  <c r="F81" i="53"/>
  <c r="Q81" s="1"/>
  <c r="E88" i="74" a="1"/>
  <c r="E88" s="1"/>
  <c r="E86" i="78" a="1"/>
  <c r="E86" s="1"/>
  <c r="E98" s="1"/>
  <c r="E90" a="1"/>
  <c r="E90" s="1"/>
  <c r="F88" i="81" a="1"/>
  <c r="F88" s="1"/>
  <c r="F89" a="1"/>
  <c r="F89" s="1"/>
  <c r="F93" a="1"/>
  <c r="F93" s="1"/>
  <c r="E89" i="93" a="1"/>
  <c r="E89" s="1"/>
  <c r="E93" a="1"/>
  <c r="E93" s="1"/>
  <c r="E93" i="101" a="1"/>
  <c r="E93" s="1"/>
  <c r="E87" i="108" a="1"/>
  <c r="E87" s="1"/>
  <c r="E88" i="40" a="1"/>
  <c r="E88" s="1"/>
  <c r="E86" i="74" a="1"/>
  <c r="E86" s="1"/>
  <c r="E98" s="1"/>
  <c r="E91" i="78" a="1"/>
  <c r="E91" s="1"/>
  <c r="F91" i="81" a="1"/>
  <c r="F91" s="1"/>
  <c r="E91" i="80" a="1"/>
  <c r="E91" s="1"/>
  <c r="E86" i="93" a="1"/>
  <c r="E86" s="1"/>
  <c r="E98" s="1"/>
  <c r="E90" a="1"/>
  <c r="E90" s="1"/>
  <c r="E93" i="127" a="1"/>
  <c r="E93" s="1"/>
  <c r="E90" i="38" a="1"/>
  <c r="E90" s="1"/>
  <c r="E86" i="40" a="1"/>
  <c r="E86" s="1"/>
  <c r="E98" s="1"/>
  <c r="E93" i="47" a="1"/>
  <c r="E93" s="1"/>
  <c r="E19" i="104"/>
  <c r="E25" s="1"/>
  <c r="H19"/>
  <c r="H25" s="1"/>
  <c r="F19"/>
  <c r="F25" s="1"/>
  <c r="I19"/>
  <c r="I30" s="1"/>
  <c r="G19"/>
  <c r="G25" s="1"/>
  <c r="G19" i="63"/>
  <c r="G30" s="1"/>
  <c r="E19"/>
  <c r="F19"/>
  <c r="I19"/>
  <c r="I30" s="1"/>
  <c r="H19"/>
  <c r="D44" i="77"/>
  <c r="O115" s="1"/>
  <c r="F105" i="68"/>
  <c r="D43" i="45"/>
  <c r="D43" i="88"/>
  <c r="D43" i="49"/>
  <c r="L124" i="105"/>
  <c r="D43" i="97"/>
  <c r="D43" i="40"/>
  <c r="D43" i="73"/>
  <c r="D44" i="74"/>
  <c r="O115" s="1"/>
  <c r="D43" i="78"/>
  <c r="D43" i="96"/>
  <c r="D44" i="109"/>
  <c r="O115" s="1"/>
  <c r="O83" i="38"/>
  <c r="I105" i="68"/>
  <c r="D43" i="43"/>
  <c r="I105" i="52"/>
  <c r="O83" i="45"/>
  <c r="D43" i="79"/>
  <c r="D43" i="98"/>
  <c r="O83" i="74"/>
  <c r="O83" i="77"/>
  <c r="H33" i="63"/>
  <c r="D43" i="72"/>
  <c r="N84" i="101"/>
  <c r="D43" i="50"/>
  <c r="D43" i="53"/>
  <c r="D43" i="42"/>
  <c r="E33" i="104"/>
  <c r="G31" i="63"/>
  <c r="G14"/>
  <c r="F35" i="104"/>
  <c r="E14"/>
  <c r="D36" i="51"/>
  <c r="D206" s="1"/>
  <c r="I33" i="63"/>
  <c r="D36" i="44"/>
  <c r="D206" s="1"/>
  <c r="D30" i="63"/>
  <c r="D36" s="1"/>
  <c r="D14"/>
  <c r="G31" i="104"/>
  <c r="G14"/>
  <c r="D36" i="43"/>
  <c r="D206" s="1"/>
  <c r="D36" i="73"/>
  <c r="D206" s="1"/>
  <c r="D36" i="39"/>
  <c r="D206" s="1"/>
  <c r="D30" i="104"/>
  <c r="D36" s="1"/>
  <c r="D14"/>
  <c r="O83" i="50"/>
  <c r="H14" i="63"/>
  <c r="D36" i="80"/>
  <c r="D206" s="1"/>
  <c r="D36" i="95"/>
  <c r="D206" s="1"/>
  <c r="D36" i="41"/>
  <c r="D206" s="1"/>
  <c r="F33" i="63"/>
  <c r="O83" i="86"/>
  <c r="D36"/>
  <c r="D206" s="1"/>
  <c r="I14" i="63"/>
  <c r="D36" i="57"/>
  <c r="D206" s="1"/>
  <c r="O83"/>
  <c r="F14" i="104"/>
  <c r="E34"/>
  <c r="D36" i="48"/>
  <c r="D206" s="1"/>
  <c r="D36" i="97"/>
  <c r="D206" s="1"/>
  <c r="E14" i="63"/>
  <c r="D36" i="88"/>
  <c r="D206" s="1"/>
  <c r="D36" i="99"/>
  <c r="D206" s="1"/>
  <c r="H33" i="104"/>
  <c r="I14"/>
  <c r="D36" i="101"/>
  <c r="D206" s="1"/>
  <c r="D36" i="87"/>
  <c r="D206" s="1"/>
  <c r="D36" i="70"/>
  <c r="D206" s="1"/>
  <c r="I34" i="104"/>
  <c r="H14"/>
  <c r="D36" i="52"/>
  <c r="D36" i="75"/>
  <c r="D206" s="1"/>
  <c r="O83"/>
  <c r="D36" i="46"/>
  <c r="D206" s="1"/>
  <c r="D36" i="72"/>
  <c r="D206" s="1"/>
  <c r="D36" i="69"/>
  <c r="D206" s="1"/>
  <c r="F14" i="63"/>
  <c r="E32" i="104"/>
  <c r="O83" i="76"/>
  <c r="D36"/>
  <c r="D206" s="1"/>
  <c r="D36" i="42"/>
  <c r="D206" s="1"/>
  <c r="D36" i="68"/>
  <c r="N84" i="94"/>
  <c r="N84" i="53"/>
  <c r="B55" i="135"/>
  <c r="B43" i="130"/>
  <c r="L214" i="105"/>
  <c r="L208" i="130"/>
  <c r="L214" s="1"/>
  <c r="L34" i="131" s="1"/>
  <c r="L587" i="105"/>
  <c r="L581" i="130"/>
  <c r="L587" s="1"/>
  <c r="L49" i="131" s="1"/>
  <c r="L394" i="105"/>
  <c r="L388" i="130"/>
  <c r="L394" s="1"/>
  <c r="L274"/>
  <c r="L223" i="105"/>
  <c r="L217" i="130"/>
  <c r="L223" s="1"/>
  <c r="L18" i="131" s="1"/>
  <c r="L475" i="105"/>
  <c r="L469" i="130"/>
  <c r="L475" s="1"/>
  <c r="L338" i="105"/>
  <c r="L332" i="130"/>
  <c r="L338" s="1"/>
  <c r="L77" i="105"/>
  <c r="L71" i="130"/>
  <c r="L77" s="1"/>
  <c r="L16" i="131" s="1"/>
  <c r="L14" i="130"/>
  <c r="L12" i="131" s="1"/>
  <c r="L531" i="105"/>
  <c r="L525" i="130"/>
  <c r="L531" s="1"/>
  <c r="L457" i="105"/>
  <c r="L451" i="130"/>
  <c r="L457" s="1"/>
  <c r="L43" i="131" s="1"/>
  <c r="L356" i="105"/>
  <c r="L350" i="130"/>
  <c r="L356" s="1"/>
  <c r="L106"/>
  <c r="L15" i="131" s="1"/>
  <c r="L578" i="105"/>
  <c r="L572" i="130"/>
  <c r="L578" s="1"/>
  <c r="L48" i="131" s="1"/>
  <c r="L237" i="130"/>
  <c r="L38" i="131" s="1"/>
  <c r="B351" i="135"/>
  <c r="B267" i="130"/>
  <c r="L430" i="105"/>
  <c r="L424" i="130"/>
  <c r="L430" s="1"/>
  <c r="L311" i="105"/>
  <c r="L305" i="130"/>
  <c r="L311" s="1"/>
  <c r="L59" i="105"/>
  <c r="L53" i="130"/>
  <c r="L59" s="1"/>
  <c r="L511" i="105"/>
  <c r="L505" i="130"/>
  <c r="L511" s="1"/>
  <c r="L41" i="105"/>
  <c r="L35" i="130"/>
  <c r="L41" s="1"/>
  <c r="L549" i="105"/>
  <c r="L543" i="130"/>
  <c r="L549" s="1"/>
  <c r="L86" i="105"/>
  <c r="L80" i="130"/>
  <c r="L86" s="1"/>
  <c r="L421" i="105"/>
  <c r="L415" i="130"/>
  <c r="L421" s="1"/>
  <c r="L293"/>
  <c r="L187" i="105"/>
  <c r="L181" i="130"/>
  <c r="L187" s="1"/>
  <c r="L28" i="131" s="1"/>
  <c r="L23" i="105"/>
  <c r="L17" i="130"/>
  <c r="L560"/>
  <c r="L466" i="105"/>
  <c r="L460" i="130"/>
  <c r="L466" s="1"/>
  <c r="L365" i="105"/>
  <c r="L359" i="130"/>
  <c r="L365" s="1"/>
  <c r="L347" i="105"/>
  <c r="L341" i="130"/>
  <c r="L347" s="1"/>
  <c r="L133" i="105"/>
  <c r="L127" i="130"/>
  <c r="L133" s="1"/>
  <c r="L24" i="131" s="1"/>
  <c r="L596" i="105"/>
  <c r="L590" i="130"/>
  <c r="L596" s="1"/>
  <c r="L374" i="105"/>
  <c r="L368" i="130"/>
  <c r="L374" s="1"/>
  <c r="C420" i="111"/>
  <c r="C338" i="135"/>
  <c r="C52" i="111"/>
  <c r="C43" i="135"/>
  <c r="N84" i="44"/>
  <c r="N119" i="78"/>
  <c r="N119" i="80"/>
  <c r="N84" i="49"/>
  <c r="B55" i="106"/>
  <c r="B67" i="111"/>
  <c r="B351" i="106"/>
  <c r="B437" i="111"/>
  <c r="N119" i="74"/>
  <c r="N119" i="40"/>
  <c r="N119" i="46"/>
  <c r="N84" i="99"/>
  <c r="N84" i="50"/>
  <c r="C257" i="105"/>
  <c r="C338" i="106"/>
  <c r="C34" i="105"/>
  <c r="C43" i="106"/>
  <c r="B153" i="104"/>
  <c r="O83" i="60"/>
  <c r="I636" i="105"/>
  <c r="C43" i="7"/>
  <c r="C43" i="130" s="1"/>
  <c r="B43" i="105"/>
  <c r="C264" i="7"/>
  <c r="C267" i="130" s="1"/>
  <c r="B267" i="105"/>
  <c r="L14"/>
  <c r="L106"/>
  <c r="L237"/>
  <c r="L293"/>
  <c r="L274"/>
  <c r="L284" s="1"/>
  <c r="L560"/>
  <c r="E91" i="60" a="1"/>
  <c r="E91" s="1"/>
  <c r="E88" a="1"/>
  <c r="E88" s="1"/>
  <c r="E93" a="1"/>
  <c r="E93" s="1"/>
  <c r="E90" a="1"/>
  <c r="E90" s="1"/>
  <c r="E87" a="1"/>
  <c r="E87" s="1"/>
  <c r="E89" a="1"/>
  <c r="E89" s="1"/>
  <c r="E86" a="1"/>
  <c r="E86" s="1"/>
  <c r="E98" s="1"/>
  <c r="F77"/>
  <c r="Q77" s="1"/>
  <c r="E25"/>
  <c r="E30"/>
  <c r="F30"/>
  <c r="F25"/>
  <c r="I30"/>
  <c r="I25"/>
  <c r="C104"/>
  <c r="N84" s="1"/>
  <c r="C42"/>
  <c r="F79"/>
  <c r="Q79" s="1"/>
  <c r="E125" a="1"/>
  <c r="E125" s="1"/>
  <c r="E122" a="1"/>
  <c r="E122" s="1"/>
  <c r="E127" a="1"/>
  <c r="E127" s="1"/>
  <c r="E124" a="1"/>
  <c r="E124" s="1"/>
  <c r="E129" a="1"/>
  <c r="E129" s="1"/>
  <c r="E126" a="1"/>
  <c r="E126" s="1"/>
  <c r="E123" a="1"/>
  <c r="E123" s="1"/>
  <c r="F113"/>
  <c r="M164"/>
  <c r="G164"/>
  <c r="D164"/>
  <c r="A164"/>
  <c r="J165"/>
  <c r="K164"/>
  <c r="H164"/>
  <c r="E164"/>
  <c r="B164"/>
  <c r="L164"/>
  <c r="I164"/>
  <c r="F164"/>
  <c r="C164"/>
  <c r="F78"/>
  <c r="Q78" s="1"/>
  <c r="D92" a="1"/>
  <c r="D92" s="1"/>
  <c r="D94" s="1"/>
  <c r="H25"/>
  <c r="H30"/>
  <c r="G25"/>
  <c r="G30"/>
  <c r="D128" a="1"/>
  <c r="D128" s="1"/>
  <c r="D130" s="1"/>
  <c r="F82" i="59"/>
  <c r="Q82" s="1"/>
  <c r="F79"/>
  <c r="Q79" s="1"/>
  <c r="M164"/>
  <c r="G164"/>
  <c r="D164"/>
  <c r="A164"/>
  <c r="J165"/>
  <c r="K164"/>
  <c r="H164"/>
  <c r="E164"/>
  <c r="B164"/>
  <c r="L164"/>
  <c r="I164"/>
  <c r="F164"/>
  <c r="C164"/>
  <c r="E93" a="1"/>
  <c r="E93" s="1"/>
  <c r="E86" a="1"/>
  <c r="E86" s="1"/>
  <c r="E98" s="1"/>
  <c r="E91" a="1"/>
  <c r="E91" s="1"/>
  <c r="F80"/>
  <c r="F25"/>
  <c r="F30"/>
  <c r="D92" a="1"/>
  <c r="D92" s="1"/>
  <c r="D94" s="1"/>
  <c r="I25"/>
  <c r="I30"/>
  <c r="G77"/>
  <c r="R77" s="1"/>
  <c r="E90" a="1"/>
  <c r="E90" s="1"/>
  <c r="E88" a="1"/>
  <c r="E88" s="1"/>
  <c r="E25"/>
  <c r="E30"/>
  <c r="G25"/>
  <c r="G30"/>
  <c r="H25"/>
  <c r="H30"/>
  <c r="C104"/>
  <c r="N84" s="1"/>
  <c r="C42"/>
  <c r="F127" a="1"/>
  <c r="F127" s="1"/>
  <c r="F124" a="1"/>
  <c r="F124" s="1"/>
  <c r="F126" a="1"/>
  <c r="F126" s="1"/>
  <c r="F125" a="1"/>
  <c r="F125" s="1"/>
  <c r="F129" a="1"/>
  <c r="F129" s="1"/>
  <c r="F123" a="1"/>
  <c r="F123" s="1"/>
  <c r="F122" a="1"/>
  <c r="F122" s="1"/>
  <c r="G113"/>
  <c r="D128" a="1"/>
  <c r="D128" s="1"/>
  <c r="D130" s="1"/>
  <c r="E128" a="1"/>
  <c r="E128" s="1"/>
  <c r="E130" s="1"/>
  <c r="E89" a="1"/>
  <c r="E89" s="1"/>
  <c r="E87" a="1"/>
  <c r="E87" s="1"/>
  <c r="D92" i="58" a="1"/>
  <c r="D92" s="1"/>
  <c r="D94" s="1"/>
  <c r="G25"/>
  <c r="G30"/>
  <c r="J164"/>
  <c r="K163"/>
  <c r="H163"/>
  <c r="E163"/>
  <c r="B163"/>
  <c r="L163"/>
  <c r="G163"/>
  <c r="C163"/>
  <c r="M163"/>
  <c r="I163"/>
  <c r="D163"/>
  <c r="A163"/>
  <c r="F163"/>
  <c r="F127" a="1"/>
  <c r="F127" s="1"/>
  <c r="F124" a="1"/>
  <c r="F124" s="1"/>
  <c r="F126" a="1"/>
  <c r="F126" s="1"/>
  <c r="F125" a="1"/>
  <c r="F125" s="1"/>
  <c r="F129" a="1"/>
  <c r="F129" s="1"/>
  <c r="F123" a="1"/>
  <c r="F123" s="1"/>
  <c r="F122" a="1"/>
  <c r="F122" s="1"/>
  <c r="G113"/>
  <c r="E123" a="1"/>
  <c r="E123" s="1"/>
  <c r="E122" a="1"/>
  <c r="E122" s="1"/>
  <c r="E91" a="1"/>
  <c r="E91" s="1"/>
  <c r="E88" a="1"/>
  <c r="E88" s="1"/>
  <c r="E87" a="1"/>
  <c r="E87" s="1"/>
  <c r="E86" a="1"/>
  <c r="E86" s="1"/>
  <c r="E98" s="1"/>
  <c r="E90" a="1"/>
  <c r="E90" s="1"/>
  <c r="E89" a="1"/>
  <c r="E89" s="1"/>
  <c r="E93" a="1"/>
  <c r="E93" s="1"/>
  <c r="F77"/>
  <c r="Q77" s="1"/>
  <c r="C48"/>
  <c r="E30"/>
  <c r="E25"/>
  <c r="I36"/>
  <c r="E127" a="1"/>
  <c r="E127" s="1"/>
  <c r="E129" a="1"/>
  <c r="E129" s="1"/>
  <c r="H78"/>
  <c r="S78" s="1"/>
  <c r="F25"/>
  <c r="F30"/>
  <c r="H30"/>
  <c r="H25"/>
  <c r="E126" a="1"/>
  <c r="E126" s="1"/>
  <c r="E124" a="1"/>
  <c r="E124" s="1"/>
  <c r="E125" a="1"/>
  <c r="E125" s="1"/>
  <c r="H25" i="57"/>
  <c r="H30"/>
  <c r="E25"/>
  <c r="E30"/>
  <c r="F206"/>
  <c r="C104"/>
  <c r="N84" s="1"/>
  <c r="C42"/>
  <c r="G77"/>
  <c r="R77" s="1"/>
  <c r="D128" a="1"/>
  <c r="D128" s="1"/>
  <c r="D130" s="1"/>
  <c r="E125" a="1"/>
  <c r="E125" s="1"/>
  <c r="E122" a="1"/>
  <c r="E122" s="1"/>
  <c r="E127" a="1"/>
  <c r="E127" s="1"/>
  <c r="E124" a="1"/>
  <c r="E124" s="1"/>
  <c r="E129" a="1"/>
  <c r="E129" s="1"/>
  <c r="E126" a="1"/>
  <c r="E126" s="1"/>
  <c r="E123" a="1"/>
  <c r="E123" s="1"/>
  <c r="F113"/>
  <c r="G25"/>
  <c r="G30"/>
  <c r="M164"/>
  <c r="G164"/>
  <c r="D164"/>
  <c r="A164"/>
  <c r="J165"/>
  <c r="K164"/>
  <c r="H164"/>
  <c r="E164"/>
  <c r="B164"/>
  <c r="L164"/>
  <c r="I164"/>
  <c r="F164"/>
  <c r="C164"/>
  <c r="D104" i="56"/>
  <c r="D42"/>
  <c r="O113" s="1"/>
  <c r="F206"/>
  <c r="C48"/>
  <c r="F88" a="1"/>
  <c r="F88" s="1"/>
  <c r="F87" a="1"/>
  <c r="F87" s="1"/>
  <c r="E125" a="1"/>
  <c r="E125" s="1"/>
  <c r="E122" a="1"/>
  <c r="E122" s="1"/>
  <c r="E127" a="1"/>
  <c r="E127" s="1"/>
  <c r="E124" a="1"/>
  <c r="E124" s="1"/>
  <c r="E129" a="1"/>
  <c r="E129" s="1"/>
  <c r="E126" a="1"/>
  <c r="E126" s="1"/>
  <c r="E123" a="1"/>
  <c r="E123" s="1"/>
  <c r="F113"/>
  <c r="H25"/>
  <c r="H30"/>
  <c r="E25"/>
  <c r="E30"/>
  <c r="F86" a="1"/>
  <c r="F86" s="1"/>
  <c r="F98" s="1"/>
  <c r="F91" a="1"/>
  <c r="F91" s="1"/>
  <c r="D128" a="1"/>
  <c r="D128" s="1"/>
  <c r="D130" s="1"/>
  <c r="G80"/>
  <c r="M164"/>
  <c r="G164"/>
  <c r="D164"/>
  <c r="A164"/>
  <c r="J165"/>
  <c r="K164"/>
  <c r="H164"/>
  <c r="E164"/>
  <c r="B164"/>
  <c r="L164"/>
  <c r="I164"/>
  <c r="F164"/>
  <c r="C164"/>
  <c r="G25"/>
  <c r="G30"/>
  <c r="H77"/>
  <c r="S77" s="1"/>
  <c r="E92" a="1"/>
  <c r="E92" s="1"/>
  <c r="E94" s="1"/>
  <c r="F89" a="1"/>
  <c r="F89" s="1"/>
  <c r="F90" a="1"/>
  <c r="F90" s="1"/>
  <c r="H25" i="55"/>
  <c r="H30"/>
  <c r="C104"/>
  <c r="N84" s="1"/>
  <c r="C42"/>
  <c r="M164"/>
  <c r="G164"/>
  <c r="D164"/>
  <c r="A164"/>
  <c r="J165"/>
  <c r="K164"/>
  <c r="H164"/>
  <c r="E164"/>
  <c r="B164"/>
  <c r="L164"/>
  <c r="I164"/>
  <c r="F164"/>
  <c r="C164"/>
  <c r="D128" a="1"/>
  <c r="D128" s="1"/>
  <c r="D130" s="1"/>
  <c r="E126" a="1"/>
  <c r="E126" s="1"/>
  <c r="E127" a="1"/>
  <c r="E127" s="1"/>
  <c r="G25"/>
  <c r="G30"/>
  <c r="I30"/>
  <c r="I25"/>
  <c r="F30"/>
  <c r="F25"/>
  <c r="E25"/>
  <c r="E30"/>
  <c r="F127" a="1"/>
  <c r="F127" s="1"/>
  <c r="F124" a="1"/>
  <c r="F124" s="1"/>
  <c r="F129" a="1"/>
  <c r="F129" s="1"/>
  <c r="F126" a="1"/>
  <c r="F126" s="1"/>
  <c r="F123" a="1"/>
  <c r="F123" s="1"/>
  <c r="F125" a="1"/>
  <c r="F125" s="1"/>
  <c r="F122" a="1"/>
  <c r="F122" s="1"/>
  <c r="G113"/>
  <c r="G77"/>
  <c r="R77" s="1"/>
  <c r="D92" a="1"/>
  <c r="D92" s="1"/>
  <c r="D94" s="1"/>
  <c r="E129" a="1"/>
  <c r="E129" s="1"/>
  <c r="E122" a="1"/>
  <c r="E122" s="1"/>
  <c r="C104" i="54"/>
  <c r="N84" s="1"/>
  <c r="C42"/>
  <c r="H25"/>
  <c r="H30"/>
  <c r="M164"/>
  <c r="G164"/>
  <c r="D164"/>
  <c r="A164"/>
  <c r="J165"/>
  <c r="K164"/>
  <c r="H164"/>
  <c r="E164"/>
  <c r="B164"/>
  <c r="L164"/>
  <c r="I164"/>
  <c r="F164"/>
  <c r="C164"/>
  <c r="F25"/>
  <c r="F30"/>
  <c r="H78"/>
  <c r="S78" s="1"/>
  <c r="F127" a="1"/>
  <c r="F127" s="1"/>
  <c r="F124" a="1"/>
  <c r="F124" s="1"/>
  <c r="F129" a="1"/>
  <c r="F129" s="1"/>
  <c r="F126" a="1"/>
  <c r="F126" s="1"/>
  <c r="F123" a="1"/>
  <c r="F123" s="1"/>
  <c r="F125" a="1"/>
  <c r="F125" s="1"/>
  <c r="F122" a="1"/>
  <c r="F122" s="1"/>
  <c r="G113"/>
  <c r="E128" a="1"/>
  <c r="E128" s="1"/>
  <c r="E130" s="1"/>
  <c r="G25"/>
  <c r="G30"/>
  <c r="G77"/>
  <c r="R77" s="1"/>
  <c r="E25"/>
  <c r="E30"/>
  <c r="I25"/>
  <c r="I30"/>
  <c r="F79" i="53"/>
  <c r="Q79" s="1"/>
  <c r="C48"/>
  <c r="D92" a="1"/>
  <c r="D92" s="1"/>
  <c r="D94" s="1"/>
  <c r="H25"/>
  <c r="H30"/>
  <c r="G77"/>
  <c r="R77" s="1"/>
  <c r="E88" a="1"/>
  <c r="E88" s="1"/>
  <c r="E90" a="1"/>
  <c r="E90" s="1"/>
  <c r="E25"/>
  <c r="E30"/>
  <c r="F80"/>
  <c r="Q80" s="1"/>
  <c r="F25"/>
  <c r="F30"/>
  <c r="G125" a="1"/>
  <c r="G125" s="1"/>
  <c r="G122" a="1"/>
  <c r="G122" s="1"/>
  <c r="G127" a="1"/>
  <c r="G127" s="1"/>
  <c r="G126" a="1"/>
  <c r="G126" s="1"/>
  <c r="G129" a="1"/>
  <c r="G129" s="1"/>
  <c r="G124" a="1"/>
  <c r="G124" s="1"/>
  <c r="G123" a="1"/>
  <c r="G123" s="1"/>
  <c r="H113"/>
  <c r="E91" a="1"/>
  <c r="E91" s="1"/>
  <c r="E87" a="1"/>
  <c r="E87" s="1"/>
  <c r="I25"/>
  <c r="I30"/>
  <c r="L163"/>
  <c r="I163"/>
  <c r="F163"/>
  <c r="C163"/>
  <c r="J164"/>
  <c r="E163"/>
  <c r="A163"/>
  <c r="K163"/>
  <c r="G163"/>
  <c r="B163"/>
  <c r="H163"/>
  <c r="M163"/>
  <c r="D163"/>
  <c r="F78"/>
  <c r="Q78" s="1"/>
  <c r="F82"/>
  <c r="Q82" s="1"/>
  <c r="G36"/>
  <c r="E86" a="1"/>
  <c r="E86" s="1"/>
  <c r="E98" s="1"/>
  <c r="E89" a="1"/>
  <c r="E89" s="1"/>
  <c r="E93" a="1"/>
  <c r="E93" s="1"/>
  <c r="H25" i="52"/>
  <c r="H30"/>
  <c r="E125" a="1"/>
  <c r="E125" s="1"/>
  <c r="E122" a="1"/>
  <c r="E122" s="1"/>
  <c r="E127" a="1"/>
  <c r="E127" s="1"/>
  <c r="E124" a="1"/>
  <c r="E124" s="1"/>
  <c r="E129" a="1"/>
  <c r="E129" s="1"/>
  <c r="E126" a="1"/>
  <c r="E126" s="1"/>
  <c r="E123" a="1"/>
  <c r="E123" s="1"/>
  <c r="F113"/>
  <c r="G77"/>
  <c r="R77" s="1"/>
  <c r="G79"/>
  <c r="R79" s="1"/>
  <c r="D128" a="1"/>
  <c r="D128" s="1"/>
  <c r="D130" s="1"/>
  <c r="E25"/>
  <c r="E30"/>
  <c r="C104"/>
  <c r="N84" s="1"/>
  <c r="C42"/>
  <c r="G82"/>
  <c r="R82" s="1"/>
  <c r="G25"/>
  <c r="G30"/>
  <c r="J164"/>
  <c r="K163"/>
  <c r="H163"/>
  <c r="E163"/>
  <c r="B163"/>
  <c r="L163"/>
  <c r="I163"/>
  <c r="F163"/>
  <c r="C163"/>
  <c r="M163"/>
  <c r="G163"/>
  <c r="D163"/>
  <c r="A163"/>
  <c r="G25" i="51"/>
  <c r="G30"/>
  <c r="H30"/>
  <c r="H25"/>
  <c r="J164"/>
  <c r="K163"/>
  <c r="H163"/>
  <c r="E163"/>
  <c r="B163"/>
  <c r="L163"/>
  <c r="G163"/>
  <c r="C163"/>
  <c r="M163"/>
  <c r="I163"/>
  <c r="D163"/>
  <c r="A163"/>
  <c r="F163"/>
  <c r="C48"/>
  <c r="D42"/>
  <c r="O113" s="1"/>
  <c r="G77"/>
  <c r="R77" s="1"/>
  <c r="F25"/>
  <c r="F30"/>
  <c r="F126" a="1"/>
  <c r="F126" s="1"/>
  <c r="F129" a="1"/>
  <c r="F129" s="1"/>
  <c r="G113"/>
  <c r="I30"/>
  <c r="I25"/>
  <c r="E30"/>
  <c r="E25"/>
  <c r="I25" i="50"/>
  <c r="I30"/>
  <c r="F79"/>
  <c r="Q79" s="1"/>
  <c r="G78"/>
  <c r="R78" s="1"/>
  <c r="M164"/>
  <c r="G164"/>
  <c r="D164"/>
  <c r="A164"/>
  <c r="J165"/>
  <c r="K164"/>
  <c r="H164"/>
  <c r="E164"/>
  <c r="B164"/>
  <c r="L164"/>
  <c r="I164"/>
  <c r="F164"/>
  <c r="C164"/>
  <c r="F127" a="1"/>
  <c r="F127" s="1"/>
  <c r="F124" a="1"/>
  <c r="F124" s="1"/>
  <c r="F129" a="1"/>
  <c r="F129" s="1"/>
  <c r="F126" a="1"/>
  <c r="F126" s="1"/>
  <c r="F123" a="1"/>
  <c r="F123" s="1"/>
  <c r="F125" a="1"/>
  <c r="F125" s="1"/>
  <c r="F122" a="1"/>
  <c r="F122" s="1"/>
  <c r="G113"/>
  <c r="E128" a="1"/>
  <c r="E128" s="1"/>
  <c r="E130" s="1"/>
  <c r="E89" a="1"/>
  <c r="E89" s="1"/>
  <c r="E90" a="1"/>
  <c r="E90" s="1"/>
  <c r="E91" a="1"/>
  <c r="E91" s="1"/>
  <c r="D92" a="1"/>
  <c r="D92" s="1"/>
  <c r="D94" s="1"/>
  <c r="E25"/>
  <c r="E30"/>
  <c r="H25"/>
  <c r="H30"/>
  <c r="G25"/>
  <c r="G30"/>
  <c r="G77"/>
  <c r="R77" s="1"/>
  <c r="E87" a="1"/>
  <c r="E87" s="1"/>
  <c r="E88" a="1"/>
  <c r="E88" s="1"/>
  <c r="F80"/>
  <c r="Q80" s="1"/>
  <c r="F82"/>
  <c r="Q82" s="1"/>
  <c r="F25"/>
  <c r="F30"/>
  <c r="C48"/>
  <c r="E86" a="1"/>
  <c r="E86" s="1"/>
  <c r="E98" s="1"/>
  <c r="E93" a="1"/>
  <c r="E93" s="1"/>
  <c r="D92" i="49" a="1"/>
  <c r="D92" s="1"/>
  <c r="D94" s="1"/>
  <c r="E30"/>
  <c r="E25"/>
  <c r="J164"/>
  <c r="K163"/>
  <c r="H163"/>
  <c r="E163"/>
  <c r="B163"/>
  <c r="M163"/>
  <c r="G163"/>
  <c r="D163"/>
  <c r="A163"/>
  <c r="L163"/>
  <c r="C163"/>
  <c r="F163"/>
  <c r="I163"/>
  <c r="G30"/>
  <c r="G25"/>
  <c r="H77"/>
  <c r="S77" s="1"/>
  <c r="D128" a="1"/>
  <c r="D128" s="1"/>
  <c r="D130" s="1"/>
  <c r="I36"/>
  <c r="H30"/>
  <c r="H25"/>
  <c r="G79"/>
  <c r="R79" s="1"/>
  <c r="F127" a="1"/>
  <c r="F127" s="1"/>
  <c r="F124" a="1"/>
  <c r="F124" s="1"/>
  <c r="F125" a="1"/>
  <c r="F125" s="1"/>
  <c r="F122" a="1"/>
  <c r="F122" s="1"/>
  <c r="F123" a="1"/>
  <c r="F123" s="1"/>
  <c r="F129" a="1"/>
  <c r="F129" s="1"/>
  <c r="F126" a="1"/>
  <c r="F126" s="1"/>
  <c r="G113"/>
  <c r="E128" a="1"/>
  <c r="E128" s="1"/>
  <c r="E130" s="1"/>
  <c r="H78"/>
  <c r="S78" s="1"/>
  <c r="F36"/>
  <c r="C48"/>
  <c r="I30" i="48"/>
  <c r="G30"/>
  <c r="H30"/>
  <c r="J164"/>
  <c r="K163"/>
  <c r="H163"/>
  <c r="E163"/>
  <c r="B163"/>
  <c r="L163"/>
  <c r="I163"/>
  <c r="F163"/>
  <c r="C163"/>
  <c r="G163"/>
  <c r="A163"/>
  <c r="M163"/>
  <c r="D163"/>
  <c r="C104"/>
  <c r="N84" s="1"/>
  <c r="C42"/>
  <c r="F30"/>
  <c r="E30"/>
  <c r="F82" i="47"/>
  <c r="Q82" s="1"/>
  <c r="I25"/>
  <c r="I30"/>
  <c r="H25"/>
  <c r="H30"/>
  <c r="E88" a="1"/>
  <c r="E88" s="1"/>
  <c r="E87" a="1"/>
  <c r="E87" s="1"/>
  <c r="E91" a="1"/>
  <c r="E91" s="1"/>
  <c r="F25"/>
  <c r="F30"/>
  <c r="F127" a="1"/>
  <c r="F127" s="1"/>
  <c r="F124" a="1"/>
  <c r="F124" s="1"/>
  <c r="F129" a="1"/>
  <c r="F129" s="1"/>
  <c r="F126" a="1"/>
  <c r="F126" s="1"/>
  <c r="F123" a="1"/>
  <c r="F123" s="1"/>
  <c r="F125" a="1"/>
  <c r="F125" s="1"/>
  <c r="F122" a="1"/>
  <c r="F122" s="1"/>
  <c r="G113"/>
  <c r="E25"/>
  <c r="E30"/>
  <c r="D92" a="1"/>
  <c r="D92" s="1"/>
  <c r="D94" s="1"/>
  <c r="G77"/>
  <c r="R77" s="1"/>
  <c r="E128" a="1"/>
  <c r="E128" s="1"/>
  <c r="E130" s="1"/>
  <c r="E86" a="1"/>
  <c r="E86" s="1"/>
  <c r="E98" s="1"/>
  <c r="G25"/>
  <c r="G30"/>
  <c r="F79"/>
  <c r="Q79" s="1"/>
  <c r="C104"/>
  <c r="N84" s="1"/>
  <c r="C42"/>
  <c r="M164"/>
  <c r="G164"/>
  <c r="D164"/>
  <c r="A164"/>
  <c r="J165"/>
  <c r="K164"/>
  <c r="H164"/>
  <c r="E164"/>
  <c r="B164"/>
  <c r="L164"/>
  <c r="I164"/>
  <c r="F164"/>
  <c r="C164"/>
  <c r="E89" a="1"/>
  <c r="E89" s="1"/>
  <c r="E90" a="1"/>
  <c r="E90" s="1"/>
  <c r="F80" i="46"/>
  <c r="G79"/>
  <c r="R79" s="1"/>
  <c r="E25"/>
  <c r="E30"/>
  <c r="J164"/>
  <c r="K163"/>
  <c r="H163"/>
  <c r="E163"/>
  <c r="B163"/>
  <c r="M163"/>
  <c r="G163"/>
  <c r="D163"/>
  <c r="A163"/>
  <c r="L163"/>
  <c r="C163"/>
  <c r="F163"/>
  <c r="I163"/>
  <c r="E86" a="1"/>
  <c r="E86" s="1"/>
  <c r="E98" s="1"/>
  <c r="E89" a="1"/>
  <c r="E89" s="1"/>
  <c r="E91" a="1"/>
  <c r="E91" s="1"/>
  <c r="E103" s="1"/>
  <c r="D92" a="1"/>
  <c r="D92" s="1"/>
  <c r="D94" s="1"/>
  <c r="G77"/>
  <c r="R77" s="1"/>
  <c r="F36"/>
  <c r="C140"/>
  <c r="C53"/>
  <c r="C141"/>
  <c r="C207"/>
  <c r="H25"/>
  <c r="H30"/>
  <c r="E87" a="1"/>
  <c r="E87" s="1"/>
  <c r="E88" a="1"/>
  <c r="E88" s="1"/>
  <c r="D128" a="1"/>
  <c r="D128" s="1"/>
  <c r="D130" s="1"/>
  <c r="E125" a="1"/>
  <c r="E125" s="1"/>
  <c r="E122" a="1"/>
  <c r="E122" s="1"/>
  <c r="E129" a="1"/>
  <c r="E129" s="1"/>
  <c r="E126" a="1"/>
  <c r="E126" s="1"/>
  <c r="E123" a="1"/>
  <c r="E123" s="1"/>
  <c r="E127" a="1"/>
  <c r="E127" s="1"/>
  <c r="E124" a="1"/>
  <c r="E124" s="1"/>
  <c r="F113"/>
  <c r="G30"/>
  <c r="G25"/>
  <c r="G78"/>
  <c r="R78" s="1"/>
  <c r="I36"/>
  <c r="F82" i="45"/>
  <c r="Q82" s="1"/>
  <c r="C104"/>
  <c r="N84" s="1"/>
  <c r="C42"/>
  <c r="F127" a="1"/>
  <c r="F127" s="1"/>
  <c r="F124" a="1"/>
  <c r="F124" s="1"/>
  <c r="F129" a="1"/>
  <c r="F129" s="1"/>
  <c r="F126" a="1"/>
  <c r="F126" s="1"/>
  <c r="F123" a="1"/>
  <c r="F123" s="1"/>
  <c r="F125" a="1"/>
  <c r="F125" s="1"/>
  <c r="F122" a="1"/>
  <c r="F122" s="1"/>
  <c r="G113"/>
  <c r="E25"/>
  <c r="E30"/>
  <c r="D128" a="1"/>
  <c r="D128" s="1"/>
  <c r="D130" s="1"/>
  <c r="E128" a="1"/>
  <c r="E128" s="1"/>
  <c r="E130" s="1"/>
  <c r="E89" a="1"/>
  <c r="E89" s="1"/>
  <c r="E90" a="1"/>
  <c r="E90" s="1"/>
  <c r="E91" a="1"/>
  <c r="E91" s="1"/>
  <c r="H25"/>
  <c r="H30"/>
  <c r="I25"/>
  <c r="I30"/>
  <c r="G25"/>
  <c r="G30"/>
  <c r="D92" a="1"/>
  <c r="D92" s="1"/>
  <c r="D94" s="1"/>
  <c r="G77"/>
  <c r="R77" s="1"/>
  <c r="E87" a="1"/>
  <c r="E87" s="1"/>
  <c r="F80"/>
  <c r="Q80" s="1"/>
  <c r="M164"/>
  <c r="G164"/>
  <c r="D164"/>
  <c r="A164"/>
  <c r="J165"/>
  <c r="K164"/>
  <c r="H164"/>
  <c r="E164"/>
  <c r="B164"/>
  <c r="L164"/>
  <c r="I164"/>
  <c r="F164"/>
  <c r="C164"/>
  <c r="F25"/>
  <c r="F30"/>
  <c r="E86" a="1"/>
  <c r="E86" s="1"/>
  <c r="E98" s="1"/>
  <c r="E93" a="1"/>
  <c r="E93" s="1"/>
  <c r="E125" i="44" a="1"/>
  <c r="E125" s="1"/>
  <c r="E122" a="1"/>
  <c r="E122" s="1"/>
  <c r="E127" a="1"/>
  <c r="E127" s="1"/>
  <c r="E124" a="1"/>
  <c r="E124" s="1"/>
  <c r="E129" a="1"/>
  <c r="E129" s="1"/>
  <c r="E126" a="1"/>
  <c r="E126" s="1"/>
  <c r="E123" a="1"/>
  <c r="E123" s="1"/>
  <c r="F113"/>
  <c r="E25"/>
  <c r="E30"/>
  <c r="G30"/>
  <c r="G25"/>
  <c r="D92" a="1"/>
  <c r="D92" s="1"/>
  <c r="D94" s="1"/>
  <c r="F82"/>
  <c r="I25"/>
  <c r="I30"/>
  <c r="M164"/>
  <c r="G164"/>
  <c r="D164"/>
  <c r="A164"/>
  <c r="J165"/>
  <c r="K164"/>
  <c r="H164"/>
  <c r="E164"/>
  <c r="B164"/>
  <c r="L164"/>
  <c r="I164"/>
  <c r="F164"/>
  <c r="C164"/>
  <c r="D128" a="1"/>
  <c r="D128" s="1"/>
  <c r="D130" s="1"/>
  <c r="E88" a="1"/>
  <c r="E88" s="1"/>
  <c r="E87" a="1"/>
  <c r="E87" s="1"/>
  <c r="E91" a="1"/>
  <c r="E91" s="1"/>
  <c r="H25"/>
  <c r="H30"/>
  <c r="C48"/>
  <c r="G77"/>
  <c r="R77" s="1"/>
  <c r="E89" a="1"/>
  <c r="E89" s="1"/>
  <c r="E93" a="1"/>
  <c r="E93" s="1"/>
  <c r="H81"/>
  <c r="S81" s="1"/>
  <c r="F25"/>
  <c r="F30"/>
  <c r="E86" a="1"/>
  <c r="E86" s="1"/>
  <c r="E98" s="1"/>
  <c r="E90" a="1"/>
  <c r="E90" s="1"/>
  <c r="E125" i="43" a="1"/>
  <c r="E125" s="1"/>
  <c r="E122" a="1"/>
  <c r="E122" s="1"/>
  <c r="E127" a="1"/>
  <c r="E127" s="1"/>
  <c r="E124" a="1"/>
  <c r="E124" s="1"/>
  <c r="E129" a="1"/>
  <c r="E129" s="1"/>
  <c r="E126" a="1"/>
  <c r="E126" s="1"/>
  <c r="E123" a="1"/>
  <c r="E123" s="1"/>
  <c r="F113"/>
  <c r="I25"/>
  <c r="I30"/>
  <c r="E91" a="1"/>
  <c r="E91" s="1"/>
  <c r="E88" a="1"/>
  <c r="E88" s="1"/>
  <c r="E93" a="1"/>
  <c r="E93" s="1"/>
  <c r="E90" a="1"/>
  <c r="E90" s="1"/>
  <c r="E87" a="1"/>
  <c r="E87" s="1"/>
  <c r="E89" a="1"/>
  <c r="E89" s="1"/>
  <c r="E86" a="1"/>
  <c r="E86" s="1"/>
  <c r="E98" s="1"/>
  <c r="F77"/>
  <c r="Q77" s="1"/>
  <c r="F30"/>
  <c r="F25"/>
  <c r="H30"/>
  <c r="H25"/>
  <c r="J164"/>
  <c r="K163"/>
  <c r="H163"/>
  <c r="E163"/>
  <c r="B163"/>
  <c r="L163"/>
  <c r="I163"/>
  <c r="F163"/>
  <c r="C163"/>
  <c r="G163"/>
  <c r="A163"/>
  <c r="M163"/>
  <c r="D163"/>
  <c r="D92" a="1"/>
  <c r="D92" s="1"/>
  <c r="D94" s="1"/>
  <c r="E30"/>
  <c r="E25"/>
  <c r="G81"/>
  <c r="R81" s="1"/>
  <c r="G79"/>
  <c r="R79" s="1"/>
  <c r="C104"/>
  <c r="N84" s="1"/>
  <c r="C42"/>
  <c r="G36"/>
  <c r="D128" a="1"/>
  <c r="D128" s="1"/>
  <c r="D130" s="1"/>
  <c r="H25" i="42"/>
  <c r="H30"/>
  <c r="I25"/>
  <c r="I30"/>
  <c r="M164"/>
  <c r="G164"/>
  <c r="D164"/>
  <c r="A164"/>
  <c r="J165"/>
  <c r="K164"/>
  <c r="H164"/>
  <c r="E164"/>
  <c r="B164"/>
  <c r="L164"/>
  <c r="I164"/>
  <c r="F164"/>
  <c r="C164"/>
  <c r="G25"/>
  <c r="G30"/>
  <c r="D92" a="1"/>
  <c r="D92" s="1"/>
  <c r="D94" s="1"/>
  <c r="F81"/>
  <c r="Q81" s="1"/>
  <c r="D128" a="1"/>
  <c r="D128" s="1"/>
  <c r="D130" s="1"/>
  <c r="F79"/>
  <c r="Q79" s="1"/>
  <c r="E91" a="1"/>
  <c r="E91" s="1"/>
  <c r="E88" a="1"/>
  <c r="E88" s="1"/>
  <c r="E93" a="1"/>
  <c r="E93" s="1"/>
  <c r="E90" a="1"/>
  <c r="E90" s="1"/>
  <c r="E87" a="1"/>
  <c r="E87" s="1"/>
  <c r="E86" a="1"/>
  <c r="E86" s="1"/>
  <c r="E98" s="1"/>
  <c r="E89" a="1"/>
  <c r="E89" s="1"/>
  <c r="F77"/>
  <c r="Q77" s="1"/>
  <c r="E25"/>
  <c r="E30"/>
  <c r="E125" a="1"/>
  <c r="E125" s="1"/>
  <c r="E122" a="1"/>
  <c r="E122" s="1"/>
  <c r="E127" a="1"/>
  <c r="E127" s="1"/>
  <c r="E124" a="1"/>
  <c r="E124" s="1"/>
  <c r="E129" a="1"/>
  <c r="E129" s="1"/>
  <c r="E126" a="1"/>
  <c r="E126" s="1"/>
  <c r="E123" a="1"/>
  <c r="E123" s="1"/>
  <c r="F113"/>
  <c r="C48"/>
  <c r="F25"/>
  <c r="F30"/>
  <c r="E125" i="41" a="1"/>
  <c r="E125" s="1"/>
  <c r="E122" a="1"/>
  <c r="E122" s="1"/>
  <c r="E127" a="1"/>
  <c r="E127" s="1"/>
  <c r="E124" a="1"/>
  <c r="E124" s="1"/>
  <c r="E129" a="1"/>
  <c r="E129" s="1"/>
  <c r="E126" a="1"/>
  <c r="E126" s="1"/>
  <c r="E123" a="1"/>
  <c r="E123" s="1"/>
  <c r="F113"/>
  <c r="G25"/>
  <c r="G30"/>
  <c r="E25"/>
  <c r="E30"/>
  <c r="D128" a="1"/>
  <c r="D128" s="1"/>
  <c r="D130" s="1"/>
  <c r="M164"/>
  <c r="G164"/>
  <c r="D164"/>
  <c r="A164"/>
  <c r="J165"/>
  <c r="K164"/>
  <c r="H164"/>
  <c r="E164"/>
  <c r="B164"/>
  <c r="L164"/>
  <c r="I164"/>
  <c r="F164"/>
  <c r="C164"/>
  <c r="G77"/>
  <c r="R77" s="1"/>
  <c r="H25"/>
  <c r="H30"/>
  <c r="C104"/>
  <c r="N84" s="1"/>
  <c r="C42"/>
  <c r="J164" i="40"/>
  <c r="K163"/>
  <c r="H163"/>
  <c r="E163"/>
  <c r="B163"/>
  <c r="L163"/>
  <c r="I163"/>
  <c r="F163"/>
  <c r="C163"/>
  <c r="G163"/>
  <c r="A163"/>
  <c r="M163"/>
  <c r="D163"/>
  <c r="D92" a="1"/>
  <c r="D92" s="1"/>
  <c r="D94" s="1"/>
  <c r="F25"/>
  <c r="F30"/>
  <c r="F82"/>
  <c r="Q82" s="1"/>
  <c r="H25"/>
  <c r="H30"/>
  <c r="E87" a="1"/>
  <c r="E87" s="1"/>
  <c r="C53"/>
  <c r="C140"/>
  <c r="F79"/>
  <c r="Q79" s="1"/>
  <c r="G78"/>
  <c r="R78" s="1"/>
  <c r="E25"/>
  <c r="E30"/>
  <c r="F125" a="1"/>
  <c r="F125" s="1"/>
  <c r="F122" a="1"/>
  <c r="F122" s="1"/>
  <c r="F127" a="1"/>
  <c r="F127" s="1"/>
  <c r="F124" a="1"/>
  <c r="F124" s="1"/>
  <c r="F123" a="1"/>
  <c r="F123" s="1"/>
  <c r="F129" a="1"/>
  <c r="F129" s="1"/>
  <c r="F126" a="1"/>
  <c r="F126" s="1"/>
  <c r="G113"/>
  <c r="E128" a="1"/>
  <c r="E128" s="1"/>
  <c r="E130" s="1"/>
  <c r="I25"/>
  <c r="I30"/>
  <c r="C207"/>
  <c r="C141"/>
  <c r="G30"/>
  <c r="G25"/>
  <c r="H77"/>
  <c r="S77" s="1"/>
  <c r="D128" a="1"/>
  <c r="D128" s="1"/>
  <c r="D130" s="1"/>
  <c r="E93" a="1"/>
  <c r="E93" s="1"/>
  <c r="E89" a="1"/>
  <c r="E89" s="1"/>
  <c r="M164" i="39"/>
  <c r="G164"/>
  <c r="D164"/>
  <c r="A164"/>
  <c r="J165"/>
  <c r="K164"/>
  <c r="H164"/>
  <c r="E164"/>
  <c r="B164"/>
  <c r="L164"/>
  <c r="I164"/>
  <c r="F164"/>
  <c r="C164"/>
  <c r="F127" a="1"/>
  <c r="F127" s="1"/>
  <c r="F124" a="1"/>
  <c r="F124" s="1"/>
  <c r="F129" a="1"/>
  <c r="F129" s="1"/>
  <c r="F126" a="1"/>
  <c r="F126" s="1"/>
  <c r="F123" a="1"/>
  <c r="F123" s="1"/>
  <c r="F125" a="1"/>
  <c r="F125" s="1"/>
  <c r="F122" a="1"/>
  <c r="F122" s="1"/>
  <c r="G113"/>
  <c r="C104"/>
  <c r="N84" s="1"/>
  <c r="C42"/>
  <c r="G77"/>
  <c r="R77" s="1"/>
  <c r="E87" a="1"/>
  <c r="E87" s="1"/>
  <c r="E88" a="1"/>
  <c r="E88" s="1"/>
  <c r="D42"/>
  <c r="O113" s="1"/>
  <c r="H25"/>
  <c r="H30"/>
  <c r="G79"/>
  <c r="R79" s="1"/>
  <c r="E89" a="1"/>
  <c r="E89" s="1"/>
  <c r="E25"/>
  <c r="E30"/>
  <c r="F81"/>
  <c r="G25"/>
  <c r="G30"/>
  <c r="E86" a="1"/>
  <c r="E86" s="1"/>
  <c r="E98" s="1"/>
  <c r="E90" a="1"/>
  <c r="E90" s="1"/>
  <c r="E91" a="1"/>
  <c r="E91" s="1"/>
  <c r="E25" i="38"/>
  <c r="E30"/>
  <c r="H25"/>
  <c r="H30"/>
  <c r="G25"/>
  <c r="G30"/>
  <c r="E89" a="1"/>
  <c r="E89" s="1"/>
  <c r="E93" a="1"/>
  <c r="E93" s="1"/>
  <c r="D92" a="1"/>
  <c r="D92" s="1"/>
  <c r="D94" s="1"/>
  <c r="M164"/>
  <c r="G164"/>
  <c r="D164"/>
  <c r="A164"/>
  <c r="J165"/>
  <c r="K164"/>
  <c r="H164"/>
  <c r="E164"/>
  <c r="B164"/>
  <c r="L164"/>
  <c r="I164"/>
  <c r="F164"/>
  <c r="C164"/>
  <c r="F25"/>
  <c r="F30"/>
  <c r="E125" a="1"/>
  <c r="E125" s="1"/>
  <c r="E127" a="1"/>
  <c r="E127" s="1"/>
  <c r="E124" a="1"/>
  <c r="E124" s="1"/>
  <c r="E129" a="1"/>
  <c r="E129" s="1"/>
  <c r="E126" a="1"/>
  <c r="E126" s="1"/>
  <c r="E123" a="1"/>
  <c r="E123" s="1"/>
  <c r="F113"/>
  <c r="F79"/>
  <c r="Q79" s="1"/>
  <c r="G77"/>
  <c r="R77" s="1"/>
  <c r="F80"/>
  <c r="Q80" s="1"/>
  <c r="I25"/>
  <c r="I30"/>
  <c r="C104"/>
  <c r="N84" s="1"/>
  <c r="C42"/>
  <c r="E87" a="1"/>
  <c r="E87" s="1"/>
  <c r="E88" a="1"/>
  <c r="E88" s="1"/>
  <c r="D128" a="1"/>
  <c r="D128" s="1"/>
  <c r="D130" s="1"/>
  <c r="G25" i="32"/>
  <c r="G30"/>
  <c r="E25"/>
  <c r="E30"/>
  <c r="I25"/>
  <c r="I30"/>
  <c r="D128" a="1"/>
  <c r="D128" s="1"/>
  <c r="D130" s="1"/>
  <c r="M164"/>
  <c r="G164"/>
  <c r="D164"/>
  <c r="A164"/>
  <c r="J165"/>
  <c r="K164"/>
  <c r="H164"/>
  <c r="E164"/>
  <c r="B164"/>
  <c r="L164"/>
  <c r="I164"/>
  <c r="F164"/>
  <c r="C164"/>
  <c r="E125" a="1"/>
  <c r="E125" s="1"/>
  <c r="E122" a="1"/>
  <c r="E122" s="1"/>
  <c r="E127" a="1"/>
  <c r="E127" s="1"/>
  <c r="E124" a="1"/>
  <c r="E124" s="1"/>
  <c r="E129" a="1"/>
  <c r="E129" s="1"/>
  <c r="E126" a="1"/>
  <c r="E126" s="1"/>
  <c r="E123" a="1"/>
  <c r="E123" s="1"/>
  <c r="F113"/>
  <c r="H25"/>
  <c r="H30"/>
  <c r="E91" a="1"/>
  <c r="E91" s="1"/>
  <c r="E103" s="1"/>
  <c r="E88" a="1"/>
  <c r="E88" s="1"/>
  <c r="E100" s="1"/>
  <c r="E93" a="1"/>
  <c r="E93" s="1"/>
  <c r="E90" a="1"/>
  <c r="E90" s="1"/>
  <c r="E102" s="1"/>
  <c r="E87" a="1"/>
  <c r="E87" s="1"/>
  <c r="E99" s="1"/>
  <c r="E86" a="1"/>
  <c r="E86" s="1"/>
  <c r="E98" s="1"/>
  <c r="E89" a="1"/>
  <c r="E89" s="1"/>
  <c r="E101" s="1"/>
  <c r="F77"/>
  <c r="Q77" s="1"/>
  <c r="F25"/>
  <c r="F30"/>
  <c r="D92" a="1"/>
  <c r="D92" s="1"/>
  <c r="D94" s="1"/>
  <c r="F78"/>
  <c r="Q78" s="1"/>
  <c r="C104"/>
  <c r="N84" s="1"/>
  <c r="C42"/>
  <c r="I25" i="129"/>
  <c r="I30"/>
  <c r="G25"/>
  <c r="G30"/>
  <c r="E125" a="1"/>
  <c r="E125" s="1"/>
  <c r="E122" a="1"/>
  <c r="E122" s="1"/>
  <c r="E127" a="1"/>
  <c r="E127" s="1"/>
  <c r="E124" a="1"/>
  <c r="E124" s="1"/>
  <c r="E129" a="1"/>
  <c r="E129" s="1"/>
  <c r="E126" a="1"/>
  <c r="E126" s="1"/>
  <c r="E123" a="1"/>
  <c r="E123" s="1"/>
  <c r="F113"/>
  <c r="H25"/>
  <c r="H30"/>
  <c r="F25"/>
  <c r="F30"/>
  <c r="M164"/>
  <c r="G164"/>
  <c r="D164"/>
  <c r="A164"/>
  <c r="J165"/>
  <c r="K164"/>
  <c r="H164"/>
  <c r="E164"/>
  <c r="B164"/>
  <c r="L164"/>
  <c r="I164"/>
  <c r="F164"/>
  <c r="C164"/>
  <c r="D42"/>
  <c r="O113" s="1"/>
  <c r="E25"/>
  <c r="E30"/>
  <c r="C48"/>
  <c r="D128" a="1"/>
  <c r="D128" s="1"/>
  <c r="D130" s="1"/>
  <c r="C104" i="128"/>
  <c r="N84" s="1"/>
  <c r="C42"/>
  <c r="C134" s="1"/>
  <c r="D42"/>
  <c r="D134" s="1"/>
  <c r="E93" a="1"/>
  <c r="E93" s="1"/>
  <c r="E86" a="1"/>
  <c r="E86" s="1"/>
  <c r="E98" s="1"/>
  <c r="F82"/>
  <c r="Q82" s="1"/>
  <c r="E90" a="1"/>
  <c r="E90" s="1"/>
  <c r="E88" a="1"/>
  <c r="E88" s="1"/>
  <c r="J164"/>
  <c r="K163"/>
  <c r="H163"/>
  <c r="E163"/>
  <c r="B163"/>
  <c r="L163"/>
  <c r="I163"/>
  <c r="F163"/>
  <c r="C163"/>
  <c r="M163"/>
  <c r="G163"/>
  <c r="D163"/>
  <c r="A163"/>
  <c r="E87" a="1"/>
  <c r="E87" s="1"/>
  <c r="E89" a="1"/>
  <c r="E89" s="1"/>
  <c r="D92" a="1"/>
  <c r="D92" s="1"/>
  <c r="D94" s="1"/>
  <c r="E125" i="127" a="1"/>
  <c r="E125" s="1"/>
  <c r="E122" a="1"/>
  <c r="E122" s="1"/>
  <c r="E127" a="1"/>
  <c r="E127" s="1"/>
  <c r="E124" a="1"/>
  <c r="E124" s="1"/>
  <c r="E129" a="1"/>
  <c r="E129" s="1"/>
  <c r="E126" a="1"/>
  <c r="E126" s="1"/>
  <c r="E123" a="1"/>
  <c r="E123" s="1"/>
  <c r="F113"/>
  <c r="M164"/>
  <c r="G164"/>
  <c r="D164"/>
  <c r="A164"/>
  <c r="J165"/>
  <c r="K164"/>
  <c r="H164"/>
  <c r="E164"/>
  <c r="B164"/>
  <c r="L164"/>
  <c r="I164"/>
  <c r="F164"/>
  <c r="C164"/>
  <c r="G77"/>
  <c r="R77" s="1"/>
  <c r="E25"/>
  <c r="E30"/>
  <c r="E87" a="1"/>
  <c r="E87" s="1"/>
  <c r="E88" a="1"/>
  <c r="E88" s="1"/>
  <c r="C104"/>
  <c r="N84" s="1"/>
  <c r="C42"/>
  <c r="F79"/>
  <c r="Q79" s="1"/>
  <c r="H25"/>
  <c r="H30"/>
  <c r="D128" a="1"/>
  <c r="D128" s="1"/>
  <c r="D130" s="1"/>
  <c r="E86" a="1"/>
  <c r="E86" s="1"/>
  <c r="E98" s="1"/>
  <c r="D92" a="1"/>
  <c r="D92" s="1"/>
  <c r="D94" s="1"/>
  <c r="F81"/>
  <c r="Q81" s="1"/>
  <c r="I25"/>
  <c r="I30"/>
  <c r="G25"/>
  <c r="G30"/>
  <c r="F78"/>
  <c r="Q78" s="1"/>
  <c r="F25"/>
  <c r="F30"/>
  <c r="E89" a="1"/>
  <c r="E89" s="1"/>
  <c r="E90" a="1"/>
  <c r="E90" s="1"/>
  <c r="E91" a="1"/>
  <c r="E91" s="1"/>
  <c r="C104" i="109"/>
  <c r="C42"/>
  <c r="M163"/>
  <c r="G163"/>
  <c r="D163"/>
  <c r="A163"/>
  <c r="J164"/>
  <c r="K163"/>
  <c r="H163"/>
  <c r="E163"/>
  <c r="B163"/>
  <c r="L163"/>
  <c r="I163"/>
  <c r="F163"/>
  <c r="C163"/>
  <c r="F81"/>
  <c r="Q81" s="1"/>
  <c r="F80"/>
  <c r="Q80" s="1"/>
  <c r="D128" a="1"/>
  <c r="D128" s="1"/>
  <c r="D130" s="1"/>
  <c r="E90" a="1"/>
  <c r="E90" s="1"/>
  <c r="E91" a="1"/>
  <c r="E91" s="1"/>
  <c r="D92" a="1"/>
  <c r="D92" s="1"/>
  <c r="D94" s="1"/>
  <c r="F78"/>
  <c r="Q78" s="1"/>
  <c r="E129" a="1"/>
  <c r="E129" s="1"/>
  <c r="E126" a="1"/>
  <c r="E126" s="1"/>
  <c r="E123" a="1"/>
  <c r="E123" s="1"/>
  <c r="E125" a="1"/>
  <c r="E125" s="1"/>
  <c r="E122" a="1"/>
  <c r="E122" s="1"/>
  <c r="E127" a="1"/>
  <c r="E127" s="1"/>
  <c r="E124" a="1"/>
  <c r="E124" s="1"/>
  <c r="F113"/>
  <c r="G79"/>
  <c r="R79" s="1"/>
  <c r="E87" a="1"/>
  <c r="E87" s="1"/>
  <c r="E88" a="1"/>
  <c r="E88" s="1"/>
  <c r="E89" a="1"/>
  <c r="E89" s="1"/>
  <c r="G25" i="108"/>
  <c r="G30"/>
  <c r="I25"/>
  <c r="I30"/>
  <c r="E25"/>
  <c r="E30"/>
  <c r="C104"/>
  <c r="N84" s="1"/>
  <c r="C42"/>
  <c r="H25"/>
  <c r="H30"/>
  <c r="E89" a="1"/>
  <c r="E89" s="1"/>
  <c r="F25"/>
  <c r="F30"/>
  <c r="F127" a="1"/>
  <c r="F127" s="1"/>
  <c r="F124" a="1"/>
  <c r="F124" s="1"/>
  <c r="F129" a="1"/>
  <c r="F129" s="1"/>
  <c r="F126" a="1"/>
  <c r="F126" s="1"/>
  <c r="F123" a="1"/>
  <c r="F123" s="1"/>
  <c r="F125" a="1"/>
  <c r="F125" s="1"/>
  <c r="F122" a="1"/>
  <c r="F122" s="1"/>
  <c r="G113"/>
  <c r="F82"/>
  <c r="M164"/>
  <c r="G164"/>
  <c r="D164"/>
  <c r="A164"/>
  <c r="J165"/>
  <c r="K164"/>
  <c r="H164"/>
  <c r="E164"/>
  <c r="B164"/>
  <c r="L164"/>
  <c r="I164"/>
  <c r="F164"/>
  <c r="C164"/>
  <c r="E86" a="1"/>
  <c r="E86" s="1"/>
  <c r="E98" s="1"/>
  <c r="E90" a="1"/>
  <c r="E90" s="1"/>
  <c r="E91" a="1"/>
  <c r="E91" s="1"/>
  <c r="F78" i="102"/>
  <c r="Q78" s="1"/>
  <c r="E91" a="1"/>
  <c r="E91" s="1"/>
  <c r="E88" a="1"/>
  <c r="E88" s="1"/>
  <c r="E93" a="1"/>
  <c r="E93" s="1"/>
  <c r="E90" a="1"/>
  <c r="E90" s="1"/>
  <c r="E87" a="1"/>
  <c r="E87" s="1"/>
  <c r="E89" a="1"/>
  <c r="E89" s="1"/>
  <c r="E86" a="1"/>
  <c r="E86" s="1"/>
  <c r="E98" s="1"/>
  <c r="F77"/>
  <c r="Q77" s="1"/>
  <c r="H25"/>
  <c r="H30"/>
  <c r="E25"/>
  <c r="E30"/>
  <c r="F79"/>
  <c r="Q79" s="1"/>
  <c r="F81"/>
  <c r="Q81" s="1"/>
  <c r="F82"/>
  <c r="Q82" s="1"/>
  <c r="G25"/>
  <c r="G30"/>
  <c r="D92" a="1"/>
  <c r="D92" s="1"/>
  <c r="D94" s="1"/>
  <c r="E125" a="1"/>
  <c r="E125" s="1"/>
  <c r="E122" a="1"/>
  <c r="E122" s="1"/>
  <c r="E127" a="1"/>
  <c r="E127" s="1"/>
  <c r="E124" a="1"/>
  <c r="E124" s="1"/>
  <c r="E129" a="1"/>
  <c r="E129" s="1"/>
  <c r="E126" a="1"/>
  <c r="E126" s="1"/>
  <c r="E123" a="1"/>
  <c r="E123" s="1"/>
  <c r="F113"/>
  <c r="C104"/>
  <c r="N84" s="1"/>
  <c r="C42"/>
  <c r="M164"/>
  <c r="G164"/>
  <c r="D164"/>
  <c r="A164"/>
  <c r="J165"/>
  <c r="K164"/>
  <c r="H164"/>
  <c r="E164"/>
  <c r="B164"/>
  <c r="L164"/>
  <c r="I164"/>
  <c r="F164"/>
  <c r="C164"/>
  <c r="D128" a="1"/>
  <c r="D128" s="1"/>
  <c r="D130" s="1"/>
  <c r="G25" i="101"/>
  <c r="G30"/>
  <c r="C48"/>
  <c r="M164"/>
  <c r="G164"/>
  <c r="D164"/>
  <c r="A164"/>
  <c r="J165"/>
  <c r="K164"/>
  <c r="H164"/>
  <c r="E164"/>
  <c r="B164"/>
  <c r="L164"/>
  <c r="I164"/>
  <c r="F164"/>
  <c r="C164"/>
  <c r="F81"/>
  <c r="Q81" s="1"/>
  <c r="G77"/>
  <c r="R77" s="1"/>
  <c r="D92" a="1"/>
  <c r="D92" s="1"/>
  <c r="D94" s="1"/>
  <c r="H25"/>
  <c r="H30"/>
  <c r="F82"/>
  <c r="Q82" s="1"/>
  <c r="F127" a="1"/>
  <c r="F127" s="1"/>
  <c r="F124" a="1"/>
  <c r="F124" s="1"/>
  <c r="F129" a="1"/>
  <c r="F129" s="1"/>
  <c r="F126" a="1"/>
  <c r="F126" s="1"/>
  <c r="F123" a="1"/>
  <c r="F123" s="1"/>
  <c r="F125" a="1"/>
  <c r="F125" s="1"/>
  <c r="F122" a="1"/>
  <c r="F122" s="1"/>
  <c r="G113"/>
  <c r="E25"/>
  <c r="E30"/>
  <c r="F79"/>
  <c r="Q79" s="1"/>
  <c r="E86" a="1"/>
  <c r="E86" s="1"/>
  <c r="E98" s="1"/>
  <c r="E90" a="1"/>
  <c r="E90" s="1"/>
  <c r="E91" a="1"/>
  <c r="E91" s="1"/>
  <c r="N84" i="96"/>
  <c r="E87" i="101" a="1"/>
  <c r="E87" s="1"/>
  <c r="E88" a="1"/>
  <c r="E88" s="1"/>
  <c r="F78" i="100"/>
  <c r="Q78" s="1"/>
  <c r="E30"/>
  <c r="E25"/>
  <c r="F81"/>
  <c r="Q81" s="1"/>
  <c r="F79"/>
  <c r="Q79" s="1"/>
  <c r="G36"/>
  <c r="E89" a="1"/>
  <c r="E89" s="1"/>
  <c r="E93" a="1"/>
  <c r="E93" s="1"/>
  <c r="C104"/>
  <c r="N84" s="1"/>
  <c r="C42"/>
  <c r="F25"/>
  <c r="F30"/>
  <c r="H30"/>
  <c r="H25"/>
  <c r="E86" a="1"/>
  <c r="E86" s="1"/>
  <c r="E98" s="1"/>
  <c r="E90" a="1"/>
  <c r="E90" s="1"/>
  <c r="E91" a="1"/>
  <c r="E91" s="1"/>
  <c r="J164"/>
  <c r="K163"/>
  <c r="H163"/>
  <c r="E163"/>
  <c r="B163"/>
  <c r="L163"/>
  <c r="I163"/>
  <c r="F163"/>
  <c r="C163"/>
  <c r="A163"/>
  <c r="M163"/>
  <c r="D163"/>
  <c r="G163"/>
  <c r="G129" a="1"/>
  <c r="G129" s="1"/>
  <c r="G126" a="1"/>
  <c r="G126" s="1"/>
  <c r="G123" a="1"/>
  <c r="G123" s="1"/>
  <c r="G125" a="1"/>
  <c r="G125" s="1"/>
  <c r="G122" a="1"/>
  <c r="G122" s="1"/>
  <c r="G127" a="1"/>
  <c r="G127" s="1"/>
  <c r="G124" a="1"/>
  <c r="G124" s="1"/>
  <c r="H113"/>
  <c r="I25"/>
  <c r="I30"/>
  <c r="D92" a="1"/>
  <c r="D92" s="1"/>
  <c r="D94" s="1"/>
  <c r="E87" a="1"/>
  <c r="E87" s="1"/>
  <c r="E88" a="1"/>
  <c r="E88" s="1"/>
  <c r="E125" i="99" a="1"/>
  <c r="E125" s="1"/>
  <c r="E122" a="1"/>
  <c r="E122" s="1"/>
  <c r="E127" a="1"/>
  <c r="E127" s="1"/>
  <c r="E124" a="1"/>
  <c r="E124" s="1"/>
  <c r="E129" a="1"/>
  <c r="E129" s="1"/>
  <c r="E126" a="1"/>
  <c r="E126" s="1"/>
  <c r="E123" a="1"/>
  <c r="E123" s="1"/>
  <c r="F113"/>
  <c r="G78"/>
  <c r="R78" s="1"/>
  <c r="M164"/>
  <c r="G164"/>
  <c r="D164"/>
  <c r="A164"/>
  <c r="J165"/>
  <c r="K164"/>
  <c r="H164"/>
  <c r="E164"/>
  <c r="B164"/>
  <c r="L164"/>
  <c r="I164"/>
  <c r="F164"/>
  <c r="C164"/>
  <c r="I25"/>
  <c r="I30"/>
  <c r="H80"/>
  <c r="S80" s="1"/>
  <c r="E87" a="1"/>
  <c r="E87" s="1"/>
  <c r="E88" a="1"/>
  <c r="E88" s="1"/>
  <c r="D128" a="1"/>
  <c r="D128" s="1"/>
  <c r="D130" s="1"/>
  <c r="D92" a="1"/>
  <c r="D92" s="1"/>
  <c r="D94" s="1"/>
  <c r="H25"/>
  <c r="H30"/>
  <c r="E25"/>
  <c r="E30"/>
  <c r="D42"/>
  <c r="O113" s="1"/>
  <c r="E89" a="1"/>
  <c r="E89" s="1"/>
  <c r="F82"/>
  <c r="C48"/>
  <c r="F25"/>
  <c r="F30"/>
  <c r="G25"/>
  <c r="G30"/>
  <c r="H77"/>
  <c r="S77" s="1"/>
  <c r="E86" a="1"/>
  <c r="E86" s="1"/>
  <c r="E98" s="1"/>
  <c r="E90" a="1"/>
  <c r="E90" s="1"/>
  <c r="E91" a="1"/>
  <c r="E91" s="1"/>
  <c r="G25" i="98"/>
  <c r="G30"/>
  <c r="F127" a="1"/>
  <c r="F127" s="1"/>
  <c r="F124" a="1"/>
  <c r="F124" s="1"/>
  <c r="F125" a="1"/>
  <c r="F125" s="1"/>
  <c r="F122" a="1"/>
  <c r="F122" s="1"/>
  <c r="F123" a="1"/>
  <c r="F123" s="1"/>
  <c r="F126" a="1"/>
  <c r="F126" s="1"/>
  <c r="F129" a="1"/>
  <c r="F129" s="1"/>
  <c r="G113"/>
  <c r="H25"/>
  <c r="H30"/>
  <c r="F80"/>
  <c r="Q80" s="1"/>
  <c r="E91" a="1"/>
  <c r="E91" s="1"/>
  <c r="E88" a="1"/>
  <c r="E88" s="1"/>
  <c r="E89" a="1"/>
  <c r="E89" s="1"/>
  <c r="E90" a="1"/>
  <c r="E90" s="1"/>
  <c r="E87" a="1"/>
  <c r="E87" s="1"/>
  <c r="E86" a="1"/>
  <c r="E86" s="1"/>
  <c r="E98" s="1"/>
  <c r="E93" a="1"/>
  <c r="E93" s="1"/>
  <c r="F77"/>
  <c r="Q77" s="1"/>
  <c r="D92" a="1"/>
  <c r="D92" s="1"/>
  <c r="D94" s="1"/>
  <c r="F81"/>
  <c r="Q81" s="1"/>
  <c r="C104"/>
  <c r="N84" s="1"/>
  <c r="C42"/>
  <c r="E128" a="1"/>
  <c r="E128" s="1"/>
  <c r="E130" s="1"/>
  <c r="D128" a="1"/>
  <c r="D128" s="1"/>
  <c r="D130" s="1"/>
  <c r="E25"/>
  <c r="E30"/>
  <c r="F79"/>
  <c r="Q79" s="1"/>
  <c r="I36"/>
  <c r="J164"/>
  <c r="K163"/>
  <c r="H163"/>
  <c r="E163"/>
  <c r="B163"/>
  <c r="M163"/>
  <c r="G163"/>
  <c r="D163"/>
  <c r="A163"/>
  <c r="L163"/>
  <c r="C163"/>
  <c r="F163"/>
  <c r="I163"/>
  <c r="F36"/>
  <c r="F82" i="97"/>
  <c r="Q82" s="1"/>
  <c r="F79"/>
  <c r="Q79" s="1"/>
  <c r="C48"/>
  <c r="H77"/>
  <c r="S77" s="1"/>
  <c r="E89" a="1"/>
  <c r="E89" s="1"/>
  <c r="E90" a="1"/>
  <c r="E90" s="1"/>
  <c r="E91" a="1"/>
  <c r="E91" s="1"/>
  <c r="I25"/>
  <c r="I30"/>
  <c r="E25"/>
  <c r="E30"/>
  <c r="H25"/>
  <c r="H30"/>
  <c r="F127" a="1"/>
  <c r="F127" s="1"/>
  <c r="F124" a="1"/>
  <c r="F124" s="1"/>
  <c r="F129" a="1"/>
  <c r="F129" s="1"/>
  <c r="F126" a="1"/>
  <c r="F126" s="1"/>
  <c r="F123" a="1"/>
  <c r="F123" s="1"/>
  <c r="F125" a="1"/>
  <c r="F125" s="1"/>
  <c r="F122" a="1"/>
  <c r="F122" s="1"/>
  <c r="G113"/>
  <c r="E88" a="1"/>
  <c r="E88" s="1"/>
  <c r="E128" a="1"/>
  <c r="E128" s="1"/>
  <c r="E130" s="1"/>
  <c r="D92" a="1"/>
  <c r="D92" s="1"/>
  <c r="D94" s="1"/>
  <c r="F25"/>
  <c r="F30"/>
  <c r="M164"/>
  <c r="G164"/>
  <c r="D164"/>
  <c r="A164"/>
  <c r="J165"/>
  <c r="K164"/>
  <c r="H164"/>
  <c r="E164"/>
  <c r="B164"/>
  <c r="L164"/>
  <c r="I164"/>
  <c r="F164"/>
  <c r="C164"/>
  <c r="G78"/>
  <c r="R78" s="1"/>
  <c r="G25"/>
  <c r="G30"/>
  <c r="E86" a="1"/>
  <c r="E86" s="1"/>
  <c r="E98" s="1"/>
  <c r="E93" a="1"/>
  <c r="E93" s="1"/>
  <c r="F80" i="96"/>
  <c r="Q80" s="1"/>
  <c r="F79"/>
  <c r="Q79" s="1"/>
  <c r="H30"/>
  <c r="H25"/>
  <c r="F81"/>
  <c r="Q81" s="1"/>
  <c r="J164"/>
  <c r="K163"/>
  <c r="H163"/>
  <c r="E163"/>
  <c r="B163"/>
  <c r="L163"/>
  <c r="I163"/>
  <c r="F163"/>
  <c r="C163"/>
  <c r="G163"/>
  <c r="M163"/>
  <c r="D163"/>
  <c r="A163"/>
  <c r="F25"/>
  <c r="F30"/>
  <c r="G36"/>
  <c r="E30"/>
  <c r="E25"/>
  <c r="D92" a="1"/>
  <c r="D92" s="1"/>
  <c r="D94" s="1"/>
  <c r="G78"/>
  <c r="R78" s="1"/>
  <c r="D128" a="1"/>
  <c r="D128" s="1"/>
  <c r="D130" s="1"/>
  <c r="E91" a="1"/>
  <c r="E91" s="1"/>
  <c r="E88" a="1"/>
  <c r="E88" s="1"/>
  <c r="E93" a="1"/>
  <c r="E93" s="1"/>
  <c r="E90" a="1"/>
  <c r="E90" s="1"/>
  <c r="E89" a="1"/>
  <c r="E89" s="1"/>
  <c r="E87" a="1"/>
  <c r="E87" s="1"/>
  <c r="E86" a="1"/>
  <c r="E86" s="1"/>
  <c r="E98" s="1"/>
  <c r="F77"/>
  <c r="Q77" s="1"/>
  <c r="I25"/>
  <c r="I30"/>
  <c r="C48"/>
  <c r="F127" a="1"/>
  <c r="F127" s="1"/>
  <c r="F124" a="1"/>
  <c r="F124" s="1"/>
  <c r="F129" a="1"/>
  <c r="F129" s="1"/>
  <c r="F126" a="1"/>
  <c r="F126" s="1"/>
  <c r="F123" a="1"/>
  <c r="F123" s="1"/>
  <c r="F125" a="1"/>
  <c r="F125" s="1"/>
  <c r="F122" a="1"/>
  <c r="F122" s="1"/>
  <c r="G113"/>
  <c r="E128" a="1"/>
  <c r="E128" s="1"/>
  <c r="E130" s="1"/>
  <c r="D42" i="95"/>
  <c r="O113" s="1"/>
  <c r="E25"/>
  <c r="E30"/>
  <c r="C48"/>
  <c r="H25"/>
  <c r="H30"/>
  <c r="G77"/>
  <c r="R77" s="1"/>
  <c r="F127" a="1"/>
  <c r="F127" s="1"/>
  <c r="F124" a="1"/>
  <c r="F124" s="1"/>
  <c r="F129" a="1"/>
  <c r="F129" s="1"/>
  <c r="F126" a="1"/>
  <c r="F126" s="1"/>
  <c r="F123" a="1"/>
  <c r="F123" s="1"/>
  <c r="F125" a="1"/>
  <c r="F125" s="1"/>
  <c r="F122" a="1"/>
  <c r="F122" s="1"/>
  <c r="G113"/>
  <c r="D128" a="1"/>
  <c r="D128" s="1"/>
  <c r="D130" s="1"/>
  <c r="E128" a="1"/>
  <c r="E128" s="1"/>
  <c r="E130" s="1"/>
  <c r="G25"/>
  <c r="G30"/>
  <c r="I30"/>
  <c r="I25"/>
  <c r="F30"/>
  <c r="F25"/>
  <c r="M164"/>
  <c r="G164"/>
  <c r="D164"/>
  <c r="A164"/>
  <c r="J165"/>
  <c r="K164"/>
  <c r="H164"/>
  <c r="E164"/>
  <c r="B164"/>
  <c r="L164"/>
  <c r="I164"/>
  <c r="F164"/>
  <c r="C164"/>
  <c r="F25" i="94"/>
  <c r="F30"/>
  <c r="M164"/>
  <c r="G164"/>
  <c r="D164"/>
  <c r="A164"/>
  <c r="J165"/>
  <c r="K164"/>
  <c r="H164"/>
  <c r="E164"/>
  <c r="B164"/>
  <c r="L164"/>
  <c r="I164"/>
  <c r="F164"/>
  <c r="C164"/>
  <c r="E25"/>
  <c r="E30"/>
  <c r="F127" a="1"/>
  <c r="F127" s="1"/>
  <c r="F124" a="1"/>
  <c r="F124" s="1"/>
  <c r="F129" a="1"/>
  <c r="F129" s="1"/>
  <c r="F126" a="1"/>
  <c r="F126" s="1"/>
  <c r="F123" a="1"/>
  <c r="F123" s="1"/>
  <c r="F125" a="1"/>
  <c r="F125" s="1"/>
  <c r="F122" a="1"/>
  <c r="F122" s="1"/>
  <c r="G113"/>
  <c r="F88" a="1"/>
  <c r="F88" s="1"/>
  <c r="E128" a="1"/>
  <c r="E128" s="1"/>
  <c r="E130" s="1"/>
  <c r="I25"/>
  <c r="I30"/>
  <c r="G78"/>
  <c r="H25"/>
  <c r="H30"/>
  <c r="F86" a="1"/>
  <c r="F86" s="1"/>
  <c r="F98" s="1"/>
  <c r="F89" a="1"/>
  <c r="F89" s="1"/>
  <c r="F93" a="1"/>
  <c r="F93" s="1"/>
  <c r="G25"/>
  <c r="G30"/>
  <c r="C48"/>
  <c r="D48"/>
  <c r="H77"/>
  <c r="S77" s="1"/>
  <c r="F91" a="1"/>
  <c r="F91" s="1"/>
  <c r="F90" a="1"/>
  <c r="F90" s="1"/>
  <c r="F79" i="93"/>
  <c r="Q79" s="1"/>
  <c r="F127" a="1"/>
  <c r="F127" s="1"/>
  <c r="F124" a="1"/>
  <c r="F124" s="1"/>
  <c r="F129" a="1"/>
  <c r="F129" s="1"/>
  <c r="F126" a="1"/>
  <c r="F126" s="1"/>
  <c r="F123" a="1"/>
  <c r="F123" s="1"/>
  <c r="F125" a="1"/>
  <c r="F125" s="1"/>
  <c r="F122" a="1"/>
  <c r="F122" s="1"/>
  <c r="G113"/>
  <c r="D92" a="1"/>
  <c r="D92" s="1"/>
  <c r="D94" s="1"/>
  <c r="F81"/>
  <c r="Q81" s="1"/>
  <c r="C48"/>
  <c r="I77"/>
  <c r="T77" s="1"/>
  <c r="H25"/>
  <c r="H30"/>
  <c r="E25"/>
  <c r="E30"/>
  <c r="G25"/>
  <c r="G30"/>
  <c r="M164"/>
  <c r="G164"/>
  <c r="D164"/>
  <c r="A164"/>
  <c r="J165"/>
  <c r="K164"/>
  <c r="H164"/>
  <c r="E164"/>
  <c r="B164"/>
  <c r="L164"/>
  <c r="I164"/>
  <c r="F164"/>
  <c r="C164"/>
  <c r="D42" i="92"/>
  <c r="O113" s="1"/>
  <c r="D104"/>
  <c r="I78"/>
  <c r="T78" s="1"/>
  <c r="H25"/>
  <c r="H30"/>
  <c r="G80"/>
  <c r="R80" s="1"/>
  <c r="I36"/>
  <c r="D128" a="1"/>
  <c r="D128" s="1"/>
  <c r="D130" s="1"/>
  <c r="F127" a="1"/>
  <c r="F127" s="1"/>
  <c r="F124" a="1"/>
  <c r="F124" s="1"/>
  <c r="F125" a="1"/>
  <c r="F125" s="1"/>
  <c r="F122" a="1"/>
  <c r="F122" s="1"/>
  <c r="F126" a="1"/>
  <c r="F126" s="1"/>
  <c r="F123" a="1"/>
  <c r="F123" s="1"/>
  <c r="F129" a="1"/>
  <c r="F129" s="1"/>
  <c r="G113"/>
  <c r="G25"/>
  <c r="G30"/>
  <c r="C48"/>
  <c r="E128" a="1"/>
  <c r="E128" s="1"/>
  <c r="E130" s="1"/>
  <c r="H77"/>
  <c r="S77" s="1"/>
  <c r="J164"/>
  <c r="K163"/>
  <c r="H163"/>
  <c r="E163"/>
  <c r="B163"/>
  <c r="L163"/>
  <c r="I163"/>
  <c r="F163"/>
  <c r="C163"/>
  <c r="M163"/>
  <c r="G163"/>
  <c r="D163"/>
  <c r="A163"/>
  <c r="F36"/>
  <c r="E25"/>
  <c r="E30"/>
  <c r="D92" i="91" a="1"/>
  <c r="D92" s="1"/>
  <c r="D94" s="1"/>
  <c r="E91" a="1"/>
  <c r="E91" s="1"/>
  <c r="E88" a="1"/>
  <c r="E88" s="1"/>
  <c r="E93" a="1"/>
  <c r="E93" s="1"/>
  <c r="E90" a="1"/>
  <c r="E90" s="1"/>
  <c r="E87" a="1"/>
  <c r="E87" s="1"/>
  <c r="E89" a="1"/>
  <c r="E89" s="1"/>
  <c r="E86" a="1"/>
  <c r="E86" s="1"/>
  <c r="E98" s="1"/>
  <c r="F77"/>
  <c r="Q77" s="1"/>
  <c r="E25"/>
  <c r="E30"/>
  <c r="F82"/>
  <c r="Q82" s="1"/>
  <c r="D128" a="1"/>
  <c r="D128" s="1"/>
  <c r="D130" s="1"/>
  <c r="F81"/>
  <c r="Q81" s="1"/>
  <c r="F127" a="1"/>
  <c r="F127" s="1"/>
  <c r="F124" a="1"/>
  <c r="F124" s="1"/>
  <c r="F129" a="1"/>
  <c r="F129" s="1"/>
  <c r="F126" a="1"/>
  <c r="F126" s="1"/>
  <c r="F123" a="1"/>
  <c r="F123" s="1"/>
  <c r="F125" a="1"/>
  <c r="F125" s="1"/>
  <c r="F122" a="1"/>
  <c r="F122" s="1"/>
  <c r="G113"/>
  <c r="M164"/>
  <c r="G164"/>
  <c r="D164"/>
  <c r="A164"/>
  <c r="J165"/>
  <c r="K164"/>
  <c r="H164"/>
  <c r="E164"/>
  <c r="B164"/>
  <c r="L164"/>
  <c r="I164"/>
  <c r="F164"/>
  <c r="C164"/>
  <c r="C104"/>
  <c r="N84" s="1"/>
  <c r="C42"/>
  <c r="F206"/>
  <c r="G25"/>
  <c r="G30"/>
  <c r="F78"/>
  <c r="Q78" s="1"/>
  <c r="H25"/>
  <c r="H30"/>
  <c r="G25" i="90"/>
  <c r="G30"/>
  <c r="M164"/>
  <c r="G164"/>
  <c r="D164"/>
  <c r="A164"/>
  <c r="J165"/>
  <c r="K164"/>
  <c r="H164"/>
  <c r="E164"/>
  <c r="B164"/>
  <c r="L164"/>
  <c r="I164"/>
  <c r="F164"/>
  <c r="C164"/>
  <c r="F127" a="1"/>
  <c r="F127" s="1"/>
  <c r="F124" a="1"/>
  <c r="F124" s="1"/>
  <c r="F129" a="1"/>
  <c r="F129" s="1"/>
  <c r="F126" a="1"/>
  <c r="F126" s="1"/>
  <c r="F123" a="1"/>
  <c r="F123" s="1"/>
  <c r="F125" a="1"/>
  <c r="F125" s="1"/>
  <c r="F122" a="1"/>
  <c r="F122" s="1"/>
  <c r="G113"/>
  <c r="E25"/>
  <c r="E30"/>
  <c r="I77"/>
  <c r="T77" s="1"/>
  <c r="D92" a="1"/>
  <c r="D92" s="1"/>
  <c r="D94" s="1"/>
  <c r="H25"/>
  <c r="H30"/>
  <c r="I25" i="89"/>
  <c r="I30"/>
  <c r="E25"/>
  <c r="E30"/>
  <c r="M164"/>
  <c r="G164"/>
  <c r="D164"/>
  <c r="A164"/>
  <c r="J165"/>
  <c r="K164"/>
  <c r="H164"/>
  <c r="E164"/>
  <c r="B164"/>
  <c r="L164"/>
  <c r="I164"/>
  <c r="F164"/>
  <c r="C164"/>
  <c r="G77"/>
  <c r="R77" s="1"/>
  <c r="D128" a="1"/>
  <c r="D128" s="1"/>
  <c r="D130" s="1"/>
  <c r="C104"/>
  <c r="N84" s="1"/>
  <c r="C42"/>
  <c r="F25"/>
  <c r="F30"/>
  <c r="E125" a="1"/>
  <c r="E125" s="1"/>
  <c r="E122" a="1"/>
  <c r="E122" s="1"/>
  <c r="E127" a="1"/>
  <c r="E127" s="1"/>
  <c r="E124" a="1"/>
  <c r="E124" s="1"/>
  <c r="E129" a="1"/>
  <c r="E129" s="1"/>
  <c r="E126" a="1"/>
  <c r="E126" s="1"/>
  <c r="E123" a="1"/>
  <c r="E123" s="1"/>
  <c r="F113"/>
  <c r="G25"/>
  <c r="G30"/>
  <c r="D42"/>
  <c r="O113" s="1"/>
  <c r="H25"/>
  <c r="H30"/>
  <c r="E125" i="80" a="1"/>
  <c r="E125" s="1"/>
  <c r="E122" a="1"/>
  <c r="E122" s="1"/>
  <c r="E127" a="1"/>
  <c r="E127" s="1"/>
  <c r="E124" a="1"/>
  <c r="E124" s="1"/>
  <c r="E129" a="1"/>
  <c r="E129" s="1"/>
  <c r="E126" a="1"/>
  <c r="E126" s="1"/>
  <c r="E123" a="1"/>
  <c r="E123" s="1"/>
  <c r="F113"/>
  <c r="C207"/>
  <c r="C141"/>
  <c r="E89" a="1"/>
  <c r="E89" s="1"/>
  <c r="E93" a="1"/>
  <c r="E93" s="1"/>
  <c r="D92" a="1"/>
  <c r="D92" s="1"/>
  <c r="D94" s="1"/>
  <c r="F81"/>
  <c r="Q81" s="1"/>
  <c r="E86" a="1"/>
  <c r="E86" s="1"/>
  <c r="E98" s="1"/>
  <c r="E90" a="1"/>
  <c r="E90" s="1"/>
  <c r="H25"/>
  <c r="H30"/>
  <c r="J164"/>
  <c r="K163"/>
  <c r="H163"/>
  <c r="E163"/>
  <c r="B163"/>
  <c r="L163"/>
  <c r="I163"/>
  <c r="F163"/>
  <c r="C163"/>
  <c r="M163"/>
  <c r="G163"/>
  <c r="D163"/>
  <c r="A163"/>
  <c r="E25"/>
  <c r="E30"/>
  <c r="H77"/>
  <c r="S77" s="1"/>
  <c r="I79"/>
  <c r="T79" s="1"/>
  <c r="C140"/>
  <c r="C53"/>
  <c r="F78"/>
  <c r="Q78" s="1"/>
  <c r="G25"/>
  <c r="G30"/>
  <c r="E87" a="1"/>
  <c r="E87" s="1"/>
  <c r="E88" a="1"/>
  <c r="E88" s="1"/>
  <c r="D128" a="1"/>
  <c r="D128" s="1"/>
  <c r="D130" s="1"/>
  <c r="E91" i="79" a="1"/>
  <c r="E91" s="1"/>
  <c r="E88" a="1"/>
  <c r="E88" s="1"/>
  <c r="E93" a="1"/>
  <c r="E93" s="1"/>
  <c r="E87" a="1"/>
  <c r="E87" s="1"/>
  <c r="E86" a="1"/>
  <c r="E86" s="1"/>
  <c r="E98" s="1"/>
  <c r="E90" a="1"/>
  <c r="E90" s="1"/>
  <c r="E89" a="1"/>
  <c r="E89" s="1"/>
  <c r="F77"/>
  <c r="Q77" s="1"/>
  <c r="D92" a="1"/>
  <c r="D92" s="1"/>
  <c r="D94" s="1"/>
  <c r="C104"/>
  <c r="N84" s="1"/>
  <c r="C42"/>
  <c r="M164"/>
  <c r="G164"/>
  <c r="D164"/>
  <c r="A164"/>
  <c r="J165"/>
  <c r="K164"/>
  <c r="H164"/>
  <c r="E164"/>
  <c r="B164"/>
  <c r="L164"/>
  <c r="I164"/>
  <c r="F164"/>
  <c r="C164"/>
  <c r="D128" a="1"/>
  <c r="D128" s="1"/>
  <c r="D130" s="1"/>
  <c r="F79"/>
  <c r="Q79" s="1"/>
  <c r="H25"/>
  <c r="H30"/>
  <c r="F127" a="1"/>
  <c r="F127" s="1"/>
  <c r="F124" a="1"/>
  <c r="F124" s="1"/>
  <c r="F129" a="1"/>
  <c r="F129" s="1"/>
  <c r="F126" a="1"/>
  <c r="F126" s="1"/>
  <c r="F123" a="1"/>
  <c r="F123" s="1"/>
  <c r="F125" a="1"/>
  <c r="F125" s="1"/>
  <c r="F122" a="1"/>
  <c r="F122" s="1"/>
  <c r="G113"/>
  <c r="G25"/>
  <c r="G30"/>
  <c r="I25"/>
  <c r="I30"/>
  <c r="E25"/>
  <c r="E30"/>
  <c r="F25"/>
  <c r="F30"/>
  <c r="E125" i="88" a="1"/>
  <c r="E125" s="1"/>
  <c r="E122" a="1"/>
  <c r="E122" s="1"/>
  <c r="E127" a="1"/>
  <c r="E127" s="1"/>
  <c r="E124" a="1"/>
  <c r="E124" s="1"/>
  <c r="E129" a="1"/>
  <c r="E129" s="1"/>
  <c r="E126" a="1"/>
  <c r="E126" s="1"/>
  <c r="E123" a="1"/>
  <c r="E123" s="1"/>
  <c r="F113"/>
  <c r="D92" a="1"/>
  <c r="D92" s="1"/>
  <c r="D94" s="1"/>
  <c r="C104"/>
  <c r="N84" s="1"/>
  <c r="C42"/>
  <c r="M164"/>
  <c r="G164"/>
  <c r="D164"/>
  <c r="A164"/>
  <c r="J165"/>
  <c r="K164"/>
  <c r="H164"/>
  <c r="E164"/>
  <c r="B164"/>
  <c r="L164"/>
  <c r="I164"/>
  <c r="F164"/>
  <c r="C164"/>
  <c r="G25"/>
  <c r="G30"/>
  <c r="G77"/>
  <c r="R77" s="1"/>
  <c r="D128" a="1"/>
  <c r="D128" s="1"/>
  <c r="D130" s="1"/>
  <c r="F25"/>
  <c r="F30"/>
  <c r="I25"/>
  <c r="I30"/>
  <c r="E25"/>
  <c r="E30"/>
  <c r="H25"/>
  <c r="H30"/>
  <c r="M164" i="87"/>
  <c r="G164"/>
  <c r="D164"/>
  <c r="A164"/>
  <c r="J165"/>
  <c r="K164"/>
  <c r="H164"/>
  <c r="E164"/>
  <c r="B164"/>
  <c r="L164"/>
  <c r="I164"/>
  <c r="F164"/>
  <c r="C164"/>
  <c r="H25"/>
  <c r="H30"/>
  <c r="G77"/>
  <c r="R77" s="1"/>
  <c r="F127" a="1"/>
  <c r="F127" s="1"/>
  <c r="F124" a="1"/>
  <c r="F124" s="1"/>
  <c r="F129" a="1"/>
  <c r="F129" s="1"/>
  <c r="F126" a="1"/>
  <c r="F126" s="1"/>
  <c r="F123" a="1"/>
  <c r="F123" s="1"/>
  <c r="F125" a="1"/>
  <c r="F125" s="1"/>
  <c r="F122" a="1"/>
  <c r="F122" s="1"/>
  <c r="G113"/>
  <c r="G79"/>
  <c r="R79" s="1"/>
  <c r="G25"/>
  <c r="G30"/>
  <c r="C104"/>
  <c r="N84" s="1"/>
  <c r="C42"/>
  <c r="E25"/>
  <c r="E30"/>
  <c r="G82"/>
  <c r="R82" s="1"/>
  <c r="M164" i="86"/>
  <c r="G164"/>
  <c r="D164"/>
  <c r="A164"/>
  <c r="J165"/>
  <c r="K164"/>
  <c r="H164"/>
  <c r="E164"/>
  <c r="B164"/>
  <c r="L164"/>
  <c r="I164"/>
  <c r="F164"/>
  <c r="C164"/>
  <c r="C104"/>
  <c r="N84" s="1"/>
  <c r="C42"/>
  <c r="E89" a="1"/>
  <c r="E89" s="1"/>
  <c r="H25"/>
  <c r="H30"/>
  <c r="E25"/>
  <c r="E30"/>
  <c r="F82"/>
  <c r="D92" a="1"/>
  <c r="D92" s="1"/>
  <c r="D94" s="1"/>
  <c r="D128" a="1"/>
  <c r="D128" s="1"/>
  <c r="D130" s="1"/>
  <c r="E86" a="1"/>
  <c r="E86" s="1"/>
  <c r="E98" s="1"/>
  <c r="E90" a="1"/>
  <c r="E90" s="1"/>
  <c r="E91" a="1"/>
  <c r="E91" s="1"/>
  <c r="G25"/>
  <c r="G30"/>
  <c r="G79"/>
  <c r="R79" s="1"/>
  <c r="F127" a="1"/>
  <c r="F127" s="1"/>
  <c r="F124" a="1"/>
  <c r="F124" s="1"/>
  <c r="F129" a="1"/>
  <c r="F129" s="1"/>
  <c r="F126" a="1"/>
  <c r="F126" s="1"/>
  <c r="F123" a="1"/>
  <c r="F123" s="1"/>
  <c r="F125" a="1"/>
  <c r="F125" s="1"/>
  <c r="F122" a="1"/>
  <c r="F122" s="1"/>
  <c r="G113"/>
  <c r="G77"/>
  <c r="R77" s="1"/>
  <c r="E87" a="1"/>
  <c r="E87" s="1"/>
  <c r="E88" a="1"/>
  <c r="E88" s="1"/>
  <c r="G25" i="85"/>
  <c r="G30"/>
  <c r="F30"/>
  <c r="F25"/>
  <c r="E89" a="1"/>
  <c r="E89" s="1"/>
  <c r="F80"/>
  <c r="C104"/>
  <c r="N84" s="1"/>
  <c r="C42"/>
  <c r="I30"/>
  <c r="I25"/>
  <c r="D92" a="1"/>
  <c r="D92" s="1"/>
  <c r="D94" s="1"/>
  <c r="E86" a="1"/>
  <c r="E86" s="1"/>
  <c r="E98" s="1"/>
  <c r="E90" a="1"/>
  <c r="E90" s="1"/>
  <c r="E91" a="1"/>
  <c r="E91" s="1"/>
  <c r="F127" a="1"/>
  <c r="F127" s="1"/>
  <c r="F124" a="1"/>
  <c r="F124" s="1"/>
  <c r="F129" a="1"/>
  <c r="F129" s="1"/>
  <c r="F126" a="1"/>
  <c r="F126" s="1"/>
  <c r="F123" a="1"/>
  <c r="F123" s="1"/>
  <c r="F125" a="1"/>
  <c r="F125" s="1"/>
  <c r="F122" a="1"/>
  <c r="F122" s="1"/>
  <c r="G113"/>
  <c r="H25"/>
  <c r="H30"/>
  <c r="J164"/>
  <c r="K163"/>
  <c r="H163"/>
  <c r="E163"/>
  <c r="B163"/>
  <c r="L163"/>
  <c r="I163"/>
  <c r="F163"/>
  <c r="C163"/>
  <c r="G163"/>
  <c r="A163"/>
  <c r="M163"/>
  <c r="D163"/>
  <c r="E25"/>
  <c r="E30"/>
  <c r="G77"/>
  <c r="R77" s="1"/>
  <c r="E87" a="1"/>
  <c r="E87" s="1"/>
  <c r="E88" a="1"/>
  <c r="E88" s="1"/>
  <c r="I36" i="84"/>
  <c r="F36"/>
  <c r="I114"/>
  <c r="J164"/>
  <c r="K163"/>
  <c r="H163"/>
  <c r="E163"/>
  <c r="B163"/>
  <c r="M163"/>
  <c r="G163"/>
  <c r="D163"/>
  <c r="A163"/>
  <c r="L163"/>
  <c r="C163"/>
  <c r="F163"/>
  <c r="I163"/>
  <c r="E124" a="1"/>
  <c r="E124" s="1"/>
  <c r="E136" s="1"/>
  <c r="E126" a="1"/>
  <c r="E126" s="1"/>
  <c r="D128" a="1"/>
  <c r="D128" s="1"/>
  <c r="D130" s="1"/>
  <c r="H30"/>
  <c r="H25"/>
  <c r="G25"/>
  <c r="G30"/>
  <c r="C53"/>
  <c r="D48"/>
  <c r="G113"/>
  <c r="F116"/>
  <c r="E30"/>
  <c r="E25"/>
  <c r="F118"/>
  <c r="E127" a="1"/>
  <c r="E127" s="1"/>
  <c r="E129" a="1"/>
  <c r="E129" s="1"/>
  <c r="D42" i="83"/>
  <c r="O113" s="1"/>
  <c r="C104"/>
  <c r="N84" s="1"/>
  <c r="C42"/>
  <c r="H25"/>
  <c r="H30"/>
  <c r="I25"/>
  <c r="I30"/>
  <c r="F25"/>
  <c r="F30"/>
  <c r="F127" a="1"/>
  <c r="F127" s="1"/>
  <c r="F124" a="1"/>
  <c r="F124" s="1"/>
  <c r="F129" a="1"/>
  <c r="F129" s="1"/>
  <c r="F126" a="1"/>
  <c r="F126" s="1"/>
  <c r="F123" a="1"/>
  <c r="F123" s="1"/>
  <c r="F125" a="1"/>
  <c r="F125" s="1"/>
  <c r="F122" a="1"/>
  <c r="F122" s="1"/>
  <c r="G113"/>
  <c r="M164"/>
  <c r="G164"/>
  <c r="D164"/>
  <c r="A164"/>
  <c r="J165"/>
  <c r="K164"/>
  <c r="H164"/>
  <c r="E164"/>
  <c r="B164"/>
  <c r="L164"/>
  <c r="I164"/>
  <c r="F164"/>
  <c r="C164"/>
  <c r="G25"/>
  <c r="G30"/>
  <c r="E25"/>
  <c r="E30"/>
  <c r="D128" a="1"/>
  <c r="D128" s="1"/>
  <c r="D130" s="1"/>
  <c r="E128" a="1"/>
  <c r="E128" s="1"/>
  <c r="E130" s="1"/>
  <c r="C104" i="82"/>
  <c r="N84" s="1"/>
  <c r="C42"/>
  <c r="F78"/>
  <c r="Q78" s="1"/>
  <c r="G25"/>
  <c r="G30"/>
  <c r="E89" a="1"/>
  <c r="E89" s="1"/>
  <c r="E93" a="1"/>
  <c r="E93" s="1"/>
  <c r="F82"/>
  <c r="Q82" s="1"/>
  <c r="M164"/>
  <c r="G164"/>
  <c r="D164"/>
  <c r="A164"/>
  <c r="J165"/>
  <c r="K164"/>
  <c r="H164"/>
  <c r="E164"/>
  <c r="B164"/>
  <c r="L164"/>
  <c r="I164"/>
  <c r="F164"/>
  <c r="C164"/>
  <c r="F127" a="1"/>
  <c r="F127" s="1"/>
  <c r="F124" a="1"/>
  <c r="F124" s="1"/>
  <c r="F129" a="1"/>
  <c r="F129" s="1"/>
  <c r="F126" a="1"/>
  <c r="F126" s="1"/>
  <c r="F123" a="1"/>
  <c r="F123" s="1"/>
  <c r="F125" a="1"/>
  <c r="F125" s="1"/>
  <c r="F122" a="1"/>
  <c r="F122" s="1"/>
  <c r="G113"/>
  <c r="E86" a="1"/>
  <c r="E86" s="1"/>
  <c r="E98" s="1"/>
  <c r="E90" a="1"/>
  <c r="E90" s="1"/>
  <c r="E102" s="1"/>
  <c r="E128" a="1"/>
  <c r="E128" s="1"/>
  <c r="E130" s="1"/>
  <c r="F81"/>
  <c r="Q81" s="1"/>
  <c r="G77"/>
  <c r="R77" s="1"/>
  <c r="H25"/>
  <c r="H30"/>
  <c r="E25"/>
  <c r="E30"/>
  <c r="D92" a="1"/>
  <c r="D92" s="1"/>
  <c r="D94" s="1"/>
  <c r="E87" a="1"/>
  <c r="E87" s="1"/>
  <c r="E88" a="1"/>
  <c r="E88" s="1"/>
  <c r="F25" i="81"/>
  <c r="F30"/>
  <c r="H77"/>
  <c r="S77" s="1"/>
  <c r="G81"/>
  <c r="R81" s="1"/>
  <c r="C48"/>
  <c r="E92" a="1"/>
  <c r="E92" s="1"/>
  <c r="E94" s="1"/>
  <c r="E25"/>
  <c r="E30"/>
  <c r="F127" a="1"/>
  <c r="F127" s="1"/>
  <c r="F124" a="1"/>
  <c r="F124" s="1"/>
  <c r="F129" a="1"/>
  <c r="F129" s="1"/>
  <c r="F126" a="1"/>
  <c r="F126" s="1"/>
  <c r="F123" a="1"/>
  <c r="F123" s="1"/>
  <c r="F125" a="1"/>
  <c r="F125" s="1"/>
  <c r="F122" a="1"/>
  <c r="F122" s="1"/>
  <c r="G113"/>
  <c r="I25"/>
  <c r="I30"/>
  <c r="E128" a="1"/>
  <c r="E128" s="1"/>
  <c r="E130" s="1"/>
  <c r="G25"/>
  <c r="G30"/>
  <c r="D104"/>
  <c r="D42"/>
  <c r="O113" s="1"/>
  <c r="H25"/>
  <c r="H30"/>
  <c r="G79"/>
  <c r="R79" s="1"/>
  <c r="G80"/>
  <c r="R80" s="1"/>
  <c r="M164"/>
  <c r="G164"/>
  <c r="D164"/>
  <c r="A164"/>
  <c r="J165"/>
  <c r="K164"/>
  <c r="H164"/>
  <c r="E164"/>
  <c r="B164"/>
  <c r="L164"/>
  <c r="I164"/>
  <c r="F164"/>
  <c r="C164"/>
  <c r="D128" a="1"/>
  <c r="D128" s="1"/>
  <c r="D130" s="1"/>
  <c r="M164" i="78"/>
  <c r="G164"/>
  <c r="D164"/>
  <c r="A164"/>
  <c r="J165"/>
  <c r="K164"/>
  <c r="H164"/>
  <c r="E164"/>
  <c r="B164"/>
  <c r="L164"/>
  <c r="I164"/>
  <c r="F164"/>
  <c r="C164"/>
  <c r="H36"/>
  <c r="F82"/>
  <c r="Q82" s="1"/>
  <c r="C207"/>
  <c r="C141"/>
  <c r="G25"/>
  <c r="G30"/>
  <c r="F79"/>
  <c r="Q79" s="1"/>
  <c r="C140"/>
  <c r="C53"/>
  <c r="D92" a="1"/>
  <c r="D92" s="1"/>
  <c r="D94" s="1"/>
  <c r="G125" a="1"/>
  <c r="G125" s="1"/>
  <c r="G122" a="1"/>
  <c r="G122" s="1"/>
  <c r="G127" a="1"/>
  <c r="G127" s="1"/>
  <c r="G124" a="1"/>
  <c r="G124" s="1"/>
  <c r="G126" a="1"/>
  <c r="G126" s="1"/>
  <c r="G123" a="1"/>
  <c r="G123" s="1"/>
  <c r="G129" a="1"/>
  <c r="G129" s="1"/>
  <c r="H113"/>
  <c r="F128" a="1"/>
  <c r="F128" s="1"/>
  <c r="F130" s="1"/>
  <c r="F25"/>
  <c r="F30"/>
  <c r="E36"/>
  <c r="I25"/>
  <c r="I30"/>
  <c r="E91" i="77" a="1"/>
  <c r="E91" s="1"/>
  <c r="E88" a="1"/>
  <c r="E88" s="1"/>
  <c r="E87" a="1"/>
  <c r="E87" s="1"/>
  <c r="E86" a="1"/>
  <c r="E86" s="1"/>
  <c r="E98" s="1"/>
  <c r="E90" a="1"/>
  <c r="E90" s="1"/>
  <c r="E89" a="1"/>
  <c r="E89" s="1"/>
  <c r="E93" a="1"/>
  <c r="E93" s="1"/>
  <c r="F77"/>
  <c r="Q77" s="1"/>
  <c r="C104"/>
  <c r="N84" s="1"/>
  <c r="C42"/>
  <c r="G25"/>
  <c r="G30"/>
  <c r="F25"/>
  <c r="F30"/>
  <c r="F78"/>
  <c r="Q78" s="1"/>
  <c r="H30"/>
  <c r="H25"/>
  <c r="F79"/>
  <c r="Q79" s="1"/>
  <c r="D92" a="1"/>
  <c r="D92" s="1"/>
  <c r="D94" s="1"/>
  <c r="E30"/>
  <c r="E25"/>
  <c r="J164"/>
  <c r="K163"/>
  <c r="H163"/>
  <c r="E163"/>
  <c r="B163"/>
  <c r="L163"/>
  <c r="G163"/>
  <c r="C163"/>
  <c r="M163"/>
  <c r="I163"/>
  <c r="D163"/>
  <c r="A163"/>
  <c r="F163"/>
  <c r="E125" a="1"/>
  <c r="E125" s="1"/>
  <c r="E122" a="1"/>
  <c r="E122" s="1"/>
  <c r="E129" a="1"/>
  <c r="E129" s="1"/>
  <c r="E124" a="1"/>
  <c r="E124" s="1"/>
  <c r="E123" a="1"/>
  <c r="E123" s="1"/>
  <c r="E127" a="1"/>
  <c r="E127" s="1"/>
  <c r="E126" a="1"/>
  <c r="E126" s="1"/>
  <c r="F113"/>
  <c r="F81"/>
  <c r="Q81" s="1"/>
  <c r="I25"/>
  <c r="I30"/>
  <c r="E125" i="76" a="1"/>
  <c r="E125" s="1"/>
  <c r="E122" a="1"/>
  <c r="E122" s="1"/>
  <c r="E127" a="1"/>
  <c r="E127" s="1"/>
  <c r="E124" a="1"/>
  <c r="E124" s="1"/>
  <c r="E129" a="1"/>
  <c r="E129" s="1"/>
  <c r="E126" a="1"/>
  <c r="E126" s="1"/>
  <c r="E123" a="1"/>
  <c r="E123" s="1"/>
  <c r="F113"/>
  <c r="M164"/>
  <c r="G164"/>
  <c r="D164"/>
  <c r="A164"/>
  <c r="J165"/>
  <c r="K164"/>
  <c r="H164"/>
  <c r="E164"/>
  <c r="B164"/>
  <c r="L164"/>
  <c r="I164"/>
  <c r="F164"/>
  <c r="C164"/>
  <c r="G82"/>
  <c r="R82" s="1"/>
  <c r="G25"/>
  <c r="G30"/>
  <c r="G79"/>
  <c r="R79" s="1"/>
  <c r="E25"/>
  <c r="E30"/>
  <c r="C48"/>
  <c r="G77"/>
  <c r="R77" s="1"/>
  <c r="H25"/>
  <c r="H30"/>
  <c r="I25" i="75"/>
  <c r="I30"/>
  <c r="D92" a="1"/>
  <c r="D92" s="1"/>
  <c r="D94" s="1"/>
  <c r="G25"/>
  <c r="G30"/>
  <c r="E86" a="1"/>
  <c r="E86" s="1"/>
  <c r="E98" s="1"/>
  <c r="F79"/>
  <c r="Q79" s="1"/>
  <c r="E125" a="1"/>
  <c r="E125" s="1"/>
  <c r="E122" a="1"/>
  <c r="E122" s="1"/>
  <c r="E127" a="1"/>
  <c r="E127" s="1"/>
  <c r="E124" a="1"/>
  <c r="E124" s="1"/>
  <c r="E129" a="1"/>
  <c r="E129" s="1"/>
  <c r="E126" a="1"/>
  <c r="E126" s="1"/>
  <c r="E123" a="1"/>
  <c r="E123" s="1"/>
  <c r="F113"/>
  <c r="E25"/>
  <c r="E30"/>
  <c r="C48"/>
  <c r="F82"/>
  <c r="Q82" s="1"/>
  <c r="F25"/>
  <c r="F30"/>
  <c r="E89" a="1"/>
  <c r="E89" s="1"/>
  <c r="E90" a="1"/>
  <c r="E90" s="1"/>
  <c r="E91" a="1"/>
  <c r="E91" s="1"/>
  <c r="M164"/>
  <c r="G164"/>
  <c r="D164"/>
  <c r="A164"/>
  <c r="J165"/>
  <c r="K164"/>
  <c r="H164"/>
  <c r="E164"/>
  <c r="B164"/>
  <c r="L164"/>
  <c r="I164"/>
  <c r="F164"/>
  <c r="C164"/>
  <c r="G77"/>
  <c r="R77" s="1"/>
  <c r="H25"/>
  <c r="H30"/>
  <c r="E87" a="1"/>
  <c r="E87" s="1"/>
  <c r="E88" a="1"/>
  <c r="E88" s="1"/>
  <c r="D128" a="1"/>
  <c r="D128" s="1"/>
  <c r="D130" s="1"/>
  <c r="F80" i="74"/>
  <c r="Q80" s="1"/>
  <c r="C141"/>
  <c r="C207"/>
  <c r="G25"/>
  <c r="G30"/>
  <c r="H30"/>
  <c r="H25"/>
  <c r="E90" a="1"/>
  <c r="E90" s="1"/>
  <c r="E87" a="1"/>
  <c r="E87" s="1"/>
  <c r="J164"/>
  <c r="K163"/>
  <c r="H163"/>
  <c r="E163"/>
  <c r="B163"/>
  <c r="M163"/>
  <c r="G163"/>
  <c r="D163"/>
  <c r="A163"/>
  <c r="L163"/>
  <c r="C163"/>
  <c r="I163"/>
  <c r="F163"/>
  <c r="E30"/>
  <c r="E25"/>
  <c r="D92" a="1"/>
  <c r="D92" s="1"/>
  <c r="D94" s="1"/>
  <c r="F127" a="1"/>
  <c r="F127" s="1"/>
  <c r="F124" a="1"/>
  <c r="F124" s="1"/>
  <c r="F125" a="1"/>
  <c r="F125" s="1"/>
  <c r="F122" a="1"/>
  <c r="F122" s="1"/>
  <c r="F123" a="1"/>
  <c r="F123" s="1"/>
  <c r="F126" a="1"/>
  <c r="F126" s="1"/>
  <c r="F129" a="1"/>
  <c r="F129" s="1"/>
  <c r="G113"/>
  <c r="E128" a="1"/>
  <c r="E128" s="1"/>
  <c r="E130" s="1"/>
  <c r="G82"/>
  <c r="R82" s="1"/>
  <c r="F79"/>
  <c r="Q79" s="1"/>
  <c r="F81"/>
  <c r="Q81" s="1"/>
  <c r="I36"/>
  <c r="C140"/>
  <c r="C53"/>
  <c r="F36"/>
  <c r="E93" a="1"/>
  <c r="E93" s="1"/>
  <c r="E89" a="1"/>
  <c r="E89" s="1"/>
  <c r="J164" i="73"/>
  <c r="K163"/>
  <c r="H163"/>
  <c r="E163"/>
  <c r="B163"/>
  <c r="L163"/>
  <c r="I163"/>
  <c r="F163"/>
  <c r="C163"/>
  <c r="M163"/>
  <c r="G163"/>
  <c r="D163"/>
  <c r="A163"/>
  <c r="F127" a="1"/>
  <c r="F127" s="1"/>
  <c r="F124" a="1"/>
  <c r="F124" s="1"/>
  <c r="F129" a="1"/>
  <c r="F129" s="1"/>
  <c r="F126" a="1"/>
  <c r="F126" s="1"/>
  <c r="F123" a="1"/>
  <c r="F123" s="1"/>
  <c r="F125" a="1"/>
  <c r="F125" s="1"/>
  <c r="F122" a="1"/>
  <c r="F122" s="1"/>
  <c r="G113"/>
  <c r="E25"/>
  <c r="E30"/>
  <c r="D92" a="1"/>
  <c r="D92" s="1"/>
  <c r="D94" s="1"/>
  <c r="F81"/>
  <c r="Q81" s="1"/>
  <c r="H25"/>
  <c r="H30"/>
  <c r="C104"/>
  <c r="N84" s="1"/>
  <c r="C42"/>
  <c r="E91" a="1"/>
  <c r="E91" s="1"/>
  <c r="E88" a="1"/>
  <c r="E88" s="1"/>
  <c r="E93" a="1"/>
  <c r="E93" s="1"/>
  <c r="E90" a="1"/>
  <c r="E90" s="1"/>
  <c r="E87" a="1"/>
  <c r="E87" s="1"/>
  <c r="E89" a="1"/>
  <c r="E89" s="1"/>
  <c r="E86" a="1"/>
  <c r="E86" s="1"/>
  <c r="E98" s="1"/>
  <c r="F77"/>
  <c r="Q77" s="1"/>
  <c r="G25"/>
  <c r="G30"/>
  <c r="H80"/>
  <c r="S80" s="1"/>
  <c r="E91" i="72" a="1"/>
  <c r="E91" s="1"/>
  <c r="E88" a="1"/>
  <c r="E88" s="1"/>
  <c r="E93" a="1"/>
  <c r="E93" s="1"/>
  <c r="E90" a="1"/>
  <c r="E90" s="1"/>
  <c r="E87" a="1"/>
  <c r="E87" s="1"/>
  <c r="E89" a="1"/>
  <c r="E89" s="1"/>
  <c r="E86" a="1"/>
  <c r="E86" s="1"/>
  <c r="E98" s="1"/>
  <c r="F77"/>
  <c r="Q77" s="1"/>
  <c r="H25"/>
  <c r="H30"/>
  <c r="I25"/>
  <c r="I30"/>
  <c r="F127" a="1"/>
  <c r="F127" s="1"/>
  <c r="F124" a="1"/>
  <c r="F124" s="1"/>
  <c r="F129" a="1"/>
  <c r="F129" s="1"/>
  <c r="F126" a="1"/>
  <c r="F126" s="1"/>
  <c r="F123" a="1"/>
  <c r="F123" s="1"/>
  <c r="F125" a="1"/>
  <c r="F125" s="1"/>
  <c r="F122" a="1"/>
  <c r="F122" s="1"/>
  <c r="G113"/>
  <c r="E128" a="1"/>
  <c r="E128" s="1"/>
  <c r="E130" s="1"/>
  <c r="G25"/>
  <c r="G30"/>
  <c r="D92" a="1"/>
  <c r="D92" s="1"/>
  <c r="D94" s="1"/>
  <c r="M164"/>
  <c r="G164"/>
  <c r="D164"/>
  <c r="A164"/>
  <c r="J165"/>
  <c r="K164"/>
  <c r="H164"/>
  <c r="E164"/>
  <c r="B164"/>
  <c r="L164"/>
  <c r="I164"/>
  <c r="F164"/>
  <c r="C164"/>
  <c r="D128" a="1"/>
  <c r="D128" s="1"/>
  <c r="D130" s="1"/>
  <c r="E25"/>
  <c r="E30"/>
  <c r="C104"/>
  <c r="N84" s="1"/>
  <c r="C42"/>
  <c r="F25"/>
  <c r="F30"/>
  <c r="F80" i="71"/>
  <c r="Q80" s="1"/>
  <c r="G25"/>
  <c r="G30"/>
  <c r="F78"/>
  <c r="Q78" s="1"/>
  <c r="F25"/>
  <c r="F30"/>
  <c r="D92" a="1"/>
  <c r="D92" s="1"/>
  <c r="D94" s="1"/>
  <c r="E30"/>
  <c r="E25"/>
  <c r="I25"/>
  <c r="I30"/>
  <c r="M164"/>
  <c r="G164"/>
  <c r="D164"/>
  <c r="A164"/>
  <c r="J165"/>
  <c r="K164"/>
  <c r="H164"/>
  <c r="E164"/>
  <c r="B164"/>
  <c r="L164"/>
  <c r="I164"/>
  <c r="F164"/>
  <c r="C164"/>
  <c r="E86" a="1"/>
  <c r="E86" s="1"/>
  <c r="E98" s="1"/>
  <c r="E90" a="1"/>
  <c r="E90" s="1"/>
  <c r="E91" a="1"/>
  <c r="E91" s="1"/>
  <c r="H30"/>
  <c r="H25"/>
  <c r="F79"/>
  <c r="Q79" s="1"/>
  <c r="C48"/>
  <c r="I77"/>
  <c r="T77" s="1"/>
  <c r="E87" a="1"/>
  <c r="E87" s="1"/>
  <c r="E88" a="1"/>
  <c r="E88" s="1"/>
  <c r="E89" a="1"/>
  <c r="E89" s="1"/>
  <c r="E93" a="1"/>
  <c r="E93" s="1"/>
  <c r="D92" i="70" a="1"/>
  <c r="D92" s="1"/>
  <c r="D94" s="1"/>
  <c r="F78"/>
  <c r="Q78" s="1"/>
  <c r="G25"/>
  <c r="G30"/>
  <c r="F80"/>
  <c r="Q80" s="1"/>
  <c r="F127" a="1"/>
  <c r="F127" s="1"/>
  <c r="F124" a="1"/>
  <c r="F124" s="1"/>
  <c r="F129" a="1"/>
  <c r="F129" s="1"/>
  <c r="F126" a="1"/>
  <c r="F126" s="1"/>
  <c r="F123" a="1"/>
  <c r="F123" s="1"/>
  <c r="F125" a="1"/>
  <c r="F125" s="1"/>
  <c r="F122" a="1"/>
  <c r="F122" s="1"/>
  <c r="G113"/>
  <c r="E128" a="1"/>
  <c r="E128" s="1"/>
  <c r="E130" s="1"/>
  <c r="C104"/>
  <c r="N84" s="1"/>
  <c r="C42"/>
  <c r="F25"/>
  <c r="F30"/>
  <c r="M164"/>
  <c r="G164"/>
  <c r="D164"/>
  <c r="A164"/>
  <c r="J165"/>
  <c r="K164"/>
  <c r="H164"/>
  <c r="E164"/>
  <c r="B164"/>
  <c r="L164"/>
  <c r="I164"/>
  <c r="F164"/>
  <c r="C164"/>
  <c r="H25"/>
  <c r="H30"/>
  <c r="E91" a="1"/>
  <c r="E91" s="1"/>
  <c r="E88" a="1"/>
  <c r="E88" s="1"/>
  <c r="E93" a="1"/>
  <c r="E93" s="1"/>
  <c r="E90" a="1"/>
  <c r="E90" s="1"/>
  <c r="E87" a="1"/>
  <c r="E87" s="1"/>
  <c r="E89" a="1"/>
  <c r="E89" s="1"/>
  <c r="E86" a="1"/>
  <c r="E86" s="1"/>
  <c r="E98" s="1"/>
  <c r="F77"/>
  <c r="Q77" s="1"/>
  <c r="F82"/>
  <c r="Q82" s="1"/>
  <c r="I25"/>
  <c r="I30"/>
  <c r="E30"/>
  <c r="E25"/>
  <c r="D128" a="1"/>
  <c r="D128" s="1"/>
  <c r="D130" s="1"/>
  <c r="C48" i="69"/>
  <c r="M164"/>
  <c r="G164"/>
  <c r="D164"/>
  <c r="A164"/>
  <c r="J165"/>
  <c r="K164"/>
  <c r="H164"/>
  <c r="E164"/>
  <c r="B164"/>
  <c r="L164"/>
  <c r="I164"/>
  <c r="F164"/>
  <c r="C164"/>
  <c r="F127" a="1"/>
  <c r="F127" s="1"/>
  <c r="F124" a="1"/>
  <c r="F124" s="1"/>
  <c r="F129" a="1"/>
  <c r="F129" s="1"/>
  <c r="F126" a="1"/>
  <c r="F126" s="1"/>
  <c r="F123" a="1"/>
  <c r="F123" s="1"/>
  <c r="F125" a="1"/>
  <c r="F125" s="1"/>
  <c r="F122" a="1"/>
  <c r="F122" s="1"/>
  <c r="G113"/>
  <c r="G77"/>
  <c r="R77" s="1"/>
  <c r="E25"/>
  <c r="E30"/>
  <c r="G25"/>
  <c r="G30"/>
  <c r="H25"/>
  <c r="H30"/>
  <c r="D128" a="1"/>
  <c r="D128" s="1"/>
  <c r="D130" s="1"/>
  <c r="C104" i="68"/>
  <c r="N84" s="1"/>
  <c r="C42"/>
  <c r="J164"/>
  <c r="K163"/>
  <c r="H163"/>
  <c r="E163"/>
  <c r="B163"/>
  <c r="L163"/>
  <c r="I163"/>
  <c r="F163"/>
  <c r="C163"/>
  <c r="M163"/>
  <c r="G163"/>
  <c r="D163"/>
  <c r="A163"/>
  <c r="G77"/>
  <c r="R77" s="1"/>
  <c r="E125" a="1"/>
  <c r="E125" s="1"/>
  <c r="E122" a="1"/>
  <c r="E122" s="1"/>
  <c r="E127" a="1"/>
  <c r="E127" s="1"/>
  <c r="E124" a="1"/>
  <c r="E124" s="1"/>
  <c r="E129" a="1"/>
  <c r="E129" s="1"/>
  <c r="E126" a="1"/>
  <c r="E126" s="1"/>
  <c r="E123" a="1"/>
  <c r="E123" s="1"/>
  <c r="F113"/>
  <c r="E25"/>
  <c r="E30"/>
  <c r="H25"/>
  <c r="H30"/>
  <c r="G82"/>
  <c r="R82" s="1"/>
  <c r="G25"/>
  <c r="G30"/>
  <c r="D128" a="1"/>
  <c r="D128" s="1"/>
  <c r="D130" s="1"/>
  <c r="F81" i="67"/>
  <c r="Q81" s="1"/>
  <c r="H25"/>
  <c r="H30"/>
  <c r="D92" a="1"/>
  <c r="D92" s="1"/>
  <c r="D94" s="1"/>
  <c r="C104"/>
  <c r="N84" s="1"/>
  <c r="C42"/>
  <c r="N113" s="1"/>
  <c r="F78"/>
  <c r="Q78" s="1"/>
  <c r="E25"/>
  <c r="E30"/>
  <c r="F127" a="1"/>
  <c r="F127" s="1"/>
  <c r="F124" a="1"/>
  <c r="F124" s="1"/>
  <c r="F129" a="1"/>
  <c r="F129" s="1"/>
  <c r="F126" a="1"/>
  <c r="F126" s="1"/>
  <c r="F123" a="1"/>
  <c r="F123" s="1"/>
  <c r="F125" a="1"/>
  <c r="F125" s="1"/>
  <c r="F122" a="1"/>
  <c r="F122" s="1"/>
  <c r="G113"/>
  <c r="D128" a="1"/>
  <c r="D128" s="1"/>
  <c r="D130" s="1"/>
  <c r="E128" a="1"/>
  <c r="E128" s="1"/>
  <c r="E130" s="1"/>
  <c r="E91" a="1"/>
  <c r="E91" s="1"/>
  <c r="E88" a="1"/>
  <c r="E88" s="1"/>
  <c r="E93" a="1"/>
  <c r="E93" s="1"/>
  <c r="E90" a="1"/>
  <c r="E90" s="1"/>
  <c r="E87" a="1"/>
  <c r="E87" s="1"/>
  <c r="E89" a="1"/>
  <c r="E89" s="1"/>
  <c r="E86" a="1"/>
  <c r="E86" s="1"/>
  <c r="E98" s="1"/>
  <c r="F77"/>
  <c r="Q77" s="1"/>
  <c r="F25"/>
  <c r="F30"/>
  <c r="I25"/>
  <c r="I30"/>
  <c r="G25"/>
  <c r="G30"/>
  <c r="M164"/>
  <c r="G164"/>
  <c r="D164"/>
  <c r="A164"/>
  <c r="J165"/>
  <c r="K164"/>
  <c r="H164"/>
  <c r="E164"/>
  <c r="B164"/>
  <c r="L164"/>
  <c r="I164"/>
  <c r="F164"/>
  <c r="C164"/>
  <c r="B51" i="114"/>
  <c r="C51" s="1"/>
  <c r="A60"/>
  <c r="B52" i="113"/>
  <c r="C52" s="1"/>
  <c r="A61"/>
  <c r="A282" i="7"/>
  <c r="B273"/>
  <c r="A61"/>
  <c r="B52"/>
  <c r="E58" i="131" l="1"/>
  <c r="G82" i="38"/>
  <c r="R82" s="1"/>
  <c r="H78" i="98"/>
  <c r="G77" i="100"/>
  <c r="R77" s="1"/>
  <c r="G87" i="84" a="1"/>
  <c r="G87" s="1"/>
  <c r="G99" s="1"/>
  <c r="G43" s="1"/>
  <c r="R114" s="1"/>
  <c r="I82" i="46"/>
  <c r="T82" s="1"/>
  <c r="F123" i="51" a="1"/>
  <c r="F123" s="1"/>
  <c r="F124" a="1"/>
  <c r="F124" s="1"/>
  <c r="H82" i="71"/>
  <c r="S82" s="1"/>
  <c r="G80" i="32"/>
  <c r="R80" s="1"/>
  <c r="G93" i="84" a="1"/>
  <c r="G93" s="1"/>
  <c r="Q83"/>
  <c r="H79" i="94"/>
  <c r="S79" s="1"/>
  <c r="H79" i="69"/>
  <c r="S79" s="1"/>
  <c r="D135" i="42"/>
  <c r="D54" s="1"/>
  <c r="D65" s="1"/>
  <c r="N54" i="105" s="1"/>
  <c r="O114" i="42"/>
  <c r="D135" i="79"/>
  <c r="D54" s="1"/>
  <c r="D65" s="1"/>
  <c r="N416" i="105" s="1"/>
  <c r="O114" i="79"/>
  <c r="D135" i="43"/>
  <c r="D54" s="1"/>
  <c r="D65" s="1"/>
  <c r="N63" i="105" s="1"/>
  <c r="O114" i="43"/>
  <c r="D136" i="109"/>
  <c r="D55" s="1"/>
  <c r="D66" s="1"/>
  <c r="N574" i="105" s="1"/>
  <c r="D136" i="74"/>
  <c r="D55" s="1"/>
  <c r="D66" s="1"/>
  <c r="N298" i="105" s="1"/>
  <c r="D135" i="97"/>
  <c r="D54" s="1"/>
  <c r="D65" s="1"/>
  <c r="N506" i="105" s="1"/>
  <c r="O114" i="97"/>
  <c r="D135" i="88"/>
  <c r="D54" s="1"/>
  <c r="D65" s="1"/>
  <c r="N407" i="105" s="1"/>
  <c r="O114" i="88"/>
  <c r="D136" i="77"/>
  <c r="D55" s="1"/>
  <c r="D66" s="1"/>
  <c r="N325" i="105" s="1"/>
  <c r="D135" i="101"/>
  <c r="D54" s="1"/>
  <c r="D65" s="1"/>
  <c r="N544" i="105" s="1"/>
  <c r="O114" i="101"/>
  <c r="D135" i="46"/>
  <c r="D54" s="1"/>
  <c r="D65" s="1"/>
  <c r="N90" i="105" s="1"/>
  <c r="O114" i="46"/>
  <c r="D135" i="95"/>
  <c r="D54" s="1"/>
  <c r="D65" s="1"/>
  <c r="N488" i="105" s="1"/>
  <c r="O114" i="95"/>
  <c r="D135" i="39"/>
  <c r="D54" s="1"/>
  <c r="D65" s="1"/>
  <c r="N27" i="105" s="1"/>
  <c r="O114" i="39"/>
  <c r="D135" i="44"/>
  <c r="D54" s="1"/>
  <c r="D65" s="1"/>
  <c r="N72" i="105" s="1"/>
  <c r="O114" i="44"/>
  <c r="D138" i="89"/>
  <c r="D57" s="1"/>
  <c r="D68" s="1"/>
  <c r="N437" i="105" s="1"/>
  <c r="O117" i="89"/>
  <c r="D136" i="41"/>
  <c r="D55" s="1"/>
  <c r="D66" s="1"/>
  <c r="N46" i="105" s="1"/>
  <c r="D137" i="59"/>
  <c r="D56" s="1"/>
  <c r="D67" s="1"/>
  <c r="N211" i="105" s="1"/>
  <c r="O116" i="59"/>
  <c r="D135" i="83"/>
  <c r="D54" s="1"/>
  <c r="D65" s="1"/>
  <c r="N360" i="105" s="1"/>
  <c r="O114" i="83"/>
  <c r="D137" i="95"/>
  <c r="D56" s="1"/>
  <c r="D67" s="1"/>
  <c r="N490" i="105" s="1"/>
  <c r="O116" i="95"/>
  <c r="D138" i="54"/>
  <c r="D57" s="1"/>
  <c r="D68" s="1"/>
  <c r="N167" i="105" s="1"/>
  <c r="O117" i="54"/>
  <c r="D137" i="58"/>
  <c r="D56" s="1"/>
  <c r="D67" s="1"/>
  <c r="N202" i="105" s="1"/>
  <c r="O116" i="58"/>
  <c r="D139" i="45"/>
  <c r="D58" s="1"/>
  <c r="D69" s="1"/>
  <c r="N85" i="105" s="1"/>
  <c r="O118" i="45"/>
  <c r="D137" i="32"/>
  <c r="D56" s="1"/>
  <c r="D67" s="1"/>
  <c r="O116"/>
  <c r="D135" i="77"/>
  <c r="D54" s="1"/>
  <c r="D65" s="1"/>
  <c r="N324" i="105" s="1"/>
  <c r="O114" i="77"/>
  <c r="D136" i="73"/>
  <c r="D55" s="1"/>
  <c r="D66" s="1"/>
  <c r="N289" i="105" s="1"/>
  <c r="D138" i="51"/>
  <c r="D57" s="1"/>
  <c r="D68" s="1"/>
  <c r="N140" i="105" s="1"/>
  <c r="O117" i="51"/>
  <c r="D139" i="76"/>
  <c r="D58" s="1"/>
  <c r="D69" s="1"/>
  <c r="N319" i="105" s="1"/>
  <c r="O118" i="76"/>
  <c r="D138" i="52"/>
  <c r="D57" s="1"/>
  <c r="D68" s="1"/>
  <c r="N149" i="105" s="1"/>
  <c r="O117" i="52"/>
  <c r="D137" i="53"/>
  <c r="D56" s="1"/>
  <c r="D67" s="1"/>
  <c r="N157" i="105" s="1"/>
  <c r="O116" i="53"/>
  <c r="D136" i="49"/>
  <c r="D55" s="1"/>
  <c r="D66" s="1"/>
  <c r="N120" i="105" s="1"/>
  <c r="D137" i="101"/>
  <c r="D56" s="1"/>
  <c r="D67" s="1"/>
  <c r="N546" i="105" s="1"/>
  <c r="O116" i="101"/>
  <c r="D139" i="97"/>
  <c r="D58" s="1"/>
  <c r="D69" s="1"/>
  <c r="N510" i="105" s="1"/>
  <c r="O118" i="97"/>
  <c r="D138" i="90"/>
  <c r="D57" s="1"/>
  <c r="D68" s="1"/>
  <c r="N446" i="105" s="1"/>
  <c r="O117" i="90"/>
  <c r="D136" i="75"/>
  <c r="D55" s="1"/>
  <c r="D66" s="1"/>
  <c r="N307" i="105" s="1"/>
  <c r="D137" i="67"/>
  <c r="D56" s="1"/>
  <c r="O116"/>
  <c r="D135" i="48"/>
  <c r="D54" s="1"/>
  <c r="D65" s="1"/>
  <c r="N110" i="105" s="1"/>
  <c r="O114" i="48"/>
  <c r="D135" i="57"/>
  <c r="D54" s="1"/>
  <c r="D65" s="1"/>
  <c r="N191" i="105" s="1"/>
  <c r="O114" i="57"/>
  <c r="D136" i="42"/>
  <c r="D55" s="1"/>
  <c r="D66" s="1"/>
  <c r="N55" i="105" s="1"/>
  <c r="D138" i="127"/>
  <c r="D57" s="1"/>
  <c r="D68" s="1"/>
  <c r="N585" i="105" s="1"/>
  <c r="O117" i="127"/>
  <c r="D138" i="98"/>
  <c r="D57" s="1"/>
  <c r="D68" s="1"/>
  <c r="N520" i="105" s="1"/>
  <c r="O117" i="98"/>
  <c r="D136" i="91"/>
  <c r="D55" s="1"/>
  <c r="D66" s="1"/>
  <c r="N453" i="105" s="1"/>
  <c r="D139" i="82"/>
  <c r="D58" s="1"/>
  <c r="D69" s="1"/>
  <c r="N355" i="105" s="1"/>
  <c r="O118" i="82"/>
  <c r="D136" i="70"/>
  <c r="D55" s="1"/>
  <c r="D66" s="1"/>
  <c r="N260" i="105" s="1"/>
  <c r="D139" i="57"/>
  <c r="D58" s="1"/>
  <c r="D69" s="1"/>
  <c r="N195" i="105" s="1"/>
  <c r="O118" i="57"/>
  <c r="D139" i="46"/>
  <c r="D58" s="1"/>
  <c r="D69" s="1"/>
  <c r="N94" i="105" s="1"/>
  <c r="O118" i="46"/>
  <c r="D137" i="42"/>
  <c r="D56" s="1"/>
  <c r="D67" s="1"/>
  <c r="N56" i="105" s="1"/>
  <c r="O116" i="42"/>
  <c r="D138" i="109"/>
  <c r="D57" s="1"/>
  <c r="D68" s="1"/>
  <c r="N576" i="105" s="1"/>
  <c r="O117" i="109"/>
  <c r="D139" i="86"/>
  <c r="D58" s="1"/>
  <c r="D69" s="1"/>
  <c r="N393" i="105" s="1"/>
  <c r="O118" i="86"/>
  <c r="D136" i="82"/>
  <c r="D55" s="1"/>
  <c r="D66" s="1"/>
  <c r="N352" i="105" s="1"/>
  <c r="D136" i="108"/>
  <c r="D55" s="1"/>
  <c r="D66" s="1"/>
  <c r="N565" i="105" s="1"/>
  <c r="D136" i="83"/>
  <c r="D55" s="1"/>
  <c r="D66" s="1"/>
  <c r="N361" i="105" s="1"/>
  <c r="D136" i="68"/>
  <c r="D55" s="1"/>
  <c r="D66" s="1"/>
  <c r="N242" i="105" s="1"/>
  <c r="D137" i="89"/>
  <c r="D56" s="1"/>
  <c r="D67" s="1"/>
  <c r="N436" i="105" s="1"/>
  <c r="O116" i="89"/>
  <c r="D138" i="48"/>
  <c r="D57" s="1"/>
  <c r="D68" s="1"/>
  <c r="N113" i="105" s="1"/>
  <c r="O117" i="48"/>
  <c r="D137" i="69"/>
  <c r="D56" s="1"/>
  <c r="D67" s="1"/>
  <c r="N252" i="105" s="1"/>
  <c r="O116" i="69"/>
  <c r="D137" i="47"/>
  <c r="D56" s="1"/>
  <c r="D67" s="1"/>
  <c r="N103" i="105" s="1"/>
  <c r="O116" i="47"/>
  <c r="D139" i="109"/>
  <c r="D58" s="1"/>
  <c r="D69" s="1"/>
  <c r="N577" i="105" s="1"/>
  <c r="O118" i="109"/>
  <c r="D137" i="90"/>
  <c r="D56" s="1"/>
  <c r="D67" s="1"/>
  <c r="N445" i="105" s="1"/>
  <c r="O116" i="90"/>
  <c r="D136" i="88"/>
  <c r="D55" s="1"/>
  <c r="D66" s="1"/>
  <c r="N408" i="105" s="1"/>
  <c r="D138" i="74"/>
  <c r="D57" s="1"/>
  <c r="D68" s="1"/>
  <c r="N300" i="105" s="1"/>
  <c r="O117" i="74"/>
  <c r="D139" i="60"/>
  <c r="D58" s="1"/>
  <c r="D69" s="1"/>
  <c r="N222" i="105" s="1"/>
  <c r="O118" i="60"/>
  <c r="D135" i="55"/>
  <c r="D54" s="1"/>
  <c r="D65" s="1"/>
  <c r="N173" i="105" s="1"/>
  <c r="O114" i="55"/>
  <c r="D138" i="42"/>
  <c r="D57" s="1"/>
  <c r="D68" s="1"/>
  <c r="N57" i="105" s="1"/>
  <c r="O117" i="42"/>
  <c r="D139" i="127"/>
  <c r="D58" s="1"/>
  <c r="D69" s="1"/>
  <c r="N586" i="105" s="1"/>
  <c r="O118" i="127"/>
  <c r="D137" i="99"/>
  <c r="D56" s="1"/>
  <c r="D67" s="1"/>
  <c r="N528" i="105" s="1"/>
  <c r="O116" i="99"/>
  <c r="D139" i="93"/>
  <c r="D58" s="1"/>
  <c r="D69" s="1"/>
  <c r="N474" i="105" s="1"/>
  <c r="O118" i="93"/>
  <c r="D137" i="91"/>
  <c r="D56" s="1"/>
  <c r="D67" s="1"/>
  <c r="N454" i="105" s="1"/>
  <c r="O116" i="91"/>
  <c r="D135" i="85"/>
  <c r="D54" s="1"/>
  <c r="D65" s="1"/>
  <c r="N380" i="105" s="1"/>
  <c r="O114" i="85"/>
  <c r="D139" i="52"/>
  <c r="D58" s="1"/>
  <c r="D69" s="1"/>
  <c r="N150" i="105" s="1"/>
  <c r="O118" i="52"/>
  <c r="D139" i="39"/>
  <c r="D58" s="1"/>
  <c r="D69" s="1"/>
  <c r="N31" i="105" s="1"/>
  <c r="O118" i="39"/>
  <c r="D139" i="108"/>
  <c r="D58" s="1"/>
  <c r="D69" s="1"/>
  <c r="N568" i="105" s="1"/>
  <c r="O118" i="108"/>
  <c r="D138" i="58"/>
  <c r="D57" s="1"/>
  <c r="D68" s="1"/>
  <c r="N203" i="105" s="1"/>
  <c r="O117" i="58"/>
  <c r="D137" i="49"/>
  <c r="D56" s="1"/>
  <c r="D67" s="1"/>
  <c r="N121" i="105" s="1"/>
  <c r="O116" i="49"/>
  <c r="D136" i="43"/>
  <c r="D55" s="1"/>
  <c r="D66" s="1"/>
  <c r="N64" i="105" s="1"/>
  <c r="D139" i="32"/>
  <c r="D58" s="1"/>
  <c r="D69" s="1"/>
  <c r="O118"/>
  <c r="D135" i="93"/>
  <c r="D54" s="1"/>
  <c r="D65" s="1"/>
  <c r="N470" i="105" s="1"/>
  <c r="O114" i="93"/>
  <c r="D139" i="90"/>
  <c r="D58" s="1"/>
  <c r="D69" s="1"/>
  <c r="N447" i="105" s="1"/>
  <c r="O118" i="90"/>
  <c r="D137" i="86"/>
  <c r="D56" s="1"/>
  <c r="D67" s="1"/>
  <c r="N391" i="105" s="1"/>
  <c r="O116" i="86"/>
  <c r="D138" i="77"/>
  <c r="D57" s="1"/>
  <c r="D68" s="1"/>
  <c r="N327" i="105" s="1"/>
  <c r="O117" i="77"/>
  <c r="D139" i="71"/>
  <c r="D58" s="1"/>
  <c r="D69" s="1"/>
  <c r="N273" i="105" s="1"/>
  <c r="O118" i="71"/>
  <c r="D139" i="55"/>
  <c r="D58" s="1"/>
  <c r="D69" s="1"/>
  <c r="N177" i="105" s="1"/>
  <c r="O118" i="55"/>
  <c r="D135" i="47"/>
  <c r="D54" s="1"/>
  <c r="D65" s="1"/>
  <c r="N101" i="105" s="1"/>
  <c r="O114" i="47"/>
  <c r="D137" i="45"/>
  <c r="D56" s="1"/>
  <c r="D67" s="1"/>
  <c r="N83" i="105" s="1"/>
  <c r="O116" i="45"/>
  <c r="D137" i="38"/>
  <c r="D56" s="1"/>
  <c r="D67" s="1"/>
  <c r="N20" i="105" s="1"/>
  <c r="O116" i="38"/>
  <c r="D136" i="102"/>
  <c r="D55" s="1"/>
  <c r="D66" s="1"/>
  <c r="N556" i="105" s="1"/>
  <c r="D137" i="98"/>
  <c r="D56" s="1"/>
  <c r="D67" s="1"/>
  <c r="N519" i="105" s="1"/>
  <c r="O116" i="98"/>
  <c r="D138" i="86"/>
  <c r="D57" s="1"/>
  <c r="D68" s="1"/>
  <c r="N392" i="105" s="1"/>
  <c r="O117" i="86"/>
  <c r="D137" i="75"/>
  <c r="D56" s="1"/>
  <c r="D67" s="1"/>
  <c r="N308" i="105" s="1"/>
  <c r="O116" i="75"/>
  <c r="D139" i="83"/>
  <c r="D58" s="1"/>
  <c r="D69" s="1"/>
  <c r="N364" i="105" s="1"/>
  <c r="O118" i="83"/>
  <c r="D137" i="129"/>
  <c r="D56" s="1"/>
  <c r="D67" s="1"/>
  <c r="N602" i="105" s="1"/>
  <c r="O116" i="129"/>
  <c r="D138"/>
  <c r="D57" s="1"/>
  <c r="D68" s="1"/>
  <c r="N603" i="105" s="1"/>
  <c r="O117" i="129"/>
  <c r="D139" i="51"/>
  <c r="D58" s="1"/>
  <c r="D69" s="1"/>
  <c r="N141" i="105" s="1"/>
  <c r="O118" i="51"/>
  <c r="D137" i="57"/>
  <c r="D56" s="1"/>
  <c r="D67" s="1"/>
  <c r="N193" i="105" s="1"/>
  <c r="O116" i="57"/>
  <c r="D136" i="60"/>
  <c r="D55" s="1"/>
  <c r="D66" s="1"/>
  <c r="N219" i="105" s="1"/>
  <c r="D136" i="59"/>
  <c r="D55" s="1"/>
  <c r="D66" s="1"/>
  <c r="N210" i="105" s="1"/>
  <c r="D136" i="32"/>
  <c r="D55" s="1"/>
  <c r="D66" s="1"/>
  <c r="D138" i="102"/>
  <c r="D57" s="1"/>
  <c r="D68" s="1"/>
  <c r="N558" i="105" s="1"/>
  <c r="O117" i="102"/>
  <c r="D138" i="79"/>
  <c r="D57" s="1"/>
  <c r="D68" s="1"/>
  <c r="N419" i="105" s="1"/>
  <c r="O117" i="79"/>
  <c r="D137" i="77"/>
  <c r="D56" s="1"/>
  <c r="D67" s="1"/>
  <c r="N326" i="105" s="1"/>
  <c r="O116" i="77"/>
  <c r="D135" i="74"/>
  <c r="D54" s="1"/>
  <c r="D65" s="1"/>
  <c r="N297" i="105" s="1"/>
  <c r="O114" i="74"/>
  <c r="D138" i="67"/>
  <c r="D57" s="1"/>
  <c r="D68" s="1"/>
  <c r="O117"/>
  <c r="D135" i="50"/>
  <c r="D54" s="1"/>
  <c r="D65" s="1"/>
  <c r="N128" i="105" s="1"/>
  <c r="O114" i="50"/>
  <c r="D135" i="98"/>
  <c r="D54" s="1"/>
  <c r="D65" s="1"/>
  <c r="N517" i="105" s="1"/>
  <c r="O114" i="98"/>
  <c r="D135" i="78"/>
  <c r="D54" s="1"/>
  <c r="D65" s="1"/>
  <c r="N333" i="105" s="1"/>
  <c r="O114" i="78"/>
  <c r="D135" i="40"/>
  <c r="D54" s="1"/>
  <c r="D65" s="1"/>
  <c r="N36" i="105" s="1"/>
  <c r="O114" i="40"/>
  <c r="D135" i="49"/>
  <c r="D54" s="1"/>
  <c r="D65" s="1"/>
  <c r="N119" i="105" s="1"/>
  <c r="O114" i="49"/>
  <c r="D138" i="47"/>
  <c r="D57" s="1"/>
  <c r="D68" s="1"/>
  <c r="N104" i="105" s="1"/>
  <c r="O117" i="47"/>
  <c r="D135" i="75"/>
  <c r="D54" s="1"/>
  <c r="D65" s="1"/>
  <c r="N306" i="105" s="1"/>
  <c r="O114" i="75"/>
  <c r="D136" i="80"/>
  <c r="D55" s="1"/>
  <c r="D66" s="1"/>
  <c r="N426" i="105" s="1"/>
  <c r="D136" i="51"/>
  <c r="D55" s="1"/>
  <c r="D66" s="1"/>
  <c r="N138" i="105" s="1"/>
  <c r="D136" i="57"/>
  <c r="D55" s="1"/>
  <c r="D66" s="1"/>
  <c r="N192" i="105" s="1"/>
  <c r="D136" i="95"/>
  <c r="D55" s="1"/>
  <c r="D66" s="1"/>
  <c r="N489" i="105" s="1"/>
  <c r="D138" i="108"/>
  <c r="D57" s="1"/>
  <c r="D68" s="1"/>
  <c r="N567" i="105" s="1"/>
  <c r="O117" i="108"/>
  <c r="D136" i="99"/>
  <c r="D55" s="1"/>
  <c r="D66" s="1"/>
  <c r="N527" i="105" s="1"/>
  <c r="D136" i="52"/>
  <c r="D55" s="1"/>
  <c r="D66" s="1"/>
  <c r="N147" i="105" s="1"/>
  <c r="D139" i="48"/>
  <c r="D58" s="1"/>
  <c r="D69" s="1"/>
  <c r="N114" i="105" s="1"/>
  <c r="O118" i="48"/>
  <c r="D136" i="46"/>
  <c r="D55" s="1"/>
  <c r="D66" s="1"/>
  <c r="N91" i="105" s="1"/>
  <c r="D137" i="43"/>
  <c r="D56" s="1"/>
  <c r="D67" s="1"/>
  <c r="N65" i="105" s="1"/>
  <c r="O116" i="43"/>
  <c r="D139" i="96"/>
  <c r="D58" s="1"/>
  <c r="D69" s="1"/>
  <c r="N501" i="105" s="1"/>
  <c r="O118" i="96"/>
  <c r="D136" i="93"/>
  <c r="D55" s="1"/>
  <c r="D66" s="1"/>
  <c r="N471" i="105" s="1"/>
  <c r="D138" i="78"/>
  <c r="D57" s="1"/>
  <c r="D68" s="1"/>
  <c r="N336" i="105" s="1"/>
  <c r="O117" i="78"/>
  <c r="D138" i="75"/>
  <c r="D57" s="1"/>
  <c r="D68" s="1"/>
  <c r="N309" i="105" s="1"/>
  <c r="O117" i="75"/>
  <c r="D135" i="67"/>
  <c r="D54" s="1"/>
  <c r="D65" s="1"/>
  <c r="O114"/>
  <c r="D136" i="76"/>
  <c r="D55" s="1"/>
  <c r="D66" s="1"/>
  <c r="N316" i="105" s="1"/>
  <c r="D137" i="76"/>
  <c r="D56" s="1"/>
  <c r="D67" s="1"/>
  <c r="N317" i="105" s="1"/>
  <c r="O116" i="76"/>
  <c r="D138" i="57"/>
  <c r="D57" s="1"/>
  <c r="D68" s="1"/>
  <c r="N194" i="105" s="1"/>
  <c r="O117" i="57"/>
  <c r="D139" i="53"/>
  <c r="D58" s="1"/>
  <c r="D69" s="1"/>
  <c r="N159" i="105" s="1"/>
  <c r="O118" i="53"/>
  <c r="D138" i="50"/>
  <c r="D57" s="1"/>
  <c r="D68" s="1"/>
  <c r="N131" i="105" s="1"/>
  <c r="O117" i="50"/>
  <c r="D139" i="43"/>
  <c r="D58" s="1"/>
  <c r="D69" s="1"/>
  <c r="N67" i="105" s="1"/>
  <c r="O118" i="43"/>
  <c r="D139" i="99"/>
  <c r="D58" s="1"/>
  <c r="D69" s="1"/>
  <c r="N530" i="105" s="1"/>
  <c r="O118" i="99"/>
  <c r="D136" i="96"/>
  <c r="D55" s="1"/>
  <c r="D66" s="1"/>
  <c r="N498" i="105" s="1"/>
  <c r="D139" i="77"/>
  <c r="D58" s="1"/>
  <c r="D69" s="1"/>
  <c r="N328" i="105" s="1"/>
  <c r="O118" i="77"/>
  <c r="D135" i="70"/>
  <c r="D54" s="1"/>
  <c r="D65" s="1"/>
  <c r="N259" i="105" s="1"/>
  <c r="O114" i="70"/>
  <c r="D137" i="51"/>
  <c r="D56" s="1"/>
  <c r="D67" s="1"/>
  <c r="N139" i="105" s="1"/>
  <c r="O116" i="51"/>
  <c r="D139" i="54"/>
  <c r="D58" s="1"/>
  <c r="D69" s="1"/>
  <c r="N168" i="105" s="1"/>
  <c r="O118" i="54"/>
  <c r="D138" i="53"/>
  <c r="D57" s="1"/>
  <c r="D68" s="1"/>
  <c r="N158" i="105" s="1"/>
  <c r="O117" i="53"/>
  <c r="D138" i="38"/>
  <c r="D57" s="1"/>
  <c r="D68" s="1"/>
  <c r="N21" i="105" s="1"/>
  <c r="O117" i="38"/>
  <c r="D137" i="100"/>
  <c r="D56" s="1"/>
  <c r="D67" s="1"/>
  <c r="N537" i="105" s="1"/>
  <c r="O116" i="100"/>
  <c r="D138" i="96"/>
  <c r="D57" s="1"/>
  <c r="D68" s="1"/>
  <c r="N500" i="105" s="1"/>
  <c r="O117" i="96"/>
  <c r="D137" i="88"/>
  <c r="D56" s="1"/>
  <c r="D67" s="1"/>
  <c r="N409" i="105" s="1"/>
  <c r="O116" i="88"/>
  <c r="D135" i="71"/>
  <c r="D54" s="1"/>
  <c r="D65" s="1"/>
  <c r="N269" i="105" s="1"/>
  <c r="O114" i="71"/>
  <c r="D136" i="39"/>
  <c r="D55" s="1"/>
  <c r="D66" s="1"/>
  <c r="N28" i="105" s="1"/>
  <c r="D135" i="54"/>
  <c r="D54" s="1"/>
  <c r="D65" s="1"/>
  <c r="N164" i="105" s="1"/>
  <c r="O114" i="54"/>
  <c r="D138" i="49"/>
  <c r="D57" s="1"/>
  <c r="D68" s="1"/>
  <c r="N122" i="105" s="1"/>
  <c r="O117" i="49"/>
  <c r="D138" i="43"/>
  <c r="D57" s="1"/>
  <c r="D68" s="1"/>
  <c r="N66" i="105" s="1"/>
  <c r="O117" i="43"/>
  <c r="D135" i="127"/>
  <c r="D54" s="1"/>
  <c r="D65" s="1"/>
  <c r="N582" i="105" s="1"/>
  <c r="O114" i="127"/>
  <c r="D139" i="100"/>
  <c r="D58" s="1"/>
  <c r="D69" s="1"/>
  <c r="N539" i="105" s="1"/>
  <c r="O118" i="100"/>
  <c r="D136" i="90"/>
  <c r="D55" s="1"/>
  <c r="D66" s="1"/>
  <c r="N444" i="105" s="1"/>
  <c r="D138" i="73"/>
  <c r="D57" s="1"/>
  <c r="D68" s="1"/>
  <c r="N291" i="105" s="1"/>
  <c r="O117" i="73"/>
  <c r="D139" i="68"/>
  <c r="D58" s="1"/>
  <c r="D69" s="1"/>
  <c r="N245" i="105" s="1"/>
  <c r="O118" i="68"/>
  <c r="D138" i="87"/>
  <c r="D57" s="1"/>
  <c r="D68" s="1"/>
  <c r="N401" i="105" s="1"/>
  <c r="O117" i="87"/>
  <c r="D137"/>
  <c r="D56" s="1"/>
  <c r="D67" s="1"/>
  <c r="N400" i="105" s="1"/>
  <c r="O116" i="87"/>
  <c r="D138" i="76"/>
  <c r="D57" s="1"/>
  <c r="D68" s="1"/>
  <c r="N318" i="105" s="1"/>
  <c r="O117" i="76"/>
  <c r="D137" i="68"/>
  <c r="D56" s="1"/>
  <c r="D67" s="1"/>
  <c r="N243" i="105" s="1"/>
  <c r="O116" i="68"/>
  <c r="D137" i="50"/>
  <c r="D56" s="1"/>
  <c r="D67" s="1"/>
  <c r="N130" i="105" s="1"/>
  <c r="O116" i="50"/>
  <c r="D137" i="127"/>
  <c r="D56" s="1"/>
  <c r="D67" s="1"/>
  <c r="N584" i="105" s="1"/>
  <c r="O116" i="127"/>
  <c r="D136" i="79"/>
  <c r="D55" s="1"/>
  <c r="D66" s="1"/>
  <c r="N417" i="105" s="1"/>
  <c r="D138" i="82"/>
  <c r="D57" s="1"/>
  <c r="D68" s="1"/>
  <c r="N354" i="105" s="1"/>
  <c r="O117" i="82"/>
  <c r="D136" i="67"/>
  <c r="D55" s="1"/>
  <c r="D66" s="1"/>
  <c r="D135" i="58"/>
  <c r="D54" s="1"/>
  <c r="D65" s="1"/>
  <c r="N200" i="105" s="1"/>
  <c r="O114" i="58"/>
  <c r="D136" i="45"/>
  <c r="D55" s="1"/>
  <c r="D66" s="1"/>
  <c r="N82" i="105" s="1"/>
  <c r="D135" i="32"/>
  <c r="D54" s="1"/>
  <c r="D65" s="1"/>
  <c r="O114"/>
  <c r="D138" i="100"/>
  <c r="D57" s="1"/>
  <c r="D68" s="1"/>
  <c r="N538" i="105" s="1"/>
  <c r="O117" i="100"/>
  <c r="D139" i="88"/>
  <c r="D58" s="1"/>
  <c r="D69" s="1"/>
  <c r="N411" i="105" s="1"/>
  <c r="O118" i="88"/>
  <c r="D136" i="100"/>
  <c r="D55" s="1"/>
  <c r="D66" s="1"/>
  <c r="N536" i="105" s="1"/>
  <c r="D139" i="89"/>
  <c r="D58" s="1"/>
  <c r="D69" s="1"/>
  <c r="N438" i="105" s="1"/>
  <c r="O118" i="89"/>
  <c r="D139" i="59"/>
  <c r="D58" s="1"/>
  <c r="D69" s="1"/>
  <c r="N213" i="105" s="1"/>
  <c r="O118" i="59"/>
  <c r="D136" i="50"/>
  <c r="D55" s="1"/>
  <c r="D66" s="1"/>
  <c r="N129" i="105" s="1"/>
  <c r="D138" i="45"/>
  <c r="D57" s="1"/>
  <c r="D68" s="1"/>
  <c r="N84" i="105" s="1"/>
  <c r="O117" i="45"/>
  <c r="D139" i="38"/>
  <c r="D58" s="1"/>
  <c r="D69" s="1"/>
  <c r="N22" i="105" s="1"/>
  <c r="O118" i="38"/>
  <c r="D138" i="91"/>
  <c r="D57" s="1"/>
  <c r="D68" s="1"/>
  <c r="N455" i="105" s="1"/>
  <c r="O117" i="91"/>
  <c r="D138" i="88"/>
  <c r="D57" s="1"/>
  <c r="D68" s="1"/>
  <c r="N410" i="105" s="1"/>
  <c r="O117" i="88"/>
  <c r="D137" i="85"/>
  <c r="D56" s="1"/>
  <c r="D67" s="1"/>
  <c r="N382" i="105" s="1"/>
  <c r="O116" i="85"/>
  <c r="D136" i="72"/>
  <c r="D55" s="1"/>
  <c r="D66" s="1"/>
  <c r="N279" i="105" s="1"/>
  <c r="D137" i="70"/>
  <c r="D56" s="1"/>
  <c r="D67" s="1"/>
  <c r="N261" i="105" s="1"/>
  <c r="O116" i="70"/>
  <c r="D136" i="129"/>
  <c r="D55" s="1"/>
  <c r="D66" s="1"/>
  <c r="N601" i="105" s="1"/>
  <c r="D136" i="53"/>
  <c r="D55" s="1"/>
  <c r="D66" s="1"/>
  <c r="N156" i="105" s="1"/>
  <c r="D136" i="38"/>
  <c r="D55" s="1"/>
  <c r="D66" s="1"/>
  <c r="N19" i="105" s="1"/>
  <c r="D137" i="102"/>
  <c r="D56" s="1"/>
  <c r="D67" s="1"/>
  <c r="N557" i="105" s="1"/>
  <c r="O116" i="102"/>
  <c r="D138" i="99"/>
  <c r="D57" s="1"/>
  <c r="D68" s="1"/>
  <c r="N529" i="105" s="1"/>
  <c r="O117" i="99"/>
  <c r="D135" i="90"/>
  <c r="D54" s="1"/>
  <c r="D65" s="1"/>
  <c r="N443" i="105" s="1"/>
  <c r="O114" i="90"/>
  <c r="D139" i="78"/>
  <c r="D58" s="1"/>
  <c r="D69" s="1"/>
  <c r="N337" i="105" s="1"/>
  <c r="O118" i="78"/>
  <c r="D138" i="72"/>
  <c r="D57" s="1"/>
  <c r="D68" s="1"/>
  <c r="N281" i="105" s="1"/>
  <c r="O117" i="72"/>
  <c r="D135" i="69"/>
  <c r="D54" s="1"/>
  <c r="D65" s="1"/>
  <c r="N250" i="105" s="1"/>
  <c r="O114" i="69"/>
  <c r="D135" i="129"/>
  <c r="D54" s="1"/>
  <c r="D65" s="1"/>
  <c r="N600" i="105" s="1"/>
  <c r="O114" i="129"/>
  <c r="D135" i="108"/>
  <c r="D54" s="1"/>
  <c r="D65" s="1"/>
  <c r="N564" i="105" s="1"/>
  <c r="O114" i="108"/>
  <c r="D138" i="59"/>
  <c r="D57" s="1"/>
  <c r="D68" s="1"/>
  <c r="N212" i="105" s="1"/>
  <c r="O117" i="59"/>
  <c r="D137" i="44"/>
  <c r="D56" s="1"/>
  <c r="D67" s="1"/>
  <c r="N74" i="105" s="1"/>
  <c r="O116" i="44"/>
  <c r="D137" i="109"/>
  <c r="D56" s="1"/>
  <c r="D67" s="1"/>
  <c r="N575" i="105" s="1"/>
  <c r="O116" i="109"/>
  <c r="D137" i="79"/>
  <c r="D56" s="1"/>
  <c r="D67" s="1"/>
  <c r="N418" i="105" s="1"/>
  <c r="O116" i="79"/>
  <c r="D135" i="82"/>
  <c r="D54" s="1"/>
  <c r="D65" s="1"/>
  <c r="N351" i="105" s="1"/>
  <c r="O114" i="82"/>
  <c r="D137" i="78"/>
  <c r="D56" s="1"/>
  <c r="D67" s="1"/>
  <c r="N335" i="105" s="1"/>
  <c r="O116" i="78"/>
  <c r="D139" i="74"/>
  <c r="D58" s="1"/>
  <c r="D69" s="1"/>
  <c r="N301" i="105" s="1"/>
  <c r="O118" i="74"/>
  <c r="D139" i="67"/>
  <c r="D58" s="1"/>
  <c r="D69" s="1"/>
  <c r="O118"/>
  <c r="D135" i="53"/>
  <c r="D54" s="1"/>
  <c r="D65" s="1"/>
  <c r="N155" i="105" s="1"/>
  <c r="O114" i="53"/>
  <c r="D135" i="72"/>
  <c r="D54" s="1"/>
  <c r="D65" s="1"/>
  <c r="N278" i="105" s="1"/>
  <c r="O114" i="72"/>
  <c r="D135" i="96"/>
  <c r="D54" s="1"/>
  <c r="D65" s="1"/>
  <c r="N497" i="105" s="1"/>
  <c r="O114" i="96"/>
  <c r="D135" i="73"/>
  <c r="D54" s="1"/>
  <c r="D65" s="1"/>
  <c r="N288" i="105" s="1"/>
  <c r="O114" i="73"/>
  <c r="D135" i="45"/>
  <c r="D54" s="1"/>
  <c r="D65" s="1"/>
  <c r="N81" i="105" s="1"/>
  <c r="O114" i="45"/>
  <c r="D135" i="99"/>
  <c r="D54" s="1"/>
  <c r="D65" s="1"/>
  <c r="N526" i="105" s="1"/>
  <c r="O114" i="99"/>
  <c r="D135" i="41"/>
  <c r="D54" s="1"/>
  <c r="D65" s="1"/>
  <c r="N45" i="105" s="1"/>
  <c r="O114" i="41"/>
  <c r="D136" i="127"/>
  <c r="D55" s="1"/>
  <c r="D66" s="1"/>
  <c r="N583" i="105" s="1"/>
  <c r="D136" i="48"/>
  <c r="D55" s="1"/>
  <c r="D66" s="1"/>
  <c r="N111" i="105" s="1"/>
  <c r="D135" i="51"/>
  <c r="D54" s="1"/>
  <c r="D65" s="1"/>
  <c r="N137" i="105" s="1"/>
  <c r="O114" i="51"/>
  <c r="D139" i="41"/>
  <c r="D58" s="1"/>
  <c r="D69" s="1"/>
  <c r="N49" i="105" s="1"/>
  <c r="O118" i="41"/>
  <c r="D138" i="95"/>
  <c r="D57" s="1"/>
  <c r="D68" s="1"/>
  <c r="N491" i="105" s="1"/>
  <c r="O117" i="95"/>
  <c r="D135" i="59"/>
  <c r="D54" s="1"/>
  <c r="D65" s="1"/>
  <c r="N209" i="105" s="1"/>
  <c r="D137" i="39"/>
  <c r="D56" s="1"/>
  <c r="D67" s="1"/>
  <c r="N29" i="105" s="1"/>
  <c r="O116" i="39"/>
  <c r="D137" i="41"/>
  <c r="D56" s="1"/>
  <c r="D67" s="1"/>
  <c r="N47" i="105" s="1"/>
  <c r="O116" i="41"/>
  <c r="D139" i="47"/>
  <c r="D58" s="1"/>
  <c r="D69" s="1"/>
  <c r="N105" i="105" s="1"/>
  <c r="O118" i="47"/>
  <c r="D136" i="44"/>
  <c r="D55" s="1"/>
  <c r="D66" s="1"/>
  <c r="N73" i="105" s="1"/>
  <c r="D138" i="101"/>
  <c r="D57" s="1"/>
  <c r="D68" s="1"/>
  <c r="N547" i="105" s="1"/>
  <c r="O117" i="101"/>
  <c r="D138" i="93"/>
  <c r="D57" s="1"/>
  <c r="D68" s="1"/>
  <c r="N473" i="105" s="1"/>
  <c r="O117" i="93"/>
  <c r="D136" i="86"/>
  <c r="D55" s="1"/>
  <c r="D66" s="1"/>
  <c r="N390" i="105" s="1"/>
  <c r="D139" i="75"/>
  <c r="D58" s="1"/>
  <c r="D69" s="1"/>
  <c r="N310" i="105" s="1"/>
  <c r="O118" i="75"/>
  <c r="D139" i="70"/>
  <c r="D58" s="1"/>
  <c r="D69" s="1"/>
  <c r="N263" i="105" s="1"/>
  <c r="O118" i="70"/>
  <c r="D137" i="48"/>
  <c r="D56" s="1"/>
  <c r="D67" s="1"/>
  <c r="N112" i="105" s="1"/>
  <c r="O116" i="48"/>
  <c r="D137" i="52"/>
  <c r="D56" s="1"/>
  <c r="D67" s="1"/>
  <c r="N148" i="105" s="1"/>
  <c r="O116" i="52"/>
  <c r="D139" i="58"/>
  <c r="D58" s="1"/>
  <c r="D69" s="1"/>
  <c r="N204" i="105" s="1"/>
  <c r="O118" i="58"/>
  <c r="D139" i="50"/>
  <c r="D58" s="1"/>
  <c r="D69" s="1"/>
  <c r="N132" i="105" s="1"/>
  <c r="O118" i="50"/>
  <c r="D136" i="47"/>
  <c r="D55" s="1"/>
  <c r="D66" s="1"/>
  <c r="N102" i="105" s="1"/>
  <c r="D135" i="100"/>
  <c r="D54" s="1"/>
  <c r="D65" s="1"/>
  <c r="N535" i="105" s="1"/>
  <c r="O114" i="100"/>
  <c r="D136" i="97"/>
  <c r="D55" s="1"/>
  <c r="D66" s="1"/>
  <c r="N507" i="105" s="1"/>
  <c r="D139" i="79"/>
  <c r="D58" s="1"/>
  <c r="D69" s="1"/>
  <c r="N420" i="105" s="1"/>
  <c r="O118" i="79"/>
  <c r="D137" i="72"/>
  <c r="D56" s="1"/>
  <c r="D67" s="1"/>
  <c r="N280" i="105" s="1"/>
  <c r="O116" i="72"/>
  <c r="D138" i="55"/>
  <c r="D57" s="1"/>
  <c r="D68" s="1"/>
  <c r="N176" i="105" s="1"/>
  <c r="O117" i="55"/>
  <c r="D139" i="40"/>
  <c r="D58" s="1"/>
  <c r="D69" s="1"/>
  <c r="N40" i="105" s="1"/>
  <c r="O118" i="40"/>
  <c r="D139" i="101"/>
  <c r="D58" s="1"/>
  <c r="D69" s="1"/>
  <c r="N548" i="105" s="1"/>
  <c r="O118" i="101"/>
  <c r="D137" i="97"/>
  <c r="D56" s="1"/>
  <c r="D67" s="1"/>
  <c r="N508" i="105" s="1"/>
  <c r="O116" i="97"/>
  <c r="D137" i="80"/>
  <c r="D56" s="1"/>
  <c r="D67" s="1"/>
  <c r="N427" i="105" s="1"/>
  <c r="O116" i="80"/>
  <c r="D136" i="78"/>
  <c r="D55" s="1"/>
  <c r="D66" s="1"/>
  <c r="N334" i="105" s="1"/>
  <c r="D138" i="39"/>
  <c r="D57" s="1"/>
  <c r="D68" s="1"/>
  <c r="N30" i="105" s="1"/>
  <c r="O117" i="39"/>
  <c r="D137" i="55"/>
  <c r="D56" s="1"/>
  <c r="D67" s="1"/>
  <c r="N175" i="105" s="1"/>
  <c r="O116" i="55"/>
  <c r="D138" i="44"/>
  <c r="D57" s="1"/>
  <c r="D68" s="1"/>
  <c r="N75" i="105" s="1"/>
  <c r="O117" i="44"/>
  <c r="D138" i="40"/>
  <c r="D57" s="1"/>
  <c r="D68" s="1"/>
  <c r="N39" i="105" s="1"/>
  <c r="O117" i="40"/>
  <c r="D139" i="102"/>
  <c r="D58" s="1"/>
  <c r="D69" s="1"/>
  <c r="N559" i="105" s="1"/>
  <c r="O118" i="102"/>
  <c r="D137" i="93"/>
  <c r="D56" s="1"/>
  <c r="D67" s="1"/>
  <c r="N472" i="105" s="1"/>
  <c r="O116" i="93"/>
  <c r="D138" i="85"/>
  <c r="D57" s="1"/>
  <c r="D68" s="1"/>
  <c r="N383" i="105" s="1"/>
  <c r="O117" i="85"/>
  <c r="D139" i="73"/>
  <c r="D58" s="1"/>
  <c r="D69" s="1"/>
  <c r="N292" i="105" s="1"/>
  <c r="O118" i="73"/>
  <c r="D139" i="69"/>
  <c r="D58" s="1"/>
  <c r="D69" s="1"/>
  <c r="N254" i="105" s="1"/>
  <c r="O118" i="69"/>
  <c r="D136"/>
  <c r="D55" s="1"/>
  <c r="D66" s="1"/>
  <c r="N251" i="105" s="1"/>
  <c r="D137" i="108"/>
  <c r="D56" s="1"/>
  <c r="D67" s="1"/>
  <c r="N566" i="105" s="1"/>
  <c r="O116" i="108"/>
  <c r="D138" i="83"/>
  <c r="D57" s="1"/>
  <c r="D68" s="1"/>
  <c r="N363" i="105" s="1"/>
  <c r="O117" i="83"/>
  <c r="D135" i="87"/>
  <c r="D54" s="1"/>
  <c r="D65" s="1"/>
  <c r="N398" i="105" s="1"/>
  <c r="O114" i="87"/>
  <c r="D136" i="55"/>
  <c r="D55" s="1"/>
  <c r="D66" s="1"/>
  <c r="N174" i="105" s="1"/>
  <c r="D135" i="38"/>
  <c r="D54" s="1"/>
  <c r="D65" s="1"/>
  <c r="N18" i="105" s="1"/>
  <c r="O114" i="38"/>
  <c r="D137" i="96"/>
  <c r="D56" s="1"/>
  <c r="D67" s="1"/>
  <c r="N499" i="105" s="1"/>
  <c r="O116" i="96"/>
  <c r="D138" i="80"/>
  <c r="D57" s="1"/>
  <c r="D68" s="1"/>
  <c r="N428" i="105" s="1"/>
  <c r="O117" i="80"/>
  <c r="D139" i="85"/>
  <c r="D58" s="1"/>
  <c r="D69" s="1"/>
  <c r="N384" i="105" s="1"/>
  <c r="O118" i="85"/>
  <c r="D137" i="71"/>
  <c r="D56" s="1"/>
  <c r="D67" s="1"/>
  <c r="N271" i="105" s="1"/>
  <c r="O116" i="71"/>
  <c r="D135" i="60"/>
  <c r="D54" s="1"/>
  <c r="D65" s="1"/>
  <c r="N218" i="105" s="1"/>
  <c r="O114" i="60"/>
  <c r="D138" i="46"/>
  <c r="D57" s="1"/>
  <c r="D68" s="1"/>
  <c r="N93" i="105" s="1"/>
  <c r="O117" i="46"/>
  <c r="D136" i="40"/>
  <c r="D55" s="1"/>
  <c r="D66" s="1"/>
  <c r="N37" i="105" s="1"/>
  <c r="D135" i="102"/>
  <c r="D54" s="1"/>
  <c r="D65" s="1"/>
  <c r="N555" i="105" s="1"/>
  <c r="O114" i="102"/>
  <c r="D136" i="98"/>
  <c r="D55" s="1"/>
  <c r="D66" s="1"/>
  <c r="N518" i="105" s="1"/>
  <c r="D135" i="91"/>
  <c r="D54" s="1"/>
  <c r="D65" s="1"/>
  <c r="N452" i="105" s="1"/>
  <c r="O114" i="91"/>
  <c r="D138" i="70"/>
  <c r="D57" s="1"/>
  <c r="D68" s="1"/>
  <c r="N262" i="105" s="1"/>
  <c r="O117" i="70"/>
  <c r="D138" i="68"/>
  <c r="D57" s="1"/>
  <c r="D68" s="1"/>
  <c r="N244" i="105" s="1"/>
  <c r="O117" i="68"/>
  <c r="D138" i="69"/>
  <c r="D57" s="1"/>
  <c r="D68" s="1"/>
  <c r="N253" i="105" s="1"/>
  <c r="O117" i="69"/>
  <c r="D136" i="54"/>
  <c r="D55" s="1"/>
  <c r="D66" s="1"/>
  <c r="N165" i="105" s="1"/>
  <c r="D135" i="89"/>
  <c r="D54" s="1"/>
  <c r="D65" s="1"/>
  <c r="N434" i="105" s="1"/>
  <c r="O114" i="89"/>
  <c r="D139" i="95"/>
  <c r="D58" s="1"/>
  <c r="D69" s="1"/>
  <c r="N492" i="105" s="1"/>
  <c r="O118" i="95"/>
  <c r="D136" i="58"/>
  <c r="D55" s="1"/>
  <c r="D66" s="1"/>
  <c r="N201" i="105" s="1"/>
  <c r="D139" i="49"/>
  <c r="D58" s="1"/>
  <c r="D69" s="1"/>
  <c r="N123" i="105" s="1"/>
  <c r="O118" i="49"/>
  <c r="D139" i="42"/>
  <c r="D58" s="1"/>
  <c r="D69" s="1"/>
  <c r="N58" i="105" s="1"/>
  <c r="O118" i="42"/>
  <c r="D138" i="32"/>
  <c r="D57" s="1"/>
  <c r="D68" s="1"/>
  <c r="O117"/>
  <c r="D135" i="109"/>
  <c r="D54" s="1"/>
  <c r="D65" s="1"/>
  <c r="N573" i="105" s="1"/>
  <c r="O114" i="109"/>
  <c r="D139" i="91"/>
  <c r="D58" s="1"/>
  <c r="D69" s="1"/>
  <c r="N456" i="105" s="1"/>
  <c r="O118" i="91"/>
  <c r="D135" i="80"/>
  <c r="D54" s="1"/>
  <c r="D65" s="1"/>
  <c r="N425" i="105" s="1"/>
  <c r="O114" i="80"/>
  <c r="D135" i="86"/>
  <c r="D54" s="1"/>
  <c r="D65" s="1"/>
  <c r="N389" i="105" s="1"/>
  <c r="O114" i="86"/>
  <c r="D137" i="73"/>
  <c r="D56" s="1"/>
  <c r="D67" s="1"/>
  <c r="N290" i="105" s="1"/>
  <c r="O116" i="73"/>
  <c r="D138" i="71"/>
  <c r="D57" s="1"/>
  <c r="D68" s="1"/>
  <c r="N272" i="105" s="1"/>
  <c r="O117" i="71"/>
  <c r="D138" i="41"/>
  <c r="D57" s="1"/>
  <c r="D68" s="1"/>
  <c r="N48" i="105" s="1"/>
  <c r="O117" i="41"/>
  <c r="D139" i="129"/>
  <c r="D58" s="1"/>
  <c r="D69" s="1"/>
  <c r="N604" i="105" s="1"/>
  <c r="O118" i="129"/>
  <c r="D137" i="60"/>
  <c r="D56" s="1"/>
  <c r="D67" s="1"/>
  <c r="N220" i="105" s="1"/>
  <c r="O116" i="60"/>
  <c r="D137" i="40"/>
  <c r="D56" s="1"/>
  <c r="D67" s="1"/>
  <c r="N38" i="105" s="1"/>
  <c r="O116" i="40"/>
  <c r="D136" i="101"/>
  <c r="D55" s="1"/>
  <c r="D66" s="1"/>
  <c r="N545" i="105" s="1"/>
  <c r="D139" i="98"/>
  <c r="D58" s="1"/>
  <c r="D69" s="1"/>
  <c r="N521" i="105" s="1"/>
  <c r="O118" i="98"/>
  <c r="D136" i="85"/>
  <c r="D55" s="1"/>
  <c r="D66" s="1"/>
  <c r="N381" i="105" s="1"/>
  <c r="D139" i="72"/>
  <c r="D58" s="1"/>
  <c r="D69" s="1"/>
  <c r="N282" i="105" s="1"/>
  <c r="O118" i="72"/>
  <c r="D137" i="83"/>
  <c r="D56" s="1"/>
  <c r="D67" s="1"/>
  <c r="N362" i="105" s="1"/>
  <c r="O116" i="83"/>
  <c r="D139" i="87"/>
  <c r="D58" s="1"/>
  <c r="D69" s="1"/>
  <c r="N402" i="105" s="1"/>
  <c r="O118" i="87"/>
  <c r="D135" i="68"/>
  <c r="D54" s="1"/>
  <c r="D65" s="1"/>
  <c r="N241" i="105" s="1"/>
  <c r="O114" i="68"/>
  <c r="D136" i="89"/>
  <c r="D55" s="1"/>
  <c r="D66" s="1"/>
  <c r="N435" i="105" s="1"/>
  <c r="D137" i="54"/>
  <c r="D56" s="1"/>
  <c r="D67" s="1"/>
  <c r="N166" i="105" s="1"/>
  <c r="O116" i="54"/>
  <c r="D138" i="60"/>
  <c r="D57" s="1"/>
  <c r="D68" s="1"/>
  <c r="N221" i="105" s="1"/>
  <c r="O117" i="60"/>
  <c r="D139" i="44"/>
  <c r="D58" s="1"/>
  <c r="D69" s="1"/>
  <c r="N76" i="105" s="1"/>
  <c r="O118" i="44"/>
  <c r="D138" i="97"/>
  <c r="D57" s="1"/>
  <c r="D68" s="1"/>
  <c r="N509" i="105" s="1"/>
  <c r="O117" i="97"/>
  <c r="D139" i="80"/>
  <c r="D58" s="1"/>
  <c r="D69" s="1"/>
  <c r="N429" i="105" s="1"/>
  <c r="O118" i="80"/>
  <c r="D137" i="82"/>
  <c r="D56" s="1"/>
  <c r="D67" s="1"/>
  <c r="N353" i="105" s="1"/>
  <c r="O116" i="82"/>
  <c r="D137" i="74"/>
  <c r="D56" s="1"/>
  <c r="D67" s="1"/>
  <c r="N299" i="105" s="1"/>
  <c r="O116" i="74"/>
  <c r="D136" i="71"/>
  <c r="D55" s="1"/>
  <c r="D66" s="1"/>
  <c r="N270" i="105" s="1"/>
  <c r="G91" i="84" a="1"/>
  <c r="G91" s="1"/>
  <c r="G103" s="1"/>
  <c r="G47" s="1"/>
  <c r="Q116"/>
  <c r="G82" i="88"/>
  <c r="G89" i="84" a="1"/>
  <c r="G89" s="1"/>
  <c r="G101" s="1"/>
  <c r="G45" s="1"/>
  <c r="R77"/>
  <c r="R83" s="1"/>
  <c r="H77"/>
  <c r="G82" i="98"/>
  <c r="R82" s="1"/>
  <c r="G88" i="84" a="1"/>
  <c r="G88" s="1"/>
  <c r="G100" s="1"/>
  <c r="G44" s="1"/>
  <c r="R115" s="1"/>
  <c r="G86" a="1"/>
  <c r="G86" s="1"/>
  <c r="G98" s="1"/>
  <c r="J25" i="42"/>
  <c r="S80" i="84"/>
  <c r="I80"/>
  <c r="T80" s="1"/>
  <c r="S79"/>
  <c r="I79"/>
  <c r="T79" s="1"/>
  <c r="I82"/>
  <c r="T82" s="1"/>
  <c r="S82"/>
  <c r="I81"/>
  <c r="T81" s="1"/>
  <c r="S81"/>
  <c r="H30" i="104"/>
  <c r="H36" s="1"/>
  <c r="H86" s="1"/>
  <c r="O119" i="94"/>
  <c r="E128" i="87" a="1"/>
  <c r="E128" s="1"/>
  <c r="E130" s="1"/>
  <c r="E139" i="84"/>
  <c r="E58" s="1"/>
  <c r="E69" s="1"/>
  <c r="O373" i="105" s="1"/>
  <c r="E55" i="84"/>
  <c r="E66" s="1"/>
  <c r="O370" i="105" s="1"/>
  <c r="E54" i="84"/>
  <c r="E65" s="1"/>
  <c r="O369" i="105" s="1"/>
  <c r="E138" i="84"/>
  <c r="E57" s="1"/>
  <c r="E68" s="1"/>
  <c r="O372" i="105" s="1"/>
  <c r="E137" i="84"/>
  <c r="E56" s="1"/>
  <c r="E67" s="1"/>
  <c r="O371" i="105" s="1"/>
  <c r="E136" i="94"/>
  <c r="E55" s="1"/>
  <c r="E66" s="1"/>
  <c r="O480" i="105" s="1"/>
  <c r="P115" i="94"/>
  <c r="E137" i="92"/>
  <c r="E56" s="1"/>
  <c r="E67" s="1"/>
  <c r="O463" i="105" s="1"/>
  <c r="P116" i="92"/>
  <c r="E137" i="81"/>
  <c r="E56" s="1"/>
  <c r="E67" s="1"/>
  <c r="O344" i="105" s="1"/>
  <c r="P116" i="81"/>
  <c r="E135" i="56"/>
  <c r="E54" s="1"/>
  <c r="E65" s="1"/>
  <c r="O182" i="105" s="1"/>
  <c r="P114" i="56"/>
  <c r="E138"/>
  <c r="E57" s="1"/>
  <c r="E68" s="1"/>
  <c r="O185" i="105" s="1"/>
  <c r="P117" i="56"/>
  <c r="E139" i="92"/>
  <c r="E58" s="1"/>
  <c r="E69" s="1"/>
  <c r="O465" i="105" s="1"/>
  <c r="P118" i="92"/>
  <c r="E138" i="81"/>
  <c r="E57" s="1"/>
  <c r="E68" s="1"/>
  <c r="O345" i="105" s="1"/>
  <c r="P117" i="81"/>
  <c r="E136" i="56"/>
  <c r="E55" s="1"/>
  <c r="E66" s="1"/>
  <c r="O183" i="105" s="1"/>
  <c r="P115" i="56"/>
  <c r="E139"/>
  <c r="E58" s="1"/>
  <c r="E69" s="1"/>
  <c r="O186" i="105" s="1"/>
  <c r="P118" i="56"/>
  <c r="E137" i="94"/>
  <c r="E56" s="1"/>
  <c r="E67" s="1"/>
  <c r="O481" i="105" s="1"/>
  <c r="P116" i="94"/>
  <c r="E135" i="92"/>
  <c r="E54" s="1"/>
  <c r="E65" s="1"/>
  <c r="O461" i="105" s="1"/>
  <c r="P114" i="92"/>
  <c r="E135" i="94"/>
  <c r="E54" s="1"/>
  <c r="E65" s="1"/>
  <c r="O479" i="105" s="1"/>
  <c r="P114" i="94"/>
  <c r="E135" i="81"/>
  <c r="E54" s="1"/>
  <c r="E65" s="1"/>
  <c r="O342" i="105" s="1"/>
  <c r="P114" i="81"/>
  <c r="E139"/>
  <c r="E58" s="1"/>
  <c r="E69" s="1"/>
  <c r="O346" i="105" s="1"/>
  <c r="P118" i="81"/>
  <c r="E139" i="94"/>
  <c r="E58" s="1"/>
  <c r="E69" s="1"/>
  <c r="O483" i="105" s="1"/>
  <c r="P118" i="94"/>
  <c r="E137" i="56"/>
  <c r="E56" s="1"/>
  <c r="E67" s="1"/>
  <c r="O184" i="105" s="1"/>
  <c r="P116" i="56"/>
  <c r="E136" i="92"/>
  <c r="E55" s="1"/>
  <c r="E66" s="1"/>
  <c r="O462" i="105" s="1"/>
  <c r="P115" i="92"/>
  <c r="E138" i="94"/>
  <c r="E57" s="1"/>
  <c r="E68" s="1"/>
  <c r="O482" i="105" s="1"/>
  <c r="P117" i="94"/>
  <c r="E138" i="92"/>
  <c r="E57" s="1"/>
  <c r="E68" s="1"/>
  <c r="O464" i="105" s="1"/>
  <c r="P117" i="92"/>
  <c r="E136" i="81"/>
  <c r="E55" s="1"/>
  <c r="E66" s="1"/>
  <c r="O343" i="105" s="1"/>
  <c r="P115" i="81"/>
  <c r="Q115" i="84"/>
  <c r="Q118"/>
  <c r="Q117"/>
  <c r="R117"/>
  <c r="D134" i="92"/>
  <c r="D134" i="129"/>
  <c r="D134" i="51"/>
  <c r="D134" i="41"/>
  <c r="D53" s="1"/>
  <c r="D134" i="52"/>
  <c r="D53" s="1"/>
  <c r="D134" i="89"/>
  <c r="D134" i="48"/>
  <c r="D53" s="1"/>
  <c r="D134" i="87"/>
  <c r="D53" s="1"/>
  <c r="D134" i="76"/>
  <c r="D53" s="1"/>
  <c r="D134" i="81"/>
  <c r="D134" i="83"/>
  <c r="D134" i="95"/>
  <c r="D134" i="99"/>
  <c r="D134" i="39"/>
  <c r="D134" i="56"/>
  <c r="D134" i="54"/>
  <c r="D53" s="1"/>
  <c r="D134" i="108"/>
  <c r="D53" s="1"/>
  <c r="D134" i="55"/>
  <c r="D53" s="1"/>
  <c r="C134" i="82"/>
  <c r="N113"/>
  <c r="C134" i="91"/>
  <c r="N113"/>
  <c r="C134" i="108"/>
  <c r="N113"/>
  <c r="C134" i="38"/>
  <c r="N113"/>
  <c r="C134" i="39"/>
  <c r="N113"/>
  <c r="C134" i="45"/>
  <c r="N113"/>
  <c r="C134" i="47"/>
  <c r="N113"/>
  <c r="C134" i="48"/>
  <c r="N113"/>
  <c r="C134" i="52"/>
  <c r="N113"/>
  <c r="C134" i="59"/>
  <c r="N113"/>
  <c r="C134" i="70"/>
  <c r="N113"/>
  <c r="C134" i="72"/>
  <c r="N113"/>
  <c r="C134" i="77"/>
  <c r="N113"/>
  <c r="C134" i="83"/>
  <c r="N113"/>
  <c r="C134" i="85"/>
  <c r="N113"/>
  <c r="C134" i="86"/>
  <c r="N113"/>
  <c r="C134" i="87"/>
  <c r="N113"/>
  <c r="C134" i="88"/>
  <c r="N113"/>
  <c r="C134" i="98"/>
  <c r="N113"/>
  <c r="C134" i="127"/>
  <c r="N113"/>
  <c r="C134" i="41"/>
  <c r="N113"/>
  <c r="C134" i="54"/>
  <c r="N113"/>
  <c r="C134" i="57"/>
  <c r="N113"/>
  <c r="C134" i="67"/>
  <c r="C134" i="68"/>
  <c r="N113"/>
  <c r="C134" i="73"/>
  <c r="N113"/>
  <c r="C134" i="79"/>
  <c r="N113"/>
  <c r="C134" i="89"/>
  <c r="N113"/>
  <c r="C134" i="100"/>
  <c r="N113"/>
  <c r="C134" i="102"/>
  <c r="N113"/>
  <c r="C134" i="109"/>
  <c r="N113"/>
  <c r="C134" i="32"/>
  <c r="N113"/>
  <c r="C134" i="43"/>
  <c r="N113"/>
  <c r="C134" i="55"/>
  <c r="N113"/>
  <c r="C134" i="60"/>
  <c r="N113"/>
  <c r="N119" i="84"/>
  <c r="O119"/>
  <c r="D55" i="128"/>
  <c r="D66" s="1"/>
  <c r="N592" i="105" s="1"/>
  <c r="D56" i="128"/>
  <c r="D67" s="1"/>
  <c r="N593" i="105" s="1"/>
  <c r="D57" i="128"/>
  <c r="D68" s="1"/>
  <c r="N594" i="105" s="1"/>
  <c r="D58" i="128"/>
  <c r="D69" s="1"/>
  <c r="N595" i="105" s="1"/>
  <c r="D54" i="128"/>
  <c r="D65" s="1"/>
  <c r="N591" i="105" s="1"/>
  <c r="C48" i="90"/>
  <c r="C141" s="1"/>
  <c r="C134"/>
  <c r="C53" s="1"/>
  <c r="F125" i="71" a="1"/>
  <c r="F125" s="1"/>
  <c r="F122" i="51" a="1"/>
  <c r="F122" s="1"/>
  <c r="F125" a="1"/>
  <c r="F125" s="1"/>
  <c r="E128" i="108" a="1"/>
  <c r="E128" s="1"/>
  <c r="E130" s="1"/>
  <c r="E128" i="90" a="1"/>
  <c r="E128" s="1"/>
  <c r="E130" s="1"/>
  <c r="E128" i="93" a="1"/>
  <c r="E128" s="1"/>
  <c r="E130" s="1"/>
  <c r="F129" i="71" a="1"/>
  <c r="F129" s="1"/>
  <c r="F122" i="48" a="1"/>
  <c r="F122" s="1"/>
  <c r="F126" a="1"/>
  <c r="F126" s="1"/>
  <c r="E128" i="100" a="1"/>
  <c r="E128" s="1"/>
  <c r="E130" s="1"/>
  <c r="F128" a="1"/>
  <c r="F128" s="1"/>
  <c r="F130" s="1"/>
  <c r="E128" i="101" a="1"/>
  <c r="E128" s="1"/>
  <c r="E130" s="1"/>
  <c r="E128" i="48" a="1"/>
  <c r="E128" s="1"/>
  <c r="E130" s="1"/>
  <c r="F127" a="1"/>
  <c r="F127" s="1"/>
  <c r="E128" i="73" a="1"/>
  <c r="E128" s="1"/>
  <c r="E130" s="1"/>
  <c r="E128" i="51" a="1"/>
  <c r="E128" s="1"/>
  <c r="E130" s="1"/>
  <c r="F98" i="84"/>
  <c r="F42" s="1"/>
  <c r="F92" a="1"/>
  <c r="F92" s="1"/>
  <c r="F94" s="1"/>
  <c r="G80" i="43"/>
  <c r="R80" s="1"/>
  <c r="G81" i="70"/>
  <c r="H81" s="1"/>
  <c r="S81" s="1"/>
  <c r="G81" i="54"/>
  <c r="R81" s="1"/>
  <c r="G80" i="44"/>
  <c r="H80" s="1"/>
  <c r="S80" s="1"/>
  <c r="G79" i="70"/>
  <c r="R79" s="1"/>
  <c r="G82" i="69"/>
  <c r="H82" s="1"/>
  <c r="G77" i="48"/>
  <c r="R77" s="1"/>
  <c r="G82" i="73"/>
  <c r="R82" s="1"/>
  <c r="F89" i="76" a="1"/>
  <c r="F89" s="1"/>
  <c r="F101" s="1"/>
  <c r="F45" s="1"/>
  <c r="H82" i="94"/>
  <c r="S82" s="1"/>
  <c r="G81" i="78"/>
  <c r="R81" s="1"/>
  <c r="H86" i="84" a="1"/>
  <c r="H86" s="1"/>
  <c r="H88" a="1"/>
  <c r="H88" s="1"/>
  <c r="H100" s="1"/>
  <c r="H44" s="1"/>
  <c r="H87" a="1"/>
  <c r="H87" s="1"/>
  <c r="H99" s="1"/>
  <c r="H43" s="1"/>
  <c r="H91" a="1"/>
  <c r="H91" s="1"/>
  <c r="H103" s="1"/>
  <c r="H47" s="1"/>
  <c r="H89" a="1"/>
  <c r="H89" s="1"/>
  <c r="H101" s="1"/>
  <c r="H45" s="1"/>
  <c r="H93" a="1"/>
  <c r="H93" s="1"/>
  <c r="I77"/>
  <c r="H90" a="1"/>
  <c r="H90" s="1"/>
  <c r="H102" s="1"/>
  <c r="H46" s="1"/>
  <c r="S77"/>
  <c r="F91" i="52" a="1"/>
  <c r="F91" s="1"/>
  <c r="G82" i="67"/>
  <c r="H82" s="1"/>
  <c r="F90" i="41" a="1"/>
  <c r="F90" s="1"/>
  <c r="F102" s="1"/>
  <c r="F46" s="1"/>
  <c r="F88" i="87" a="1"/>
  <c r="F88" s="1"/>
  <c r="F100" s="1"/>
  <c r="F44" s="1"/>
  <c r="G77" i="109"/>
  <c r="R77" s="1"/>
  <c r="F88" i="76" a="1"/>
  <c r="F88" s="1"/>
  <c r="F100" s="1"/>
  <c r="F44" s="1"/>
  <c r="F93" i="87" a="1"/>
  <c r="F93" s="1"/>
  <c r="F86" i="89" a="1"/>
  <c r="F86" s="1"/>
  <c r="F98" s="1"/>
  <c r="F87" i="48" a="1"/>
  <c r="F87" s="1"/>
  <c r="F90" i="52" a="1"/>
  <c r="F90" s="1"/>
  <c r="F102" s="1"/>
  <c r="F46" s="1"/>
  <c r="F87" i="95" a="1"/>
  <c r="F87" s="1"/>
  <c r="F99" s="1"/>
  <c r="F43" s="1"/>
  <c r="F86" i="41" a="1"/>
  <c r="F86" s="1"/>
  <c r="F98" s="1"/>
  <c r="F93" i="76" a="1"/>
  <c r="F93" s="1"/>
  <c r="F89" i="87" a="1"/>
  <c r="F89" s="1"/>
  <c r="F101" s="1"/>
  <c r="F45" s="1"/>
  <c r="F91" i="95" a="1"/>
  <c r="F91" s="1"/>
  <c r="F103" s="1"/>
  <c r="F47" s="1"/>
  <c r="F86" i="48" a="1"/>
  <c r="F86" s="1"/>
  <c r="F98" s="1"/>
  <c r="F93" i="95" a="1"/>
  <c r="F93" s="1"/>
  <c r="G82" i="55"/>
  <c r="R82" s="1"/>
  <c r="F91" i="69" a="1"/>
  <c r="F91" s="1"/>
  <c r="F103" s="1"/>
  <c r="F47" s="1"/>
  <c r="F88" i="57" a="1"/>
  <c r="F88" s="1"/>
  <c r="F100" s="1"/>
  <c r="F44" s="1"/>
  <c r="F91" i="99" a="1"/>
  <c r="F91" s="1"/>
  <c r="F103" s="1"/>
  <c r="F47" s="1"/>
  <c r="F89" i="54" a="1"/>
  <c r="F89" s="1"/>
  <c r="F101" s="1"/>
  <c r="F45" s="1"/>
  <c r="F93" i="55" a="1"/>
  <c r="F93" s="1"/>
  <c r="F90" i="88" a="1"/>
  <c r="F90" s="1"/>
  <c r="F102" s="1"/>
  <c r="F46" s="1"/>
  <c r="F90" i="129" a="1"/>
  <c r="F90" s="1"/>
  <c r="F102" s="1"/>
  <c r="F46" s="1"/>
  <c r="G77" i="108"/>
  <c r="R77" s="1"/>
  <c r="F89" i="83" a="1"/>
  <c r="F89" s="1"/>
  <c r="F101" s="1"/>
  <c r="F45" s="1"/>
  <c r="F87" i="69" a="1"/>
  <c r="F87" s="1"/>
  <c r="F99" s="1"/>
  <c r="F43" s="1"/>
  <c r="F90" i="51" a="1"/>
  <c r="F90" s="1"/>
  <c r="F93" i="57" a="1"/>
  <c r="F93" s="1"/>
  <c r="F87" i="89" a="1"/>
  <c r="F87" s="1"/>
  <c r="F90" i="83" a="1"/>
  <c r="F90" s="1"/>
  <c r="F102" s="1"/>
  <c r="F46" s="1"/>
  <c r="F86" i="54" a="1"/>
  <c r="F86" s="1"/>
  <c r="F98" s="1"/>
  <c r="F86" i="55" a="1"/>
  <c r="F86" s="1"/>
  <c r="F98" s="1"/>
  <c r="F91" i="88" a="1"/>
  <c r="F91" s="1"/>
  <c r="F103" s="1"/>
  <c r="F47" s="1"/>
  <c r="G77" i="129"/>
  <c r="R77" s="1"/>
  <c r="F86" i="51" a="1"/>
  <c r="F86" s="1"/>
  <c r="F98" s="1"/>
  <c r="F93" i="54" a="1"/>
  <c r="F93" s="1"/>
  <c r="F87" i="55" a="1"/>
  <c r="F87" s="1"/>
  <c r="F99" s="1"/>
  <c r="F43" s="1"/>
  <c r="F89" i="57" a="1"/>
  <c r="F89" s="1"/>
  <c r="F101" s="1"/>
  <c r="F45" s="1"/>
  <c r="H82" i="92"/>
  <c r="S82" s="1"/>
  <c r="G81" i="129"/>
  <c r="R81" s="1"/>
  <c r="F86" a="1"/>
  <c r="F86" s="1"/>
  <c r="F98" s="1"/>
  <c r="I78" i="39"/>
  <c r="T78" s="1"/>
  <c r="H82" i="80"/>
  <c r="S82" s="1"/>
  <c r="F87" i="51" a="1"/>
  <c r="F87" s="1"/>
  <c r="F99" s="1"/>
  <c r="F43" s="1"/>
  <c r="F90" i="57" a="1"/>
  <c r="F90" s="1"/>
  <c r="F102" s="1"/>
  <c r="F46" s="1"/>
  <c r="F90" i="54" a="1"/>
  <c r="F90" s="1"/>
  <c r="F102" s="1"/>
  <c r="F46" s="1"/>
  <c r="F90" i="76" a="1"/>
  <c r="F90" s="1"/>
  <c r="F90" i="55" a="1"/>
  <c r="F90" s="1"/>
  <c r="F87" i="52" a="1"/>
  <c r="F87" s="1"/>
  <c r="F99" s="1"/>
  <c r="F43" s="1"/>
  <c r="F87" i="41" a="1"/>
  <c r="F87" s="1"/>
  <c r="F99" s="1"/>
  <c r="F43" s="1"/>
  <c r="F87" i="83" a="1"/>
  <c r="F87" s="1"/>
  <c r="F99" s="1"/>
  <c r="F43" s="1"/>
  <c r="F87" i="88" a="1"/>
  <c r="F87" s="1"/>
  <c r="F99" s="1"/>
  <c r="F43" s="1"/>
  <c r="F93" i="69" a="1"/>
  <c r="F93" s="1"/>
  <c r="F93" i="89" a="1"/>
  <c r="F93" s="1"/>
  <c r="F86" i="69" a="1"/>
  <c r="F86" s="1"/>
  <c r="F98" s="1"/>
  <c r="F90" a="1"/>
  <c r="F90" s="1"/>
  <c r="F102" s="1"/>
  <c r="F46" s="1"/>
  <c r="F91" i="76" a="1"/>
  <c r="F91" s="1"/>
  <c r="F103" s="1"/>
  <c r="F47" s="1"/>
  <c r="F87" a="1"/>
  <c r="F87" s="1"/>
  <c r="F99" s="1"/>
  <c r="F43" s="1"/>
  <c r="G79" i="82"/>
  <c r="R79" s="1"/>
  <c r="F88" i="88" a="1"/>
  <c r="F88" s="1"/>
  <c r="F89" a="1"/>
  <c r="F89" s="1"/>
  <c r="F101" s="1"/>
  <c r="F45" s="1"/>
  <c r="F93" a="1"/>
  <c r="F93" s="1"/>
  <c r="F91" i="89" a="1"/>
  <c r="F91" s="1"/>
  <c r="F90" a="1"/>
  <c r="F90" s="1"/>
  <c r="F102" s="1"/>
  <c r="F46" s="1"/>
  <c r="F88" i="95" a="1"/>
  <c r="F88" s="1"/>
  <c r="F100" s="1"/>
  <c r="F44" s="1"/>
  <c r="F90" a="1"/>
  <c r="F90" s="1"/>
  <c r="F102" s="1"/>
  <c r="F46" s="1"/>
  <c r="F88" i="129" a="1"/>
  <c r="F88" s="1"/>
  <c r="F100" s="1"/>
  <c r="F44" s="1"/>
  <c r="F89" a="1"/>
  <c r="F89" s="1"/>
  <c r="F101" s="1"/>
  <c r="F45" s="1"/>
  <c r="F93" a="1"/>
  <c r="F93" s="1"/>
  <c r="G82" i="39"/>
  <c r="R82" s="1"/>
  <c r="F88" i="41" a="1"/>
  <c r="F88" s="1"/>
  <c r="F100" s="1"/>
  <c r="F44" s="1"/>
  <c r="F89" a="1"/>
  <c r="F89" s="1"/>
  <c r="F101" s="1"/>
  <c r="F45" s="1"/>
  <c r="F93" a="1"/>
  <c r="F93" s="1"/>
  <c r="F91" i="48" a="1"/>
  <c r="F91" s="1"/>
  <c r="F103" s="1"/>
  <c r="F47" s="1"/>
  <c r="F90" a="1"/>
  <c r="F90" s="1"/>
  <c r="F88" i="51" a="1"/>
  <c r="F88" s="1"/>
  <c r="F100" s="1"/>
  <c r="F44" s="1"/>
  <c r="F91" a="1"/>
  <c r="F91" s="1"/>
  <c r="F103" s="1"/>
  <c r="F47" s="1"/>
  <c r="F93" a="1"/>
  <c r="F93" s="1"/>
  <c r="F86" i="52" a="1"/>
  <c r="F86" s="1"/>
  <c r="F98" s="1"/>
  <c r="F89" a="1"/>
  <c r="F89" s="1"/>
  <c r="F101" s="1"/>
  <c r="F45" s="1"/>
  <c r="F93" a="1"/>
  <c r="F93" s="1"/>
  <c r="F88" i="54" a="1"/>
  <c r="F88" s="1"/>
  <c r="F100" s="1"/>
  <c r="F44" s="1"/>
  <c r="F87" a="1"/>
  <c r="F87" s="1"/>
  <c r="F99" s="1"/>
  <c r="F43" s="1"/>
  <c r="F88" i="55" a="1"/>
  <c r="F88" s="1"/>
  <c r="F100" s="1"/>
  <c r="F44" s="1"/>
  <c r="F89" a="1"/>
  <c r="F89" s="1"/>
  <c r="F101" s="1"/>
  <c r="F45" s="1"/>
  <c r="F91" i="57" a="1"/>
  <c r="F91" s="1"/>
  <c r="F103" s="1"/>
  <c r="F47" s="1"/>
  <c r="F87" a="1"/>
  <c r="F87" s="1"/>
  <c r="G78" i="129"/>
  <c r="R78" s="1"/>
  <c r="F93" i="83" a="1"/>
  <c r="F93" s="1"/>
  <c r="F88" a="1"/>
  <c r="F88" s="1"/>
  <c r="F100" s="1"/>
  <c r="F44" s="1"/>
  <c r="F88" i="69" a="1"/>
  <c r="F88" s="1"/>
  <c r="F100" s="1"/>
  <c r="F44" s="1"/>
  <c r="F89" a="1"/>
  <c r="F89" s="1"/>
  <c r="F101" s="1"/>
  <c r="F45" s="1"/>
  <c r="F86" i="76" a="1"/>
  <c r="F86" s="1"/>
  <c r="F98" s="1"/>
  <c r="F86" i="88" a="1"/>
  <c r="F86" s="1"/>
  <c r="F98" s="1"/>
  <c r="F88" i="89" a="1"/>
  <c r="F88" s="1"/>
  <c r="F100" s="1"/>
  <c r="F44" s="1"/>
  <c r="F89" a="1"/>
  <c r="F89" s="1"/>
  <c r="F101" s="1"/>
  <c r="F45" s="1"/>
  <c r="F86" i="95" a="1"/>
  <c r="F86" s="1"/>
  <c r="F98" s="1"/>
  <c r="F89" a="1"/>
  <c r="F89" s="1"/>
  <c r="F101" s="1"/>
  <c r="F45" s="1"/>
  <c r="F91" i="129" a="1"/>
  <c r="F91" s="1"/>
  <c r="F103" s="1"/>
  <c r="F47" s="1"/>
  <c r="F87" a="1"/>
  <c r="F87" s="1"/>
  <c r="F99" s="1"/>
  <c r="F43" s="1"/>
  <c r="F91" i="41" a="1"/>
  <c r="F91" s="1"/>
  <c r="F103" s="1"/>
  <c r="F47" s="1"/>
  <c r="F88" i="48" a="1"/>
  <c r="F88" s="1"/>
  <c r="F100" s="1"/>
  <c r="F44" s="1"/>
  <c r="F89" a="1"/>
  <c r="F89" s="1"/>
  <c r="F101" s="1"/>
  <c r="F45" s="1"/>
  <c r="F93" a="1"/>
  <c r="F93" s="1"/>
  <c r="F89" i="51" a="1"/>
  <c r="F89" s="1"/>
  <c r="F101" s="1"/>
  <c r="F45" s="1"/>
  <c r="F88" i="52" a="1"/>
  <c r="F88" s="1"/>
  <c r="F100" s="1"/>
  <c r="F44" s="1"/>
  <c r="F91" i="54" a="1"/>
  <c r="F91" s="1"/>
  <c r="F103" s="1"/>
  <c r="F47" s="1"/>
  <c r="F91" i="55" a="1"/>
  <c r="F91" s="1"/>
  <c r="F103" s="1"/>
  <c r="F47" s="1"/>
  <c r="F86" i="57" a="1"/>
  <c r="F86" s="1"/>
  <c r="F98" s="1"/>
  <c r="F86" i="83" a="1"/>
  <c r="F86" s="1"/>
  <c r="F98" s="1"/>
  <c r="F91" a="1"/>
  <c r="F91" s="1"/>
  <c r="F103" s="1"/>
  <c r="F47" s="1"/>
  <c r="F90" i="75" a="1"/>
  <c r="F90" s="1"/>
  <c r="F102" s="1"/>
  <c r="F46" s="1"/>
  <c r="D104" i="55"/>
  <c r="D105" s="1"/>
  <c r="D104" i="89"/>
  <c r="O84" s="1"/>
  <c r="F105" i="52"/>
  <c r="D104" i="128"/>
  <c r="O84" s="1"/>
  <c r="Q83" i="56"/>
  <c r="D104" i="83"/>
  <c r="D105" s="1"/>
  <c r="D104" i="129"/>
  <c r="O84" s="1"/>
  <c r="C56" i="63"/>
  <c r="C67" s="1"/>
  <c r="C142" s="1"/>
  <c r="D104" i="54"/>
  <c r="D105" s="1"/>
  <c r="D104" i="87"/>
  <c r="D105" s="1"/>
  <c r="C140" i="84"/>
  <c r="C207"/>
  <c r="D104" i="108"/>
  <c r="D105" s="1"/>
  <c r="E103" i="67"/>
  <c r="E47" s="1"/>
  <c r="E101"/>
  <c r="E45" s="1"/>
  <c r="E99" i="70"/>
  <c r="E43" s="1"/>
  <c r="E100"/>
  <c r="E44" s="1"/>
  <c r="E101" i="71"/>
  <c r="E45" s="1"/>
  <c r="E102" i="72"/>
  <c r="E46" s="1"/>
  <c r="E103"/>
  <c r="E47" s="1"/>
  <c r="E101" i="73"/>
  <c r="E45" s="1"/>
  <c r="E100" i="75"/>
  <c r="E44" s="1"/>
  <c r="E101"/>
  <c r="E45" s="1"/>
  <c r="F102" i="76"/>
  <c r="F46" s="1"/>
  <c r="E103" i="77"/>
  <c r="E47" s="1"/>
  <c r="E100" i="85"/>
  <c r="E44" s="1"/>
  <c r="E103" i="86"/>
  <c r="E47" s="1"/>
  <c r="F100" i="88"/>
  <c r="F44" s="1"/>
  <c r="E102" i="79"/>
  <c r="E46" s="1"/>
  <c r="E102" i="80"/>
  <c r="E46" s="1"/>
  <c r="E99" i="91"/>
  <c r="E43" s="1"/>
  <c r="E100"/>
  <c r="E44" s="1"/>
  <c r="F102" i="94"/>
  <c r="F46" s="1"/>
  <c r="F100"/>
  <c r="F44" s="1"/>
  <c r="E102" i="96"/>
  <c r="E46" s="1"/>
  <c r="E103"/>
  <c r="E47" s="1"/>
  <c r="E100" i="97"/>
  <c r="E44" s="1"/>
  <c r="E103"/>
  <c r="E47" s="1"/>
  <c r="E101" i="98"/>
  <c r="E45" s="1"/>
  <c r="E101" i="99"/>
  <c r="E45" s="1"/>
  <c r="E99"/>
  <c r="E43" s="1"/>
  <c r="E99" i="100"/>
  <c r="E43" s="1"/>
  <c r="E102"/>
  <c r="E46" s="1"/>
  <c r="E99" i="101"/>
  <c r="E43" s="1"/>
  <c r="E103"/>
  <c r="E47" s="1"/>
  <c r="E102" i="102"/>
  <c r="E46" s="1"/>
  <c r="E103"/>
  <c r="E47" s="1"/>
  <c r="E102" i="108"/>
  <c r="E46" s="1"/>
  <c r="E101"/>
  <c r="E45" s="1"/>
  <c r="E100" i="109"/>
  <c r="E44" s="1"/>
  <c r="E101" i="127"/>
  <c r="E45" s="1"/>
  <c r="E99"/>
  <c r="E43" s="1"/>
  <c r="E99" i="128"/>
  <c r="E43" s="1"/>
  <c r="E135" s="1"/>
  <c r="E100"/>
  <c r="E44" s="1"/>
  <c r="E136" s="1"/>
  <c r="E100" i="38"/>
  <c r="E44" s="1"/>
  <c r="F90" i="39" a="1"/>
  <c r="F90" s="1"/>
  <c r="Q81"/>
  <c r="E101"/>
  <c r="E45" s="1"/>
  <c r="E100"/>
  <c r="E44" s="1"/>
  <c r="E102" i="43"/>
  <c r="E46" s="1"/>
  <c r="E103"/>
  <c r="E47" s="1"/>
  <c r="E99" i="44"/>
  <c r="E43" s="1"/>
  <c r="F93" a="1"/>
  <c r="F93" s="1"/>
  <c r="Q82"/>
  <c r="E102" i="45"/>
  <c r="E46" s="1"/>
  <c r="E99" i="46"/>
  <c r="E43" s="1"/>
  <c r="F93" a="1"/>
  <c r="F93" s="1"/>
  <c r="Q80"/>
  <c r="Q83" s="1"/>
  <c r="E100" i="47"/>
  <c r="E44" s="1"/>
  <c r="F102" i="48"/>
  <c r="F46" s="1"/>
  <c r="E103" i="50"/>
  <c r="E47" s="1"/>
  <c r="E102" i="53"/>
  <c r="E46" s="1"/>
  <c r="F102" i="56"/>
  <c r="F46" s="1"/>
  <c r="F99"/>
  <c r="F43" s="1"/>
  <c r="E101" i="58"/>
  <c r="E45" s="1"/>
  <c r="E99"/>
  <c r="E43" s="1"/>
  <c r="E99" i="59"/>
  <c r="E43" s="1"/>
  <c r="E100"/>
  <c r="E44" s="1"/>
  <c r="E99" i="60"/>
  <c r="E43" s="1"/>
  <c r="E100"/>
  <c r="E44" s="1"/>
  <c r="E103" i="80"/>
  <c r="E47" s="1"/>
  <c r="E102" i="78"/>
  <c r="E46" s="1"/>
  <c r="E100" i="108"/>
  <c r="E44" s="1"/>
  <c r="E103" i="49"/>
  <c r="E47" s="1"/>
  <c r="E100" i="45"/>
  <c r="E44" s="1"/>
  <c r="F100" i="92"/>
  <c r="F44" s="1"/>
  <c r="F102" i="81"/>
  <c r="F46" s="1"/>
  <c r="F103" i="92"/>
  <c r="F47" s="1"/>
  <c r="E103" i="40"/>
  <c r="E47" s="1"/>
  <c r="E103" i="74"/>
  <c r="E47" s="1"/>
  <c r="F99" i="81"/>
  <c r="F43" s="1"/>
  <c r="E103" i="57"/>
  <c r="E47" s="1"/>
  <c r="E99" i="54"/>
  <c r="E43" s="1"/>
  <c r="E101" i="41"/>
  <c r="E45" s="1"/>
  <c r="F99" i="92"/>
  <c r="F43" s="1"/>
  <c r="E100" i="41"/>
  <c r="E44" s="1"/>
  <c r="E99" i="97"/>
  <c r="E43" s="1"/>
  <c r="E99" i="90"/>
  <c r="E43" s="1"/>
  <c r="E102" i="129"/>
  <c r="E46" s="1"/>
  <c r="E103" i="128"/>
  <c r="E47" s="1"/>
  <c r="E139" s="1"/>
  <c r="E99" i="95"/>
  <c r="E43" s="1"/>
  <c r="E102" i="89"/>
  <c r="E46" s="1"/>
  <c r="E103" i="88"/>
  <c r="E47" s="1"/>
  <c r="E102" i="68"/>
  <c r="E46" s="1"/>
  <c r="E99" i="55"/>
  <c r="E43" s="1"/>
  <c r="E102" i="41"/>
  <c r="E46" s="1"/>
  <c r="E101" i="129"/>
  <c r="E45" s="1"/>
  <c r="E101" i="95"/>
  <c r="E45" s="1"/>
  <c r="F93" i="68" a="1"/>
  <c r="F93" s="1"/>
  <c r="Q79"/>
  <c r="E100" i="48"/>
  <c r="E44" s="1"/>
  <c r="E103" i="90"/>
  <c r="E47" s="1"/>
  <c r="E102" i="87"/>
  <c r="E46" s="1"/>
  <c r="G80" i="40"/>
  <c r="R80" s="1"/>
  <c r="Q80"/>
  <c r="E100" i="89"/>
  <c r="E44" s="1"/>
  <c r="E100" i="95"/>
  <c r="E44" s="1"/>
  <c r="E100" i="88"/>
  <c r="E44" s="1"/>
  <c r="E100" i="87"/>
  <c r="E44" s="1"/>
  <c r="E100" i="51"/>
  <c r="E44" s="1"/>
  <c r="E102" i="76"/>
  <c r="E46" s="1"/>
  <c r="E102" i="52"/>
  <c r="E46" s="1"/>
  <c r="E99" i="51"/>
  <c r="E43" s="1"/>
  <c r="H78" i="78"/>
  <c r="S78" s="1"/>
  <c r="R78"/>
  <c r="E101" i="89"/>
  <c r="E45" s="1"/>
  <c r="E99" i="88"/>
  <c r="E43" s="1"/>
  <c r="I78" i="98"/>
  <c r="T78" s="1"/>
  <c r="S78"/>
  <c r="E101" i="76"/>
  <c r="E45" s="1"/>
  <c r="E103" i="51"/>
  <c r="E47" s="1"/>
  <c r="E100" i="69"/>
  <c r="E44" s="1"/>
  <c r="E101"/>
  <c r="E45" s="1"/>
  <c r="G77" i="128"/>
  <c r="R77" s="1"/>
  <c r="Q77"/>
  <c r="E102" i="69"/>
  <c r="E46" s="1"/>
  <c r="E99" i="83"/>
  <c r="E43" s="1"/>
  <c r="E101"/>
  <c r="E45" s="1"/>
  <c r="R82" i="56"/>
  <c r="H82"/>
  <c r="G81" i="76"/>
  <c r="Q81"/>
  <c r="G78" i="51"/>
  <c r="Q78"/>
  <c r="S79" i="72"/>
  <c r="I79"/>
  <c r="T79" s="1"/>
  <c r="H80" i="97"/>
  <c r="R80"/>
  <c r="H80" i="55"/>
  <c r="R80"/>
  <c r="G79" i="95"/>
  <c r="Q79"/>
  <c r="H80" i="47"/>
  <c r="R80"/>
  <c r="G79" i="108"/>
  <c r="Q79"/>
  <c r="G82" i="42"/>
  <c r="Q82"/>
  <c r="G80" i="72"/>
  <c r="Q80"/>
  <c r="G80" i="127"/>
  <c r="Q80"/>
  <c r="G79" i="57"/>
  <c r="Q79"/>
  <c r="G82" i="129"/>
  <c r="Q82"/>
  <c r="G80"/>
  <c r="Q80"/>
  <c r="G78" i="85"/>
  <c r="Q78"/>
  <c r="G80" i="102"/>
  <c r="Q80"/>
  <c r="G80" i="79"/>
  <c r="Q80"/>
  <c r="H79" i="51"/>
  <c r="R79"/>
  <c r="H78" i="76"/>
  <c r="R78"/>
  <c r="H81" i="47"/>
  <c r="R81"/>
  <c r="H80" i="32"/>
  <c r="S80" s="1"/>
  <c r="R78" i="45"/>
  <c r="H78"/>
  <c r="R78" i="88"/>
  <c r="H78"/>
  <c r="G79" i="83"/>
  <c r="Q79"/>
  <c r="G80" i="90"/>
  <c r="Q80"/>
  <c r="G81" i="68"/>
  <c r="Q81"/>
  <c r="G81" i="48"/>
  <c r="Q81"/>
  <c r="G78" i="59"/>
  <c r="Q78"/>
  <c r="G80" i="87"/>
  <c r="Q80"/>
  <c r="G81" i="85"/>
  <c r="Q81"/>
  <c r="G81" i="99"/>
  <c r="Q81"/>
  <c r="G79" i="44"/>
  <c r="Q79"/>
  <c r="G82" i="79"/>
  <c r="Q82"/>
  <c r="G80" i="83"/>
  <c r="Q80"/>
  <c r="H80" i="93"/>
  <c r="R80"/>
  <c r="Q82" i="77"/>
  <c r="G82"/>
  <c r="R78" i="93"/>
  <c r="H78"/>
  <c r="R81" i="56"/>
  <c r="H81"/>
  <c r="G79" i="54"/>
  <c r="Q79"/>
  <c r="G82" i="41"/>
  <c r="Q82"/>
  <c r="G80" i="89"/>
  <c r="Q80"/>
  <c r="G80" i="48"/>
  <c r="Q80"/>
  <c r="G80" i="52"/>
  <c r="Q80"/>
  <c r="G82" i="85"/>
  <c r="Q82"/>
  <c r="G81" i="52"/>
  <c r="Q81"/>
  <c r="G82" i="60"/>
  <c r="Q82"/>
  <c r="H81" i="51"/>
  <c r="R81"/>
  <c r="G82" i="100"/>
  <c r="Q82"/>
  <c r="G78" i="41"/>
  <c r="Q78"/>
  <c r="F99" i="94"/>
  <c r="F43" s="1"/>
  <c r="E102" i="67"/>
  <c r="E46" s="1"/>
  <c r="E101" i="70"/>
  <c r="E45" s="1"/>
  <c r="E99" i="71"/>
  <c r="E43" s="1"/>
  <c r="E102"/>
  <c r="E46" s="1"/>
  <c r="E99" i="72"/>
  <c r="E43" s="1"/>
  <c r="E100"/>
  <c r="E44" s="1"/>
  <c r="E102" i="73"/>
  <c r="E46" s="1"/>
  <c r="E103"/>
  <c r="E47" s="1"/>
  <c r="E101" i="74"/>
  <c r="E45" s="1"/>
  <c r="E102"/>
  <c r="E46" s="1"/>
  <c r="E102" i="75"/>
  <c r="E46" s="1"/>
  <c r="E102" i="77"/>
  <c r="E46" s="1"/>
  <c r="E100"/>
  <c r="E44" s="1"/>
  <c r="E99" i="82"/>
  <c r="E43" s="1"/>
  <c r="E101"/>
  <c r="E45" s="1"/>
  <c r="E102" i="85"/>
  <c r="E46" s="1"/>
  <c r="E101"/>
  <c r="E45" s="1"/>
  <c r="E99" i="86"/>
  <c r="E43" s="1"/>
  <c r="F93" a="1"/>
  <c r="F93" s="1"/>
  <c r="Q82"/>
  <c r="E101"/>
  <c r="E45" s="1"/>
  <c r="E101" i="79"/>
  <c r="E45" s="1"/>
  <c r="E99"/>
  <c r="E43" s="1"/>
  <c r="E103"/>
  <c r="E47" s="1"/>
  <c r="E99" i="80"/>
  <c r="E43" s="1"/>
  <c r="E101"/>
  <c r="E45" s="1"/>
  <c r="F103" i="89"/>
  <c r="F47" s="1"/>
  <c r="E101" i="91"/>
  <c r="E45" s="1"/>
  <c r="G91" i="94" a="1"/>
  <c r="G91" s="1"/>
  <c r="R78"/>
  <c r="E101" i="96"/>
  <c r="E45" s="1"/>
  <c r="E100"/>
  <c r="E44" s="1"/>
  <c r="E101" i="97"/>
  <c r="E45" s="1"/>
  <c r="E102" i="98"/>
  <c r="E46" s="1"/>
  <c r="E103"/>
  <c r="E47" s="1"/>
  <c r="E102" i="99"/>
  <c r="E46" s="1"/>
  <c r="F88" a="1"/>
  <c r="F88" s="1"/>
  <c r="Q82"/>
  <c r="E100"/>
  <c r="E44" s="1"/>
  <c r="E100" i="100"/>
  <c r="E44" s="1"/>
  <c r="E103"/>
  <c r="E47" s="1"/>
  <c r="E100" i="101"/>
  <c r="E44" s="1"/>
  <c r="E99" i="102"/>
  <c r="E43" s="1"/>
  <c r="E100"/>
  <c r="E44" s="1"/>
  <c r="E103" i="108"/>
  <c r="E47" s="1"/>
  <c r="E101" i="109"/>
  <c r="E45" s="1"/>
  <c r="E102"/>
  <c r="E46" s="1"/>
  <c r="E102" i="127"/>
  <c r="E46" s="1"/>
  <c r="E100"/>
  <c r="E44" s="1"/>
  <c r="E101" i="128"/>
  <c r="E45" s="1"/>
  <c r="E137" s="1"/>
  <c r="E45" i="32"/>
  <c r="E46"/>
  <c r="E47"/>
  <c r="E101" i="38"/>
  <c r="E45" s="1"/>
  <c r="E102" i="39"/>
  <c r="E46" s="1"/>
  <c r="E99" i="40"/>
  <c r="E43" s="1"/>
  <c r="E101" i="42"/>
  <c r="E45" s="1"/>
  <c r="E102"/>
  <c r="E46" s="1"/>
  <c r="E103"/>
  <c r="E47" s="1"/>
  <c r="E99" i="43"/>
  <c r="E43" s="1"/>
  <c r="E100"/>
  <c r="E44" s="1"/>
  <c r="E103" i="44"/>
  <c r="E47" s="1"/>
  <c r="E99" i="45"/>
  <c r="E43" s="1"/>
  <c r="E103"/>
  <c r="E47" s="1"/>
  <c r="E100" i="46"/>
  <c r="E44" s="1"/>
  <c r="E101"/>
  <c r="E45" s="1"/>
  <c r="E101" i="47"/>
  <c r="E45" s="1"/>
  <c r="E99"/>
  <c r="E43" s="1"/>
  <c r="F99" i="48"/>
  <c r="F43" s="1"/>
  <c r="E99" i="50"/>
  <c r="E43" s="1"/>
  <c r="E101"/>
  <c r="E45" s="1"/>
  <c r="F103" i="52"/>
  <c r="F47" s="1"/>
  <c r="E103" i="53"/>
  <c r="E47" s="1"/>
  <c r="G89" i="56" a="1"/>
  <c r="G89" s="1"/>
  <c r="R80"/>
  <c r="F99" i="57"/>
  <c r="F43" s="1"/>
  <c r="E103" i="58"/>
  <c r="E47" s="1"/>
  <c r="E103" i="59"/>
  <c r="E47" s="1"/>
  <c r="E101" i="60"/>
  <c r="E45" s="1"/>
  <c r="E102" i="38"/>
  <c r="E46" s="1"/>
  <c r="E103" i="78"/>
  <c r="E47" s="1"/>
  <c r="E99" i="108"/>
  <c r="E43" s="1"/>
  <c r="E101" i="93"/>
  <c r="E45" s="1"/>
  <c r="F100" i="81"/>
  <c r="F44" s="1"/>
  <c r="E100" i="74"/>
  <c r="E44" s="1"/>
  <c r="E102" i="49"/>
  <c r="E46" s="1"/>
  <c r="F102" i="92"/>
  <c r="F46" s="1"/>
  <c r="E103" i="82"/>
  <c r="E47" s="1"/>
  <c r="E101" i="49"/>
  <c r="E45" s="1"/>
  <c r="E101" i="101"/>
  <c r="E45" s="1"/>
  <c r="E99" i="78"/>
  <c r="E43" s="1"/>
  <c r="E102" i="55"/>
  <c r="E46" s="1"/>
  <c r="E100" i="54"/>
  <c r="E44" s="1"/>
  <c r="E101" i="90"/>
  <c r="E45" s="1"/>
  <c r="E101" i="55"/>
  <c r="E45" s="1"/>
  <c r="E102" i="54"/>
  <c r="E46" s="1"/>
  <c r="E100" i="90"/>
  <c r="E44" s="1"/>
  <c r="E102" i="40"/>
  <c r="E46" s="1"/>
  <c r="E100" i="93"/>
  <c r="E44" s="1"/>
  <c r="E103" i="129"/>
  <c r="E47" s="1"/>
  <c r="E103" i="95"/>
  <c r="E47" s="1"/>
  <c r="E103" i="89"/>
  <c r="E47" s="1"/>
  <c r="E101" i="57"/>
  <c r="E45" s="1"/>
  <c r="E99" i="89"/>
  <c r="E43" s="1"/>
  <c r="E101" i="68"/>
  <c r="E45" s="1"/>
  <c r="E103" i="87"/>
  <c r="E47" s="1"/>
  <c r="E99" i="129"/>
  <c r="E43" s="1"/>
  <c r="E103" i="41"/>
  <c r="E47" s="1"/>
  <c r="E102" i="95"/>
  <c r="E46" s="1"/>
  <c r="E99" i="48"/>
  <c r="E43" s="1"/>
  <c r="H80" i="128"/>
  <c r="S80" s="1"/>
  <c r="R80"/>
  <c r="E102" i="90"/>
  <c r="E46" s="1"/>
  <c r="E101" i="52"/>
  <c r="E45" s="1"/>
  <c r="E103" i="76"/>
  <c r="E47" s="1"/>
  <c r="E103" i="52"/>
  <c r="E47" s="1"/>
  <c r="H80" i="80"/>
  <c r="S80" s="1"/>
  <c r="R80"/>
  <c r="E99" i="76"/>
  <c r="E43" s="1"/>
  <c r="E99" i="68"/>
  <c r="E43" s="1"/>
  <c r="G79" i="73"/>
  <c r="R79" s="1"/>
  <c r="Q79"/>
  <c r="H79" i="70"/>
  <c r="S79" s="1"/>
  <c r="E99" i="87"/>
  <c r="E43" s="1"/>
  <c r="E103" i="69"/>
  <c r="E47" s="1"/>
  <c r="E100" i="83"/>
  <c r="E44" s="1"/>
  <c r="E103"/>
  <c r="E47" s="1"/>
  <c r="F87" i="87" a="1"/>
  <c r="F87" s="1"/>
  <c r="Q82"/>
  <c r="E102" i="83"/>
  <c r="E46" s="1"/>
  <c r="G80" i="88"/>
  <c r="Q80"/>
  <c r="G80" i="41"/>
  <c r="Q80"/>
  <c r="R78" i="79"/>
  <c r="H78"/>
  <c r="R78" i="101"/>
  <c r="H78"/>
  <c r="R78" i="56"/>
  <c r="H78"/>
  <c r="H78" i="95"/>
  <c r="R78"/>
  <c r="R82" i="48"/>
  <c r="H82"/>
  <c r="Q80" i="82"/>
  <c r="G80"/>
  <c r="G82" i="83"/>
  <c r="Q82"/>
  <c r="G81" i="90"/>
  <c r="Q81"/>
  <c r="G80" i="76"/>
  <c r="Q80"/>
  <c r="G80" i="54"/>
  <c r="Q80"/>
  <c r="G81" i="75"/>
  <c r="Q81"/>
  <c r="G81" i="55"/>
  <c r="Q81"/>
  <c r="H80" i="57"/>
  <c r="R80"/>
  <c r="H79" i="48"/>
  <c r="R79"/>
  <c r="H81" i="60"/>
  <c r="R81"/>
  <c r="R81" i="92"/>
  <c r="H81"/>
  <c r="R81" i="58"/>
  <c r="H81"/>
  <c r="I78" i="72"/>
  <c r="T78" s="1"/>
  <c r="S78"/>
  <c r="G82" i="89"/>
  <c r="Q82"/>
  <c r="G80" i="51"/>
  <c r="Q80"/>
  <c r="H77" i="83"/>
  <c r="R77"/>
  <c r="G79" i="67"/>
  <c r="Q79"/>
  <c r="G79" i="85"/>
  <c r="Q79"/>
  <c r="G78" i="57"/>
  <c r="Q78"/>
  <c r="G82" i="32"/>
  <c r="R82" s="1"/>
  <c r="G78" i="48"/>
  <c r="Q78"/>
  <c r="G77" i="78"/>
  <c r="Q77"/>
  <c r="G82" i="51"/>
  <c r="Q82"/>
  <c r="Q81" i="71"/>
  <c r="G81"/>
  <c r="H78" i="73"/>
  <c r="R78"/>
  <c r="R79" i="99"/>
  <c r="H79"/>
  <c r="R81" i="97"/>
  <c r="H81"/>
  <c r="G82" i="57"/>
  <c r="Q82"/>
  <c r="G79" i="45"/>
  <c r="Q79"/>
  <c r="G81" i="32"/>
  <c r="R81" s="1"/>
  <c r="G82" i="54"/>
  <c r="Q82"/>
  <c r="G82" i="95"/>
  <c r="Q82"/>
  <c r="G81" i="87"/>
  <c r="Q81"/>
  <c r="G79" i="32"/>
  <c r="R79" s="1"/>
  <c r="G81" i="88"/>
  <c r="Q81"/>
  <c r="G81" i="57"/>
  <c r="Q81"/>
  <c r="G81" i="79"/>
  <c r="Q81"/>
  <c r="G82" i="127"/>
  <c r="Q82"/>
  <c r="H80" i="78"/>
  <c r="R80"/>
  <c r="E99" i="67"/>
  <c r="E43" s="1"/>
  <c r="E100"/>
  <c r="E44" s="1"/>
  <c r="E102" i="70"/>
  <c r="E46" s="1"/>
  <c r="E103"/>
  <c r="E47" s="1"/>
  <c r="E100" i="71"/>
  <c r="E44" s="1"/>
  <c r="E103"/>
  <c r="E47" s="1"/>
  <c r="E101" i="72"/>
  <c r="E45" s="1"/>
  <c r="E99" i="73"/>
  <c r="E43" s="1"/>
  <c r="E100"/>
  <c r="E44" s="1"/>
  <c r="E99" i="74"/>
  <c r="E43" s="1"/>
  <c r="E99" i="75"/>
  <c r="E43" s="1"/>
  <c r="E103"/>
  <c r="E47" s="1"/>
  <c r="E101" i="77"/>
  <c r="E45" s="1"/>
  <c r="E99"/>
  <c r="E43" s="1"/>
  <c r="E100" i="82"/>
  <c r="E44" s="1"/>
  <c r="E99" i="85"/>
  <c r="E43" s="1"/>
  <c r="E103"/>
  <c r="E47" s="1"/>
  <c r="F87" a="1"/>
  <c r="F87" s="1"/>
  <c r="Q80"/>
  <c r="E100" i="86"/>
  <c r="E44" s="1"/>
  <c r="E102"/>
  <c r="E46" s="1"/>
  <c r="E100" i="79"/>
  <c r="E44" s="1"/>
  <c r="E100" i="80"/>
  <c r="E44" s="1"/>
  <c r="E102" i="91"/>
  <c r="E46" s="1"/>
  <c r="E103"/>
  <c r="E47" s="1"/>
  <c r="F103" i="94"/>
  <c r="F47" s="1"/>
  <c r="F101"/>
  <c r="F45" s="1"/>
  <c r="E99" i="96"/>
  <c r="E43" s="1"/>
  <c r="E102" i="97"/>
  <c r="E46" s="1"/>
  <c r="E99" i="98"/>
  <c r="E43" s="1"/>
  <c r="E100"/>
  <c r="E44" s="1"/>
  <c r="E103" i="99"/>
  <c r="E47" s="1"/>
  <c r="E101" i="100"/>
  <c r="E45" s="1"/>
  <c r="E102" i="101"/>
  <c r="E46" s="1"/>
  <c r="E101" i="102"/>
  <c r="E45" s="1"/>
  <c r="F93" i="108" a="1"/>
  <c r="F93" s="1"/>
  <c r="Q82"/>
  <c r="E99" i="109"/>
  <c r="E43" s="1"/>
  <c r="E103"/>
  <c r="E47" s="1"/>
  <c r="E103" i="127"/>
  <c r="E47" s="1"/>
  <c r="E102" i="128"/>
  <c r="E46" s="1"/>
  <c r="E138" s="1"/>
  <c r="E43" i="32"/>
  <c r="E44"/>
  <c r="E99" i="38"/>
  <c r="E43" s="1"/>
  <c r="E103" i="39"/>
  <c r="E47" s="1"/>
  <c r="E99"/>
  <c r="E43" s="1"/>
  <c r="E101" i="40"/>
  <c r="E45" s="1"/>
  <c r="E99" i="42"/>
  <c r="E43" s="1"/>
  <c r="E100"/>
  <c r="E44" s="1"/>
  <c r="E101" i="43"/>
  <c r="E45" s="1"/>
  <c r="E102" i="44"/>
  <c r="E46" s="1"/>
  <c r="E101"/>
  <c r="E45" s="1"/>
  <c r="E100"/>
  <c r="E44" s="1"/>
  <c r="E101" i="45"/>
  <c r="E45" s="1"/>
  <c r="E102" i="47"/>
  <c r="E46" s="1"/>
  <c r="E103"/>
  <c r="E47" s="1"/>
  <c r="E100" i="50"/>
  <c r="E44" s="1"/>
  <c r="E102"/>
  <c r="E46" s="1"/>
  <c r="F102" i="51"/>
  <c r="F46" s="1"/>
  <c r="E101" i="53"/>
  <c r="E45" s="1"/>
  <c r="E99"/>
  <c r="E43" s="1"/>
  <c r="E100"/>
  <c r="E44" s="1"/>
  <c r="F102" i="55"/>
  <c r="F46" s="1"/>
  <c r="F101" i="56"/>
  <c r="F45" s="1"/>
  <c r="F103"/>
  <c r="F47" s="1"/>
  <c r="F100"/>
  <c r="F44" s="1"/>
  <c r="E102" i="58"/>
  <c r="E46" s="1"/>
  <c r="E100"/>
  <c r="E44" s="1"/>
  <c r="E101" i="59"/>
  <c r="E45" s="1"/>
  <c r="E102"/>
  <c r="E46" s="1"/>
  <c r="F91" a="1"/>
  <c r="F91" s="1"/>
  <c r="Q80"/>
  <c r="E102" i="60"/>
  <c r="E46" s="1"/>
  <c r="E103"/>
  <c r="E47" s="1"/>
  <c r="E102" i="93"/>
  <c r="E46" s="1"/>
  <c r="F103" i="81"/>
  <c r="F47" s="1"/>
  <c r="E100" i="40"/>
  <c r="E44" s="1"/>
  <c r="F101" i="81"/>
  <c r="F45" s="1"/>
  <c r="E102" i="46"/>
  <c r="E46" s="1"/>
  <c r="E99" i="49"/>
  <c r="E43" s="1"/>
  <c r="E100" i="78"/>
  <c r="E44" s="1"/>
  <c r="E103" i="93"/>
  <c r="E47" s="1"/>
  <c r="F101" i="92"/>
  <c r="F45" s="1"/>
  <c r="R81" i="70"/>
  <c r="E99" i="93"/>
  <c r="E43" s="1"/>
  <c r="E102" i="57"/>
  <c r="E46" s="1"/>
  <c r="E103" i="55"/>
  <c r="E47" s="1"/>
  <c r="E103" i="38"/>
  <c r="E47" s="1"/>
  <c r="F93" i="90" a="1"/>
  <c r="F93" s="1"/>
  <c r="Q79"/>
  <c r="E103" i="54"/>
  <c r="E47" s="1"/>
  <c r="E99" i="41"/>
  <c r="E43" s="1"/>
  <c r="E102" i="48"/>
  <c r="E46" s="1"/>
  <c r="G80" i="101"/>
  <c r="R80" s="1"/>
  <c r="Q80"/>
  <c r="E102" i="88"/>
  <c r="E46" s="1"/>
  <c r="E100" i="57"/>
  <c r="E44" s="1"/>
  <c r="E101" i="54"/>
  <c r="E45" s="1"/>
  <c r="E101" i="48"/>
  <c r="E45" s="1"/>
  <c r="G78" i="128"/>
  <c r="R78" s="1"/>
  <c r="Q78"/>
  <c r="E101" i="88"/>
  <c r="E45" s="1"/>
  <c r="E103" i="48"/>
  <c r="E47" s="1"/>
  <c r="R80" i="44"/>
  <c r="E100" i="129"/>
  <c r="E44" s="1"/>
  <c r="E99" i="57"/>
  <c r="E43" s="1"/>
  <c r="E100" i="55"/>
  <c r="E44" s="1"/>
  <c r="E101" i="87"/>
  <c r="E45" s="1"/>
  <c r="E101" i="51"/>
  <c r="E45" s="1"/>
  <c r="E100" i="76"/>
  <c r="E44" s="1"/>
  <c r="E100" i="68"/>
  <c r="E44" s="1"/>
  <c r="H82" i="88"/>
  <c r="S82" s="1"/>
  <c r="R82"/>
  <c r="E99" i="52"/>
  <c r="E43" s="1"/>
  <c r="E99" i="69"/>
  <c r="E43" s="1"/>
  <c r="E103" i="68"/>
  <c r="E47" s="1"/>
  <c r="G81" i="38"/>
  <c r="Q81"/>
  <c r="H78"/>
  <c r="R78"/>
  <c r="H78" i="87"/>
  <c r="R78"/>
  <c r="Q77" i="74"/>
  <c r="G77"/>
  <c r="H81" i="94"/>
  <c r="R81"/>
  <c r="H78" i="44"/>
  <c r="R78"/>
  <c r="H80" i="67"/>
  <c r="R80"/>
  <c r="R79" i="56"/>
  <c r="H79"/>
  <c r="G81" i="69"/>
  <c r="Q81"/>
  <c r="G80" i="68"/>
  <c r="Q80"/>
  <c r="G80" i="69"/>
  <c r="Q80"/>
  <c r="G79" i="129"/>
  <c r="Q79"/>
  <c r="G81" i="41"/>
  <c r="Q81"/>
  <c r="G80" i="77"/>
  <c r="Q80"/>
  <c r="G79" i="55"/>
  <c r="Q79"/>
  <c r="G81" i="59"/>
  <c r="Q81"/>
  <c r="G80" i="75"/>
  <c r="Q80"/>
  <c r="G81" i="86"/>
  <c r="Q81"/>
  <c r="G81" i="45"/>
  <c r="Q81"/>
  <c r="G78" i="74"/>
  <c r="Q78"/>
  <c r="G80" i="86"/>
  <c r="Q80"/>
  <c r="R81" i="46"/>
  <c r="H81"/>
  <c r="G79" i="41"/>
  <c r="Q79"/>
  <c r="G81" i="83"/>
  <c r="Q81"/>
  <c r="G81" i="95"/>
  <c r="Q81"/>
  <c r="R80" i="94"/>
  <c r="H80"/>
  <c r="H79" i="58"/>
  <c r="R79"/>
  <c r="G81" i="108"/>
  <c r="Q81"/>
  <c r="G80"/>
  <c r="Q80"/>
  <c r="G79" i="88"/>
  <c r="Q79"/>
  <c r="G80" i="60"/>
  <c r="Q80"/>
  <c r="G78" i="69"/>
  <c r="Q78"/>
  <c r="G80" i="95"/>
  <c r="Q80"/>
  <c r="G79" i="89"/>
  <c r="Q79"/>
  <c r="G80" i="91"/>
  <c r="Q80"/>
  <c r="G82" i="58"/>
  <c r="Q82"/>
  <c r="G82" i="93"/>
  <c r="Q82"/>
  <c r="R78" i="86"/>
  <c r="H78"/>
  <c r="H78" i="108"/>
  <c r="R78"/>
  <c r="R82" i="81"/>
  <c r="H82"/>
  <c r="G81" i="89"/>
  <c r="Q81"/>
  <c r="Q82" i="72"/>
  <c r="G82"/>
  <c r="H78" i="47"/>
  <c r="R78"/>
  <c r="G82" i="90"/>
  <c r="Q82"/>
  <c r="G78" i="68"/>
  <c r="Q78"/>
  <c r="G80" i="39"/>
  <c r="Q80"/>
  <c r="G78" i="89"/>
  <c r="Q78"/>
  <c r="G81" i="72"/>
  <c r="Q81"/>
  <c r="G78" i="55"/>
  <c r="Q78"/>
  <c r="G80" i="58"/>
  <c r="Q80"/>
  <c r="G80" i="42"/>
  <c r="Q80"/>
  <c r="G78" i="90"/>
  <c r="Q78"/>
  <c r="G81" i="49"/>
  <c r="Q81"/>
  <c r="Q83" s="1"/>
  <c r="G82" i="96"/>
  <c r="Q82"/>
  <c r="G80" i="100"/>
  <c r="Q80"/>
  <c r="O84" i="94"/>
  <c r="C56" i="104"/>
  <c r="C67" s="1"/>
  <c r="C150" s="1"/>
  <c r="C58"/>
  <c r="C69" s="1"/>
  <c r="C152" s="1"/>
  <c r="C54" i="63"/>
  <c r="C65" s="1"/>
  <c r="C140" s="1"/>
  <c r="C54" i="104"/>
  <c r="C65" s="1"/>
  <c r="C148" s="1"/>
  <c r="E44" i="49"/>
  <c r="C57" i="63"/>
  <c r="C68" s="1"/>
  <c r="C143" s="1"/>
  <c r="D48" i="41"/>
  <c r="D207" s="1"/>
  <c r="D48" i="55"/>
  <c r="D207" s="1"/>
  <c r="C57" i="104"/>
  <c r="C68" s="1"/>
  <c r="C151" s="1"/>
  <c r="O84" i="84"/>
  <c r="D47" i="104"/>
  <c r="C58" i="63"/>
  <c r="C69" s="1"/>
  <c r="C144" s="1"/>
  <c r="J36" i="109"/>
  <c r="E46" i="51"/>
  <c r="E46" i="82"/>
  <c r="C55" i="63"/>
  <c r="C66" s="1"/>
  <c r="C141" s="1"/>
  <c r="C55" i="104"/>
  <c r="C66" s="1"/>
  <c r="C149" s="1"/>
  <c r="D105" i="45"/>
  <c r="D47" i="63"/>
  <c r="E44" i="52"/>
  <c r="D48" i="54"/>
  <c r="D207" s="1"/>
  <c r="D45" i="63"/>
  <c r="E47" i="46"/>
  <c r="D46" i="104"/>
  <c r="D45"/>
  <c r="D48" i="108"/>
  <c r="D207" s="1"/>
  <c r="E45" i="78"/>
  <c r="D46" i="63"/>
  <c r="Q83" i="81"/>
  <c r="E42" i="79"/>
  <c r="N84" i="109"/>
  <c r="C105"/>
  <c r="E128" i="85" a="1"/>
  <c r="E128" s="1"/>
  <c r="E130" s="1"/>
  <c r="F128" i="53" a="1"/>
  <c r="F128" s="1"/>
  <c r="F130" s="1"/>
  <c r="E128" i="39" a="1"/>
  <c r="E128" s="1"/>
  <c r="E130" s="1"/>
  <c r="F122" i="71" a="1"/>
  <c r="F122" s="1"/>
  <c r="F126" a="1"/>
  <c r="F126" s="1"/>
  <c r="F127" a="1"/>
  <c r="F127" s="1"/>
  <c r="I54" i="131"/>
  <c r="E128" i="91" a="1"/>
  <c r="E128" s="1"/>
  <c r="E130" s="1"/>
  <c r="G113" i="71"/>
  <c r="G126" s="1" a="1"/>
  <c r="G126" s="1"/>
  <c r="F123" a="1"/>
  <c r="F123" s="1"/>
  <c r="E128" i="53" a="1"/>
  <c r="E128" s="1"/>
  <c r="E130" s="1"/>
  <c r="E128" i="71" a="1"/>
  <c r="E128" s="1"/>
  <c r="E130" s="1"/>
  <c r="E92" i="83" a="1"/>
  <c r="E92" s="1"/>
  <c r="E94" s="1"/>
  <c r="F86" i="87" a="1"/>
  <c r="F86" s="1"/>
  <c r="F98" s="1"/>
  <c r="F90" a="1"/>
  <c r="F90" s="1"/>
  <c r="G113" i="48"/>
  <c r="G129" s="1" a="1"/>
  <c r="G129" s="1"/>
  <c r="F123" a="1"/>
  <c r="F123" s="1"/>
  <c r="F124" a="1"/>
  <c r="F124" s="1"/>
  <c r="F91" i="87" a="1"/>
  <c r="F91" s="1"/>
  <c r="F125" i="48" a="1"/>
  <c r="F125" s="1"/>
  <c r="H78" i="83"/>
  <c r="S78" s="1"/>
  <c r="F128" i="96" a="1"/>
  <c r="F128" s="1"/>
  <c r="F130" s="1"/>
  <c r="F128" i="97" a="1"/>
  <c r="F128" s="1"/>
  <c r="F130" s="1"/>
  <c r="F90" i="68" a="1"/>
  <c r="F90" s="1"/>
  <c r="E92" i="69" a="1"/>
  <c r="E92" s="1"/>
  <c r="E94" s="1"/>
  <c r="F89" i="44" a="1"/>
  <c r="F89" s="1"/>
  <c r="G80" i="49"/>
  <c r="E92" i="76" a="1"/>
  <c r="E92" s="1"/>
  <c r="E94" s="1"/>
  <c r="G79" i="68"/>
  <c r="F86" a="1"/>
  <c r="F86" s="1"/>
  <c r="F98" s="1"/>
  <c r="G82" i="109"/>
  <c r="I82" i="71"/>
  <c r="T82" s="1"/>
  <c r="F91" i="68" a="1"/>
  <c r="F91" s="1"/>
  <c r="F87" a="1"/>
  <c r="F87" s="1"/>
  <c r="G79" i="90"/>
  <c r="E92" i="51" a="1"/>
  <c r="E92" s="1"/>
  <c r="E94" s="1"/>
  <c r="F88" i="68" a="1"/>
  <c r="F88" s="1"/>
  <c r="F89" a="1"/>
  <c r="F89" s="1"/>
  <c r="D44" i="87"/>
  <c r="O115" s="1"/>
  <c r="F128" i="82" a="1"/>
  <c r="F128" s="1"/>
  <c r="F130" s="1"/>
  <c r="F128" i="79" a="1"/>
  <c r="F128" s="1"/>
  <c r="F130" s="1"/>
  <c r="E128" i="89" a="1"/>
  <c r="E128" s="1"/>
  <c r="E130" s="1"/>
  <c r="F128" i="47" a="1"/>
  <c r="F128" s="1"/>
  <c r="F130" s="1"/>
  <c r="F128" i="54" a="1"/>
  <c r="F128" s="1"/>
  <c r="F130" s="1"/>
  <c r="F128" i="69" a="1"/>
  <c r="F128" s="1"/>
  <c r="F130" s="1"/>
  <c r="F127" i="84" a="1"/>
  <c r="F127" s="1"/>
  <c r="F139" s="1"/>
  <c r="F128" i="87" a="1"/>
  <c r="F128" s="1"/>
  <c r="F130" s="1"/>
  <c r="F128" i="93" a="1"/>
  <c r="F128" s="1"/>
  <c r="F130" s="1"/>
  <c r="E128" i="52" a="1"/>
  <c r="E128" s="1"/>
  <c r="E130" s="1"/>
  <c r="E128" i="55" a="1"/>
  <c r="E128" s="1"/>
  <c r="E130" s="1"/>
  <c r="J25" i="38"/>
  <c r="F88" i="90" a="1"/>
  <c r="F88" s="1"/>
  <c r="G81" i="50"/>
  <c r="R81" s="1"/>
  <c r="E92" i="87" a="1"/>
  <c r="E92" s="1"/>
  <c r="E94" s="1"/>
  <c r="N119" i="90"/>
  <c r="F128" i="72" a="1"/>
  <c r="F128" s="1"/>
  <c r="F130" s="1"/>
  <c r="E128" i="75" a="1"/>
  <c r="E128" s="1"/>
  <c r="E130" s="1"/>
  <c r="F128" i="81" a="1"/>
  <c r="F128" s="1"/>
  <c r="F130" s="1"/>
  <c r="F128" i="83" a="1"/>
  <c r="F128" s="1"/>
  <c r="F130" s="1"/>
  <c r="E128" i="84" a="1"/>
  <c r="E128" s="1"/>
  <c r="E130" s="1"/>
  <c r="F129" a="1"/>
  <c r="F129" s="1"/>
  <c r="F128" i="85" a="1"/>
  <c r="F128" s="1"/>
  <c r="F130" s="1"/>
  <c r="E128" i="43" a="1"/>
  <c r="E128" s="1"/>
  <c r="E130" s="1"/>
  <c r="F128" i="55" a="1"/>
  <c r="F128" s="1"/>
  <c r="F130" s="1"/>
  <c r="E30" i="104"/>
  <c r="E36" s="1"/>
  <c r="F128" i="73" a="1"/>
  <c r="F128" s="1"/>
  <c r="F130" s="1"/>
  <c r="F122" i="84" a="1"/>
  <c r="F122" s="1"/>
  <c r="F124" a="1"/>
  <c r="F124" s="1"/>
  <c r="F128" i="45" a="1"/>
  <c r="F128" s="1"/>
  <c r="F130" s="1"/>
  <c r="F128" i="50" a="1"/>
  <c r="F128" s="1"/>
  <c r="F130" s="1"/>
  <c r="F128" i="51" a="1"/>
  <c r="F128" s="1"/>
  <c r="F130" s="1"/>
  <c r="F128" i="59" a="1"/>
  <c r="F128" s="1"/>
  <c r="F130" s="1"/>
  <c r="F30" i="104"/>
  <c r="F36" s="1"/>
  <c r="F86" s="1"/>
  <c r="F123" i="84" a="1"/>
  <c r="F123" s="1"/>
  <c r="J25"/>
  <c r="J25" i="41"/>
  <c r="D104" i="39"/>
  <c r="O84" s="1"/>
  <c r="D105" i="94"/>
  <c r="E92" i="52" a="1"/>
  <c r="E92" s="1"/>
  <c r="E94" s="1"/>
  <c r="F86" i="49" a="1"/>
  <c r="F86" s="1"/>
  <c r="F98" s="1"/>
  <c r="F90" a="1"/>
  <c r="F90" s="1"/>
  <c r="D105" i="84"/>
  <c r="E92" i="88" a="1"/>
  <c r="E92" s="1"/>
  <c r="E94" s="1"/>
  <c r="E92" i="95" a="1"/>
  <c r="E92" s="1"/>
  <c r="E94" s="1"/>
  <c r="E92" i="48" a="1"/>
  <c r="E92" s="1"/>
  <c r="E94" s="1"/>
  <c r="E92" i="89" a="1"/>
  <c r="E92" s="1"/>
  <c r="E94" s="1"/>
  <c r="E92" i="129" a="1"/>
  <c r="E92" s="1"/>
  <c r="E94" s="1"/>
  <c r="H82" i="38"/>
  <c r="G81" i="40"/>
  <c r="E92" i="68" a="1"/>
  <c r="E92" s="1"/>
  <c r="E94" s="1"/>
  <c r="F93" i="59" a="1"/>
  <c r="F93" s="1"/>
  <c r="D44" i="63"/>
  <c r="P83" i="128"/>
  <c r="G87" i="92" a="1"/>
  <c r="G87" s="1"/>
  <c r="F90" i="128" a="1"/>
  <c r="F90" s="1"/>
  <c r="D48" i="48"/>
  <c r="D207" s="1"/>
  <c r="D104" i="51"/>
  <c r="D105" s="1"/>
  <c r="E92" i="54" a="1"/>
  <c r="E92" s="1"/>
  <c r="E94" s="1"/>
  <c r="E92" i="41" a="1"/>
  <c r="E92" s="1"/>
  <c r="E94" s="1"/>
  <c r="F91" i="49" a="1"/>
  <c r="F91" s="1"/>
  <c r="F88" a="1"/>
  <c r="F88" s="1"/>
  <c r="D104" i="48"/>
  <c r="D105" s="1"/>
  <c r="F93" i="97" a="1"/>
  <c r="F93" s="1"/>
  <c r="F91" i="90" a="1"/>
  <c r="F91" s="1"/>
  <c r="F87" a="1"/>
  <c r="F87" s="1"/>
  <c r="D104" i="41"/>
  <c r="D105" s="1"/>
  <c r="E92" i="57" a="1"/>
  <c r="E92" s="1"/>
  <c r="E94" s="1"/>
  <c r="F89" i="90" a="1"/>
  <c r="F89" s="1"/>
  <c r="F86" a="1"/>
  <c r="F86" s="1"/>
  <c r="F90" a="1"/>
  <c r="F90" s="1"/>
  <c r="G88" i="56" a="1"/>
  <c r="G88" s="1"/>
  <c r="G93" a="1"/>
  <c r="G93" s="1"/>
  <c r="F86" i="59" a="1"/>
  <c r="F86" s="1"/>
  <c r="F98" s="1"/>
  <c r="E92" i="55" a="1"/>
  <c r="E92" s="1"/>
  <c r="E94" s="1"/>
  <c r="G87" i="56" a="1"/>
  <c r="G87" s="1"/>
  <c r="G86" a="1"/>
  <c r="G86" s="1"/>
  <c r="G98" s="1"/>
  <c r="G81" i="128"/>
  <c r="R81" s="1"/>
  <c r="F88" i="86" a="1"/>
  <c r="F88" s="1"/>
  <c r="E92" i="90" a="1"/>
  <c r="E92" s="1"/>
  <c r="E94" s="1"/>
  <c r="F86" i="40" a="1"/>
  <c r="F86" s="1"/>
  <c r="F98" s="1"/>
  <c r="F89" i="46" a="1"/>
  <c r="F89" s="1"/>
  <c r="F91" i="75" a="1"/>
  <c r="F91" s="1"/>
  <c r="F87" i="86" a="1"/>
  <c r="F87" s="1"/>
  <c r="F91" i="40" a="1"/>
  <c r="F91" s="1"/>
  <c r="G79" i="128"/>
  <c r="R79" s="1"/>
  <c r="F86" a="1"/>
  <c r="F86" s="1"/>
  <c r="F98" s="1"/>
  <c r="F87" i="46" a="1"/>
  <c r="F87" s="1"/>
  <c r="E92" i="78" a="1"/>
  <c r="E92" s="1"/>
  <c r="E94" s="1"/>
  <c r="G88" i="94" a="1"/>
  <c r="G88" s="1"/>
  <c r="F92" i="92" a="1"/>
  <c r="F92" s="1"/>
  <c r="F94" s="1"/>
  <c r="G82" i="43"/>
  <c r="R82" s="1"/>
  <c r="G87" i="94" a="1"/>
  <c r="G87" s="1"/>
  <c r="F90" i="97" a="1"/>
  <c r="F90" s="1"/>
  <c r="F88" i="109" a="1"/>
  <c r="F88" s="1"/>
  <c r="F87" i="128" a="1"/>
  <c r="F87" s="1"/>
  <c r="F87" i="40" a="1"/>
  <c r="F87" s="1"/>
  <c r="F88" i="46" a="1"/>
  <c r="F88" s="1"/>
  <c r="F90" a="1"/>
  <c r="F90" s="1"/>
  <c r="G91" i="56" a="1"/>
  <c r="G91" s="1"/>
  <c r="G90" a="1"/>
  <c r="G90" s="1"/>
  <c r="F87" i="82" a="1"/>
  <c r="F87" s="1"/>
  <c r="G93" i="92" a="1"/>
  <c r="G93" s="1"/>
  <c r="F88" i="82" a="1"/>
  <c r="F88" s="1"/>
  <c r="F90" i="99" a="1"/>
  <c r="F90" s="1"/>
  <c r="F87" i="127" a="1"/>
  <c r="F87" s="1"/>
  <c r="F89" i="128" a="1"/>
  <c r="F89" s="1"/>
  <c r="F91" a="1"/>
  <c r="F91" s="1"/>
  <c r="F93" a="1"/>
  <c r="F93" s="1"/>
  <c r="F88" i="40" a="1"/>
  <c r="F88" s="1"/>
  <c r="F90" a="1"/>
  <c r="F90" s="1"/>
  <c r="F89" i="49" a="1"/>
  <c r="F89" s="1"/>
  <c r="G79" i="91"/>
  <c r="R79" s="1"/>
  <c r="F91" i="85" a="1"/>
  <c r="F91" s="1"/>
  <c r="G90" i="92" a="1"/>
  <c r="G90" s="1"/>
  <c r="H79"/>
  <c r="F89" i="100" a="1"/>
  <c r="F89" s="1"/>
  <c r="F88" i="128" a="1"/>
  <c r="F88" s="1"/>
  <c r="F86" i="46" a="1"/>
  <c r="F86" s="1"/>
  <c r="F91" a="1"/>
  <c r="F91" s="1"/>
  <c r="F87" i="59" a="1"/>
  <c r="F87" s="1"/>
  <c r="E92" i="53" a="1"/>
  <c r="E92" s="1"/>
  <c r="E94" s="1"/>
  <c r="F93" i="82" a="1"/>
  <c r="F93" s="1"/>
  <c r="F86" i="86" a="1"/>
  <c r="F86" s="1"/>
  <c r="F98" s="1"/>
  <c r="F89" a="1"/>
  <c r="F89" s="1"/>
  <c r="E92" i="91" a="1"/>
  <c r="E92" s="1"/>
  <c r="E94" s="1"/>
  <c r="G86" i="92" a="1"/>
  <c r="G86" s="1"/>
  <c r="G98" s="1"/>
  <c r="G91" a="1"/>
  <c r="G91" s="1"/>
  <c r="G89" a="1"/>
  <c r="G89" s="1"/>
  <c r="G86" i="94" a="1"/>
  <c r="G86" s="1"/>
  <c r="G98" s="1"/>
  <c r="G93" a="1"/>
  <c r="G93" s="1"/>
  <c r="G89" a="1"/>
  <c r="G89" s="1"/>
  <c r="F88" i="97" a="1"/>
  <c r="F88" s="1"/>
  <c r="F86" a="1"/>
  <c r="F86" s="1"/>
  <c r="F98" s="1"/>
  <c r="F91" a="1"/>
  <c r="F91" s="1"/>
  <c r="F93" i="49" a="1"/>
  <c r="F93" s="1"/>
  <c r="E92" a="1"/>
  <c r="E92" s="1"/>
  <c r="E94" s="1"/>
  <c r="F87" a="1"/>
  <c r="F87" s="1"/>
  <c r="G82"/>
  <c r="R82" s="1"/>
  <c r="F89" i="59" a="1"/>
  <c r="F89" s="1"/>
  <c r="F90" a="1"/>
  <c r="F90" s="1"/>
  <c r="E92" i="72" a="1"/>
  <c r="E92" s="1"/>
  <c r="E94" s="1"/>
  <c r="F90" i="85" a="1"/>
  <c r="F90" s="1"/>
  <c r="F91" i="86" a="1"/>
  <c r="F91" s="1"/>
  <c r="F90" a="1"/>
  <c r="F90" s="1"/>
  <c r="G88" i="92" a="1"/>
  <c r="G88" s="1"/>
  <c r="G90" i="94" a="1"/>
  <c r="G90" s="1"/>
  <c r="F89" i="97" a="1"/>
  <c r="F89" s="1"/>
  <c r="E92" a="1"/>
  <c r="E92" s="1"/>
  <c r="E94" s="1"/>
  <c r="F91" i="100" a="1"/>
  <c r="F91" s="1"/>
  <c r="E92" i="43" a="1"/>
  <c r="E92" s="1"/>
  <c r="E94" s="1"/>
  <c r="E92" i="58" a="1"/>
  <c r="E92" s="1"/>
  <c r="E94" s="1"/>
  <c r="F88" i="59" a="1"/>
  <c r="F88" s="1"/>
  <c r="E92" i="93" a="1"/>
  <c r="E92" s="1"/>
  <c r="E94" s="1"/>
  <c r="G81" i="53"/>
  <c r="R81" s="1"/>
  <c r="F89" i="39" a="1"/>
  <c r="F89" s="1"/>
  <c r="E92" i="74" a="1"/>
  <c r="E92" s="1"/>
  <c r="E94" s="1"/>
  <c r="F91" i="82" a="1"/>
  <c r="F91" s="1"/>
  <c r="F90" a="1"/>
  <c r="F90" s="1"/>
  <c r="F88" i="85" a="1"/>
  <c r="F88" s="1"/>
  <c r="F89" a="1"/>
  <c r="F89" s="1"/>
  <c r="F93" a="1"/>
  <c r="F93" s="1"/>
  <c r="F93" i="100" a="1"/>
  <c r="F93" s="1"/>
  <c r="F87" i="101" a="1"/>
  <c r="F87" s="1"/>
  <c r="F93" i="39" a="1"/>
  <c r="F93" s="1"/>
  <c r="F92" i="81" a="1"/>
  <c r="F92" s="1"/>
  <c r="F94" s="1"/>
  <c r="E92" i="67" a="1"/>
  <c r="E92" s="1"/>
  <c r="E94" s="1"/>
  <c r="F93" i="75" a="1"/>
  <c r="F93" s="1"/>
  <c r="F86" i="82" a="1"/>
  <c r="F86" s="1"/>
  <c r="F98" s="1"/>
  <c r="F86" i="85" a="1"/>
  <c r="F86" s="1"/>
  <c r="F98" s="1"/>
  <c r="F88" i="39" a="1"/>
  <c r="F88" s="1"/>
  <c r="E92" i="44" a="1"/>
  <c r="E92" s="1"/>
  <c r="E94" s="1"/>
  <c r="F88" a="1"/>
  <c r="F88" s="1"/>
  <c r="E92" i="45" a="1"/>
  <c r="E92" s="1"/>
  <c r="E94" s="1"/>
  <c r="F93" a="1"/>
  <c r="F93" s="1"/>
  <c r="F93" i="53" a="1"/>
  <c r="F93" s="1"/>
  <c r="D104" i="99"/>
  <c r="D105" s="1"/>
  <c r="J25" i="57"/>
  <c r="J25" i="45"/>
  <c r="H30" i="63"/>
  <c r="G30" i="104"/>
  <c r="G36" s="1"/>
  <c r="I25"/>
  <c r="I139" s="1"/>
  <c r="J25" i="73"/>
  <c r="J25" i="100"/>
  <c r="J25" i="46"/>
  <c r="J25" i="78"/>
  <c r="J25" i="91"/>
  <c r="J25" i="98"/>
  <c r="F30" i="63"/>
  <c r="E30"/>
  <c r="J25" i="94"/>
  <c r="J25" i="108"/>
  <c r="J25" i="32"/>
  <c r="J25" i="39"/>
  <c r="J25" i="60"/>
  <c r="J25" i="70"/>
  <c r="J25" i="71"/>
  <c r="D104" i="95"/>
  <c r="O84" s="1"/>
  <c r="L606" i="105"/>
  <c r="N120" i="80"/>
  <c r="D43" i="76"/>
  <c r="D104"/>
  <c r="D105" s="1"/>
  <c r="L376" i="105"/>
  <c r="H85" i="104"/>
  <c r="H138"/>
  <c r="H130" i="63"/>
  <c r="H85"/>
  <c r="D85" i="104"/>
  <c r="D138"/>
  <c r="G138"/>
  <c r="G85"/>
  <c r="D132" i="63"/>
  <c r="D86"/>
  <c r="J25" i="69"/>
  <c r="J25" i="81"/>
  <c r="J25" i="43"/>
  <c r="J25" i="51"/>
  <c r="I36" i="104"/>
  <c r="F139"/>
  <c r="D42" i="68"/>
  <c r="O113" s="1"/>
  <c r="D104"/>
  <c r="O84" s="1"/>
  <c r="D42" i="69"/>
  <c r="O113" s="1"/>
  <c r="D104"/>
  <c r="D105" i="52"/>
  <c r="D206"/>
  <c r="I138" i="104"/>
  <c r="I85"/>
  <c r="E130" i="63"/>
  <c r="E85"/>
  <c r="I85"/>
  <c r="I130"/>
  <c r="D85"/>
  <c r="D130"/>
  <c r="J25" i="88"/>
  <c r="J25" i="89"/>
  <c r="J25" i="90"/>
  <c r="J25" i="95"/>
  <c r="J25" i="96"/>
  <c r="J25" i="127"/>
  <c r="E139" i="104"/>
  <c r="G139"/>
  <c r="H139"/>
  <c r="D43" i="52"/>
  <c r="D104"/>
  <c r="O84" s="1"/>
  <c r="D105" i="68"/>
  <c r="D206"/>
  <c r="F130" i="63"/>
  <c r="F85"/>
  <c r="F85" i="104"/>
  <c r="F138"/>
  <c r="D42" i="57"/>
  <c r="O113" s="1"/>
  <c r="D104"/>
  <c r="D105" s="1"/>
  <c r="D140" i="104"/>
  <c r="D86"/>
  <c r="E138"/>
  <c r="E85"/>
  <c r="G130" i="63"/>
  <c r="G85"/>
  <c r="J25" i="75"/>
  <c r="J25" i="44"/>
  <c r="J25" i="53"/>
  <c r="J25" i="59"/>
  <c r="L551" i="105"/>
  <c r="L14" i="131"/>
  <c r="L265" i="130"/>
  <c r="L45" i="131"/>
  <c r="N120" i="40"/>
  <c r="L35" i="131"/>
  <c r="L36" s="1"/>
  <c r="L53"/>
  <c r="L284" i="130"/>
  <c r="L40" i="131"/>
  <c r="L376" i="130"/>
  <c r="L41" i="131" s="1"/>
  <c r="L512" i="105"/>
  <c r="L606" i="130"/>
  <c r="L42" i="131"/>
  <c r="L30"/>
  <c r="L23" i="130"/>
  <c r="L512"/>
  <c r="L97" i="105"/>
  <c r="L225" i="130"/>
  <c r="B67" i="135"/>
  <c r="B52" i="130"/>
  <c r="B363" i="135"/>
  <c r="B276" i="130"/>
  <c r="N120" i="46"/>
  <c r="L551" i="130"/>
  <c r="N120" i="74"/>
  <c r="N120" i="78"/>
  <c r="C67" i="111"/>
  <c r="C55" i="135"/>
  <c r="C437" i="111"/>
  <c r="C351" i="135"/>
  <c r="C42" i="104"/>
  <c r="C48" s="1"/>
  <c r="C87" s="1"/>
  <c r="B67" i="106"/>
  <c r="B82" i="111"/>
  <c r="P83" i="78"/>
  <c r="N119" i="94"/>
  <c r="N119" i="96"/>
  <c r="N119" i="97"/>
  <c r="N119" i="99"/>
  <c r="N119" i="129"/>
  <c r="N119" i="44"/>
  <c r="N119" i="51"/>
  <c r="N119" i="56"/>
  <c r="B363" i="106"/>
  <c r="B452" i="111"/>
  <c r="N119" i="69"/>
  <c r="N119" i="75"/>
  <c r="N119" i="92"/>
  <c r="N119" i="93"/>
  <c r="N119" i="95"/>
  <c r="N119" i="42"/>
  <c r="N119" i="50"/>
  <c r="N119" i="71"/>
  <c r="N119" i="76"/>
  <c r="N119" i="81"/>
  <c r="N119" i="101"/>
  <c r="N119" i="49"/>
  <c r="N119" i="53"/>
  <c r="N119" i="58"/>
  <c r="C43" i="105"/>
  <c r="C55" i="106"/>
  <c r="C267" i="105"/>
  <c r="C351" i="106"/>
  <c r="M236" i="105"/>
  <c r="M236" i="130" s="1"/>
  <c r="M232" i="105"/>
  <c r="M232" i="130" s="1"/>
  <c r="M233" i="105"/>
  <c r="M233" i="130" s="1"/>
  <c r="M234" i="105"/>
  <c r="M234" i="130" s="1"/>
  <c r="M235" i="105"/>
  <c r="M235" i="130" s="1"/>
  <c r="M9" i="105"/>
  <c r="M9" i="130" s="1"/>
  <c r="M10" i="105"/>
  <c r="M10" i="130" s="1"/>
  <c r="M13" i="105"/>
  <c r="M13" i="130" s="1"/>
  <c r="C42" i="63"/>
  <c r="M12" i="105"/>
  <c r="M12" i="130" s="1"/>
  <c r="M11" i="105"/>
  <c r="M11" i="130" s="1"/>
  <c r="L265" i="105"/>
  <c r="L225"/>
  <c r="C273" i="7"/>
  <c r="C276" i="130" s="1"/>
  <c r="B276" i="105"/>
  <c r="C52" i="7"/>
  <c r="C52" i="130" s="1"/>
  <c r="B52" i="105"/>
  <c r="G78" i="60"/>
  <c r="R78" s="1"/>
  <c r="G36"/>
  <c r="F127" a="1"/>
  <c r="F127" s="1"/>
  <c r="F124" a="1"/>
  <c r="F124" s="1"/>
  <c r="F129" a="1"/>
  <c r="F129" s="1"/>
  <c r="F126" a="1"/>
  <c r="F126" s="1"/>
  <c r="F123" a="1"/>
  <c r="F123" s="1"/>
  <c r="F125" a="1"/>
  <c r="F125" s="1"/>
  <c r="F122" a="1"/>
  <c r="F122" s="1"/>
  <c r="G113"/>
  <c r="G79"/>
  <c r="R79" s="1"/>
  <c r="F36"/>
  <c r="F93" a="1"/>
  <c r="F93" s="1"/>
  <c r="F90" a="1"/>
  <c r="F90" s="1"/>
  <c r="F87" a="1"/>
  <c r="F87" s="1"/>
  <c r="F89" a="1"/>
  <c r="F89" s="1"/>
  <c r="F88" a="1"/>
  <c r="F88" s="1"/>
  <c r="F86" a="1"/>
  <c r="F86" s="1"/>
  <c r="F98" s="1"/>
  <c r="F91" a="1"/>
  <c r="F91" s="1"/>
  <c r="G77"/>
  <c r="R77" s="1"/>
  <c r="E128" a="1"/>
  <c r="E128" s="1"/>
  <c r="E130" s="1"/>
  <c r="D104"/>
  <c r="D42"/>
  <c r="O113" s="1"/>
  <c r="C48"/>
  <c r="I36"/>
  <c r="E36"/>
  <c r="H36"/>
  <c r="L165"/>
  <c r="I165"/>
  <c r="F165"/>
  <c r="C165"/>
  <c r="M165"/>
  <c r="G165"/>
  <c r="D165"/>
  <c r="A165"/>
  <c r="J166"/>
  <c r="K165"/>
  <c r="H165"/>
  <c r="E165"/>
  <c r="B165"/>
  <c r="E92" a="1"/>
  <c r="E92" s="1"/>
  <c r="E94" s="1"/>
  <c r="C48" i="59"/>
  <c r="E36"/>
  <c r="I36"/>
  <c r="F36"/>
  <c r="G80"/>
  <c r="R80" s="1"/>
  <c r="L165"/>
  <c r="I165"/>
  <c r="F165"/>
  <c r="C165"/>
  <c r="M165"/>
  <c r="G165"/>
  <c r="D165"/>
  <c r="A165"/>
  <c r="J166"/>
  <c r="K165"/>
  <c r="H165"/>
  <c r="E165"/>
  <c r="B165"/>
  <c r="G79"/>
  <c r="R79" s="1"/>
  <c r="H36"/>
  <c r="G82"/>
  <c r="R82" s="1"/>
  <c r="E92" a="1"/>
  <c r="E92" s="1"/>
  <c r="E94" s="1"/>
  <c r="G129" a="1"/>
  <c r="G129" s="1"/>
  <c r="G126" a="1"/>
  <c r="G126" s="1"/>
  <c r="G123" a="1"/>
  <c r="G123" s="1"/>
  <c r="G122" a="1"/>
  <c r="G122" s="1"/>
  <c r="G125" a="1"/>
  <c r="G125" s="1"/>
  <c r="G124" a="1"/>
  <c r="G124" s="1"/>
  <c r="G127" a="1"/>
  <c r="G127" s="1"/>
  <c r="H113"/>
  <c r="G36"/>
  <c r="H77"/>
  <c r="S77" s="1"/>
  <c r="D104"/>
  <c r="D42"/>
  <c r="O113" s="1"/>
  <c r="H36" i="58"/>
  <c r="I78"/>
  <c r="T78" s="1"/>
  <c r="F93" a="1"/>
  <c r="F93" s="1"/>
  <c r="F90" a="1"/>
  <c r="F90" s="1"/>
  <c r="F87" a="1"/>
  <c r="F87" s="1"/>
  <c r="F91" a="1"/>
  <c r="F91" s="1"/>
  <c r="F86" a="1"/>
  <c r="F86" s="1"/>
  <c r="F98" s="1"/>
  <c r="F89" a="1"/>
  <c r="F89" s="1"/>
  <c r="F88" a="1"/>
  <c r="F88" s="1"/>
  <c r="G77"/>
  <c r="R77" s="1"/>
  <c r="M164"/>
  <c r="G164"/>
  <c r="D164"/>
  <c r="A164"/>
  <c r="L164"/>
  <c r="H164"/>
  <c r="C164"/>
  <c r="J165"/>
  <c r="I164"/>
  <c r="E164"/>
  <c r="B164"/>
  <c r="F164"/>
  <c r="K164"/>
  <c r="D104"/>
  <c r="D42"/>
  <c r="O113" s="1"/>
  <c r="I206"/>
  <c r="E36"/>
  <c r="C140"/>
  <c r="C53"/>
  <c r="F128" a="1"/>
  <c r="F128" s="1"/>
  <c r="F130" s="1"/>
  <c r="F36"/>
  <c r="C207"/>
  <c r="C141"/>
  <c r="G129" a="1"/>
  <c r="G129" s="1"/>
  <c r="G126" a="1"/>
  <c r="G126" s="1"/>
  <c r="G123" a="1"/>
  <c r="G123" s="1"/>
  <c r="G122" a="1"/>
  <c r="G122" s="1"/>
  <c r="G125" a="1"/>
  <c r="G125" s="1"/>
  <c r="G124" a="1"/>
  <c r="G124" s="1"/>
  <c r="G127" a="1"/>
  <c r="G127" s="1"/>
  <c r="H113"/>
  <c r="G36"/>
  <c r="E128" a="1"/>
  <c r="E128" s="1"/>
  <c r="E130" s="1"/>
  <c r="J25"/>
  <c r="G36" i="57"/>
  <c r="C48"/>
  <c r="E36"/>
  <c r="H36"/>
  <c r="F127" a="1"/>
  <c r="F127" s="1"/>
  <c r="F124" a="1"/>
  <c r="F124" s="1"/>
  <c r="F129" a="1"/>
  <c r="F129" s="1"/>
  <c r="F126" a="1"/>
  <c r="F126" s="1"/>
  <c r="F123" a="1"/>
  <c r="F123" s="1"/>
  <c r="F125" a="1"/>
  <c r="F125" s="1"/>
  <c r="F122" a="1"/>
  <c r="F122" s="1"/>
  <c r="G113"/>
  <c r="E128" a="1"/>
  <c r="E128" s="1"/>
  <c r="E130" s="1"/>
  <c r="L165"/>
  <c r="I165"/>
  <c r="F165"/>
  <c r="C165"/>
  <c r="M165"/>
  <c r="G165"/>
  <c r="D165"/>
  <c r="A165"/>
  <c r="J166"/>
  <c r="K165"/>
  <c r="H165"/>
  <c r="E165"/>
  <c r="B165"/>
  <c r="H77"/>
  <c r="S77" s="1"/>
  <c r="G36" i="56"/>
  <c r="F127" a="1"/>
  <c r="F127" s="1"/>
  <c r="F124" a="1"/>
  <c r="F124" s="1"/>
  <c r="F129" a="1"/>
  <c r="F129" s="1"/>
  <c r="F126" a="1"/>
  <c r="F126" s="1"/>
  <c r="F123" a="1"/>
  <c r="F123" s="1"/>
  <c r="F125" a="1"/>
  <c r="F125" s="1"/>
  <c r="F122" a="1"/>
  <c r="F122" s="1"/>
  <c r="G113"/>
  <c r="D48"/>
  <c r="O119"/>
  <c r="E128" a="1"/>
  <c r="E128" s="1"/>
  <c r="E130" s="1"/>
  <c r="E36"/>
  <c r="C140"/>
  <c r="C53"/>
  <c r="J25"/>
  <c r="I77"/>
  <c r="T77" s="1"/>
  <c r="L165"/>
  <c r="I165"/>
  <c r="F165"/>
  <c r="C165"/>
  <c r="M165"/>
  <c r="G165"/>
  <c r="D165"/>
  <c r="A165"/>
  <c r="J166"/>
  <c r="K165"/>
  <c r="H165"/>
  <c r="E165"/>
  <c r="B165"/>
  <c r="H80"/>
  <c r="F92" a="1"/>
  <c r="F92" s="1"/>
  <c r="F94" s="1"/>
  <c r="H36"/>
  <c r="C207"/>
  <c r="C141"/>
  <c r="D105"/>
  <c r="O84"/>
  <c r="E36" i="55"/>
  <c r="F36"/>
  <c r="I36"/>
  <c r="G36"/>
  <c r="L165"/>
  <c r="I165"/>
  <c r="F165"/>
  <c r="C165"/>
  <c r="M165"/>
  <c r="G165"/>
  <c r="D165"/>
  <c r="A165"/>
  <c r="J166"/>
  <c r="K165"/>
  <c r="H165"/>
  <c r="E165"/>
  <c r="B165"/>
  <c r="H77"/>
  <c r="S77" s="1"/>
  <c r="C48"/>
  <c r="G129" a="1"/>
  <c r="G129" s="1"/>
  <c r="G126" a="1"/>
  <c r="G126" s="1"/>
  <c r="G123" a="1"/>
  <c r="G123" s="1"/>
  <c r="G125" a="1"/>
  <c r="G125" s="1"/>
  <c r="G122" a="1"/>
  <c r="G122" s="1"/>
  <c r="G127" a="1"/>
  <c r="G127" s="1"/>
  <c r="G124" a="1"/>
  <c r="G124" s="1"/>
  <c r="H113"/>
  <c r="H36"/>
  <c r="J25"/>
  <c r="I36" i="54"/>
  <c r="G36"/>
  <c r="I78"/>
  <c r="T78" s="1"/>
  <c r="L165"/>
  <c r="I165"/>
  <c r="F165"/>
  <c r="C165"/>
  <c r="M165"/>
  <c r="G165"/>
  <c r="D165"/>
  <c r="A165"/>
  <c r="J166"/>
  <c r="K165"/>
  <c r="H165"/>
  <c r="E165"/>
  <c r="B165"/>
  <c r="H77"/>
  <c r="S77" s="1"/>
  <c r="F36"/>
  <c r="H36"/>
  <c r="E36"/>
  <c r="G129" a="1"/>
  <c r="G129" s="1"/>
  <c r="G126" a="1"/>
  <c r="G126" s="1"/>
  <c r="G123" a="1"/>
  <c r="G123" s="1"/>
  <c r="G125" a="1"/>
  <c r="G125" s="1"/>
  <c r="G122" a="1"/>
  <c r="G122" s="1"/>
  <c r="G127" a="1"/>
  <c r="G127" s="1"/>
  <c r="G124" a="1"/>
  <c r="G124" s="1"/>
  <c r="H113"/>
  <c r="C48"/>
  <c r="J25"/>
  <c r="D104" i="53"/>
  <c r="D42"/>
  <c r="O113" s="1"/>
  <c r="G206"/>
  <c r="G82"/>
  <c r="R82" s="1"/>
  <c r="G80"/>
  <c r="R80" s="1"/>
  <c r="H36"/>
  <c r="C140"/>
  <c r="C53"/>
  <c r="C141"/>
  <c r="C207"/>
  <c r="F87" a="1"/>
  <c r="F87" s="1"/>
  <c r="F86" a="1"/>
  <c r="F86" s="1"/>
  <c r="F98" s="1"/>
  <c r="F91" a="1"/>
  <c r="F91" s="1"/>
  <c r="G78"/>
  <c r="R78" s="1"/>
  <c r="I36"/>
  <c r="F36"/>
  <c r="H77"/>
  <c r="S77" s="1"/>
  <c r="G79"/>
  <c r="R79" s="1"/>
  <c r="J165"/>
  <c r="K164"/>
  <c r="H164"/>
  <c r="E164"/>
  <c r="B164"/>
  <c r="F164"/>
  <c r="A164"/>
  <c r="L164"/>
  <c r="G164"/>
  <c r="C164"/>
  <c r="I164"/>
  <c r="M164"/>
  <c r="D164"/>
  <c r="H127" a="1"/>
  <c r="H127" s="1"/>
  <c r="H124" a="1"/>
  <c r="H124" s="1"/>
  <c r="H123" a="1"/>
  <c r="H123" s="1"/>
  <c r="H122" a="1"/>
  <c r="H122" s="1"/>
  <c r="H126" a="1"/>
  <c r="H126" s="1"/>
  <c r="H125" a="1"/>
  <c r="H125" s="1"/>
  <c r="H129" a="1"/>
  <c r="H129" s="1"/>
  <c r="I113"/>
  <c r="E36"/>
  <c r="G128" a="1"/>
  <c r="G128" s="1"/>
  <c r="G130" s="1"/>
  <c r="F90" a="1"/>
  <c r="F90" s="1"/>
  <c r="F88" a="1"/>
  <c r="F88" s="1"/>
  <c r="F89" a="1"/>
  <c r="F89" s="1"/>
  <c r="M164" i="52"/>
  <c r="G164"/>
  <c r="D164"/>
  <c r="A164"/>
  <c r="J165"/>
  <c r="K164"/>
  <c r="H164"/>
  <c r="E164"/>
  <c r="B164"/>
  <c r="L164"/>
  <c r="I164"/>
  <c r="F164"/>
  <c r="C164"/>
  <c r="C48"/>
  <c r="H77"/>
  <c r="S77" s="1"/>
  <c r="F127" a="1"/>
  <c r="F127" s="1"/>
  <c r="F124" a="1"/>
  <c r="F124" s="1"/>
  <c r="F129" a="1"/>
  <c r="F129" s="1"/>
  <c r="F126" a="1"/>
  <c r="F126" s="1"/>
  <c r="F123" a="1"/>
  <c r="F123" s="1"/>
  <c r="F125" a="1"/>
  <c r="F125" s="1"/>
  <c r="F122" a="1"/>
  <c r="F122" s="1"/>
  <c r="G113"/>
  <c r="J25"/>
  <c r="E36"/>
  <c r="H79"/>
  <c r="S79" s="1"/>
  <c r="H36"/>
  <c r="G36"/>
  <c r="H82"/>
  <c r="S82" s="1"/>
  <c r="I36" i="51"/>
  <c r="F36"/>
  <c r="H77"/>
  <c r="S77" s="1"/>
  <c r="C207"/>
  <c r="C141"/>
  <c r="D48"/>
  <c r="M164"/>
  <c r="G164"/>
  <c r="D164"/>
  <c r="A164"/>
  <c r="L164"/>
  <c r="H164"/>
  <c r="C164"/>
  <c r="J165"/>
  <c r="I164"/>
  <c r="E164"/>
  <c r="B164"/>
  <c r="F164"/>
  <c r="K164"/>
  <c r="G36"/>
  <c r="E36"/>
  <c r="G129" a="1"/>
  <c r="G129" s="1"/>
  <c r="G126" a="1"/>
  <c r="G126" s="1"/>
  <c r="G123" a="1"/>
  <c r="G123" s="1"/>
  <c r="G122" a="1"/>
  <c r="G122" s="1"/>
  <c r="G125" a="1"/>
  <c r="G125" s="1"/>
  <c r="G124" a="1"/>
  <c r="G124" s="1"/>
  <c r="G127" a="1"/>
  <c r="G127" s="1"/>
  <c r="H113"/>
  <c r="C140"/>
  <c r="C53"/>
  <c r="H36"/>
  <c r="C207" i="50"/>
  <c r="C141"/>
  <c r="G82"/>
  <c r="R82" s="1"/>
  <c r="H36"/>
  <c r="L165"/>
  <c r="I165"/>
  <c r="F165"/>
  <c r="C165"/>
  <c r="M165"/>
  <c r="G165"/>
  <c r="D165"/>
  <c r="A165"/>
  <c r="J166"/>
  <c r="K165"/>
  <c r="H165"/>
  <c r="E165"/>
  <c r="B165"/>
  <c r="I36"/>
  <c r="F86" a="1"/>
  <c r="F86" s="1"/>
  <c r="F98" s="1"/>
  <c r="F89" a="1"/>
  <c r="F89" s="1"/>
  <c r="F93" a="1"/>
  <c r="F93" s="1"/>
  <c r="C140"/>
  <c r="C53"/>
  <c r="F36"/>
  <c r="G80"/>
  <c r="R80" s="1"/>
  <c r="H77"/>
  <c r="S77" s="1"/>
  <c r="E36"/>
  <c r="G129" a="1"/>
  <c r="G129" s="1"/>
  <c r="G126" a="1"/>
  <c r="G126" s="1"/>
  <c r="G123" a="1"/>
  <c r="G123" s="1"/>
  <c r="G125" a="1"/>
  <c r="G125" s="1"/>
  <c r="G122" a="1"/>
  <c r="G122" s="1"/>
  <c r="G127" a="1"/>
  <c r="G127" s="1"/>
  <c r="G124" a="1"/>
  <c r="G124" s="1"/>
  <c r="H113"/>
  <c r="H78"/>
  <c r="S78" s="1"/>
  <c r="F91" a="1"/>
  <c r="F91" s="1"/>
  <c r="F90" a="1"/>
  <c r="F90" s="1"/>
  <c r="G36"/>
  <c r="D104"/>
  <c r="D42"/>
  <c r="O113" s="1"/>
  <c r="G79"/>
  <c r="R79" s="1"/>
  <c r="E92" a="1"/>
  <c r="E92" s="1"/>
  <c r="E94" s="1"/>
  <c r="F88" a="1"/>
  <c r="F88" s="1"/>
  <c r="F87" a="1"/>
  <c r="F87" s="1"/>
  <c r="J25"/>
  <c r="I77" i="49"/>
  <c r="T77" s="1"/>
  <c r="G36"/>
  <c r="F206"/>
  <c r="G129" a="1"/>
  <c r="G129" s="1"/>
  <c r="G126" a="1"/>
  <c r="G126" s="1"/>
  <c r="G123" a="1"/>
  <c r="G123" s="1"/>
  <c r="G127" a="1"/>
  <c r="G127" s="1"/>
  <c r="G124" a="1"/>
  <c r="G124" s="1"/>
  <c r="G125" a="1"/>
  <c r="G125" s="1"/>
  <c r="G122" a="1"/>
  <c r="G122" s="1"/>
  <c r="H113"/>
  <c r="H79"/>
  <c r="S79" s="1"/>
  <c r="I206"/>
  <c r="D104"/>
  <c r="D42"/>
  <c r="O113" s="1"/>
  <c r="F128" a="1"/>
  <c r="F128" s="1"/>
  <c r="F130" s="1"/>
  <c r="C141"/>
  <c r="C207"/>
  <c r="C140"/>
  <c r="C53"/>
  <c r="I78"/>
  <c r="T78" s="1"/>
  <c r="H36"/>
  <c r="M164"/>
  <c r="G164"/>
  <c r="D164"/>
  <c r="A164"/>
  <c r="L164"/>
  <c r="I164"/>
  <c r="F164"/>
  <c r="C164"/>
  <c r="H164"/>
  <c r="K164"/>
  <c r="B164"/>
  <c r="J165"/>
  <c r="E164"/>
  <c r="E36"/>
  <c r="J25"/>
  <c r="H77" i="48"/>
  <c r="S77" s="1"/>
  <c r="M164"/>
  <c r="G164"/>
  <c r="D164"/>
  <c r="A164"/>
  <c r="J165"/>
  <c r="K164"/>
  <c r="H164"/>
  <c r="E164"/>
  <c r="B164"/>
  <c r="L164"/>
  <c r="C164"/>
  <c r="F164"/>
  <c r="I164"/>
  <c r="C48"/>
  <c r="C48" i="47"/>
  <c r="G79"/>
  <c r="R79" s="1"/>
  <c r="H77"/>
  <c r="S77" s="1"/>
  <c r="G129" a="1"/>
  <c r="G129" s="1"/>
  <c r="G126" a="1"/>
  <c r="G126" s="1"/>
  <c r="G123" a="1"/>
  <c r="G123" s="1"/>
  <c r="G125" a="1"/>
  <c r="G125" s="1"/>
  <c r="G122" a="1"/>
  <c r="G122" s="1"/>
  <c r="G127" a="1"/>
  <c r="G127" s="1"/>
  <c r="G124" a="1"/>
  <c r="G124" s="1"/>
  <c r="H113"/>
  <c r="E92" a="1"/>
  <c r="E92" s="1"/>
  <c r="E94" s="1"/>
  <c r="F91" a="1"/>
  <c r="F91" s="1"/>
  <c r="F90" a="1"/>
  <c r="F90" s="1"/>
  <c r="D104"/>
  <c r="D42"/>
  <c r="O113" s="1"/>
  <c r="F36"/>
  <c r="H36"/>
  <c r="F88" a="1"/>
  <c r="F88" s="1"/>
  <c r="F89" a="1"/>
  <c r="F89" s="1"/>
  <c r="L165"/>
  <c r="I165"/>
  <c r="F165"/>
  <c r="C165"/>
  <c r="M165"/>
  <c r="G165"/>
  <c r="D165"/>
  <c r="A165"/>
  <c r="J166"/>
  <c r="K165"/>
  <c r="H165"/>
  <c r="E165"/>
  <c r="B165"/>
  <c r="G36"/>
  <c r="E36"/>
  <c r="I36"/>
  <c r="G82"/>
  <c r="R82" s="1"/>
  <c r="F87" a="1"/>
  <c r="F87" s="1"/>
  <c r="F86" a="1"/>
  <c r="F86" s="1"/>
  <c r="F98" s="1"/>
  <c r="F93" a="1"/>
  <c r="F93" s="1"/>
  <c r="J25"/>
  <c r="H78" i="46"/>
  <c r="S78" s="1"/>
  <c r="F127" a="1"/>
  <c r="F127" s="1"/>
  <c r="F124" a="1"/>
  <c r="F124" s="1"/>
  <c r="F125" a="1"/>
  <c r="F125" s="1"/>
  <c r="F122" a="1"/>
  <c r="F122" s="1"/>
  <c r="F123" a="1"/>
  <c r="F123" s="1"/>
  <c r="F129" a="1"/>
  <c r="F129" s="1"/>
  <c r="F126" a="1"/>
  <c r="F126" s="1"/>
  <c r="G113"/>
  <c r="F206"/>
  <c r="H77"/>
  <c r="S77" s="1"/>
  <c r="E36"/>
  <c r="G80"/>
  <c r="E128" a="1"/>
  <c r="E128" s="1"/>
  <c r="E130" s="1"/>
  <c r="E92" a="1"/>
  <c r="E92" s="1"/>
  <c r="E94" s="1"/>
  <c r="G36"/>
  <c r="H36"/>
  <c r="C59"/>
  <c r="C64"/>
  <c r="D104"/>
  <c r="D42"/>
  <c r="O113" s="1"/>
  <c r="M164"/>
  <c r="G164"/>
  <c r="D164"/>
  <c r="A164"/>
  <c r="L164"/>
  <c r="I164"/>
  <c r="F164"/>
  <c r="C164"/>
  <c r="H164"/>
  <c r="K164"/>
  <c r="J165"/>
  <c r="E164"/>
  <c r="B164"/>
  <c r="H79"/>
  <c r="S79" s="1"/>
  <c r="I206"/>
  <c r="D104" i="45"/>
  <c r="O84" s="1"/>
  <c r="D42"/>
  <c r="O113" s="1"/>
  <c r="H36"/>
  <c r="C48"/>
  <c r="G82"/>
  <c r="R82" s="1"/>
  <c r="F88" a="1"/>
  <c r="F88" s="1"/>
  <c r="F89" a="1"/>
  <c r="F89" s="1"/>
  <c r="L165"/>
  <c r="I165"/>
  <c r="F165"/>
  <c r="C165"/>
  <c r="M165"/>
  <c r="G165"/>
  <c r="D165"/>
  <c r="A165"/>
  <c r="J166"/>
  <c r="K165"/>
  <c r="H165"/>
  <c r="E165"/>
  <c r="B165"/>
  <c r="G80"/>
  <c r="R80" s="1"/>
  <c r="H77"/>
  <c r="S77" s="1"/>
  <c r="G36"/>
  <c r="E36"/>
  <c r="F91" a="1"/>
  <c r="F91" s="1"/>
  <c r="F90" a="1"/>
  <c r="F90" s="1"/>
  <c r="F36"/>
  <c r="I36"/>
  <c r="G129" a="1"/>
  <c r="G129" s="1"/>
  <c r="G126" a="1"/>
  <c r="G126" s="1"/>
  <c r="G123" a="1"/>
  <c r="G123" s="1"/>
  <c r="G125" a="1"/>
  <c r="G125" s="1"/>
  <c r="G122" a="1"/>
  <c r="G122" s="1"/>
  <c r="G127" a="1"/>
  <c r="G127" s="1"/>
  <c r="G124" a="1"/>
  <c r="G124" s="1"/>
  <c r="H113"/>
  <c r="F86" a="1"/>
  <c r="F86" s="1"/>
  <c r="F98" s="1"/>
  <c r="F87" a="1"/>
  <c r="F87" s="1"/>
  <c r="F36" i="44"/>
  <c r="I81"/>
  <c r="T81" s="1"/>
  <c r="C140"/>
  <c r="C53"/>
  <c r="E36"/>
  <c r="F87" a="1"/>
  <c r="F87" s="1"/>
  <c r="F86" a="1"/>
  <c r="F86" s="1"/>
  <c r="F98" s="1"/>
  <c r="C207"/>
  <c r="C141"/>
  <c r="L165"/>
  <c r="I165"/>
  <c r="F165"/>
  <c r="C165"/>
  <c r="M165"/>
  <c r="G165"/>
  <c r="D165"/>
  <c r="A165"/>
  <c r="J166"/>
  <c r="K165"/>
  <c r="H165"/>
  <c r="E165"/>
  <c r="B165"/>
  <c r="D104"/>
  <c r="D42"/>
  <c r="O113" s="1"/>
  <c r="G36"/>
  <c r="F127" a="1"/>
  <c r="F127" s="1"/>
  <c r="F124" a="1"/>
  <c r="F124" s="1"/>
  <c r="F129" a="1"/>
  <c r="F129" s="1"/>
  <c r="F126" a="1"/>
  <c r="F126" s="1"/>
  <c r="F123" a="1"/>
  <c r="F123" s="1"/>
  <c r="F125" a="1"/>
  <c r="F125" s="1"/>
  <c r="F122" a="1"/>
  <c r="F122" s="1"/>
  <c r="G113"/>
  <c r="F90" a="1"/>
  <c r="F90" s="1"/>
  <c r="F91" a="1"/>
  <c r="F91" s="1"/>
  <c r="E128" a="1"/>
  <c r="E128" s="1"/>
  <c r="E130" s="1"/>
  <c r="H77"/>
  <c r="S77" s="1"/>
  <c r="H36"/>
  <c r="I36"/>
  <c r="G82"/>
  <c r="R82" s="1"/>
  <c r="H81" i="43"/>
  <c r="S81" s="1"/>
  <c r="D104"/>
  <c r="D42"/>
  <c r="O113" s="1"/>
  <c r="M164"/>
  <c r="G164"/>
  <c r="D164"/>
  <c r="A164"/>
  <c r="J165"/>
  <c r="K164"/>
  <c r="H164"/>
  <c r="E164"/>
  <c r="B164"/>
  <c r="L164"/>
  <c r="C164"/>
  <c r="F164"/>
  <c r="I164"/>
  <c r="F127" a="1"/>
  <c r="F127" s="1"/>
  <c r="F124" a="1"/>
  <c r="F124" s="1"/>
  <c r="F129" a="1"/>
  <c r="F129" s="1"/>
  <c r="F126" a="1"/>
  <c r="F126" s="1"/>
  <c r="F123" a="1"/>
  <c r="F123" s="1"/>
  <c r="F125" a="1"/>
  <c r="F125" s="1"/>
  <c r="F122" a="1"/>
  <c r="F122" s="1"/>
  <c r="G113"/>
  <c r="E36"/>
  <c r="H36"/>
  <c r="F93" a="1"/>
  <c r="F93" s="1"/>
  <c r="F90" a="1"/>
  <c r="F90" s="1"/>
  <c r="F87" a="1"/>
  <c r="F87" s="1"/>
  <c r="F89" a="1"/>
  <c r="F89" s="1"/>
  <c r="F91" a="1"/>
  <c r="F91" s="1"/>
  <c r="F86" a="1"/>
  <c r="F86" s="1"/>
  <c r="F98" s="1"/>
  <c r="F88" a="1"/>
  <c r="F88" s="1"/>
  <c r="G77"/>
  <c r="R77" s="1"/>
  <c r="G206"/>
  <c r="C48"/>
  <c r="H79"/>
  <c r="S79" s="1"/>
  <c r="F36"/>
  <c r="I36"/>
  <c r="C207" i="42"/>
  <c r="C141"/>
  <c r="F93" a="1"/>
  <c r="F93" s="1"/>
  <c r="F90" a="1"/>
  <c r="F90" s="1"/>
  <c r="F87" a="1"/>
  <c r="F87" s="1"/>
  <c r="F89" a="1"/>
  <c r="F89" s="1"/>
  <c r="F88" a="1"/>
  <c r="F88" s="1"/>
  <c r="F91" a="1"/>
  <c r="F91" s="1"/>
  <c r="F86" a="1"/>
  <c r="F86" s="1"/>
  <c r="F98" s="1"/>
  <c r="G77"/>
  <c r="R77" s="1"/>
  <c r="G79"/>
  <c r="R79" s="1"/>
  <c r="D104"/>
  <c r="D42"/>
  <c r="O113" s="1"/>
  <c r="L165"/>
  <c r="I165"/>
  <c r="F165"/>
  <c r="C165"/>
  <c r="M165"/>
  <c r="G165"/>
  <c r="D165"/>
  <c r="A165"/>
  <c r="J166"/>
  <c r="K165"/>
  <c r="H165"/>
  <c r="E165"/>
  <c r="B165"/>
  <c r="H36"/>
  <c r="F36"/>
  <c r="F127" a="1"/>
  <c r="F127" s="1"/>
  <c r="F124" a="1"/>
  <c r="F124" s="1"/>
  <c r="F129" a="1"/>
  <c r="F129" s="1"/>
  <c r="F126" a="1"/>
  <c r="F126" s="1"/>
  <c r="F123" a="1"/>
  <c r="F123" s="1"/>
  <c r="F125" a="1"/>
  <c r="F125" s="1"/>
  <c r="F122" a="1"/>
  <c r="F122" s="1"/>
  <c r="G113"/>
  <c r="G81"/>
  <c r="R81" s="1"/>
  <c r="G36"/>
  <c r="I36"/>
  <c r="E128" a="1"/>
  <c r="E128" s="1"/>
  <c r="E130" s="1"/>
  <c r="E92" a="1"/>
  <c r="E92" s="1"/>
  <c r="E94" s="1"/>
  <c r="C140"/>
  <c r="C53"/>
  <c r="E36"/>
  <c r="C48" i="41"/>
  <c r="E36"/>
  <c r="H36"/>
  <c r="G36"/>
  <c r="F127" a="1"/>
  <c r="F127" s="1"/>
  <c r="F124" a="1"/>
  <c r="F124" s="1"/>
  <c r="F129" a="1"/>
  <c r="F129" s="1"/>
  <c r="F126" a="1"/>
  <c r="F126" s="1"/>
  <c r="F123" a="1"/>
  <c r="F123" s="1"/>
  <c r="F125" a="1"/>
  <c r="F125" s="1"/>
  <c r="F122" a="1"/>
  <c r="F122" s="1"/>
  <c r="G113"/>
  <c r="E128" a="1"/>
  <c r="E128" s="1"/>
  <c r="E130" s="1"/>
  <c r="H77"/>
  <c r="L165"/>
  <c r="I165"/>
  <c r="F165"/>
  <c r="C165"/>
  <c r="M165"/>
  <c r="G165"/>
  <c r="D165"/>
  <c r="A165"/>
  <c r="J166"/>
  <c r="K165"/>
  <c r="H165"/>
  <c r="E165"/>
  <c r="B165"/>
  <c r="G36" i="40"/>
  <c r="C59"/>
  <c r="C64"/>
  <c r="M164"/>
  <c r="G164"/>
  <c r="D164"/>
  <c r="A164"/>
  <c r="J165"/>
  <c r="K164"/>
  <c r="H164"/>
  <c r="E164"/>
  <c r="B164"/>
  <c r="L164"/>
  <c r="C164"/>
  <c r="F164"/>
  <c r="I164"/>
  <c r="I36"/>
  <c r="G79"/>
  <c r="R79" s="1"/>
  <c r="G82"/>
  <c r="R82" s="1"/>
  <c r="D104"/>
  <c r="D42"/>
  <c r="O113" s="1"/>
  <c r="F128" a="1"/>
  <c r="F128" s="1"/>
  <c r="F130" s="1"/>
  <c r="E92" a="1"/>
  <c r="E92" s="1"/>
  <c r="E94" s="1"/>
  <c r="F89" a="1"/>
  <c r="F89" s="1"/>
  <c r="F93" a="1"/>
  <c r="F93" s="1"/>
  <c r="I77"/>
  <c r="T77" s="1"/>
  <c r="G127" a="1"/>
  <c r="G127" s="1"/>
  <c r="G124" a="1"/>
  <c r="G124" s="1"/>
  <c r="G129" a="1"/>
  <c r="G129" s="1"/>
  <c r="G126" a="1"/>
  <c r="G126" s="1"/>
  <c r="G123" a="1"/>
  <c r="G123" s="1"/>
  <c r="G125" a="1"/>
  <c r="G125" s="1"/>
  <c r="G122" a="1"/>
  <c r="G122" s="1"/>
  <c r="H113"/>
  <c r="E36"/>
  <c r="H78"/>
  <c r="S78" s="1"/>
  <c r="H36"/>
  <c r="F36"/>
  <c r="J25"/>
  <c r="E36" i="39"/>
  <c r="H79"/>
  <c r="S79" s="1"/>
  <c r="H36"/>
  <c r="L165"/>
  <c r="I165"/>
  <c r="F165"/>
  <c r="C165"/>
  <c r="M165"/>
  <c r="G165"/>
  <c r="D165"/>
  <c r="A165"/>
  <c r="J166"/>
  <c r="K165"/>
  <c r="H165"/>
  <c r="E165"/>
  <c r="B165"/>
  <c r="E92" a="1"/>
  <c r="E92" s="1"/>
  <c r="E94" s="1"/>
  <c r="F86" a="1"/>
  <c r="F86" s="1"/>
  <c r="F98" s="1"/>
  <c r="F128" a="1"/>
  <c r="F128" s="1"/>
  <c r="F130" s="1"/>
  <c r="G36"/>
  <c r="G81"/>
  <c r="D48"/>
  <c r="H77"/>
  <c r="S77" s="1"/>
  <c r="C48"/>
  <c r="G129" a="1"/>
  <c r="G129" s="1"/>
  <c r="G126" a="1"/>
  <c r="G126" s="1"/>
  <c r="G123" a="1"/>
  <c r="G123" s="1"/>
  <c r="G125" a="1"/>
  <c r="G125" s="1"/>
  <c r="G122" a="1"/>
  <c r="G122" s="1"/>
  <c r="G127" a="1"/>
  <c r="G127" s="1"/>
  <c r="G124" a="1"/>
  <c r="G124" s="1"/>
  <c r="H113"/>
  <c r="F91" a="1"/>
  <c r="F91" s="1"/>
  <c r="F87" a="1"/>
  <c r="F87" s="1"/>
  <c r="I36" i="38"/>
  <c r="G80"/>
  <c r="R80" s="1"/>
  <c r="D104"/>
  <c r="D42"/>
  <c r="O113" s="1"/>
  <c r="G36"/>
  <c r="F88" a="1"/>
  <c r="F88" s="1"/>
  <c r="F87" a="1"/>
  <c r="F87" s="1"/>
  <c r="F127" a="1"/>
  <c r="F127" s="1"/>
  <c r="F124" a="1"/>
  <c r="F124" s="1"/>
  <c r="F129" a="1"/>
  <c r="F129" s="1"/>
  <c r="F126" a="1"/>
  <c r="F126" s="1"/>
  <c r="F123" a="1"/>
  <c r="F123" s="1"/>
  <c r="F125" a="1"/>
  <c r="F125" s="1"/>
  <c r="F122" a="1"/>
  <c r="F122" s="1"/>
  <c r="G113"/>
  <c r="L165"/>
  <c r="I165"/>
  <c r="F165"/>
  <c r="C165"/>
  <c r="M165"/>
  <c r="G165"/>
  <c r="D165"/>
  <c r="A165"/>
  <c r="J166"/>
  <c r="K165"/>
  <c r="H165"/>
  <c r="E165"/>
  <c r="B165"/>
  <c r="H36"/>
  <c r="F86" a="1"/>
  <c r="F86" s="1"/>
  <c r="F98" s="1"/>
  <c r="F89" a="1"/>
  <c r="F89" s="1"/>
  <c r="F93" a="1"/>
  <c r="F93" s="1"/>
  <c r="E128" a="1"/>
  <c r="E128" s="1"/>
  <c r="E130" s="1"/>
  <c r="E92" a="1"/>
  <c r="E92" s="1"/>
  <c r="E94" s="1"/>
  <c r="C48"/>
  <c r="H77"/>
  <c r="S77" s="1"/>
  <c r="G79"/>
  <c r="R79" s="1"/>
  <c r="F36"/>
  <c r="E36"/>
  <c r="P83" i="109"/>
  <c r="F91" i="38" a="1"/>
  <c r="F91" s="1"/>
  <c r="F90" a="1"/>
  <c r="F90" s="1"/>
  <c r="F93" i="32" a="1"/>
  <c r="F93" s="1"/>
  <c r="F90" a="1"/>
  <c r="F90" s="1"/>
  <c r="F102" s="1"/>
  <c r="F87" a="1"/>
  <c r="F87" s="1"/>
  <c r="F99" s="1"/>
  <c r="F89" a="1"/>
  <c r="F89" s="1"/>
  <c r="F101" s="1"/>
  <c r="F91" a="1"/>
  <c r="F91" s="1"/>
  <c r="F103" s="1"/>
  <c r="F86" a="1"/>
  <c r="F86" s="1"/>
  <c r="F98" s="1"/>
  <c r="F88" a="1"/>
  <c r="F88" s="1"/>
  <c r="F100" s="1"/>
  <c r="G77"/>
  <c r="R77" s="1"/>
  <c r="G36"/>
  <c r="C48"/>
  <c r="D104"/>
  <c r="D42"/>
  <c r="O113" s="1"/>
  <c r="H36"/>
  <c r="L165"/>
  <c r="I165"/>
  <c r="F165"/>
  <c r="C165"/>
  <c r="M165"/>
  <c r="G165"/>
  <c r="D165"/>
  <c r="A165"/>
  <c r="J166"/>
  <c r="K165"/>
  <c r="H165"/>
  <c r="E165"/>
  <c r="B165"/>
  <c r="I36"/>
  <c r="E92" a="1"/>
  <c r="E92" s="1"/>
  <c r="E94" s="1"/>
  <c r="G78"/>
  <c r="R78" s="1"/>
  <c r="F36"/>
  <c r="F127" a="1"/>
  <c r="F127" s="1"/>
  <c r="F124" a="1"/>
  <c r="F124" s="1"/>
  <c r="F129" a="1"/>
  <c r="F129" s="1"/>
  <c r="F126" a="1"/>
  <c r="F126" s="1"/>
  <c r="F123" a="1"/>
  <c r="F123" s="1"/>
  <c r="F125" a="1"/>
  <c r="F125" s="1"/>
  <c r="F122" a="1"/>
  <c r="F122" s="1"/>
  <c r="G113"/>
  <c r="E36"/>
  <c r="E128" a="1"/>
  <c r="E128" s="1"/>
  <c r="E130" s="1"/>
  <c r="L165" i="129"/>
  <c r="I165"/>
  <c r="F165"/>
  <c r="C165"/>
  <c r="M165"/>
  <c r="G165"/>
  <c r="D165"/>
  <c r="A165"/>
  <c r="J166"/>
  <c r="K165"/>
  <c r="H165"/>
  <c r="E165"/>
  <c r="B165"/>
  <c r="H36"/>
  <c r="I36"/>
  <c r="J25"/>
  <c r="E36"/>
  <c r="F36"/>
  <c r="C140"/>
  <c r="C53"/>
  <c r="C207"/>
  <c r="C141"/>
  <c r="D48"/>
  <c r="F127" a="1"/>
  <c r="F127" s="1"/>
  <c r="F124" a="1"/>
  <c r="F124" s="1"/>
  <c r="F129" a="1"/>
  <c r="F129" s="1"/>
  <c r="F126" a="1"/>
  <c r="F126" s="1"/>
  <c r="F123" a="1"/>
  <c r="F123" s="1"/>
  <c r="F125" a="1"/>
  <c r="F125" s="1"/>
  <c r="F122" a="1"/>
  <c r="F122" s="1"/>
  <c r="G113"/>
  <c r="G36"/>
  <c r="E128" a="1"/>
  <c r="E128" s="1"/>
  <c r="E130" s="1"/>
  <c r="E92" i="128" a="1"/>
  <c r="E92" s="1"/>
  <c r="E94" s="1"/>
  <c r="M164"/>
  <c r="G164"/>
  <c r="D164"/>
  <c r="A164"/>
  <c r="J165"/>
  <c r="K164"/>
  <c r="H164"/>
  <c r="E164"/>
  <c r="B164"/>
  <c r="L164"/>
  <c r="I164"/>
  <c r="F164"/>
  <c r="C164"/>
  <c r="D48"/>
  <c r="G82"/>
  <c r="R82" s="1"/>
  <c r="C48"/>
  <c r="C48" i="127"/>
  <c r="H77"/>
  <c r="S77" s="1"/>
  <c r="F91" a="1"/>
  <c r="F91" s="1"/>
  <c r="F90" a="1"/>
  <c r="F90" s="1"/>
  <c r="G36"/>
  <c r="D104"/>
  <c r="D42"/>
  <c r="O113" s="1"/>
  <c r="H36"/>
  <c r="G79"/>
  <c r="R79" s="1"/>
  <c r="F127" a="1"/>
  <c r="F127" s="1"/>
  <c r="F124" a="1"/>
  <c r="F124" s="1"/>
  <c r="F129" a="1"/>
  <c r="F129" s="1"/>
  <c r="F126" a="1"/>
  <c r="F126" s="1"/>
  <c r="F123" a="1"/>
  <c r="F123" s="1"/>
  <c r="F125" a="1"/>
  <c r="F125" s="1"/>
  <c r="F122" a="1"/>
  <c r="F122" s="1"/>
  <c r="G113"/>
  <c r="E92" a="1"/>
  <c r="E92" s="1"/>
  <c r="E94" s="1"/>
  <c r="F88" a="1"/>
  <c r="F88" s="1"/>
  <c r="E128" a="1"/>
  <c r="E128" s="1"/>
  <c r="E130" s="1"/>
  <c r="F36"/>
  <c r="G78"/>
  <c r="R78" s="1"/>
  <c r="I36"/>
  <c r="G81"/>
  <c r="R81" s="1"/>
  <c r="E36"/>
  <c r="L165"/>
  <c r="I165"/>
  <c r="F165"/>
  <c r="C165"/>
  <c r="M165"/>
  <c r="G165"/>
  <c r="D165"/>
  <c r="A165"/>
  <c r="J166"/>
  <c r="K165"/>
  <c r="H165"/>
  <c r="E165"/>
  <c r="B165"/>
  <c r="F86" a="1"/>
  <c r="F86" s="1"/>
  <c r="F98" s="1"/>
  <c r="F89" a="1"/>
  <c r="F89" s="1"/>
  <c r="F93" a="1"/>
  <c r="F93" s="1"/>
  <c r="E42" i="109"/>
  <c r="G80"/>
  <c r="R80" s="1"/>
  <c r="G81"/>
  <c r="R81" s="1"/>
  <c r="L164"/>
  <c r="I164"/>
  <c r="F164"/>
  <c r="C164"/>
  <c r="M164"/>
  <c r="G164"/>
  <c r="D164"/>
  <c r="A164"/>
  <c r="J165"/>
  <c r="K164"/>
  <c r="H164"/>
  <c r="E164"/>
  <c r="B164"/>
  <c r="F87" a="1"/>
  <c r="F87" s="1"/>
  <c r="F125" a="1"/>
  <c r="F125" s="1"/>
  <c r="F122" a="1"/>
  <c r="F122" s="1"/>
  <c r="F127" a="1"/>
  <c r="F127" s="1"/>
  <c r="F124" a="1"/>
  <c r="F124" s="1"/>
  <c r="F129" a="1"/>
  <c r="F129" s="1"/>
  <c r="F126" a="1"/>
  <c r="F126" s="1"/>
  <c r="F123" a="1"/>
  <c r="F123" s="1"/>
  <c r="G113"/>
  <c r="G78"/>
  <c r="R78" s="1"/>
  <c r="D104"/>
  <c r="D42"/>
  <c r="O113" s="1"/>
  <c r="C48"/>
  <c r="E128" a="1"/>
  <c r="E128" s="1"/>
  <c r="E130" s="1"/>
  <c r="F89" a="1"/>
  <c r="F89" s="1"/>
  <c r="F93" a="1"/>
  <c r="F93" s="1"/>
  <c r="H79"/>
  <c r="S79" s="1"/>
  <c r="E92" a="1"/>
  <c r="E92" s="1"/>
  <c r="E94" s="1"/>
  <c r="F86" a="1"/>
  <c r="F86" s="1"/>
  <c r="F98" s="1"/>
  <c r="F90" a="1"/>
  <c r="F90" s="1"/>
  <c r="F91" a="1"/>
  <c r="F91" s="1"/>
  <c r="G129" i="108" a="1"/>
  <c r="G129" s="1"/>
  <c r="G126" a="1"/>
  <c r="G126" s="1"/>
  <c r="G123" a="1"/>
  <c r="G123" s="1"/>
  <c r="G125" a="1"/>
  <c r="G125" s="1"/>
  <c r="G122" a="1"/>
  <c r="G122" s="1"/>
  <c r="G127" a="1"/>
  <c r="G127" s="1"/>
  <c r="G124" a="1"/>
  <c r="G124" s="1"/>
  <c r="H113"/>
  <c r="C48"/>
  <c r="G36"/>
  <c r="F86" a="1"/>
  <c r="F86" s="1"/>
  <c r="F98" s="1"/>
  <c r="E92" a="1"/>
  <c r="E92" s="1"/>
  <c r="E94" s="1"/>
  <c r="F88" a="1"/>
  <c r="F88" s="1"/>
  <c r="F89" a="1"/>
  <c r="F89" s="1"/>
  <c r="L165"/>
  <c r="I165"/>
  <c r="F165"/>
  <c r="C165"/>
  <c r="M165"/>
  <c r="G165"/>
  <c r="D165"/>
  <c r="A165"/>
  <c r="J166"/>
  <c r="K165"/>
  <c r="H165"/>
  <c r="E165"/>
  <c r="B165"/>
  <c r="G82"/>
  <c r="F36"/>
  <c r="E36"/>
  <c r="H77"/>
  <c r="S77" s="1"/>
  <c r="H36"/>
  <c r="I36"/>
  <c r="F90" a="1"/>
  <c r="F90" s="1"/>
  <c r="F128" a="1"/>
  <c r="F128" s="1"/>
  <c r="F130" s="1"/>
  <c r="F91" a="1"/>
  <c r="F91" s="1"/>
  <c r="F87" a="1"/>
  <c r="F87" s="1"/>
  <c r="L165" i="102"/>
  <c r="I165"/>
  <c r="F165"/>
  <c r="C165"/>
  <c r="M165"/>
  <c r="G165"/>
  <c r="D165"/>
  <c r="A165"/>
  <c r="J166"/>
  <c r="K165"/>
  <c r="H165"/>
  <c r="E165"/>
  <c r="B165"/>
  <c r="G36"/>
  <c r="G82"/>
  <c r="R82" s="1"/>
  <c r="H36"/>
  <c r="Q83" i="92"/>
  <c r="E92" i="102" a="1"/>
  <c r="E92" s="1"/>
  <c r="E94" s="1"/>
  <c r="C48"/>
  <c r="G81"/>
  <c r="R81" s="1"/>
  <c r="E36"/>
  <c r="F93" a="1"/>
  <c r="F93" s="1"/>
  <c r="F90" a="1"/>
  <c r="F90" s="1"/>
  <c r="F87" a="1"/>
  <c r="F87" s="1"/>
  <c r="F89" a="1"/>
  <c r="F89" s="1"/>
  <c r="F91" a="1"/>
  <c r="F91" s="1"/>
  <c r="F88" a="1"/>
  <c r="F88" s="1"/>
  <c r="F86" a="1"/>
  <c r="F86" s="1"/>
  <c r="F98" s="1"/>
  <c r="G77"/>
  <c r="R77" s="1"/>
  <c r="G78"/>
  <c r="R78" s="1"/>
  <c r="F127" a="1"/>
  <c r="F127" s="1"/>
  <c r="F124" a="1"/>
  <c r="F124" s="1"/>
  <c r="F129" a="1"/>
  <c r="F129" s="1"/>
  <c r="F126" a="1"/>
  <c r="F126" s="1"/>
  <c r="F123" a="1"/>
  <c r="F123" s="1"/>
  <c r="F125" a="1"/>
  <c r="F125" s="1"/>
  <c r="F122" a="1"/>
  <c r="F122" s="1"/>
  <c r="G113"/>
  <c r="D104"/>
  <c r="D42"/>
  <c r="O113" s="1"/>
  <c r="G79"/>
  <c r="R79" s="1"/>
  <c r="E128" a="1"/>
  <c r="E128" s="1"/>
  <c r="E130" s="1"/>
  <c r="J25"/>
  <c r="C207" i="101"/>
  <c r="C141"/>
  <c r="E92" a="1"/>
  <c r="E92" s="1"/>
  <c r="E94" s="1"/>
  <c r="F128" a="1"/>
  <c r="F128" s="1"/>
  <c r="F130" s="1"/>
  <c r="F91" a="1"/>
  <c r="F91" s="1"/>
  <c r="G79"/>
  <c r="R79" s="1"/>
  <c r="G129" a="1"/>
  <c r="G129" s="1"/>
  <c r="G126" a="1"/>
  <c r="G126" s="1"/>
  <c r="G123" a="1"/>
  <c r="G123" s="1"/>
  <c r="G125" a="1"/>
  <c r="G125" s="1"/>
  <c r="G122" a="1"/>
  <c r="G122" s="1"/>
  <c r="G127" a="1"/>
  <c r="G127" s="1"/>
  <c r="G124" a="1"/>
  <c r="G124" s="1"/>
  <c r="H113"/>
  <c r="G82"/>
  <c r="R82" s="1"/>
  <c r="H36"/>
  <c r="L165"/>
  <c r="I165"/>
  <c r="F165"/>
  <c r="C165"/>
  <c r="M165"/>
  <c r="G165"/>
  <c r="D165"/>
  <c r="A165"/>
  <c r="J166"/>
  <c r="K165"/>
  <c r="H165"/>
  <c r="E165"/>
  <c r="B165"/>
  <c r="C140"/>
  <c r="C53"/>
  <c r="G36"/>
  <c r="F88" a="1"/>
  <c r="F88" s="1"/>
  <c r="F89" a="1"/>
  <c r="F89" s="1"/>
  <c r="F93" a="1"/>
  <c r="F93" s="1"/>
  <c r="E36"/>
  <c r="D104"/>
  <c r="D42"/>
  <c r="O113" s="1"/>
  <c r="H77"/>
  <c r="S77" s="1"/>
  <c r="G81"/>
  <c r="R81" s="1"/>
  <c r="J25"/>
  <c r="F86" a="1"/>
  <c r="F86" s="1"/>
  <c r="F98" s="1"/>
  <c r="F90" a="1"/>
  <c r="F90" s="1"/>
  <c r="I36" i="100"/>
  <c r="M164"/>
  <c r="G164"/>
  <c r="D164"/>
  <c r="A164"/>
  <c r="J165"/>
  <c r="K164"/>
  <c r="H164"/>
  <c r="E164"/>
  <c r="B164"/>
  <c r="F164"/>
  <c r="I164"/>
  <c r="L164"/>
  <c r="C164"/>
  <c r="F36"/>
  <c r="G78"/>
  <c r="R78" s="1"/>
  <c r="H77"/>
  <c r="S77" s="1"/>
  <c r="H36"/>
  <c r="G206"/>
  <c r="G81"/>
  <c r="R81" s="1"/>
  <c r="E36"/>
  <c r="D104"/>
  <c r="D42"/>
  <c r="O113" s="1"/>
  <c r="H125" a="1"/>
  <c r="H125" s="1"/>
  <c r="H122" a="1"/>
  <c r="H122" s="1"/>
  <c r="H127" a="1"/>
  <c r="H127" s="1"/>
  <c r="H124" a="1"/>
  <c r="H124" s="1"/>
  <c r="H123" a="1"/>
  <c r="H123" s="1"/>
  <c r="H129" a="1"/>
  <c r="H129" s="1"/>
  <c r="H126" a="1"/>
  <c r="H126" s="1"/>
  <c r="I113"/>
  <c r="C48"/>
  <c r="G79"/>
  <c r="R79" s="1"/>
  <c r="F86" a="1"/>
  <c r="F86" s="1"/>
  <c r="F98" s="1"/>
  <c r="F90" a="1"/>
  <c r="F90" s="1"/>
  <c r="E92" a="1"/>
  <c r="E92" s="1"/>
  <c r="E94" s="1"/>
  <c r="F88" a="1"/>
  <c r="F88" s="1"/>
  <c r="F87" a="1"/>
  <c r="F87" s="1"/>
  <c r="G128" a="1"/>
  <c r="G128" s="1"/>
  <c r="G130" s="1"/>
  <c r="G36" i="99"/>
  <c r="C207"/>
  <c r="C141"/>
  <c r="D48"/>
  <c r="H36"/>
  <c r="I36"/>
  <c r="H78"/>
  <c r="S78" s="1"/>
  <c r="F86" a="1"/>
  <c r="F86" s="1"/>
  <c r="F98" s="1"/>
  <c r="F36"/>
  <c r="C140"/>
  <c r="C53"/>
  <c r="G82"/>
  <c r="R82" s="1"/>
  <c r="E36"/>
  <c r="F127" a="1"/>
  <c r="F127" s="1"/>
  <c r="F124" a="1"/>
  <c r="F124" s="1"/>
  <c r="F129" a="1"/>
  <c r="F129" s="1"/>
  <c r="F126" a="1"/>
  <c r="F126" s="1"/>
  <c r="F123" a="1"/>
  <c r="F123" s="1"/>
  <c r="F125" a="1"/>
  <c r="F125" s="1"/>
  <c r="F122" a="1"/>
  <c r="F122" s="1"/>
  <c r="G113"/>
  <c r="F89" a="1"/>
  <c r="F89" s="1"/>
  <c r="F87" a="1"/>
  <c r="F87" s="1"/>
  <c r="J25"/>
  <c r="E128" a="1"/>
  <c r="E128" s="1"/>
  <c r="E130" s="1"/>
  <c r="I77"/>
  <c r="T77" s="1"/>
  <c r="I80"/>
  <c r="T80" s="1"/>
  <c r="L165"/>
  <c r="I165"/>
  <c r="F165"/>
  <c r="C165"/>
  <c r="M165"/>
  <c r="G165"/>
  <c r="D165"/>
  <c r="A165"/>
  <c r="J166"/>
  <c r="K165"/>
  <c r="H165"/>
  <c r="E165"/>
  <c r="B165"/>
  <c r="E92" a="1"/>
  <c r="E92" s="1"/>
  <c r="E94" s="1"/>
  <c r="F93" a="1"/>
  <c r="F93" s="1"/>
  <c r="G79" i="98"/>
  <c r="R79" s="1"/>
  <c r="M164"/>
  <c r="G164"/>
  <c r="D164"/>
  <c r="A164"/>
  <c r="L164"/>
  <c r="I164"/>
  <c r="F164"/>
  <c r="C164"/>
  <c r="H164"/>
  <c r="B164"/>
  <c r="J165"/>
  <c r="E164"/>
  <c r="K164"/>
  <c r="I206"/>
  <c r="C48"/>
  <c r="G81"/>
  <c r="R81" s="1"/>
  <c r="F93" a="1"/>
  <c r="F93" s="1"/>
  <c r="F90" a="1"/>
  <c r="F90" s="1"/>
  <c r="F87" a="1"/>
  <c r="F87" s="1"/>
  <c r="F91" a="1"/>
  <c r="F91" s="1"/>
  <c r="F89" a="1"/>
  <c r="F89" s="1"/>
  <c r="F88" a="1"/>
  <c r="F88" s="1"/>
  <c r="F86" a="1"/>
  <c r="F86" s="1"/>
  <c r="F98" s="1"/>
  <c r="G77"/>
  <c r="R77" s="1"/>
  <c r="G80"/>
  <c r="R80" s="1"/>
  <c r="G129" a="1"/>
  <c r="G129" s="1"/>
  <c r="G126" a="1"/>
  <c r="G126" s="1"/>
  <c r="G123" a="1"/>
  <c r="G123" s="1"/>
  <c r="G127" a="1"/>
  <c r="G127" s="1"/>
  <c r="G124" a="1"/>
  <c r="G124" s="1"/>
  <c r="G122" a="1"/>
  <c r="G122" s="1"/>
  <c r="G125" a="1"/>
  <c r="G125" s="1"/>
  <c r="H113"/>
  <c r="G36"/>
  <c r="F206"/>
  <c r="E36"/>
  <c r="D104"/>
  <c r="D105" s="1"/>
  <c r="D42"/>
  <c r="O113" s="1"/>
  <c r="H36"/>
  <c r="E92" a="1"/>
  <c r="E92" s="1"/>
  <c r="E94" s="1"/>
  <c r="F128" a="1"/>
  <c r="F128" s="1"/>
  <c r="F130" s="1"/>
  <c r="F36" i="97"/>
  <c r="H36"/>
  <c r="G82"/>
  <c r="R82" s="1"/>
  <c r="G36"/>
  <c r="H78"/>
  <c r="S78" s="1"/>
  <c r="L165"/>
  <c r="I165"/>
  <c r="F165"/>
  <c r="C165"/>
  <c r="M165"/>
  <c r="G165"/>
  <c r="D165"/>
  <c r="A165"/>
  <c r="J166"/>
  <c r="K165"/>
  <c r="H165"/>
  <c r="E165"/>
  <c r="B165"/>
  <c r="D104"/>
  <c r="D42"/>
  <c r="O113" s="1"/>
  <c r="E36"/>
  <c r="C207"/>
  <c r="C141"/>
  <c r="G79"/>
  <c r="R79" s="1"/>
  <c r="J25"/>
  <c r="F87" a="1"/>
  <c r="F87" s="1"/>
  <c r="G129" a="1"/>
  <c r="G129" s="1"/>
  <c r="G126" a="1"/>
  <c r="G126" s="1"/>
  <c r="G123" a="1"/>
  <c r="G123" s="1"/>
  <c r="G125" a="1"/>
  <c r="G125" s="1"/>
  <c r="G122" a="1"/>
  <c r="G122" s="1"/>
  <c r="G127" a="1"/>
  <c r="G127" s="1"/>
  <c r="G124" a="1"/>
  <c r="G124" s="1"/>
  <c r="H113"/>
  <c r="I36"/>
  <c r="I77"/>
  <c r="T77" s="1"/>
  <c r="C140"/>
  <c r="C53"/>
  <c r="G81" i="96"/>
  <c r="R81" s="1"/>
  <c r="H36"/>
  <c r="G129" a="1"/>
  <c r="G129" s="1"/>
  <c r="G126" a="1"/>
  <c r="G126" s="1"/>
  <c r="G123" a="1"/>
  <c r="G123" s="1"/>
  <c r="G125" a="1"/>
  <c r="G125" s="1"/>
  <c r="G122" a="1"/>
  <c r="G122" s="1"/>
  <c r="G124" a="1"/>
  <c r="G124" s="1"/>
  <c r="G127" a="1"/>
  <c r="G127" s="1"/>
  <c r="H113"/>
  <c r="I36"/>
  <c r="M164"/>
  <c r="G164"/>
  <c r="D164"/>
  <c r="A164"/>
  <c r="J165"/>
  <c r="K164"/>
  <c r="H164"/>
  <c r="E164"/>
  <c r="B164"/>
  <c r="L164"/>
  <c r="C164"/>
  <c r="I164"/>
  <c r="F164"/>
  <c r="E92" a="1"/>
  <c r="E92" s="1"/>
  <c r="E94" s="1"/>
  <c r="C207"/>
  <c r="C141"/>
  <c r="D104"/>
  <c r="D42"/>
  <c r="O113" s="1"/>
  <c r="E36"/>
  <c r="F36"/>
  <c r="C140"/>
  <c r="C53"/>
  <c r="F93" a="1"/>
  <c r="F93" s="1"/>
  <c r="F90" a="1"/>
  <c r="F90" s="1"/>
  <c r="F87" a="1"/>
  <c r="F87" s="1"/>
  <c r="F89" a="1"/>
  <c r="F89" s="1"/>
  <c r="F86" a="1"/>
  <c r="F86" s="1"/>
  <c r="F98" s="1"/>
  <c r="F91" a="1"/>
  <c r="F91" s="1"/>
  <c r="F88" a="1"/>
  <c r="F88" s="1"/>
  <c r="G77"/>
  <c r="R77" s="1"/>
  <c r="H78"/>
  <c r="S78" s="1"/>
  <c r="G206"/>
  <c r="G79"/>
  <c r="R79" s="1"/>
  <c r="G80"/>
  <c r="R80" s="1"/>
  <c r="F36" i="95"/>
  <c r="G36"/>
  <c r="G129" a="1"/>
  <c r="G129" s="1"/>
  <c r="G126" a="1"/>
  <c r="G126" s="1"/>
  <c r="G123" a="1"/>
  <c r="G123" s="1"/>
  <c r="G125" a="1"/>
  <c r="G125" s="1"/>
  <c r="G122" a="1"/>
  <c r="G122" s="1"/>
  <c r="G127" a="1"/>
  <c r="G127" s="1"/>
  <c r="G124" a="1"/>
  <c r="G124" s="1"/>
  <c r="H113"/>
  <c r="C140"/>
  <c r="C53"/>
  <c r="C207"/>
  <c r="C141"/>
  <c r="E36"/>
  <c r="L165"/>
  <c r="I165"/>
  <c r="F165"/>
  <c r="C165"/>
  <c r="M165"/>
  <c r="G165"/>
  <c r="D165"/>
  <c r="A165"/>
  <c r="J166"/>
  <c r="K165"/>
  <c r="H165"/>
  <c r="E165"/>
  <c r="B165"/>
  <c r="H77"/>
  <c r="S77" s="1"/>
  <c r="D48"/>
  <c r="I36"/>
  <c r="H36"/>
  <c r="F128" a="1"/>
  <c r="F128" s="1"/>
  <c r="F130" s="1"/>
  <c r="I77" i="94"/>
  <c r="T77" s="1"/>
  <c r="D140"/>
  <c r="D53"/>
  <c r="C207"/>
  <c r="C141"/>
  <c r="E36"/>
  <c r="I79"/>
  <c r="T79" s="1"/>
  <c r="L165"/>
  <c r="I165"/>
  <c r="F165"/>
  <c r="C165"/>
  <c r="M165"/>
  <c r="G165"/>
  <c r="D165"/>
  <c r="A165"/>
  <c r="J166"/>
  <c r="K165"/>
  <c r="H165"/>
  <c r="E165"/>
  <c r="B165"/>
  <c r="H36"/>
  <c r="H78"/>
  <c r="I36"/>
  <c r="F36"/>
  <c r="Q83"/>
  <c r="F128" a="1"/>
  <c r="F128" s="1"/>
  <c r="F130" s="1"/>
  <c r="D207"/>
  <c r="C140"/>
  <c r="C53"/>
  <c r="G36"/>
  <c r="G129" a="1"/>
  <c r="G129" s="1"/>
  <c r="G126" a="1"/>
  <c r="G126" s="1"/>
  <c r="G123" a="1"/>
  <c r="G123" s="1"/>
  <c r="G125" a="1"/>
  <c r="G125" s="1"/>
  <c r="G122" a="1"/>
  <c r="G122" s="1"/>
  <c r="G127" a="1"/>
  <c r="G127" s="1"/>
  <c r="G124" a="1"/>
  <c r="G124" s="1"/>
  <c r="H113"/>
  <c r="F92" a="1"/>
  <c r="F92" s="1"/>
  <c r="F94" s="1"/>
  <c r="D104" i="93"/>
  <c r="D42"/>
  <c r="O113" s="1"/>
  <c r="J25"/>
  <c r="L165"/>
  <c r="I165"/>
  <c r="F165"/>
  <c r="C165"/>
  <c r="M165"/>
  <c r="G165"/>
  <c r="D165"/>
  <c r="A165"/>
  <c r="J166"/>
  <c r="K165"/>
  <c r="H165"/>
  <c r="E165"/>
  <c r="B165"/>
  <c r="E36"/>
  <c r="C207"/>
  <c r="C141"/>
  <c r="G81"/>
  <c r="R81" s="1"/>
  <c r="G129" a="1"/>
  <c r="G129" s="1"/>
  <c r="G126" a="1"/>
  <c r="G126" s="1"/>
  <c r="G123" a="1"/>
  <c r="G123" s="1"/>
  <c r="G125" a="1"/>
  <c r="G125" s="1"/>
  <c r="G122" a="1"/>
  <c r="G122" s="1"/>
  <c r="G127" a="1"/>
  <c r="G127" s="1"/>
  <c r="G124" a="1"/>
  <c r="G124" s="1"/>
  <c r="H113"/>
  <c r="G36"/>
  <c r="H36"/>
  <c r="C140"/>
  <c r="C53"/>
  <c r="G79"/>
  <c r="R79" s="1"/>
  <c r="F90" a="1"/>
  <c r="F90" s="1"/>
  <c r="F86" a="1"/>
  <c r="F86" s="1"/>
  <c r="F98" s="1"/>
  <c r="F93" a="1"/>
  <c r="F93" s="1"/>
  <c r="F89" a="1"/>
  <c r="F89" s="1"/>
  <c r="F88" a="1"/>
  <c r="F88" s="1"/>
  <c r="F87" a="1"/>
  <c r="F87" s="1"/>
  <c r="F91" a="1"/>
  <c r="F91" s="1"/>
  <c r="E36" i="92"/>
  <c r="F206"/>
  <c r="G129" a="1"/>
  <c r="G129" s="1"/>
  <c r="G126" a="1"/>
  <c r="G126" s="1"/>
  <c r="G123" a="1"/>
  <c r="G123" s="1"/>
  <c r="G127" a="1"/>
  <c r="G127" s="1"/>
  <c r="G124" a="1"/>
  <c r="G124" s="1"/>
  <c r="G122" a="1"/>
  <c r="G122" s="1"/>
  <c r="G125" a="1"/>
  <c r="G125" s="1"/>
  <c r="H113"/>
  <c r="D48"/>
  <c r="O119"/>
  <c r="F42"/>
  <c r="I77"/>
  <c r="T77" s="1"/>
  <c r="C207"/>
  <c r="C141"/>
  <c r="I206"/>
  <c r="H80"/>
  <c r="S80" s="1"/>
  <c r="D105"/>
  <c r="O84"/>
  <c r="M164"/>
  <c r="G164"/>
  <c r="D164"/>
  <c r="A164"/>
  <c r="J165"/>
  <c r="K164"/>
  <c r="H164"/>
  <c r="E164"/>
  <c r="B164"/>
  <c r="L164"/>
  <c r="I164"/>
  <c r="F164"/>
  <c r="C164"/>
  <c r="C140"/>
  <c r="C53"/>
  <c r="G36"/>
  <c r="H36"/>
  <c r="J25"/>
  <c r="F128" a="1"/>
  <c r="F128" s="1"/>
  <c r="F130" s="1"/>
  <c r="G129" i="91" a="1"/>
  <c r="G129" s="1"/>
  <c r="G126" a="1"/>
  <c r="G126" s="1"/>
  <c r="G123" a="1"/>
  <c r="G123" s="1"/>
  <c r="G125" a="1"/>
  <c r="G125" s="1"/>
  <c r="G122" a="1"/>
  <c r="G122" s="1"/>
  <c r="G127" a="1"/>
  <c r="G127" s="1"/>
  <c r="G124" a="1"/>
  <c r="G124" s="1"/>
  <c r="H113"/>
  <c r="G81"/>
  <c r="R81" s="1"/>
  <c r="G82"/>
  <c r="R82" s="1"/>
  <c r="D104"/>
  <c r="D42"/>
  <c r="O113" s="1"/>
  <c r="G36"/>
  <c r="E36"/>
  <c r="H36"/>
  <c r="G78"/>
  <c r="R78" s="1"/>
  <c r="C48"/>
  <c r="L165"/>
  <c r="I165"/>
  <c r="F165"/>
  <c r="C165"/>
  <c r="M165"/>
  <c r="G165"/>
  <c r="D165"/>
  <c r="A165"/>
  <c r="J166"/>
  <c r="K165"/>
  <c r="H165"/>
  <c r="E165"/>
  <c r="B165"/>
  <c r="F93" a="1"/>
  <c r="F93" s="1"/>
  <c r="F90" a="1"/>
  <c r="F90" s="1"/>
  <c r="F87" a="1"/>
  <c r="F87" s="1"/>
  <c r="F89" a="1"/>
  <c r="F89" s="1"/>
  <c r="F91" a="1"/>
  <c r="F91" s="1"/>
  <c r="F86" a="1"/>
  <c r="F86" s="1"/>
  <c r="F98" s="1"/>
  <c r="F88" a="1"/>
  <c r="F88" s="1"/>
  <c r="G77"/>
  <c r="R77" s="1"/>
  <c r="F128" a="1"/>
  <c r="F128" s="1"/>
  <c r="F130" s="1"/>
  <c r="H36" i="90"/>
  <c r="E36"/>
  <c r="G36"/>
  <c r="F128" a="1"/>
  <c r="F128" s="1"/>
  <c r="F130" s="1"/>
  <c r="D104"/>
  <c r="D42"/>
  <c r="O113" s="1"/>
  <c r="G129" a="1"/>
  <c r="G129" s="1"/>
  <c r="G126" a="1"/>
  <c r="G126" s="1"/>
  <c r="G123" a="1"/>
  <c r="G123" s="1"/>
  <c r="G125" a="1"/>
  <c r="G125" s="1"/>
  <c r="G122" a="1"/>
  <c r="G122" s="1"/>
  <c r="G127" a="1"/>
  <c r="G127" s="1"/>
  <c r="G124" a="1"/>
  <c r="G124" s="1"/>
  <c r="H113"/>
  <c r="L165"/>
  <c r="I165"/>
  <c r="F165"/>
  <c r="C165"/>
  <c r="M165"/>
  <c r="G165"/>
  <c r="D165"/>
  <c r="A165"/>
  <c r="J166"/>
  <c r="K165"/>
  <c r="H165"/>
  <c r="E165"/>
  <c r="B165"/>
  <c r="F127" i="89" a="1"/>
  <c r="F127" s="1"/>
  <c r="F124" a="1"/>
  <c r="F124" s="1"/>
  <c r="F129" a="1"/>
  <c r="F129" s="1"/>
  <c r="F126" a="1"/>
  <c r="F126" s="1"/>
  <c r="F123" a="1"/>
  <c r="F123" s="1"/>
  <c r="F125" a="1"/>
  <c r="F125" s="1"/>
  <c r="F122" a="1"/>
  <c r="F122" s="1"/>
  <c r="G113"/>
  <c r="I36"/>
  <c r="D48"/>
  <c r="F36"/>
  <c r="H77"/>
  <c r="L165"/>
  <c r="I165"/>
  <c r="F165"/>
  <c r="C165"/>
  <c r="M165"/>
  <c r="G165"/>
  <c r="D165"/>
  <c r="A165"/>
  <c r="J166"/>
  <c r="K165"/>
  <c r="H165"/>
  <c r="E165"/>
  <c r="B165"/>
  <c r="H36"/>
  <c r="G36"/>
  <c r="C48"/>
  <c r="E36"/>
  <c r="I77" i="80"/>
  <c r="T77" s="1"/>
  <c r="G81"/>
  <c r="R81" s="1"/>
  <c r="C59"/>
  <c r="C64"/>
  <c r="E36"/>
  <c r="H36"/>
  <c r="D104"/>
  <c r="D42"/>
  <c r="O113" s="1"/>
  <c r="F127" a="1"/>
  <c r="F127" s="1"/>
  <c r="F124" a="1"/>
  <c r="F124" s="1"/>
  <c r="F129" a="1"/>
  <c r="F129" s="1"/>
  <c r="F126" a="1"/>
  <c r="F126" s="1"/>
  <c r="F123" a="1"/>
  <c r="F123" s="1"/>
  <c r="F125" a="1"/>
  <c r="F125" s="1"/>
  <c r="F122" a="1"/>
  <c r="F122" s="1"/>
  <c r="G113"/>
  <c r="E92" a="1"/>
  <c r="E92" s="1"/>
  <c r="E94" s="1"/>
  <c r="E128" a="1"/>
  <c r="E128" s="1"/>
  <c r="E130" s="1"/>
  <c r="G36"/>
  <c r="G78"/>
  <c r="R78" s="1"/>
  <c r="F90" a="1"/>
  <c r="F90" s="1"/>
  <c r="F86" a="1"/>
  <c r="F86" s="1"/>
  <c r="F98" s="1"/>
  <c r="F93" a="1"/>
  <c r="F93" s="1"/>
  <c r="F89" a="1"/>
  <c r="F89" s="1"/>
  <c r="F88" a="1"/>
  <c r="F88" s="1"/>
  <c r="F87" a="1"/>
  <c r="F87" s="1"/>
  <c r="F91" a="1"/>
  <c r="F91" s="1"/>
  <c r="M164"/>
  <c r="G164"/>
  <c r="D164"/>
  <c r="A164"/>
  <c r="J165"/>
  <c r="K164"/>
  <c r="H164"/>
  <c r="E164"/>
  <c r="B164"/>
  <c r="L164"/>
  <c r="I164"/>
  <c r="F164"/>
  <c r="C164"/>
  <c r="J25"/>
  <c r="E36" i="79"/>
  <c r="I36"/>
  <c r="G129" a="1"/>
  <c r="G129" s="1"/>
  <c r="G126" a="1"/>
  <c r="G126" s="1"/>
  <c r="G123" a="1"/>
  <c r="G123" s="1"/>
  <c r="G125" a="1"/>
  <c r="G125" s="1"/>
  <c r="G122" a="1"/>
  <c r="G122" s="1"/>
  <c r="G127" a="1"/>
  <c r="G127" s="1"/>
  <c r="G124" a="1"/>
  <c r="G124" s="1"/>
  <c r="H113"/>
  <c r="L165"/>
  <c r="I165"/>
  <c r="F165"/>
  <c r="C165"/>
  <c r="M165"/>
  <c r="G165"/>
  <c r="D165"/>
  <c r="A165"/>
  <c r="J166"/>
  <c r="K165"/>
  <c r="H165"/>
  <c r="E165"/>
  <c r="B165"/>
  <c r="D104"/>
  <c r="D42"/>
  <c r="O113" s="1"/>
  <c r="F36"/>
  <c r="G36"/>
  <c r="H36"/>
  <c r="G79"/>
  <c r="R79" s="1"/>
  <c r="C48"/>
  <c r="F93" a="1"/>
  <c r="F93" s="1"/>
  <c r="F90" a="1"/>
  <c r="F90" s="1"/>
  <c r="F87" a="1"/>
  <c r="F87" s="1"/>
  <c r="F91" a="1"/>
  <c r="F91" s="1"/>
  <c r="F89" a="1"/>
  <c r="F89" s="1"/>
  <c r="F88" a="1"/>
  <c r="F88" s="1"/>
  <c r="F86" a="1"/>
  <c r="F86" s="1"/>
  <c r="F98" s="1"/>
  <c r="G77"/>
  <c r="R77" s="1"/>
  <c r="J25"/>
  <c r="E92" a="1"/>
  <c r="E92" s="1"/>
  <c r="E94" s="1"/>
  <c r="E36" i="88"/>
  <c r="F36"/>
  <c r="G36"/>
  <c r="D104"/>
  <c r="D42"/>
  <c r="O113" s="1"/>
  <c r="L165"/>
  <c r="I165"/>
  <c r="F165"/>
  <c r="C165"/>
  <c r="M165"/>
  <c r="G165"/>
  <c r="D165"/>
  <c r="A165"/>
  <c r="J166"/>
  <c r="K165"/>
  <c r="H165"/>
  <c r="E165"/>
  <c r="B165"/>
  <c r="F127" a="1"/>
  <c r="F127" s="1"/>
  <c r="F124" a="1"/>
  <c r="F124" s="1"/>
  <c r="F129" a="1"/>
  <c r="F129" s="1"/>
  <c r="F126" a="1"/>
  <c r="F126" s="1"/>
  <c r="F123" a="1"/>
  <c r="F123" s="1"/>
  <c r="F125" a="1"/>
  <c r="F125" s="1"/>
  <c r="F122" a="1"/>
  <c r="F122" s="1"/>
  <c r="G113"/>
  <c r="E128" a="1"/>
  <c r="E128" s="1"/>
  <c r="E130" s="1"/>
  <c r="H36"/>
  <c r="I36"/>
  <c r="H77"/>
  <c r="S77" s="1"/>
  <c r="C48"/>
  <c r="H82" i="87"/>
  <c r="S82" s="1"/>
  <c r="H77"/>
  <c r="S77" s="1"/>
  <c r="L165"/>
  <c r="I165"/>
  <c r="F165"/>
  <c r="C165"/>
  <c r="M165"/>
  <c r="G165"/>
  <c r="D165"/>
  <c r="A165"/>
  <c r="J166"/>
  <c r="K165"/>
  <c r="H165"/>
  <c r="E165"/>
  <c r="B165"/>
  <c r="C48"/>
  <c r="G129" a="1"/>
  <c r="G129" s="1"/>
  <c r="G126" a="1"/>
  <c r="G126" s="1"/>
  <c r="G123" a="1"/>
  <c r="G123" s="1"/>
  <c r="G125" a="1"/>
  <c r="G125" s="1"/>
  <c r="G122" a="1"/>
  <c r="G122" s="1"/>
  <c r="G127" a="1"/>
  <c r="G127" s="1"/>
  <c r="G124" a="1"/>
  <c r="G124" s="1"/>
  <c r="H113"/>
  <c r="H36"/>
  <c r="J25"/>
  <c r="E36"/>
  <c r="G36"/>
  <c r="H79"/>
  <c r="S79" s="1"/>
  <c r="H77" i="86"/>
  <c r="S77" s="1"/>
  <c r="G36"/>
  <c r="G82"/>
  <c r="R82" s="1"/>
  <c r="H36"/>
  <c r="C48"/>
  <c r="F128" a="1"/>
  <c r="F128" s="1"/>
  <c r="F130" s="1"/>
  <c r="J25"/>
  <c r="G129" a="1"/>
  <c r="G129" s="1"/>
  <c r="G126" a="1"/>
  <c r="G126" s="1"/>
  <c r="G123" a="1"/>
  <c r="G123" s="1"/>
  <c r="G125" a="1"/>
  <c r="G125" s="1"/>
  <c r="G122" a="1"/>
  <c r="G122" s="1"/>
  <c r="G127" a="1"/>
  <c r="G127" s="1"/>
  <c r="G124" a="1"/>
  <c r="G124" s="1"/>
  <c r="H113"/>
  <c r="H79"/>
  <c r="S79" s="1"/>
  <c r="E36"/>
  <c r="D104"/>
  <c r="D42"/>
  <c r="O113" s="1"/>
  <c r="L165"/>
  <c r="I165"/>
  <c r="F165"/>
  <c r="C165"/>
  <c r="M165"/>
  <c r="G165"/>
  <c r="D165"/>
  <c r="A165"/>
  <c r="J166"/>
  <c r="K165"/>
  <c r="H165"/>
  <c r="E165"/>
  <c r="B165"/>
  <c r="E92" a="1"/>
  <c r="E92" s="1"/>
  <c r="E94" s="1"/>
  <c r="H77" i="85"/>
  <c r="S77" s="1"/>
  <c r="M164"/>
  <c r="G164"/>
  <c r="D164"/>
  <c r="A164"/>
  <c r="J165"/>
  <c r="K164"/>
  <c r="H164"/>
  <c r="E164"/>
  <c r="B164"/>
  <c r="L164"/>
  <c r="C164"/>
  <c r="F164"/>
  <c r="I164"/>
  <c r="G129" a="1"/>
  <c r="G129" s="1"/>
  <c r="G126" a="1"/>
  <c r="G126" s="1"/>
  <c r="G123" a="1"/>
  <c r="G123" s="1"/>
  <c r="G125" a="1"/>
  <c r="G125" s="1"/>
  <c r="G122" a="1"/>
  <c r="G122" s="1"/>
  <c r="G127" a="1"/>
  <c r="G127" s="1"/>
  <c r="G124" a="1"/>
  <c r="G124" s="1"/>
  <c r="H113"/>
  <c r="C48"/>
  <c r="G80"/>
  <c r="E36"/>
  <c r="D104"/>
  <c r="D42"/>
  <c r="O113" s="1"/>
  <c r="I36"/>
  <c r="G36"/>
  <c r="J25"/>
  <c r="H36"/>
  <c r="F36"/>
  <c r="E92" a="1"/>
  <c r="E92" s="1"/>
  <c r="E94" s="1"/>
  <c r="E36" i="84"/>
  <c r="H113"/>
  <c r="D140"/>
  <c r="D141" s="1"/>
  <c r="D53"/>
  <c r="C59"/>
  <c r="C64"/>
  <c r="F206"/>
  <c r="G118"/>
  <c r="G116"/>
  <c r="D207"/>
  <c r="G36"/>
  <c r="H36"/>
  <c r="M164"/>
  <c r="G164"/>
  <c r="D164"/>
  <c r="A164"/>
  <c r="L164"/>
  <c r="I164"/>
  <c r="F164"/>
  <c r="C164"/>
  <c r="H164"/>
  <c r="K164"/>
  <c r="B164"/>
  <c r="J165"/>
  <c r="E164"/>
  <c r="I206"/>
  <c r="F126" a="1"/>
  <c r="F126" s="1"/>
  <c r="F125" a="1"/>
  <c r="F125" s="1"/>
  <c r="E36" i="83"/>
  <c r="G129" a="1"/>
  <c r="G129" s="1"/>
  <c r="G126" a="1"/>
  <c r="G126" s="1"/>
  <c r="G123" a="1"/>
  <c r="G123" s="1"/>
  <c r="G125" a="1"/>
  <c r="G125" s="1"/>
  <c r="G122" a="1"/>
  <c r="G122" s="1"/>
  <c r="G127" a="1"/>
  <c r="G127" s="1"/>
  <c r="G124" a="1"/>
  <c r="G124" s="1"/>
  <c r="H113"/>
  <c r="H36"/>
  <c r="G36"/>
  <c r="F36"/>
  <c r="C48"/>
  <c r="L165"/>
  <c r="I165"/>
  <c r="F165"/>
  <c r="C165"/>
  <c r="M165"/>
  <c r="G165"/>
  <c r="D165"/>
  <c r="A165"/>
  <c r="J166"/>
  <c r="K165"/>
  <c r="H165"/>
  <c r="E165"/>
  <c r="B165"/>
  <c r="I36"/>
  <c r="D48"/>
  <c r="J25"/>
  <c r="E36" i="82"/>
  <c r="G129" a="1"/>
  <c r="G129" s="1"/>
  <c r="G126" a="1"/>
  <c r="G126" s="1"/>
  <c r="G123" a="1"/>
  <c r="G123" s="1"/>
  <c r="G125" a="1"/>
  <c r="G125" s="1"/>
  <c r="G122" a="1"/>
  <c r="G122" s="1"/>
  <c r="G127" a="1"/>
  <c r="G127" s="1"/>
  <c r="G124" a="1"/>
  <c r="G124" s="1"/>
  <c r="H113"/>
  <c r="G82"/>
  <c r="R82" s="1"/>
  <c r="G36"/>
  <c r="G78"/>
  <c r="R78" s="1"/>
  <c r="C48"/>
  <c r="F89" a="1"/>
  <c r="F89" s="1"/>
  <c r="H36"/>
  <c r="G81"/>
  <c r="R81" s="1"/>
  <c r="E92" a="1"/>
  <c r="E92" s="1"/>
  <c r="E94" s="1"/>
  <c r="D104"/>
  <c r="D42"/>
  <c r="O113" s="1"/>
  <c r="H77"/>
  <c r="S77" s="1"/>
  <c r="L165"/>
  <c r="I165"/>
  <c r="F165"/>
  <c r="C165"/>
  <c r="M165"/>
  <c r="G165"/>
  <c r="D165"/>
  <c r="A165"/>
  <c r="J166"/>
  <c r="K165"/>
  <c r="H165"/>
  <c r="E165"/>
  <c r="B165"/>
  <c r="J25"/>
  <c r="H79" i="81"/>
  <c r="S79" s="1"/>
  <c r="D48"/>
  <c r="O119"/>
  <c r="G129" a="1"/>
  <c r="G129" s="1"/>
  <c r="G126" a="1"/>
  <c r="G126" s="1"/>
  <c r="G123" a="1"/>
  <c r="G123" s="1"/>
  <c r="G125" a="1"/>
  <c r="G125" s="1"/>
  <c r="G122" a="1"/>
  <c r="G122" s="1"/>
  <c r="G127" a="1"/>
  <c r="G127" s="1"/>
  <c r="G124" a="1"/>
  <c r="G124" s="1"/>
  <c r="H113"/>
  <c r="I77"/>
  <c r="T77" s="1"/>
  <c r="G90" a="1"/>
  <c r="G90" s="1"/>
  <c r="G91" a="1"/>
  <c r="G91" s="1"/>
  <c r="G36"/>
  <c r="I36"/>
  <c r="E36"/>
  <c r="C207"/>
  <c r="C141"/>
  <c r="H81"/>
  <c r="S81" s="1"/>
  <c r="F36"/>
  <c r="G87" a="1"/>
  <c r="G87" s="1"/>
  <c r="G88" a="1"/>
  <c r="G88" s="1"/>
  <c r="L165"/>
  <c r="I165"/>
  <c r="F165"/>
  <c r="C165"/>
  <c r="M165"/>
  <c r="G165"/>
  <c r="D165"/>
  <c r="A165"/>
  <c r="J166"/>
  <c r="K165"/>
  <c r="H165"/>
  <c r="E165"/>
  <c r="B165"/>
  <c r="H80"/>
  <c r="S80" s="1"/>
  <c r="H36"/>
  <c r="D105"/>
  <c r="O84"/>
  <c r="C140"/>
  <c r="C53"/>
  <c r="G86" a="1"/>
  <c r="G86" s="1"/>
  <c r="G98" s="1"/>
  <c r="G93" a="1"/>
  <c r="G93" s="1"/>
  <c r="G89" a="1"/>
  <c r="G89" s="1"/>
  <c r="E206" i="78"/>
  <c r="E42"/>
  <c r="C59"/>
  <c r="C64"/>
  <c r="G82"/>
  <c r="R82" s="1"/>
  <c r="I78"/>
  <c r="T78" s="1"/>
  <c r="F36"/>
  <c r="H127" a="1"/>
  <c r="H127" s="1"/>
  <c r="H124" a="1"/>
  <c r="H124" s="1"/>
  <c r="H129" a="1"/>
  <c r="H129" s="1"/>
  <c r="H126" a="1"/>
  <c r="H126" s="1"/>
  <c r="H123" a="1"/>
  <c r="H123" s="1"/>
  <c r="H122" a="1"/>
  <c r="H122" s="1"/>
  <c r="H125" a="1"/>
  <c r="H125" s="1"/>
  <c r="I113"/>
  <c r="G79"/>
  <c r="R79" s="1"/>
  <c r="F91" a="1"/>
  <c r="F91" s="1"/>
  <c r="F87" a="1"/>
  <c r="F87" s="1"/>
  <c r="F86" a="1"/>
  <c r="F86" s="1"/>
  <c r="F98" s="1"/>
  <c r="F88" a="1"/>
  <c r="F88" s="1"/>
  <c r="F89" a="1"/>
  <c r="F89" s="1"/>
  <c r="F93" a="1"/>
  <c r="F93" s="1"/>
  <c r="F90" a="1"/>
  <c r="F90" s="1"/>
  <c r="L165"/>
  <c r="I165"/>
  <c r="F165"/>
  <c r="C165"/>
  <c r="M165"/>
  <c r="G165"/>
  <c r="D165"/>
  <c r="A165"/>
  <c r="J166"/>
  <c r="K165"/>
  <c r="H165"/>
  <c r="E165"/>
  <c r="B165"/>
  <c r="G128" a="1"/>
  <c r="G128" s="1"/>
  <c r="G130" s="1"/>
  <c r="I36"/>
  <c r="D104"/>
  <c r="D42"/>
  <c r="O113" s="1"/>
  <c r="G36"/>
  <c r="H206"/>
  <c r="I36" i="77"/>
  <c r="M164"/>
  <c r="G164"/>
  <c r="D164"/>
  <c r="A164"/>
  <c r="L164"/>
  <c r="H164"/>
  <c r="C164"/>
  <c r="J165"/>
  <c r="I164"/>
  <c r="E164"/>
  <c r="B164"/>
  <c r="K164"/>
  <c r="F164"/>
  <c r="D104"/>
  <c r="D42"/>
  <c r="O113" s="1"/>
  <c r="H36"/>
  <c r="F36"/>
  <c r="F93" a="1"/>
  <c r="F93" s="1"/>
  <c r="F90" a="1"/>
  <c r="F90" s="1"/>
  <c r="F87" a="1"/>
  <c r="F87" s="1"/>
  <c r="F91" a="1"/>
  <c r="F91" s="1"/>
  <c r="F89" a="1"/>
  <c r="F89" s="1"/>
  <c r="F86" a="1"/>
  <c r="F86" s="1"/>
  <c r="F98" s="1"/>
  <c r="F88" a="1"/>
  <c r="F88" s="1"/>
  <c r="G77"/>
  <c r="R77" s="1"/>
  <c r="G81"/>
  <c r="R81" s="1"/>
  <c r="E36"/>
  <c r="G79"/>
  <c r="R79" s="1"/>
  <c r="G36"/>
  <c r="F127" a="1"/>
  <c r="F127" s="1"/>
  <c r="F124" a="1"/>
  <c r="F124" s="1"/>
  <c r="F126" a="1"/>
  <c r="F126" s="1"/>
  <c r="F125" a="1"/>
  <c r="F125" s="1"/>
  <c r="F129" a="1"/>
  <c r="F129" s="1"/>
  <c r="F123" a="1"/>
  <c r="F123" s="1"/>
  <c r="F122" a="1"/>
  <c r="F122" s="1"/>
  <c r="G113"/>
  <c r="G78"/>
  <c r="R78" s="1"/>
  <c r="C48"/>
  <c r="E128" a="1"/>
  <c r="E128" s="1"/>
  <c r="E130" s="1"/>
  <c r="J25"/>
  <c r="E92" a="1"/>
  <c r="E92" s="1"/>
  <c r="E94" s="1"/>
  <c r="C207" i="76"/>
  <c r="C141"/>
  <c r="F127" a="1"/>
  <c r="F127" s="1"/>
  <c r="F124" a="1"/>
  <c r="F124" s="1"/>
  <c r="F129" a="1"/>
  <c r="F129" s="1"/>
  <c r="F126" a="1"/>
  <c r="F126" s="1"/>
  <c r="F123" a="1"/>
  <c r="F123" s="1"/>
  <c r="F125" a="1"/>
  <c r="F125" s="1"/>
  <c r="F122" a="1"/>
  <c r="F122" s="1"/>
  <c r="G113"/>
  <c r="E128" a="1"/>
  <c r="E128" s="1"/>
  <c r="E130" s="1"/>
  <c r="H36"/>
  <c r="H77"/>
  <c r="S77" s="1"/>
  <c r="G36"/>
  <c r="J25"/>
  <c r="C140"/>
  <c r="C53"/>
  <c r="E36"/>
  <c r="H79"/>
  <c r="S79" s="1"/>
  <c r="H82"/>
  <c r="S82" s="1"/>
  <c r="L165"/>
  <c r="I165"/>
  <c r="F165"/>
  <c r="C165"/>
  <c r="M165"/>
  <c r="G165"/>
  <c r="D165"/>
  <c r="A165"/>
  <c r="J166"/>
  <c r="K165"/>
  <c r="H165"/>
  <c r="E165"/>
  <c r="B165"/>
  <c r="C140" i="75"/>
  <c r="C53"/>
  <c r="F127" a="1"/>
  <c r="F127" s="1"/>
  <c r="F124" a="1"/>
  <c r="F124" s="1"/>
  <c r="F129" a="1"/>
  <c r="F129" s="1"/>
  <c r="F126" a="1"/>
  <c r="F126" s="1"/>
  <c r="F123" a="1"/>
  <c r="F123" s="1"/>
  <c r="F125" a="1"/>
  <c r="F125" s="1"/>
  <c r="F122" a="1"/>
  <c r="F122" s="1"/>
  <c r="G113"/>
  <c r="I36"/>
  <c r="H36"/>
  <c r="L165"/>
  <c r="I165"/>
  <c r="F165"/>
  <c r="C165"/>
  <c r="M165"/>
  <c r="G165"/>
  <c r="D165"/>
  <c r="A165"/>
  <c r="J166"/>
  <c r="K165"/>
  <c r="H165"/>
  <c r="E165"/>
  <c r="B165"/>
  <c r="E36"/>
  <c r="D104"/>
  <c r="D42"/>
  <c r="O113" s="1"/>
  <c r="F86" a="1"/>
  <c r="F86" s="1"/>
  <c r="F98" s="1"/>
  <c r="F89" a="1"/>
  <c r="F89" s="1"/>
  <c r="H77"/>
  <c r="S77" s="1"/>
  <c r="G79"/>
  <c r="R79" s="1"/>
  <c r="F36"/>
  <c r="G82"/>
  <c r="R82" s="1"/>
  <c r="C207"/>
  <c r="C141"/>
  <c r="G36"/>
  <c r="F88" a="1"/>
  <c r="F88" s="1"/>
  <c r="F87" a="1"/>
  <c r="F87" s="1"/>
  <c r="E92" a="1"/>
  <c r="E92" s="1"/>
  <c r="E94" s="1"/>
  <c r="C59" i="74"/>
  <c r="C64"/>
  <c r="G79"/>
  <c r="R79" s="1"/>
  <c r="F93" a="1"/>
  <c r="F93" s="1"/>
  <c r="F91" a="1"/>
  <c r="F91" s="1"/>
  <c r="F89" a="1"/>
  <c r="F89" s="1"/>
  <c r="F87" a="1"/>
  <c r="F87" s="1"/>
  <c r="F86" a="1"/>
  <c r="F86" s="1"/>
  <c r="F98" s="1"/>
  <c r="F90" a="1"/>
  <c r="F90" s="1"/>
  <c r="F88" a="1"/>
  <c r="F88" s="1"/>
  <c r="G129" a="1"/>
  <c r="G129" s="1"/>
  <c r="G126" a="1"/>
  <c r="G126" s="1"/>
  <c r="G123" a="1"/>
  <c r="G123" s="1"/>
  <c r="G127" a="1"/>
  <c r="G127" s="1"/>
  <c r="G124" a="1"/>
  <c r="G124" s="1"/>
  <c r="G122" a="1"/>
  <c r="G122" s="1"/>
  <c r="G125" a="1"/>
  <c r="G125" s="1"/>
  <c r="H113"/>
  <c r="G80"/>
  <c r="R80" s="1"/>
  <c r="J25"/>
  <c r="I206"/>
  <c r="H82"/>
  <c r="S82" s="1"/>
  <c r="M164"/>
  <c r="G164"/>
  <c r="D164"/>
  <c r="A164"/>
  <c r="L164"/>
  <c r="I164"/>
  <c r="F164"/>
  <c r="C164"/>
  <c r="H164"/>
  <c r="B164"/>
  <c r="J165"/>
  <c r="E164"/>
  <c r="K164"/>
  <c r="G36"/>
  <c r="F206"/>
  <c r="G81"/>
  <c r="R81" s="1"/>
  <c r="D104"/>
  <c r="D42"/>
  <c r="O113" s="1"/>
  <c r="E36"/>
  <c r="H36"/>
  <c r="F128" a="1"/>
  <c r="F128" s="1"/>
  <c r="F130" s="1"/>
  <c r="G36" i="73"/>
  <c r="H82"/>
  <c r="S82" s="1"/>
  <c r="C48"/>
  <c r="E36"/>
  <c r="I80"/>
  <c r="T80" s="1"/>
  <c r="H36"/>
  <c r="G129" a="1"/>
  <c r="G129" s="1"/>
  <c r="G126" a="1"/>
  <c r="G126" s="1"/>
  <c r="G123" a="1"/>
  <c r="G123" s="1"/>
  <c r="G125" a="1"/>
  <c r="G125" s="1"/>
  <c r="G122" a="1"/>
  <c r="G122" s="1"/>
  <c r="G127" a="1"/>
  <c r="G127" s="1"/>
  <c r="G124" a="1"/>
  <c r="G124" s="1"/>
  <c r="H113"/>
  <c r="E92" a="1"/>
  <c r="E92" s="1"/>
  <c r="E94" s="1"/>
  <c r="F93" a="1"/>
  <c r="F93" s="1"/>
  <c r="F90" a="1"/>
  <c r="F90" s="1"/>
  <c r="F87" a="1"/>
  <c r="F87" s="1"/>
  <c r="F89" a="1"/>
  <c r="F89" s="1"/>
  <c r="F86" a="1"/>
  <c r="F86" s="1"/>
  <c r="F98" s="1"/>
  <c r="F91" a="1"/>
  <c r="F91" s="1"/>
  <c r="F88" a="1"/>
  <c r="F88" s="1"/>
  <c r="G77"/>
  <c r="R77" s="1"/>
  <c r="G81"/>
  <c r="R81" s="1"/>
  <c r="D104"/>
  <c r="D42"/>
  <c r="O113" s="1"/>
  <c r="M164"/>
  <c r="G164"/>
  <c r="D164"/>
  <c r="A164"/>
  <c r="J165"/>
  <c r="K164"/>
  <c r="H164"/>
  <c r="E164"/>
  <c r="B164"/>
  <c r="L164"/>
  <c r="I164"/>
  <c r="F164"/>
  <c r="C164"/>
  <c r="C48" i="72"/>
  <c r="D104"/>
  <c r="D42"/>
  <c r="O113" s="1"/>
  <c r="I36"/>
  <c r="J25"/>
  <c r="F36"/>
  <c r="E36"/>
  <c r="L165"/>
  <c r="I165"/>
  <c r="F165"/>
  <c r="C165"/>
  <c r="M165"/>
  <c r="G165"/>
  <c r="D165"/>
  <c r="A165"/>
  <c r="J166"/>
  <c r="K165"/>
  <c r="H165"/>
  <c r="E165"/>
  <c r="B165"/>
  <c r="G36"/>
  <c r="H36"/>
  <c r="G129" a="1"/>
  <c r="G129" s="1"/>
  <c r="G126" a="1"/>
  <c r="G126" s="1"/>
  <c r="G123" a="1"/>
  <c r="G123" s="1"/>
  <c r="G125" a="1"/>
  <c r="G125" s="1"/>
  <c r="G122" a="1"/>
  <c r="G122" s="1"/>
  <c r="G127" a="1"/>
  <c r="G127" s="1"/>
  <c r="G124" a="1"/>
  <c r="G124" s="1"/>
  <c r="H113"/>
  <c r="F93" a="1"/>
  <c r="F93" s="1"/>
  <c r="F90" a="1"/>
  <c r="F90" s="1"/>
  <c r="F87" a="1"/>
  <c r="F87" s="1"/>
  <c r="F89" a="1"/>
  <c r="F89" s="1"/>
  <c r="F91" a="1"/>
  <c r="F91" s="1"/>
  <c r="F88" a="1"/>
  <c r="F88" s="1"/>
  <c r="F86" a="1"/>
  <c r="F86" s="1"/>
  <c r="F98" s="1"/>
  <c r="G77"/>
  <c r="R77" s="1"/>
  <c r="C207" i="71"/>
  <c r="C141"/>
  <c r="G79"/>
  <c r="R79" s="1"/>
  <c r="H36"/>
  <c r="I36"/>
  <c r="E36"/>
  <c r="F36"/>
  <c r="G78"/>
  <c r="R78" s="1"/>
  <c r="F93" a="1"/>
  <c r="F93" s="1"/>
  <c r="F89" a="1"/>
  <c r="F89" s="1"/>
  <c r="F88" a="1"/>
  <c r="F88" s="1"/>
  <c r="F87" a="1"/>
  <c r="F87" s="1"/>
  <c r="F90" a="1"/>
  <c r="F90" s="1"/>
  <c r="F86" a="1"/>
  <c r="F86" s="1"/>
  <c r="F98" s="1"/>
  <c r="F91" a="1"/>
  <c r="F91" s="1"/>
  <c r="E92" a="1"/>
  <c r="E92" s="1"/>
  <c r="E94" s="1"/>
  <c r="G80"/>
  <c r="R80" s="1"/>
  <c r="C140"/>
  <c r="C53"/>
  <c r="G123" a="1"/>
  <c r="G123" s="1"/>
  <c r="L165"/>
  <c r="I165"/>
  <c r="F165"/>
  <c r="C165"/>
  <c r="M165"/>
  <c r="G165"/>
  <c r="D165"/>
  <c r="A165"/>
  <c r="J166"/>
  <c r="K165"/>
  <c r="H165"/>
  <c r="E165"/>
  <c r="B165"/>
  <c r="D104"/>
  <c r="D42"/>
  <c r="O113" s="1"/>
  <c r="G36"/>
  <c r="G82" i="70"/>
  <c r="R82" s="1"/>
  <c r="C48"/>
  <c r="F93" a="1"/>
  <c r="F93" s="1"/>
  <c r="F90" a="1"/>
  <c r="F90" s="1"/>
  <c r="F87" a="1"/>
  <c r="F87" s="1"/>
  <c r="F89" a="1"/>
  <c r="F89" s="1"/>
  <c r="F91" a="1"/>
  <c r="F91" s="1"/>
  <c r="F88" a="1"/>
  <c r="F88" s="1"/>
  <c r="F86" a="1"/>
  <c r="F86" s="1"/>
  <c r="F98" s="1"/>
  <c r="G77"/>
  <c r="R77" s="1"/>
  <c r="F36"/>
  <c r="G36"/>
  <c r="G78"/>
  <c r="R78" s="1"/>
  <c r="F128" a="1"/>
  <c r="F128" s="1"/>
  <c r="F130" s="1"/>
  <c r="I36"/>
  <c r="L165"/>
  <c r="I165"/>
  <c r="F165"/>
  <c r="C165"/>
  <c r="M165"/>
  <c r="G165"/>
  <c r="D165"/>
  <c r="A165"/>
  <c r="J166"/>
  <c r="K165"/>
  <c r="H165"/>
  <c r="E165"/>
  <c r="B165"/>
  <c r="G129" a="1"/>
  <c r="G129" s="1"/>
  <c r="G126" a="1"/>
  <c r="G126" s="1"/>
  <c r="G123" a="1"/>
  <c r="G123" s="1"/>
  <c r="G125" a="1"/>
  <c r="G125" s="1"/>
  <c r="G122" a="1"/>
  <c r="G122" s="1"/>
  <c r="G127" a="1"/>
  <c r="G127" s="1"/>
  <c r="G124" a="1"/>
  <c r="G124" s="1"/>
  <c r="H113"/>
  <c r="G80"/>
  <c r="R80" s="1"/>
  <c r="E36"/>
  <c r="H36"/>
  <c r="D104"/>
  <c r="D42"/>
  <c r="O113" s="1"/>
  <c r="E92" a="1"/>
  <c r="E92" s="1"/>
  <c r="E94" s="1"/>
  <c r="H77" i="69"/>
  <c r="S77" s="1"/>
  <c r="L165"/>
  <c r="I165"/>
  <c r="F165"/>
  <c r="C165"/>
  <c r="M165"/>
  <c r="G165"/>
  <c r="D165"/>
  <c r="A165"/>
  <c r="J166"/>
  <c r="K165"/>
  <c r="H165"/>
  <c r="E165"/>
  <c r="B165"/>
  <c r="H36"/>
  <c r="G36"/>
  <c r="G129" a="1"/>
  <c r="G129" s="1"/>
  <c r="G126" a="1"/>
  <c r="G126" s="1"/>
  <c r="G123" a="1"/>
  <c r="G123" s="1"/>
  <c r="G125" a="1"/>
  <c r="G125" s="1"/>
  <c r="G122" a="1"/>
  <c r="G122" s="1"/>
  <c r="G127" a="1"/>
  <c r="G127" s="1"/>
  <c r="G124" a="1"/>
  <c r="G124" s="1"/>
  <c r="H113"/>
  <c r="C140"/>
  <c r="C53"/>
  <c r="C207"/>
  <c r="C141"/>
  <c r="I79"/>
  <c r="T79" s="1"/>
  <c r="E36"/>
  <c r="H36" i="68"/>
  <c r="H82"/>
  <c r="S82" s="1"/>
  <c r="E36"/>
  <c r="H77"/>
  <c r="S77" s="1"/>
  <c r="C48"/>
  <c r="J25"/>
  <c r="G36"/>
  <c r="F127" a="1"/>
  <c r="F127" s="1"/>
  <c r="F124" a="1"/>
  <c r="F124" s="1"/>
  <c r="F129" a="1"/>
  <c r="F129" s="1"/>
  <c r="F126" a="1"/>
  <c r="F126" s="1"/>
  <c r="F123" a="1"/>
  <c r="F123" s="1"/>
  <c r="F125" a="1"/>
  <c r="F125" s="1"/>
  <c r="F122" a="1"/>
  <c r="F122" s="1"/>
  <c r="G113"/>
  <c r="M164"/>
  <c r="G164"/>
  <c r="D164"/>
  <c r="A164"/>
  <c r="J165"/>
  <c r="K164"/>
  <c r="H164"/>
  <c r="E164"/>
  <c r="B164"/>
  <c r="L164"/>
  <c r="I164"/>
  <c r="F164"/>
  <c r="C164"/>
  <c r="E128" a="1"/>
  <c r="E128" s="1"/>
  <c r="E130" s="1"/>
  <c r="G129" i="67" a="1"/>
  <c r="G129" s="1"/>
  <c r="G126" a="1"/>
  <c r="G126" s="1"/>
  <c r="G123" a="1"/>
  <c r="G123" s="1"/>
  <c r="G125" a="1"/>
  <c r="G125" s="1"/>
  <c r="G122" a="1"/>
  <c r="G122" s="1"/>
  <c r="G127" a="1"/>
  <c r="G127" s="1"/>
  <c r="G124" a="1"/>
  <c r="G124" s="1"/>
  <c r="H113"/>
  <c r="G81"/>
  <c r="R81" s="1"/>
  <c r="G36"/>
  <c r="F93" a="1"/>
  <c r="F93" s="1"/>
  <c r="F90" a="1"/>
  <c r="F90" s="1"/>
  <c r="F87" a="1"/>
  <c r="F87" s="1"/>
  <c r="F89" a="1"/>
  <c r="F89" s="1"/>
  <c r="F86" a="1"/>
  <c r="F86" s="1"/>
  <c r="F98" s="1"/>
  <c r="F91" a="1"/>
  <c r="F91" s="1"/>
  <c r="F88" a="1"/>
  <c r="F88" s="1"/>
  <c r="G77"/>
  <c r="R77" s="1"/>
  <c r="E36"/>
  <c r="G78"/>
  <c r="R78" s="1"/>
  <c r="C48"/>
  <c r="L165"/>
  <c r="I165"/>
  <c r="F165"/>
  <c r="C165"/>
  <c r="M165"/>
  <c r="G165"/>
  <c r="D165"/>
  <c r="A165"/>
  <c r="J166"/>
  <c r="K165"/>
  <c r="H165"/>
  <c r="E165"/>
  <c r="B165"/>
  <c r="F36"/>
  <c r="H36"/>
  <c r="I36"/>
  <c r="D104"/>
  <c r="D42"/>
  <c r="O113" s="1"/>
  <c r="F128" a="1"/>
  <c r="F128" s="1"/>
  <c r="F130" s="1"/>
  <c r="J25"/>
  <c r="B60" i="114"/>
  <c r="C60" s="1"/>
  <c r="A69"/>
  <c r="B61" i="113"/>
  <c r="C61" s="1"/>
  <c r="A70"/>
  <c r="A70" i="7"/>
  <c r="B61"/>
  <c r="A291"/>
  <c r="B282"/>
  <c r="H82" i="98" l="1"/>
  <c r="D135" i="76"/>
  <c r="O114"/>
  <c r="O119" s="1"/>
  <c r="D135" i="52"/>
  <c r="O114"/>
  <c r="O119" s="1"/>
  <c r="D136" i="87"/>
  <c r="D55" s="1"/>
  <c r="D66" s="1"/>
  <c r="N399" i="105" s="1"/>
  <c r="R118" i="84"/>
  <c r="R82" i="69"/>
  <c r="G92" i="84" a="1"/>
  <c r="G92" s="1"/>
  <c r="G94" s="1"/>
  <c r="G87" i="76" a="1"/>
  <c r="G87" s="1"/>
  <c r="S83" i="84"/>
  <c r="O120" i="94"/>
  <c r="N120" i="84"/>
  <c r="F136"/>
  <c r="F55" s="1"/>
  <c r="F66" s="1"/>
  <c r="P370" i="105" s="1"/>
  <c r="F135" i="84"/>
  <c r="F54" s="1"/>
  <c r="F65" s="1"/>
  <c r="P369" i="105" s="1"/>
  <c r="G126" i="84" a="1"/>
  <c r="G126" s="1"/>
  <c r="G138" s="1"/>
  <c r="G57" s="1"/>
  <c r="G68" s="1"/>
  <c r="Q372" i="105" s="1"/>
  <c r="F138" i="84"/>
  <c r="F57" s="1"/>
  <c r="F68" s="1"/>
  <c r="P372" i="105" s="1"/>
  <c r="F137" i="84"/>
  <c r="F56" s="1"/>
  <c r="F67" s="1"/>
  <c r="P371" i="105" s="1"/>
  <c r="R116" i="84"/>
  <c r="F58"/>
  <c r="F69" s="1"/>
  <c r="P373" i="105" s="1"/>
  <c r="E138" i="51"/>
  <c r="E57" s="1"/>
  <c r="E68" s="1"/>
  <c r="O140" i="105" s="1"/>
  <c r="P117" i="51"/>
  <c r="E137"/>
  <c r="E56" s="1"/>
  <c r="E67" s="1"/>
  <c r="O139" i="105" s="1"/>
  <c r="P116" i="51"/>
  <c r="E135" i="93"/>
  <c r="E54" s="1"/>
  <c r="E65" s="1"/>
  <c r="O470" i="105" s="1"/>
  <c r="P114" i="93"/>
  <c r="E138" i="58"/>
  <c r="E57" s="1"/>
  <c r="E68" s="1"/>
  <c r="O203" i="105" s="1"/>
  <c r="P117" i="58"/>
  <c r="E138" i="50"/>
  <c r="E57" s="1"/>
  <c r="E68" s="1"/>
  <c r="O131" i="105" s="1"/>
  <c r="P117" i="50"/>
  <c r="E137" i="43"/>
  <c r="E56" s="1"/>
  <c r="E67" s="1"/>
  <c r="O65" i="105" s="1"/>
  <c r="P116" i="43"/>
  <c r="E135" i="38"/>
  <c r="E54" s="1"/>
  <c r="E65" s="1"/>
  <c r="O18" i="105" s="1"/>
  <c r="P114" i="38"/>
  <c r="E137" i="102"/>
  <c r="E56" s="1"/>
  <c r="E67" s="1"/>
  <c r="O557" i="105" s="1"/>
  <c r="P116" i="102"/>
  <c r="E138" i="97"/>
  <c r="E57" s="1"/>
  <c r="E68" s="1"/>
  <c r="O509" i="105" s="1"/>
  <c r="P117" i="97"/>
  <c r="E138" i="86"/>
  <c r="E57" s="1"/>
  <c r="E68" s="1"/>
  <c r="O392" i="105" s="1"/>
  <c r="P117" i="86"/>
  <c r="E136" i="73"/>
  <c r="E55" s="1"/>
  <c r="E66" s="1"/>
  <c r="O289" i="105" s="1"/>
  <c r="P115" i="73"/>
  <c r="E138" i="70"/>
  <c r="E57" s="1"/>
  <c r="E68" s="1"/>
  <c r="O262" i="105" s="1"/>
  <c r="P117" i="70"/>
  <c r="E135" i="87"/>
  <c r="E54" s="1"/>
  <c r="E65" s="1"/>
  <c r="O398" i="105" s="1"/>
  <c r="P114" i="87"/>
  <c r="E135" i="89"/>
  <c r="E54" s="1"/>
  <c r="E65" s="1"/>
  <c r="O434" i="105" s="1"/>
  <c r="P114" i="89"/>
  <c r="E137" i="55"/>
  <c r="E56" s="1"/>
  <c r="E67" s="1"/>
  <c r="O175" i="105" s="1"/>
  <c r="P116" i="55"/>
  <c r="E138" i="49"/>
  <c r="E57" s="1"/>
  <c r="E68" s="1"/>
  <c r="O122" i="105" s="1"/>
  <c r="P117" i="49"/>
  <c r="E139" i="58"/>
  <c r="E58" s="1"/>
  <c r="E69" s="1"/>
  <c r="O204" i="105" s="1"/>
  <c r="P118" i="58"/>
  <c r="E136" i="46"/>
  <c r="E55" s="1"/>
  <c r="E66" s="1"/>
  <c r="O91" i="105" s="1"/>
  <c r="P115" i="46"/>
  <c r="E135" i="40"/>
  <c r="E54" s="1"/>
  <c r="E65" s="1"/>
  <c r="O36" i="105" s="1"/>
  <c r="P114" i="40"/>
  <c r="E139" i="32"/>
  <c r="E58" s="1"/>
  <c r="P118"/>
  <c r="E139" i="100"/>
  <c r="E58" s="1"/>
  <c r="E69" s="1"/>
  <c r="O539" i="105" s="1"/>
  <c r="P118" i="100"/>
  <c r="E136" i="96"/>
  <c r="E55" s="1"/>
  <c r="E66" s="1"/>
  <c r="O498" i="105" s="1"/>
  <c r="P115" i="96"/>
  <c r="E135" i="79"/>
  <c r="E54" s="1"/>
  <c r="E65" s="1"/>
  <c r="O416" i="105" s="1"/>
  <c r="P114" i="79"/>
  <c r="E135" i="82"/>
  <c r="E54" s="1"/>
  <c r="E65" s="1"/>
  <c r="O351" i="105" s="1"/>
  <c r="P114" i="82"/>
  <c r="E139" i="73"/>
  <c r="E58" s="1"/>
  <c r="E69" s="1"/>
  <c r="O292" i="105" s="1"/>
  <c r="P118" i="73"/>
  <c r="E137" i="76"/>
  <c r="E56" s="1"/>
  <c r="E67" s="1"/>
  <c r="O317" i="105" s="1"/>
  <c r="P116" i="76"/>
  <c r="E136" i="45"/>
  <c r="E55" s="1"/>
  <c r="E66" s="1"/>
  <c r="O82" i="105" s="1"/>
  <c r="P115" i="45"/>
  <c r="E135" i="58"/>
  <c r="E54" s="1"/>
  <c r="E65" s="1"/>
  <c r="O200" i="105" s="1"/>
  <c r="P114" i="58"/>
  <c r="E137" i="39"/>
  <c r="E56" s="1"/>
  <c r="E67" s="1"/>
  <c r="O29" i="105" s="1"/>
  <c r="P116" i="39"/>
  <c r="E138" i="102"/>
  <c r="E57" s="1"/>
  <c r="E68" s="1"/>
  <c r="O558" i="105" s="1"/>
  <c r="P117" i="102"/>
  <c r="E136" i="97"/>
  <c r="E55" s="1"/>
  <c r="E66" s="1"/>
  <c r="O507" i="105" s="1"/>
  <c r="P115" i="97"/>
  <c r="E135" i="91"/>
  <c r="E54" s="1"/>
  <c r="E65" s="1"/>
  <c r="O452" i="105" s="1"/>
  <c r="P114" i="91"/>
  <c r="E136" i="75"/>
  <c r="E55" s="1"/>
  <c r="E66" s="1"/>
  <c r="O307" i="105" s="1"/>
  <c r="P115" i="75"/>
  <c r="E135" i="70"/>
  <c r="E54" s="1"/>
  <c r="E65" s="1"/>
  <c r="O259" i="105" s="1"/>
  <c r="P114" i="70"/>
  <c r="E139" i="68"/>
  <c r="E58" s="1"/>
  <c r="E69" s="1"/>
  <c r="O245" i="105" s="1"/>
  <c r="P118" i="68"/>
  <c r="E136" i="76"/>
  <c r="E55" s="1"/>
  <c r="E66" s="1"/>
  <c r="O316" i="105" s="1"/>
  <c r="P115" i="76"/>
  <c r="E136" i="55"/>
  <c r="E55" s="1"/>
  <c r="E66" s="1"/>
  <c r="O174" i="105" s="1"/>
  <c r="P115" i="55"/>
  <c r="E137" i="54"/>
  <c r="E56" s="1"/>
  <c r="E67" s="1"/>
  <c r="O166" i="105" s="1"/>
  <c r="P116" i="54"/>
  <c r="E135" i="41"/>
  <c r="E54" s="1"/>
  <c r="E65" s="1"/>
  <c r="O45" i="105" s="1"/>
  <c r="P114" i="41"/>
  <c r="E138" i="57"/>
  <c r="E57" s="1"/>
  <c r="E68" s="1"/>
  <c r="O194" i="105" s="1"/>
  <c r="P117" i="57"/>
  <c r="E135" i="49"/>
  <c r="E54" s="1"/>
  <c r="E65" s="1"/>
  <c r="O119" i="105" s="1"/>
  <c r="P114" i="49"/>
  <c r="E136" i="40"/>
  <c r="E55" s="1"/>
  <c r="E66" s="1"/>
  <c r="O37" i="105" s="1"/>
  <c r="P115" i="40"/>
  <c r="E139" i="60"/>
  <c r="E58" s="1"/>
  <c r="E69" s="1"/>
  <c r="O222" i="105" s="1"/>
  <c r="P118" i="60"/>
  <c r="E136" i="58"/>
  <c r="E55" s="1"/>
  <c r="E66" s="1"/>
  <c r="O201" i="105" s="1"/>
  <c r="P115" i="58"/>
  <c r="E136" i="53"/>
  <c r="E55" s="1"/>
  <c r="E66" s="1"/>
  <c r="O156" i="105" s="1"/>
  <c r="P115" i="53"/>
  <c r="E137" i="45"/>
  <c r="E56" s="1"/>
  <c r="E67" s="1"/>
  <c r="O83" i="105" s="1"/>
  <c r="P116" i="45"/>
  <c r="E138" i="44"/>
  <c r="E57" s="1"/>
  <c r="E68" s="1"/>
  <c r="O75" i="105" s="1"/>
  <c r="P117" i="44"/>
  <c r="E135" i="42"/>
  <c r="E54" s="1"/>
  <c r="E65" s="1"/>
  <c r="O54" i="105" s="1"/>
  <c r="P114" i="42"/>
  <c r="E139" i="39"/>
  <c r="E58" s="1"/>
  <c r="E69" s="1"/>
  <c r="O31" i="105" s="1"/>
  <c r="P118" i="39"/>
  <c r="E135" i="32"/>
  <c r="E54" s="1"/>
  <c r="E65" s="1"/>
  <c r="P114"/>
  <c r="E139" i="109"/>
  <c r="E58" s="1"/>
  <c r="E69" s="1"/>
  <c r="O577" i="105" s="1"/>
  <c r="P118" i="109"/>
  <c r="E137" i="100"/>
  <c r="E56" s="1"/>
  <c r="E67" s="1"/>
  <c r="O537" i="105" s="1"/>
  <c r="P116" i="100"/>
  <c r="E135" i="98"/>
  <c r="E54" s="1"/>
  <c r="E65" s="1"/>
  <c r="O517" i="105" s="1"/>
  <c r="P114" i="98"/>
  <c r="E138" i="91"/>
  <c r="E57" s="1"/>
  <c r="E68" s="1"/>
  <c r="O455" i="105" s="1"/>
  <c r="P117" i="91"/>
  <c r="E135" i="85"/>
  <c r="E54" s="1"/>
  <c r="E65" s="1"/>
  <c r="O380" i="105" s="1"/>
  <c r="P114" i="85"/>
  <c r="E137" i="77"/>
  <c r="E56" s="1"/>
  <c r="E67" s="1"/>
  <c r="O326" i="105" s="1"/>
  <c r="P116" i="77"/>
  <c r="E135" i="74"/>
  <c r="E54" s="1"/>
  <c r="E65" s="1"/>
  <c r="O297" i="105" s="1"/>
  <c r="P114" i="74"/>
  <c r="E137" i="72"/>
  <c r="E56" s="1"/>
  <c r="E67" s="1"/>
  <c r="O280" i="105" s="1"/>
  <c r="P116" i="72"/>
  <c r="E139" i="70"/>
  <c r="E58" s="1"/>
  <c r="E69" s="1"/>
  <c r="O263" i="105" s="1"/>
  <c r="P118" i="70"/>
  <c r="E135" i="67"/>
  <c r="E54" s="1"/>
  <c r="E65" s="1"/>
  <c r="P114"/>
  <c r="E138" i="83"/>
  <c r="E57" s="1"/>
  <c r="E68" s="1"/>
  <c r="O363" i="105" s="1"/>
  <c r="P117" i="83"/>
  <c r="E139"/>
  <c r="E58" s="1"/>
  <c r="E69" s="1"/>
  <c r="O364" i="105" s="1"/>
  <c r="P118" i="83"/>
  <c r="E135" i="76"/>
  <c r="E54" s="1"/>
  <c r="E65" s="1"/>
  <c r="O315" i="105" s="1"/>
  <c r="P114" i="76"/>
  <c r="E139" i="52"/>
  <c r="E58" s="1"/>
  <c r="E69" s="1"/>
  <c r="O150" i="105" s="1"/>
  <c r="P118" i="52"/>
  <c r="E138" i="90"/>
  <c r="E57" s="1"/>
  <c r="E68" s="1"/>
  <c r="O446" i="105" s="1"/>
  <c r="P117" i="90"/>
  <c r="E135" i="48"/>
  <c r="E54" s="1"/>
  <c r="E65" s="1"/>
  <c r="O110" i="105" s="1"/>
  <c r="P114" i="48"/>
  <c r="E135" i="129"/>
  <c r="E54" s="1"/>
  <c r="E65" s="1"/>
  <c r="O600" i="105" s="1"/>
  <c r="P114" i="129"/>
  <c r="E137" i="68"/>
  <c r="E56" s="1"/>
  <c r="E67" s="1"/>
  <c r="O243" i="105" s="1"/>
  <c r="P116" i="68"/>
  <c r="E139" i="89"/>
  <c r="E58" s="1"/>
  <c r="E69" s="1"/>
  <c r="O438" i="105" s="1"/>
  <c r="P118" i="89"/>
  <c r="E136" i="93"/>
  <c r="E55" s="1"/>
  <c r="E66" s="1"/>
  <c r="O471" i="105" s="1"/>
  <c r="P115" i="93"/>
  <c r="E138" i="54"/>
  <c r="E57" s="1"/>
  <c r="E68" s="1"/>
  <c r="O167" i="105" s="1"/>
  <c r="P117" i="54"/>
  <c r="E136"/>
  <c r="E55" s="1"/>
  <c r="E66" s="1"/>
  <c r="O165" i="105" s="1"/>
  <c r="P115" i="54"/>
  <c r="E137" i="101"/>
  <c r="E56" s="1"/>
  <c r="E67" s="1"/>
  <c r="O546" i="105" s="1"/>
  <c r="P116" i="101"/>
  <c r="E139" i="78"/>
  <c r="E58" s="1"/>
  <c r="E69" s="1"/>
  <c r="O337" i="105" s="1"/>
  <c r="P118" i="78"/>
  <c r="E139" i="59"/>
  <c r="E58" s="1"/>
  <c r="E69" s="1"/>
  <c r="O213" i="105" s="1"/>
  <c r="P118" i="59"/>
  <c r="E137" i="46"/>
  <c r="E56" s="1"/>
  <c r="E67" s="1"/>
  <c r="O92" i="105" s="1"/>
  <c r="P116" i="46"/>
  <c r="E135" i="45"/>
  <c r="E54" s="1"/>
  <c r="E65" s="1"/>
  <c r="O81" i="105" s="1"/>
  <c r="P114" i="45"/>
  <c r="E135" i="43"/>
  <c r="E54" s="1"/>
  <c r="E65" s="1"/>
  <c r="O63" i="105" s="1"/>
  <c r="P114" i="43"/>
  <c r="E137" i="42"/>
  <c r="E56" s="1"/>
  <c r="E67" s="1"/>
  <c r="O56" i="105" s="1"/>
  <c r="P116" i="42"/>
  <c r="E137" i="38"/>
  <c r="E56" s="1"/>
  <c r="E67" s="1"/>
  <c r="O20" i="105" s="1"/>
  <c r="P116" i="38"/>
  <c r="E137" i="32"/>
  <c r="E56" s="1"/>
  <c r="E67" s="1"/>
  <c r="P116"/>
  <c r="E138" i="127"/>
  <c r="E57" s="1"/>
  <c r="E68" s="1"/>
  <c r="O585" i="105" s="1"/>
  <c r="P117" i="127"/>
  <c r="E139" i="108"/>
  <c r="E58" s="1"/>
  <c r="E69" s="1"/>
  <c r="O568" i="105" s="1"/>
  <c r="P118" i="108"/>
  <c r="E136" i="101"/>
  <c r="E55" s="1"/>
  <c r="E66" s="1"/>
  <c r="O545" i="105" s="1"/>
  <c r="P115" i="101"/>
  <c r="E136" i="99"/>
  <c r="E55" s="1"/>
  <c r="E66" s="1"/>
  <c r="O527" i="105" s="1"/>
  <c r="P115" i="99"/>
  <c r="E138"/>
  <c r="E57" s="1"/>
  <c r="E68" s="1"/>
  <c r="O529" i="105" s="1"/>
  <c r="P117" i="99"/>
  <c r="E137" i="97"/>
  <c r="E56" s="1"/>
  <c r="E67" s="1"/>
  <c r="O508" i="105" s="1"/>
  <c r="P116" i="97"/>
  <c r="E139" i="79"/>
  <c r="E58" s="1"/>
  <c r="E69" s="1"/>
  <c r="O420" i="105" s="1"/>
  <c r="P118" i="79"/>
  <c r="E137" i="86"/>
  <c r="E56" s="1"/>
  <c r="E67" s="1"/>
  <c r="O391" i="105" s="1"/>
  <c r="P116" i="86"/>
  <c r="E135"/>
  <c r="E54" s="1"/>
  <c r="E65" s="1"/>
  <c r="O389" i="105" s="1"/>
  <c r="P114" i="86"/>
  <c r="E137" i="82"/>
  <c r="E56" s="1"/>
  <c r="E67" s="1"/>
  <c r="O353" i="105" s="1"/>
  <c r="P116" i="82"/>
  <c r="E138" i="77"/>
  <c r="E57" s="1"/>
  <c r="E68" s="1"/>
  <c r="O327" i="105" s="1"/>
  <c r="P117" i="77"/>
  <c r="E137" i="74"/>
  <c r="E56" s="1"/>
  <c r="E67" s="1"/>
  <c r="O299" i="105" s="1"/>
  <c r="P116" i="74"/>
  <c r="E136" i="72"/>
  <c r="E55" s="1"/>
  <c r="E66" s="1"/>
  <c r="O279" i="105" s="1"/>
  <c r="P115" i="72"/>
  <c r="E135" i="71"/>
  <c r="E54" s="1"/>
  <c r="E65" s="1"/>
  <c r="O269" i="105" s="1"/>
  <c r="P114" i="71"/>
  <c r="E135" i="83"/>
  <c r="E54" s="1"/>
  <c r="E65" s="1"/>
  <c r="O360" i="105" s="1"/>
  <c r="P114" i="83"/>
  <c r="E139" i="51"/>
  <c r="E58" s="1"/>
  <c r="E69" s="1"/>
  <c r="O141" i="105" s="1"/>
  <c r="P118" i="51"/>
  <c r="E138" i="52"/>
  <c r="E57" s="1"/>
  <c r="E68" s="1"/>
  <c r="O149" i="105" s="1"/>
  <c r="P117" i="52"/>
  <c r="E136" i="87"/>
  <c r="E55" s="1"/>
  <c r="E66" s="1"/>
  <c r="O399" i="105" s="1"/>
  <c r="P115" i="87"/>
  <c r="E136" i="89"/>
  <c r="E55" s="1"/>
  <c r="E66" s="1"/>
  <c r="O435" i="105" s="1"/>
  <c r="P115" i="89"/>
  <c r="E138" i="87"/>
  <c r="E57" s="1"/>
  <c r="E68" s="1"/>
  <c r="O401" i="105" s="1"/>
  <c r="P117" i="87"/>
  <c r="E137" i="129"/>
  <c r="E56" s="1"/>
  <c r="E67" s="1"/>
  <c r="O602" i="105" s="1"/>
  <c r="P116" i="129"/>
  <c r="E138" i="68"/>
  <c r="E57" s="1"/>
  <c r="E68" s="1"/>
  <c r="O244" i="105" s="1"/>
  <c r="P117" i="68"/>
  <c r="E135" i="95"/>
  <c r="E54" s="1"/>
  <c r="E65" s="1"/>
  <c r="O488" i="105" s="1"/>
  <c r="P114" i="95"/>
  <c r="E135" i="90"/>
  <c r="E54" s="1"/>
  <c r="E65" s="1"/>
  <c r="O443" i="105" s="1"/>
  <c r="P114" i="90"/>
  <c r="E139" i="57"/>
  <c r="E58" s="1"/>
  <c r="E69" s="1"/>
  <c r="O195" i="105" s="1"/>
  <c r="P118" i="57"/>
  <c r="E139" i="40"/>
  <c r="E58" s="1"/>
  <c r="E69" s="1"/>
  <c r="O40" i="105" s="1"/>
  <c r="P118" i="40"/>
  <c r="E136" i="108"/>
  <c r="E55" s="1"/>
  <c r="E66" s="1"/>
  <c r="O565" i="105" s="1"/>
  <c r="P115" i="108"/>
  <c r="E136" i="60"/>
  <c r="E55" s="1"/>
  <c r="E66" s="1"/>
  <c r="O219" i="105" s="1"/>
  <c r="P115" i="60"/>
  <c r="E135" i="59"/>
  <c r="E54" s="1"/>
  <c r="E65" s="1"/>
  <c r="O209" i="105" s="1"/>
  <c r="P114" i="59"/>
  <c r="E139" i="50"/>
  <c r="E58" s="1"/>
  <c r="E69" s="1"/>
  <c r="O132" i="105" s="1"/>
  <c r="P118" i="50"/>
  <c r="E138" i="45"/>
  <c r="E57" s="1"/>
  <c r="E68" s="1"/>
  <c r="O84" i="105" s="1"/>
  <c r="P117" i="45"/>
  <c r="E135" i="44"/>
  <c r="E54" s="1"/>
  <c r="E65" s="1"/>
  <c r="O72" i="105" s="1"/>
  <c r="P114" i="44"/>
  <c r="E136" i="39"/>
  <c r="E55" s="1"/>
  <c r="E66" s="1"/>
  <c r="O28" i="105" s="1"/>
  <c r="P115" i="39"/>
  <c r="E136" i="109"/>
  <c r="E55" s="1"/>
  <c r="E66" s="1"/>
  <c r="O574" i="105" s="1"/>
  <c r="P115" i="109"/>
  <c r="E139" i="102"/>
  <c r="E58" s="1"/>
  <c r="E69" s="1"/>
  <c r="O559" i="105" s="1"/>
  <c r="P118" i="102"/>
  <c r="E135" i="101"/>
  <c r="E54" s="1"/>
  <c r="E65" s="1"/>
  <c r="O544" i="105" s="1"/>
  <c r="P114" i="101"/>
  <c r="E135" i="99"/>
  <c r="E54" s="1"/>
  <c r="E65" s="1"/>
  <c r="O526" i="105" s="1"/>
  <c r="P114" i="99"/>
  <c r="E139" i="97"/>
  <c r="E58" s="1"/>
  <c r="E69" s="1"/>
  <c r="O510" i="105" s="1"/>
  <c r="P118" i="97"/>
  <c r="E138" i="96"/>
  <c r="E57" s="1"/>
  <c r="E68" s="1"/>
  <c r="O500" i="105" s="1"/>
  <c r="P117" i="96"/>
  <c r="E136" i="91"/>
  <c r="E55" s="1"/>
  <c r="E66" s="1"/>
  <c r="O453" i="105" s="1"/>
  <c r="P115" i="91"/>
  <c r="E138" i="79"/>
  <c r="E57" s="1"/>
  <c r="E68" s="1"/>
  <c r="O419" i="105" s="1"/>
  <c r="P117" i="79"/>
  <c r="E136" i="85"/>
  <c r="E55" s="1"/>
  <c r="E66" s="1"/>
  <c r="O381" i="105" s="1"/>
  <c r="P115" i="85"/>
  <c r="E137" i="75"/>
  <c r="E56" s="1"/>
  <c r="E67" s="1"/>
  <c r="O308" i="105" s="1"/>
  <c r="P116" i="75"/>
  <c r="E139" i="72"/>
  <c r="E58" s="1"/>
  <c r="E69" s="1"/>
  <c r="O282" i="105" s="1"/>
  <c r="P118" i="72"/>
  <c r="E136" i="70"/>
  <c r="E55" s="1"/>
  <c r="E66" s="1"/>
  <c r="O260" i="105" s="1"/>
  <c r="P115" i="70"/>
  <c r="E137" i="67"/>
  <c r="E56" s="1"/>
  <c r="E67" s="1"/>
  <c r="P116"/>
  <c r="E135" i="69"/>
  <c r="E54" s="1"/>
  <c r="E65" s="1"/>
  <c r="O250" i="105" s="1"/>
  <c r="P114" i="69"/>
  <c r="E135" i="57"/>
  <c r="E54" s="1"/>
  <c r="E65" s="1"/>
  <c r="O191" i="105" s="1"/>
  <c r="P114" i="57"/>
  <c r="E139" i="48"/>
  <c r="E58" s="1"/>
  <c r="E69" s="1"/>
  <c r="O114" i="105" s="1"/>
  <c r="P118" i="48"/>
  <c r="E136" i="57"/>
  <c r="E55" s="1"/>
  <c r="E66" s="1"/>
  <c r="O192" i="105" s="1"/>
  <c r="P115" i="57"/>
  <c r="E139" i="38"/>
  <c r="E58" s="1"/>
  <c r="E69" s="1"/>
  <c r="O22" i="105" s="1"/>
  <c r="P118" i="38"/>
  <c r="E138" i="46"/>
  <c r="E57" s="1"/>
  <c r="E68" s="1"/>
  <c r="O93" i="105" s="1"/>
  <c r="P117" i="46"/>
  <c r="E138" i="59"/>
  <c r="E57" s="1"/>
  <c r="E68" s="1"/>
  <c r="O212" i="105" s="1"/>
  <c r="P117" i="59"/>
  <c r="E139" i="47"/>
  <c r="E58" s="1"/>
  <c r="E69" s="1"/>
  <c r="O105" i="105" s="1"/>
  <c r="P118" i="47"/>
  <c r="E137" i="40"/>
  <c r="E56" s="1"/>
  <c r="E67" s="1"/>
  <c r="O38" i="105" s="1"/>
  <c r="P116" i="40"/>
  <c r="E135" i="109"/>
  <c r="E54" s="1"/>
  <c r="E65" s="1"/>
  <c r="O573" i="105" s="1"/>
  <c r="P114" i="109"/>
  <c r="E136" i="82"/>
  <c r="E55" s="1"/>
  <c r="E66" s="1"/>
  <c r="O352" i="105" s="1"/>
  <c r="P115" i="82"/>
  <c r="E139" i="71"/>
  <c r="E58" s="1"/>
  <c r="E69" s="1"/>
  <c r="O273" i="105" s="1"/>
  <c r="P118" i="71"/>
  <c r="E136" i="83"/>
  <c r="E55" s="1"/>
  <c r="E66" s="1"/>
  <c r="O361" i="105" s="1"/>
  <c r="P115" i="83"/>
  <c r="E139" i="76"/>
  <c r="E58" s="1"/>
  <c r="E69" s="1"/>
  <c r="O319" i="105" s="1"/>
  <c r="P118" i="76"/>
  <c r="E139" i="87"/>
  <c r="E58" s="1"/>
  <c r="E69" s="1"/>
  <c r="O402" i="105" s="1"/>
  <c r="P118" i="87"/>
  <c r="E139" i="95"/>
  <c r="E58" s="1"/>
  <c r="E69" s="1"/>
  <c r="O492" i="105" s="1"/>
  <c r="P118" i="95"/>
  <c r="E138" i="55"/>
  <c r="E57" s="1"/>
  <c r="E68" s="1"/>
  <c r="O176" i="105" s="1"/>
  <c r="P117" i="55"/>
  <c r="E137" i="93"/>
  <c r="E56" s="1"/>
  <c r="E67" s="1"/>
  <c r="O472" i="105" s="1"/>
  <c r="P116" i="93"/>
  <c r="E137" i="50"/>
  <c r="E56" s="1"/>
  <c r="E67" s="1"/>
  <c r="O130" i="105" s="1"/>
  <c r="P116" i="50"/>
  <c r="E139" i="44"/>
  <c r="E58" s="1"/>
  <c r="E69" s="1"/>
  <c r="O76" i="105" s="1"/>
  <c r="P118" i="44"/>
  <c r="E136" i="102"/>
  <c r="E55" s="1"/>
  <c r="E66" s="1"/>
  <c r="O556" i="105" s="1"/>
  <c r="P115" i="102"/>
  <c r="E139" i="98"/>
  <c r="E58" s="1"/>
  <c r="E69" s="1"/>
  <c r="O521" i="105" s="1"/>
  <c r="P118" i="98"/>
  <c r="E138" i="75"/>
  <c r="E57" s="1"/>
  <c r="E68" s="1"/>
  <c r="O309" i="105" s="1"/>
  <c r="P117" i="75"/>
  <c r="E137" i="70"/>
  <c r="E56" s="1"/>
  <c r="E67" s="1"/>
  <c r="O261" i="105" s="1"/>
  <c r="P116" i="70"/>
  <c r="E137" i="69"/>
  <c r="E56" s="1"/>
  <c r="E67" s="1"/>
  <c r="O252" i="105" s="1"/>
  <c r="P116" i="69"/>
  <c r="E135" i="88"/>
  <c r="E54" s="1"/>
  <c r="E65" s="1"/>
  <c r="O407" i="105" s="1"/>
  <c r="P114" i="88"/>
  <c r="E138" i="76"/>
  <c r="E57" s="1"/>
  <c r="E68" s="1"/>
  <c r="O318" i="105" s="1"/>
  <c r="P117" i="76"/>
  <c r="E136" i="88"/>
  <c r="E55" s="1"/>
  <c r="E66" s="1"/>
  <c r="O408" i="105" s="1"/>
  <c r="P115" i="88"/>
  <c r="E138" i="41"/>
  <c r="E57" s="1"/>
  <c r="E68" s="1"/>
  <c r="O48" i="105" s="1"/>
  <c r="P117" i="41"/>
  <c r="E135" i="97"/>
  <c r="E54" s="1"/>
  <c r="E65" s="1"/>
  <c r="O506" i="105" s="1"/>
  <c r="P114" i="97"/>
  <c r="E135" i="60"/>
  <c r="E54" s="1"/>
  <c r="E65" s="1"/>
  <c r="O218" i="105" s="1"/>
  <c r="P114" i="60"/>
  <c r="E139" i="43"/>
  <c r="E58" s="1"/>
  <c r="E69" s="1"/>
  <c r="O67" i="105" s="1"/>
  <c r="P118" i="43"/>
  <c r="E136" i="38"/>
  <c r="E55" s="1"/>
  <c r="E66" s="1"/>
  <c r="O19" i="105" s="1"/>
  <c r="P115" i="38"/>
  <c r="E137" i="108"/>
  <c r="E56" s="1"/>
  <c r="E67" s="1"/>
  <c r="O566" i="105" s="1"/>
  <c r="P116" i="108"/>
  <c r="E138" i="100"/>
  <c r="E57" s="1"/>
  <c r="E68" s="1"/>
  <c r="O538" i="105" s="1"/>
  <c r="P117" i="100"/>
  <c r="E138" i="72"/>
  <c r="E57" s="1"/>
  <c r="E68" s="1"/>
  <c r="O281" i="105" s="1"/>
  <c r="P117" i="72"/>
  <c r="E139" i="67"/>
  <c r="E58" s="1"/>
  <c r="E69" s="1"/>
  <c r="P118"/>
  <c r="E137" i="78"/>
  <c r="E56" s="1"/>
  <c r="E67" s="1"/>
  <c r="O335" i="105" s="1"/>
  <c r="P116" i="78"/>
  <c r="E139" i="46"/>
  <c r="E58" s="1"/>
  <c r="E69" s="1"/>
  <c r="O94" i="105" s="1"/>
  <c r="P118" i="46"/>
  <c r="E136" i="52"/>
  <c r="E55" s="1"/>
  <c r="E66" s="1"/>
  <c r="O147" i="105" s="1"/>
  <c r="P115" i="52"/>
  <c r="E136" i="49"/>
  <c r="E55" s="1"/>
  <c r="E66" s="1"/>
  <c r="O120" i="105" s="1"/>
  <c r="P115" i="49"/>
  <c r="E135" i="52"/>
  <c r="E54" s="1"/>
  <c r="E65" s="1"/>
  <c r="O146" i="105" s="1"/>
  <c r="P114" i="52"/>
  <c r="E136" i="68"/>
  <c r="E55" s="1"/>
  <c r="E66" s="1"/>
  <c r="O242" i="105" s="1"/>
  <c r="P115" i="68"/>
  <c r="E137" i="87"/>
  <c r="E56" s="1"/>
  <c r="E67" s="1"/>
  <c r="O400" i="105" s="1"/>
  <c r="P116" i="87"/>
  <c r="E136" i="129"/>
  <c r="E55" s="1"/>
  <c r="E66" s="1"/>
  <c r="O601" i="105" s="1"/>
  <c r="P115" i="129"/>
  <c r="E137" i="88"/>
  <c r="E56" s="1"/>
  <c r="E67" s="1"/>
  <c r="O409" i="105" s="1"/>
  <c r="P116" i="88"/>
  <c r="E137" i="48"/>
  <c r="E56" s="1"/>
  <c r="E67" s="1"/>
  <c r="O112" i="105" s="1"/>
  <c r="P116" i="48"/>
  <c r="E138" i="88"/>
  <c r="E57" s="1"/>
  <c r="E68" s="1"/>
  <c r="O410" i="105" s="1"/>
  <c r="P117" i="88"/>
  <c r="E138" i="48"/>
  <c r="E57" s="1"/>
  <c r="E68" s="1"/>
  <c r="O113" i="105" s="1"/>
  <c r="P117" i="48"/>
  <c r="E139" i="55"/>
  <c r="E58" s="1"/>
  <c r="E69" s="1"/>
  <c r="O177" i="105" s="1"/>
  <c r="P118" i="55"/>
  <c r="E136" i="78"/>
  <c r="E55" s="1"/>
  <c r="E66" s="1"/>
  <c r="O334" i="105" s="1"/>
  <c r="P115" i="78"/>
  <c r="E138" i="93"/>
  <c r="E57" s="1"/>
  <c r="E68" s="1"/>
  <c r="O473" i="105" s="1"/>
  <c r="P117" i="93"/>
  <c r="E137" i="59"/>
  <c r="E56" s="1"/>
  <c r="E67" s="1"/>
  <c r="O211" i="105" s="1"/>
  <c r="P116" i="59"/>
  <c r="E137" i="53"/>
  <c r="E56" s="1"/>
  <c r="E67" s="1"/>
  <c r="O157" i="105" s="1"/>
  <c r="P116" i="53"/>
  <c r="E136" i="50"/>
  <c r="E55" s="1"/>
  <c r="E66" s="1"/>
  <c r="O129" i="105" s="1"/>
  <c r="P115" i="50"/>
  <c r="E138" i="47"/>
  <c r="E57" s="1"/>
  <c r="E68" s="1"/>
  <c r="O104" i="105" s="1"/>
  <c r="P117" i="47"/>
  <c r="E137" i="44"/>
  <c r="E56" s="1"/>
  <c r="E67" s="1"/>
  <c r="O74" i="105" s="1"/>
  <c r="P116" i="44"/>
  <c r="E136" i="42"/>
  <c r="E55" s="1"/>
  <c r="E66" s="1"/>
  <c r="O55" i="105" s="1"/>
  <c r="P115" i="42"/>
  <c r="E135" i="39"/>
  <c r="E54" s="1"/>
  <c r="E65" s="1"/>
  <c r="O27" i="105" s="1"/>
  <c r="P114" i="39"/>
  <c r="E136" i="32"/>
  <c r="E55" s="1"/>
  <c r="E66" s="1"/>
  <c r="P115"/>
  <c r="E139" i="127"/>
  <c r="E58" s="1"/>
  <c r="E69" s="1"/>
  <c r="O586" i="105" s="1"/>
  <c r="P118" i="127"/>
  <c r="E138" i="101"/>
  <c r="E57" s="1"/>
  <c r="E68" s="1"/>
  <c r="O547" i="105" s="1"/>
  <c r="P117" i="101"/>
  <c r="E136" i="98"/>
  <c r="E55" s="1"/>
  <c r="E66" s="1"/>
  <c r="O518" i="105" s="1"/>
  <c r="P115" i="98"/>
  <c r="E135" i="96"/>
  <c r="E54" s="1"/>
  <c r="E65" s="1"/>
  <c r="O497" i="105" s="1"/>
  <c r="P114" i="96"/>
  <c r="E139" i="91"/>
  <c r="E58" s="1"/>
  <c r="E69" s="1"/>
  <c r="O456" i="105" s="1"/>
  <c r="P118" i="91"/>
  <c r="E136" i="79"/>
  <c r="E55" s="1"/>
  <c r="E66" s="1"/>
  <c r="O417" i="105" s="1"/>
  <c r="P115" i="79"/>
  <c r="E136" i="86"/>
  <c r="E55" s="1"/>
  <c r="E66" s="1"/>
  <c r="O390" i="105" s="1"/>
  <c r="P115" i="86"/>
  <c r="E139" i="85"/>
  <c r="E58" s="1"/>
  <c r="E69" s="1"/>
  <c r="O384" i="105" s="1"/>
  <c r="P118" i="85"/>
  <c r="E135" i="77"/>
  <c r="E54" s="1"/>
  <c r="E65" s="1"/>
  <c r="O324" i="105" s="1"/>
  <c r="P114" i="77"/>
  <c r="E135" i="75"/>
  <c r="E54" s="1"/>
  <c r="E65" s="1"/>
  <c r="O306" i="105" s="1"/>
  <c r="P114" i="75"/>
  <c r="E135" i="73"/>
  <c r="E54" s="1"/>
  <c r="E65" s="1"/>
  <c r="O288" i="105" s="1"/>
  <c r="P114" i="73"/>
  <c r="E136" i="71"/>
  <c r="E55" s="1"/>
  <c r="E66" s="1"/>
  <c r="O270" i="105" s="1"/>
  <c r="P115" i="71"/>
  <c r="E136" i="67"/>
  <c r="E55" s="1"/>
  <c r="E66" s="1"/>
  <c r="P115"/>
  <c r="E139" i="69"/>
  <c r="E58" s="1"/>
  <c r="E69" s="1"/>
  <c r="O254" i="105" s="1"/>
  <c r="P118" i="69"/>
  <c r="E135" i="68"/>
  <c r="E54" s="1"/>
  <c r="E65" s="1"/>
  <c r="O241" i="105" s="1"/>
  <c r="P114" i="68"/>
  <c r="E137" i="52"/>
  <c r="E56" s="1"/>
  <c r="E67" s="1"/>
  <c r="O148" i="105" s="1"/>
  <c r="P116" i="52"/>
  <c r="E139" i="41"/>
  <c r="E58" s="1"/>
  <c r="E69" s="1"/>
  <c r="O49" i="105" s="1"/>
  <c r="P118" i="41"/>
  <c r="E137" i="57"/>
  <c r="E56" s="1"/>
  <c r="E67" s="1"/>
  <c r="O193" i="105" s="1"/>
  <c r="P116" i="57"/>
  <c r="E139" i="129"/>
  <c r="E58" s="1"/>
  <c r="E69" s="1"/>
  <c r="O604" i="105" s="1"/>
  <c r="P118" i="129"/>
  <c r="E136" i="90"/>
  <c r="E55" s="1"/>
  <c r="E66" s="1"/>
  <c r="O444" i="105" s="1"/>
  <c r="P115" i="90"/>
  <c r="E137"/>
  <c r="E56" s="1"/>
  <c r="E67" s="1"/>
  <c r="O445" i="105" s="1"/>
  <c r="P116" i="90"/>
  <c r="E135" i="78"/>
  <c r="E54" s="1"/>
  <c r="E65" s="1"/>
  <c r="O333" i="105" s="1"/>
  <c r="P114" i="78"/>
  <c r="E139" i="82"/>
  <c r="E58" s="1"/>
  <c r="E69" s="1"/>
  <c r="O355" i="105" s="1"/>
  <c r="P118" i="82"/>
  <c r="E136" i="74"/>
  <c r="E55" s="1"/>
  <c r="E66" s="1"/>
  <c r="O298" i="105" s="1"/>
  <c r="P115" i="74"/>
  <c r="E135" i="108"/>
  <c r="E54" s="1"/>
  <c r="E65" s="1"/>
  <c r="O564" i="105" s="1"/>
  <c r="P114" i="108"/>
  <c r="E137" i="60"/>
  <c r="E56" s="1"/>
  <c r="E67" s="1"/>
  <c r="O220" i="105" s="1"/>
  <c r="P116" i="60"/>
  <c r="E139" i="53"/>
  <c r="E58" s="1"/>
  <c r="E69" s="1"/>
  <c r="O159" i="105" s="1"/>
  <c r="P118" i="53"/>
  <c r="E135" i="50"/>
  <c r="E54" s="1"/>
  <c r="E65" s="1"/>
  <c r="O128" i="105" s="1"/>
  <c r="P114" i="50"/>
  <c r="E137" i="47"/>
  <c r="E56" s="1"/>
  <c r="E67" s="1"/>
  <c r="O103" i="105" s="1"/>
  <c r="P116" i="47"/>
  <c r="E139" i="45"/>
  <c r="E58" s="1"/>
  <c r="E69" s="1"/>
  <c r="O85" i="105" s="1"/>
  <c r="P118" i="45"/>
  <c r="E136" i="43"/>
  <c r="E55" s="1"/>
  <c r="E66" s="1"/>
  <c r="O64" i="105" s="1"/>
  <c r="P115" i="43"/>
  <c r="E138" i="42"/>
  <c r="E57" s="1"/>
  <c r="E68" s="1"/>
  <c r="O57" i="105" s="1"/>
  <c r="P117" i="42"/>
  <c r="E138" i="39"/>
  <c r="E57" s="1"/>
  <c r="E68" s="1"/>
  <c r="O30" i="105" s="1"/>
  <c r="P117" i="39"/>
  <c r="E138" i="32"/>
  <c r="E57" s="1"/>
  <c r="E68" s="1"/>
  <c r="P117"/>
  <c r="E136" i="127"/>
  <c r="E55" s="1"/>
  <c r="E66" s="1"/>
  <c r="O583" i="105" s="1"/>
  <c r="P115" i="127"/>
  <c r="E137" i="109"/>
  <c r="E56" s="1"/>
  <c r="E67" s="1"/>
  <c r="O575" i="105" s="1"/>
  <c r="P116" i="109"/>
  <c r="E135" i="102"/>
  <c r="E54" s="1"/>
  <c r="E65" s="1"/>
  <c r="O555" i="105" s="1"/>
  <c r="P114" i="102"/>
  <c r="E136" i="100"/>
  <c r="E55" s="1"/>
  <c r="E66" s="1"/>
  <c r="O536" i="105" s="1"/>
  <c r="P115" i="100"/>
  <c r="E138" i="98"/>
  <c r="E57" s="1"/>
  <c r="E68" s="1"/>
  <c r="O520" i="105" s="1"/>
  <c r="P117" i="98"/>
  <c r="E137" i="96"/>
  <c r="E56" s="1"/>
  <c r="E67" s="1"/>
  <c r="O499" i="105" s="1"/>
  <c r="P116" i="96"/>
  <c r="E137" i="91"/>
  <c r="E56" s="1"/>
  <c r="E67" s="1"/>
  <c r="O454" i="105" s="1"/>
  <c r="P116" i="91"/>
  <c r="E135" i="80"/>
  <c r="E54" s="1"/>
  <c r="E65" s="1"/>
  <c r="O425" i="105" s="1"/>
  <c r="P114" i="80"/>
  <c r="E137" i="79"/>
  <c r="E56" s="1"/>
  <c r="E67" s="1"/>
  <c r="O418" i="105" s="1"/>
  <c r="P116" i="79"/>
  <c r="E138" i="85"/>
  <c r="E57" s="1"/>
  <c r="E68" s="1"/>
  <c r="O383" i="105" s="1"/>
  <c r="P117" i="85"/>
  <c r="E136" i="77"/>
  <c r="E55" s="1"/>
  <c r="E66" s="1"/>
  <c r="O325" i="105" s="1"/>
  <c r="P115" i="77"/>
  <c r="E138" i="74"/>
  <c r="E57" s="1"/>
  <c r="E68" s="1"/>
  <c r="O300" i="105" s="1"/>
  <c r="P117" i="74"/>
  <c r="E138" i="73"/>
  <c r="E57" s="1"/>
  <c r="E68" s="1"/>
  <c r="O291" i="105" s="1"/>
  <c r="P117" i="73"/>
  <c r="E138" i="71"/>
  <c r="E57" s="1"/>
  <c r="E68" s="1"/>
  <c r="O272" i="105" s="1"/>
  <c r="P117" i="71"/>
  <c r="E138" i="67"/>
  <c r="E57" s="1"/>
  <c r="E68" s="1"/>
  <c r="P117"/>
  <c r="E137" i="83"/>
  <c r="E56" s="1"/>
  <c r="E67" s="1"/>
  <c r="O362" i="105" s="1"/>
  <c r="P116" i="83"/>
  <c r="E136" i="69"/>
  <c r="E55" s="1"/>
  <c r="E66" s="1"/>
  <c r="O251" i="105" s="1"/>
  <c r="P115" i="69"/>
  <c r="E137" i="89"/>
  <c r="E56" s="1"/>
  <c r="E67" s="1"/>
  <c r="O436" i="105" s="1"/>
  <c r="P116" i="89"/>
  <c r="E135" i="51"/>
  <c r="E54" s="1"/>
  <c r="E65" s="1"/>
  <c r="O137" i="105" s="1"/>
  <c r="P114" i="51"/>
  <c r="E136"/>
  <c r="E55" s="1"/>
  <c r="E66" s="1"/>
  <c r="O138" i="105" s="1"/>
  <c r="P115" i="51"/>
  <c r="E136" i="95"/>
  <c r="E55" s="1"/>
  <c r="E66" s="1"/>
  <c r="O489" i="105" s="1"/>
  <c r="P115" i="95"/>
  <c r="E136" i="48"/>
  <c r="E55" s="1"/>
  <c r="P115"/>
  <c r="E137" i="95"/>
  <c r="E56" s="1"/>
  <c r="E67" s="1"/>
  <c r="O490" i="105" s="1"/>
  <c r="P116" i="95"/>
  <c r="E135" i="55"/>
  <c r="E54" s="1"/>
  <c r="E65" s="1"/>
  <c r="O173" i="105" s="1"/>
  <c r="P114" i="55"/>
  <c r="E138" i="89"/>
  <c r="E57" s="1"/>
  <c r="E68" s="1"/>
  <c r="O437" i="105" s="1"/>
  <c r="P117" i="89"/>
  <c r="E138" i="129"/>
  <c r="E57" s="1"/>
  <c r="E68" s="1"/>
  <c r="O603" i="105" s="1"/>
  <c r="P117" i="129"/>
  <c r="E136" i="41"/>
  <c r="E55" s="1"/>
  <c r="E66" s="1"/>
  <c r="O46" i="105" s="1"/>
  <c r="P115" i="41"/>
  <c r="E135" i="54"/>
  <c r="E54" s="1"/>
  <c r="E65" s="1"/>
  <c r="O164" i="105" s="1"/>
  <c r="P114" i="54"/>
  <c r="E139" i="74"/>
  <c r="E58" s="1"/>
  <c r="E69" s="1"/>
  <c r="O301" i="105" s="1"/>
  <c r="P118" i="74"/>
  <c r="E139" i="49"/>
  <c r="E58" s="1"/>
  <c r="E69" s="1"/>
  <c r="O123" i="105" s="1"/>
  <c r="P118" i="49"/>
  <c r="E139" i="80"/>
  <c r="E58" s="1"/>
  <c r="E69" s="1"/>
  <c r="O429" i="105" s="1"/>
  <c r="P118" i="80"/>
  <c r="E136" i="59"/>
  <c r="E55" s="1"/>
  <c r="E66" s="1"/>
  <c r="O210" i="105" s="1"/>
  <c r="P115" i="59"/>
  <c r="E137" i="58"/>
  <c r="E56" s="1"/>
  <c r="E67" s="1"/>
  <c r="O202" i="105" s="1"/>
  <c r="P116" i="58"/>
  <c r="E138" i="53"/>
  <c r="E57" s="1"/>
  <c r="E68" s="1"/>
  <c r="O158" i="105" s="1"/>
  <c r="P117" i="53"/>
  <c r="E136" i="47"/>
  <c r="E55" s="1"/>
  <c r="E66" s="1"/>
  <c r="O102" i="105" s="1"/>
  <c r="P115" i="47"/>
  <c r="E135" i="46"/>
  <c r="E54" s="1"/>
  <c r="E65" s="1"/>
  <c r="O90" i="105" s="1"/>
  <c r="P114" i="46"/>
  <c r="E138" i="43"/>
  <c r="E57" s="1"/>
  <c r="E68" s="1"/>
  <c r="O66" i="105" s="1"/>
  <c r="P117" i="43"/>
  <c r="E137" i="127"/>
  <c r="E56" s="1"/>
  <c r="E67" s="1"/>
  <c r="O584" i="105" s="1"/>
  <c r="P116" i="127"/>
  <c r="E138" i="108"/>
  <c r="E57" s="1"/>
  <c r="E68" s="1"/>
  <c r="O567" i="105" s="1"/>
  <c r="P117" i="108"/>
  <c r="E139" i="101"/>
  <c r="E58" s="1"/>
  <c r="E69" s="1"/>
  <c r="O548" i="105" s="1"/>
  <c r="P118" i="101"/>
  <c r="E135" i="100"/>
  <c r="E54" s="1"/>
  <c r="E65" s="1"/>
  <c r="O535" i="105" s="1"/>
  <c r="P114" i="100"/>
  <c r="E137" i="98"/>
  <c r="E56" s="1"/>
  <c r="E67" s="1"/>
  <c r="O519" i="105" s="1"/>
  <c r="P116" i="98"/>
  <c r="E139" i="96"/>
  <c r="E58" s="1"/>
  <c r="E69" s="1"/>
  <c r="O501" i="105" s="1"/>
  <c r="P118" i="96"/>
  <c r="E138" i="80"/>
  <c r="E57" s="1"/>
  <c r="E68" s="1"/>
  <c r="O428" i="105" s="1"/>
  <c r="P117" i="80"/>
  <c r="E139" i="86"/>
  <c r="E58" s="1"/>
  <c r="E69" s="1"/>
  <c r="O393" i="105" s="1"/>
  <c r="P118" i="86"/>
  <c r="E137" i="73"/>
  <c r="E56" s="1"/>
  <c r="E67" s="1"/>
  <c r="O290" i="105" s="1"/>
  <c r="P116" i="73"/>
  <c r="E137" i="71"/>
  <c r="E56" s="1"/>
  <c r="E67" s="1"/>
  <c r="O271" i="105" s="1"/>
  <c r="P116" i="71"/>
  <c r="E138" i="82"/>
  <c r="E57" s="1"/>
  <c r="E68" s="1"/>
  <c r="O354" i="105" s="1"/>
  <c r="P117" i="82"/>
  <c r="E139" i="54"/>
  <c r="E58" s="1"/>
  <c r="E69" s="1"/>
  <c r="O168" i="105" s="1"/>
  <c r="P118" i="54"/>
  <c r="E139" i="93"/>
  <c r="E58" s="1"/>
  <c r="E69" s="1"/>
  <c r="O474" i="105" s="1"/>
  <c r="P118" i="93"/>
  <c r="E138" i="60"/>
  <c r="E57" s="1"/>
  <c r="E68" s="1"/>
  <c r="O221" i="105" s="1"/>
  <c r="P117" i="60"/>
  <c r="E135" i="53"/>
  <c r="E54" s="1"/>
  <c r="E65" s="1"/>
  <c r="O155" i="105" s="1"/>
  <c r="P114" i="53"/>
  <c r="E136" i="44"/>
  <c r="E55" s="1"/>
  <c r="E66" s="1"/>
  <c r="O73" i="105" s="1"/>
  <c r="P115" i="44"/>
  <c r="E139" i="99"/>
  <c r="E58" s="1"/>
  <c r="E69" s="1"/>
  <c r="O530" i="105" s="1"/>
  <c r="P118" i="99"/>
  <c r="E136" i="80"/>
  <c r="E55" s="1"/>
  <c r="E66" s="1"/>
  <c r="O426" i="105" s="1"/>
  <c r="P115" i="80"/>
  <c r="E139" i="75"/>
  <c r="E58" s="1"/>
  <c r="E69" s="1"/>
  <c r="O310" i="105" s="1"/>
  <c r="P118" i="75"/>
  <c r="E138" i="95"/>
  <c r="E57" s="1"/>
  <c r="E68" s="1"/>
  <c r="O491" i="105" s="1"/>
  <c r="P117" i="95"/>
  <c r="E138" i="40"/>
  <c r="E57" s="1"/>
  <c r="E68" s="1"/>
  <c r="O39" i="105" s="1"/>
  <c r="P117" i="40"/>
  <c r="E137" i="49"/>
  <c r="E56" s="1"/>
  <c r="E67" s="1"/>
  <c r="O121" i="105" s="1"/>
  <c r="P116" i="49"/>
  <c r="E138" i="38"/>
  <c r="E57" s="1"/>
  <c r="E68" s="1"/>
  <c r="O21" i="105" s="1"/>
  <c r="P117" i="38"/>
  <c r="E135" i="47"/>
  <c r="E54" s="1"/>
  <c r="E65" s="1"/>
  <c r="O101" i="105" s="1"/>
  <c r="P114" i="47"/>
  <c r="E139" i="42"/>
  <c r="E58" s="1"/>
  <c r="E69" s="1"/>
  <c r="O58" i="105" s="1"/>
  <c r="P118" i="42"/>
  <c r="E138" i="109"/>
  <c r="E57" s="1"/>
  <c r="E68" s="1"/>
  <c r="O576" i="105" s="1"/>
  <c r="P117" i="109"/>
  <c r="E137" i="80"/>
  <c r="E56" s="1"/>
  <c r="E67" s="1"/>
  <c r="O427" i="105" s="1"/>
  <c r="P116" i="80"/>
  <c r="E137" i="85"/>
  <c r="E56" s="1"/>
  <c r="E67" s="1"/>
  <c r="O382" i="105" s="1"/>
  <c r="P116" i="85"/>
  <c r="E135" i="72"/>
  <c r="E54" s="1"/>
  <c r="E65" s="1"/>
  <c r="O278" i="105" s="1"/>
  <c r="P114" i="72"/>
  <c r="E138" i="69"/>
  <c r="E57" s="1"/>
  <c r="E68" s="1"/>
  <c r="O253" i="105" s="1"/>
  <c r="P117" i="69"/>
  <c r="E139" i="90"/>
  <c r="E58" s="1"/>
  <c r="E69" s="1"/>
  <c r="O447" i="105" s="1"/>
  <c r="P118" i="90"/>
  <c r="E139" i="88"/>
  <c r="E58" s="1"/>
  <c r="E69" s="1"/>
  <c r="O411" i="105" s="1"/>
  <c r="P118" i="88"/>
  <c r="E137" i="41"/>
  <c r="E56" s="1"/>
  <c r="E67" s="1"/>
  <c r="O47" i="105" s="1"/>
  <c r="P116" i="41"/>
  <c r="E138" i="78"/>
  <c r="E57" s="1"/>
  <c r="E68" s="1"/>
  <c r="O336" i="105" s="1"/>
  <c r="P117" i="78"/>
  <c r="E135" i="127"/>
  <c r="E54" s="1"/>
  <c r="E65" s="1"/>
  <c r="O582" i="105" s="1"/>
  <c r="P114" i="127"/>
  <c r="E137" i="99"/>
  <c r="E56" s="1"/>
  <c r="E67" s="1"/>
  <c r="O528" i="105" s="1"/>
  <c r="P116" i="99"/>
  <c r="E139" i="77"/>
  <c r="E58" s="1"/>
  <c r="E69" s="1"/>
  <c r="O328" i="105" s="1"/>
  <c r="P118" i="77"/>
  <c r="F137" i="81"/>
  <c r="F56" s="1"/>
  <c r="F67" s="1"/>
  <c r="P344" i="105" s="1"/>
  <c r="Q116" i="81"/>
  <c r="F136" i="56"/>
  <c r="F55" s="1"/>
  <c r="F66" s="1"/>
  <c r="P183" i="105" s="1"/>
  <c r="Q115" i="56"/>
  <c r="F138" i="94"/>
  <c r="F57" s="1"/>
  <c r="F68" s="1"/>
  <c r="P482" i="105" s="1"/>
  <c r="Q117" i="94"/>
  <c r="F135" i="69"/>
  <c r="F54" s="1"/>
  <c r="F65" s="1"/>
  <c r="P250" i="105" s="1"/>
  <c r="Q114" i="69"/>
  <c r="F139" i="54"/>
  <c r="F58" s="1"/>
  <c r="F69" s="1"/>
  <c r="P168" i="105" s="1"/>
  <c r="Q118" i="54"/>
  <c r="F136" i="89"/>
  <c r="F55" s="1"/>
  <c r="F66" s="1"/>
  <c r="P435" i="105" s="1"/>
  <c r="Q115" i="89"/>
  <c r="F139" i="57"/>
  <c r="F58" s="1"/>
  <c r="F69" s="1"/>
  <c r="P195" i="105" s="1"/>
  <c r="Q118" i="57"/>
  <c r="F137" i="52"/>
  <c r="F56" s="1"/>
  <c r="F67" s="1"/>
  <c r="P148" i="105" s="1"/>
  <c r="Q116" i="52"/>
  <c r="F139" i="48"/>
  <c r="F58" s="1"/>
  <c r="F69" s="1"/>
  <c r="P114" i="105" s="1"/>
  <c r="Q118" i="48"/>
  <c r="F137" i="129"/>
  <c r="F56" s="1"/>
  <c r="F67" s="1"/>
  <c r="P602" i="105" s="1"/>
  <c r="Q116" i="129"/>
  <c r="F135" i="51"/>
  <c r="F54" s="1"/>
  <c r="F65" s="1"/>
  <c r="P137" i="105" s="1"/>
  <c r="Q114" i="51"/>
  <c r="F138" i="88"/>
  <c r="F57" s="1"/>
  <c r="F68" s="1"/>
  <c r="P410" i="105" s="1"/>
  <c r="Q117" i="88"/>
  <c r="F139" i="99"/>
  <c r="F58" s="1"/>
  <c r="F69" s="1"/>
  <c r="P530" i="105" s="1"/>
  <c r="Q118" i="99"/>
  <c r="F139" i="95"/>
  <c r="F58" s="1"/>
  <c r="F69" s="1"/>
  <c r="P492" i="105" s="1"/>
  <c r="Q118" i="95"/>
  <c r="F138" i="41"/>
  <c r="F57" s="1"/>
  <c r="F68" s="1"/>
  <c r="P48" i="105" s="1"/>
  <c r="Q117" i="41"/>
  <c r="F139" i="81"/>
  <c r="F58" s="1"/>
  <c r="F69" s="1"/>
  <c r="P346" i="105" s="1"/>
  <c r="Q118" i="81"/>
  <c r="F137" i="56"/>
  <c r="F56" s="1"/>
  <c r="F67" s="1"/>
  <c r="P184" i="105" s="1"/>
  <c r="Q116" i="56"/>
  <c r="F139" i="94"/>
  <c r="F58" s="1"/>
  <c r="F69" s="1"/>
  <c r="P483" i="105" s="1"/>
  <c r="Q118" i="94"/>
  <c r="F135" i="81"/>
  <c r="F54" s="1"/>
  <c r="F65" s="1"/>
  <c r="P342" i="105" s="1"/>
  <c r="Q114" i="81"/>
  <c r="F139" i="92"/>
  <c r="F58" s="1"/>
  <c r="F69" s="1"/>
  <c r="P465" i="105" s="1"/>
  <c r="Q118" i="92"/>
  <c r="F138" i="56"/>
  <c r="F57" s="1"/>
  <c r="F68" s="1"/>
  <c r="P185" i="105" s="1"/>
  <c r="Q117" i="56"/>
  <c r="F138" i="48"/>
  <c r="F57" s="1"/>
  <c r="F68" s="1"/>
  <c r="P113" i="105" s="1"/>
  <c r="Q117" i="48"/>
  <c r="F136" i="94"/>
  <c r="F55" s="1"/>
  <c r="F66" s="1"/>
  <c r="P480" i="105" s="1"/>
  <c r="Q115" i="94"/>
  <c r="F136" i="88"/>
  <c r="F55" s="1"/>
  <c r="F66" s="1"/>
  <c r="P408" i="105" s="1"/>
  <c r="Q115" i="88"/>
  <c r="F139" i="83"/>
  <c r="F58" s="1"/>
  <c r="F69" s="1"/>
  <c r="P364" i="105" s="1"/>
  <c r="Q118" i="83"/>
  <c r="F139" i="55"/>
  <c r="F58" s="1"/>
  <c r="F69" s="1"/>
  <c r="P177" i="105" s="1"/>
  <c r="Q118" i="55"/>
  <c r="F137" i="51"/>
  <c r="F56" s="1"/>
  <c r="F67" s="1"/>
  <c r="P139" i="105" s="1"/>
  <c r="Q116" i="51"/>
  <c r="F136" i="48"/>
  <c r="F55" s="1"/>
  <c r="Q115"/>
  <c r="F139" i="129"/>
  <c r="F58" s="1"/>
  <c r="F69" s="1"/>
  <c r="P604" i="105" s="1"/>
  <c r="Q118" i="129"/>
  <c r="F137" i="89"/>
  <c r="F56" s="1"/>
  <c r="F67" s="1"/>
  <c r="P436" i="105" s="1"/>
  <c r="Q116" i="89"/>
  <c r="F136" i="55"/>
  <c r="F55" s="1"/>
  <c r="F66" s="1"/>
  <c r="P174" i="105" s="1"/>
  <c r="Q115" i="55"/>
  <c r="F137" i="41"/>
  <c r="F56" s="1"/>
  <c r="F67" s="1"/>
  <c r="P47" i="105" s="1"/>
  <c r="Q116" i="41"/>
  <c r="F138" i="95"/>
  <c r="F57" s="1"/>
  <c r="F68" s="1"/>
  <c r="P491" i="105" s="1"/>
  <c r="Q117" i="95"/>
  <c r="F139" i="76"/>
  <c r="F58" s="1"/>
  <c r="F69" s="1"/>
  <c r="P319" i="105" s="1"/>
  <c r="Q118" i="76"/>
  <c r="F135" i="83"/>
  <c r="F54" s="1"/>
  <c r="F65" s="1"/>
  <c r="P360" i="105" s="1"/>
  <c r="Q114" i="83"/>
  <c r="F138" i="57"/>
  <c r="F57" s="1"/>
  <c r="F68" s="1"/>
  <c r="P194" i="105" s="1"/>
  <c r="Q117" i="57"/>
  <c r="F139" i="88"/>
  <c r="F58" s="1"/>
  <c r="F69" s="1"/>
  <c r="P411" i="105" s="1"/>
  <c r="Q118" i="88"/>
  <c r="F137" i="54"/>
  <c r="F56" s="1"/>
  <c r="F67" s="1"/>
  <c r="P166" i="105" s="1"/>
  <c r="Q116" i="54"/>
  <c r="F139" i="69"/>
  <c r="F58" s="1"/>
  <c r="F69" s="1"/>
  <c r="P254" i="105" s="1"/>
  <c r="Q118" i="69"/>
  <c r="F138" i="52"/>
  <c r="F57" s="1"/>
  <c r="F68" s="1"/>
  <c r="P149" i="105" s="1"/>
  <c r="Q117" i="52"/>
  <c r="F136" i="87"/>
  <c r="F55" s="1"/>
  <c r="F66" s="1"/>
  <c r="P399" i="105" s="1"/>
  <c r="Q115" i="87"/>
  <c r="F138" i="83"/>
  <c r="F57" s="1"/>
  <c r="F68" s="1"/>
  <c r="P363" i="105" s="1"/>
  <c r="Q117" i="83"/>
  <c r="F138" i="55"/>
  <c r="F57" s="1"/>
  <c r="F68" s="1"/>
  <c r="P176" i="105" s="1"/>
  <c r="Q117" i="55"/>
  <c r="F135" i="57"/>
  <c r="F54" s="1"/>
  <c r="F65" s="1"/>
  <c r="P191" i="105" s="1"/>
  <c r="Q114" i="57"/>
  <c r="F138" i="81"/>
  <c r="F57" s="1"/>
  <c r="F68" s="1"/>
  <c r="P345" i="105" s="1"/>
  <c r="Q117" i="81"/>
  <c r="F138" i="76"/>
  <c r="F57" s="1"/>
  <c r="F68" s="1"/>
  <c r="P318" i="105" s="1"/>
  <c r="Q117" i="76"/>
  <c r="F139" i="41"/>
  <c r="F58" s="1"/>
  <c r="F69" s="1"/>
  <c r="P49" i="105" s="1"/>
  <c r="Q118" i="41"/>
  <c r="F137" i="95"/>
  <c r="F56" s="1"/>
  <c r="F67" s="1"/>
  <c r="P490" i="105" s="1"/>
  <c r="Q116" i="95"/>
  <c r="F137" i="69"/>
  <c r="F56" s="1"/>
  <c r="F67" s="1"/>
  <c r="P252" i="105" s="1"/>
  <c r="Q116" i="69"/>
  <c r="F135" i="54"/>
  <c r="F54" s="1"/>
  <c r="F65" s="1"/>
  <c r="P164" i="105" s="1"/>
  <c r="Q114" i="54"/>
  <c r="F139" i="51"/>
  <c r="F58" s="1"/>
  <c r="F69" s="1"/>
  <c r="P141" i="105" s="1"/>
  <c r="Q118" i="51"/>
  <c r="F136" i="41"/>
  <c r="F55" s="1"/>
  <c r="F66" s="1"/>
  <c r="P46" i="105" s="1"/>
  <c r="Q115" i="41"/>
  <c r="F136" i="95"/>
  <c r="F55" s="1"/>
  <c r="F66" s="1"/>
  <c r="P489" i="105" s="1"/>
  <c r="Q115" i="95"/>
  <c r="F138" i="69"/>
  <c r="F57" s="1"/>
  <c r="F68" s="1"/>
  <c r="P253" i="105" s="1"/>
  <c r="Q117" i="69"/>
  <c r="F135" i="41"/>
  <c r="F54" s="1"/>
  <c r="F65" s="1"/>
  <c r="P45" i="105" s="1"/>
  <c r="Q114" i="41"/>
  <c r="F137" i="57"/>
  <c r="F56" s="1"/>
  <c r="F67" s="1"/>
  <c r="P193" i="105" s="1"/>
  <c r="Q116" i="57"/>
  <c r="F138" i="129"/>
  <c r="F57" s="1"/>
  <c r="F68" s="1"/>
  <c r="P603" i="105" s="1"/>
  <c r="Q117" i="129"/>
  <c r="F136" i="76"/>
  <c r="F55" s="1"/>
  <c r="F66" s="1"/>
  <c r="P316" i="105" s="1"/>
  <c r="Q115" i="76"/>
  <c r="F137" i="92"/>
  <c r="F56" s="1"/>
  <c r="F67" s="1"/>
  <c r="P463" i="105" s="1"/>
  <c r="Q116" i="92"/>
  <c r="F139" i="56"/>
  <c r="F58" s="1"/>
  <c r="F69" s="1"/>
  <c r="P186" i="105" s="1"/>
  <c r="Q118" i="56"/>
  <c r="F138" i="51"/>
  <c r="F57" s="1"/>
  <c r="F68" s="1"/>
  <c r="P140" i="105" s="1"/>
  <c r="Q117" i="51"/>
  <c r="F137" i="48"/>
  <c r="F56" s="1"/>
  <c r="F67" s="1"/>
  <c r="P112" i="105" s="1"/>
  <c r="Q116" i="48"/>
  <c r="F137" i="94"/>
  <c r="F56" s="1"/>
  <c r="F67" s="1"/>
  <c r="P481" i="105" s="1"/>
  <c r="Q116" i="94"/>
  <c r="F135" i="88"/>
  <c r="F54" s="1"/>
  <c r="F65" s="1"/>
  <c r="P407" i="105" s="1"/>
  <c r="Q114" i="88"/>
  <c r="F136" i="83"/>
  <c r="F55" s="1"/>
  <c r="F66" s="1"/>
  <c r="P361" i="105" s="1"/>
  <c r="Q115" i="83"/>
  <c r="F138" i="92"/>
  <c r="F57" s="1"/>
  <c r="F68" s="1"/>
  <c r="P464" i="105" s="1"/>
  <c r="Q117" i="92"/>
  <c r="F136" i="81"/>
  <c r="F55" s="1"/>
  <c r="F66" s="1"/>
  <c r="P343" i="105" s="1"/>
  <c r="Q115" i="81"/>
  <c r="F139" i="52"/>
  <c r="F58" s="1"/>
  <c r="F69" s="1"/>
  <c r="P150" i="105" s="1"/>
  <c r="Q118" i="52"/>
  <c r="F135" i="48"/>
  <c r="F54" s="1"/>
  <c r="F65" s="1"/>
  <c r="P110" i="105" s="1"/>
  <c r="Q114" i="48"/>
  <c r="F139" i="89"/>
  <c r="F58" s="1"/>
  <c r="F69" s="1"/>
  <c r="P438" i="105" s="1"/>
  <c r="Q118" i="89"/>
  <c r="F135" i="94"/>
  <c r="F54" s="1"/>
  <c r="F65" s="1"/>
  <c r="P479" i="105" s="1"/>
  <c r="Q114" i="94"/>
  <c r="F135" i="92"/>
  <c r="F54" s="1"/>
  <c r="F65" s="1"/>
  <c r="P461" i="105" s="1"/>
  <c r="Q114" i="92"/>
  <c r="F136"/>
  <c r="F55" s="1"/>
  <c r="F66" s="1"/>
  <c r="P462" i="105" s="1"/>
  <c r="Q115" i="92"/>
  <c r="F135" i="56"/>
  <c r="F54" s="1"/>
  <c r="F65" s="1"/>
  <c r="P182" i="105" s="1"/>
  <c r="Q114" i="56"/>
  <c r="F138" i="75"/>
  <c r="F57" s="1"/>
  <c r="F68" s="1"/>
  <c r="P309" i="105" s="1"/>
  <c r="Q117" i="75"/>
  <c r="F136" i="52"/>
  <c r="F55" s="1"/>
  <c r="F66" s="1"/>
  <c r="P147" i="105" s="1"/>
  <c r="Q115" i="52"/>
  <c r="F135" i="129"/>
  <c r="F54" s="1"/>
  <c r="F65" s="1"/>
  <c r="P600" i="105" s="1"/>
  <c r="Q114" i="129"/>
  <c r="F136" i="69"/>
  <c r="F55" s="1"/>
  <c r="F66" s="1"/>
  <c r="P251" i="105" s="1"/>
  <c r="Q115" i="69"/>
  <c r="F137" i="55"/>
  <c r="F56" s="1"/>
  <c r="F67" s="1"/>
  <c r="P175" i="105" s="1"/>
  <c r="Q116" i="55"/>
  <c r="F136" i="54"/>
  <c r="F55" s="1"/>
  <c r="F66" s="1"/>
  <c r="P165" i="105" s="1"/>
  <c r="Q115" i="54"/>
  <c r="F136" i="51"/>
  <c r="F55" s="1"/>
  <c r="F66" s="1"/>
  <c r="P138" i="105" s="1"/>
  <c r="Q115" i="51"/>
  <c r="F136" i="129"/>
  <c r="F55" s="1"/>
  <c r="F66" s="1"/>
  <c r="P601" i="105" s="1"/>
  <c r="Q115" i="129"/>
  <c r="F138" i="89"/>
  <c r="F57" s="1"/>
  <c r="F68" s="1"/>
  <c r="P437" i="105" s="1"/>
  <c r="Q117" i="89"/>
  <c r="F137" i="88"/>
  <c r="F56" s="1"/>
  <c r="F67" s="1"/>
  <c r="P409" i="105" s="1"/>
  <c r="Q116" i="88"/>
  <c r="F135" i="76"/>
  <c r="F54" s="1"/>
  <c r="F65" s="1"/>
  <c r="P315" i="105" s="1"/>
  <c r="Q114" i="76"/>
  <c r="F135" i="52"/>
  <c r="F54" s="1"/>
  <c r="F65" s="1"/>
  <c r="P146" i="105" s="1"/>
  <c r="Q114" i="52"/>
  <c r="F138" i="54"/>
  <c r="F57" s="1"/>
  <c r="F68" s="1"/>
  <c r="P167" i="105" s="1"/>
  <c r="Q117" i="54"/>
  <c r="F135" i="55"/>
  <c r="F54" s="1"/>
  <c r="F65" s="1"/>
  <c r="P173" i="105" s="1"/>
  <c r="Q114" i="55"/>
  <c r="F137" i="83"/>
  <c r="F56" s="1"/>
  <c r="F67" s="1"/>
  <c r="P362" i="105" s="1"/>
  <c r="Q116" i="83"/>
  <c r="F136" i="57"/>
  <c r="F55" s="1"/>
  <c r="F66" s="1"/>
  <c r="P192" i="105" s="1"/>
  <c r="Q115" i="57"/>
  <c r="F137" i="87"/>
  <c r="F56" s="1"/>
  <c r="F67" s="1"/>
  <c r="P400" i="105" s="1"/>
  <c r="Q116" i="87"/>
  <c r="F135" i="95"/>
  <c r="F54" s="1"/>
  <c r="F65" s="1"/>
  <c r="P488" i="105" s="1"/>
  <c r="Q114" i="95"/>
  <c r="F137" i="76"/>
  <c r="F56" s="1"/>
  <c r="F67" s="1"/>
  <c r="P317" i="105" s="1"/>
  <c r="Q116" i="76"/>
  <c r="S117" i="84"/>
  <c r="S115"/>
  <c r="S114"/>
  <c r="F134" i="92"/>
  <c r="Q113"/>
  <c r="F134" i="84"/>
  <c r="Q113"/>
  <c r="Q119" s="1"/>
  <c r="E134" i="109"/>
  <c r="P113"/>
  <c r="E134" i="79"/>
  <c r="P113"/>
  <c r="E134" i="78"/>
  <c r="P113"/>
  <c r="D134" i="67"/>
  <c r="D134" i="70"/>
  <c r="D134" i="71"/>
  <c r="D134" i="77"/>
  <c r="D134" i="78"/>
  <c r="D134" i="86"/>
  <c r="D134" i="90"/>
  <c r="D134" i="91"/>
  <c r="D134" i="98"/>
  <c r="D134" i="109"/>
  <c r="D134" i="32"/>
  <c r="D134" i="43"/>
  <c r="D134" i="46"/>
  <c r="D134" i="49"/>
  <c r="D134" i="58"/>
  <c r="D134" i="68"/>
  <c r="D134" i="73"/>
  <c r="D134" i="75"/>
  <c r="D134" i="88"/>
  <c r="D134" i="80"/>
  <c r="D134" i="93"/>
  <c r="D134" i="96"/>
  <c r="D134" i="101"/>
  <c r="D134" i="127"/>
  <c r="D134" i="38"/>
  <c r="D134" i="42"/>
  <c r="D134" i="50"/>
  <c r="D134" i="53"/>
  <c r="D134" i="60"/>
  <c r="D134" i="72"/>
  <c r="D134" i="74"/>
  <c r="D134" i="82"/>
  <c r="D134" i="85"/>
  <c r="D134" i="79"/>
  <c r="D134" i="97"/>
  <c r="D134" i="100"/>
  <c r="D134" i="102"/>
  <c r="D134" i="40"/>
  <c r="D134" i="44"/>
  <c r="D134" i="45"/>
  <c r="D134" i="47"/>
  <c r="D134" i="59"/>
  <c r="D134" i="57"/>
  <c r="D134" i="69"/>
  <c r="E57" i="128"/>
  <c r="E68" s="1"/>
  <c r="O594" i="105" s="1"/>
  <c r="E56" i="128"/>
  <c r="E67" s="1"/>
  <c r="O593" i="105" s="1"/>
  <c r="E58" i="128"/>
  <c r="E69" s="1"/>
  <c r="O595" i="105" s="1"/>
  <c r="D48" i="87"/>
  <c r="D207" s="1"/>
  <c r="E54" i="128"/>
  <c r="E65" s="1"/>
  <c r="O591" i="105" s="1"/>
  <c r="E55" i="128"/>
  <c r="E66" s="1"/>
  <c r="O592" i="105" s="1"/>
  <c r="C207" i="90"/>
  <c r="S82" i="69"/>
  <c r="I82"/>
  <c r="T82" s="1"/>
  <c r="H80" i="43"/>
  <c r="H81" i="54"/>
  <c r="S81" s="1"/>
  <c r="H77" i="109"/>
  <c r="S77" s="1"/>
  <c r="G127" i="71" a="1"/>
  <c r="G127" s="1"/>
  <c r="F104" i="84"/>
  <c r="F105" s="1"/>
  <c r="H113" i="48"/>
  <c r="H125" s="1" a="1"/>
  <c r="H125" s="1"/>
  <c r="G126" a="1"/>
  <c r="G126" s="1"/>
  <c r="G122" a="1"/>
  <c r="G122" s="1"/>
  <c r="G87" i="52" a="1"/>
  <c r="G87" s="1"/>
  <c r="G99" s="1"/>
  <c r="G43" s="1"/>
  <c r="R82" i="67"/>
  <c r="I82" i="80"/>
  <c r="T82" s="1"/>
  <c r="G90" i="87" a="1"/>
  <c r="G90" s="1"/>
  <c r="G102" s="1"/>
  <c r="G46" s="1"/>
  <c r="H82" i="39"/>
  <c r="S82" s="1"/>
  <c r="G124" i="71" a="1"/>
  <c r="G124" s="1"/>
  <c r="G125" a="1"/>
  <c r="G125" s="1"/>
  <c r="G129" a="1"/>
  <c r="G129" s="1"/>
  <c r="H79" i="73"/>
  <c r="S79" s="1"/>
  <c r="G91" i="87" a="1"/>
  <c r="G91" s="1"/>
  <c r="G103" s="1"/>
  <c r="G47" s="1"/>
  <c r="H81" i="78"/>
  <c r="H113" i="71"/>
  <c r="H122" s="1" a="1"/>
  <c r="H122" s="1"/>
  <c r="G122" a="1"/>
  <c r="G122" s="1"/>
  <c r="G89" i="76" a="1"/>
  <c r="G89" s="1"/>
  <c r="I82" i="92"/>
  <c r="T82" s="1"/>
  <c r="G93" i="69" a="1"/>
  <c r="G93" s="1"/>
  <c r="G90" i="57" a="1"/>
  <c r="G90" s="1"/>
  <c r="G90" i="89" a="1"/>
  <c r="G90" s="1"/>
  <c r="G102" s="1"/>
  <c r="G46" s="1"/>
  <c r="G87" i="95" a="1"/>
  <c r="G87" s="1"/>
  <c r="G99" s="1"/>
  <c r="G43" s="1"/>
  <c r="I81" i="70"/>
  <c r="T81" s="1"/>
  <c r="G91" i="89" a="1"/>
  <c r="G91" s="1"/>
  <c r="G103" s="1"/>
  <c r="G47" s="1"/>
  <c r="G86" i="69" a="1"/>
  <c r="G86" s="1"/>
  <c r="G98" s="1"/>
  <c r="G42" s="1"/>
  <c r="H79" i="82"/>
  <c r="S79" s="1"/>
  <c r="I82" i="88"/>
  <c r="T82" s="1"/>
  <c r="I80" i="80"/>
  <c r="T80" s="1"/>
  <c r="I82" i="94"/>
  <c r="T82" s="1"/>
  <c r="I80" i="44"/>
  <c r="T80" s="1"/>
  <c r="G86" i="48" a="1"/>
  <c r="G86" s="1"/>
  <c r="G98" s="1"/>
  <c r="G42" s="1"/>
  <c r="G88" i="88" a="1"/>
  <c r="G88" s="1"/>
  <c r="G100" s="1"/>
  <c r="G44" s="1"/>
  <c r="G86" a="1"/>
  <c r="G86" s="1"/>
  <c r="G98" s="1"/>
  <c r="H80" i="40"/>
  <c r="S80" s="1"/>
  <c r="F92" i="51" a="1"/>
  <c r="F92" s="1"/>
  <c r="F94" s="1"/>
  <c r="F92" i="129" a="1"/>
  <c r="F92" s="1"/>
  <c r="F94" s="1"/>
  <c r="F92" i="55" a="1"/>
  <c r="F92" s="1"/>
  <c r="F94" s="1"/>
  <c r="H82"/>
  <c r="S82" s="1"/>
  <c r="F92" i="95" a="1"/>
  <c r="F92" s="1"/>
  <c r="F94" s="1"/>
  <c r="G89" i="89" a="1"/>
  <c r="G89" s="1"/>
  <c r="G101" s="1"/>
  <c r="G45" s="1"/>
  <c r="T77" i="84"/>
  <c r="T83" s="1"/>
  <c r="I88" a="1"/>
  <c r="I88" s="1"/>
  <c r="I100" s="1"/>
  <c r="I44" s="1"/>
  <c r="I87" a="1"/>
  <c r="I87" s="1"/>
  <c r="I99" s="1"/>
  <c r="I43" s="1"/>
  <c r="I93" a="1"/>
  <c r="I93" s="1"/>
  <c r="I90" a="1"/>
  <c r="I90" s="1"/>
  <c r="I102" s="1"/>
  <c r="I46" s="1"/>
  <c r="I86" a="1"/>
  <c r="I86" s="1"/>
  <c r="I91" a="1"/>
  <c r="I91" s="1"/>
  <c r="I103" s="1"/>
  <c r="I47" s="1"/>
  <c r="I89" a="1"/>
  <c r="I89" s="1"/>
  <c r="I101" s="1"/>
  <c r="I45" s="1"/>
  <c r="H92" a="1"/>
  <c r="H92" s="1"/>
  <c r="H94" s="1"/>
  <c r="H98"/>
  <c r="H42" s="1"/>
  <c r="I79" i="70"/>
  <c r="T79" s="1"/>
  <c r="F92" i="48" a="1"/>
  <c r="F92" s="1"/>
  <c r="F94" s="1"/>
  <c r="G93" i="95" a="1"/>
  <c r="G93" s="1"/>
  <c r="G86" i="87" a="1"/>
  <c r="G86" s="1"/>
  <c r="G98" s="1"/>
  <c r="G90" i="51" a="1"/>
  <c r="G90" s="1"/>
  <c r="G102" s="1"/>
  <c r="G46" s="1"/>
  <c r="G89" i="90" a="1"/>
  <c r="G89" s="1"/>
  <c r="G101" s="1"/>
  <c r="G45" s="1"/>
  <c r="G91" i="88" a="1"/>
  <c r="G91" s="1"/>
  <c r="G103" s="1"/>
  <c r="G47" s="1"/>
  <c r="G89" i="41" a="1"/>
  <c r="G89" s="1"/>
  <c r="G101" s="1"/>
  <c r="G45" s="1"/>
  <c r="S82" i="67"/>
  <c r="I82"/>
  <c r="T82" s="1"/>
  <c r="G88" i="76" a="1"/>
  <c r="G88" s="1"/>
  <c r="G100" s="1"/>
  <c r="G44" s="1"/>
  <c r="G87" i="87" a="1"/>
  <c r="G87" s="1"/>
  <c r="G99" s="1"/>
  <c r="G43" s="1"/>
  <c r="G88" a="1"/>
  <c r="G88" s="1"/>
  <c r="G100" s="1"/>
  <c r="G44" s="1"/>
  <c r="G89" a="1"/>
  <c r="G89" s="1"/>
  <c r="G101" s="1"/>
  <c r="G45" s="1"/>
  <c r="G86" i="89" a="1"/>
  <c r="G86" s="1"/>
  <c r="G98" s="1"/>
  <c r="G42" s="1"/>
  <c r="G88" a="1"/>
  <c r="G88" s="1"/>
  <c r="G100" s="1"/>
  <c r="G44" s="1"/>
  <c r="G86" i="129" a="1"/>
  <c r="G86" s="1"/>
  <c r="G98" s="1"/>
  <c r="G42" s="1"/>
  <c r="G88" i="51" a="1"/>
  <c r="G88" s="1"/>
  <c r="G100" s="1"/>
  <c r="G44" s="1"/>
  <c r="G93" i="129" a="1"/>
  <c r="G93" s="1"/>
  <c r="H78"/>
  <c r="S78" s="1"/>
  <c r="G93" i="87" a="1"/>
  <c r="G93" s="1"/>
  <c r="G87" i="89" a="1"/>
  <c r="G87" s="1"/>
  <c r="G99" s="1"/>
  <c r="G43" s="1"/>
  <c r="G93" a="1"/>
  <c r="G93" s="1"/>
  <c r="H77" i="129"/>
  <c r="S77" s="1"/>
  <c r="H81"/>
  <c r="S81" s="1"/>
  <c r="G90" i="55" a="1"/>
  <c r="G90" s="1"/>
  <c r="G102" s="1"/>
  <c r="G46" s="1"/>
  <c r="G89" i="69" a="1"/>
  <c r="G89" s="1"/>
  <c r="G101" s="1"/>
  <c r="G45" s="1"/>
  <c r="G91" i="76" a="1"/>
  <c r="G91" s="1"/>
  <c r="G103" s="1"/>
  <c r="G47" s="1"/>
  <c r="G93" i="68" a="1"/>
  <c r="G93" s="1"/>
  <c r="F92" i="76" a="1"/>
  <c r="F92" s="1"/>
  <c r="F94" s="1"/>
  <c r="F92" i="89" a="1"/>
  <c r="F92" s="1"/>
  <c r="F94" s="1"/>
  <c r="F92" i="69" a="1"/>
  <c r="F92" s="1"/>
  <c r="F94" s="1"/>
  <c r="F92" i="88" a="1"/>
  <c r="F92" s="1"/>
  <c r="F94" s="1"/>
  <c r="G88" i="52" a="1"/>
  <c r="G88" s="1"/>
  <c r="G100" s="1"/>
  <c r="G44" s="1"/>
  <c r="G91" i="48" a="1"/>
  <c r="G91" s="1"/>
  <c r="G103" s="1"/>
  <c r="G47" s="1"/>
  <c r="G86" i="54" a="1"/>
  <c r="G86" s="1"/>
  <c r="G98" s="1"/>
  <c r="G89" i="95" a="1"/>
  <c r="G89" s="1"/>
  <c r="G101" s="1"/>
  <c r="G45" s="1"/>
  <c r="G91" i="57" a="1"/>
  <c r="G91" s="1"/>
  <c r="G103" s="1"/>
  <c r="G47" s="1"/>
  <c r="G90" i="69" a="1"/>
  <c r="G90" s="1"/>
  <c r="G102" s="1"/>
  <c r="G46" s="1"/>
  <c r="G91" a="1"/>
  <c r="G91" s="1"/>
  <c r="G103" s="1"/>
  <c r="G47" s="1"/>
  <c r="G93" i="76" a="1"/>
  <c r="G93" s="1"/>
  <c r="G86" a="1"/>
  <c r="G86" s="1"/>
  <c r="G98" s="1"/>
  <c r="G87" i="88" a="1"/>
  <c r="G87" s="1"/>
  <c r="G99" s="1"/>
  <c r="G43" s="1"/>
  <c r="G93" a="1"/>
  <c r="G93" s="1"/>
  <c r="G89" a="1"/>
  <c r="G89" s="1"/>
  <c r="G101" s="1"/>
  <c r="G45" s="1"/>
  <c r="G91" i="95" a="1"/>
  <c r="G91" s="1"/>
  <c r="G103" s="1"/>
  <c r="G47" s="1"/>
  <c r="G86" a="1"/>
  <c r="G86" s="1"/>
  <c r="G98" s="1"/>
  <c r="G42" s="1"/>
  <c r="F92" i="41" a="1"/>
  <c r="F92" s="1"/>
  <c r="F94" s="1"/>
  <c r="F92" i="52" a="1"/>
  <c r="F92" s="1"/>
  <c r="F94" s="1"/>
  <c r="G89" a="1"/>
  <c r="G89" s="1"/>
  <c r="G101" s="1"/>
  <c r="G45" s="1"/>
  <c r="G91" i="55" a="1"/>
  <c r="G91" s="1"/>
  <c r="G103" s="1"/>
  <c r="G47" s="1"/>
  <c r="F99" i="89"/>
  <c r="F43" s="1"/>
  <c r="Q83" i="76"/>
  <c r="G87" i="69" a="1"/>
  <c r="G87" s="1"/>
  <c r="G99" s="1"/>
  <c r="G43" s="1"/>
  <c r="G88" a="1"/>
  <c r="G88" s="1"/>
  <c r="G100" s="1"/>
  <c r="G44" s="1"/>
  <c r="G90" i="76" a="1"/>
  <c r="G90" s="1"/>
  <c r="G102" s="1"/>
  <c r="G46" s="1"/>
  <c r="G90" i="88" a="1"/>
  <c r="G90" s="1"/>
  <c r="G102" s="1"/>
  <c r="G46" s="1"/>
  <c r="G90" i="95" a="1"/>
  <c r="G90" s="1"/>
  <c r="G102" s="1"/>
  <c r="G46" s="1"/>
  <c r="G88" a="1"/>
  <c r="G88" s="1"/>
  <c r="G100" s="1"/>
  <c r="G44" s="1"/>
  <c r="G87" i="41" a="1"/>
  <c r="G87" s="1"/>
  <c r="G99" s="1"/>
  <c r="G43" s="1"/>
  <c r="F92" i="57" a="1"/>
  <c r="F92" s="1"/>
  <c r="F94" s="1"/>
  <c r="G89" i="129" a="1"/>
  <c r="G89" s="1"/>
  <c r="G101" s="1"/>
  <c r="G45" s="1"/>
  <c r="G89" i="51" a="1"/>
  <c r="G89" s="1"/>
  <c r="G101" s="1"/>
  <c r="G45" s="1"/>
  <c r="G93" i="54" a="1"/>
  <c r="G93" s="1"/>
  <c r="H80" i="101"/>
  <c r="S80" s="1"/>
  <c r="H78" i="128"/>
  <c r="S78" s="1"/>
  <c r="I80"/>
  <c r="T80" s="1"/>
  <c r="G90" i="129" a="1"/>
  <c r="G90" s="1"/>
  <c r="G102" s="1"/>
  <c r="G46" s="1"/>
  <c r="G91" a="1"/>
  <c r="G91" s="1"/>
  <c r="G103" s="1"/>
  <c r="G47" s="1"/>
  <c r="G88" i="41" a="1"/>
  <c r="G88" s="1"/>
  <c r="G100" s="1"/>
  <c r="G44" s="1"/>
  <c r="G86" i="51" a="1"/>
  <c r="G86" s="1"/>
  <c r="G98" s="1"/>
  <c r="G42" s="1"/>
  <c r="G87" a="1"/>
  <c r="G87" s="1"/>
  <c r="G99" s="1"/>
  <c r="G43" s="1"/>
  <c r="G89" i="54" a="1"/>
  <c r="G89" s="1"/>
  <c r="G101" s="1"/>
  <c r="G45" s="1"/>
  <c r="H77" i="128"/>
  <c r="S77" s="1"/>
  <c r="G87" i="129" a="1"/>
  <c r="G87" s="1"/>
  <c r="G99" s="1"/>
  <c r="G43" s="1"/>
  <c r="G88" a="1"/>
  <c r="G88" s="1"/>
  <c r="G100" s="1"/>
  <c r="G44" s="1"/>
  <c r="G93" i="51" a="1"/>
  <c r="G93" s="1"/>
  <c r="G91" a="1"/>
  <c r="G91" s="1"/>
  <c r="G103" s="1"/>
  <c r="G47" s="1"/>
  <c r="F92" i="54" a="1"/>
  <c r="F92" s="1"/>
  <c r="F94" s="1"/>
  <c r="F92" i="83" a="1"/>
  <c r="F92" s="1"/>
  <c r="F94" s="1"/>
  <c r="G87" a="1"/>
  <c r="G87" s="1"/>
  <c r="G99" s="1"/>
  <c r="G43" s="1"/>
  <c r="G90" a="1"/>
  <c r="G90" s="1"/>
  <c r="G102" s="1"/>
  <c r="G46" s="1"/>
  <c r="G86" a="1"/>
  <c r="G86" s="1"/>
  <c r="G98" s="1"/>
  <c r="G42" s="1"/>
  <c r="O84" i="55"/>
  <c r="D105" i="89"/>
  <c r="D105" i="128"/>
  <c r="O84" i="83"/>
  <c r="D140" i="55"/>
  <c r="D141" s="1"/>
  <c r="Q83" i="88"/>
  <c r="Q83" i="86"/>
  <c r="O119" i="54"/>
  <c r="Q83" i="129"/>
  <c r="O119" i="89"/>
  <c r="Q83" i="52"/>
  <c r="Q83" i="51"/>
  <c r="Q83" i="72"/>
  <c r="Q83" i="58"/>
  <c r="Q83" i="55"/>
  <c r="Q83" i="87"/>
  <c r="Q83" i="54"/>
  <c r="Q83" i="39"/>
  <c r="E104" i="78"/>
  <c r="E105" s="1"/>
  <c r="O119" i="83"/>
  <c r="O84" i="87"/>
  <c r="F104" i="92"/>
  <c r="F105" s="1"/>
  <c r="O119" i="129"/>
  <c r="O119" i="41"/>
  <c r="O84" i="108"/>
  <c r="O84" i="54"/>
  <c r="Q83" i="48"/>
  <c r="Q83" i="57"/>
  <c r="Q83" i="95"/>
  <c r="O119" i="108"/>
  <c r="E104" i="109"/>
  <c r="E105" s="1"/>
  <c r="D140" i="108"/>
  <c r="D141" s="1"/>
  <c r="Q83" i="89"/>
  <c r="Q83" i="68"/>
  <c r="Q83" i="69"/>
  <c r="Q83" i="41"/>
  <c r="Q83" i="83"/>
  <c r="Q83" i="90"/>
  <c r="E43" i="104"/>
  <c r="E45" i="63"/>
  <c r="E43"/>
  <c r="E44" i="104"/>
  <c r="E47"/>
  <c r="F99" i="71"/>
  <c r="F43" s="1"/>
  <c r="F103" i="72"/>
  <c r="F47" s="1"/>
  <c r="F101" i="73"/>
  <c r="F45" s="1"/>
  <c r="F103" i="77"/>
  <c r="F47" s="1"/>
  <c r="F99" i="78"/>
  <c r="F43" s="1"/>
  <c r="G99" i="81"/>
  <c r="G43" s="1"/>
  <c r="F101" i="82"/>
  <c r="F45" s="1"/>
  <c r="F103" i="79"/>
  <c r="F47" s="1"/>
  <c r="F103" i="80"/>
  <c r="F47" s="1"/>
  <c r="F103" i="91"/>
  <c r="F47" s="1"/>
  <c r="F99" i="96"/>
  <c r="F43" s="1"/>
  <c r="F103" i="102"/>
  <c r="F47" s="1"/>
  <c r="F102" i="108"/>
  <c r="F46" s="1"/>
  <c r="G86" a="1"/>
  <c r="G86" s="1"/>
  <c r="G98" s="1"/>
  <c r="G42" s="1"/>
  <c r="R82"/>
  <c r="F103" i="109"/>
  <c r="F47" s="1"/>
  <c r="F100" i="127"/>
  <c r="F44" s="1"/>
  <c r="F44" i="32"/>
  <c r="F45"/>
  <c r="F101" i="38"/>
  <c r="F45" s="1"/>
  <c r="F100"/>
  <c r="F44" s="1"/>
  <c r="F99" i="39"/>
  <c r="F43" s="1"/>
  <c r="F100" i="42"/>
  <c r="F44" s="1"/>
  <c r="F102"/>
  <c r="F46" s="1"/>
  <c r="F100" i="43"/>
  <c r="F44" s="1"/>
  <c r="F101"/>
  <c r="F45" s="1"/>
  <c r="F102" i="44"/>
  <c r="F46" s="1"/>
  <c r="F102" i="45"/>
  <c r="F46" s="1"/>
  <c r="F101"/>
  <c r="F45" s="1"/>
  <c r="F103" i="47"/>
  <c r="F47" s="1"/>
  <c r="F102" i="50"/>
  <c r="F46" s="1"/>
  <c r="F100" i="53"/>
  <c r="F44" s="1"/>
  <c r="H90" i="56" a="1"/>
  <c r="H90" s="1"/>
  <c r="S80"/>
  <c r="G102" i="57"/>
  <c r="G46" s="1"/>
  <c r="F100" i="58"/>
  <c r="F44" s="1"/>
  <c r="F103"/>
  <c r="F47" s="1"/>
  <c r="F99" i="60"/>
  <c r="F43" s="1"/>
  <c r="F100" i="39"/>
  <c r="F44" s="1"/>
  <c r="F99" i="101"/>
  <c r="F43" s="1"/>
  <c r="F101" i="85"/>
  <c r="F45" s="1"/>
  <c r="F103" i="82"/>
  <c r="F47" s="1"/>
  <c r="G100" i="92"/>
  <c r="G44" s="1"/>
  <c r="F102" i="85"/>
  <c r="F46" s="1"/>
  <c r="F101" i="59"/>
  <c r="F45" s="1"/>
  <c r="F100" i="97"/>
  <c r="F44" s="1"/>
  <c r="F101" i="86"/>
  <c r="F45" s="1"/>
  <c r="F103" i="46"/>
  <c r="F47" s="1"/>
  <c r="F101" i="100"/>
  <c r="F45" s="1"/>
  <c r="F103" i="85"/>
  <c r="F47" s="1"/>
  <c r="F102" i="40"/>
  <c r="F46" s="1"/>
  <c r="F103" i="128"/>
  <c r="F47" s="1"/>
  <c r="F139" s="1"/>
  <c r="F102" i="99"/>
  <c r="F46" s="1"/>
  <c r="F99" i="82"/>
  <c r="F43" s="1"/>
  <c r="F102" i="46"/>
  <c r="F46" s="1"/>
  <c r="F99" i="128"/>
  <c r="F43" s="1"/>
  <c r="F135" s="1"/>
  <c r="G99" i="94"/>
  <c r="G43" s="1"/>
  <c r="F99" i="46"/>
  <c r="F43" s="1"/>
  <c r="F103" i="40"/>
  <c r="F47" s="1"/>
  <c r="F101" i="46"/>
  <c r="F45" s="1"/>
  <c r="F100" i="86"/>
  <c r="F44" s="1"/>
  <c r="G100" i="56"/>
  <c r="G44" s="1"/>
  <c r="F101" i="90"/>
  <c r="F45" s="1"/>
  <c r="G99" i="92"/>
  <c r="G43" s="1"/>
  <c r="H81" i="40"/>
  <c r="S81" s="1"/>
  <c r="R81"/>
  <c r="F100" i="68"/>
  <c r="F44" s="1"/>
  <c r="F103"/>
  <c r="F47" s="1"/>
  <c r="H82" i="109"/>
  <c r="S82" s="1"/>
  <c r="R82"/>
  <c r="G89" i="68" a="1"/>
  <c r="G89" s="1"/>
  <c r="R79"/>
  <c r="H80" i="49"/>
  <c r="S80" s="1"/>
  <c r="R80"/>
  <c r="F101" i="44"/>
  <c r="F45" s="1"/>
  <c r="F102" i="68"/>
  <c r="F46" s="1"/>
  <c r="H81" i="49"/>
  <c r="R81"/>
  <c r="H80" i="58"/>
  <c r="R80"/>
  <c r="H78" i="89"/>
  <c r="R78"/>
  <c r="R82" i="90"/>
  <c r="H82"/>
  <c r="R82" i="72"/>
  <c r="H82"/>
  <c r="H81" i="89"/>
  <c r="R81"/>
  <c r="R80" i="91"/>
  <c r="H80"/>
  <c r="H78" i="69"/>
  <c r="R78"/>
  <c r="H80" i="108"/>
  <c r="R80"/>
  <c r="R79" i="41"/>
  <c r="H79"/>
  <c r="R78" i="74"/>
  <c r="H78"/>
  <c r="H80" i="75"/>
  <c r="R80"/>
  <c r="R80" i="77"/>
  <c r="H80"/>
  <c r="H80" i="69"/>
  <c r="R80"/>
  <c r="S81" i="94"/>
  <c r="I81"/>
  <c r="T81" s="1"/>
  <c r="I78" i="38"/>
  <c r="T78" s="1"/>
  <c r="S78"/>
  <c r="F103" i="59"/>
  <c r="F47" s="1"/>
  <c r="H81" i="79"/>
  <c r="R81"/>
  <c r="H79" i="32"/>
  <c r="S79" s="1"/>
  <c r="R82" i="54"/>
  <c r="H82"/>
  <c r="R82" i="57"/>
  <c r="H82"/>
  <c r="S79" i="99"/>
  <c r="I79"/>
  <c r="T79" s="1"/>
  <c r="I78" i="73"/>
  <c r="T78" s="1"/>
  <c r="S78"/>
  <c r="R77" i="78"/>
  <c r="H77"/>
  <c r="H78" i="57"/>
  <c r="R78"/>
  <c r="I77" i="83"/>
  <c r="T77" s="1"/>
  <c r="S77"/>
  <c r="S81" i="92"/>
  <c r="I81"/>
  <c r="T81" s="1"/>
  <c r="I81" i="60"/>
  <c r="T81" s="1"/>
  <c r="S81"/>
  <c r="H81" i="55"/>
  <c r="R81"/>
  <c r="R80" i="76"/>
  <c r="H80"/>
  <c r="S78" i="79"/>
  <c r="I78"/>
  <c r="T78" s="1"/>
  <c r="H80" i="41"/>
  <c r="R80"/>
  <c r="F99" i="87"/>
  <c r="F43" s="1"/>
  <c r="G101" i="56"/>
  <c r="G45" s="1"/>
  <c r="F100" i="99"/>
  <c r="F44" s="1"/>
  <c r="G103" i="94"/>
  <c r="G47" s="1"/>
  <c r="R82" i="100"/>
  <c r="H82"/>
  <c r="R81" i="52"/>
  <c r="H81"/>
  <c r="R80" i="48"/>
  <c r="H80"/>
  <c r="R79" i="54"/>
  <c r="H79"/>
  <c r="S78" i="93"/>
  <c r="I78"/>
  <c r="T78" s="1"/>
  <c r="R82" i="79"/>
  <c r="H82"/>
  <c r="H81" i="85"/>
  <c r="R81"/>
  <c r="H81" i="48"/>
  <c r="R81"/>
  <c r="H79" i="83"/>
  <c r="R79"/>
  <c r="S78" i="45"/>
  <c r="I78"/>
  <c r="T78" s="1"/>
  <c r="I80" i="32"/>
  <c r="T80" s="1"/>
  <c r="I79" i="51"/>
  <c r="T79" s="1"/>
  <c r="S79"/>
  <c r="H78" i="85"/>
  <c r="R78"/>
  <c r="H79" i="57"/>
  <c r="R79"/>
  <c r="R82" i="42"/>
  <c r="H82"/>
  <c r="R79" i="95"/>
  <c r="H79"/>
  <c r="F100" i="67"/>
  <c r="F44" s="1"/>
  <c r="F100" i="70"/>
  <c r="F44" s="1"/>
  <c r="F103" i="71"/>
  <c r="F47" s="1"/>
  <c r="F102" i="72"/>
  <c r="F46" s="1"/>
  <c r="F103" i="74"/>
  <c r="F47" s="1"/>
  <c r="G99" i="76"/>
  <c r="G43" s="1"/>
  <c r="F101" i="80"/>
  <c r="F45" s="1"/>
  <c r="F101" i="99"/>
  <c r="F45" s="1"/>
  <c r="F102" i="101"/>
  <c r="F46" s="1"/>
  <c r="F102" i="67"/>
  <c r="F46" s="1"/>
  <c r="F101" i="70"/>
  <c r="F45" s="1"/>
  <c r="F102" i="71"/>
  <c r="F46" s="1"/>
  <c r="F101"/>
  <c r="F45" s="1"/>
  <c r="F100" i="72"/>
  <c r="F44" s="1"/>
  <c r="F99"/>
  <c r="F43" s="1"/>
  <c r="F102" i="73"/>
  <c r="F46" s="1"/>
  <c r="F102" i="74"/>
  <c r="F46" s="1"/>
  <c r="F101"/>
  <c r="F45" s="1"/>
  <c r="F99" i="75"/>
  <c r="F43" s="1"/>
  <c r="F101"/>
  <c r="F45" s="1"/>
  <c r="F101" i="77"/>
  <c r="F45" s="1"/>
  <c r="F102"/>
  <c r="F46" s="1"/>
  <c r="G100" i="81"/>
  <c r="G44" s="1"/>
  <c r="G103"/>
  <c r="G47" s="1"/>
  <c r="G88" i="85" a="1"/>
  <c r="G88" s="1"/>
  <c r="R80"/>
  <c r="F101" i="79"/>
  <c r="F45" s="1"/>
  <c r="F102"/>
  <c r="F46" s="1"/>
  <c r="F100" i="80"/>
  <c r="F44" s="1"/>
  <c r="F99" i="91"/>
  <c r="F43" s="1"/>
  <c r="F99" i="93"/>
  <c r="F43" s="1"/>
  <c r="H93" i="94" a="1"/>
  <c r="H93" s="1"/>
  <c r="S78"/>
  <c r="F100" i="96"/>
  <c r="F44" s="1"/>
  <c r="F101"/>
  <c r="F45" s="1"/>
  <c r="F99" i="97"/>
  <c r="F43" s="1"/>
  <c r="F101" i="98"/>
  <c r="F45" s="1"/>
  <c r="F102"/>
  <c r="F46" s="1"/>
  <c r="F99" i="99"/>
  <c r="F43" s="1"/>
  <c r="F99" i="100"/>
  <c r="F43" s="1"/>
  <c r="F102"/>
  <c r="F46" s="1"/>
  <c r="F101" i="101"/>
  <c r="F45" s="1"/>
  <c r="F103"/>
  <c r="F47" s="1"/>
  <c r="F100" i="102"/>
  <c r="F44" s="1"/>
  <c r="F99"/>
  <c r="F43" s="1"/>
  <c r="F100" i="108"/>
  <c r="F44" s="1"/>
  <c r="F103" i="127"/>
  <c r="F47" s="1"/>
  <c r="F47" i="32"/>
  <c r="F46"/>
  <c r="F103" i="38"/>
  <c r="F47" s="1"/>
  <c r="F99"/>
  <c r="F43" s="1"/>
  <c r="G89" i="39" a="1"/>
  <c r="G89" s="1"/>
  <c r="R81"/>
  <c r="F101" i="40"/>
  <c r="F45" s="1"/>
  <c r="S77" i="41"/>
  <c r="F103" i="42"/>
  <c r="F47" s="1"/>
  <c r="F99"/>
  <c r="F43" s="1"/>
  <c r="F103" i="43"/>
  <c r="F47" s="1"/>
  <c r="F102"/>
  <c r="F46" s="1"/>
  <c r="F103" i="44"/>
  <c r="F47" s="1"/>
  <c r="F99"/>
  <c r="F43" s="1"/>
  <c r="F99" i="47"/>
  <c r="F43" s="1"/>
  <c r="F100"/>
  <c r="F44" s="1"/>
  <c r="F102"/>
  <c r="F46" s="1"/>
  <c r="F100" i="50"/>
  <c r="F44" s="1"/>
  <c r="F101" i="53"/>
  <c r="F45" s="1"/>
  <c r="F103"/>
  <c r="F47" s="1"/>
  <c r="F102" i="58"/>
  <c r="F46" s="1"/>
  <c r="F103" i="60"/>
  <c r="F47" s="1"/>
  <c r="F101"/>
  <c r="F45" s="1"/>
  <c r="F102" i="82"/>
  <c r="F46" s="1"/>
  <c r="F100" i="59"/>
  <c r="F44" s="1"/>
  <c r="F103" i="100"/>
  <c r="F47" s="1"/>
  <c r="G102" i="94"/>
  <c r="G46" s="1"/>
  <c r="F103" i="86"/>
  <c r="F47" s="1"/>
  <c r="F102" i="59"/>
  <c r="F46" s="1"/>
  <c r="F99" i="49"/>
  <c r="F43" s="1"/>
  <c r="G103" i="92"/>
  <c r="G47" s="1"/>
  <c r="F100" i="128"/>
  <c r="F44" s="1"/>
  <c r="F136" s="1"/>
  <c r="G102" i="92"/>
  <c r="G46" s="1"/>
  <c r="F101" i="49"/>
  <c r="F45" s="1"/>
  <c r="F99" i="127"/>
  <c r="F43" s="1"/>
  <c r="G103" i="56"/>
  <c r="G47" s="1"/>
  <c r="F99" i="40"/>
  <c r="F43" s="1"/>
  <c r="F102" i="97"/>
  <c r="F46" s="1"/>
  <c r="G100" i="94"/>
  <c r="G44" s="1"/>
  <c r="F103" i="75"/>
  <c r="F47" s="1"/>
  <c r="F98" i="90"/>
  <c r="F42" s="1"/>
  <c r="F103"/>
  <c r="F47" s="1"/>
  <c r="F103" i="49"/>
  <c r="F47" s="1"/>
  <c r="F102" i="128"/>
  <c r="F46" s="1"/>
  <c r="F138" s="1"/>
  <c r="F102" i="49"/>
  <c r="F46" s="1"/>
  <c r="F101" i="68"/>
  <c r="F45" s="1"/>
  <c r="F99"/>
  <c r="F43" s="1"/>
  <c r="R80" i="100"/>
  <c r="H80"/>
  <c r="R78" i="90"/>
  <c r="H78"/>
  <c r="H78" i="55"/>
  <c r="R78"/>
  <c r="R80" i="39"/>
  <c r="H80"/>
  <c r="S78" i="47"/>
  <c r="I78"/>
  <c r="T78" s="1"/>
  <c r="S78" i="86"/>
  <c r="I78"/>
  <c r="T78" s="1"/>
  <c r="H82" i="93"/>
  <c r="R82"/>
  <c r="H79" i="89"/>
  <c r="R79"/>
  <c r="H80" i="60"/>
  <c r="R80"/>
  <c r="H81" i="108"/>
  <c r="R81"/>
  <c r="S80" i="94"/>
  <c r="I80"/>
  <c r="T80" s="1"/>
  <c r="R81" i="95"/>
  <c r="H81"/>
  <c r="H81" i="45"/>
  <c r="R81"/>
  <c r="R81" i="59"/>
  <c r="H81"/>
  <c r="H81" i="41"/>
  <c r="R81"/>
  <c r="R80" i="68"/>
  <c r="H80"/>
  <c r="S79" i="56"/>
  <c r="I79"/>
  <c r="T79" s="1"/>
  <c r="I80" i="67"/>
  <c r="T80" s="1"/>
  <c r="S80"/>
  <c r="H81" i="38"/>
  <c r="R81"/>
  <c r="F99" i="85"/>
  <c r="F43" s="1"/>
  <c r="S80" i="78"/>
  <c r="I80"/>
  <c r="T80" s="1"/>
  <c r="H81" i="57"/>
  <c r="R81"/>
  <c r="R81" i="87"/>
  <c r="H81"/>
  <c r="H81" i="32"/>
  <c r="S81" s="1"/>
  <c r="H78" i="48"/>
  <c r="R78"/>
  <c r="H79" i="85"/>
  <c r="R79"/>
  <c r="H80" i="51"/>
  <c r="R80"/>
  <c r="S79" i="48"/>
  <c r="I79"/>
  <c r="T79" s="1"/>
  <c r="H81" i="75"/>
  <c r="R81"/>
  <c r="R81" i="90"/>
  <c r="H81"/>
  <c r="R80" i="82"/>
  <c r="H80"/>
  <c r="S78" i="56"/>
  <c r="I78"/>
  <c r="T78" s="1"/>
  <c r="H80" i="88"/>
  <c r="R80"/>
  <c r="I81" i="51"/>
  <c r="T81" s="1"/>
  <c r="S81"/>
  <c r="R82" i="85"/>
  <c r="H82"/>
  <c r="R80" i="89"/>
  <c r="H80"/>
  <c r="R82" i="77"/>
  <c r="H82"/>
  <c r="S80" i="93"/>
  <c r="I80"/>
  <c r="T80" s="1"/>
  <c r="R79" i="44"/>
  <c r="R83" s="1"/>
  <c r="H79"/>
  <c r="R80" i="87"/>
  <c r="H80"/>
  <c r="R81" i="68"/>
  <c r="H81"/>
  <c r="I81" i="47"/>
  <c r="T81" s="1"/>
  <c r="S81"/>
  <c r="H80" i="79"/>
  <c r="R80"/>
  <c r="R80" i="129"/>
  <c r="H80"/>
  <c r="H80" i="127"/>
  <c r="R80"/>
  <c r="H79" i="108"/>
  <c r="R79"/>
  <c r="S80" i="55"/>
  <c r="I80"/>
  <c r="T80" s="1"/>
  <c r="H78" i="51"/>
  <c r="R78"/>
  <c r="S82" i="56"/>
  <c r="I82"/>
  <c r="T82" s="1"/>
  <c r="G93" i="41" a="1"/>
  <c r="G93" s="1"/>
  <c r="G86" a="1"/>
  <c r="G86" s="1"/>
  <c r="G98" s="1"/>
  <c r="G42" s="1"/>
  <c r="G87" i="48" a="1"/>
  <c r="G87" s="1"/>
  <c r="G88" a="1"/>
  <c r="G88" s="1"/>
  <c r="G93" i="52" a="1"/>
  <c r="G93" s="1"/>
  <c r="G86" a="1"/>
  <c r="G86" s="1"/>
  <c r="G98" s="1"/>
  <c r="G42" s="1"/>
  <c r="G90" i="54" a="1"/>
  <c r="G90" s="1"/>
  <c r="G91" a="1"/>
  <c r="G91" s="1"/>
  <c r="G87" i="55" a="1"/>
  <c r="G87" s="1"/>
  <c r="G88" a="1"/>
  <c r="G88" s="1"/>
  <c r="G87" i="57" a="1"/>
  <c r="G87" s="1"/>
  <c r="G88" a="1"/>
  <c r="G88" s="1"/>
  <c r="G89" a="1"/>
  <c r="G89" s="1"/>
  <c r="G89" i="83" a="1"/>
  <c r="G89" s="1"/>
  <c r="E46" i="104"/>
  <c r="F101" i="67"/>
  <c r="F45" s="1"/>
  <c r="F99" i="70"/>
  <c r="F43" s="1"/>
  <c r="F100" i="73"/>
  <c r="F44" s="1"/>
  <c r="F100" i="75"/>
  <c r="F44" s="1"/>
  <c r="G101" i="76"/>
  <c r="G45" s="1"/>
  <c r="F100" i="77"/>
  <c r="F44" s="1"/>
  <c r="F101" i="78"/>
  <c r="F45" s="1"/>
  <c r="G102" i="81"/>
  <c r="G46" s="1"/>
  <c r="F102" i="80"/>
  <c r="F46" s="1"/>
  <c r="S77" i="89"/>
  <c r="F102" i="91"/>
  <c r="F46" s="1"/>
  <c r="F100" i="93"/>
  <c r="F44" s="1"/>
  <c r="F103" i="96"/>
  <c r="F47" s="1"/>
  <c r="F103" i="98"/>
  <c r="F47" s="1"/>
  <c r="F100" i="100"/>
  <c r="F44" s="1"/>
  <c r="F100" i="101"/>
  <c r="F44" s="1"/>
  <c r="F102" i="102"/>
  <c r="F46" s="1"/>
  <c r="F99" i="108"/>
  <c r="F43" s="1"/>
  <c r="F99" i="109"/>
  <c r="F43" s="1"/>
  <c r="F103" i="67"/>
  <c r="F47" s="1"/>
  <c r="F99"/>
  <c r="F43" s="1"/>
  <c r="F103" i="70"/>
  <c r="F47" s="1"/>
  <c r="F102"/>
  <c r="F46" s="1"/>
  <c r="F100" i="71"/>
  <c r="F44" s="1"/>
  <c r="F101" i="72"/>
  <c r="F45" s="1"/>
  <c r="F103" i="73"/>
  <c r="F47" s="1"/>
  <c r="F99"/>
  <c r="F43" s="1"/>
  <c r="F100" i="74"/>
  <c r="F44" s="1"/>
  <c r="F99"/>
  <c r="F43" s="1"/>
  <c r="F99" i="77"/>
  <c r="F43" s="1"/>
  <c r="F102" i="78"/>
  <c r="F46" s="1"/>
  <c r="F100"/>
  <c r="F44" s="1"/>
  <c r="F103"/>
  <c r="F47" s="1"/>
  <c r="G101" i="81"/>
  <c r="G45" s="1"/>
  <c r="F100" i="79"/>
  <c r="F44" s="1"/>
  <c r="F99"/>
  <c r="F43" s="1"/>
  <c r="F99" i="80"/>
  <c r="F43" s="1"/>
  <c r="F100" i="91"/>
  <c r="F44" s="1"/>
  <c r="F101"/>
  <c r="F45" s="1"/>
  <c r="F103" i="93"/>
  <c r="F47" s="1"/>
  <c r="F101"/>
  <c r="F45" s="1"/>
  <c r="F102"/>
  <c r="F46" s="1"/>
  <c r="F102" i="96"/>
  <c r="F46" s="1"/>
  <c r="F100" i="98"/>
  <c r="F44" s="1"/>
  <c r="F99"/>
  <c r="F43" s="1"/>
  <c r="F101" i="102"/>
  <c r="F45" s="1"/>
  <c r="F103" i="108"/>
  <c r="F47" s="1"/>
  <c r="F101"/>
  <c r="F45" s="1"/>
  <c r="F102" i="109"/>
  <c r="F46" s="1"/>
  <c r="F101"/>
  <c r="F45" s="1"/>
  <c r="F101" i="127"/>
  <c r="F45" s="1"/>
  <c r="F102"/>
  <c r="F46" s="1"/>
  <c r="F43" i="32"/>
  <c r="F102" i="38"/>
  <c r="F46" s="1"/>
  <c r="F103" i="39"/>
  <c r="F47" s="1"/>
  <c r="F101" i="42"/>
  <c r="F45" s="1"/>
  <c r="F99" i="43"/>
  <c r="F43" s="1"/>
  <c r="F99" i="45"/>
  <c r="F43" s="1"/>
  <c r="F103"/>
  <c r="F47" s="1"/>
  <c r="F100"/>
  <c r="F44" s="1"/>
  <c r="G93" i="46" a="1"/>
  <c r="G93" s="1"/>
  <c r="R80"/>
  <c r="R83" s="1"/>
  <c r="F101" i="47"/>
  <c r="F45" s="1"/>
  <c r="F99" i="50"/>
  <c r="F43" s="1"/>
  <c r="F103"/>
  <c r="F47" s="1"/>
  <c r="F101"/>
  <c r="F45" s="1"/>
  <c r="F102" i="53"/>
  <c r="F46" s="1"/>
  <c r="F99"/>
  <c r="F43" s="1"/>
  <c r="F101" i="58"/>
  <c r="F45" s="1"/>
  <c r="F99"/>
  <c r="F43" s="1"/>
  <c r="F100" i="60"/>
  <c r="F44" s="1"/>
  <c r="F102"/>
  <c r="F46" s="1"/>
  <c r="F100" i="44"/>
  <c r="F44" s="1"/>
  <c r="F100" i="85"/>
  <c r="F44" s="1"/>
  <c r="F101" i="39"/>
  <c r="F45" s="1"/>
  <c r="F101" i="97"/>
  <c r="F45" s="1"/>
  <c r="F102" i="86"/>
  <c r="F46" s="1"/>
  <c r="F103" i="97"/>
  <c r="F47" s="1"/>
  <c r="G101" i="94"/>
  <c r="G45" s="1"/>
  <c r="G101" i="92"/>
  <c r="G45" s="1"/>
  <c r="F99" i="59"/>
  <c r="F43" s="1"/>
  <c r="F98" i="46"/>
  <c r="F42" s="1"/>
  <c r="I79" i="92"/>
  <c r="T79" s="1"/>
  <c r="S79"/>
  <c r="F100" i="40"/>
  <c r="F44" s="1"/>
  <c r="F101" i="128"/>
  <c r="F45" s="1"/>
  <c r="F137" s="1"/>
  <c r="F100" i="82"/>
  <c r="F44" s="1"/>
  <c r="G102" i="56"/>
  <c r="G46" s="1"/>
  <c r="F100" i="46"/>
  <c r="F44" s="1"/>
  <c r="F100" i="109"/>
  <c r="F44" s="1"/>
  <c r="F99" i="86"/>
  <c r="F43" s="1"/>
  <c r="G99" i="56"/>
  <c r="G43" s="1"/>
  <c r="F102" i="90"/>
  <c r="F46" s="1"/>
  <c r="F99"/>
  <c r="F43" s="1"/>
  <c r="F100" i="49"/>
  <c r="F44" s="1"/>
  <c r="I82" i="38"/>
  <c r="T82" s="1"/>
  <c r="S82"/>
  <c r="F100" i="90"/>
  <c r="F44" s="1"/>
  <c r="G91" a="1"/>
  <c r="G91" s="1"/>
  <c r="R79"/>
  <c r="I80" i="43"/>
  <c r="T80" s="1"/>
  <c r="S80"/>
  <c r="F103" i="87"/>
  <c r="F47" s="1"/>
  <c r="F102"/>
  <c r="F46" s="1"/>
  <c r="H82" i="96"/>
  <c r="R82"/>
  <c r="H80" i="42"/>
  <c r="R80"/>
  <c r="R81" i="72"/>
  <c r="H81"/>
  <c r="R78" i="68"/>
  <c r="H78"/>
  <c r="S82" i="81"/>
  <c r="I82"/>
  <c r="T82" s="1"/>
  <c r="S78" i="108"/>
  <c r="I78"/>
  <c r="T78" s="1"/>
  <c r="H82" i="58"/>
  <c r="R82"/>
  <c r="H80" i="95"/>
  <c r="R80"/>
  <c r="H79" i="88"/>
  <c r="R79"/>
  <c r="I79" i="58"/>
  <c r="T79" s="1"/>
  <c r="S79"/>
  <c r="H81" i="83"/>
  <c r="R81"/>
  <c r="S81" i="46"/>
  <c r="I81"/>
  <c r="T81" s="1"/>
  <c r="R80" i="86"/>
  <c r="H80"/>
  <c r="R81"/>
  <c r="H81"/>
  <c r="H79" i="55"/>
  <c r="R79"/>
  <c r="H79" i="129"/>
  <c r="R79"/>
  <c r="R81" i="69"/>
  <c r="H81"/>
  <c r="S78" i="44"/>
  <c r="I78"/>
  <c r="T78" s="1"/>
  <c r="R77" i="74"/>
  <c r="H77"/>
  <c r="I78" i="87"/>
  <c r="T78" s="1"/>
  <c r="S78"/>
  <c r="R82" i="127"/>
  <c r="H82"/>
  <c r="H81" i="88"/>
  <c r="R81"/>
  <c r="R82" i="95"/>
  <c r="H82"/>
  <c r="H79" i="45"/>
  <c r="R79"/>
  <c r="S81" i="97"/>
  <c r="I81"/>
  <c r="T81" s="1"/>
  <c r="R81" i="71"/>
  <c r="H81"/>
  <c r="H82" i="51"/>
  <c r="R82"/>
  <c r="H82" i="32"/>
  <c r="S82" s="1"/>
  <c r="H79" i="67"/>
  <c r="R79"/>
  <c r="R82" i="89"/>
  <c r="H82"/>
  <c r="S81" i="58"/>
  <c r="I81"/>
  <c r="T81" s="1"/>
  <c r="I80" i="57"/>
  <c r="T80" s="1"/>
  <c r="S80"/>
  <c r="H80" i="54"/>
  <c r="R80"/>
  <c r="H82" i="83"/>
  <c r="R82"/>
  <c r="S82" i="48"/>
  <c r="I82"/>
  <c r="T82" s="1"/>
  <c r="S78" i="95"/>
  <c r="I78"/>
  <c r="T78" s="1"/>
  <c r="S78" i="101"/>
  <c r="I78"/>
  <c r="T78" s="1"/>
  <c r="H78" i="41"/>
  <c r="R78"/>
  <c r="H82" i="60"/>
  <c r="R82"/>
  <c r="R80" i="52"/>
  <c r="H80"/>
  <c r="R82" i="41"/>
  <c r="H82"/>
  <c r="S81" i="56"/>
  <c r="I81"/>
  <c r="T81" s="1"/>
  <c r="H80" i="83"/>
  <c r="R80"/>
  <c r="R81" i="99"/>
  <c r="R83" s="1"/>
  <c r="H81"/>
  <c r="H78" i="59"/>
  <c r="R78"/>
  <c r="R80" i="90"/>
  <c r="H80"/>
  <c r="S78" i="88"/>
  <c r="I78"/>
  <c r="T78" s="1"/>
  <c r="S78" i="76"/>
  <c r="I78"/>
  <c r="T78" s="1"/>
  <c r="R80" i="102"/>
  <c r="H80"/>
  <c r="R82" i="129"/>
  <c r="H82"/>
  <c r="H80" i="72"/>
  <c r="R80"/>
  <c r="S80" i="47"/>
  <c r="I80"/>
  <c r="T80" s="1"/>
  <c r="S80" i="97"/>
  <c r="I80"/>
  <c r="T80" s="1"/>
  <c r="R81" i="76"/>
  <c r="H81"/>
  <c r="F102" i="39"/>
  <c r="F46" s="1"/>
  <c r="G90" i="41" a="1"/>
  <c r="G90" s="1"/>
  <c r="G91" a="1"/>
  <c r="G91" s="1"/>
  <c r="G93" i="48" a="1"/>
  <c r="G93" s="1"/>
  <c r="G90" a="1"/>
  <c r="G90" s="1"/>
  <c r="G89" a="1"/>
  <c r="G89" s="1"/>
  <c r="G90" i="52" a="1"/>
  <c r="G90" s="1"/>
  <c r="G91" a="1"/>
  <c r="G91" s="1"/>
  <c r="G87" i="54" a="1"/>
  <c r="G87" s="1"/>
  <c r="G88" a="1"/>
  <c r="G88" s="1"/>
  <c r="G86" i="55" a="1"/>
  <c r="G86" s="1"/>
  <c r="G98" s="1"/>
  <c r="G42" s="1"/>
  <c r="G93" a="1"/>
  <c r="G93" s="1"/>
  <c r="G89" a="1"/>
  <c r="G89" s="1"/>
  <c r="G93" i="57" a="1"/>
  <c r="G93" s="1"/>
  <c r="G86" a="1"/>
  <c r="G86" s="1"/>
  <c r="G98" s="1"/>
  <c r="G93" i="83" a="1"/>
  <c r="G93" s="1"/>
  <c r="G91" a="1"/>
  <c r="G91" s="1"/>
  <c r="G88" a="1"/>
  <c r="G88" s="1"/>
  <c r="O119" i="48"/>
  <c r="D56" i="104"/>
  <c r="D67" s="1"/>
  <c r="O119" i="99"/>
  <c r="D67" i="67"/>
  <c r="N234" i="105" s="1"/>
  <c r="E46" i="63"/>
  <c r="E44"/>
  <c r="O119" i="55"/>
  <c r="D56" i="63"/>
  <c r="D67" s="1"/>
  <c r="D142" s="1"/>
  <c r="D58"/>
  <c r="D69" s="1"/>
  <c r="D144" s="1"/>
  <c r="D57" i="104"/>
  <c r="D68" s="1"/>
  <c r="D151" s="1"/>
  <c r="D140" i="54"/>
  <c r="D58" i="104"/>
  <c r="D69" s="1"/>
  <c r="D152" s="1"/>
  <c r="E47" i="63"/>
  <c r="D57"/>
  <c r="D68" s="1"/>
  <c r="D143" s="1"/>
  <c r="E45" i="104"/>
  <c r="O84" i="60"/>
  <c r="D105"/>
  <c r="F128" i="71" a="1"/>
  <c r="F128" s="1"/>
  <c r="F130" s="1"/>
  <c r="F128" i="48" a="1"/>
  <c r="F128" s="1"/>
  <c r="F130" s="1"/>
  <c r="G127" a="1"/>
  <c r="G127" s="1"/>
  <c r="G123" a="1"/>
  <c r="G123" s="1"/>
  <c r="G124" a="1"/>
  <c r="G124" s="1"/>
  <c r="G125" a="1"/>
  <c r="G125" s="1"/>
  <c r="G88" i="90" a="1"/>
  <c r="G88" s="1"/>
  <c r="G90" a="1"/>
  <c r="G90" s="1"/>
  <c r="G86" a="1"/>
  <c r="G86" s="1"/>
  <c r="H79"/>
  <c r="G90" i="68" a="1"/>
  <c r="G90" s="1"/>
  <c r="G86" a="1"/>
  <c r="G86" s="1"/>
  <c r="F92" i="87" a="1"/>
  <c r="F92" s="1"/>
  <c r="F94" s="1"/>
  <c r="G91" i="68" a="1"/>
  <c r="G91" s="1"/>
  <c r="H79"/>
  <c r="F92" a="1"/>
  <c r="F92" s="1"/>
  <c r="F94" s="1"/>
  <c r="G87" a="1"/>
  <c r="G87" s="1"/>
  <c r="G88" a="1"/>
  <c r="G88" s="1"/>
  <c r="F128" i="41" a="1"/>
  <c r="F128" s="1"/>
  <c r="F130" s="1"/>
  <c r="G87" i="90" a="1"/>
  <c r="G87" s="1"/>
  <c r="G93" a="1"/>
  <c r="G93" s="1"/>
  <c r="I78" i="83"/>
  <c r="T78" s="1"/>
  <c r="F128" i="68" a="1"/>
  <c r="F128" s="1"/>
  <c r="F130" s="1"/>
  <c r="F128" i="38" a="1"/>
  <c r="F128" s="1"/>
  <c r="F130" s="1"/>
  <c r="G128" i="49" a="1"/>
  <c r="G128" s="1"/>
  <c r="G130" s="1"/>
  <c r="H128" i="53" a="1"/>
  <c r="H128" s="1"/>
  <c r="H130" s="1"/>
  <c r="O119" i="87"/>
  <c r="D44" i="104"/>
  <c r="D105" i="39"/>
  <c r="H81" i="50"/>
  <c r="S81" s="1"/>
  <c r="C140" i="90"/>
  <c r="N120" s="1"/>
  <c r="G86" i="49" a="1"/>
  <c r="G86" s="1"/>
  <c r="G98" s="1"/>
  <c r="F128" i="56" a="1"/>
  <c r="F128" s="1"/>
  <c r="F130" s="1"/>
  <c r="O119" i="39"/>
  <c r="G89" i="108" a="1"/>
  <c r="G89" s="1"/>
  <c r="O84" i="51"/>
  <c r="H91" i="92" a="1"/>
  <c r="H91" s="1"/>
  <c r="F128" i="76" a="1"/>
  <c r="F128" s="1"/>
  <c r="F130" s="1"/>
  <c r="F128" i="80" a="1"/>
  <c r="F128" s="1"/>
  <c r="F130" s="1"/>
  <c r="G128" i="93" a="1"/>
  <c r="G128" s="1"/>
  <c r="G130" s="1"/>
  <c r="G128" i="101" a="1"/>
  <c r="G128" s="1"/>
  <c r="G130" s="1"/>
  <c r="F128" i="109" a="1"/>
  <c r="F128" s="1"/>
  <c r="F130" s="1"/>
  <c r="G128" i="82" a="1"/>
  <c r="G128" s="1"/>
  <c r="G130" s="1"/>
  <c r="F128" i="88" a="1"/>
  <c r="F128" s="1"/>
  <c r="F130" s="1"/>
  <c r="G128" i="92" a="1"/>
  <c r="G128" s="1"/>
  <c r="G130" s="1"/>
  <c r="F128" i="44" a="1"/>
  <c r="F128" s="1"/>
  <c r="F130" s="1"/>
  <c r="G128" i="54" a="1"/>
  <c r="G128" s="1"/>
  <c r="G130" s="1"/>
  <c r="Q83" i="43"/>
  <c r="D55" i="63"/>
  <c r="D66" s="1"/>
  <c r="D141" s="1"/>
  <c r="O84" i="48"/>
  <c r="D140"/>
  <c r="D141" s="1"/>
  <c r="O119" i="51"/>
  <c r="O84" i="41"/>
  <c r="F92" i="128" a="1"/>
  <c r="F92" s="1"/>
  <c r="F94" s="1"/>
  <c r="F92" i="90" a="1"/>
  <c r="F92" s="1"/>
  <c r="F94" s="1"/>
  <c r="G87" i="59" a="1"/>
  <c r="G87" s="1"/>
  <c r="G92" i="92" a="1"/>
  <c r="G92" s="1"/>
  <c r="G94" s="1"/>
  <c r="O84" i="99"/>
  <c r="G88" i="49" a="1"/>
  <c r="G88" s="1"/>
  <c r="G90" a="1"/>
  <c r="G90" s="1"/>
  <c r="G87" a="1"/>
  <c r="G87" s="1"/>
  <c r="G86" i="128" a="1"/>
  <c r="G86" s="1"/>
  <c r="G98" s="1"/>
  <c r="Q83"/>
  <c r="G91" i="45" a="1"/>
  <c r="G91" s="1"/>
  <c r="H81" i="128"/>
  <c r="S81" s="1"/>
  <c r="G89" i="100" a="1"/>
  <c r="G89" s="1"/>
  <c r="G86" i="82" a="1"/>
  <c r="G86" s="1"/>
  <c r="G98" s="1"/>
  <c r="G87" i="39" a="1"/>
  <c r="G87" s="1"/>
  <c r="H79" i="128"/>
  <c r="S79" s="1"/>
  <c r="G93" i="82" a="1"/>
  <c r="G93" s="1"/>
  <c r="H82" i="43"/>
  <c r="S82" s="1"/>
  <c r="G87" i="108" a="1"/>
  <c r="G87" s="1"/>
  <c r="G92" i="56" a="1"/>
  <c r="G92" s="1"/>
  <c r="G94" s="1"/>
  <c r="F92" i="59" a="1"/>
  <c r="F92" s="1"/>
  <c r="F94" s="1"/>
  <c r="F92" i="85" a="1"/>
  <c r="F92" s="1"/>
  <c r="F94" s="1"/>
  <c r="G86" i="39" a="1"/>
  <c r="G86" s="1"/>
  <c r="F92" i="49" a="1"/>
  <c r="F92" s="1"/>
  <c r="F94" s="1"/>
  <c r="F92" i="46" a="1"/>
  <c r="F92" s="1"/>
  <c r="F94" s="1"/>
  <c r="G86" i="59" a="1"/>
  <c r="G86" s="1"/>
  <c r="G98" s="1"/>
  <c r="G88" i="39" a="1"/>
  <c r="G88" s="1"/>
  <c r="G92" i="94" a="1"/>
  <c r="G92" s="1"/>
  <c r="G94" s="1"/>
  <c r="G88" i="97" a="1"/>
  <c r="G88" s="1"/>
  <c r="G87" i="109" a="1"/>
  <c r="G87" s="1"/>
  <c r="G93" i="39" a="1"/>
  <c r="G93" s="1"/>
  <c r="F92" i="40" a="1"/>
  <c r="F92" s="1"/>
  <c r="F94" s="1"/>
  <c r="H88" i="56" a="1"/>
  <c r="H88" s="1"/>
  <c r="H79" i="91"/>
  <c r="S79" s="1"/>
  <c r="G91" i="82" a="1"/>
  <c r="G91" s="1"/>
  <c r="G88" i="108" a="1"/>
  <c r="G88" s="1"/>
  <c r="G93" a="1"/>
  <c r="G93" s="1"/>
  <c r="G87" i="100" a="1"/>
  <c r="G87" s="1"/>
  <c r="G86" i="45" a="1"/>
  <c r="G86" s="1"/>
  <c r="F92" i="82" a="1"/>
  <c r="F92" s="1"/>
  <c r="F94" s="1"/>
  <c r="F42" i="85"/>
  <c r="F92" i="86" a="1"/>
  <c r="F92" s="1"/>
  <c r="F94" s="1"/>
  <c r="F92" i="97" a="1"/>
  <c r="F92" s="1"/>
  <c r="F94" s="1"/>
  <c r="G89" i="49" a="1"/>
  <c r="G89" s="1"/>
  <c r="G88" i="59" a="1"/>
  <c r="G88" s="1"/>
  <c r="F92" i="60" a="1"/>
  <c r="F92" s="1"/>
  <c r="F94" s="1"/>
  <c r="G93" i="49" a="1"/>
  <c r="G93" s="1"/>
  <c r="G91" i="53" a="1"/>
  <c r="G91" s="1"/>
  <c r="F92" i="70" a="1"/>
  <c r="F92" s="1"/>
  <c r="F94" s="1"/>
  <c r="G92" i="81" a="1"/>
  <c r="G92" s="1"/>
  <c r="G94" s="1"/>
  <c r="G90" i="97" a="1"/>
  <c r="G90" s="1"/>
  <c r="G89" a="1"/>
  <c r="G89" s="1"/>
  <c r="G86" i="100" a="1"/>
  <c r="G86" s="1"/>
  <c r="G98" s="1"/>
  <c r="G93" i="101" a="1"/>
  <c r="G93" s="1"/>
  <c r="G86" a="1"/>
  <c r="G86" s="1"/>
  <c r="G90" i="108" a="1"/>
  <c r="G90" s="1"/>
  <c r="G91" a="1"/>
  <c r="G91" s="1"/>
  <c r="G88" i="38" a="1"/>
  <c r="G88" s="1"/>
  <c r="F92" i="45" a="1"/>
  <c r="F92" s="1"/>
  <c r="F94" s="1"/>
  <c r="G88" a="1"/>
  <c r="G88" s="1"/>
  <c r="G91" i="49" a="1"/>
  <c r="G91" s="1"/>
  <c r="H82"/>
  <c r="H81" i="53"/>
  <c r="S81" s="1"/>
  <c r="F92" i="67" a="1"/>
  <c r="F92" s="1"/>
  <c r="F94" s="1"/>
  <c r="G87" i="82" a="1"/>
  <c r="G87" s="1"/>
  <c r="G88" a="1"/>
  <c r="G88" s="1"/>
  <c r="G89" a="1"/>
  <c r="G89" s="1"/>
  <c r="F92" i="99" a="1"/>
  <c r="F92" s="1"/>
  <c r="F94" s="1"/>
  <c r="G86" i="109" a="1"/>
  <c r="G86" s="1"/>
  <c r="G98" s="1"/>
  <c r="G87" i="53" a="1"/>
  <c r="G87" s="1"/>
  <c r="G93" i="59" a="1"/>
  <c r="G93" s="1"/>
  <c r="G91" a="1"/>
  <c r="G91" s="1"/>
  <c r="G89" a="1"/>
  <c r="G89" s="1"/>
  <c r="G91" i="97" a="1"/>
  <c r="G91" s="1"/>
  <c r="G88" i="100" a="1"/>
  <c r="G88" s="1"/>
  <c r="G89" i="127" a="1"/>
  <c r="G89" s="1"/>
  <c r="G93" i="128" a="1"/>
  <c r="G93" s="1"/>
  <c r="F92" i="42" a="1"/>
  <c r="F92" s="1"/>
  <c r="F94" s="1"/>
  <c r="G93" i="45" a="1"/>
  <c r="G93" s="1"/>
  <c r="G91" i="47" a="1"/>
  <c r="G91" s="1"/>
  <c r="G88" i="53" a="1"/>
  <c r="G88" s="1"/>
  <c r="G90" i="59" a="1"/>
  <c r="G90" s="1"/>
  <c r="G90" i="82" a="1"/>
  <c r="G90" s="1"/>
  <c r="G93" i="97" a="1"/>
  <c r="G93" s="1"/>
  <c r="G93" i="100" a="1"/>
  <c r="G93" s="1"/>
  <c r="G91" i="101" a="1"/>
  <c r="G91" s="1"/>
  <c r="G90" i="109" a="1"/>
  <c r="G90" s="1"/>
  <c r="G91" i="128" a="1"/>
  <c r="G91" s="1"/>
  <c r="G90" i="45" a="1"/>
  <c r="G90" s="1"/>
  <c r="G89" a="1"/>
  <c r="G89" s="1"/>
  <c r="F92" i="47" a="1"/>
  <c r="F92" s="1"/>
  <c r="F94" s="1"/>
  <c r="G90" i="53" a="1"/>
  <c r="G90" s="1"/>
  <c r="D105" i="95"/>
  <c r="Q83" i="108"/>
  <c r="N120" i="71"/>
  <c r="O119" i="95"/>
  <c r="N120" i="101"/>
  <c r="N120" i="92"/>
  <c r="N120" i="94"/>
  <c r="N120" i="53"/>
  <c r="N120" i="50"/>
  <c r="N120" i="81"/>
  <c r="N120" i="93"/>
  <c r="N120" i="96"/>
  <c r="N120" i="129"/>
  <c r="O84" i="57"/>
  <c r="O84" i="76"/>
  <c r="D43" i="104"/>
  <c r="D48" i="76"/>
  <c r="D207" s="1"/>
  <c r="D140" i="41"/>
  <c r="D141" s="1"/>
  <c r="J139" i="104"/>
  <c r="J25" s="1"/>
  <c r="D48" i="69"/>
  <c r="D207" s="1"/>
  <c r="O119"/>
  <c r="D48" i="57"/>
  <c r="O119"/>
  <c r="D43" i="63"/>
  <c r="D48" i="52"/>
  <c r="E86" i="104"/>
  <c r="D105" i="69"/>
  <c r="O84"/>
  <c r="D48" i="68"/>
  <c r="O119"/>
  <c r="G86" i="104"/>
  <c r="I86"/>
  <c r="J138"/>
  <c r="J14" s="1"/>
  <c r="J130" i="63"/>
  <c r="J14" s="1"/>
  <c r="N120" i="76"/>
  <c r="N120" i="99"/>
  <c r="N120" i="49"/>
  <c r="N120" i="51"/>
  <c r="N120" i="69"/>
  <c r="C141" i="104"/>
  <c r="E140"/>
  <c r="G140"/>
  <c r="L607" i="105"/>
  <c r="I140" i="104"/>
  <c r="N120" i="42"/>
  <c r="N120" i="56"/>
  <c r="L226" i="105"/>
  <c r="L609" s="1"/>
  <c r="L46" i="131"/>
  <c r="L97" i="130"/>
  <c r="L226" s="1"/>
  <c r="L609" s="1"/>
  <c r="L13" i="131"/>
  <c r="L607" i="130"/>
  <c r="B376" i="135"/>
  <c r="B286" i="130"/>
  <c r="B79" i="135"/>
  <c r="B61" i="130"/>
  <c r="C452" i="111"/>
  <c r="C363" i="135"/>
  <c r="C82" i="111"/>
  <c r="C67" i="135"/>
  <c r="D42" i="104"/>
  <c r="F140"/>
  <c r="N120" i="95"/>
  <c r="N120" i="44"/>
  <c r="H140" i="104"/>
  <c r="N120" i="75"/>
  <c r="N120" i="97"/>
  <c r="D42" i="63"/>
  <c r="N120" i="58"/>
  <c r="P83" i="68"/>
  <c r="P83" i="71"/>
  <c r="P83" i="72"/>
  <c r="N119" i="73"/>
  <c r="N119" i="77"/>
  <c r="P83" i="84"/>
  <c r="E606" i="111" a="1"/>
  <c r="P83" i="85"/>
  <c r="N119"/>
  <c r="P83" i="86"/>
  <c r="P83" i="87"/>
  <c r="N119"/>
  <c r="P83" i="89"/>
  <c r="N119"/>
  <c r="P83" i="91"/>
  <c r="P83" i="94"/>
  <c r="N119" i="100"/>
  <c r="N119" i="127"/>
  <c r="P83" i="32"/>
  <c r="N119" i="38"/>
  <c r="P83" i="39"/>
  <c r="P83" i="41"/>
  <c r="P83" i="42"/>
  <c r="P83" i="44"/>
  <c r="P83" i="45"/>
  <c r="N119"/>
  <c r="P83" i="47"/>
  <c r="N119"/>
  <c r="P83" i="49"/>
  <c r="P83" i="50"/>
  <c r="N119" i="52"/>
  <c r="N119" i="55"/>
  <c r="P83"/>
  <c r="P83" i="59"/>
  <c r="B79" i="106"/>
  <c r="B97" i="111"/>
  <c r="N119" i="68"/>
  <c r="P83" i="69"/>
  <c r="N119" i="70"/>
  <c r="N119" i="72"/>
  <c r="P83" i="73"/>
  <c r="P83" i="75"/>
  <c r="P83" i="76"/>
  <c r="P83" i="81"/>
  <c r="N119" i="82"/>
  <c r="P83"/>
  <c r="N119" i="83"/>
  <c r="P83"/>
  <c r="N119" i="86"/>
  <c r="N119" i="79"/>
  <c r="P83" i="92"/>
  <c r="P83" i="93"/>
  <c r="P83" i="95"/>
  <c r="P83" i="96"/>
  <c r="P83" i="97"/>
  <c r="P83" i="98"/>
  <c r="N119"/>
  <c r="P83" i="100"/>
  <c r="P83" i="102"/>
  <c r="N119" i="108"/>
  <c r="P83" i="127"/>
  <c r="P83" i="38"/>
  <c r="N119" i="39"/>
  <c r="P83" i="43"/>
  <c r="P83" i="46"/>
  <c r="N119" i="54"/>
  <c r="P83" i="56"/>
  <c r="N119" i="57"/>
  <c r="P83" i="58"/>
  <c r="N119" i="60"/>
  <c r="B376" i="106"/>
  <c r="B469" i="111"/>
  <c r="N119" i="67"/>
  <c r="P83"/>
  <c r="P83" i="70"/>
  <c r="P83" i="74"/>
  <c r="P83" i="77"/>
  <c r="N119" i="88"/>
  <c r="P83"/>
  <c r="P83" i="79"/>
  <c r="P83" i="80"/>
  <c r="P83" i="90"/>
  <c r="N119" i="91"/>
  <c r="P83" i="99"/>
  <c r="P83" i="101"/>
  <c r="N119" i="102"/>
  <c r="P83" i="108"/>
  <c r="N119" i="109"/>
  <c r="P83" i="129"/>
  <c r="N119" i="32"/>
  <c r="P83" i="40"/>
  <c r="N119" i="41"/>
  <c r="N119" i="43"/>
  <c r="N119" i="48"/>
  <c r="P83"/>
  <c r="P83" i="51"/>
  <c r="P83" i="52"/>
  <c r="P83" i="53"/>
  <c r="P83" i="54"/>
  <c r="P83" i="57"/>
  <c r="N119" i="59"/>
  <c r="P83" i="60"/>
  <c r="C276" i="105"/>
  <c r="C363" i="106"/>
  <c r="C52" i="105"/>
  <c r="C67" i="106"/>
  <c r="N232" i="105"/>
  <c r="N233"/>
  <c r="N236"/>
  <c r="N235"/>
  <c r="N13"/>
  <c r="N9"/>
  <c r="N10"/>
  <c r="C48" i="63"/>
  <c r="C87" s="1"/>
  <c r="N11" i="105"/>
  <c r="N12"/>
  <c r="C282" i="7"/>
  <c r="B286" i="105"/>
  <c r="C70" i="40"/>
  <c r="C208" s="1"/>
  <c r="M35" i="105"/>
  <c r="C70" i="46"/>
  <c r="C208" s="1"/>
  <c r="M89" i="105"/>
  <c r="C61" i="7"/>
  <c r="C61" i="130" s="1"/>
  <c r="B61" i="105"/>
  <c r="C70" i="84"/>
  <c r="C208" s="1"/>
  <c r="M368" i="105"/>
  <c r="C70" i="80"/>
  <c r="C208" s="1"/>
  <c r="M424" i="105"/>
  <c r="C70" i="74"/>
  <c r="C208" s="1"/>
  <c r="M296" i="105"/>
  <c r="C70" i="78"/>
  <c r="C208" s="1"/>
  <c r="M332" i="105"/>
  <c r="J36" i="56"/>
  <c r="J36" i="59"/>
  <c r="E104" i="60"/>
  <c r="E42"/>
  <c r="I206"/>
  <c r="D48"/>
  <c r="O119"/>
  <c r="F206"/>
  <c r="H79"/>
  <c r="S79" s="1"/>
  <c r="H78"/>
  <c r="S78" s="1"/>
  <c r="J167"/>
  <c r="K166"/>
  <c r="H166"/>
  <c r="E166"/>
  <c r="B166"/>
  <c r="L166"/>
  <c r="I166"/>
  <c r="F166"/>
  <c r="C166"/>
  <c r="M166"/>
  <c r="G166"/>
  <c r="D166"/>
  <c r="A166"/>
  <c r="H206"/>
  <c r="C140"/>
  <c r="C53"/>
  <c r="J36"/>
  <c r="F128" a="1"/>
  <c r="F128" s="1"/>
  <c r="F130" s="1"/>
  <c r="E206"/>
  <c r="C207"/>
  <c r="C141"/>
  <c r="G89" a="1"/>
  <c r="G89" s="1"/>
  <c r="G91" a="1"/>
  <c r="G91" s="1"/>
  <c r="G88" a="1"/>
  <c r="G88" s="1"/>
  <c r="G93" a="1"/>
  <c r="G93" s="1"/>
  <c r="G90" a="1"/>
  <c r="G90" s="1"/>
  <c r="G87" a="1"/>
  <c r="G87" s="1"/>
  <c r="G86" a="1"/>
  <c r="G86" s="1"/>
  <c r="G98" s="1"/>
  <c r="H77"/>
  <c r="S77" s="1"/>
  <c r="G129" a="1"/>
  <c r="G129" s="1"/>
  <c r="G126" a="1"/>
  <c r="G126" s="1"/>
  <c r="G123" a="1"/>
  <c r="G123" s="1"/>
  <c r="G125" a="1"/>
  <c r="G125" s="1"/>
  <c r="G122" a="1"/>
  <c r="G122" s="1"/>
  <c r="G127" a="1"/>
  <c r="G127" s="1"/>
  <c r="G124" a="1"/>
  <c r="G124" s="1"/>
  <c r="H113"/>
  <c r="G206"/>
  <c r="Q83"/>
  <c r="I77" i="59"/>
  <c r="T77" s="1"/>
  <c r="G206"/>
  <c r="H82"/>
  <c r="S82" s="1"/>
  <c r="H206"/>
  <c r="F206"/>
  <c r="F42"/>
  <c r="C140"/>
  <c r="C53"/>
  <c r="J36" i="58"/>
  <c r="D105" i="59"/>
  <c r="O84"/>
  <c r="H79"/>
  <c r="S79" s="1"/>
  <c r="I206"/>
  <c r="E206"/>
  <c r="C207"/>
  <c r="C141"/>
  <c r="J36" i="57"/>
  <c r="G128" i="59" a="1"/>
  <c r="G128" s="1"/>
  <c r="G130" s="1"/>
  <c r="Q83"/>
  <c r="D48"/>
  <c r="O119"/>
  <c r="H125" a="1"/>
  <c r="H125" s="1"/>
  <c r="H122" a="1"/>
  <c r="H122" s="1"/>
  <c r="H127" a="1"/>
  <c r="H127" s="1"/>
  <c r="H126" a="1"/>
  <c r="H126" s="1"/>
  <c r="H129" a="1"/>
  <c r="H129" s="1"/>
  <c r="H124" a="1"/>
  <c r="H124" s="1"/>
  <c r="H123" a="1"/>
  <c r="H123" s="1"/>
  <c r="I113"/>
  <c r="J167"/>
  <c r="K166"/>
  <c r="H166"/>
  <c r="E166"/>
  <c r="B166"/>
  <c r="L166"/>
  <c r="I166"/>
  <c r="F166"/>
  <c r="C166"/>
  <c r="M166"/>
  <c r="G166"/>
  <c r="D166"/>
  <c r="A166"/>
  <c r="H80"/>
  <c r="S80" s="1"/>
  <c r="E42"/>
  <c r="E104"/>
  <c r="E105" s="1"/>
  <c r="H125" i="58" a="1"/>
  <c r="H125" s="1"/>
  <c r="H122" a="1"/>
  <c r="H122" s="1"/>
  <c r="H127" a="1"/>
  <c r="H127" s="1"/>
  <c r="H126" a="1"/>
  <c r="H126" s="1"/>
  <c r="H129" a="1"/>
  <c r="H129" s="1"/>
  <c r="H124" a="1"/>
  <c r="H124" s="1"/>
  <c r="H123" a="1"/>
  <c r="H123" s="1"/>
  <c r="I113"/>
  <c r="F206"/>
  <c r="F42"/>
  <c r="C59"/>
  <c r="C64"/>
  <c r="E206"/>
  <c r="G206"/>
  <c r="E42"/>
  <c r="E104"/>
  <c r="E105" s="1"/>
  <c r="D105"/>
  <c r="O84"/>
  <c r="L165"/>
  <c r="I165"/>
  <c r="F165"/>
  <c r="C165"/>
  <c r="M165"/>
  <c r="H165"/>
  <c r="D165"/>
  <c r="J166"/>
  <c r="E165"/>
  <c r="A165"/>
  <c r="B165"/>
  <c r="G165"/>
  <c r="K165"/>
  <c r="H206"/>
  <c r="J36" i="55"/>
  <c r="D48" i="58"/>
  <c r="G89" a="1"/>
  <c r="G89" s="1"/>
  <c r="G88" a="1"/>
  <c r="G88" s="1"/>
  <c r="G87" a="1"/>
  <c r="G87" s="1"/>
  <c r="G91" a="1"/>
  <c r="G91" s="1"/>
  <c r="G90" a="1"/>
  <c r="G90" s="1"/>
  <c r="G86" a="1"/>
  <c r="G86" s="1"/>
  <c r="G98" s="1"/>
  <c r="G93" a="1"/>
  <c r="G93" s="1"/>
  <c r="H77"/>
  <c r="S77" s="1"/>
  <c r="G128" a="1"/>
  <c r="G128" s="1"/>
  <c r="G130" s="1"/>
  <c r="F92" a="1"/>
  <c r="F92" s="1"/>
  <c r="F94" s="1"/>
  <c r="I77" i="57"/>
  <c r="T77" s="1"/>
  <c r="J167"/>
  <c r="K166"/>
  <c r="H166"/>
  <c r="E166"/>
  <c r="B166"/>
  <c r="L166"/>
  <c r="I166"/>
  <c r="F166"/>
  <c r="C166"/>
  <c r="M166"/>
  <c r="G166"/>
  <c r="D166"/>
  <c r="A166"/>
  <c r="G129" a="1"/>
  <c r="G129" s="1"/>
  <c r="G126" a="1"/>
  <c r="G126" s="1"/>
  <c r="G123" a="1"/>
  <c r="G123" s="1"/>
  <c r="G125" a="1"/>
  <c r="G125" s="1"/>
  <c r="G122" a="1"/>
  <c r="G122" s="1"/>
  <c r="G127" a="1"/>
  <c r="G127" s="1"/>
  <c r="G124" a="1"/>
  <c r="G124" s="1"/>
  <c r="H113"/>
  <c r="E206"/>
  <c r="H206"/>
  <c r="G206"/>
  <c r="F104"/>
  <c r="F42"/>
  <c r="E104"/>
  <c r="E42"/>
  <c r="C140"/>
  <c r="C53"/>
  <c r="C207"/>
  <c r="C141"/>
  <c r="F128" a="1"/>
  <c r="F128" s="1"/>
  <c r="F130" s="1"/>
  <c r="F104" i="56"/>
  <c r="F42"/>
  <c r="I80"/>
  <c r="T80" s="1"/>
  <c r="C59"/>
  <c r="C64"/>
  <c r="D140"/>
  <c r="D141" s="1"/>
  <c r="D53"/>
  <c r="D207"/>
  <c r="G42"/>
  <c r="H86" a="1"/>
  <c r="H86" s="1"/>
  <c r="H98" s="1"/>
  <c r="H93" a="1"/>
  <c r="H93" s="1"/>
  <c r="H91" a="1"/>
  <c r="H91" s="1"/>
  <c r="R83"/>
  <c r="J167"/>
  <c r="K166"/>
  <c r="H166"/>
  <c r="E166"/>
  <c r="B166"/>
  <c r="L166"/>
  <c r="I166"/>
  <c r="F166"/>
  <c r="C166"/>
  <c r="M166"/>
  <c r="G166"/>
  <c r="D166"/>
  <c r="A166"/>
  <c r="E206"/>
  <c r="H206"/>
  <c r="E104"/>
  <c r="E42"/>
  <c r="G129" a="1"/>
  <c r="G129" s="1"/>
  <c r="G126" a="1"/>
  <c r="G126" s="1"/>
  <c r="G123" a="1"/>
  <c r="G123" s="1"/>
  <c r="G125" a="1"/>
  <c r="G125" s="1"/>
  <c r="G122" a="1"/>
  <c r="G122" s="1"/>
  <c r="G127" a="1"/>
  <c r="G127" s="1"/>
  <c r="G124" a="1"/>
  <c r="G124" s="1"/>
  <c r="H113"/>
  <c r="G206"/>
  <c r="H87" a="1"/>
  <c r="H87" s="1"/>
  <c r="H89" a="1"/>
  <c r="H89" s="1"/>
  <c r="H206" i="55"/>
  <c r="H125" a="1"/>
  <c r="H125" s="1"/>
  <c r="H122" a="1"/>
  <c r="H122" s="1"/>
  <c r="H127" a="1"/>
  <c r="H127" s="1"/>
  <c r="H124" a="1"/>
  <c r="H124" s="1"/>
  <c r="H129" a="1"/>
  <c r="H129" s="1"/>
  <c r="H126" a="1"/>
  <c r="H126" s="1"/>
  <c r="H123" a="1"/>
  <c r="H123" s="1"/>
  <c r="I113"/>
  <c r="C207"/>
  <c r="C141"/>
  <c r="I77"/>
  <c r="T77" s="1"/>
  <c r="J167"/>
  <c r="K166"/>
  <c r="H166"/>
  <c r="E166"/>
  <c r="B166"/>
  <c r="L166"/>
  <c r="I166"/>
  <c r="F166"/>
  <c r="C166"/>
  <c r="M166"/>
  <c r="G166"/>
  <c r="D166"/>
  <c r="A166"/>
  <c r="D59"/>
  <c r="D64"/>
  <c r="F104"/>
  <c r="F105" s="1"/>
  <c r="F42"/>
  <c r="G128" a="1"/>
  <c r="G128" s="1"/>
  <c r="G130" s="1"/>
  <c r="G206"/>
  <c r="I206"/>
  <c r="E104"/>
  <c r="E42"/>
  <c r="C140"/>
  <c r="C53"/>
  <c r="F206"/>
  <c r="E206"/>
  <c r="E104" i="54"/>
  <c r="E42"/>
  <c r="F206"/>
  <c r="D59"/>
  <c r="D64"/>
  <c r="J167"/>
  <c r="K166"/>
  <c r="H166"/>
  <c r="E166"/>
  <c r="B166"/>
  <c r="L166"/>
  <c r="I166"/>
  <c r="F166"/>
  <c r="C166"/>
  <c r="M166"/>
  <c r="G166"/>
  <c r="D166"/>
  <c r="A166"/>
  <c r="I206"/>
  <c r="H125" a="1"/>
  <c r="H125" s="1"/>
  <c r="H122" a="1"/>
  <c r="H122" s="1"/>
  <c r="H127" a="1"/>
  <c r="H127" s="1"/>
  <c r="H124" a="1"/>
  <c r="H124" s="1"/>
  <c r="H129" a="1"/>
  <c r="H129" s="1"/>
  <c r="H126" a="1"/>
  <c r="H126" s="1"/>
  <c r="H123" a="1"/>
  <c r="H123" s="1"/>
  <c r="I113"/>
  <c r="E206"/>
  <c r="F104"/>
  <c r="F105" s="1"/>
  <c r="F42"/>
  <c r="G206"/>
  <c r="J36"/>
  <c r="C140"/>
  <c r="C53"/>
  <c r="C207"/>
  <c r="C141"/>
  <c r="H206"/>
  <c r="I77"/>
  <c r="T77" s="1"/>
  <c r="F42" i="53"/>
  <c r="I129" a="1"/>
  <c r="I129" s="1"/>
  <c r="I126" a="1"/>
  <c r="I126" s="1"/>
  <c r="I123" a="1"/>
  <c r="I123" s="1"/>
  <c r="I127" a="1"/>
  <c r="I127" s="1"/>
  <c r="I122" a="1"/>
  <c r="I122" s="1"/>
  <c r="I125" a="1"/>
  <c r="I125" s="1"/>
  <c r="I124" a="1"/>
  <c r="I124" s="1"/>
  <c r="H79"/>
  <c r="S79" s="1"/>
  <c r="H80"/>
  <c r="S80" s="1"/>
  <c r="J36" i="46"/>
  <c r="G86" i="53" a="1"/>
  <c r="G86" s="1"/>
  <c r="G98" s="1"/>
  <c r="G89" a="1"/>
  <c r="G89" s="1"/>
  <c r="E206"/>
  <c r="E104"/>
  <c r="E105" s="1"/>
  <c r="E42"/>
  <c r="M165"/>
  <c r="G165"/>
  <c r="D165"/>
  <c r="A165"/>
  <c r="K165"/>
  <c r="F165"/>
  <c r="B165"/>
  <c r="L165"/>
  <c r="H165"/>
  <c r="C165"/>
  <c r="J166"/>
  <c r="I165"/>
  <c r="E165"/>
  <c r="I77"/>
  <c r="T77" s="1"/>
  <c r="I206"/>
  <c r="H78"/>
  <c r="S78" s="1"/>
  <c r="C59"/>
  <c r="C64"/>
  <c r="D105"/>
  <c r="O84"/>
  <c r="G93" a="1"/>
  <c r="G93" s="1"/>
  <c r="Q83"/>
  <c r="J36"/>
  <c r="F206"/>
  <c r="H206"/>
  <c r="H82"/>
  <c r="S82" s="1"/>
  <c r="D48"/>
  <c r="F92" a="1"/>
  <c r="F92" s="1"/>
  <c r="F94" s="1"/>
  <c r="C140" i="52"/>
  <c r="C53"/>
  <c r="C207"/>
  <c r="C141"/>
  <c r="L165"/>
  <c r="I165"/>
  <c r="F165"/>
  <c r="C165"/>
  <c r="M165"/>
  <c r="G165"/>
  <c r="D165"/>
  <c r="A165"/>
  <c r="J166"/>
  <c r="K165"/>
  <c r="H165"/>
  <c r="E165"/>
  <c r="B165"/>
  <c r="F128" a="1"/>
  <c r="F128" s="1"/>
  <c r="F130" s="1"/>
  <c r="I82"/>
  <c r="T82" s="1"/>
  <c r="F104"/>
  <c r="F42"/>
  <c r="I79"/>
  <c r="T79" s="1"/>
  <c r="E104"/>
  <c r="E42"/>
  <c r="D64"/>
  <c r="G129" a="1"/>
  <c r="G129" s="1"/>
  <c r="G126" a="1"/>
  <c r="G126" s="1"/>
  <c r="G123" a="1"/>
  <c r="G123" s="1"/>
  <c r="G125" a="1"/>
  <c r="G125" s="1"/>
  <c r="G122" a="1"/>
  <c r="G122" s="1"/>
  <c r="G127" a="1"/>
  <c r="G127" s="1"/>
  <c r="G124" a="1"/>
  <c r="G124" s="1"/>
  <c r="H113"/>
  <c r="G206"/>
  <c r="G105"/>
  <c r="H206"/>
  <c r="H105"/>
  <c r="E206"/>
  <c r="E105"/>
  <c r="I77"/>
  <c r="T77" s="1"/>
  <c r="J36"/>
  <c r="H125" i="51" a="1"/>
  <c r="H125" s="1"/>
  <c r="H122" a="1"/>
  <c r="H122" s="1"/>
  <c r="H127" a="1"/>
  <c r="H127" s="1"/>
  <c r="H126" a="1"/>
  <c r="H126" s="1"/>
  <c r="H129" a="1"/>
  <c r="H129" s="1"/>
  <c r="H124" a="1"/>
  <c r="H124" s="1"/>
  <c r="H123" a="1"/>
  <c r="H123" s="1"/>
  <c r="I113"/>
  <c r="E206"/>
  <c r="D207"/>
  <c r="I206"/>
  <c r="H206"/>
  <c r="E42"/>
  <c r="E104"/>
  <c r="E105" s="1"/>
  <c r="G206"/>
  <c r="L165"/>
  <c r="I165"/>
  <c r="F165"/>
  <c r="C165"/>
  <c r="M165"/>
  <c r="H165"/>
  <c r="D165"/>
  <c r="J166"/>
  <c r="E165"/>
  <c r="A165"/>
  <c r="B165"/>
  <c r="G165"/>
  <c r="K165"/>
  <c r="I77"/>
  <c r="T77" s="1"/>
  <c r="C59"/>
  <c r="C64"/>
  <c r="D140"/>
  <c r="D141" s="1"/>
  <c r="D53"/>
  <c r="F206"/>
  <c r="F104"/>
  <c r="F42"/>
  <c r="G128" a="1"/>
  <c r="G128" s="1"/>
  <c r="G130" s="1"/>
  <c r="J36"/>
  <c r="H79" i="50"/>
  <c r="S79" s="1"/>
  <c r="D105"/>
  <c r="O84"/>
  <c r="I81"/>
  <c r="T81" s="1"/>
  <c r="I78"/>
  <c r="T78" s="1"/>
  <c r="E104"/>
  <c r="E105" s="1"/>
  <c r="E42"/>
  <c r="I77"/>
  <c r="T77" s="1"/>
  <c r="C59"/>
  <c r="C64"/>
  <c r="I206"/>
  <c r="J167"/>
  <c r="K166"/>
  <c r="H166"/>
  <c r="E166"/>
  <c r="B166"/>
  <c r="L166"/>
  <c r="I166"/>
  <c r="F166"/>
  <c r="C166"/>
  <c r="M166"/>
  <c r="G166"/>
  <c r="D166"/>
  <c r="A166"/>
  <c r="G90" a="1"/>
  <c r="G90" s="1"/>
  <c r="G91" a="1"/>
  <c r="G91" s="1"/>
  <c r="D48"/>
  <c r="G206"/>
  <c r="H125" a="1"/>
  <c r="H125" s="1"/>
  <c r="H122" a="1"/>
  <c r="H122" s="1"/>
  <c r="H127" a="1"/>
  <c r="H127" s="1"/>
  <c r="H124" a="1"/>
  <c r="H124" s="1"/>
  <c r="H129" a="1"/>
  <c r="H129" s="1"/>
  <c r="H126" a="1"/>
  <c r="H126" s="1"/>
  <c r="H123" a="1"/>
  <c r="H123" s="1"/>
  <c r="I113"/>
  <c r="E206"/>
  <c r="H80"/>
  <c r="S80" s="1"/>
  <c r="H82"/>
  <c r="S82" s="1"/>
  <c r="G128" a="1"/>
  <c r="G128" s="1"/>
  <c r="G130" s="1"/>
  <c r="G86" a="1"/>
  <c r="G86" s="1"/>
  <c r="G98" s="1"/>
  <c r="G88" a="1"/>
  <c r="G88" s="1"/>
  <c r="Q83"/>
  <c r="J36"/>
  <c r="F92" a="1"/>
  <c r="F92" s="1"/>
  <c r="F94" s="1"/>
  <c r="F206"/>
  <c r="H206"/>
  <c r="G87" a="1"/>
  <c r="G87" s="1"/>
  <c r="G93" a="1"/>
  <c r="G93" s="1"/>
  <c r="G89" a="1"/>
  <c r="G89" s="1"/>
  <c r="H206" i="49"/>
  <c r="C59"/>
  <c r="C64"/>
  <c r="O84"/>
  <c r="D105"/>
  <c r="H125" a="1"/>
  <c r="H125" s="1"/>
  <c r="H122" a="1"/>
  <c r="H122" s="1"/>
  <c r="H129" a="1"/>
  <c r="H129" s="1"/>
  <c r="H126" a="1"/>
  <c r="H126" s="1"/>
  <c r="H123" a="1"/>
  <c r="H123" s="1"/>
  <c r="H124" a="1"/>
  <c r="H124" s="1"/>
  <c r="H127" a="1"/>
  <c r="H127" s="1"/>
  <c r="I113"/>
  <c r="J36"/>
  <c r="E104"/>
  <c r="E42"/>
  <c r="L165"/>
  <c r="I165"/>
  <c r="F165"/>
  <c r="C165"/>
  <c r="J166"/>
  <c r="K165"/>
  <c r="H165"/>
  <c r="E165"/>
  <c r="B165"/>
  <c r="M165"/>
  <c r="D165"/>
  <c r="G165"/>
  <c r="A165"/>
  <c r="D48"/>
  <c r="G206"/>
  <c r="E206"/>
  <c r="F42"/>
  <c r="I79"/>
  <c r="T79" s="1"/>
  <c r="L165" i="48"/>
  <c r="I165"/>
  <c r="F165"/>
  <c r="C165"/>
  <c r="M165"/>
  <c r="G165"/>
  <c r="D165"/>
  <c r="A165"/>
  <c r="H165"/>
  <c r="K165"/>
  <c r="B165"/>
  <c r="J166"/>
  <c r="E165"/>
  <c r="I77"/>
  <c r="T77" s="1"/>
  <c r="C140"/>
  <c r="C53"/>
  <c r="C207"/>
  <c r="C141"/>
  <c r="H122" a="1"/>
  <c r="H122" s="1"/>
  <c r="H126" a="1"/>
  <c r="H126" s="1"/>
  <c r="I113"/>
  <c r="F104"/>
  <c r="F42"/>
  <c r="E104"/>
  <c r="E42"/>
  <c r="D59"/>
  <c r="D64"/>
  <c r="H82" i="47"/>
  <c r="S82" s="1"/>
  <c r="E206"/>
  <c r="G206"/>
  <c r="D105"/>
  <c r="O84"/>
  <c r="H125" a="1"/>
  <c r="H125" s="1"/>
  <c r="H122" a="1"/>
  <c r="H122" s="1"/>
  <c r="H127" a="1"/>
  <c r="H127" s="1"/>
  <c r="H124" a="1"/>
  <c r="H124" s="1"/>
  <c r="H129" a="1"/>
  <c r="H129" s="1"/>
  <c r="H126" a="1"/>
  <c r="H126" s="1"/>
  <c r="H123" a="1"/>
  <c r="H123" s="1"/>
  <c r="I113"/>
  <c r="C140"/>
  <c r="C53"/>
  <c r="Q83"/>
  <c r="G128" a="1"/>
  <c r="G128" s="1"/>
  <c r="G130" s="1"/>
  <c r="G89" a="1"/>
  <c r="G89" s="1"/>
  <c r="G87" a="1"/>
  <c r="G87" s="1"/>
  <c r="I206"/>
  <c r="J167"/>
  <c r="K166"/>
  <c r="H166"/>
  <c r="E166"/>
  <c r="B166"/>
  <c r="L166"/>
  <c r="I166"/>
  <c r="F166"/>
  <c r="C166"/>
  <c r="M166"/>
  <c r="G166"/>
  <c r="D166"/>
  <c r="A166"/>
  <c r="D48"/>
  <c r="O119"/>
  <c r="I77"/>
  <c r="T77" s="1"/>
  <c r="H79"/>
  <c r="C207"/>
  <c r="C141"/>
  <c r="Q83" i="45"/>
  <c r="J36" i="47"/>
  <c r="G86" a="1"/>
  <c r="G86" s="1"/>
  <c r="G98" s="1"/>
  <c r="G88" a="1"/>
  <c r="G88" s="1"/>
  <c r="E104"/>
  <c r="E105" s="1"/>
  <c r="E42"/>
  <c r="H206"/>
  <c r="F206"/>
  <c r="G90" a="1"/>
  <c r="G90" s="1"/>
  <c r="G93" a="1"/>
  <c r="G93" s="1"/>
  <c r="I79" i="46"/>
  <c r="T79" s="1"/>
  <c r="D48"/>
  <c r="G206"/>
  <c r="E206"/>
  <c r="G87" a="1"/>
  <c r="G87" s="1"/>
  <c r="G91" a="1"/>
  <c r="G91" s="1"/>
  <c r="G89" a="1"/>
  <c r="G89" s="1"/>
  <c r="F128" a="1"/>
  <c r="F128" s="1"/>
  <c r="F130" s="1"/>
  <c r="E104"/>
  <c r="E105" s="1"/>
  <c r="E42"/>
  <c r="I77"/>
  <c r="T77" s="1"/>
  <c r="G129" a="1"/>
  <c r="G129" s="1"/>
  <c r="G126" a="1"/>
  <c r="G126" s="1"/>
  <c r="G123" a="1"/>
  <c r="G123" s="1"/>
  <c r="G127" a="1"/>
  <c r="G127" s="1"/>
  <c r="G124" a="1"/>
  <c r="G124" s="1"/>
  <c r="G125" a="1"/>
  <c r="G125" s="1"/>
  <c r="G122" a="1"/>
  <c r="G122" s="1"/>
  <c r="H113"/>
  <c r="G86" a="1"/>
  <c r="G86" s="1"/>
  <c r="G98" s="1"/>
  <c r="L165"/>
  <c r="I165"/>
  <c r="F165"/>
  <c r="C165"/>
  <c r="J166"/>
  <c r="K165"/>
  <c r="H165"/>
  <c r="E165"/>
  <c r="B165"/>
  <c r="M165"/>
  <c r="D165"/>
  <c r="A165"/>
  <c r="G165"/>
  <c r="D105"/>
  <c r="O84"/>
  <c r="H206"/>
  <c r="H80"/>
  <c r="S80" s="1"/>
  <c r="I78"/>
  <c r="T78" s="1"/>
  <c r="J36" i="44"/>
  <c r="G88" i="46" a="1"/>
  <c r="G88" s="1"/>
  <c r="G90" a="1"/>
  <c r="G90" s="1"/>
  <c r="H125" i="45" a="1"/>
  <c r="H125" s="1"/>
  <c r="H122" a="1"/>
  <c r="H122" s="1"/>
  <c r="H127" a="1"/>
  <c r="H127" s="1"/>
  <c r="H124" a="1"/>
  <c r="H124" s="1"/>
  <c r="H129" a="1"/>
  <c r="H129" s="1"/>
  <c r="H126" a="1"/>
  <c r="H126" s="1"/>
  <c r="H123" a="1"/>
  <c r="H123" s="1"/>
  <c r="I113"/>
  <c r="I206"/>
  <c r="I105"/>
  <c r="E206"/>
  <c r="E105"/>
  <c r="G206"/>
  <c r="G105"/>
  <c r="J167"/>
  <c r="K166"/>
  <c r="H166"/>
  <c r="E166"/>
  <c r="B166"/>
  <c r="L166"/>
  <c r="I166"/>
  <c r="F166"/>
  <c r="C166"/>
  <c r="M166"/>
  <c r="G166"/>
  <c r="D166"/>
  <c r="A166"/>
  <c r="H206"/>
  <c r="H105"/>
  <c r="G128" a="1"/>
  <c r="G128" s="1"/>
  <c r="G130" s="1"/>
  <c r="G87" a="1"/>
  <c r="G87" s="1"/>
  <c r="J36"/>
  <c r="F206"/>
  <c r="F105"/>
  <c r="E104"/>
  <c r="E42"/>
  <c r="C140"/>
  <c r="C53"/>
  <c r="D48"/>
  <c r="O119"/>
  <c r="I77"/>
  <c r="T77" s="1"/>
  <c r="H80"/>
  <c r="S80" s="1"/>
  <c r="H82"/>
  <c r="S82" s="1"/>
  <c r="C207"/>
  <c r="C141"/>
  <c r="H82" i="44"/>
  <c r="I77"/>
  <c r="T77" s="1"/>
  <c r="D48"/>
  <c r="J167"/>
  <c r="K166"/>
  <c r="H166"/>
  <c r="E166"/>
  <c r="B166"/>
  <c r="L166"/>
  <c r="I166"/>
  <c r="F166"/>
  <c r="C166"/>
  <c r="M166"/>
  <c r="G166"/>
  <c r="D166"/>
  <c r="A166"/>
  <c r="E206"/>
  <c r="C59"/>
  <c r="C64"/>
  <c r="J36" i="39"/>
  <c r="G89" i="44" a="1"/>
  <c r="G89" s="1"/>
  <c r="G88" a="1"/>
  <c r="G88" s="1"/>
  <c r="F92" a="1"/>
  <c r="F92" s="1"/>
  <c r="F94" s="1"/>
  <c r="I206"/>
  <c r="H206"/>
  <c r="G129" a="1"/>
  <c r="G129" s="1"/>
  <c r="G126" a="1"/>
  <c r="G126" s="1"/>
  <c r="G123" a="1"/>
  <c r="G123" s="1"/>
  <c r="G125" a="1"/>
  <c r="G125" s="1"/>
  <c r="G122" a="1"/>
  <c r="G122" s="1"/>
  <c r="G127" a="1"/>
  <c r="G127" s="1"/>
  <c r="G124" a="1"/>
  <c r="G124" s="1"/>
  <c r="H113"/>
  <c r="G206"/>
  <c r="J36" i="41"/>
  <c r="G87" i="44" a="1"/>
  <c r="G87" s="1"/>
  <c r="G93" a="1"/>
  <c r="G93" s="1"/>
  <c r="Q83"/>
  <c r="D105"/>
  <c r="O84"/>
  <c r="E104"/>
  <c r="E42"/>
  <c r="F206"/>
  <c r="G86" a="1"/>
  <c r="G86" s="1"/>
  <c r="G98" s="1"/>
  <c r="G90" a="1"/>
  <c r="G90" s="1"/>
  <c r="G91" a="1"/>
  <c r="G91" s="1"/>
  <c r="G89" i="43" a="1"/>
  <c r="G89" s="1"/>
  <c r="G91" a="1"/>
  <c r="G91" s="1"/>
  <c r="G88" a="1"/>
  <c r="G88" s="1"/>
  <c r="G90" a="1"/>
  <c r="G90" s="1"/>
  <c r="G87" a="1"/>
  <c r="G87" s="1"/>
  <c r="G86" a="1"/>
  <c r="G86" s="1"/>
  <c r="G98" s="1"/>
  <c r="G93" a="1"/>
  <c r="G93" s="1"/>
  <c r="H77"/>
  <c r="S77" s="1"/>
  <c r="H206"/>
  <c r="E42"/>
  <c r="E104"/>
  <c r="E105" s="1"/>
  <c r="F206"/>
  <c r="F42"/>
  <c r="I79"/>
  <c r="T79" s="1"/>
  <c r="C207"/>
  <c r="C141"/>
  <c r="E206"/>
  <c r="L165"/>
  <c r="I165"/>
  <c r="F165"/>
  <c r="C165"/>
  <c r="M165"/>
  <c r="G165"/>
  <c r="D165"/>
  <c r="A165"/>
  <c r="H165"/>
  <c r="K165"/>
  <c r="B165"/>
  <c r="J166"/>
  <c r="E165"/>
  <c r="D105"/>
  <c r="O84"/>
  <c r="F92" a="1"/>
  <c r="F92" s="1"/>
  <c r="F94" s="1"/>
  <c r="F128" a="1"/>
  <c r="F128" s="1"/>
  <c r="F130" s="1"/>
  <c r="I206"/>
  <c r="C140"/>
  <c r="C53"/>
  <c r="G129" a="1"/>
  <c r="G129" s="1"/>
  <c r="G126" a="1"/>
  <c r="G126" s="1"/>
  <c r="G123" a="1"/>
  <c r="G123" s="1"/>
  <c r="G125" a="1"/>
  <c r="G125" s="1"/>
  <c r="G122" a="1"/>
  <c r="G122" s="1"/>
  <c r="G127" a="1"/>
  <c r="G127" s="1"/>
  <c r="G124" a="1"/>
  <c r="G124" s="1"/>
  <c r="H113"/>
  <c r="D48"/>
  <c r="O119"/>
  <c r="I81"/>
  <c r="T81" s="1"/>
  <c r="J36"/>
  <c r="E104" i="42"/>
  <c r="E105" s="1"/>
  <c r="E42"/>
  <c r="C59"/>
  <c r="C64"/>
  <c r="H81"/>
  <c r="S81" s="1"/>
  <c r="F206"/>
  <c r="F42"/>
  <c r="E206"/>
  <c r="H206"/>
  <c r="D105"/>
  <c r="O84"/>
  <c r="G89" a="1"/>
  <c r="G89" s="1"/>
  <c r="G91" a="1"/>
  <c r="G91" s="1"/>
  <c r="G88" a="1"/>
  <c r="G88" s="1"/>
  <c r="G93" a="1"/>
  <c r="G93" s="1"/>
  <c r="G90" a="1"/>
  <c r="G90" s="1"/>
  <c r="G86" a="1"/>
  <c r="G86" s="1"/>
  <c r="G98" s="1"/>
  <c r="G87" a="1"/>
  <c r="G87" s="1"/>
  <c r="H77"/>
  <c r="S77" s="1"/>
  <c r="F128" a="1"/>
  <c r="F128" s="1"/>
  <c r="F130" s="1"/>
  <c r="I206"/>
  <c r="G206"/>
  <c r="G129" a="1"/>
  <c r="G129" s="1"/>
  <c r="G126" a="1"/>
  <c r="G126" s="1"/>
  <c r="G123" a="1"/>
  <c r="G123" s="1"/>
  <c r="G125" a="1"/>
  <c r="G125" s="1"/>
  <c r="G122" a="1"/>
  <c r="G122" s="1"/>
  <c r="G127" a="1"/>
  <c r="G127" s="1"/>
  <c r="G124" a="1"/>
  <c r="G124" s="1"/>
  <c r="H113"/>
  <c r="J167"/>
  <c r="K166"/>
  <c r="H166"/>
  <c r="E166"/>
  <c r="B166"/>
  <c r="L166"/>
  <c r="I166"/>
  <c r="F166"/>
  <c r="C166"/>
  <c r="M166"/>
  <c r="G166"/>
  <c r="D166"/>
  <c r="A166"/>
  <c r="D48"/>
  <c r="H79"/>
  <c r="S79" s="1"/>
  <c r="J36"/>
  <c r="Q83"/>
  <c r="G206" i="41"/>
  <c r="E206"/>
  <c r="C140"/>
  <c r="C53"/>
  <c r="C207"/>
  <c r="C141"/>
  <c r="J167"/>
  <c r="K166"/>
  <c r="H166"/>
  <c r="E166"/>
  <c r="B166"/>
  <c r="L166"/>
  <c r="I166"/>
  <c r="F166"/>
  <c r="C166"/>
  <c r="M166"/>
  <c r="G166"/>
  <c r="D166"/>
  <c r="A166"/>
  <c r="I77"/>
  <c r="T77" s="1"/>
  <c r="D59"/>
  <c r="D64"/>
  <c r="G129" a="1"/>
  <c r="G129" s="1"/>
  <c r="G126" a="1"/>
  <c r="G126" s="1"/>
  <c r="G123" a="1"/>
  <c r="G123" s="1"/>
  <c r="G125" a="1"/>
  <c r="G125" s="1"/>
  <c r="G122" a="1"/>
  <c r="G122" s="1"/>
  <c r="G127" a="1"/>
  <c r="G127" s="1"/>
  <c r="G124" a="1"/>
  <c r="G124" s="1"/>
  <c r="H113"/>
  <c r="F104"/>
  <c r="F42"/>
  <c r="H206"/>
  <c r="E104"/>
  <c r="E42"/>
  <c r="Q83" i="40"/>
  <c r="J36"/>
  <c r="F42"/>
  <c r="I78"/>
  <c r="T78" s="1"/>
  <c r="H129" a="1"/>
  <c r="H129" s="1"/>
  <c r="H126" a="1"/>
  <c r="H126" s="1"/>
  <c r="H123" a="1"/>
  <c r="H123" s="1"/>
  <c r="H125" a="1"/>
  <c r="H125" s="1"/>
  <c r="H122" a="1"/>
  <c r="H122" s="1"/>
  <c r="H124" a="1"/>
  <c r="H124" s="1"/>
  <c r="H127" a="1"/>
  <c r="H127" s="1"/>
  <c r="I113"/>
  <c r="D48"/>
  <c r="H206"/>
  <c r="D105"/>
  <c r="O84"/>
  <c r="H79"/>
  <c r="S79" s="1"/>
  <c r="G89" a="1"/>
  <c r="G89" s="1"/>
  <c r="G87" a="1"/>
  <c r="G87" s="1"/>
  <c r="G90" a="1"/>
  <c r="G90" s="1"/>
  <c r="G93" a="1"/>
  <c r="G93" s="1"/>
  <c r="G86" a="1"/>
  <c r="G86" s="1"/>
  <c r="G98" s="1"/>
  <c r="G91" a="1"/>
  <c r="G91" s="1"/>
  <c r="G88" a="1"/>
  <c r="G88" s="1"/>
  <c r="L165"/>
  <c r="I165"/>
  <c r="F165"/>
  <c r="C165"/>
  <c r="M165"/>
  <c r="G165"/>
  <c r="D165"/>
  <c r="A165"/>
  <c r="H165"/>
  <c r="K165"/>
  <c r="B165"/>
  <c r="J166"/>
  <c r="E165"/>
  <c r="G206"/>
  <c r="G128" a="1"/>
  <c r="G128" s="1"/>
  <c r="G130" s="1"/>
  <c r="F206"/>
  <c r="E206"/>
  <c r="E104"/>
  <c r="E42"/>
  <c r="H82"/>
  <c r="S82" s="1"/>
  <c r="I206"/>
  <c r="D207" i="39"/>
  <c r="G206"/>
  <c r="F92" a="1"/>
  <c r="F92" s="1"/>
  <c r="F94" s="1"/>
  <c r="I79"/>
  <c r="T79" s="1"/>
  <c r="E206"/>
  <c r="H125" a="1"/>
  <c r="H125" s="1"/>
  <c r="H122" a="1"/>
  <c r="H122" s="1"/>
  <c r="H127" a="1"/>
  <c r="H127" s="1"/>
  <c r="H124" a="1"/>
  <c r="H124" s="1"/>
  <c r="H129" a="1"/>
  <c r="H129" s="1"/>
  <c r="H126" a="1"/>
  <c r="H126" s="1"/>
  <c r="H123" a="1"/>
  <c r="H123" s="1"/>
  <c r="I113"/>
  <c r="C140"/>
  <c r="C53"/>
  <c r="I77"/>
  <c r="T77" s="1"/>
  <c r="D140"/>
  <c r="D141" s="1"/>
  <c r="D53"/>
  <c r="H81"/>
  <c r="H206"/>
  <c r="G128" a="1"/>
  <c r="G128" s="1"/>
  <c r="G130" s="1"/>
  <c r="C207"/>
  <c r="C141"/>
  <c r="J167"/>
  <c r="K166"/>
  <c r="H166"/>
  <c r="E166"/>
  <c r="B166"/>
  <c r="L166"/>
  <c r="I166"/>
  <c r="F166"/>
  <c r="C166"/>
  <c r="M166"/>
  <c r="G166"/>
  <c r="D166"/>
  <c r="A166"/>
  <c r="E104"/>
  <c r="E105" s="1"/>
  <c r="E42"/>
  <c r="Q83" i="38"/>
  <c r="G90" i="39" a="1"/>
  <c r="G90" s="1"/>
  <c r="G91" a="1"/>
  <c r="G91" s="1"/>
  <c r="F42" i="38"/>
  <c r="C140"/>
  <c r="C53"/>
  <c r="D105"/>
  <c r="O84"/>
  <c r="G87" a="1"/>
  <c r="G87" s="1"/>
  <c r="F92" a="1"/>
  <c r="F92" s="1"/>
  <c r="F94" s="1"/>
  <c r="E206"/>
  <c r="H79"/>
  <c r="S79" s="1"/>
  <c r="C207"/>
  <c r="C141"/>
  <c r="D48"/>
  <c r="O119"/>
  <c r="H80"/>
  <c r="S80" s="1"/>
  <c r="G86" a="1"/>
  <c r="G86" s="1"/>
  <c r="G98" s="1"/>
  <c r="G93" a="1"/>
  <c r="G93" s="1"/>
  <c r="G89" a="1"/>
  <c r="G89" s="1"/>
  <c r="E104"/>
  <c r="E42"/>
  <c r="F206"/>
  <c r="I77"/>
  <c r="T77" s="1"/>
  <c r="H206"/>
  <c r="J167"/>
  <c r="K166"/>
  <c r="H166"/>
  <c r="E166"/>
  <c r="B166"/>
  <c r="L166"/>
  <c r="I166"/>
  <c r="F166"/>
  <c r="C166"/>
  <c r="M166"/>
  <c r="G166"/>
  <c r="D166"/>
  <c r="A166"/>
  <c r="G129" a="1"/>
  <c r="G129" s="1"/>
  <c r="G126" a="1"/>
  <c r="G126" s="1"/>
  <c r="G123" a="1"/>
  <c r="G123" s="1"/>
  <c r="G125" a="1"/>
  <c r="G125" s="1"/>
  <c r="G122" a="1"/>
  <c r="G122" s="1"/>
  <c r="G127" a="1"/>
  <c r="G127" s="1"/>
  <c r="G124" a="1"/>
  <c r="G124" s="1"/>
  <c r="H113"/>
  <c r="G206"/>
  <c r="I206"/>
  <c r="G90" a="1"/>
  <c r="G90" s="1"/>
  <c r="G91" a="1"/>
  <c r="G91" s="1"/>
  <c r="J36"/>
  <c r="E206" i="32"/>
  <c r="D48"/>
  <c r="O119"/>
  <c r="F128" a="1"/>
  <c r="F128" s="1"/>
  <c r="F130" s="1"/>
  <c r="E104"/>
  <c r="E105" s="1"/>
  <c r="E42"/>
  <c r="G129" a="1"/>
  <c r="G129" s="1"/>
  <c r="G126" a="1"/>
  <c r="G126" s="1"/>
  <c r="G123" a="1"/>
  <c r="G123" s="1"/>
  <c r="G125" a="1"/>
  <c r="G125" s="1"/>
  <c r="G122" a="1"/>
  <c r="G122" s="1"/>
  <c r="G127" a="1"/>
  <c r="G127" s="1"/>
  <c r="G124" a="1"/>
  <c r="G124" s="1"/>
  <c r="H113"/>
  <c r="F206"/>
  <c r="I206"/>
  <c r="C140"/>
  <c r="C53"/>
  <c r="G89" a="1"/>
  <c r="G89" s="1"/>
  <c r="G101" s="1"/>
  <c r="G91" a="1"/>
  <c r="G91" s="1"/>
  <c r="G103" s="1"/>
  <c r="G88" a="1"/>
  <c r="G88" s="1"/>
  <c r="G100" s="1"/>
  <c r="G93" a="1"/>
  <c r="G93" s="1"/>
  <c r="G90" a="1"/>
  <c r="G90" s="1"/>
  <c r="G102" s="1"/>
  <c r="G87" a="1"/>
  <c r="G87" s="1"/>
  <c r="G99" s="1"/>
  <c r="G86" a="1"/>
  <c r="G86" s="1"/>
  <c r="G98" s="1"/>
  <c r="H77"/>
  <c r="S77" s="1"/>
  <c r="J36"/>
  <c r="F42"/>
  <c r="H78"/>
  <c r="S78" s="1"/>
  <c r="J167"/>
  <c r="K166"/>
  <c r="H166"/>
  <c r="E166"/>
  <c r="B166"/>
  <c r="L166"/>
  <c r="I166"/>
  <c r="F166"/>
  <c r="C166"/>
  <c r="M166"/>
  <c r="G166"/>
  <c r="D166"/>
  <c r="A166"/>
  <c r="H206"/>
  <c r="D105"/>
  <c r="O84"/>
  <c r="C207"/>
  <c r="C141"/>
  <c r="G206"/>
  <c r="Q83"/>
  <c r="F92" a="1"/>
  <c r="F92" s="1"/>
  <c r="F94" s="1"/>
  <c r="D140" i="129"/>
  <c r="D53"/>
  <c r="I77"/>
  <c r="T77" s="1"/>
  <c r="F206"/>
  <c r="F105"/>
  <c r="E104"/>
  <c r="E42"/>
  <c r="I206"/>
  <c r="I105"/>
  <c r="G206"/>
  <c r="G105"/>
  <c r="D141"/>
  <c r="D207"/>
  <c r="C59"/>
  <c r="C64"/>
  <c r="F104"/>
  <c r="F42"/>
  <c r="E206"/>
  <c r="E105"/>
  <c r="H206"/>
  <c r="H105"/>
  <c r="F128" a="1"/>
  <c r="F128" s="1"/>
  <c r="F130" s="1"/>
  <c r="G129" a="1"/>
  <c r="G129" s="1"/>
  <c r="G126" a="1"/>
  <c r="G126" s="1"/>
  <c r="G123" a="1"/>
  <c r="G123" s="1"/>
  <c r="G125" a="1"/>
  <c r="G125" s="1"/>
  <c r="G122" a="1"/>
  <c r="G122" s="1"/>
  <c r="G127" a="1"/>
  <c r="G127" s="1"/>
  <c r="G124" a="1"/>
  <c r="G124" s="1"/>
  <c r="H113"/>
  <c r="J167"/>
  <c r="K166"/>
  <c r="H166"/>
  <c r="E166"/>
  <c r="B166"/>
  <c r="L166"/>
  <c r="I166"/>
  <c r="F166"/>
  <c r="C166"/>
  <c r="M166"/>
  <c r="G166"/>
  <c r="D166"/>
  <c r="A166"/>
  <c r="J36"/>
  <c r="C140" i="128"/>
  <c r="N120" s="1"/>
  <c r="C53"/>
  <c r="L165"/>
  <c r="I165"/>
  <c r="F165"/>
  <c r="C165"/>
  <c r="M165"/>
  <c r="G165"/>
  <c r="D165"/>
  <c r="A165"/>
  <c r="J166"/>
  <c r="K165"/>
  <c r="H165"/>
  <c r="E165"/>
  <c r="B165"/>
  <c r="E104"/>
  <c r="P84" s="1"/>
  <c r="E42"/>
  <c r="E134" s="1"/>
  <c r="F42"/>
  <c r="F134" s="1"/>
  <c r="Q83" i="109"/>
  <c r="G87" i="128" a="1"/>
  <c r="G87" s="1"/>
  <c r="D207"/>
  <c r="C141"/>
  <c r="C207"/>
  <c r="H82"/>
  <c r="S82" s="1"/>
  <c r="D140"/>
  <c r="O120" s="1"/>
  <c r="D53"/>
  <c r="G88" a="1"/>
  <c r="G88" s="1"/>
  <c r="G90" a="1"/>
  <c r="G90" s="1"/>
  <c r="G89" a="1"/>
  <c r="G89" s="1"/>
  <c r="F42" i="127"/>
  <c r="J167"/>
  <c r="K166"/>
  <c r="H166"/>
  <c r="E166"/>
  <c r="B166"/>
  <c r="L166"/>
  <c r="I166"/>
  <c r="F166"/>
  <c r="C166"/>
  <c r="M166"/>
  <c r="G166"/>
  <c r="D166"/>
  <c r="A166"/>
  <c r="H81"/>
  <c r="S81" s="1"/>
  <c r="G129" a="1"/>
  <c r="G129" s="1"/>
  <c r="G126" a="1"/>
  <c r="G126" s="1"/>
  <c r="G123" a="1"/>
  <c r="G123" s="1"/>
  <c r="G125" a="1"/>
  <c r="G125" s="1"/>
  <c r="G122" a="1"/>
  <c r="G122" s="1"/>
  <c r="G127" a="1"/>
  <c r="G127" s="1"/>
  <c r="G124" a="1"/>
  <c r="G124" s="1"/>
  <c r="H113"/>
  <c r="H79"/>
  <c r="S79" s="1"/>
  <c r="D48"/>
  <c r="O119"/>
  <c r="G206"/>
  <c r="Q83"/>
  <c r="G87" a="1"/>
  <c r="G87" s="1"/>
  <c r="G88" a="1"/>
  <c r="G88" s="1"/>
  <c r="E104"/>
  <c r="E105" s="1"/>
  <c r="E42"/>
  <c r="F206"/>
  <c r="H206"/>
  <c r="C207"/>
  <c r="C141"/>
  <c r="G86" a="1"/>
  <c r="G86" s="1"/>
  <c r="G98" s="1"/>
  <c r="G93" a="1"/>
  <c r="G93" s="1"/>
  <c r="E206"/>
  <c r="I206"/>
  <c r="H78"/>
  <c r="S78" s="1"/>
  <c r="D105"/>
  <c r="O84"/>
  <c r="I77"/>
  <c r="T77" s="1"/>
  <c r="C140"/>
  <c r="C53"/>
  <c r="F92" a="1"/>
  <c r="F92" s="1"/>
  <c r="F94" s="1"/>
  <c r="J36"/>
  <c r="F128" a="1"/>
  <c r="F128" s="1"/>
  <c r="F130" s="1"/>
  <c r="G90" a="1"/>
  <c r="G90" s="1"/>
  <c r="G91" a="1"/>
  <c r="G91" s="1"/>
  <c r="I82" i="109"/>
  <c r="T82" s="1"/>
  <c r="G127" a="1"/>
  <c r="G127" s="1"/>
  <c r="G124" a="1"/>
  <c r="G124" s="1"/>
  <c r="G129" a="1"/>
  <c r="G129" s="1"/>
  <c r="G126" a="1"/>
  <c r="G126" s="1"/>
  <c r="G123" a="1"/>
  <c r="G123" s="1"/>
  <c r="G125" a="1"/>
  <c r="G125" s="1"/>
  <c r="G122" a="1"/>
  <c r="G122" s="1"/>
  <c r="H113"/>
  <c r="I79"/>
  <c r="T79" s="1"/>
  <c r="D48"/>
  <c r="O119"/>
  <c r="I77"/>
  <c r="T77" s="1"/>
  <c r="H80"/>
  <c r="S80" s="1"/>
  <c r="G91" a="1"/>
  <c r="G91" s="1"/>
  <c r="C207"/>
  <c r="D105"/>
  <c r="O84"/>
  <c r="J166"/>
  <c r="K165"/>
  <c r="H165"/>
  <c r="E165"/>
  <c r="B165"/>
  <c r="L165"/>
  <c r="I165"/>
  <c r="F165"/>
  <c r="C165"/>
  <c r="M165"/>
  <c r="G165"/>
  <c r="D165"/>
  <c r="A165"/>
  <c r="F92" a="1"/>
  <c r="F92" s="1"/>
  <c r="F94" s="1"/>
  <c r="C140"/>
  <c r="C141" s="1"/>
  <c r="C53"/>
  <c r="H78"/>
  <c r="S78" s="1"/>
  <c r="H81"/>
  <c r="S81" s="1"/>
  <c r="E48"/>
  <c r="G88" a="1"/>
  <c r="G88" s="1"/>
  <c r="G89" a="1"/>
  <c r="G89" s="1"/>
  <c r="G93" a="1"/>
  <c r="G93" s="1"/>
  <c r="D59" i="108"/>
  <c r="D64"/>
  <c r="H206"/>
  <c r="F206"/>
  <c r="G206"/>
  <c r="I77"/>
  <c r="T77" s="1"/>
  <c r="E206"/>
  <c r="H82"/>
  <c r="J167"/>
  <c r="K166"/>
  <c r="H166"/>
  <c r="E166"/>
  <c r="B166"/>
  <c r="L166"/>
  <c r="I166"/>
  <c r="F166"/>
  <c r="C166"/>
  <c r="M166"/>
  <c r="G166"/>
  <c r="D166"/>
  <c r="A166"/>
  <c r="C140"/>
  <c r="C53"/>
  <c r="C207"/>
  <c r="C141"/>
  <c r="J36"/>
  <c r="Q83" i="101"/>
  <c r="I206" i="108"/>
  <c r="E104"/>
  <c r="E105" s="1"/>
  <c r="E42"/>
  <c r="H125" a="1"/>
  <c r="H125" s="1"/>
  <c r="H122" a="1"/>
  <c r="H122" s="1"/>
  <c r="H127" a="1"/>
  <c r="H127" s="1"/>
  <c r="H124" a="1"/>
  <c r="H124" s="1"/>
  <c r="H129" a="1"/>
  <c r="H129" s="1"/>
  <c r="H126" a="1"/>
  <c r="H126" s="1"/>
  <c r="H123" a="1"/>
  <c r="H123" s="1"/>
  <c r="I113"/>
  <c r="F92" a="1"/>
  <c r="F92" s="1"/>
  <c r="F94" s="1"/>
  <c r="G128" a="1"/>
  <c r="G128" s="1"/>
  <c r="G130" s="1"/>
  <c r="D48" i="102"/>
  <c r="O119"/>
  <c r="G89" a="1"/>
  <c r="G89" s="1"/>
  <c r="G86" a="1"/>
  <c r="G86" s="1"/>
  <c r="G98" s="1"/>
  <c r="G91" a="1"/>
  <c r="G91" s="1"/>
  <c r="G88" a="1"/>
  <c r="G88" s="1"/>
  <c r="G93" a="1"/>
  <c r="G93" s="1"/>
  <c r="G90" a="1"/>
  <c r="G90" s="1"/>
  <c r="G87" a="1"/>
  <c r="G87" s="1"/>
  <c r="H77"/>
  <c r="S77" s="1"/>
  <c r="E206"/>
  <c r="H81"/>
  <c r="S81" s="1"/>
  <c r="C207"/>
  <c r="C141"/>
  <c r="H206"/>
  <c r="H82"/>
  <c r="S82" s="1"/>
  <c r="F128" a="1"/>
  <c r="F128" s="1"/>
  <c r="F130" s="1"/>
  <c r="H79"/>
  <c r="S79" s="1"/>
  <c r="G129" a="1"/>
  <c r="G129" s="1"/>
  <c r="G126" a="1"/>
  <c r="G126" s="1"/>
  <c r="G123" a="1"/>
  <c r="G123" s="1"/>
  <c r="G125" a="1"/>
  <c r="G125" s="1"/>
  <c r="G122" a="1"/>
  <c r="G122" s="1"/>
  <c r="G127" a="1"/>
  <c r="G127" s="1"/>
  <c r="G124" a="1"/>
  <c r="G124" s="1"/>
  <c r="H113"/>
  <c r="H78"/>
  <c r="S78" s="1"/>
  <c r="F92" a="1"/>
  <c r="F92" s="1"/>
  <c r="F94" s="1"/>
  <c r="E104"/>
  <c r="E105" s="1"/>
  <c r="E42"/>
  <c r="G206"/>
  <c r="J36"/>
  <c r="D105"/>
  <c r="O84"/>
  <c r="C140"/>
  <c r="C53"/>
  <c r="J167"/>
  <c r="K166"/>
  <c r="H166"/>
  <c r="E166"/>
  <c r="B166"/>
  <c r="L166"/>
  <c r="I166"/>
  <c r="F166"/>
  <c r="C166"/>
  <c r="M166"/>
  <c r="G166"/>
  <c r="D166"/>
  <c r="A166"/>
  <c r="Q83" i="99"/>
  <c r="Q83" i="102"/>
  <c r="H206" i="101"/>
  <c r="H125" a="1"/>
  <c r="H125" s="1"/>
  <c r="H122" a="1"/>
  <c r="H122" s="1"/>
  <c r="H127" a="1"/>
  <c r="H127" s="1"/>
  <c r="H124" a="1"/>
  <c r="H124" s="1"/>
  <c r="H129" a="1"/>
  <c r="H129" s="1"/>
  <c r="H126" a="1"/>
  <c r="H126" s="1"/>
  <c r="H123" a="1"/>
  <c r="H123" s="1"/>
  <c r="I113"/>
  <c r="D48"/>
  <c r="E206"/>
  <c r="C59"/>
  <c r="C64"/>
  <c r="J167"/>
  <c r="K166"/>
  <c r="H166"/>
  <c r="E166"/>
  <c r="B166"/>
  <c r="L166"/>
  <c r="I166"/>
  <c r="F166"/>
  <c r="C166"/>
  <c r="M166"/>
  <c r="G166"/>
  <c r="D166"/>
  <c r="A166"/>
  <c r="G90" a="1"/>
  <c r="G90" s="1"/>
  <c r="J36"/>
  <c r="I77"/>
  <c r="T77" s="1"/>
  <c r="D105"/>
  <c r="O84"/>
  <c r="E104"/>
  <c r="E105" s="1"/>
  <c r="E42"/>
  <c r="H79"/>
  <c r="S79" s="1"/>
  <c r="F92" a="1"/>
  <c r="F92" s="1"/>
  <c r="F94" s="1"/>
  <c r="H81"/>
  <c r="S81" s="1"/>
  <c r="G206"/>
  <c r="H82"/>
  <c r="S82" s="1"/>
  <c r="R83" i="94"/>
  <c r="G87" i="101" a="1"/>
  <c r="G87" s="1"/>
  <c r="G88" a="1"/>
  <c r="G88" s="1"/>
  <c r="G89" a="1"/>
  <c r="G89" s="1"/>
  <c r="I127" i="100" a="1"/>
  <c r="I127" s="1"/>
  <c r="I124" a="1"/>
  <c r="I124" s="1"/>
  <c r="I129" a="1"/>
  <c r="I129" s="1"/>
  <c r="I126" a="1"/>
  <c r="I126" s="1"/>
  <c r="I123" a="1"/>
  <c r="I123" s="1"/>
  <c r="I125" a="1"/>
  <c r="I125" s="1"/>
  <c r="I122" a="1"/>
  <c r="I122" s="1"/>
  <c r="D105"/>
  <c r="O84"/>
  <c r="H206"/>
  <c r="F206"/>
  <c r="L165"/>
  <c r="I165"/>
  <c r="F165"/>
  <c r="C165"/>
  <c r="M165"/>
  <c r="G165"/>
  <c r="D165"/>
  <c r="A165"/>
  <c r="K165"/>
  <c r="B165"/>
  <c r="J166"/>
  <c r="E165"/>
  <c r="H165"/>
  <c r="I206"/>
  <c r="H128" a="1"/>
  <c r="H128" s="1"/>
  <c r="H130" s="1"/>
  <c r="C207"/>
  <c r="C141"/>
  <c r="D48"/>
  <c r="O119"/>
  <c r="I77"/>
  <c r="T77" s="1"/>
  <c r="F42"/>
  <c r="H79"/>
  <c r="S79" s="1"/>
  <c r="C140"/>
  <c r="C53"/>
  <c r="E206"/>
  <c r="E42"/>
  <c r="E104"/>
  <c r="H81"/>
  <c r="S81" s="1"/>
  <c r="H78"/>
  <c r="J36"/>
  <c r="Q83"/>
  <c r="O84" i="98"/>
  <c r="Q83"/>
  <c r="F92" i="100" a="1"/>
  <c r="F92" s="1"/>
  <c r="F94" s="1"/>
  <c r="G90" a="1"/>
  <c r="G90" s="1"/>
  <c r="G91" a="1"/>
  <c r="G91" s="1"/>
  <c r="E104" i="99"/>
  <c r="E105" s="1"/>
  <c r="E42"/>
  <c r="D140"/>
  <c r="D141" s="1"/>
  <c r="D53"/>
  <c r="G206"/>
  <c r="F128" a="1"/>
  <c r="F128" s="1"/>
  <c r="F130" s="1"/>
  <c r="J167"/>
  <c r="K166"/>
  <c r="H166"/>
  <c r="E166"/>
  <c r="B166"/>
  <c r="L166"/>
  <c r="I166"/>
  <c r="F166"/>
  <c r="C166"/>
  <c r="M166"/>
  <c r="G166"/>
  <c r="D166"/>
  <c r="A166"/>
  <c r="G129" a="1"/>
  <c r="G129" s="1"/>
  <c r="G126" a="1"/>
  <c r="G126" s="1"/>
  <c r="G123" a="1"/>
  <c r="G123" s="1"/>
  <c r="G125" a="1"/>
  <c r="G125" s="1"/>
  <c r="G122" a="1"/>
  <c r="G122" s="1"/>
  <c r="G127" a="1"/>
  <c r="G127" s="1"/>
  <c r="G124" a="1"/>
  <c r="G124" s="1"/>
  <c r="H113"/>
  <c r="E206"/>
  <c r="C59"/>
  <c r="C64"/>
  <c r="I206"/>
  <c r="H206"/>
  <c r="D207"/>
  <c r="H82"/>
  <c r="S82" s="1"/>
  <c r="G91" a="1"/>
  <c r="G91" s="1"/>
  <c r="G90" a="1"/>
  <c r="G90" s="1"/>
  <c r="G89" a="1"/>
  <c r="G89" s="1"/>
  <c r="G93" a="1"/>
  <c r="G93" s="1"/>
  <c r="G86" a="1"/>
  <c r="G86" s="1"/>
  <c r="G98" s="1"/>
  <c r="G88" a="1"/>
  <c r="G88" s="1"/>
  <c r="G87" a="1"/>
  <c r="G87" s="1"/>
  <c r="F206"/>
  <c r="I78"/>
  <c r="T78" s="1"/>
  <c r="J36"/>
  <c r="H206" i="98"/>
  <c r="G206"/>
  <c r="E104"/>
  <c r="E105" s="1"/>
  <c r="E42"/>
  <c r="H125" a="1"/>
  <c r="H125" s="1"/>
  <c r="H122" a="1"/>
  <c r="H122" s="1"/>
  <c r="H129" a="1"/>
  <c r="H129" s="1"/>
  <c r="H126" a="1"/>
  <c r="H126" s="1"/>
  <c r="H123" a="1"/>
  <c r="H123" s="1"/>
  <c r="H124" a="1"/>
  <c r="H124" s="1"/>
  <c r="H127" a="1"/>
  <c r="H127" s="1"/>
  <c r="I113"/>
  <c r="H80"/>
  <c r="S80" s="1"/>
  <c r="L165"/>
  <c r="I165"/>
  <c r="F165"/>
  <c r="C165"/>
  <c r="J166"/>
  <c r="K165"/>
  <c r="H165"/>
  <c r="E165"/>
  <c r="B165"/>
  <c r="M165"/>
  <c r="D165"/>
  <c r="G165"/>
  <c r="A165"/>
  <c r="G89" a="1"/>
  <c r="G89" s="1"/>
  <c r="G93" a="1"/>
  <c r="G93" s="1"/>
  <c r="G90" a="1"/>
  <c r="G90" s="1"/>
  <c r="G86" a="1"/>
  <c r="G86" s="1"/>
  <c r="G98" s="1"/>
  <c r="G91" a="1"/>
  <c r="G91" s="1"/>
  <c r="G88" a="1"/>
  <c r="G88" s="1"/>
  <c r="G87" a="1"/>
  <c r="G87" s="1"/>
  <c r="H77"/>
  <c r="S77" s="1"/>
  <c r="H81"/>
  <c r="S81" s="1"/>
  <c r="D48"/>
  <c r="O119"/>
  <c r="E206"/>
  <c r="F92" a="1"/>
  <c r="F92" s="1"/>
  <c r="F94" s="1"/>
  <c r="C140"/>
  <c r="C53"/>
  <c r="C207"/>
  <c r="C141"/>
  <c r="H79"/>
  <c r="S79" s="1"/>
  <c r="J36" i="94"/>
  <c r="J36" i="98"/>
  <c r="G128" a="1"/>
  <c r="G128" s="1"/>
  <c r="G130" s="1"/>
  <c r="H206" i="97"/>
  <c r="F206"/>
  <c r="G87" a="1"/>
  <c r="G87" s="1"/>
  <c r="C59"/>
  <c r="C64"/>
  <c r="H125" a="1"/>
  <c r="H125" s="1"/>
  <c r="H122" a="1"/>
  <c r="H122" s="1"/>
  <c r="H127" a="1"/>
  <c r="H127" s="1"/>
  <c r="H124" a="1"/>
  <c r="H124" s="1"/>
  <c r="H129" a="1"/>
  <c r="H129" s="1"/>
  <c r="H126" a="1"/>
  <c r="H126" s="1"/>
  <c r="H123" a="1"/>
  <c r="H123" s="1"/>
  <c r="I113"/>
  <c r="H79"/>
  <c r="S79" s="1"/>
  <c r="E206"/>
  <c r="D105"/>
  <c r="O84"/>
  <c r="H82"/>
  <c r="S82" s="1"/>
  <c r="F42"/>
  <c r="G128" a="1"/>
  <c r="G128" s="1"/>
  <c r="G130" s="1"/>
  <c r="Q83"/>
  <c r="I206"/>
  <c r="E104"/>
  <c r="E42"/>
  <c r="D48"/>
  <c r="J167"/>
  <c r="K166"/>
  <c r="H166"/>
  <c r="E166"/>
  <c r="B166"/>
  <c r="L166"/>
  <c r="I166"/>
  <c r="F166"/>
  <c r="C166"/>
  <c r="M166"/>
  <c r="G166"/>
  <c r="D166"/>
  <c r="A166"/>
  <c r="I78"/>
  <c r="T78" s="1"/>
  <c r="G206"/>
  <c r="Q83" i="96"/>
  <c r="G86" i="97" a="1"/>
  <c r="G86" s="1"/>
  <c r="G98" s="1"/>
  <c r="J36"/>
  <c r="I78" i="96"/>
  <c r="T78" s="1"/>
  <c r="E104"/>
  <c r="E105" s="1"/>
  <c r="E42"/>
  <c r="I206"/>
  <c r="H206"/>
  <c r="G89" a="1"/>
  <c r="G89" s="1"/>
  <c r="G91" a="1"/>
  <c r="G91" s="1"/>
  <c r="G88" a="1"/>
  <c r="G88" s="1"/>
  <c r="G90" a="1"/>
  <c r="G90" s="1"/>
  <c r="G86" a="1"/>
  <c r="G86" s="1"/>
  <c r="G98" s="1"/>
  <c r="G87" a="1"/>
  <c r="G87" s="1"/>
  <c r="G93" a="1"/>
  <c r="G93" s="1"/>
  <c r="H77"/>
  <c r="S77" s="1"/>
  <c r="E206"/>
  <c r="D105"/>
  <c r="O84"/>
  <c r="H81"/>
  <c r="S81" s="1"/>
  <c r="F92" a="1"/>
  <c r="F92" s="1"/>
  <c r="F94" s="1"/>
  <c r="H79"/>
  <c r="S79" s="1"/>
  <c r="F42"/>
  <c r="L165"/>
  <c r="I165"/>
  <c r="F165"/>
  <c r="C165"/>
  <c r="M165"/>
  <c r="G165"/>
  <c r="D165"/>
  <c r="A165"/>
  <c r="H165"/>
  <c r="J166"/>
  <c r="K165"/>
  <c r="B165"/>
  <c r="E165"/>
  <c r="H80"/>
  <c r="S80" s="1"/>
  <c r="C59"/>
  <c r="C64"/>
  <c r="F206"/>
  <c r="D48"/>
  <c r="H125" a="1"/>
  <c r="H125" s="1"/>
  <c r="H122" a="1"/>
  <c r="H122" s="1"/>
  <c r="H127" a="1"/>
  <c r="H127" s="1"/>
  <c r="H124" a="1"/>
  <c r="H124" s="1"/>
  <c r="H126" a="1"/>
  <c r="H126" s="1"/>
  <c r="H123" a="1"/>
  <c r="H123" s="1"/>
  <c r="H129" a="1"/>
  <c r="H129" s="1"/>
  <c r="I113"/>
  <c r="D141" i="94"/>
  <c r="J36" i="95"/>
  <c r="J36" i="96"/>
  <c r="G128" a="1"/>
  <c r="G128" s="1"/>
  <c r="G130" s="1"/>
  <c r="H206" i="95"/>
  <c r="E104"/>
  <c r="E105" s="1"/>
  <c r="E42"/>
  <c r="H125" a="1"/>
  <c r="H125" s="1"/>
  <c r="H122" a="1"/>
  <c r="H122" s="1"/>
  <c r="H127" a="1"/>
  <c r="H127" s="1"/>
  <c r="H124" a="1"/>
  <c r="H124" s="1"/>
  <c r="H129" a="1"/>
  <c r="H129" s="1"/>
  <c r="H126" a="1"/>
  <c r="H126" s="1"/>
  <c r="H123" a="1"/>
  <c r="H123" s="1"/>
  <c r="I113"/>
  <c r="G128" a="1"/>
  <c r="G128" s="1"/>
  <c r="G130" s="1"/>
  <c r="I206"/>
  <c r="D207"/>
  <c r="E206"/>
  <c r="G206"/>
  <c r="F206"/>
  <c r="J36" i="92"/>
  <c r="D140" i="95"/>
  <c r="D141" s="1"/>
  <c r="D53"/>
  <c r="I77"/>
  <c r="T77" s="1"/>
  <c r="J167"/>
  <c r="K166"/>
  <c r="H166"/>
  <c r="E166"/>
  <c r="B166"/>
  <c r="L166"/>
  <c r="I166"/>
  <c r="F166"/>
  <c r="C166"/>
  <c r="M166"/>
  <c r="G166"/>
  <c r="D166"/>
  <c r="A166"/>
  <c r="C59"/>
  <c r="C64"/>
  <c r="F104"/>
  <c r="F105" s="1"/>
  <c r="F42"/>
  <c r="G206" i="94"/>
  <c r="G42"/>
  <c r="R83" i="92"/>
  <c r="J36" i="93"/>
  <c r="H89" i="94" a="1"/>
  <c r="H89" s="1"/>
  <c r="C59"/>
  <c r="C64"/>
  <c r="F206"/>
  <c r="I78"/>
  <c r="H206"/>
  <c r="E104"/>
  <c r="E42"/>
  <c r="D59"/>
  <c r="D64"/>
  <c r="H86" a="1"/>
  <c r="H86" s="1"/>
  <c r="H98" s="1"/>
  <c r="H90" a="1"/>
  <c r="H90" s="1"/>
  <c r="H91" a="1"/>
  <c r="H91" s="1"/>
  <c r="H125" a="1"/>
  <c r="H125" s="1"/>
  <c r="H122" a="1"/>
  <c r="H122" s="1"/>
  <c r="H127" a="1"/>
  <c r="H127" s="1"/>
  <c r="H124" a="1"/>
  <c r="H124" s="1"/>
  <c r="H129" a="1"/>
  <c r="H129" s="1"/>
  <c r="H126" a="1"/>
  <c r="H126" s="1"/>
  <c r="H123" a="1"/>
  <c r="H123" s="1"/>
  <c r="I113"/>
  <c r="F104"/>
  <c r="F105" s="1"/>
  <c r="F42"/>
  <c r="I206"/>
  <c r="J167"/>
  <c r="K166"/>
  <c r="H166"/>
  <c r="E166"/>
  <c r="B166"/>
  <c r="L166"/>
  <c r="I166"/>
  <c r="F166"/>
  <c r="C166"/>
  <c r="M166"/>
  <c r="G166"/>
  <c r="D166"/>
  <c r="A166"/>
  <c r="E206"/>
  <c r="G128" a="1"/>
  <c r="G128" s="1"/>
  <c r="G130" s="1"/>
  <c r="H87" a="1"/>
  <c r="H87" s="1"/>
  <c r="H88" a="1"/>
  <c r="H88" s="1"/>
  <c r="H79" i="93"/>
  <c r="S79" s="1"/>
  <c r="G86" a="1"/>
  <c r="G86" s="1"/>
  <c r="G98" s="1"/>
  <c r="G93" a="1"/>
  <c r="G93" s="1"/>
  <c r="G89" a="1"/>
  <c r="G89" s="1"/>
  <c r="G88" a="1"/>
  <c r="G88" s="1"/>
  <c r="G87" a="1"/>
  <c r="G87" s="1"/>
  <c r="G91" a="1"/>
  <c r="G91" s="1"/>
  <c r="G90" a="1"/>
  <c r="G90" s="1"/>
  <c r="E104"/>
  <c r="E42"/>
  <c r="D105"/>
  <c r="O84"/>
  <c r="C59"/>
  <c r="C64"/>
  <c r="H125" a="1"/>
  <c r="H125" s="1"/>
  <c r="H122" a="1"/>
  <c r="H122" s="1"/>
  <c r="H127" a="1"/>
  <c r="H127" s="1"/>
  <c r="H124" a="1"/>
  <c r="H124" s="1"/>
  <c r="H129" a="1"/>
  <c r="H129" s="1"/>
  <c r="H126" a="1"/>
  <c r="H126" s="1"/>
  <c r="H123" a="1"/>
  <c r="H123" s="1"/>
  <c r="I113"/>
  <c r="D48"/>
  <c r="F92" a="1"/>
  <c r="F92" s="1"/>
  <c r="F94" s="1"/>
  <c r="H206"/>
  <c r="G206"/>
  <c r="H81"/>
  <c r="S81" s="1"/>
  <c r="E206"/>
  <c r="J167"/>
  <c r="K166"/>
  <c r="H166"/>
  <c r="E166"/>
  <c r="B166"/>
  <c r="L166"/>
  <c r="I166"/>
  <c r="F166"/>
  <c r="C166"/>
  <c r="M166"/>
  <c r="G166"/>
  <c r="D166"/>
  <c r="A166"/>
  <c r="Q83"/>
  <c r="G42" i="92"/>
  <c r="L165"/>
  <c r="I165"/>
  <c r="F165"/>
  <c r="C165"/>
  <c r="M165"/>
  <c r="G165"/>
  <c r="D165"/>
  <c r="A165"/>
  <c r="J166"/>
  <c r="K165"/>
  <c r="H165"/>
  <c r="E165"/>
  <c r="B165"/>
  <c r="D140"/>
  <c r="O120" s="1"/>
  <c r="D53"/>
  <c r="H125" a="1"/>
  <c r="H125" s="1"/>
  <c r="H122" a="1"/>
  <c r="H122" s="1"/>
  <c r="H129" a="1"/>
  <c r="H129" s="1"/>
  <c r="H126" a="1"/>
  <c r="H126" s="1"/>
  <c r="H123" a="1"/>
  <c r="H123" s="1"/>
  <c r="H127" a="1"/>
  <c r="H127" s="1"/>
  <c r="H124" a="1"/>
  <c r="H124" s="1"/>
  <c r="I113"/>
  <c r="E206"/>
  <c r="J36" i="90"/>
  <c r="H87" i="92" a="1"/>
  <c r="H87" s="1"/>
  <c r="H93" a="1"/>
  <c r="H93" s="1"/>
  <c r="C59"/>
  <c r="C64"/>
  <c r="I80"/>
  <c r="T80" s="1"/>
  <c r="D207"/>
  <c r="E104"/>
  <c r="E105" s="1"/>
  <c r="E42"/>
  <c r="H86" a="1"/>
  <c r="H86" s="1"/>
  <c r="H98" s="1"/>
  <c r="H88" a="1"/>
  <c r="H88" s="1"/>
  <c r="H206"/>
  <c r="G206"/>
  <c r="F48"/>
  <c r="H90" a="1"/>
  <c r="H90" s="1"/>
  <c r="H89" a="1"/>
  <c r="H89" s="1"/>
  <c r="C140" i="91"/>
  <c r="C53"/>
  <c r="H82"/>
  <c r="S82" s="1"/>
  <c r="H81"/>
  <c r="S81" s="1"/>
  <c r="G89" a="1"/>
  <c r="G89" s="1"/>
  <c r="G86" a="1"/>
  <c r="G86" s="1"/>
  <c r="G98" s="1"/>
  <c r="G91" a="1"/>
  <c r="G91" s="1"/>
  <c r="G88" a="1"/>
  <c r="G88" s="1"/>
  <c r="G93" a="1"/>
  <c r="G93" s="1"/>
  <c r="G90" a="1"/>
  <c r="G90" s="1"/>
  <c r="G87" a="1"/>
  <c r="G87" s="1"/>
  <c r="H77"/>
  <c r="S77" s="1"/>
  <c r="J167"/>
  <c r="K166"/>
  <c r="H166"/>
  <c r="E166"/>
  <c r="B166"/>
  <c r="L166"/>
  <c r="I166"/>
  <c r="F166"/>
  <c r="C166"/>
  <c r="M166"/>
  <c r="G166"/>
  <c r="D166"/>
  <c r="A166"/>
  <c r="H206"/>
  <c r="E206"/>
  <c r="O84"/>
  <c r="D105"/>
  <c r="J36"/>
  <c r="F92" a="1"/>
  <c r="F92" s="1"/>
  <c r="F94" s="1"/>
  <c r="C207"/>
  <c r="C141"/>
  <c r="H78"/>
  <c r="S78" s="1"/>
  <c r="E104"/>
  <c r="E42"/>
  <c r="G206"/>
  <c r="D48"/>
  <c r="O119"/>
  <c r="H125" a="1"/>
  <c r="H125" s="1"/>
  <c r="H122" a="1"/>
  <c r="H122" s="1"/>
  <c r="H127" a="1"/>
  <c r="H127" s="1"/>
  <c r="H124" a="1"/>
  <c r="H124" s="1"/>
  <c r="H129" a="1"/>
  <c r="H129" s="1"/>
  <c r="H126" a="1"/>
  <c r="H126" s="1"/>
  <c r="H123" a="1"/>
  <c r="H123" s="1"/>
  <c r="I113"/>
  <c r="Q83" i="80"/>
  <c r="Q83" i="91"/>
  <c r="G128" a="1"/>
  <c r="G128" s="1"/>
  <c r="G130" s="1"/>
  <c r="J167" i="90"/>
  <c r="K166"/>
  <c r="H166"/>
  <c r="E166"/>
  <c r="B166"/>
  <c r="L166"/>
  <c r="I166"/>
  <c r="F166"/>
  <c r="C166"/>
  <c r="M166"/>
  <c r="G166"/>
  <c r="D166"/>
  <c r="A166"/>
  <c r="H125" a="1"/>
  <c r="H125" s="1"/>
  <c r="H122" a="1"/>
  <c r="H122" s="1"/>
  <c r="H127" a="1"/>
  <c r="H127" s="1"/>
  <c r="H124" a="1"/>
  <c r="H124" s="1"/>
  <c r="H129" a="1"/>
  <c r="H129" s="1"/>
  <c r="H126" a="1"/>
  <c r="H126" s="1"/>
  <c r="H123" a="1"/>
  <c r="H123" s="1"/>
  <c r="I113"/>
  <c r="G206"/>
  <c r="E206"/>
  <c r="G128" a="1"/>
  <c r="G128" s="1"/>
  <c r="G130" s="1"/>
  <c r="D105"/>
  <c r="O84"/>
  <c r="H206"/>
  <c r="D48"/>
  <c r="E104"/>
  <c r="E105" s="1"/>
  <c r="E42"/>
  <c r="C59"/>
  <c r="C64"/>
  <c r="E104" i="89"/>
  <c r="E105" s="1"/>
  <c r="E42"/>
  <c r="C140"/>
  <c r="C53"/>
  <c r="C207"/>
  <c r="C141"/>
  <c r="F206"/>
  <c r="G206"/>
  <c r="H206"/>
  <c r="G129" a="1"/>
  <c r="G129" s="1"/>
  <c r="G126" a="1"/>
  <c r="G126" s="1"/>
  <c r="G123" a="1"/>
  <c r="G123" s="1"/>
  <c r="G125" a="1"/>
  <c r="G125" s="1"/>
  <c r="G122" a="1"/>
  <c r="G122" s="1"/>
  <c r="G127" a="1"/>
  <c r="G127" s="1"/>
  <c r="G124" a="1"/>
  <c r="G124" s="1"/>
  <c r="H113"/>
  <c r="J167"/>
  <c r="K166"/>
  <c r="H166"/>
  <c r="E166"/>
  <c r="B166"/>
  <c r="L166"/>
  <c r="I166"/>
  <c r="F166"/>
  <c r="C166"/>
  <c r="M166"/>
  <c r="G166"/>
  <c r="D166"/>
  <c r="A166"/>
  <c r="I77"/>
  <c r="T77" s="1"/>
  <c r="D207"/>
  <c r="I206"/>
  <c r="E206"/>
  <c r="F42"/>
  <c r="D140"/>
  <c r="D53"/>
  <c r="J36"/>
  <c r="F128" a="1"/>
  <c r="F128" s="1"/>
  <c r="F130" s="1"/>
  <c r="D105" i="80"/>
  <c r="O84"/>
  <c r="E206"/>
  <c r="J36"/>
  <c r="F92" a="1"/>
  <c r="F92" s="1"/>
  <c r="F94" s="1"/>
  <c r="H78"/>
  <c r="S78" s="1"/>
  <c r="G89" a="1"/>
  <c r="G89" s="1"/>
  <c r="G88" a="1"/>
  <c r="G88" s="1"/>
  <c r="G87" a="1"/>
  <c r="G87" s="1"/>
  <c r="G91" a="1"/>
  <c r="G91" s="1"/>
  <c r="G90" a="1"/>
  <c r="G90" s="1"/>
  <c r="G86" a="1"/>
  <c r="G86" s="1"/>
  <c r="G98" s="1"/>
  <c r="G93" a="1"/>
  <c r="G93" s="1"/>
  <c r="D48"/>
  <c r="E104"/>
  <c r="E105" s="1"/>
  <c r="E42"/>
  <c r="H81"/>
  <c r="S81" s="1"/>
  <c r="L165"/>
  <c r="I165"/>
  <c r="F165"/>
  <c r="C165"/>
  <c r="M165"/>
  <c r="G165"/>
  <c r="D165"/>
  <c r="A165"/>
  <c r="J166"/>
  <c r="K165"/>
  <c r="H165"/>
  <c r="E165"/>
  <c r="B165"/>
  <c r="G206"/>
  <c r="G129" a="1"/>
  <c r="G129" s="1"/>
  <c r="G126" a="1"/>
  <c r="G126" s="1"/>
  <c r="G123" a="1"/>
  <c r="G123" s="1"/>
  <c r="G125" a="1"/>
  <c r="G125" s="1"/>
  <c r="G122" a="1"/>
  <c r="G122" s="1"/>
  <c r="G127" a="1"/>
  <c r="G127" s="1"/>
  <c r="G124" a="1"/>
  <c r="G124" s="1"/>
  <c r="H113"/>
  <c r="H206"/>
  <c r="J36" i="88"/>
  <c r="G89" i="79" a="1"/>
  <c r="G89" s="1"/>
  <c r="G91" a="1"/>
  <c r="G91" s="1"/>
  <c r="G93" a="1"/>
  <c r="G93" s="1"/>
  <c r="G90" a="1"/>
  <c r="G90" s="1"/>
  <c r="G88" a="1"/>
  <c r="G88" s="1"/>
  <c r="G87" a="1"/>
  <c r="G87" s="1"/>
  <c r="G86" a="1"/>
  <c r="G86" s="1"/>
  <c r="G98" s="1"/>
  <c r="H77"/>
  <c r="S77" s="1"/>
  <c r="F42"/>
  <c r="C140"/>
  <c r="C53"/>
  <c r="G206"/>
  <c r="D48"/>
  <c r="O119"/>
  <c r="J167"/>
  <c r="K166"/>
  <c r="H166"/>
  <c r="E166"/>
  <c r="B166"/>
  <c r="L166"/>
  <c r="I166"/>
  <c r="F166"/>
  <c r="C166"/>
  <c r="M166"/>
  <c r="G166"/>
  <c r="D166"/>
  <c r="A166"/>
  <c r="H125" a="1"/>
  <c r="H125" s="1"/>
  <c r="H122" a="1"/>
  <c r="H122" s="1"/>
  <c r="H127" a="1"/>
  <c r="H127" s="1"/>
  <c r="H124" a="1"/>
  <c r="H124" s="1"/>
  <c r="H129" a="1"/>
  <c r="H129" s="1"/>
  <c r="H126" a="1"/>
  <c r="H126" s="1"/>
  <c r="H123" a="1"/>
  <c r="H123" s="1"/>
  <c r="I113"/>
  <c r="E104"/>
  <c r="E105" s="1"/>
  <c r="G128" a="1"/>
  <c r="G128" s="1"/>
  <c r="G130" s="1"/>
  <c r="H206"/>
  <c r="F206"/>
  <c r="D105"/>
  <c r="O84"/>
  <c r="C207"/>
  <c r="C141"/>
  <c r="H79"/>
  <c r="S79" s="1"/>
  <c r="I206"/>
  <c r="E206"/>
  <c r="J36"/>
  <c r="F92" a="1"/>
  <c r="F92" s="1"/>
  <c r="F94" s="1"/>
  <c r="Q83"/>
  <c r="C140" i="88"/>
  <c r="C53"/>
  <c r="C207"/>
  <c r="C141"/>
  <c r="H206"/>
  <c r="D48"/>
  <c r="O119"/>
  <c r="G129" a="1"/>
  <c r="G129" s="1"/>
  <c r="G126" a="1"/>
  <c r="G126" s="1"/>
  <c r="G123" a="1"/>
  <c r="G123" s="1"/>
  <c r="G125" a="1"/>
  <c r="G125" s="1"/>
  <c r="G122" a="1"/>
  <c r="G122" s="1"/>
  <c r="G127" a="1"/>
  <c r="G127" s="1"/>
  <c r="G124" a="1"/>
  <c r="G124" s="1"/>
  <c r="H113"/>
  <c r="J167"/>
  <c r="K166"/>
  <c r="H166"/>
  <c r="E166"/>
  <c r="B166"/>
  <c r="L166"/>
  <c r="I166"/>
  <c r="F166"/>
  <c r="C166"/>
  <c r="M166"/>
  <c r="G166"/>
  <c r="D166"/>
  <c r="A166"/>
  <c r="G206"/>
  <c r="F206"/>
  <c r="E104"/>
  <c r="E105" s="1"/>
  <c r="E42"/>
  <c r="I77"/>
  <c r="T77" s="1"/>
  <c r="I206"/>
  <c r="D105"/>
  <c r="O84"/>
  <c r="F104"/>
  <c r="F105" s="1"/>
  <c r="F42"/>
  <c r="E206"/>
  <c r="J36" i="83"/>
  <c r="D64" i="87"/>
  <c r="H206"/>
  <c r="C140"/>
  <c r="C53"/>
  <c r="E104"/>
  <c r="E105" s="1"/>
  <c r="E42"/>
  <c r="Q83" i="85"/>
  <c r="I79" i="87"/>
  <c r="T79" s="1"/>
  <c r="C207"/>
  <c r="C141"/>
  <c r="I77"/>
  <c r="T77" s="1"/>
  <c r="G206"/>
  <c r="E206"/>
  <c r="H125" a="1"/>
  <c r="H125" s="1"/>
  <c r="H122" a="1"/>
  <c r="H122" s="1"/>
  <c r="H127" a="1"/>
  <c r="H127" s="1"/>
  <c r="H124" a="1"/>
  <c r="H124" s="1"/>
  <c r="H129" a="1"/>
  <c r="H129" s="1"/>
  <c r="H126" a="1"/>
  <c r="H126" s="1"/>
  <c r="H123" a="1"/>
  <c r="H123" s="1"/>
  <c r="I113"/>
  <c r="J167"/>
  <c r="K166"/>
  <c r="H166"/>
  <c r="E166"/>
  <c r="B166"/>
  <c r="L166"/>
  <c r="I166"/>
  <c r="F166"/>
  <c r="C166"/>
  <c r="M166"/>
  <c r="G166"/>
  <c r="D166"/>
  <c r="A166"/>
  <c r="F42"/>
  <c r="I82"/>
  <c r="T82" s="1"/>
  <c r="J36" i="86"/>
  <c r="J36" i="87"/>
  <c r="G128" a="1"/>
  <c r="G128" s="1"/>
  <c r="G130" s="1"/>
  <c r="J167" i="86"/>
  <c r="K166"/>
  <c r="H166"/>
  <c r="E166"/>
  <c r="B166"/>
  <c r="L166"/>
  <c r="I166"/>
  <c r="F166"/>
  <c r="C166"/>
  <c r="M166"/>
  <c r="G166"/>
  <c r="D166"/>
  <c r="A166"/>
  <c r="D105"/>
  <c r="O84"/>
  <c r="E104"/>
  <c r="E105" s="1"/>
  <c r="E42"/>
  <c r="I79"/>
  <c r="T79" s="1"/>
  <c r="H206"/>
  <c r="H82"/>
  <c r="I77"/>
  <c r="T77" s="1"/>
  <c r="J36" i="84"/>
  <c r="G93" i="86" a="1"/>
  <c r="G93" s="1"/>
  <c r="G86" a="1"/>
  <c r="G86" s="1"/>
  <c r="G98" s="1"/>
  <c r="D48"/>
  <c r="O119"/>
  <c r="H125" a="1"/>
  <c r="H125" s="1"/>
  <c r="H122" a="1"/>
  <c r="H122" s="1"/>
  <c r="H127" a="1"/>
  <c r="H127" s="1"/>
  <c r="H124" a="1"/>
  <c r="H124" s="1"/>
  <c r="H129" a="1"/>
  <c r="H129" s="1"/>
  <c r="H126" a="1"/>
  <c r="H126" s="1"/>
  <c r="H123" a="1"/>
  <c r="H123" s="1"/>
  <c r="I113"/>
  <c r="C140"/>
  <c r="C53"/>
  <c r="G206"/>
  <c r="Q83" i="82"/>
  <c r="J36" i="85"/>
  <c r="G128" i="86" a="1"/>
  <c r="G128" s="1"/>
  <c r="G130" s="1"/>
  <c r="G90" a="1"/>
  <c r="G90" s="1"/>
  <c r="G91" a="1"/>
  <c r="G91" s="1"/>
  <c r="F42"/>
  <c r="E206"/>
  <c r="C207"/>
  <c r="C141"/>
  <c r="G87" a="1"/>
  <c r="G87" s="1"/>
  <c r="G88" a="1"/>
  <c r="G88" s="1"/>
  <c r="G89" a="1"/>
  <c r="G89" s="1"/>
  <c r="H206" i="85"/>
  <c r="D105"/>
  <c r="O84"/>
  <c r="C140"/>
  <c r="C53"/>
  <c r="H125" a="1"/>
  <c r="H125" s="1"/>
  <c r="H122" a="1"/>
  <c r="H122" s="1"/>
  <c r="H127" a="1"/>
  <c r="H127" s="1"/>
  <c r="H124" a="1"/>
  <c r="H124" s="1"/>
  <c r="H126" a="1"/>
  <c r="H126" s="1"/>
  <c r="H123" a="1"/>
  <c r="H123" s="1"/>
  <c r="H129" a="1"/>
  <c r="H129" s="1"/>
  <c r="I113"/>
  <c r="I77"/>
  <c r="T77" s="1"/>
  <c r="G128" a="1"/>
  <c r="G128" s="1"/>
  <c r="G130" s="1"/>
  <c r="G86" a="1"/>
  <c r="G86" s="1"/>
  <c r="G98" s="1"/>
  <c r="G91" a="1"/>
  <c r="G91" s="1"/>
  <c r="D48"/>
  <c r="O119"/>
  <c r="C207"/>
  <c r="C141"/>
  <c r="O120" i="84"/>
  <c r="G87" i="85" a="1"/>
  <c r="G87" s="1"/>
  <c r="F206"/>
  <c r="G206"/>
  <c r="I206"/>
  <c r="E104"/>
  <c r="E105" s="1"/>
  <c r="E42"/>
  <c r="E206"/>
  <c r="H80"/>
  <c r="L165"/>
  <c r="I165"/>
  <c r="F165"/>
  <c r="C165"/>
  <c r="M165"/>
  <c r="G165"/>
  <c r="D165"/>
  <c r="A165"/>
  <c r="H165"/>
  <c r="K165"/>
  <c r="B165"/>
  <c r="J166"/>
  <c r="E165"/>
  <c r="G93" a="1"/>
  <c r="G93" s="1"/>
  <c r="G90" a="1"/>
  <c r="G90" s="1"/>
  <c r="G89" a="1"/>
  <c r="G89" s="1"/>
  <c r="G104" i="84"/>
  <c r="G105" s="1"/>
  <c r="G42"/>
  <c r="D59"/>
  <c r="D64"/>
  <c r="E104"/>
  <c r="E105" s="1"/>
  <c r="E42"/>
  <c r="G125" a="1"/>
  <c r="G125" s="1"/>
  <c r="G127" a="1"/>
  <c r="G127" s="1"/>
  <c r="G129" a="1"/>
  <c r="G129" s="1"/>
  <c r="F128" a="1"/>
  <c r="F128" s="1"/>
  <c r="F130" s="1"/>
  <c r="G206"/>
  <c r="I113"/>
  <c r="J36" i="76"/>
  <c r="J36" i="82"/>
  <c r="G124" i="84" a="1"/>
  <c r="G124" s="1"/>
  <c r="L165"/>
  <c r="I165"/>
  <c r="F165"/>
  <c r="C165"/>
  <c r="J166"/>
  <c r="K165"/>
  <c r="H165"/>
  <c r="E165"/>
  <c r="B165"/>
  <c r="M165"/>
  <c r="D165"/>
  <c r="G165"/>
  <c r="A165"/>
  <c r="H206"/>
  <c r="H116"/>
  <c r="S116" s="1"/>
  <c r="H118"/>
  <c r="S118" s="1"/>
  <c r="F48"/>
  <c r="E206"/>
  <c r="G122" a="1"/>
  <c r="G122" s="1"/>
  <c r="G123" a="1"/>
  <c r="G123" s="1"/>
  <c r="D140" i="83"/>
  <c r="D53"/>
  <c r="D207"/>
  <c r="C207"/>
  <c r="C141"/>
  <c r="F206"/>
  <c r="H125" a="1"/>
  <c r="H125" s="1"/>
  <c r="H122" a="1"/>
  <c r="H122" s="1"/>
  <c r="H127" a="1"/>
  <c r="H127" s="1"/>
  <c r="H124" a="1"/>
  <c r="H124" s="1"/>
  <c r="H129" a="1"/>
  <c r="H129" s="1"/>
  <c r="H126" a="1"/>
  <c r="H126" s="1"/>
  <c r="H123" a="1"/>
  <c r="H123" s="1"/>
  <c r="I113"/>
  <c r="G128" a="1"/>
  <c r="G128" s="1"/>
  <c r="G130" s="1"/>
  <c r="I206"/>
  <c r="C140"/>
  <c r="C53"/>
  <c r="F104"/>
  <c r="F105" s="1"/>
  <c r="F42"/>
  <c r="G206"/>
  <c r="E206"/>
  <c r="J167"/>
  <c r="K166"/>
  <c r="H166"/>
  <c r="E166"/>
  <c r="B166"/>
  <c r="L166"/>
  <c r="I166"/>
  <c r="F166"/>
  <c r="C166"/>
  <c r="M166"/>
  <c r="G166"/>
  <c r="D166"/>
  <c r="A166"/>
  <c r="H206"/>
  <c r="E104"/>
  <c r="E105" s="1"/>
  <c r="E42"/>
  <c r="J36" i="75"/>
  <c r="D48" i="82"/>
  <c r="O119"/>
  <c r="H81"/>
  <c r="S81" s="1"/>
  <c r="C207"/>
  <c r="C141"/>
  <c r="H78"/>
  <c r="S78" s="1"/>
  <c r="I79"/>
  <c r="T79" s="1"/>
  <c r="H82"/>
  <c r="S82" s="1"/>
  <c r="C140"/>
  <c r="C53"/>
  <c r="G206"/>
  <c r="E104"/>
  <c r="E105" s="1"/>
  <c r="E42"/>
  <c r="J167"/>
  <c r="K166"/>
  <c r="H166"/>
  <c r="E166"/>
  <c r="B166"/>
  <c r="L166"/>
  <c r="I166"/>
  <c r="F166"/>
  <c r="C166"/>
  <c r="M166"/>
  <c r="G166"/>
  <c r="D166"/>
  <c r="A166"/>
  <c r="I77"/>
  <c r="T77" s="1"/>
  <c r="D105"/>
  <c r="O84"/>
  <c r="F42"/>
  <c r="H206"/>
  <c r="H125" a="1"/>
  <c r="H125" s="1"/>
  <c r="H122" a="1"/>
  <c r="H122" s="1"/>
  <c r="H127" a="1"/>
  <c r="H127" s="1"/>
  <c r="H124" a="1"/>
  <c r="H124" s="1"/>
  <c r="H129" a="1"/>
  <c r="H129" s="1"/>
  <c r="H126" a="1"/>
  <c r="H126" s="1"/>
  <c r="H123" a="1"/>
  <c r="H123" s="1"/>
  <c r="I113"/>
  <c r="E206"/>
  <c r="C59" i="81"/>
  <c r="C64"/>
  <c r="I80"/>
  <c r="T80" s="1"/>
  <c r="J167"/>
  <c r="K166"/>
  <c r="H166"/>
  <c r="E166"/>
  <c r="B166"/>
  <c r="L166"/>
  <c r="I166"/>
  <c r="F166"/>
  <c r="C166"/>
  <c r="M166"/>
  <c r="G166"/>
  <c r="D166"/>
  <c r="A166"/>
  <c r="F104"/>
  <c r="Q84" s="1"/>
  <c r="F42"/>
  <c r="D207"/>
  <c r="R83"/>
  <c r="H86" a="1"/>
  <c r="H86" s="1"/>
  <c r="H98" s="1"/>
  <c r="H90" a="1"/>
  <c r="H90" s="1"/>
  <c r="H91" a="1"/>
  <c r="H91" s="1"/>
  <c r="I81"/>
  <c r="T81" s="1"/>
  <c r="E206"/>
  <c r="I206"/>
  <c r="J36"/>
  <c r="H87" a="1"/>
  <c r="H87" s="1"/>
  <c r="H88" a="1"/>
  <c r="H88" s="1"/>
  <c r="H206"/>
  <c r="F206"/>
  <c r="E104"/>
  <c r="E105" s="1"/>
  <c r="E42"/>
  <c r="G206"/>
  <c r="H125" a="1"/>
  <c r="H125" s="1"/>
  <c r="H122" a="1"/>
  <c r="H122" s="1"/>
  <c r="H127" a="1"/>
  <c r="H127" s="1"/>
  <c r="H124" a="1"/>
  <c r="H124" s="1"/>
  <c r="H129" a="1"/>
  <c r="H129" s="1"/>
  <c r="H126" a="1"/>
  <c r="H126" s="1"/>
  <c r="H123" a="1"/>
  <c r="H123" s="1"/>
  <c r="I113"/>
  <c r="D140"/>
  <c r="D141" s="1"/>
  <c r="D53"/>
  <c r="I79"/>
  <c r="T79" s="1"/>
  <c r="H89" a="1"/>
  <c r="H89" s="1"/>
  <c r="H93" a="1"/>
  <c r="H93" s="1"/>
  <c r="G128" a="1"/>
  <c r="G128" s="1"/>
  <c r="G130" s="1"/>
  <c r="G206" i="78"/>
  <c r="H128" a="1"/>
  <c r="H128" s="1"/>
  <c r="H130" s="1"/>
  <c r="Q83"/>
  <c r="D105"/>
  <c r="O84"/>
  <c r="I206"/>
  <c r="H79"/>
  <c r="S79" s="1"/>
  <c r="G88" a="1"/>
  <c r="G88" s="1"/>
  <c r="G89" a="1"/>
  <c r="G89" s="1"/>
  <c r="G91" a="1"/>
  <c r="G91" s="1"/>
  <c r="G90" a="1"/>
  <c r="G90" s="1"/>
  <c r="G86" a="1"/>
  <c r="G86" s="1"/>
  <c r="G98" s="1"/>
  <c r="G93" a="1"/>
  <c r="G93" s="1"/>
  <c r="G87" a="1"/>
  <c r="G87" s="1"/>
  <c r="F206"/>
  <c r="E48"/>
  <c r="F92" a="1"/>
  <c r="F92" s="1"/>
  <c r="F94" s="1"/>
  <c r="D48"/>
  <c r="J167"/>
  <c r="K166"/>
  <c r="H166"/>
  <c r="E166"/>
  <c r="B166"/>
  <c r="L166"/>
  <c r="I166"/>
  <c r="F166"/>
  <c r="C166"/>
  <c r="M166"/>
  <c r="G166"/>
  <c r="D166"/>
  <c r="A166"/>
  <c r="I129" a="1"/>
  <c r="I129" s="1"/>
  <c r="I126" a="1"/>
  <c r="I126" s="1"/>
  <c r="I123" a="1"/>
  <c r="I123" s="1"/>
  <c r="I125" a="1"/>
  <c r="I125" s="1"/>
  <c r="I122" a="1"/>
  <c r="I122" s="1"/>
  <c r="I127" a="1"/>
  <c r="I127" s="1"/>
  <c r="I124" a="1"/>
  <c r="I124" s="1"/>
  <c r="H82"/>
  <c r="S82" s="1"/>
  <c r="J36" i="77"/>
  <c r="J36" i="78"/>
  <c r="H78" i="77"/>
  <c r="S78" s="1"/>
  <c r="C140"/>
  <c r="C53"/>
  <c r="G129" a="1"/>
  <c r="G129" s="1"/>
  <c r="G126" a="1"/>
  <c r="G126" s="1"/>
  <c r="G123" a="1"/>
  <c r="G123" s="1"/>
  <c r="G122" a="1"/>
  <c r="G122" s="1"/>
  <c r="G125" a="1"/>
  <c r="G125" s="1"/>
  <c r="G124" a="1"/>
  <c r="G124" s="1"/>
  <c r="G127" a="1"/>
  <c r="G127" s="1"/>
  <c r="H113"/>
  <c r="G206"/>
  <c r="E206"/>
  <c r="E42"/>
  <c r="E104"/>
  <c r="E105" s="1"/>
  <c r="H81"/>
  <c r="S81" s="1"/>
  <c r="F206"/>
  <c r="D48"/>
  <c r="O119"/>
  <c r="I206"/>
  <c r="F92" a="1"/>
  <c r="F92" s="1"/>
  <c r="F94" s="1"/>
  <c r="C207"/>
  <c r="C141"/>
  <c r="H79"/>
  <c r="S79" s="1"/>
  <c r="H206"/>
  <c r="G89" a="1"/>
  <c r="G89" s="1"/>
  <c r="G88" a="1"/>
  <c r="G88" s="1"/>
  <c r="G87" a="1"/>
  <c r="G87" s="1"/>
  <c r="G91" a="1"/>
  <c r="G91" s="1"/>
  <c r="G90" a="1"/>
  <c r="G90" s="1"/>
  <c r="G86" a="1"/>
  <c r="G86" s="1"/>
  <c r="G98" s="1"/>
  <c r="G93" a="1"/>
  <c r="G93" s="1"/>
  <c r="H77"/>
  <c r="S77" s="1"/>
  <c r="D105"/>
  <c r="O84"/>
  <c r="L165"/>
  <c r="I165"/>
  <c r="F165"/>
  <c r="C165"/>
  <c r="M165"/>
  <c r="H165"/>
  <c r="D165"/>
  <c r="J166"/>
  <c r="E165"/>
  <c r="A165"/>
  <c r="B165"/>
  <c r="K165"/>
  <c r="G165"/>
  <c r="Q83"/>
  <c r="F128" a="1"/>
  <c r="F128" s="1"/>
  <c r="F130" s="1"/>
  <c r="E104" i="76"/>
  <c r="E105" s="1"/>
  <c r="E42"/>
  <c r="C59"/>
  <c r="C64"/>
  <c r="F104"/>
  <c r="F42"/>
  <c r="D64"/>
  <c r="J36" i="73"/>
  <c r="I79" i="76"/>
  <c r="T79" s="1"/>
  <c r="E206"/>
  <c r="I77"/>
  <c r="T77" s="1"/>
  <c r="H206"/>
  <c r="J167"/>
  <c r="K166"/>
  <c r="H166"/>
  <c r="E166"/>
  <c r="B166"/>
  <c r="L166"/>
  <c r="I166"/>
  <c r="F166"/>
  <c r="C166"/>
  <c r="M166"/>
  <c r="G166"/>
  <c r="D166"/>
  <c r="A166"/>
  <c r="I82"/>
  <c r="T82" s="1"/>
  <c r="G206"/>
  <c r="G129" a="1"/>
  <c r="G129" s="1"/>
  <c r="G126" a="1"/>
  <c r="G126" s="1"/>
  <c r="G123" a="1"/>
  <c r="G123" s="1"/>
  <c r="G125" a="1"/>
  <c r="G125" s="1"/>
  <c r="G122" a="1"/>
  <c r="G122" s="1"/>
  <c r="G127" a="1"/>
  <c r="G127" s="1"/>
  <c r="G124" a="1"/>
  <c r="G124" s="1"/>
  <c r="H113"/>
  <c r="Q83" i="67"/>
  <c r="F206" i="75"/>
  <c r="F42"/>
  <c r="H79"/>
  <c r="S79" s="1"/>
  <c r="J167"/>
  <c r="K166"/>
  <c r="H166"/>
  <c r="E166"/>
  <c r="B166"/>
  <c r="L166"/>
  <c r="I166"/>
  <c r="F166"/>
  <c r="C166"/>
  <c r="M166"/>
  <c r="G166"/>
  <c r="D166"/>
  <c r="A166"/>
  <c r="C59"/>
  <c r="C64"/>
  <c r="G206"/>
  <c r="H82"/>
  <c r="S82" s="1"/>
  <c r="D105"/>
  <c r="O84"/>
  <c r="E104"/>
  <c r="E42"/>
  <c r="I206"/>
  <c r="I77"/>
  <c r="T77" s="1"/>
  <c r="D48"/>
  <c r="E206"/>
  <c r="H206"/>
  <c r="G129" a="1"/>
  <c r="G129" s="1"/>
  <c r="G126" a="1"/>
  <c r="G126" s="1"/>
  <c r="G123" a="1"/>
  <c r="G123" s="1"/>
  <c r="G125" a="1"/>
  <c r="G125" s="1"/>
  <c r="G122" a="1"/>
  <c r="G122" s="1"/>
  <c r="G127" a="1"/>
  <c r="G127" s="1"/>
  <c r="G124" a="1"/>
  <c r="G124" s="1"/>
  <c r="H113"/>
  <c r="G86" a="1"/>
  <c r="G86" s="1"/>
  <c r="G98" s="1"/>
  <c r="G88" a="1"/>
  <c r="G88" s="1"/>
  <c r="F92" a="1"/>
  <c r="F92" s="1"/>
  <c r="F94" s="1"/>
  <c r="G87" a="1"/>
  <c r="G87" s="1"/>
  <c r="G93" a="1"/>
  <c r="G93" s="1"/>
  <c r="G89" a="1"/>
  <c r="G89" s="1"/>
  <c r="F128" a="1"/>
  <c r="F128" s="1"/>
  <c r="F130" s="1"/>
  <c r="J36" i="74"/>
  <c r="Q83"/>
  <c r="Q83" i="75"/>
  <c r="G90" a="1"/>
  <c r="G90" s="1"/>
  <c r="G91" a="1"/>
  <c r="G91" s="1"/>
  <c r="H81" i="74"/>
  <c r="S81" s="1"/>
  <c r="L165"/>
  <c r="I165"/>
  <c r="F165"/>
  <c r="C165"/>
  <c r="J166"/>
  <c r="K165"/>
  <c r="H165"/>
  <c r="E165"/>
  <c r="B165"/>
  <c r="M165"/>
  <c r="D165"/>
  <c r="A165"/>
  <c r="G165"/>
  <c r="G128" a="1"/>
  <c r="G128" s="1"/>
  <c r="G130" s="1"/>
  <c r="E206"/>
  <c r="D105"/>
  <c r="O84"/>
  <c r="H80"/>
  <c r="S80" s="1"/>
  <c r="F92" a="1"/>
  <c r="F92" s="1"/>
  <c r="F94" s="1"/>
  <c r="J36" i="71"/>
  <c r="H206" i="74"/>
  <c r="E104"/>
  <c r="E42"/>
  <c r="D48"/>
  <c r="G206"/>
  <c r="I82"/>
  <c r="T82" s="1"/>
  <c r="H125" a="1"/>
  <c r="H125" s="1"/>
  <c r="H122" a="1"/>
  <c r="H122" s="1"/>
  <c r="H129" a="1"/>
  <c r="H129" s="1"/>
  <c r="H126" a="1"/>
  <c r="H126" s="1"/>
  <c r="H123" a="1"/>
  <c r="H123" s="1"/>
  <c r="H124" a="1"/>
  <c r="H124" s="1"/>
  <c r="H127" a="1"/>
  <c r="H127" s="1"/>
  <c r="I113"/>
  <c r="H79"/>
  <c r="S79" s="1"/>
  <c r="G93" a="1"/>
  <c r="G93" s="1"/>
  <c r="G87" a="1"/>
  <c r="G87" s="1"/>
  <c r="G89" a="1"/>
  <c r="G89" s="1"/>
  <c r="G88" a="1"/>
  <c r="G88" s="1"/>
  <c r="G86" a="1"/>
  <c r="G86" s="1"/>
  <c r="G98" s="1"/>
  <c r="G90" a="1"/>
  <c r="G90" s="1"/>
  <c r="G91" a="1"/>
  <c r="G91" s="1"/>
  <c r="Q83" i="73"/>
  <c r="L165"/>
  <c r="I165"/>
  <c r="F165"/>
  <c r="C165"/>
  <c r="M165"/>
  <c r="G165"/>
  <c r="D165"/>
  <c r="A165"/>
  <c r="J166"/>
  <c r="K165"/>
  <c r="H165"/>
  <c r="E165"/>
  <c r="B165"/>
  <c r="D105"/>
  <c r="O84"/>
  <c r="E104"/>
  <c r="E105" s="1"/>
  <c r="E42"/>
  <c r="D48"/>
  <c r="O119"/>
  <c r="R83"/>
  <c r="H81"/>
  <c r="S81" s="1"/>
  <c r="H125" a="1"/>
  <c r="H125" s="1"/>
  <c r="H122" a="1"/>
  <c r="H122" s="1"/>
  <c r="H127" a="1"/>
  <c r="H127" s="1"/>
  <c r="H124" a="1"/>
  <c r="H124" s="1"/>
  <c r="H129" a="1"/>
  <c r="H129" s="1"/>
  <c r="H126" a="1"/>
  <c r="H126" s="1"/>
  <c r="H123" a="1"/>
  <c r="H123" s="1"/>
  <c r="I113"/>
  <c r="E206"/>
  <c r="C207"/>
  <c r="C141"/>
  <c r="G128" a="1"/>
  <c r="G128" s="1"/>
  <c r="G130" s="1"/>
  <c r="C140"/>
  <c r="C53"/>
  <c r="G89" a="1"/>
  <c r="G89" s="1"/>
  <c r="G86" a="1"/>
  <c r="G86" s="1"/>
  <c r="G98" s="1"/>
  <c r="G91" a="1"/>
  <c r="G91" s="1"/>
  <c r="G88" a="1"/>
  <c r="G88" s="1"/>
  <c r="G93" a="1"/>
  <c r="G93" s="1"/>
  <c r="G90" a="1"/>
  <c r="G90" s="1"/>
  <c r="G87" a="1"/>
  <c r="G87" s="1"/>
  <c r="H77"/>
  <c r="S77" s="1"/>
  <c r="F92" a="1"/>
  <c r="F92" s="1"/>
  <c r="F94" s="1"/>
  <c r="I79"/>
  <c r="T79" s="1"/>
  <c r="H206"/>
  <c r="I82"/>
  <c r="T82" s="1"/>
  <c r="G206"/>
  <c r="E206" i="72"/>
  <c r="O84"/>
  <c r="D105"/>
  <c r="F92" a="1"/>
  <c r="F92" s="1"/>
  <c r="F94" s="1"/>
  <c r="G89" a="1"/>
  <c r="G89" s="1"/>
  <c r="G91" a="1"/>
  <c r="G91" s="1"/>
  <c r="G88" a="1"/>
  <c r="G88" s="1"/>
  <c r="G93" a="1"/>
  <c r="G93" s="1"/>
  <c r="G90" a="1"/>
  <c r="G90" s="1"/>
  <c r="G87" a="1"/>
  <c r="G87" s="1"/>
  <c r="G86" a="1"/>
  <c r="G86" s="1"/>
  <c r="G98" s="1"/>
  <c r="H77"/>
  <c r="S77" s="1"/>
  <c r="G206"/>
  <c r="J167"/>
  <c r="K166"/>
  <c r="H166"/>
  <c r="E166"/>
  <c r="B166"/>
  <c r="L166"/>
  <c r="I166"/>
  <c r="F166"/>
  <c r="C166"/>
  <c r="M166"/>
  <c r="G166"/>
  <c r="D166"/>
  <c r="A166"/>
  <c r="F206"/>
  <c r="D48"/>
  <c r="O119"/>
  <c r="C140"/>
  <c r="C53"/>
  <c r="J36"/>
  <c r="H125" a="1"/>
  <c r="H125" s="1"/>
  <c r="H122" a="1"/>
  <c r="H122" s="1"/>
  <c r="H127" a="1"/>
  <c r="H127" s="1"/>
  <c r="H124" a="1"/>
  <c r="H124" s="1"/>
  <c r="H129" a="1"/>
  <c r="H129" s="1"/>
  <c r="H126" a="1"/>
  <c r="H126" s="1"/>
  <c r="H123" a="1"/>
  <c r="H123" s="1"/>
  <c r="I113"/>
  <c r="H206"/>
  <c r="E104"/>
  <c r="E42"/>
  <c r="I206"/>
  <c r="C207"/>
  <c r="C141"/>
  <c r="G128" a="1"/>
  <c r="G128" s="1"/>
  <c r="G130" s="1"/>
  <c r="G206" i="71"/>
  <c r="C59"/>
  <c r="C64"/>
  <c r="H78"/>
  <c r="S78" s="1"/>
  <c r="G86" a="1"/>
  <c r="G86" s="1"/>
  <c r="G98" s="1"/>
  <c r="G93" a="1"/>
  <c r="G93" s="1"/>
  <c r="G88" a="1"/>
  <c r="G88" s="1"/>
  <c r="G87" a="1"/>
  <c r="G87" s="1"/>
  <c r="G91" a="1"/>
  <c r="G91" s="1"/>
  <c r="G90" a="1"/>
  <c r="G90" s="1"/>
  <c r="G89" a="1"/>
  <c r="G89" s="1"/>
  <c r="H79"/>
  <c r="S79" s="1"/>
  <c r="J36" i="69"/>
  <c r="D105" i="71"/>
  <c r="O84"/>
  <c r="H80"/>
  <c r="S80" s="1"/>
  <c r="E104"/>
  <c r="E105" s="1"/>
  <c r="E42"/>
  <c r="I206"/>
  <c r="H206"/>
  <c r="F92" a="1"/>
  <c r="F92" s="1"/>
  <c r="F94" s="1"/>
  <c r="Q83"/>
  <c r="D48"/>
  <c r="J167"/>
  <c r="K166"/>
  <c r="H166"/>
  <c r="E166"/>
  <c r="B166"/>
  <c r="L166"/>
  <c r="I166"/>
  <c r="F166"/>
  <c r="C166"/>
  <c r="M166"/>
  <c r="G166"/>
  <c r="D166"/>
  <c r="A166"/>
  <c r="H125" a="1"/>
  <c r="H125" s="1"/>
  <c r="H127" a="1"/>
  <c r="H127" s="1"/>
  <c r="H124" a="1"/>
  <c r="H124" s="1"/>
  <c r="H126" a="1"/>
  <c r="H126" s="1"/>
  <c r="H123" a="1"/>
  <c r="H123" s="1"/>
  <c r="F206"/>
  <c r="E206"/>
  <c r="D105" i="70"/>
  <c r="O84"/>
  <c r="E206"/>
  <c r="H206"/>
  <c r="H125" a="1"/>
  <c r="H125" s="1"/>
  <c r="H122" a="1"/>
  <c r="H122" s="1"/>
  <c r="H127" a="1"/>
  <c r="H127" s="1"/>
  <c r="H124" a="1"/>
  <c r="H124" s="1"/>
  <c r="H129" a="1"/>
  <c r="H129" s="1"/>
  <c r="H126" a="1"/>
  <c r="H126" s="1"/>
  <c r="H123" a="1"/>
  <c r="H123" s="1"/>
  <c r="I113"/>
  <c r="J167"/>
  <c r="K166"/>
  <c r="H166"/>
  <c r="E166"/>
  <c r="B166"/>
  <c r="L166"/>
  <c r="I166"/>
  <c r="F166"/>
  <c r="C166"/>
  <c r="M166"/>
  <c r="G166"/>
  <c r="D166"/>
  <c r="A166"/>
  <c r="C207"/>
  <c r="C141"/>
  <c r="H82"/>
  <c r="S82" s="1"/>
  <c r="G128" a="1"/>
  <c r="G128" s="1"/>
  <c r="G130" s="1"/>
  <c r="Q83"/>
  <c r="H80"/>
  <c r="S80" s="1"/>
  <c r="H78"/>
  <c r="S78" s="1"/>
  <c r="D48"/>
  <c r="O119"/>
  <c r="E104"/>
  <c r="E105" s="1"/>
  <c r="E42"/>
  <c r="I206"/>
  <c r="G206"/>
  <c r="F206"/>
  <c r="G89" a="1"/>
  <c r="G89" s="1"/>
  <c r="G91" a="1"/>
  <c r="G91" s="1"/>
  <c r="G88" a="1"/>
  <c r="G88" s="1"/>
  <c r="G93" a="1"/>
  <c r="G93" s="1"/>
  <c r="G90" a="1"/>
  <c r="G90" s="1"/>
  <c r="G86" a="1"/>
  <c r="G86" s="1"/>
  <c r="G98" s="1"/>
  <c r="G87" a="1"/>
  <c r="G87" s="1"/>
  <c r="H77"/>
  <c r="S77" s="1"/>
  <c r="C140"/>
  <c r="C53"/>
  <c r="J36"/>
  <c r="G206" i="69"/>
  <c r="H206"/>
  <c r="I77"/>
  <c r="T77" s="1"/>
  <c r="E104"/>
  <c r="E42"/>
  <c r="C59"/>
  <c r="C64"/>
  <c r="E206"/>
  <c r="H125" a="1"/>
  <c r="H125" s="1"/>
  <c r="H122" a="1"/>
  <c r="H122" s="1"/>
  <c r="H127" a="1"/>
  <c r="H127" s="1"/>
  <c r="H124" a="1"/>
  <c r="H124" s="1"/>
  <c r="H129" a="1"/>
  <c r="H129" s="1"/>
  <c r="H126" a="1"/>
  <c r="H126" s="1"/>
  <c r="H123" a="1"/>
  <c r="H123" s="1"/>
  <c r="I113"/>
  <c r="J167"/>
  <c r="K166"/>
  <c r="H166"/>
  <c r="E166"/>
  <c r="B166"/>
  <c r="L166"/>
  <c r="I166"/>
  <c r="F166"/>
  <c r="C166"/>
  <c r="M166"/>
  <c r="G166"/>
  <c r="D166"/>
  <c r="A166"/>
  <c r="F104"/>
  <c r="F42"/>
  <c r="G128" a="1"/>
  <c r="G128" s="1"/>
  <c r="G130" s="1"/>
  <c r="G206" i="68"/>
  <c r="G105"/>
  <c r="C140"/>
  <c r="C53"/>
  <c r="C207"/>
  <c r="C141"/>
  <c r="I77"/>
  <c r="T77" s="1"/>
  <c r="E206"/>
  <c r="E105"/>
  <c r="H206"/>
  <c r="H105"/>
  <c r="J36" i="67"/>
  <c r="L165" i="68"/>
  <c r="I165"/>
  <c r="F165"/>
  <c r="C165"/>
  <c r="M165"/>
  <c r="G165"/>
  <c r="D165"/>
  <c r="A165"/>
  <c r="J166"/>
  <c r="K165"/>
  <c r="H165"/>
  <c r="E165"/>
  <c r="B165"/>
  <c r="I79"/>
  <c r="T79" s="1"/>
  <c r="G129" a="1"/>
  <c r="G129" s="1"/>
  <c r="G126" a="1"/>
  <c r="G126" s="1"/>
  <c r="G123" a="1"/>
  <c r="G123" s="1"/>
  <c r="G125" a="1"/>
  <c r="G125" s="1"/>
  <c r="G122" a="1"/>
  <c r="G122" s="1"/>
  <c r="G127" a="1"/>
  <c r="G127" s="1"/>
  <c r="G124" a="1"/>
  <c r="G124" s="1"/>
  <c r="H113"/>
  <c r="F42"/>
  <c r="E104"/>
  <c r="E42"/>
  <c r="I82"/>
  <c r="T82" s="1"/>
  <c r="J36"/>
  <c r="O84" i="67"/>
  <c r="D105"/>
  <c r="H207"/>
  <c r="C208"/>
  <c r="C141"/>
  <c r="G89" a="1"/>
  <c r="G89" s="1"/>
  <c r="G86" a="1"/>
  <c r="G86" s="1"/>
  <c r="G98" s="1"/>
  <c r="G91" a="1"/>
  <c r="G91" s="1"/>
  <c r="G88" a="1"/>
  <c r="G88" s="1"/>
  <c r="G93" a="1"/>
  <c r="G93" s="1"/>
  <c r="G90" a="1"/>
  <c r="G90" s="1"/>
  <c r="G87" a="1"/>
  <c r="G87" s="1"/>
  <c r="H77"/>
  <c r="S77" s="1"/>
  <c r="D48"/>
  <c r="O119"/>
  <c r="I207"/>
  <c r="J167"/>
  <c r="K166"/>
  <c r="H166"/>
  <c r="E166"/>
  <c r="B166"/>
  <c r="L166"/>
  <c r="I166"/>
  <c r="F166"/>
  <c r="C166"/>
  <c r="M166"/>
  <c r="G166"/>
  <c r="D166"/>
  <c r="A166"/>
  <c r="C140"/>
  <c r="C53"/>
  <c r="H125" a="1"/>
  <c r="H125" s="1"/>
  <c r="H122" a="1"/>
  <c r="H122" s="1"/>
  <c r="H127" a="1"/>
  <c r="H127" s="1"/>
  <c r="H124" a="1"/>
  <c r="H124" s="1"/>
  <c r="H129" a="1"/>
  <c r="H129" s="1"/>
  <c r="H126" a="1"/>
  <c r="H126" s="1"/>
  <c r="H123" a="1"/>
  <c r="H123" s="1"/>
  <c r="I113"/>
  <c r="G128" a="1"/>
  <c r="G128" s="1"/>
  <c r="G130" s="1"/>
  <c r="F207"/>
  <c r="H78"/>
  <c r="S78" s="1"/>
  <c r="E104"/>
  <c r="E42"/>
  <c r="G207"/>
  <c r="E207"/>
  <c r="H81"/>
  <c r="S81" s="1"/>
  <c r="B69" i="114"/>
  <c r="C69" s="1"/>
  <c r="A78"/>
  <c r="B70" i="113"/>
  <c r="C70" s="1"/>
  <c r="A79"/>
  <c r="A300" i="7"/>
  <c r="B291"/>
  <c r="A79"/>
  <c r="B70"/>
  <c r="I82" i="55" l="1"/>
  <c r="T82" s="1"/>
  <c r="I78" i="129"/>
  <c r="T78" s="1"/>
  <c r="S82" i="98"/>
  <c r="I82"/>
  <c r="T82" s="1"/>
  <c r="I81" i="54"/>
  <c r="T81" s="1"/>
  <c r="E134" i="67"/>
  <c r="P113"/>
  <c r="P119" s="1"/>
  <c r="G136" i="84"/>
  <c r="G55" s="1"/>
  <c r="G66" s="1"/>
  <c r="Q370" i="105" s="1"/>
  <c r="G137" i="84"/>
  <c r="G56" s="1"/>
  <c r="G67" s="1"/>
  <c r="Q371" i="105" s="1"/>
  <c r="G135" i="84"/>
  <c r="G54" s="1"/>
  <c r="G65" s="1"/>
  <c r="Q369" i="105" s="1"/>
  <c r="G139" i="84"/>
  <c r="G58" s="1"/>
  <c r="G69" s="1"/>
  <c r="Q373" i="105" s="1"/>
  <c r="F138" i="90"/>
  <c r="F57" s="1"/>
  <c r="F68" s="1"/>
  <c r="P446" i="105" s="1"/>
  <c r="Q117" i="90"/>
  <c r="F139" i="97"/>
  <c r="F58" s="1"/>
  <c r="F69" s="1"/>
  <c r="P510" i="105" s="1"/>
  <c r="Q118" i="97"/>
  <c r="F138" i="60"/>
  <c r="F57" s="1"/>
  <c r="F68" s="1"/>
  <c r="P221" i="105" s="1"/>
  <c r="Q117" i="60"/>
  <c r="F137" i="50"/>
  <c r="F56" s="1"/>
  <c r="F67" s="1"/>
  <c r="P130" i="105" s="1"/>
  <c r="Q116" i="50"/>
  <c r="F136" i="45"/>
  <c r="F55" s="1"/>
  <c r="F66" s="1"/>
  <c r="P82" i="105" s="1"/>
  <c r="Q115" i="45"/>
  <c r="F138" i="38"/>
  <c r="F57" s="1"/>
  <c r="F68" s="1"/>
  <c r="P21" i="105" s="1"/>
  <c r="Q117" i="38"/>
  <c r="F137" i="108"/>
  <c r="F56" s="1"/>
  <c r="F67" s="1"/>
  <c r="P566" i="105" s="1"/>
  <c r="Q116" i="108"/>
  <c r="F138" i="93"/>
  <c r="F57" s="1"/>
  <c r="F68" s="1"/>
  <c r="P473" i="105" s="1"/>
  <c r="Q117" i="93"/>
  <c r="F135" i="79"/>
  <c r="F54" s="1"/>
  <c r="F65" s="1"/>
  <c r="P416" i="105" s="1"/>
  <c r="Q114" i="79"/>
  <c r="F138" i="78"/>
  <c r="F57" s="1"/>
  <c r="F68" s="1"/>
  <c r="P336" i="105" s="1"/>
  <c r="Q117" i="78"/>
  <c r="F137" i="72"/>
  <c r="F56" s="1"/>
  <c r="F67" s="1"/>
  <c r="P280" i="105" s="1"/>
  <c r="Q116" i="72"/>
  <c r="F139" i="70"/>
  <c r="F58" s="1"/>
  <c r="F69" s="1"/>
  <c r="P263" i="105" s="1"/>
  <c r="Q118" i="70"/>
  <c r="F136" i="101"/>
  <c r="F55" s="1"/>
  <c r="F66" s="1"/>
  <c r="P545" i="105" s="1"/>
  <c r="Q115" i="101"/>
  <c r="F139" i="96"/>
  <c r="F58" s="1"/>
  <c r="F69" s="1"/>
  <c r="P501" i="105" s="1"/>
  <c r="Q118" i="96"/>
  <c r="F137" i="78"/>
  <c r="F56" s="1"/>
  <c r="F67" s="1"/>
  <c r="P335" i="105" s="1"/>
  <c r="Q116" i="78"/>
  <c r="F136" i="75"/>
  <c r="F55" s="1"/>
  <c r="F66" s="1"/>
  <c r="P307" i="105" s="1"/>
  <c r="Q115" i="75"/>
  <c r="F137" i="67"/>
  <c r="F56" s="1"/>
  <c r="F67" s="1"/>
  <c r="Q116"/>
  <c r="F135" i="85"/>
  <c r="F54" s="1"/>
  <c r="F65" s="1"/>
  <c r="P380" i="105" s="1"/>
  <c r="Q114" i="85"/>
  <c r="F135" i="68"/>
  <c r="F54" s="1"/>
  <c r="F65" s="1"/>
  <c r="P241" i="105" s="1"/>
  <c r="Q114" i="68"/>
  <c r="F138" i="59"/>
  <c r="F57" s="1"/>
  <c r="F68" s="1"/>
  <c r="P212" i="105" s="1"/>
  <c r="Q117" i="59"/>
  <c r="F139" i="53"/>
  <c r="F58" s="1"/>
  <c r="F69" s="1"/>
  <c r="P159" i="105" s="1"/>
  <c r="Q118" i="53"/>
  <c r="F135" i="44"/>
  <c r="F54" s="1"/>
  <c r="F65" s="1"/>
  <c r="P72" i="105" s="1"/>
  <c r="Q114" i="44"/>
  <c r="F136" i="108"/>
  <c r="F55" s="1"/>
  <c r="F66" s="1"/>
  <c r="P565" i="105" s="1"/>
  <c r="Q115" i="108"/>
  <c r="F135" i="100"/>
  <c r="F54" s="1"/>
  <c r="F65" s="1"/>
  <c r="P535" i="105" s="1"/>
  <c r="Q114" i="100"/>
  <c r="F136" i="96"/>
  <c r="F55" s="1"/>
  <c r="F66" s="1"/>
  <c r="P498" i="105" s="1"/>
  <c r="Q115" i="96"/>
  <c r="F137" i="75"/>
  <c r="F56" s="1"/>
  <c r="F67" s="1"/>
  <c r="P308" i="105" s="1"/>
  <c r="Q116" i="75"/>
  <c r="F136" i="72"/>
  <c r="F55" s="1"/>
  <c r="F66" s="1"/>
  <c r="P279" i="105" s="1"/>
  <c r="Q115" i="72"/>
  <c r="F137" i="99"/>
  <c r="F56" s="1"/>
  <c r="F67" s="1"/>
  <c r="P528" i="105" s="1"/>
  <c r="Q116" i="99"/>
  <c r="F136" i="70"/>
  <c r="F55" s="1"/>
  <c r="F66" s="1"/>
  <c r="P260" i="105" s="1"/>
  <c r="Q115" i="70"/>
  <c r="F136" i="99"/>
  <c r="F55" s="1"/>
  <c r="F66" s="1"/>
  <c r="P527" i="105" s="1"/>
  <c r="Q115" i="99"/>
  <c r="F139" i="59"/>
  <c r="F58" s="1"/>
  <c r="F69" s="1"/>
  <c r="P213" i="105" s="1"/>
  <c r="Q118" i="59"/>
  <c r="F136" i="68"/>
  <c r="F55" s="1"/>
  <c r="F66" s="1"/>
  <c r="P242" i="105" s="1"/>
  <c r="Q115" i="68"/>
  <c r="F136" i="86"/>
  <c r="F55" s="1"/>
  <c r="F66" s="1"/>
  <c r="P390" i="105" s="1"/>
  <c r="Q115" i="86"/>
  <c r="F136" i="97"/>
  <c r="F55" s="1"/>
  <c r="F66" s="1"/>
  <c r="P507" i="105" s="1"/>
  <c r="Q115" i="97"/>
  <c r="F135" i="101"/>
  <c r="F54" s="1"/>
  <c r="F65" s="1"/>
  <c r="P544" i="105" s="1"/>
  <c r="Q114" i="101"/>
  <c r="F139" i="58"/>
  <c r="F58" s="1"/>
  <c r="F69" s="1"/>
  <c r="P204" i="105" s="1"/>
  <c r="Q118" i="58"/>
  <c r="F138" i="50"/>
  <c r="F57" s="1"/>
  <c r="F68" s="1"/>
  <c r="P131" i="105" s="1"/>
  <c r="Q117" i="50"/>
  <c r="F137" i="43"/>
  <c r="F56" s="1"/>
  <c r="F67" s="1"/>
  <c r="P65" i="105" s="1"/>
  <c r="Q116" i="43"/>
  <c r="F136" i="38"/>
  <c r="F55" s="1"/>
  <c r="F66" s="1"/>
  <c r="P19" i="105" s="1"/>
  <c r="Q115" i="38"/>
  <c r="F136" i="32"/>
  <c r="F55" s="1"/>
  <c r="Q115"/>
  <c r="F139" i="80"/>
  <c r="F58" s="1"/>
  <c r="F69" s="1"/>
  <c r="P429" i="105" s="1"/>
  <c r="Q118" i="80"/>
  <c r="F138" i="39"/>
  <c r="F57" s="1"/>
  <c r="F68" s="1"/>
  <c r="P30" i="105" s="1"/>
  <c r="Q117" i="39"/>
  <c r="F139" i="87"/>
  <c r="F58" s="1"/>
  <c r="F69" s="1"/>
  <c r="P402" i="105" s="1"/>
  <c r="Q118" i="87"/>
  <c r="F135" i="90"/>
  <c r="F54" s="1"/>
  <c r="F65" s="1"/>
  <c r="P443" i="105" s="1"/>
  <c r="Q114" i="90"/>
  <c r="F135" i="86"/>
  <c r="F54" s="1"/>
  <c r="F65" s="1"/>
  <c r="P389" i="105" s="1"/>
  <c r="Q114" i="86"/>
  <c r="F136" i="40"/>
  <c r="F55" s="1"/>
  <c r="F66" s="1"/>
  <c r="P37" i="105" s="1"/>
  <c r="Q115" i="40"/>
  <c r="F137" i="97"/>
  <c r="F56" s="1"/>
  <c r="F67" s="1"/>
  <c r="P508" i="105" s="1"/>
  <c r="Q116" i="97"/>
  <c r="F136" i="44"/>
  <c r="F55" s="1"/>
  <c r="F66" s="1"/>
  <c r="P73" i="105" s="1"/>
  <c r="Q115" i="44"/>
  <c r="F135" i="58"/>
  <c r="F54" s="1"/>
  <c r="F65" s="1"/>
  <c r="P200" i="105" s="1"/>
  <c r="Q114" i="58"/>
  <c r="F138" i="53"/>
  <c r="F57" s="1"/>
  <c r="F68" s="1"/>
  <c r="P158" i="105" s="1"/>
  <c r="Q117" i="53"/>
  <c r="F135" i="50"/>
  <c r="F54" s="1"/>
  <c r="F65" s="1"/>
  <c r="P128" i="105" s="1"/>
  <c r="Q114" i="50"/>
  <c r="F135" i="45"/>
  <c r="F54" s="1"/>
  <c r="F65" s="1"/>
  <c r="P81" i="105" s="1"/>
  <c r="Q114" i="45"/>
  <c r="F139" i="39"/>
  <c r="F58" s="1"/>
  <c r="F69" s="1"/>
  <c r="P31" i="105" s="1"/>
  <c r="Q118" i="39"/>
  <c r="F138" i="127"/>
  <c r="F57" s="1"/>
  <c r="F68" s="1"/>
  <c r="P585" i="105" s="1"/>
  <c r="Q117" i="127"/>
  <c r="F138" i="109"/>
  <c r="F57" s="1"/>
  <c r="F68" s="1"/>
  <c r="P576" i="105" s="1"/>
  <c r="Q117" i="109"/>
  <c r="F137" i="102"/>
  <c r="F56" s="1"/>
  <c r="F67" s="1"/>
  <c r="P557" i="105" s="1"/>
  <c r="Q116" i="102"/>
  <c r="F138" i="96"/>
  <c r="F57" s="1"/>
  <c r="F68" s="1"/>
  <c r="P500" i="105" s="1"/>
  <c r="Q117" i="96"/>
  <c r="F139" i="93"/>
  <c r="F58" s="1"/>
  <c r="F69" s="1"/>
  <c r="P474" i="105" s="1"/>
  <c r="Q118" i="93"/>
  <c r="F135" i="80"/>
  <c r="F54" s="1"/>
  <c r="F65" s="1"/>
  <c r="P425" i="105" s="1"/>
  <c r="Q114" i="80"/>
  <c r="F136" i="78"/>
  <c r="F55" s="1"/>
  <c r="F66" s="1"/>
  <c r="P334" i="105" s="1"/>
  <c r="Q115" i="78"/>
  <c r="F135" i="74"/>
  <c r="F54" s="1"/>
  <c r="F65" s="1"/>
  <c r="P297" i="105" s="1"/>
  <c r="Q114" i="74"/>
  <c r="F139" i="73"/>
  <c r="F58" s="1"/>
  <c r="F69" s="1"/>
  <c r="P292" i="105" s="1"/>
  <c r="Q118" i="73"/>
  <c r="F138" i="70"/>
  <c r="F57" s="1"/>
  <c r="F68" s="1"/>
  <c r="P262" i="105" s="1"/>
  <c r="Q117" i="70"/>
  <c r="F139" i="67"/>
  <c r="F58" s="1"/>
  <c r="F69" s="1"/>
  <c r="Q118"/>
  <c r="F138" i="102"/>
  <c r="F57" s="1"/>
  <c r="F68" s="1"/>
  <c r="P558" i="105" s="1"/>
  <c r="Q117" i="102"/>
  <c r="F139" i="98"/>
  <c r="F58" s="1"/>
  <c r="F69" s="1"/>
  <c r="P521" i="105" s="1"/>
  <c r="Q118" i="98"/>
  <c r="F138" i="91"/>
  <c r="F57" s="1"/>
  <c r="F68" s="1"/>
  <c r="P455" i="105" s="1"/>
  <c r="Q117" i="91"/>
  <c r="F135" i="70"/>
  <c r="F54" s="1"/>
  <c r="F65" s="1"/>
  <c r="P259" i="105" s="1"/>
  <c r="Q114" i="70"/>
  <c r="F138" i="49"/>
  <c r="F57" s="1"/>
  <c r="F68" s="1"/>
  <c r="P122" i="105" s="1"/>
  <c r="Q117" i="49"/>
  <c r="F139" i="90"/>
  <c r="F58" s="1"/>
  <c r="F69" s="1"/>
  <c r="P447" i="105" s="1"/>
  <c r="Q118" i="90"/>
  <c r="F135" i="49"/>
  <c r="F54" s="1"/>
  <c r="F65" s="1"/>
  <c r="P119" i="105" s="1"/>
  <c r="Q114" i="49"/>
  <c r="F138" i="82"/>
  <c r="F57" s="1"/>
  <c r="F68" s="1"/>
  <c r="P354" i="105" s="1"/>
  <c r="Q117" i="82"/>
  <c r="F138" i="58"/>
  <c r="F57" s="1"/>
  <c r="F68" s="1"/>
  <c r="P203" i="105" s="1"/>
  <c r="Q117" i="58"/>
  <c r="F136" i="50"/>
  <c r="F55" s="1"/>
  <c r="F66" s="1"/>
  <c r="P129" i="105" s="1"/>
  <c r="Q115" i="50"/>
  <c r="F135" i="47"/>
  <c r="F54" s="1"/>
  <c r="F65" s="1"/>
  <c r="P101" i="105" s="1"/>
  <c r="Q114" i="47"/>
  <c r="F138" i="43"/>
  <c r="F57" s="1"/>
  <c r="F68" s="1"/>
  <c r="P66" i="105" s="1"/>
  <c r="Q117" i="43"/>
  <c r="F139" i="42"/>
  <c r="F58" s="1"/>
  <c r="F69" s="1"/>
  <c r="P58" i="105" s="1"/>
  <c r="Q118" i="42"/>
  <c r="F139" i="38"/>
  <c r="F58" s="1"/>
  <c r="F69" s="1"/>
  <c r="P22" i="105" s="1"/>
  <c r="Q118" i="38"/>
  <c r="F139" i="127"/>
  <c r="F58" s="1"/>
  <c r="F69" s="1"/>
  <c r="P586" i="105" s="1"/>
  <c r="Q118" i="127"/>
  <c r="F136" i="102"/>
  <c r="F55" s="1"/>
  <c r="F66" s="1"/>
  <c r="P556" i="105" s="1"/>
  <c r="Q115" i="102"/>
  <c r="F138" i="100"/>
  <c r="F57" s="1"/>
  <c r="F68" s="1"/>
  <c r="P538" i="105" s="1"/>
  <c r="Q117" i="100"/>
  <c r="F138" i="98"/>
  <c r="F57" s="1"/>
  <c r="F68" s="1"/>
  <c r="P520" i="105" s="1"/>
  <c r="Q117" i="98"/>
  <c r="F137" i="96"/>
  <c r="F56" s="1"/>
  <c r="F67" s="1"/>
  <c r="P499" i="105" s="1"/>
  <c r="Q116" i="96"/>
  <c r="F136" i="80"/>
  <c r="F55" s="1"/>
  <c r="F66" s="1"/>
  <c r="P426" i="105" s="1"/>
  <c r="Q115" i="80"/>
  <c r="F137" i="77"/>
  <c r="F56" s="1"/>
  <c r="F67" s="1"/>
  <c r="P326" i="105" s="1"/>
  <c r="Q116" i="77"/>
  <c r="F137" i="74"/>
  <c r="F56" s="1"/>
  <c r="F67" s="1"/>
  <c r="P299" i="105" s="1"/>
  <c r="Q116" i="74"/>
  <c r="F135" i="72"/>
  <c r="F54" s="1"/>
  <c r="F65" s="1"/>
  <c r="P278" i="105" s="1"/>
  <c r="Q114" i="72"/>
  <c r="F138" i="71"/>
  <c r="F57" s="1"/>
  <c r="F68" s="1"/>
  <c r="P272" i="105" s="1"/>
  <c r="Q117" i="71"/>
  <c r="F138" i="101"/>
  <c r="F57" s="1"/>
  <c r="F68" s="1"/>
  <c r="P547" i="105" s="1"/>
  <c r="Q117" i="101"/>
  <c r="F139" i="71"/>
  <c r="F58" s="1"/>
  <c r="F69" s="1"/>
  <c r="P273" i="105" s="1"/>
  <c r="Q118" i="71"/>
  <c r="F135" i="87"/>
  <c r="F54" s="1"/>
  <c r="F65" s="1"/>
  <c r="P398" i="105" s="1"/>
  <c r="Q114" i="87"/>
  <c r="F139" i="68"/>
  <c r="F58" s="1"/>
  <c r="F69" s="1"/>
  <c r="P245" i="105" s="1"/>
  <c r="Q118" i="68"/>
  <c r="F139" i="40"/>
  <c r="F58" s="1"/>
  <c r="F69" s="1"/>
  <c r="P40" i="105" s="1"/>
  <c r="Q118" i="40"/>
  <c r="F138" i="99"/>
  <c r="F57" s="1"/>
  <c r="F68" s="1"/>
  <c r="P529" i="105" s="1"/>
  <c r="Q117" i="99"/>
  <c r="F139" i="85"/>
  <c r="F58" s="1"/>
  <c r="F69" s="1"/>
  <c r="P384" i="105" s="1"/>
  <c r="Q118" i="85"/>
  <c r="F137" i="86"/>
  <c r="F56" s="1"/>
  <c r="F67" s="1"/>
  <c r="P391" i="105" s="1"/>
  <c r="Q116" i="86"/>
  <c r="F138" i="85"/>
  <c r="Q117"/>
  <c r="F137"/>
  <c r="F56" s="1"/>
  <c r="F67" s="1"/>
  <c r="P382" i="105" s="1"/>
  <c r="Q116" i="85"/>
  <c r="F135" i="60"/>
  <c r="F54" s="1"/>
  <c r="F65" s="1"/>
  <c r="P218" i="105" s="1"/>
  <c r="Q114" i="60"/>
  <c r="F136" i="53"/>
  <c r="F55" s="1"/>
  <c r="F66" s="1"/>
  <c r="P156" i="105" s="1"/>
  <c r="Q115" i="53"/>
  <c r="F139" i="47"/>
  <c r="F58" s="1"/>
  <c r="F69" s="1"/>
  <c r="P105" i="105" s="1"/>
  <c r="Q118" i="47"/>
  <c r="F138" i="44"/>
  <c r="F57" s="1"/>
  <c r="F68" s="1"/>
  <c r="P75" i="105" s="1"/>
  <c r="Q117" i="44"/>
  <c r="F138" i="42"/>
  <c r="F57" s="1"/>
  <c r="F68" s="1"/>
  <c r="P57" i="105" s="1"/>
  <c r="Q117" i="42"/>
  <c r="F135" i="39"/>
  <c r="F54" s="1"/>
  <c r="F65" s="1"/>
  <c r="P27" i="105" s="1"/>
  <c r="Q114" i="39"/>
  <c r="F137" i="32"/>
  <c r="F56" s="1"/>
  <c r="F67" s="1"/>
  <c r="Q116"/>
  <c r="F139" i="109"/>
  <c r="F58" s="1"/>
  <c r="F69" s="1"/>
  <c r="P577" i="105" s="1"/>
  <c r="Q118" i="109"/>
  <c r="F138" i="108"/>
  <c r="F57" s="1"/>
  <c r="F68" s="1"/>
  <c r="P567" i="105" s="1"/>
  <c r="Q117" i="108"/>
  <c r="F139" i="91"/>
  <c r="F58" s="1"/>
  <c r="F69" s="1"/>
  <c r="P456" i="105" s="1"/>
  <c r="Q118" i="91"/>
  <c r="F137" i="82"/>
  <c r="F56" s="1"/>
  <c r="F67" s="1"/>
  <c r="P353" i="105" s="1"/>
  <c r="Q116" i="82"/>
  <c r="F139" i="77"/>
  <c r="F58" s="1"/>
  <c r="F69" s="1"/>
  <c r="P328" i="105" s="1"/>
  <c r="Q118" i="77"/>
  <c r="F135" i="71"/>
  <c r="F54" s="1"/>
  <c r="F65" s="1"/>
  <c r="P269" i="105" s="1"/>
  <c r="Q114" i="71"/>
  <c r="F136" i="109"/>
  <c r="F55" s="1"/>
  <c r="F66" s="1"/>
  <c r="P574" i="105" s="1"/>
  <c r="Q115" i="109"/>
  <c r="F136" i="82"/>
  <c r="F55" s="1"/>
  <c r="F66" s="1"/>
  <c r="P352" i="105" s="1"/>
  <c r="Q115" i="82"/>
  <c r="F135" i="59"/>
  <c r="F54" s="1"/>
  <c r="F65" s="1"/>
  <c r="P209" i="105" s="1"/>
  <c r="Q114" i="59"/>
  <c r="F137" i="39"/>
  <c r="F56" s="1"/>
  <c r="F67" s="1"/>
  <c r="P29" i="105" s="1"/>
  <c r="Q116" i="39"/>
  <c r="F137" i="58"/>
  <c r="F56" s="1"/>
  <c r="F67" s="1"/>
  <c r="P202" i="105" s="1"/>
  <c r="Q116" i="58"/>
  <c r="F137" i="47"/>
  <c r="F56" s="1"/>
  <c r="F67" s="1"/>
  <c r="P103" i="105" s="1"/>
  <c r="Q116" i="47"/>
  <c r="F135" i="43"/>
  <c r="F54" s="1"/>
  <c r="F65" s="1"/>
  <c r="P63" i="105" s="1"/>
  <c r="Q114" i="43"/>
  <c r="F137" i="127"/>
  <c r="F56" s="1"/>
  <c r="F67" s="1"/>
  <c r="P584" i="105" s="1"/>
  <c r="Q116" i="127"/>
  <c r="F135" i="98"/>
  <c r="F54" s="1"/>
  <c r="F65" s="1"/>
  <c r="P517" i="105" s="1"/>
  <c r="Q114" i="98"/>
  <c r="F137" i="91"/>
  <c r="F56" s="1"/>
  <c r="F67" s="1"/>
  <c r="P454" i="105" s="1"/>
  <c r="Q116" i="91"/>
  <c r="F136" i="74"/>
  <c r="F55" s="1"/>
  <c r="F66" s="1"/>
  <c r="P298" i="105" s="1"/>
  <c r="Q115" i="74"/>
  <c r="F135" i="109"/>
  <c r="F54" s="1"/>
  <c r="F65" s="1"/>
  <c r="P573" i="105" s="1"/>
  <c r="Q114" i="109"/>
  <c r="F138" i="97"/>
  <c r="F57" s="1"/>
  <c r="F68" s="1"/>
  <c r="P509" i="105" s="1"/>
  <c r="Q117" i="97"/>
  <c r="F135" i="127"/>
  <c r="F54" s="1"/>
  <c r="F65" s="1"/>
  <c r="P582" i="105" s="1"/>
  <c r="Q114" i="127"/>
  <c r="F139" i="100"/>
  <c r="F58" s="1"/>
  <c r="F69" s="1"/>
  <c r="P539" i="105" s="1"/>
  <c r="Q118" i="100"/>
  <c r="F137" i="60"/>
  <c r="F56" s="1"/>
  <c r="F67" s="1"/>
  <c r="P220" i="105" s="1"/>
  <c r="Q116" i="60"/>
  <c r="F138" i="47"/>
  <c r="F57" s="1"/>
  <c r="F68" s="1"/>
  <c r="P104" i="105" s="1"/>
  <c r="Q117" i="47"/>
  <c r="F139" i="43"/>
  <c r="F58" s="1"/>
  <c r="F69" s="1"/>
  <c r="P67" i="105" s="1"/>
  <c r="Q118" i="43"/>
  <c r="F138" i="32"/>
  <c r="F57" s="1"/>
  <c r="F68" s="1"/>
  <c r="Q117"/>
  <c r="F139" i="101"/>
  <c r="F58" s="1"/>
  <c r="F69" s="1"/>
  <c r="P548" i="105" s="1"/>
  <c r="Q118" i="101"/>
  <c r="F137" i="98"/>
  <c r="F56" s="1"/>
  <c r="F67" s="1"/>
  <c r="P519" i="105" s="1"/>
  <c r="Q116" i="98"/>
  <c r="F135" i="93"/>
  <c r="F54" s="1"/>
  <c r="F65" s="1"/>
  <c r="P470" i="105" s="1"/>
  <c r="Q114" i="93"/>
  <c r="F138" i="79"/>
  <c r="F57" s="1"/>
  <c r="F68" s="1"/>
  <c r="P419" i="105" s="1"/>
  <c r="Q117" i="79"/>
  <c r="F138" i="74"/>
  <c r="F57" s="1"/>
  <c r="F68" s="1"/>
  <c r="P300" i="105" s="1"/>
  <c r="Q117" i="74"/>
  <c r="F137" i="70"/>
  <c r="F56" s="1"/>
  <c r="F67" s="1"/>
  <c r="P261" i="105" s="1"/>
  <c r="Q116" i="70"/>
  <c r="F139" i="74"/>
  <c r="F58" s="1"/>
  <c r="F69" s="1"/>
  <c r="P301" i="105" s="1"/>
  <c r="Q118" i="74"/>
  <c r="F138" i="68"/>
  <c r="F57" s="1"/>
  <c r="F68" s="1"/>
  <c r="P244" i="105" s="1"/>
  <c r="Q117" i="68"/>
  <c r="F135" i="46"/>
  <c r="F54" s="1"/>
  <c r="F65" s="1"/>
  <c r="P90" i="105" s="1"/>
  <c r="Q114" i="46"/>
  <c r="F138"/>
  <c r="F57" s="1"/>
  <c r="F68" s="1"/>
  <c r="P93" i="105" s="1"/>
  <c r="Q117" i="46"/>
  <c r="F137" i="100"/>
  <c r="F56" s="1"/>
  <c r="F67" s="1"/>
  <c r="P537" i="105" s="1"/>
  <c r="Q116" i="100"/>
  <c r="F137" i="45"/>
  <c r="F56" s="1"/>
  <c r="F67" s="1"/>
  <c r="P83" i="105" s="1"/>
  <c r="Q116" i="45"/>
  <c r="F136" i="42"/>
  <c r="F55" s="1"/>
  <c r="F66" s="1"/>
  <c r="P55" i="105" s="1"/>
  <c r="Q115" i="42"/>
  <c r="F139" i="102"/>
  <c r="F58" s="1"/>
  <c r="F69" s="1"/>
  <c r="P559" i="105" s="1"/>
  <c r="Q118" i="102"/>
  <c r="F137" i="73"/>
  <c r="F56" s="1"/>
  <c r="F67" s="1"/>
  <c r="P290" i="105" s="1"/>
  <c r="Q116" i="73"/>
  <c r="F138" i="87"/>
  <c r="F57" s="1"/>
  <c r="F68" s="1"/>
  <c r="P401" i="105" s="1"/>
  <c r="Q117" i="87"/>
  <c r="F136" i="90"/>
  <c r="F55" s="1"/>
  <c r="F66" s="1"/>
  <c r="P444" i="105" s="1"/>
  <c r="Q115" i="90"/>
  <c r="F136" i="49"/>
  <c r="F55" s="1"/>
  <c r="F66" s="1"/>
  <c r="P120" i="105" s="1"/>
  <c r="Q115" i="49"/>
  <c r="F136" i="46"/>
  <c r="F55" s="1"/>
  <c r="F66" s="1"/>
  <c r="P91" i="105" s="1"/>
  <c r="Q115" i="46"/>
  <c r="F138" i="86"/>
  <c r="F57" s="1"/>
  <c r="F68" s="1"/>
  <c r="P392" i="105" s="1"/>
  <c r="Q117" i="86"/>
  <c r="F136" i="85"/>
  <c r="F55" s="1"/>
  <c r="F66" s="1"/>
  <c r="P381" i="105" s="1"/>
  <c r="Q115" i="85"/>
  <c r="F136" i="60"/>
  <c r="F55" s="1"/>
  <c r="F66" s="1"/>
  <c r="P219" i="105" s="1"/>
  <c r="Q115" i="60"/>
  <c r="F135" i="53"/>
  <c r="F54" s="1"/>
  <c r="F65" s="1"/>
  <c r="P155" i="105" s="1"/>
  <c r="Q114" i="53"/>
  <c r="F139" i="50"/>
  <c r="F58" s="1"/>
  <c r="F69" s="1"/>
  <c r="P132" i="105" s="1"/>
  <c r="Q118" i="50"/>
  <c r="F139" i="45"/>
  <c r="F58" s="1"/>
  <c r="F69" s="1"/>
  <c r="P85" i="105" s="1"/>
  <c r="Q118" i="45"/>
  <c r="F137" i="42"/>
  <c r="F56" s="1"/>
  <c r="F67" s="1"/>
  <c r="P56" i="105" s="1"/>
  <c r="Q116" i="42"/>
  <c r="F135" i="32"/>
  <c r="F54" s="1"/>
  <c r="F65" s="1"/>
  <c r="Q114"/>
  <c r="F137" i="109"/>
  <c r="F56" s="1"/>
  <c r="F67" s="1"/>
  <c r="P575" i="105" s="1"/>
  <c r="Q116" i="109"/>
  <c r="F139" i="108"/>
  <c r="F58" s="1"/>
  <c r="F69" s="1"/>
  <c r="P568" i="105" s="1"/>
  <c r="Q118" i="108"/>
  <c r="F136" i="98"/>
  <c r="F55" s="1"/>
  <c r="F66" s="1"/>
  <c r="P518" i="105" s="1"/>
  <c r="Q115" i="98"/>
  <c r="F137" i="93"/>
  <c r="F56" s="1"/>
  <c r="F67" s="1"/>
  <c r="P472" i="105" s="1"/>
  <c r="Q116" i="93"/>
  <c r="F136" i="91"/>
  <c r="F55" s="1"/>
  <c r="F66" s="1"/>
  <c r="P453" i="105" s="1"/>
  <c r="Q115" i="91"/>
  <c r="F136" i="79"/>
  <c r="F55" s="1"/>
  <c r="F66" s="1"/>
  <c r="P417" i="105" s="1"/>
  <c r="Q115" i="79"/>
  <c r="F139" i="78"/>
  <c r="F58" s="1"/>
  <c r="F69" s="1"/>
  <c r="P337" i="105" s="1"/>
  <c r="Q118" i="78"/>
  <c r="F135" i="77"/>
  <c r="F54" s="1"/>
  <c r="F65" s="1"/>
  <c r="P324" i="105" s="1"/>
  <c r="Q114" i="77"/>
  <c r="F135" i="73"/>
  <c r="F54" s="1"/>
  <c r="F65" s="1"/>
  <c r="P288" i="105" s="1"/>
  <c r="Q114" i="73"/>
  <c r="F136" i="71"/>
  <c r="F55" s="1"/>
  <c r="F66" s="1"/>
  <c r="P270" i="105" s="1"/>
  <c r="Q115" i="71"/>
  <c r="F135" i="67"/>
  <c r="F54" s="1"/>
  <c r="F65" s="1"/>
  <c r="Q114"/>
  <c r="F135" i="108"/>
  <c r="F54" s="1"/>
  <c r="F65" s="1"/>
  <c r="P564" i="105" s="1"/>
  <c r="Q114" i="108"/>
  <c r="F136" i="100"/>
  <c r="F55" s="1"/>
  <c r="F66" s="1"/>
  <c r="P536" i="105" s="1"/>
  <c r="Q115" i="100"/>
  <c r="F136" i="93"/>
  <c r="F55" s="1"/>
  <c r="F66" s="1"/>
  <c r="P471" i="105" s="1"/>
  <c r="Q115" i="93"/>
  <c r="F138" i="80"/>
  <c r="F57" s="1"/>
  <c r="F68" s="1"/>
  <c r="P428" i="105" s="1"/>
  <c r="Q117" i="80"/>
  <c r="F136" i="77"/>
  <c r="F55" s="1"/>
  <c r="F66" s="1"/>
  <c r="P325" i="105" s="1"/>
  <c r="Q115" i="77"/>
  <c r="F136" i="73"/>
  <c r="F55" s="1"/>
  <c r="F66" s="1"/>
  <c r="P289" i="105" s="1"/>
  <c r="Q115" i="73"/>
  <c r="F137" i="68"/>
  <c r="F56" s="1"/>
  <c r="F67" s="1"/>
  <c r="P243" i="105" s="1"/>
  <c r="Q116" i="68"/>
  <c r="F139" i="49"/>
  <c r="F58" s="1"/>
  <c r="F69" s="1"/>
  <c r="P123" i="105" s="1"/>
  <c r="Q118" i="49"/>
  <c r="F139" i="75"/>
  <c r="F58" s="1"/>
  <c r="F69" s="1"/>
  <c r="P310" i="105" s="1"/>
  <c r="Q118" i="75"/>
  <c r="F135" i="40"/>
  <c r="F54" s="1"/>
  <c r="F65" s="1"/>
  <c r="P36" i="105" s="1"/>
  <c r="Q114" i="40"/>
  <c r="F137" i="49"/>
  <c r="F56" s="1"/>
  <c r="F67" s="1"/>
  <c r="P121" i="105" s="1"/>
  <c r="Q116" i="49"/>
  <c r="F139" i="86"/>
  <c r="F58" s="1"/>
  <c r="F69" s="1"/>
  <c r="P393" i="105" s="1"/>
  <c r="Q118" i="86"/>
  <c r="F136" i="59"/>
  <c r="F55" s="1"/>
  <c r="F66" s="1"/>
  <c r="P210" i="105" s="1"/>
  <c r="Q115" i="59"/>
  <c r="F139" i="60"/>
  <c r="F58" s="1"/>
  <c r="F69" s="1"/>
  <c r="P222" i="105" s="1"/>
  <c r="Q118" i="60"/>
  <c r="F137" i="53"/>
  <c r="F56" s="1"/>
  <c r="F67" s="1"/>
  <c r="P157" i="105" s="1"/>
  <c r="Q116" i="53"/>
  <c r="F136" i="47"/>
  <c r="F55" s="1"/>
  <c r="F66" s="1"/>
  <c r="P102" i="105" s="1"/>
  <c r="Q115" i="47"/>
  <c r="F139" i="44"/>
  <c r="F58" s="1"/>
  <c r="F69" s="1"/>
  <c r="P76" i="105" s="1"/>
  <c r="Q118" i="44"/>
  <c r="F135" i="42"/>
  <c r="F54" s="1"/>
  <c r="F65" s="1"/>
  <c r="P54" i="105" s="1"/>
  <c r="Q114" i="42"/>
  <c r="F137" i="40"/>
  <c r="F56" s="1"/>
  <c r="F67" s="1"/>
  <c r="P38" i="105" s="1"/>
  <c r="Q116" i="40"/>
  <c r="F135" i="38"/>
  <c r="F54" s="1"/>
  <c r="F65" s="1"/>
  <c r="P18" i="105" s="1"/>
  <c r="Q114" i="38"/>
  <c r="F139" i="32"/>
  <c r="F58" s="1"/>
  <c r="F69" s="1"/>
  <c r="Q118"/>
  <c r="F135" i="102"/>
  <c r="F54" s="1"/>
  <c r="F65" s="1"/>
  <c r="P555" i="105" s="1"/>
  <c r="Q114" i="102"/>
  <c r="F137" i="101"/>
  <c r="F56" s="1"/>
  <c r="F67" s="1"/>
  <c r="P546" i="105" s="1"/>
  <c r="Q116" i="101"/>
  <c r="F135" i="99"/>
  <c r="F54" s="1"/>
  <c r="F65" s="1"/>
  <c r="P526" i="105" s="1"/>
  <c r="Q114" i="99"/>
  <c r="F135" i="97"/>
  <c r="F54" s="1"/>
  <c r="F65" s="1"/>
  <c r="P506" i="105" s="1"/>
  <c r="Q114" i="97"/>
  <c r="F135" i="91"/>
  <c r="F54" s="1"/>
  <c r="F65" s="1"/>
  <c r="P452" i="105" s="1"/>
  <c r="Q114" i="91"/>
  <c r="F137" i="79"/>
  <c r="F56" s="1"/>
  <c r="F67" s="1"/>
  <c r="P418" i="105" s="1"/>
  <c r="Q116" i="79"/>
  <c r="F138" i="77"/>
  <c r="F57" s="1"/>
  <c r="F68" s="1"/>
  <c r="P327" i="105" s="1"/>
  <c r="Q117" i="77"/>
  <c r="F135" i="75"/>
  <c r="F54" s="1"/>
  <c r="F65" s="1"/>
  <c r="P306" i="105" s="1"/>
  <c r="Q114" i="75"/>
  <c r="F138" i="73"/>
  <c r="F57" s="1"/>
  <c r="F68" s="1"/>
  <c r="P291" i="105" s="1"/>
  <c r="Q117" i="73"/>
  <c r="F137" i="71"/>
  <c r="F56" s="1"/>
  <c r="F67" s="1"/>
  <c r="P271" i="105" s="1"/>
  <c r="Q116" i="71"/>
  <c r="F138" i="67"/>
  <c r="F57" s="1"/>
  <c r="F68" s="1"/>
  <c r="Q117"/>
  <c r="F137" i="80"/>
  <c r="F56" s="1"/>
  <c r="F67" s="1"/>
  <c r="P427" i="105" s="1"/>
  <c r="Q116" i="80"/>
  <c r="F138" i="72"/>
  <c r="F57" s="1"/>
  <c r="F68" s="1"/>
  <c r="P281" i="105" s="1"/>
  <c r="Q117" i="72"/>
  <c r="F136" i="67"/>
  <c r="F55" s="1"/>
  <c r="F66" s="1"/>
  <c r="Q115"/>
  <c r="F137" i="44"/>
  <c r="F56" s="1"/>
  <c r="F67" s="1"/>
  <c r="P74" i="105" s="1"/>
  <c r="Q116" i="44"/>
  <c r="F137" i="90"/>
  <c r="F56" s="1"/>
  <c r="F67" s="1"/>
  <c r="P445" i="105" s="1"/>
  <c r="Q116" i="90"/>
  <c r="F137" i="46"/>
  <c r="F56" s="1"/>
  <c r="F67" s="1"/>
  <c r="P92" i="105" s="1"/>
  <c r="Q116" i="46"/>
  <c r="F135" i="82"/>
  <c r="F54" s="1"/>
  <c r="F65" s="1"/>
  <c r="P351" i="105" s="1"/>
  <c r="Q114" i="82"/>
  <c r="F138" i="40"/>
  <c r="F57" s="1"/>
  <c r="F68" s="1"/>
  <c r="P39" i="105" s="1"/>
  <c r="Q117" i="40"/>
  <c r="F139" i="46"/>
  <c r="F58" s="1"/>
  <c r="F69" s="1"/>
  <c r="P94" i="105" s="1"/>
  <c r="Q118" i="46"/>
  <c r="F137" i="59"/>
  <c r="F56" s="1"/>
  <c r="F67" s="1"/>
  <c r="P211" i="105" s="1"/>
  <c r="Q116" i="59"/>
  <c r="F139" i="82"/>
  <c r="F58" s="1"/>
  <c r="F69" s="1"/>
  <c r="P355" i="105" s="1"/>
  <c r="Q118" i="82"/>
  <c r="F136" i="39"/>
  <c r="F55" s="1"/>
  <c r="F66" s="1"/>
  <c r="P28" i="105" s="1"/>
  <c r="Q115" i="39"/>
  <c r="F136" i="58"/>
  <c r="F55" s="1"/>
  <c r="F66" s="1"/>
  <c r="P201" i="105" s="1"/>
  <c r="Q115" i="58"/>
  <c r="F138" i="45"/>
  <c r="F57" s="1"/>
  <c r="F68" s="1"/>
  <c r="P84" i="105" s="1"/>
  <c r="Q117" i="45"/>
  <c r="F136" i="43"/>
  <c r="F55" s="1"/>
  <c r="F66" s="1"/>
  <c r="P64" i="105" s="1"/>
  <c r="Q115" i="43"/>
  <c r="F137" i="38"/>
  <c r="F56" s="1"/>
  <c r="F67" s="1"/>
  <c r="P20" i="105" s="1"/>
  <c r="Q116" i="38"/>
  <c r="F136" i="127"/>
  <c r="F55" s="1"/>
  <c r="F66" s="1"/>
  <c r="P583" i="105" s="1"/>
  <c r="Q115" i="127"/>
  <c r="F135" i="96"/>
  <c r="F54" s="1"/>
  <c r="F65" s="1"/>
  <c r="P497" i="105" s="1"/>
  <c r="Q114" i="96"/>
  <c r="F139" i="79"/>
  <c r="F58" s="1"/>
  <c r="F69" s="1"/>
  <c r="P420" i="105" s="1"/>
  <c r="Q118" i="79"/>
  <c r="F135" i="78"/>
  <c r="F54" s="1"/>
  <c r="F65" s="1"/>
  <c r="P333" i="105" s="1"/>
  <c r="Q114" i="78"/>
  <c r="F139" i="72"/>
  <c r="F58" s="1"/>
  <c r="F69" s="1"/>
  <c r="P282" i="105" s="1"/>
  <c r="Q118" i="72"/>
  <c r="F135" i="89"/>
  <c r="F54" s="1"/>
  <c r="F65" s="1"/>
  <c r="P434" i="105" s="1"/>
  <c r="Q114" i="89"/>
  <c r="G137" i="81"/>
  <c r="G56" s="1"/>
  <c r="G67" s="1"/>
  <c r="Q344" i="105" s="1"/>
  <c r="R116" i="81"/>
  <c r="G139" i="92"/>
  <c r="G58" s="1"/>
  <c r="G69" s="1"/>
  <c r="Q465" i="105" s="1"/>
  <c r="R118" i="92"/>
  <c r="G137" i="56"/>
  <c r="G56" s="1"/>
  <c r="G67" s="1"/>
  <c r="Q184" i="105" s="1"/>
  <c r="R116" i="56"/>
  <c r="G135" i="94"/>
  <c r="G54" s="1"/>
  <c r="G65" s="1"/>
  <c r="Q479" i="105" s="1"/>
  <c r="R114" i="94"/>
  <c r="G139" i="48"/>
  <c r="R118"/>
  <c r="G137" i="41"/>
  <c r="G56" s="1"/>
  <c r="G67" s="1"/>
  <c r="Q47" i="105" s="1"/>
  <c r="R116" i="41"/>
  <c r="G138" i="83"/>
  <c r="G57" s="1"/>
  <c r="G68" s="1"/>
  <c r="Q363" i="105" s="1"/>
  <c r="R117" i="83"/>
  <c r="G136" i="129"/>
  <c r="G55" s="1"/>
  <c r="G66" s="1"/>
  <c r="Q601" i="105" s="1"/>
  <c r="R115" i="129"/>
  <c r="G137" i="54"/>
  <c r="G56" s="1"/>
  <c r="G67" s="1"/>
  <c r="Q166" i="105" s="1"/>
  <c r="R116" i="54"/>
  <c r="G136" i="41"/>
  <c r="G55" s="1"/>
  <c r="G66" s="1"/>
  <c r="Q46" i="105" s="1"/>
  <c r="R115" i="41"/>
  <c r="G138" i="95"/>
  <c r="G57" s="1"/>
  <c r="G68" s="1"/>
  <c r="Q491" i="105" s="1"/>
  <c r="R117" i="95"/>
  <c r="G136" i="69"/>
  <c r="G55" s="1"/>
  <c r="G66" s="1"/>
  <c r="Q251" i="105" s="1"/>
  <c r="R115" i="69"/>
  <c r="G139" i="95"/>
  <c r="G58" s="1"/>
  <c r="G69" s="1"/>
  <c r="Q492" i="105" s="1"/>
  <c r="R118" i="95"/>
  <c r="G135" i="88"/>
  <c r="G54" s="1"/>
  <c r="G65" s="1"/>
  <c r="Q407" i="105" s="1"/>
  <c r="R114" i="88"/>
  <c r="G139" i="69"/>
  <c r="G58" s="1"/>
  <c r="G69" s="1"/>
  <c r="Q254" i="105" s="1"/>
  <c r="R118" i="69"/>
  <c r="G137" i="95"/>
  <c r="G56" s="1"/>
  <c r="G67" s="1"/>
  <c r="Q490" i="105" s="1"/>
  <c r="R116" i="95"/>
  <c r="G136" i="52"/>
  <c r="G55" s="1"/>
  <c r="G66" s="1"/>
  <c r="Q147" i="105" s="1"/>
  <c r="R115" i="52"/>
  <c r="G139" i="76"/>
  <c r="G58" s="1"/>
  <c r="G69" s="1"/>
  <c r="Q319" i="105" s="1"/>
  <c r="R118" i="76"/>
  <c r="G135" i="89"/>
  <c r="G54" s="1"/>
  <c r="G65" s="1"/>
  <c r="Q434" i="105" s="1"/>
  <c r="R114" i="89"/>
  <c r="G136"/>
  <c r="G55" s="1"/>
  <c r="G66" s="1"/>
  <c r="Q435" i="105" s="1"/>
  <c r="R115" i="89"/>
  <c r="G136" i="87"/>
  <c r="G55" s="1"/>
  <c r="G66" s="1"/>
  <c r="Q399" i="105" s="1"/>
  <c r="R115" i="87"/>
  <c r="G139" i="88"/>
  <c r="G58" s="1"/>
  <c r="G69" s="1"/>
  <c r="Q411" i="105" s="1"/>
  <c r="R118" i="88"/>
  <c r="G137" i="89"/>
  <c r="G56" s="1"/>
  <c r="G67" s="1"/>
  <c r="Q436" i="105" s="1"/>
  <c r="R116" i="89"/>
  <c r="G135" i="95"/>
  <c r="G54" s="1"/>
  <c r="G65" s="1"/>
  <c r="Q488" i="105" s="1"/>
  <c r="R114" i="95"/>
  <c r="G139" i="87"/>
  <c r="G58" s="1"/>
  <c r="G69" s="1"/>
  <c r="Q402" i="105" s="1"/>
  <c r="R118" i="87"/>
  <c r="G138" i="56"/>
  <c r="G57" s="1"/>
  <c r="G68" s="1"/>
  <c r="Q185" i="105" s="1"/>
  <c r="R117" i="56"/>
  <c r="G137" i="94"/>
  <c r="G56" s="1"/>
  <c r="G67" s="1"/>
  <c r="Q481" i="105" s="1"/>
  <c r="R116" i="94"/>
  <c r="G138" i="87"/>
  <c r="G57" s="1"/>
  <c r="G68" s="1"/>
  <c r="Q401" i="105" s="1"/>
  <c r="R117" i="87"/>
  <c r="G138" i="81"/>
  <c r="G57" s="1"/>
  <c r="G68" s="1"/>
  <c r="Q345" i="105" s="1"/>
  <c r="R117" i="81"/>
  <c r="G137" i="76"/>
  <c r="G56" s="1"/>
  <c r="G67" s="1"/>
  <c r="Q317" i="105" s="1"/>
  <c r="R116" i="76"/>
  <c r="G136" i="81"/>
  <c r="G55" s="1"/>
  <c r="G66" s="1"/>
  <c r="Q343" i="105" s="1"/>
  <c r="R115" i="81"/>
  <c r="G135" i="92"/>
  <c r="G54" s="1"/>
  <c r="G65" s="1"/>
  <c r="Q461" i="105" s="1"/>
  <c r="R114" i="92"/>
  <c r="G136"/>
  <c r="G55" s="1"/>
  <c r="G66" s="1"/>
  <c r="Q462" i="105" s="1"/>
  <c r="R115" i="92"/>
  <c r="G135" i="81"/>
  <c r="G54" s="1"/>
  <c r="G65" s="1"/>
  <c r="Q342" i="105" s="1"/>
  <c r="R114" i="81"/>
  <c r="G138" i="129"/>
  <c r="G57" s="1"/>
  <c r="G68" s="1"/>
  <c r="Q603" i="105" s="1"/>
  <c r="R117" i="129"/>
  <c r="G137"/>
  <c r="G56" s="1"/>
  <c r="G67" s="1"/>
  <c r="Q602" i="105" s="1"/>
  <c r="R116" i="129"/>
  <c r="G136" i="95"/>
  <c r="G55" s="1"/>
  <c r="G66" s="1"/>
  <c r="Q489" i="105" s="1"/>
  <c r="R115" i="95"/>
  <c r="G138" i="76"/>
  <c r="G57" s="1"/>
  <c r="G68" s="1"/>
  <c r="Q318" i="105" s="1"/>
  <c r="R117" i="76"/>
  <c r="G137" i="52"/>
  <c r="G56" s="1"/>
  <c r="G67" s="1"/>
  <c r="Q148" i="105" s="1"/>
  <c r="R116" i="52"/>
  <c r="G139" i="57"/>
  <c r="G58" s="1"/>
  <c r="G69" s="1"/>
  <c r="Q195" i="105" s="1"/>
  <c r="R118" i="57"/>
  <c r="G138" i="55"/>
  <c r="G57" s="1"/>
  <c r="G68" s="1"/>
  <c r="Q176" i="105" s="1"/>
  <c r="R117" i="55"/>
  <c r="G137" i="87"/>
  <c r="G56" s="1"/>
  <c r="G67" s="1"/>
  <c r="Q400" i="105" s="1"/>
  <c r="R116" i="87"/>
  <c r="G136" i="76"/>
  <c r="G55" s="1"/>
  <c r="G66" s="1"/>
  <c r="Q316" i="105" s="1"/>
  <c r="R115" i="76"/>
  <c r="G138" i="51"/>
  <c r="G57" s="1"/>
  <c r="G68" s="1"/>
  <c r="Q140" i="105" s="1"/>
  <c r="R117" i="51"/>
  <c r="G136" i="88"/>
  <c r="G55" s="1"/>
  <c r="G66" s="1"/>
  <c r="Q408" i="105" s="1"/>
  <c r="R115" i="88"/>
  <c r="G135" i="56"/>
  <c r="G54" s="1"/>
  <c r="G65" s="1"/>
  <c r="Q182" i="105" s="1"/>
  <c r="R114" i="56"/>
  <c r="G137" i="92"/>
  <c r="G56" s="1"/>
  <c r="G67" s="1"/>
  <c r="Q463" i="105" s="1"/>
  <c r="R116" i="92"/>
  <c r="G136" i="94"/>
  <c r="G55" s="1"/>
  <c r="G66" s="1"/>
  <c r="Q480" i="105" s="1"/>
  <c r="R115" i="94"/>
  <c r="G139" i="56"/>
  <c r="G58" s="1"/>
  <c r="G69" s="1"/>
  <c r="Q186" i="105" s="1"/>
  <c r="R118" i="56"/>
  <c r="G138" i="92"/>
  <c r="G57" s="1"/>
  <c r="G68" s="1"/>
  <c r="Q464" i="105" s="1"/>
  <c r="R117" i="92"/>
  <c r="G138" i="94"/>
  <c r="G57" s="1"/>
  <c r="G68" s="1"/>
  <c r="Q482" i="105" s="1"/>
  <c r="R117" i="94"/>
  <c r="G137" i="88"/>
  <c r="G56" s="1"/>
  <c r="G67" s="1"/>
  <c r="Q409" i="105" s="1"/>
  <c r="R116" i="88"/>
  <c r="G139" i="81"/>
  <c r="G58" s="1"/>
  <c r="G69" s="1"/>
  <c r="Q346" i="105" s="1"/>
  <c r="R118" i="81"/>
  <c r="G135" i="76"/>
  <c r="G54" s="1"/>
  <c r="G65" s="1"/>
  <c r="Q315" i="105" s="1"/>
  <c r="R114" i="76"/>
  <c r="G139" i="94"/>
  <c r="G58" s="1"/>
  <c r="G69" s="1"/>
  <c r="Q483" i="105" s="1"/>
  <c r="R118" i="94"/>
  <c r="G136" i="56"/>
  <c r="G55" s="1"/>
  <c r="G66" s="1"/>
  <c r="Q183" i="105" s="1"/>
  <c r="R115" i="56"/>
  <c r="G138" i="57"/>
  <c r="G57" s="1"/>
  <c r="G68" s="1"/>
  <c r="Q194" i="105" s="1"/>
  <c r="R117" i="57"/>
  <c r="G135" i="83"/>
  <c r="G54" s="1"/>
  <c r="G65" s="1"/>
  <c r="Q360" i="105" s="1"/>
  <c r="R114" i="83"/>
  <c r="G139" i="51"/>
  <c r="G58" s="1"/>
  <c r="G69" s="1"/>
  <c r="Q141" i="105" s="1"/>
  <c r="R118" i="51"/>
  <c r="G135" i="129"/>
  <c r="G54" s="1"/>
  <c r="G65" s="1"/>
  <c r="Q600" i="105" s="1"/>
  <c r="R114" i="129"/>
  <c r="G135" i="51"/>
  <c r="G54" s="1"/>
  <c r="G65" s="1"/>
  <c r="Q137" i="105" s="1"/>
  <c r="R114" i="51"/>
  <c r="G139" i="129"/>
  <c r="G58" s="1"/>
  <c r="G69" s="1"/>
  <c r="Q604" i="105" s="1"/>
  <c r="R118" i="129"/>
  <c r="G137" i="51"/>
  <c r="G56" s="1"/>
  <c r="G67" s="1"/>
  <c r="Q139" i="105" s="1"/>
  <c r="R116" i="51"/>
  <c r="G135" i="41"/>
  <c r="G54" s="1"/>
  <c r="G65" s="1"/>
  <c r="Q45" i="105" s="1"/>
  <c r="R114" i="41"/>
  <c r="G138" i="88"/>
  <c r="G57" s="1"/>
  <c r="G68" s="1"/>
  <c r="Q410" i="105" s="1"/>
  <c r="R117" i="88"/>
  <c r="G135" i="69"/>
  <c r="G54" s="1"/>
  <c r="G65" s="1"/>
  <c r="Q250" i="105" s="1"/>
  <c r="R114" i="69"/>
  <c r="G139" i="55"/>
  <c r="G58" s="1"/>
  <c r="G69" s="1"/>
  <c r="Q177" i="105" s="1"/>
  <c r="R118" i="55"/>
  <c r="G138" i="69"/>
  <c r="G57" s="1"/>
  <c r="G68" s="1"/>
  <c r="Q253" i="105" s="1"/>
  <c r="R117" i="69"/>
  <c r="G137"/>
  <c r="G56" s="1"/>
  <c r="G67" s="1"/>
  <c r="Q252" i="105" s="1"/>
  <c r="R116" i="69"/>
  <c r="G136" i="51"/>
  <c r="G55" s="1"/>
  <c r="G66" s="1"/>
  <c r="Q138" i="105" s="1"/>
  <c r="R115" i="51"/>
  <c r="G135" i="87"/>
  <c r="G54" s="1"/>
  <c r="G65" s="1"/>
  <c r="Q398" i="105" s="1"/>
  <c r="R114" i="87"/>
  <c r="G137" i="90"/>
  <c r="G56" s="1"/>
  <c r="G67" s="1"/>
  <c r="Q445" i="105" s="1"/>
  <c r="R116" i="90"/>
  <c r="G139" i="89"/>
  <c r="G58" s="1"/>
  <c r="G69" s="1"/>
  <c r="Q438" i="105" s="1"/>
  <c r="R118" i="89"/>
  <c r="G138"/>
  <c r="G57" s="1"/>
  <c r="G68" s="1"/>
  <c r="Q437" i="105" s="1"/>
  <c r="R117" i="89"/>
  <c r="G135" i="52"/>
  <c r="G54" s="1"/>
  <c r="G65" s="1"/>
  <c r="Q146" i="105" s="1"/>
  <c r="R114" i="52"/>
  <c r="T117" i="84"/>
  <c r="T115"/>
  <c r="T114"/>
  <c r="S113"/>
  <c r="G134" i="56"/>
  <c r="R113"/>
  <c r="G134" i="41"/>
  <c r="R113"/>
  <c r="G134" i="84"/>
  <c r="R113"/>
  <c r="R119" s="1"/>
  <c r="G134" i="94"/>
  <c r="R113"/>
  <c r="G134" i="55"/>
  <c r="R113"/>
  <c r="G134" i="83"/>
  <c r="R113"/>
  <c r="G134" i="51"/>
  <c r="R113"/>
  <c r="G134" i="95"/>
  <c r="R113"/>
  <c r="G134" i="129"/>
  <c r="R113"/>
  <c r="G134" i="52"/>
  <c r="R113"/>
  <c r="G134" i="89"/>
  <c r="R113"/>
  <c r="G134" i="92"/>
  <c r="R113"/>
  <c r="G134" i="108"/>
  <c r="R113"/>
  <c r="G134" i="48"/>
  <c r="R113"/>
  <c r="G134" i="69"/>
  <c r="R113"/>
  <c r="F134" i="82"/>
  <c r="Q113"/>
  <c r="F134" i="56"/>
  <c r="Q113"/>
  <c r="Q119" s="1"/>
  <c r="F134" i="57"/>
  <c r="Q113"/>
  <c r="Q119" s="1"/>
  <c r="F134" i="90"/>
  <c r="F53" s="1"/>
  <c r="Q113"/>
  <c r="F134" i="86"/>
  <c r="Q113"/>
  <c r="F134" i="88"/>
  <c r="Q113"/>
  <c r="Q119" s="1"/>
  <c r="F134" i="79"/>
  <c r="Q113"/>
  <c r="F134" i="89"/>
  <c r="Q113"/>
  <c r="F134" i="97"/>
  <c r="Q113"/>
  <c r="F134" i="85"/>
  <c r="Q113"/>
  <c r="F134" i="75"/>
  <c r="Q113"/>
  <c r="F134" i="81"/>
  <c r="Q113"/>
  <c r="Q119" s="1"/>
  <c r="F134" i="87"/>
  <c r="Q113"/>
  <c r="F134" i="94"/>
  <c r="Q113"/>
  <c r="Q119" s="1"/>
  <c r="F134" i="95"/>
  <c r="Q113"/>
  <c r="Q119" s="1"/>
  <c r="F134" i="100"/>
  <c r="Q113"/>
  <c r="F134" i="127"/>
  <c r="Q113"/>
  <c r="F134" i="129"/>
  <c r="Q113"/>
  <c r="Q119" s="1"/>
  <c r="F134" i="32"/>
  <c r="Q113"/>
  <c r="F134" i="38"/>
  <c r="Q113"/>
  <c r="F134" i="40"/>
  <c r="Q113"/>
  <c r="F134" i="41"/>
  <c r="Q113"/>
  <c r="Q119" s="1"/>
  <c r="F134" i="42"/>
  <c r="Q113"/>
  <c r="F134" i="49"/>
  <c r="Q113"/>
  <c r="F134" i="52"/>
  <c r="Q113"/>
  <c r="Q119" s="1"/>
  <c r="F134" i="59"/>
  <c r="Q113"/>
  <c r="F134" i="43"/>
  <c r="Q113"/>
  <c r="F134" i="51"/>
  <c r="Q113"/>
  <c r="Q119" s="1"/>
  <c r="F134" i="46"/>
  <c r="F53" s="1"/>
  <c r="Q113"/>
  <c r="F134" i="68"/>
  <c r="Q113"/>
  <c r="F134" i="69"/>
  <c r="Q113"/>
  <c r="Q119" s="1"/>
  <c r="F134" i="76"/>
  <c r="Q113"/>
  <c r="Q119" s="1"/>
  <c r="F134" i="83"/>
  <c r="Q113"/>
  <c r="Q119" s="1"/>
  <c r="F134" i="96"/>
  <c r="Q113"/>
  <c r="F134" i="48"/>
  <c r="Q113"/>
  <c r="Q119" s="1"/>
  <c r="F134" i="53"/>
  <c r="Q113"/>
  <c r="F134" i="54"/>
  <c r="Q113"/>
  <c r="Q119" s="1"/>
  <c r="F134" i="55"/>
  <c r="Q113"/>
  <c r="Q119" s="1"/>
  <c r="F134" i="58"/>
  <c r="Q113"/>
  <c r="E134" i="69"/>
  <c r="P113"/>
  <c r="E134" i="72"/>
  <c r="P113"/>
  <c r="P119" s="1"/>
  <c r="E134" i="74"/>
  <c r="P113"/>
  <c r="P119" s="1"/>
  <c r="E134" i="88"/>
  <c r="P113"/>
  <c r="P119" s="1"/>
  <c r="E134" i="89"/>
  <c r="P113"/>
  <c r="E134" i="91"/>
  <c r="P113"/>
  <c r="P119" s="1"/>
  <c r="E134" i="94"/>
  <c r="P113"/>
  <c r="E134" i="98"/>
  <c r="P113"/>
  <c r="P119" s="1"/>
  <c r="E134" i="108"/>
  <c r="P113"/>
  <c r="E134" i="38"/>
  <c r="P113"/>
  <c r="P119" s="1"/>
  <c r="E134" i="41"/>
  <c r="P113"/>
  <c r="E134" i="44"/>
  <c r="P113"/>
  <c r="P119" s="1"/>
  <c r="E134" i="45"/>
  <c r="P113"/>
  <c r="P119" s="1"/>
  <c r="E134" i="47"/>
  <c r="P113"/>
  <c r="P119" s="1"/>
  <c r="E134" i="51"/>
  <c r="P113"/>
  <c r="E134" i="52"/>
  <c r="P113"/>
  <c r="E134" i="54"/>
  <c r="P113"/>
  <c r="E134" i="55"/>
  <c r="P113"/>
  <c r="E134" i="56"/>
  <c r="P113"/>
  <c r="E134" i="58"/>
  <c r="P113"/>
  <c r="P119" s="1"/>
  <c r="E134" i="60"/>
  <c r="P113"/>
  <c r="P119" s="1"/>
  <c r="E134" i="68"/>
  <c r="P113"/>
  <c r="E134" i="71"/>
  <c r="P113"/>
  <c r="P119" s="1"/>
  <c r="E134" i="73"/>
  <c r="P113"/>
  <c r="P119" s="1"/>
  <c r="E134" i="76"/>
  <c r="P113"/>
  <c r="E134" i="81"/>
  <c r="P113"/>
  <c r="E134" i="82"/>
  <c r="P113"/>
  <c r="P119" s="1"/>
  <c r="E134" i="84"/>
  <c r="P113"/>
  <c r="E134" i="85"/>
  <c r="P113"/>
  <c r="P119" s="1"/>
  <c r="E134" i="86"/>
  <c r="P113"/>
  <c r="P119" s="1"/>
  <c r="E134" i="92"/>
  <c r="P113"/>
  <c r="E134" i="93"/>
  <c r="P113"/>
  <c r="P119" s="1"/>
  <c r="E134" i="95"/>
  <c r="P113"/>
  <c r="E134" i="97"/>
  <c r="P113"/>
  <c r="P119" s="1"/>
  <c r="E134" i="101"/>
  <c r="P113"/>
  <c r="P119" s="1"/>
  <c r="E134" i="102"/>
  <c r="P113"/>
  <c r="P119" s="1"/>
  <c r="E134" i="127"/>
  <c r="P113"/>
  <c r="P119" s="1"/>
  <c r="E134" i="40"/>
  <c r="P113"/>
  <c r="P119" s="1"/>
  <c r="E134" i="42"/>
  <c r="P113"/>
  <c r="P119" s="1"/>
  <c r="E134" i="48"/>
  <c r="P113"/>
  <c r="E134" i="49"/>
  <c r="P113"/>
  <c r="P119" s="1"/>
  <c r="E134" i="53"/>
  <c r="P113"/>
  <c r="P119" s="1"/>
  <c r="E134" i="57"/>
  <c r="P113"/>
  <c r="E134" i="70"/>
  <c r="P113"/>
  <c r="P119" s="1"/>
  <c r="E134" i="75"/>
  <c r="P113"/>
  <c r="P119" s="1"/>
  <c r="E134" i="77"/>
  <c r="P113"/>
  <c r="P119" s="1"/>
  <c r="E134" i="83"/>
  <c r="P113"/>
  <c r="E134" i="87"/>
  <c r="P113"/>
  <c r="E134" i="80"/>
  <c r="P113"/>
  <c r="P119" s="1"/>
  <c r="E134" i="90"/>
  <c r="P113"/>
  <c r="P119" s="1"/>
  <c r="E134" i="96"/>
  <c r="P113"/>
  <c r="P119" s="1"/>
  <c r="E134" i="99"/>
  <c r="P113"/>
  <c r="E134" i="100"/>
  <c r="P113"/>
  <c r="P119" s="1"/>
  <c r="E134" i="129"/>
  <c r="P113"/>
  <c r="E134" i="32"/>
  <c r="E53" s="1"/>
  <c r="P113"/>
  <c r="P119" s="1"/>
  <c r="E134" i="39"/>
  <c r="P113"/>
  <c r="E134" i="43"/>
  <c r="P113"/>
  <c r="E134" i="46"/>
  <c r="P113"/>
  <c r="P119" s="1"/>
  <c r="E134" i="50"/>
  <c r="P113"/>
  <c r="P119" s="1"/>
  <c r="E134" i="59"/>
  <c r="P113"/>
  <c r="P119" s="1"/>
  <c r="F57" i="128"/>
  <c r="F68" s="1"/>
  <c r="P594" i="105" s="1"/>
  <c r="F55" i="128"/>
  <c r="F66" s="1"/>
  <c r="P592" i="105" s="1"/>
  <c r="F58" i="128"/>
  <c r="F69" s="1"/>
  <c r="P595" i="105" s="1"/>
  <c r="F56" i="128"/>
  <c r="F67" s="1"/>
  <c r="P593" i="105" s="1"/>
  <c r="F54" i="128"/>
  <c r="F65" s="1"/>
  <c r="P591" i="105" s="1"/>
  <c r="Q84" i="84"/>
  <c r="I113" i="71"/>
  <c r="I124" s="1" a="1"/>
  <c r="I124" s="1"/>
  <c r="H129" a="1"/>
  <c r="H129" s="1"/>
  <c r="H123" i="48" a="1"/>
  <c r="H123" s="1"/>
  <c r="H127" a="1"/>
  <c r="H127" s="1"/>
  <c r="H129" a="1"/>
  <c r="H129" s="1"/>
  <c r="H124" a="1"/>
  <c r="H124" s="1"/>
  <c r="G128" i="71" a="1"/>
  <c r="G128" s="1"/>
  <c r="G130" s="1"/>
  <c r="G128" i="48" a="1"/>
  <c r="G128" s="1"/>
  <c r="G130" s="1"/>
  <c r="H87" i="69" a="1"/>
  <c r="H87" s="1"/>
  <c r="H99" s="1"/>
  <c r="H43" s="1"/>
  <c r="I82" i="39"/>
  <c r="T82" s="1"/>
  <c r="S81" i="78"/>
  <c r="I81"/>
  <c r="T81" s="1"/>
  <c r="H91" i="51" a="1"/>
  <c r="H91" s="1"/>
  <c r="H87" i="54" a="1"/>
  <c r="H87" s="1"/>
  <c r="H99" s="1"/>
  <c r="H43" s="1"/>
  <c r="H88" a="1"/>
  <c r="H88" s="1"/>
  <c r="H100" s="1"/>
  <c r="H44" s="1"/>
  <c r="H93" i="41" a="1"/>
  <c r="H93" s="1"/>
  <c r="I81" i="40"/>
  <c r="T81" s="1"/>
  <c r="I80"/>
  <c r="T80" s="1"/>
  <c r="I81" i="129"/>
  <c r="T81" s="1"/>
  <c r="H93" i="95" a="1"/>
  <c r="H93" s="1"/>
  <c r="G92" i="89" a="1"/>
  <c r="G92" s="1"/>
  <c r="G94" s="1"/>
  <c r="G92" i="87" a="1"/>
  <c r="G92" s="1"/>
  <c r="G94" s="1"/>
  <c r="I80" i="101"/>
  <c r="T80" s="1"/>
  <c r="G92" i="76" a="1"/>
  <c r="G92" s="1"/>
  <c r="G94" s="1"/>
  <c r="I80" i="49"/>
  <c r="T80" s="1"/>
  <c r="H104" i="84"/>
  <c r="S84" s="1"/>
  <c r="H87" i="48" a="1"/>
  <c r="H87" s="1"/>
  <c r="H99" s="1"/>
  <c r="H43" s="1"/>
  <c r="I98" i="84"/>
  <c r="I92" a="1"/>
  <c r="I92" s="1"/>
  <c r="I94" s="1"/>
  <c r="J94" s="1"/>
  <c r="G92" i="69" a="1"/>
  <c r="G92" s="1"/>
  <c r="G94" s="1"/>
  <c r="H89" i="88" a="1"/>
  <c r="H89" s="1"/>
  <c r="G92" a="1"/>
  <c r="G92" s="1"/>
  <c r="G94" s="1"/>
  <c r="F104" i="89"/>
  <c r="F105" s="1"/>
  <c r="G92" i="95" a="1"/>
  <c r="G92" s="1"/>
  <c r="G94" s="1"/>
  <c r="H88" i="69" a="1"/>
  <c r="H88" s="1"/>
  <c r="H100" s="1"/>
  <c r="H44" s="1"/>
  <c r="H88" i="48" a="1"/>
  <c r="H88" s="1"/>
  <c r="H100" s="1"/>
  <c r="H44" s="1"/>
  <c r="H93" i="87" a="1"/>
  <c r="H93" s="1"/>
  <c r="I78" i="128"/>
  <c r="T78" s="1"/>
  <c r="H91" i="68" a="1"/>
  <c r="H91" s="1"/>
  <c r="H90" i="83" a="1"/>
  <c r="H90" s="1"/>
  <c r="H102" s="1"/>
  <c r="H46" s="1"/>
  <c r="H87" i="95" a="1"/>
  <c r="H87" s="1"/>
  <c r="H99" s="1"/>
  <c r="H43" s="1"/>
  <c r="H93" i="69" a="1"/>
  <c r="H93" s="1"/>
  <c r="H88" i="55" a="1"/>
  <c r="H88" s="1"/>
  <c r="H100" s="1"/>
  <c r="H44" s="1"/>
  <c r="H89" i="57" a="1"/>
  <c r="H89" s="1"/>
  <c r="H101" s="1"/>
  <c r="H45" s="1"/>
  <c r="H87" i="89" a="1"/>
  <c r="H87" s="1"/>
  <c r="H99" s="1"/>
  <c r="H43" s="1"/>
  <c r="H86" i="69" a="1"/>
  <c r="H86" s="1"/>
  <c r="H98" s="1"/>
  <c r="H90" a="1"/>
  <c r="H90" s="1"/>
  <c r="H102" s="1"/>
  <c r="H46" s="1"/>
  <c r="H91" a="1"/>
  <c r="H91" s="1"/>
  <c r="H89" i="87" a="1"/>
  <c r="H89" s="1"/>
  <c r="H101" s="1"/>
  <c r="H45" s="1"/>
  <c r="H89" i="129" a="1"/>
  <c r="H89" s="1"/>
  <c r="H101" s="1"/>
  <c r="H45" s="1"/>
  <c r="R83" i="54"/>
  <c r="H89" i="69" a="1"/>
  <c r="H89" s="1"/>
  <c r="H101" s="1"/>
  <c r="H45" s="1"/>
  <c r="H88" i="95" a="1"/>
  <c r="H88" s="1"/>
  <c r="H100" s="1"/>
  <c r="H44" s="1"/>
  <c r="H89" i="51" a="1"/>
  <c r="H89" s="1"/>
  <c r="H101" s="1"/>
  <c r="H45" s="1"/>
  <c r="H88" i="87" a="1"/>
  <c r="H88" s="1"/>
  <c r="H100" s="1"/>
  <c r="H44" s="1"/>
  <c r="H93" i="88" a="1"/>
  <c r="H93" s="1"/>
  <c r="H88" i="90" a="1"/>
  <c r="H88" s="1"/>
  <c r="H89" i="52" a="1"/>
  <c r="H89" s="1"/>
  <c r="H101" s="1"/>
  <c r="H45" s="1"/>
  <c r="H87" i="76" a="1"/>
  <c r="H87" s="1"/>
  <c r="H99" s="1"/>
  <c r="H43" s="1"/>
  <c r="H87" i="55" a="1"/>
  <c r="H87" s="1"/>
  <c r="H93" i="57" a="1"/>
  <c r="H93" s="1"/>
  <c r="H89" i="41" a="1"/>
  <c r="H89" s="1"/>
  <c r="H101" s="1"/>
  <c r="H45" s="1"/>
  <c r="H88" i="89" a="1"/>
  <c r="H88" s="1"/>
  <c r="H88" i="76" a="1"/>
  <c r="H88" s="1"/>
  <c r="H100" s="1"/>
  <c r="H44" s="1"/>
  <c r="H86" i="87" a="1"/>
  <c r="H86" s="1"/>
  <c r="H98" s="1"/>
  <c r="H90" a="1"/>
  <c r="H90" s="1"/>
  <c r="H91" a="1"/>
  <c r="H91" s="1"/>
  <c r="H103" s="1"/>
  <c r="H47" s="1"/>
  <c r="H86" i="95" a="1"/>
  <c r="H86" s="1"/>
  <c r="H98" s="1"/>
  <c r="H90" a="1"/>
  <c r="H90" s="1"/>
  <c r="H91" a="1"/>
  <c r="H91" s="1"/>
  <c r="H103" s="1"/>
  <c r="H47" s="1"/>
  <c r="I77" i="128"/>
  <c r="T77" s="1"/>
  <c r="H93" i="129" a="1"/>
  <c r="H93" s="1"/>
  <c r="H86" i="51" a="1"/>
  <c r="H86" s="1"/>
  <c r="H98" s="1"/>
  <c r="H93" i="52" a="1"/>
  <c r="H93" s="1"/>
  <c r="G92" i="41" a="1"/>
  <c r="G92" s="1"/>
  <c r="G94" s="1"/>
  <c r="H88" i="52" a="1"/>
  <c r="H88" s="1"/>
  <c r="H100" s="1"/>
  <c r="H44" s="1"/>
  <c r="H87" i="87" a="1"/>
  <c r="H87" s="1"/>
  <c r="H99" s="1"/>
  <c r="H43" s="1"/>
  <c r="H89" i="95" a="1"/>
  <c r="H89" s="1"/>
  <c r="G92" i="51" a="1"/>
  <c r="G92" s="1"/>
  <c r="G94" s="1"/>
  <c r="G92" i="55" a="1"/>
  <c r="G92" s="1"/>
  <c r="G94" s="1"/>
  <c r="H93" i="76" a="1"/>
  <c r="H93" s="1"/>
  <c r="H88" i="51" a="1"/>
  <c r="H88" s="1"/>
  <c r="H100" s="1"/>
  <c r="H44" s="1"/>
  <c r="H87" i="83" a="1"/>
  <c r="H87" s="1"/>
  <c r="H99" s="1"/>
  <c r="H43" s="1"/>
  <c r="H88" i="129" a="1"/>
  <c r="H88" s="1"/>
  <c r="H93" i="54" a="1"/>
  <c r="H93" s="1"/>
  <c r="H89" i="83" a="1"/>
  <c r="H89" s="1"/>
  <c r="H101" s="1"/>
  <c r="H45" s="1"/>
  <c r="H86" i="129" a="1"/>
  <c r="H86" s="1"/>
  <c r="H98" s="1"/>
  <c r="H90" a="1"/>
  <c r="H90" s="1"/>
  <c r="H102" s="1"/>
  <c r="H46" s="1"/>
  <c r="H91" a="1"/>
  <c r="H91" s="1"/>
  <c r="H103" s="1"/>
  <c r="H47" s="1"/>
  <c r="H86" i="52" a="1"/>
  <c r="H86" s="1"/>
  <c r="H98" s="1"/>
  <c r="H90" a="1"/>
  <c r="H90" s="1"/>
  <c r="H102" s="1"/>
  <c r="H46" s="1"/>
  <c r="H91" a="1"/>
  <c r="H91" s="1"/>
  <c r="H103" s="1"/>
  <c r="H47" s="1"/>
  <c r="H88" i="83" a="1"/>
  <c r="H88" s="1"/>
  <c r="H90" i="90" a="1"/>
  <c r="H90" s="1"/>
  <c r="H102" s="1"/>
  <c r="H46" s="1"/>
  <c r="H87" i="129" a="1"/>
  <c r="H87" s="1"/>
  <c r="H99" s="1"/>
  <c r="H43" s="1"/>
  <c r="H87" i="52" a="1"/>
  <c r="H87" s="1"/>
  <c r="H93" i="83" a="1"/>
  <c r="H93" s="1"/>
  <c r="G92" i="52" a="1"/>
  <c r="G92" s="1"/>
  <c r="G94" s="1"/>
  <c r="H91" i="41" a="1"/>
  <c r="H91" s="1"/>
  <c r="H86" i="83" a="1"/>
  <c r="H86" s="1"/>
  <c r="H98" s="1"/>
  <c r="H91" i="88" a="1"/>
  <c r="H91" s="1"/>
  <c r="H103" s="1"/>
  <c r="H47" s="1"/>
  <c r="H90" i="68" a="1"/>
  <c r="H90" s="1"/>
  <c r="H102" s="1"/>
  <c r="H46" s="1"/>
  <c r="H91" i="57" a="1"/>
  <c r="H91" s="1"/>
  <c r="H103" s="1"/>
  <c r="H47" s="1"/>
  <c r="H93" i="48" a="1"/>
  <c r="H93" s="1"/>
  <c r="G92" i="57" a="1"/>
  <c r="G92" s="1"/>
  <c r="G94" s="1"/>
  <c r="G92" i="48" a="1"/>
  <c r="G92" s="1"/>
  <c r="G94" s="1"/>
  <c r="H93" i="89" a="1"/>
  <c r="H93" s="1"/>
  <c r="H93" i="55" a="1"/>
  <c r="H93" s="1"/>
  <c r="H86" i="68" a="1"/>
  <c r="H86" s="1"/>
  <c r="H98" s="1"/>
  <c r="H86" i="76" a="1"/>
  <c r="H86" s="1"/>
  <c r="H98" s="1"/>
  <c r="H90" a="1"/>
  <c r="H90" s="1"/>
  <c r="H91" a="1"/>
  <c r="H91" s="1"/>
  <c r="H103" s="1"/>
  <c r="H47" s="1"/>
  <c r="H87" i="88" a="1"/>
  <c r="H87" s="1"/>
  <c r="H99" s="1"/>
  <c r="H43" s="1"/>
  <c r="H88" a="1"/>
  <c r="H88" s="1"/>
  <c r="H100" s="1"/>
  <c r="H44" s="1"/>
  <c r="H86" i="89" a="1"/>
  <c r="H86" s="1"/>
  <c r="H98" s="1"/>
  <c r="H90" a="1"/>
  <c r="H90" s="1"/>
  <c r="H102" s="1"/>
  <c r="H46" s="1"/>
  <c r="H91" a="1"/>
  <c r="H91" s="1"/>
  <c r="I79" i="90"/>
  <c r="T79" s="1"/>
  <c r="H87" i="41" a="1"/>
  <c r="H87" s="1"/>
  <c r="H99" s="1"/>
  <c r="H43" s="1"/>
  <c r="H88" a="1"/>
  <c r="H88" s="1"/>
  <c r="H100" s="1"/>
  <c r="H44" s="1"/>
  <c r="H86" i="48" a="1"/>
  <c r="H86" s="1"/>
  <c r="H98" s="1"/>
  <c r="H90" a="1"/>
  <c r="H90" s="1"/>
  <c r="H102" s="1"/>
  <c r="H46" s="1"/>
  <c r="H91" a="1"/>
  <c r="H91" s="1"/>
  <c r="H103" s="1"/>
  <c r="H47" s="1"/>
  <c r="H90" i="51" a="1"/>
  <c r="H90" s="1"/>
  <c r="H102" s="1"/>
  <c r="H46" s="1"/>
  <c r="H93" a="1"/>
  <c r="H93" s="1"/>
  <c r="H86" i="54" a="1"/>
  <c r="H86" s="1"/>
  <c r="H98" s="1"/>
  <c r="H90" a="1"/>
  <c r="H90" s="1"/>
  <c r="H102" s="1"/>
  <c r="H46" s="1"/>
  <c r="H91" a="1"/>
  <c r="H91" s="1"/>
  <c r="H103" s="1"/>
  <c r="H47" s="1"/>
  <c r="H89" i="55" a="1"/>
  <c r="H89" s="1"/>
  <c r="H90" a="1"/>
  <c r="H90" s="1"/>
  <c r="H102" s="1"/>
  <c r="H46" s="1"/>
  <c r="H91" a="1"/>
  <c r="H91" s="1"/>
  <c r="H103" s="1"/>
  <c r="H47" s="1"/>
  <c r="H87" i="57" a="1"/>
  <c r="H87" s="1"/>
  <c r="H99" s="1"/>
  <c r="H43" s="1"/>
  <c r="H88" a="1"/>
  <c r="H88" s="1"/>
  <c r="H100" s="1"/>
  <c r="H44" s="1"/>
  <c r="H89" i="76" a="1"/>
  <c r="H89" s="1"/>
  <c r="H101" s="1"/>
  <c r="H45" s="1"/>
  <c r="H86" i="88" a="1"/>
  <c r="H86" s="1"/>
  <c r="H98" s="1"/>
  <c r="H90" a="1"/>
  <c r="H90" s="1"/>
  <c r="H102" s="1"/>
  <c r="H46" s="1"/>
  <c r="H89" i="89" a="1"/>
  <c r="H89" s="1"/>
  <c r="H101" s="1"/>
  <c r="H45" s="1"/>
  <c r="G92" i="129" a="1"/>
  <c r="G92" s="1"/>
  <c r="G94" s="1"/>
  <c r="H86" i="41" a="1"/>
  <c r="H86" s="1"/>
  <c r="H98" s="1"/>
  <c r="H90" a="1"/>
  <c r="H90" s="1"/>
  <c r="H102" s="1"/>
  <c r="H46" s="1"/>
  <c r="H89" i="48" a="1"/>
  <c r="H89" s="1"/>
  <c r="H87" i="51" a="1"/>
  <c r="H87" s="1"/>
  <c r="H99" s="1"/>
  <c r="H43" s="1"/>
  <c r="H89" i="54" a="1"/>
  <c r="H89" s="1"/>
  <c r="H101" s="1"/>
  <c r="H45" s="1"/>
  <c r="H86" i="55" a="1"/>
  <c r="H86" s="1"/>
  <c r="H98" s="1"/>
  <c r="H86" i="57" a="1"/>
  <c r="H86" s="1"/>
  <c r="H98" s="1"/>
  <c r="H90" a="1"/>
  <c r="H90" s="1"/>
  <c r="H102" s="1"/>
  <c r="H46" s="1"/>
  <c r="G92" i="83" a="1"/>
  <c r="G92" s="1"/>
  <c r="G94" s="1"/>
  <c r="H91" a="1"/>
  <c r="H91" s="1"/>
  <c r="H103" s="1"/>
  <c r="H47" s="1"/>
  <c r="G92" i="54" a="1"/>
  <c r="G92" s="1"/>
  <c r="G94" s="1"/>
  <c r="O120" i="89"/>
  <c r="Q84" i="92"/>
  <c r="Q84" i="129"/>
  <c r="O120" i="83"/>
  <c r="O120" i="54"/>
  <c r="O120" i="55"/>
  <c r="Q119" i="92"/>
  <c r="R83" i="72"/>
  <c r="F104" i="97"/>
  <c r="F105" s="1"/>
  <c r="Q84" i="51"/>
  <c r="R83" i="39"/>
  <c r="O120" i="129"/>
  <c r="F104" i="40"/>
  <c r="F105" s="1"/>
  <c r="G104" i="92"/>
  <c r="G105" s="1"/>
  <c r="P84" i="78"/>
  <c r="R83" i="76"/>
  <c r="F104" i="87"/>
  <c r="F105" s="1"/>
  <c r="G104" i="95"/>
  <c r="G105" s="1"/>
  <c r="F104" i="100"/>
  <c r="F105" s="1"/>
  <c r="G104" i="56"/>
  <c r="G105" s="1"/>
  <c r="P84" i="109"/>
  <c r="Q84" i="52"/>
  <c r="R83" i="85"/>
  <c r="R83" i="68"/>
  <c r="F104" i="90"/>
  <c r="F105" s="1"/>
  <c r="S83" i="56"/>
  <c r="R83" i="32"/>
  <c r="R83" i="108"/>
  <c r="R83" i="48"/>
  <c r="F104" i="46"/>
  <c r="F105" s="1"/>
  <c r="R83" i="58"/>
  <c r="R83" i="87"/>
  <c r="R83" i="55"/>
  <c r="G104" i="89"/>
  <c r="G105" s="1"/>
  <c r="G104" i="69"/>
  <c r="G105" s="1"/>
  <c r="F104" i="42"/>
  <c r="F105" s="1"/>
  <c r="R83" i="52"/>
  <c r="R83" i="41"/>
  <c r="R83" i="86"/>
  <c r="R83" i="88"/>
  <c r="S83" i="94"/>
  <c r="E58" i="63"/>
  <c r="E69" s="1"/>
  <c r="O120" i="108"/>
  <c r="F104" i="79"/>
  <c r="F105" s="1"/>
  <c r="G104" i="129"/>
  <c r="E56" i="63"/>
  <c r="E67" s="1"/>
  <c r="E142" s="1"/>
  <c r="E54" i="104"/>
  <c r="E65" s="1"/>
  <c r="E148" s="1"/>
  <c r="R83" i="129"/>
  <c r="R83" i="90"/>
  <c r="R83" i="83"/>
  <c r="F57" i="85"/>
  <c r="F68" s="1"/>
  <c r="P383" i="105" s="1"/>
  <c r="F104" i="75"/>
  <c r="F105" s="1"/>
  <c r="G104" i="94"/>
  <c r="G105" s="1"/>
  <c r="P119" i="109"/>
  <c r="F104" i="127"/>
  <c r="F105" s="1"/>
  <c r="F104" i="128"/>
  <c r="F105" s="1"/>
  <c r="F104" i="32"/>
  <c r="F105" s="1"/>
  <c r="E42" i="63"/>
  <c r="F104" i="43"/>
  <c r="F105" s="1"/>
  <c r="F104" i="49"/>
  <c r="F105" s="1"/>
  <c r="G104" i="51"/>
  <c r="G105" s="1"/>
  <c r="F104" i="58"/>
  <c r="Q84" s="1"/>
  <c r="F104" i="59"/>
  <c r="F105" s="1"/>
  <c r="E69" i="32"/>
  <c r="O13" i="105" s="1"/>
  <c r="E57" i="104"/>
  <c r="E68" s="1"/>
  <c r="E151" s="1"/>
  <c r="F104" i="68"/>
  <c r="Q84" s="1"/>
  <c r="P119" i="78"/>
  <c r="F104" i="82"/>
  <c r="F105" s="1"/>
  <c r="F104" i="86"/>
  <c r="F105" s="1"/>
  <c r="F104" i="96"/>
  <c r="F105" s="1"/>
  <c r="F104" i="38"/>
  <c r="F105" s="1"/>
  <c r="F104" i="53"/>
  <c r="F105" s="1"/>
  <c r="E57" i="63"/>
  <c r="E68" s="1"/>
  <c r="E143" s="1"/>
  <c r="E54"/>
  <c r="E65" s="1"/>
  <c r="E140" s="1"/>
  <c r="E55" i="104"/>
  <c r="E66" s="1"/>
  <c r="E149" s="1"/>
  <c r="E58"/>
  <c r="E69" s="1"/>
  <c r="F43"/>
  <c r="F47" i="63"/>
  <c r="F44" i="104"/>
  <c r="F43" i="63"/>
  <c r="F45" i="104"/>
  <c r="F48" i="90"/>
  <c r="F207" s="1"/>
  <c r="G58" i="48"/>
  <c r="G69" s="1"/>
  <c r="Q114" i="105" s="1"/>
  <c r="F44" i="63"/>
  <c r="F48" i="46"/>
  <c r="F207" s="1"/>
  <c r="F47" i="104"/>
  <c r="F46"/>
  <c r="F46" i="63"/>
  <c r="F45"/>
  <c r="G102" i="67"/>
  <c r="G46" s="1"/>
  <c r="G103"/>
  <c r="G47" s="1"/>
  <c r="H103" i="68"/>
  <c r="H47" s="1"/>
  <c r="G100" i="70"/>
  <c r="G44" s="1"/>
  <c r="G102" i="71"/>
  <c r="G46" s="1"/>
  <c r="G100"/>
  <c r="G44" s="1"/>
  <c r="G99" i="72"/>
  <c r="G43" s="1"/>
  <c r="G100"/>
  <c r="G44" s="1"/>
  <c r="G102" i="73"/>
  <c r="G46" s="1"/>
  <c r="G103"/>
  <c r="G47" s="1"/>
  <c r="G103" i="74"/>
  <c r="G47" s="1"/>
  <c r="G100"/>
  <c r="G44" s="1"/>
  <c r="G99" i="75"/>
  <c r="G43" s="1"/>
  <c r="G102" i="77"/>
  <c r="G46" s="1"/>
  <c r="G100"/>
  <c r="G44" s="1"/>
  <c r="G103" i="78"/>
  <c r="G47" s="1"/>
  <c r="H99" i="81"/>
  <c r="H43" s="1"/>
  <c r="H103"/>
  <c r="H47" s="1"/>
  <c r="G102" i="85"/>
  <c r="G46" s="1"/>
  <c r="H87" a="1"/>
  <c r="H87" s="1"/>
  <c r="S80"/>
  <c r="G103"/>
  <c r="G47" s="1"/>
  <c r="G99" i="86"/>
  <c r="G43" s="1"/>
  <c r="G103"/>
  <c r="G47" s="1"/>
  <c r="G100" i="79"/>
  <c r="G44" s="1"/>
  <c r="G103"/>
  <c r="G47" s="1"/>
  <c r="G99" i="80"/>
  <c r="G43" s="1"/>
  <c r="H100" i="89"/>
  <c r="H44" s="1"/>
  <c r="G103" i="93"/>
  <c r="G47" s="1"/>
  <c r="G101"/>
  <c r="G45" s="1"/>
  <c r="H100" i="94"/>
  <c r="H44" s="1"/>
  <c r="G102" i="96"/>
  <c r="G46" s="1"/>
  <c r="G101"/>
  <c r="G45" s="1"/>
  <c r="G99" i="98"/>
  <c r="G43" s="1"/>
  <c r="G101"/>
  <c r="G45" s="1"/>
  <c r="G99" i="99"/>
  <c r="G43" s="1"/>
  <c r="G103"/>
  <c r="G47" s="1"/>
  <c r="G100" i="101"/>
  <c r="G44" s="1"/>
  <c r="G102"/>
  <c r="G46" s="1"/>
  <c r="G102" i="102"/>
  <c r="G46" s="1"/>
  <c r="G103"/>
  <c r="G47" s="1"/>
  <c r="G101" i="109"/>
  <c r="G45" s="1"/>
  <c r="G102" i="127"/>
  <c r="G46" s="1"/>
  <c r="G101" i="128"/>
  <c r="G45" s="1"/>
  <c r="G137" s="1"/>
  <c r="G45" i="32"/>
  <c r="G101" i="38"/>
  <c r="G45" s="1"/>
  <c r="G99"/>
  <c r="G43" s="1"/>
  <c r="G103" i="39"/>
  <c r="G47" s="1"/>
  <c r="G103" i="40"/>
  <c r="G47" s="1"/>
  <c r="G102"/>
  <c r="G46" s="1"/>
  <c r="G99" i="42"/>
  <c r="G43" s="1"/>
  <c r="G101"/>
  <c r="G45" s="1"/>
  <c r="G102" i="43"/>
  <c r="G46" s="1"/>
  <c r="G101"/>
  <c r="G45" s="1"/>
  <c r="G99" i="44"/>
  <c r="G43" s="1"/>
  <c r="G101"/>
  <c r="G45" s="1"/>
  <c r="H87" a="1"/>
  <c r="H87" s="1"/>
  <c r="S82"/>
  <c r="G101" i="46"/>
  <c r="G45" s="1"/>
  <c r="G100" i="47"/>
  <c r="G44" s="1"/>
  <c r="H93" a="1"/>
  <c r="H93" s="1"/>
  <c r="S79"/>
  <c r="G99"/>
  <c r="G43" s="1"/>
  <c r="G103" i="50"/>
  <c r="G47" s="1"/>
  <c r="H101" i="55"/>
  <c r="H45" s="1"/>
  <c r="H101" i="56"/>
  <c r="H45" s="1"/>
  <c r="H103"/>
  <c r="H47" s="1"/>
  <c r="G102" i="58"/>
  <c r="G46" s="1"/>
  <c r="G100"/>
  <c r="G44" s="1"/>
  <c r="G102" i="60"/>
  <c r="G46" s="1"/>
  <c r="G103"/>
  <c r="G47" s="1"/>
  <c r="G101" i="45"/>
  <c r="G45" s="1"/>
  <c r="G102" i="109"/>
  <c r="G46" s="1"/>
  <c r="G101" i="127"/>
  <c r="G45" s="1"/>
  <c r="G101" i="59"/>
  <c r="G45" s="1"/>
  <c r="G99" i="53"/>
  <c r="G43" s="1"/>
  <c r="G99" i="82"/>
  <c r="G43" s="1"/>
  <c r="H93" i="49" a="1"/>
  <c r="H93" s="1"/>
  <c r="S82"/>
  <c r="G102" i="108"/>
  <c r="G46" s="1"/>
  <c r="G101" i="49"/>
  <c r="G45" s="1"/>
  <c r="G99" i="100"/>
  <c r="G43" s="1"/>
  <c r="G103" i="82"/>
  <c r="G47" s="1"/>
  <c r="H100" i="56"/>
  <c r="H44" s="1"/>
  <c r="G99" i="109"/>
  <c r="G43" s="1"/>
  <c r="G100" i="39"/>
  <c r="G44" s="1"/>
  <c r="G99"/>
  <c r="G43" s="1"/>
  <c r="G100" i="49"/>
  <c r="G44" s="1"/>
  <c r="H103" i="92"/>
  <c r="H47" s="1"/>
  <c r="G99" i="68"/>
  <c r="G43" s="1"/>
  <c r="G103"/>
  <c r="G47" s="1"/>
  <c r="G98" i="90"/>
  <c r="G42" s="1"/>
  <c r="G99" i="54"/>
  <c r="G43" s="1"/>
  <c r="G102" i="48"/>
  <c r="G46" s="1"/>
  <c r="G103" i="41"/>
  <c r="G47" s="1"/>
  <c r="S82" i="129"/>
  <c r="I82"/>
  <c r="T82" s="1"/>
  <c r="S81" i="99"/>
  <c r="S83" s="1"/>
  <c r="I81"/>
  <c r="T81" s="1"/>
  <c r="I80" i="83"/>
  <c r="T80" s="1"/>
  <c r="S80"/>
  <c r="S82" i="41"/>
  <c r="I82"/>
  <c r="T82" s="1"/>
  <c r="S82" i="89"/>
  <c r="I82"/>
  <c r="T82" s="1"/>
  <c r="S79" i="67"/>
  <c r="I79"/>
  <c r="T79" s="1"/>
  <c r="S82" i="127"/>
  <c r="I82"/>
  <c r="T82" s="1"/>
  <c r="I81" i="83"/>
  <c r="T81" s="1"/>
  <c r="S81"/>
  <c r="S80" i="95"/>
  <c r="I80"/>
  <c r="T80" s="1"/>
  <c r="S81" i="72"/>
  <c r="I81"/>
  <c r="T81" s="1"/>
  <c r="S80" i="42"/>
  <c r="I80"/>
  <c r="T80" s="1"/>
  <c r="G100" i="57"/>
  <c r="G44" s="1"/>
  <c r="G100" i="55"/>
  <c r="G44" s="1"/>
  <c r="G103" i="54"/>
  <c r="G47" s="1"/>
  <c r="S79" i="44"/>
  <c r="I79"/>
  <c r="T79" s="1"/>
  <c r="S80" i="89"/>
  <c r="I80"/>
  <c r="T80" s="1"/>
  <c r="I81" i="90"/>
  <c r="T81" s="1"/>
  <c r="S81"/>
  <c r="I81" i="75"/>
  <c r="T81" s="1"/>
  <c r="S81"/>
  <c r="S79" i="85"/>
  <c r="I79"/>
  <c r="T79" s="1"/>
  <c r="S81" i="95"/>
  <c r="I81"/>
  <c r="T81" s="1"/>
  <c r="S79" i="89"/>
  <c r="I79"/>
  <c r="T79" s="1"/>
  <c r="G101" i="39"/>
  <c r="G45" s="1"/>
  <c r="S79" i="95"/>
  <c r="I79"/>
  <c r="T79" s="1"/>
  <c r="I79" i="83"/>
  <c r="T79" s="1"/>
  <c r="S79"/>
  <c r="S79" i="54"/>
  <c r="I79"/>
  <c r="T79" s="1"/>
  <c r="S82" i="100"/>
  <c r="I82"/>
  <c r="T82" s="1"/>
  <c r="I79" i="32"/>
  <c r="T79" s="1"/>
  <c r="S81" i="79"/>
  <c r="I81"/>
  <c r="T81" s="1"/>
  <c r="S80" i="77"/>
  <c r="I80"/>
  <c r="T80" s="1"/>
  <c r="I80" i="75"/>
  <c r="T80" s="1"/>
  <c r="S80"/>
  <c r="S79" i="41"/>
  <c r="I79"/>
  <c r="T79" s="1"/>
  <c r="I80" i="108"/>
  <c r="T80" s="1"/>
  <c r="S80"/>
  <c r="S80" i="91"/>
  <c r="I80"/>
  <c r="T80" s="1"/>
  <c r="I81" i="89"/>
  <c r="T81" s="1"/>
  <c r="S81"/>
  <c r="I82" i="90"/>
  <c r="T82" s="1"/>
  <c r="S82"/>
  <c r="I78" i="89"/>
  <c r="T78" s="1"/>
  <c r="S78"/>
  <c r="R83" i="51"/>
  <c r="R83" i="57"/>
  <c r="G99" i="67"/>
  <c r="G43" s="1"/>
  <c r="G100"/>
  <c r="G44" s="1"/>
  <c r="G101"/>
  <c r="G45" s="1"/>
  <c r="H103" i="69"/>
  <c r="H47" s="1"/>
  <c r="G99" i="70"/>
  <c r="G43" s="1"/>
  <c r="G101"/>
  <c r="G45" s="1"/>
  <c r="G101" i="71"/>
  <c r="G45" s="1"/>
  <c r="G99"/>
  <c r="G43" s="1"/>
  <c r="G101" i="72"/>
  <c r="G45" s="1"/>
  <c r="G99" i="73"/>
  <c r="G43" s="1"/>
  <c r="G100"/>
  <c r="G44" s="1"/>
  <c r="G101"/>
  <c r="G45" s="1"/>
  <c r="G99" i="74"/>
  <c r="G43" s="1"/>
  <c r="G102" i="75"/>
  <c r="G46" s="1"/>
  <c r="G100"/>
  <c r="G44" s="1"/>
  <c r="G99" i="77"/>
  <c r="G43" s="1"/>
  <c r="G99" i="78"/>
  <c r="G43" s="1"/>
  <c r="G102"/>
  <c r="G46" s="1"/>
  <c r="G100"/>
  <c r="G44" s="1"/>
  <c r="H100" i="81"/>
  <c r="H44" s="1"/>
  <c r="G101" i="85"/>
  <c r="G45" s="1"/>
  <c r="G99"/>
  <c r="G43" s="1"/>
  <c r="G100" i="86"/>
  <c r="G44" s="1"/>
  <c r="H91" a="1"/>
  <c r="H91" s="1"/>
  <c r="S82"/>
  <c r="H102" i="87"/>
  <c r="H46" s="1"/>
  <c r="H101" i="88"/>
  <c r="H45" s="1"/>
  <c r="G99" i="79"/>
  <c r="G43" s="1"/>
  <c r="G103" i="80"/>
  <c r="G47" s="1"/>
  <c r="G101"/>
  <c r="G45" s="1"/>
  <c r="G102" i="91"/>
  <c r="G46" s="1"/>
  <c r="G103"/>
  <c r="G47" s="1"/>
  <c r="H102" i="92"/>
  <c r="H46" s="1"/>
  <c r="H100"/>
  <c r="H44" s="1"/>
  <c r="H99"/>
  <c r="H43" s="1"/>
  <c r="G102" i="93"/>
  <c r="G46" s="1"/>
  <c r="G100"/>
  <c r="G44" s="1"/>
  <c r="H102" i="94"/>
  <c r="H46" s="1"/>
  <c r="H101"/>
  <c r="H45" s="1"/>
  <c r="H102" i="95"/>
  <c r="H46" s="1"/>
  <c r="G103" i="96"/>
  <c r="G47" s="1"/>
  <c r="G99" i="97"/>
  <c r="G43" s="1"/>
  <c r="G103" i="98"/>
  <c r="G47" s="1"/>
  <c r="G102" i="99"/>
  <c r="G46" s="1"/>
  <c r="G102" i="100"/>
  <c r="G46" s="1"/>
  <c r="H91" a="1"/>
  <c r="H91" s="1"/>
  <c r="S78"/>
  <c r="G101" i="101"/>
  <c r="G45" s="1"/>
  <c r="G99" i="102"/>
  <c r="G43" s="1"/>
  <c r="G100"/>
  <c r="G44" s="1"/>
  <c r="G101"/>
  <c r="G45" s="1"/>
  <c r="G103" i="127"/>
  <c r="G47" s="1"/>
  <c r="G99"/>
  <c r="G43" s="1"/>
  <c r="G100" i="128"/>
  <c r="G44" s="1"/>
  <c r="G136" s="1"/>
  <c r="G99"/>
  <c r="G43" s="1"/>
  <c r="G135" s="1"/>
  <c r="H100" i="129"/>
  <c r="H44" s="1"/>
  <c r="G46" i="32"/>
  <c r="G47"/>
  <c r="G102" i="38"/>
  <c r="G46" s="1"/>
  <c r="H88" i="39" a="1"/>
  <c r="H88" s="1"/>
  <c r="S81"/>
  <c r="G100" i="40"/>
  <c r="G44" s="1"/>
  <c r="G101"/>
  <c r="G45" s="1"/>
  <c r="G102" i="42"/>
  <c r="G46" s="1"/>
  <c r="G103"/>
  <c r="G47" s="1"/>
  <c r="G99" i="43"/>
  <c r="G43" s="1"/>
  <c r="G103"/>
  <c r="G47" s="1"/>
  <c r="G102" i="44"/>
  <c r="G46" s="1"/>
  <c r="G100"/>
  <c r="G44" s="1"/>
  <c r="G100" i="46"/>
  <c r="G44" s="1"/>
  <c r="G99"/>
  <c r="G43" s="1"/>
  <c r="G101" i="50"/>
  <c r="G45" s="1"/>
  <c r="G100"/>
  <c r="G44" s="1"/>
  <c r="H103" i="51"/>
  <c r="H47" s="1"/>
  <c r="H99" i="55"/>
  <c r="H43" s="1"/>
  <c r="G99" i="58"/>
  <c r="G43" s="1"/>
  <c r="G99" i="60"/>
  <c r="G43" s="1"/>
  <c r="G100"/>
  <c r="G44" s="1"/>
  <c r="G103" i="128"/>
  <c r="G47" s="1"/>
  <c r="G139" s="1"/>
  <c r="G102" i="59"/>
  <c r="G46" s="1"/>
  <c r="G103" i="47"/>
  <c r="G47" s="1"/>
  <c r="G103" i="97"/>
  <c r="G47" s="1"/>
  <c r="G100" i="82"/>
  <c r="G44" s="1"/>
  <c r="G100" i="45"/>
  <c r="G44" s="1"/>
  <c r="G103" i="108"/>
  <c r="G47" s="1"/>
  <c r="G102" i="97"/>
  <c r="G46" s="1"/>
  <c r="G103" i="53"/>
  <c r="G47" s="1"/>
  <c r="G100" i="59"/>
  <c r="G44" s="1"/>
  <c r="G98" i="45"/>
  <c r="G42" s="1"/>
  <c r="G100" i="108"/>
  <c r="G44" s="1"/>
  <c r="G99"/>
  <c r="G43" s="1"/>
  <c r="G101" i="100"/>
  <c r="G45" s="1"/>
  <c r="G99" i="49"/>
  <c r="G43" s="1"/>
  <c r="G99" i="59"/>
  <c r="G43" s="1"/>
  <c r="G101" i="108"/>
  <c r="G45" s="1"/>
  <c r="G99" i="90"/>
  <c r="G43" s="1"/>
  <c r="G100" i="68"/>
  <c r="G44" s="1"/>
  <c r="H93" a="1"/>
  <c r="H93" s="1"/>
  <c r="S79"/>
  <c r="G98"/>
  <c r="G42" s="1"/>
  <c r="S79" i="90"/>
  <c r="G100"/>
  <c r="G44" s="1"/>
  <c r="G103" i="83"/>
  <c r="G47" s="1"/>
  <c r="G101" i="55"/>
  <c r="G45" s="1"/>
  <c r="G100" i="54"/>
  <c r="G44" s="1"/>
  <c r="G102" i="52"/>
  <c r="G101" i="48"/>
  <c r="G45" s="1"/>
  <c r="S80" i="72"/>
  <c r="I80"/>
  <c r="T80" s="1"/>
  <c r="S80" i="102"/>
  <c r="I80"/>
  <c r="T80" s="1"/>
  <c r="S80" i="90"/>
  <c r="I80"/>
  <c r="T80" s="1"/>
  <c r="I78" i="59"/>
  <c r="T78" s="1"/>
  <c r="S78"/>
  <c r="S80" i="52"/>
  <c r="I80"/>
  <c r="T80" s="1"/>
  <c r="S82" i="60"/>
  <c r="I82"/>
  <c r="T82" s="1"/>
  <c r="I82" i="83"/>
  <c r="T82" s="1"/>
  <c r="S82"/>
  <c r="S81" i="71"/>
  <c r="I81"/>
  <c r="T81" s="1"/>
  <c r="S82" i="95"/>
  <c r="I82"/>
  <c r="T82" s="1"/>
  <c r="I81" i="88"/>
  <c r="T81" s="1"/>
  <c r="S81"/>
  <c r="S81" i="69"/>
  <c r="I81"/>
  <c r="T81" s="1"/>
  <c r="S79" i="129"/>
  <c r="I79"/>
  <c r="T79" s="1"/>
  <c r="S81" i="86"/>
  <c r="I81"/>
  <c r="T81" s="1"/>
  <c r="I82" i="58"/>
  <c r="T82" s="1"/>
  <c r="S82"/>
  <c r="S82" i="96"/>
  <c r="I82"/>
  <c r="T82" s="1"/>
  <c r="G101" i="83"/>
  <c r="G45" s="1"/>
  <c r="G101" i="57"/>
  <c r="G45" s="1"/>
  <c r="G99" i="48"/>
  <c r="I79" i="108"/>
  <c r="T79" s="1"/>
  <c r="S79"/>
  <c r="I80" i="129"/>
  <c r="T80" s="1"/>
  <c r="S80"/>
  <c r="S80" i="79"/>
  <c r="I80"/>
  <c r="T80" s="1"/>
  <c r="S81" i="68"/>
  <c r="I81"/>
  <c r="T81" s="1"/>
  <c r="I82" i="85"/>
  <c r="T82" s="1"/>
  <c r="S82"/>
  <c r="S78" i="48"/>
  <c r="I78"/>
  <c r="T78" s="1"/>
  <c r="S81" i="87"/>
  <c r="I81"/>
  <c r="T81" s="1"/>
  <c r="I81" i="57"/>
  <c r="T81" s="1"/>
  <c r="S81"/>
  <c r="S81" i="38"/>
  <c r="I81"/>
  <c r="T81" s="1"/>
  <c r="I81" i="59"/>
  <c r="T81" s="1"/>
  <c r="S81"/>
  <c r="S81" i="45"/>
  <c r="I81"/>
  <c r="T81" s="1"/>
  <c r="S81" i="108"/>
  <c r="I81"/>
  <c r="T81" s="1"/>
  <c r="S82" i="93"/>
  <c r="I82"/>
  <c r="T82" s="1"/>
  <c r="I78" i="90"/>
  <c r="T78" s="1"/>
  <c r="S78"/>
  <c r="S82" i="42"/>
  <c r="I82"/>
  <c r="T82" s="1"/>
  <c r="I79" i="57"/>
  <c r="T79" s="1"/>
  <c r="S79"/>
  <c r="I81" i="48"/>
  <c r="T81" s="1"/>
  <c r="S81"/>
  <c r="S82" i="79"/>
  <c r="I82"/>
  <c r="T82" s="1"/>
  <c r="S80" i="48"/>
  <c r="I80"/>
  <c r="T80" s="1"/>
  <c r="S80" i="41"/>
  <c r="I80"/>
  <c r="T80" s="1"/>
  <c r="S80" i="76"/>
  <c r="I80"/>
  <c r="T80" s="1"/>
  <c r="I81" i="55"/>
  <c r="T81" s="1"/>
  <c r="S81"/>
  <c r="S77" i="78"/>
  <c r="I77"/>
  <c r="T77" s="1"/>
  <c r="I82" i="57"/>
  <c r="T82" s="1"/>
  <c r="S82"/>
  <c r="I80" i="69"/>
  <c r="T80" s="1"/>
  <c r="S80"/>
  <c r="S78"/>
  <c r="I78"/>
  <c r="T78" s="1"/>
  <c r="S80" i="58"/>
  <c r="I80"/>
  <c r="T80" s="1"/>
  <c r="R83" i="89"/>
  <c r="G102" i="70"/>
  <c r="G46" s="1"/>
  <c r="G103"/>
  <c r="G47" s="1"/>
  <c r="G103" i="71"/>
  <c r="G47" s="1"/>
  <c r="G102" i="72"/>
  <c r="G46" s="1"/>
  <c r="G103"/>
  <c r="G47" s="1"/>
  <c r="G102" i="74"/>
  <c r="G46" s="1"/>
  <c r="G101"/>
  <c r="G45" s="1"/>
  <c r="G103" i="75"/>
  <c r="G47" s="1"/>
  <c r="G101"/>
  <c r="G45" s="1"/>
  <c r="H102" i="76"/>
  <c r="H46" s="1"/>
  <c r="G103" i="77"/>
  <c r="G47" s="1"/>
  <c r="G101"/>
  <c r="G45" s="1"/>
  <c r="G101" i="78"/>
  <c r="G45" s="1"/>
  <c r="H101" i="81"/>
  <c r="H45" s="1"/>
  <c r="H102"/>
  <c r="H46" s="1"/>
  <c r="G101" i="86"/>
  <c r="G45" s="1"/>
  <c r="G102"/>
  <c r="G46" s="1"/>
  <c r="G102" i="79"/>
  <c r="G46" s="1"/>
  <c r="G101"/>
  <c r="G45" s="1"/>
  <c r="G102" i="80"/>
  <c r="G46" s="1"/>
  <c r="G100"/>
  <c r="G44" s="1"/>
  <c r="H103" i="89"/>
  <c r="H47" s="1"/>
  <c r="H100" i="90"/>
  <c r="H44" s="1"/>
  <c r="G99" i="91"/>
  <c r="G43" s="1"/>
  <c r="G100"/>
  <c r="G44" s="1"/>
  <c r="G101"/>
  <c r="G45" s="1"/>
  <c r="H101" i="92"/>
  <c r="H45" s="1"/>
  <c r="G99" i="93"/>
  <c r="G43" s="1"/>
  <c r="H99" i="94"/>
  <c r="H43" s="1"/>
  <c r="H103"/>
  <c r="H47" s="1"/>
  <c r="T78"/>
  <c r="T83" s="1"/>
  <c r="H101" i="95"/>
  <c r="H45" s="1"/>
  <c r="G99" i="96"/>
  <c r="G43" s="1"/>
  <c r="G100"/>
  <c r="G44" s="1"/>
  <c r="G100" i="98"/>
  <c r="G44" s="1"/>
  <c r="G102"/>
  <c r="G46" s="1"/>
  <c r="G100" i="99"/>
  <c r="G44" s="1"/>
  <c r="G101"/>
  <c r="G45" s="1"/>
  <c r="G103" i="100"/>
  <c r="G47" s="1"/>
  <c r="G99" i="101"/>
  <c r="G43" s="1"/>
  <c r="H93" i="108" a="1"/>
  <c r="H93" s="1"/>
  <c r="S82"/>
  <c r="G100" i="109"/>
  <c r="G44" s="1"/>
  <c r="G103"/>
  <c r="G47" s="1"/>
  <c r="G100" i="127"/>
  <c r="G44" s="1"/>
  <c r="G102" i="128"/>
  <c r="G46" s="1"/>
  <c r="G138" s="1"/>
  <c r="G43" i="32"/>
  <c r="G44"/>
  <c r="G103" i="38"/>
  <c r="G47" s="1"/>
  <c r="G102" i="39"/>
  <c r="G46" s="1"/>
  <c r="G99" i="40"/>
  <c r="G43" s="1"/>
  <c r="H103" i="41"/>
  <c r="H47" s="1"/>
  <c r="G100" i="42"/>
  <c r="G44" s="1"/>
  <c r="G100" i="43"/>
  <c r="G44" s="1"/>
  <c r="G103" i="44"/>
  <c r="G47" s="1"/>
  <c r="G99" i="45"/>
  <c r="G43" s="1"/>
  <c r="G102" i="46"/>
  <c r="G46" s="1"/>
  <c r="G103"/>
  <c r="G47" s="1"/>
  <c r="G102" i="47"/>
  <c r="G46" s="1"/>
  <c r="G101"/>
  <c r="G45" s="1"/>
  <c r="H101" i="48"/>
  <c r="H45" s="1"/>
  <c r="G99" i="50"/>
  <c r="G43" s="1"/>
  <c r="G102"/>
  <c r="G46" s="1"/>
  <c r="H99" i="52"/>
  <c r="H43" s="1"/>
  <c r="G101" i="53"/>
  <c r="G45" s="1"/>
  <c r="H99" i="56"/>
  <c r="H43" s="1"/>
  <c r="G103" i="58"/>
  <c r="G47" s="1"/>
  <c r="G101"/>
  <c r="G45" s="1"/>
  <c r="G101" i="60"/>
  <c r="G45" s="1"/>
  <c r="G102" i="53"/>
  <c r="G46" s="1"/>
  <c r="G102" i="45"/>
  <c r="G46" s="1"/>
  <c r="G103" i="101"/>
  <c r="G47" s="1"/>
  <c r="G102" i="82"/>
  <c r="G46" s="1"/>
  <c r="G100" i="53"/>
  <c r="G44" s="1"/>
  <c r="G100" i="100"/>
  <c r="G44" s="1"/>
  <c r="G103" i="59"/>
  <c r="G47" s="1"/>
  <c r="G101" i="82"/>
  <c r="G45" s="1"/>
  <c r="G103" i="49"/>
  <c r="G47" s="1"/>
  <c r="G100" i="38"/>
  <c r="G44" s="1"/>
  <c r="G98" i="101"/>
  <c r="G42" s="1"/>
  <c r="G101" i="97"/>
  <c r="G45" s="1"/>
  <c r="G100"/>
  <c r="G44" s="1"/>
  <c r="G98" i="39"/>
  <c r="G42" s="1"/>
  <c r="G103" i="45"/>
  <c r="G47" s="1"/>
  <c r="G102" i="49"/>
  <c r="G46" s="1"/>
  <c r="H100" i="83"/>
  <c r="H44" s="1"/>
  <c r="G102" i="68"/>
  <c r="G46" s="1"/>
  <c r="G102" i="90"/>
  <c r="G46" s="1"/>
  <c r="G100" i="83"/>
  <c r="G103" i="52"/>
  <c r="G47" s="1"/>
  <c r="G102" i="41"/>
  <c r="S81" i="76"/>
  <c r="I81"/>
  <c r="T81" s="1"/>
  <c r="S78" i="41"/>
  <c r="I78"/>
  <c r="T78" s="1"/>
  <c r="S80" i="54"/>
  <c r="I80"/>
  <c r="T80" s="1"/>
  <c r="I82" i="32"/>
  <c r="T82" s="1"/>
  <c r="I82" i="51"/>
  <c r="T82" s="1"/>
  <c r="S82"/>
  <c r="S79" i="45"/>
  <c r="I79"/>
  <c r="T79" s="1"/>
  <c r="S77" i="74"/>
  <c r="I77"/>
  <c r="T77" s="1"/>
  <c r="S79" i="55"/>
  <c r="I79"/>
  <c r="T79" s="1"/>
  <c r="S80" i="86"/>
  <c r="I80"/>
  <c r="T80" s="1"/>
  <c r="I79" i="88"/>
  <c r="T79" s="1"/>
  <c r="S79"/>
  <c r="I78" i="68"/>
  <c r="T78" s="1"/>
  <c r="S78"/>
  <c r="G103" i="90"/>
  <c r="G47" s="1"/>
  <c r="G99" i="57"/>
  <c r="G43" s="1"/>
  <c r="G99" i="55"/>
  <c r="G102" i="54"/>
  <c r="G46" s="1"/>
  <c r="G100" i="48"/>
  <c r="G44" s="1"/>
  <c r="S78" i="51"/>
  <c r="I78"/>
  <c r="T78" s="1"/>
  <c r="S80" i="127"/>
  <c r="I80"/>
  <c r="T80" s="1"/>
  <c r="S80" i="87"/>
  <c r="I80"/>
  <c r="T80" s="1"/>
  <c r="S82" i="77"/>
  <c r="I82"/>
  <c r="T82" s="1"/>
  <c r="S80" i="88"/>
  <c r="I80"/>
  <c r="T80" s="1"/>
  <c r="S80" i="82"/>
  <c r="I80"/>
  <c r="T80" s="1"/>
  <c r="I80" i="51"/>
  <c r="T80" s="1"/>
  <c r="S80"/>
  <c r="I81" i="32"/>
  <c r="T81" s="1"/>
  <c r="S80" i="68"/>
  <c r="I80"/>
  <c r="T80" s="1"/>
  <c r="I81" i="41"/>
  <c r="T81" s="1"/>
  <c r="S81"/>
  <c r="I80" i="60"/>
  <c r="T80" s="1"/>
  <c r="S80"/>
  <c r="S80" i="39"/>
  <c r="I80"/>
  <c r="T80" s="1"/>
  <c r="S78" i="55"/>
  <c r="I78"/>
  <c r="T78" s="1"/>
  <c r="S80" i="100"/>
  <c r="I80"/>
  <c r="T80" s="1"/>
  <c r="G100" i="85"/>
  <c r="G44" s="1"/>
  <c r="I78"/>
  <c r="T78" s="1"/>
  <c r="S78"/>
  <c r="I81"/>
  <c r="T81" s="1"/>
  <c r="S81"/>
  <c r="S81" i="52"/>
  <c r="I81"/>
  <c r="T81" s="1"/>
  <c r="I78" i="57"/>
  <c r="T78" s="1"/>
  <c r="S78"/>
  <c r="I82" i="54"/>
  <c r="T82" s="1"/>
  <c r="S82"/>
  <c r="S78" i="74"/>
  <c r="I78"/>
  <c r="T78" s="1"/>
  <c r="S82" i="72"/>
  <c r="I82"/>
  <c r="T82" s="1"/>
  <c r="S81" i="49"/>
  <c r="I81"/>
  <c r="T81" s="1"/>
  <c r="G101" i="68"/>
  <c r="G45" s="1"/>
  <c r="H102" i="56"/>
  <c r="H46" s="1"/>
  <c r="H88" i="49" a="1"/>
  <c r="H88" s="1"/>
  <c r="R83" i="95"/>
  <c r="R83" i="69"/>
  <c r="D141" i="54"/>
  <c r="D150" i="104"/>
  <c r="E56"/>
  <c r="E67" s="1"/>
  <c r="E150" s="1"/>
  <c r="E55" i="63"/>
  <c r="P84" i="40"/>
  <c r="P84" i="101"/>
  <c r="P84" i="90"/>
  <c r="P84" i="88"/>
  <c r="P84" i="56"/>
  <c r="P84" i="43"/>
  <c r="P84" i="127"/>
  <c r="P84" i="100"/>
  <c r="P84" i="97"/>
  <c r="P84" i="93"/>
  <c r="P84" i="59"/>
  <c r="P84" i="45"/>
  <c r="P84" i="41"/>
  <c r="P84" i="94"/>
  <c r="P84" i="89"/>
  <c r="P84" i="86"/>
  <c r="P84" i="57"/>
  <c r="P84" i="74"/>
  <c r="P84" i="60"/>
  <c r="P84" i="54"/>
  <c r="P84" i="51"/>
  <c r="P84" i="108"/>
  <c r="P84" i="99"/>
  <c r="P84" i="80"/>
  <c r="P84" i="70"/>
  <c r="P84" i="58"/>
  <c r="P84" i="96"/>
  <c r="P84" i="92"/>
  <c r="P84" i="83"/>
  <c r="P84" i="75"/>
  <c r="P84" i="55"/>
  <c r="P84" i="50"/>
  <c r="P84" i="47"/>
  <c r="P84" i="44"/>
  <c r="P84" i="39"/>
  <c r="P84" i="91"/>
  <c r="P84" i="84"/>
  <c r="P84" i="72"/>
  <c r="P84" i="52"/>
  <c r="P84" i="82"/>
  <c r="P84" i="76"/>
  <c r="P84" i="32"/>
  <c r="P84" i="68"/>
  <c r="P84" i="53"/>
  <c r="P84" i="48"/>
  <c r="P84" i="129"/>
  <c r="P84" i="79"/>
  <c r="P84" i="77"/>
  <c r="P84" i="67"/>
  <c r="P84" i="46"/>
  <c r="P84" i="38"/>
  <c r="P84" i="102"/>
  <c r="P84" i="98"/>
  <c r="P84" i="95"/>
  <c r="P84" i="81"/>
  <c r="P84" i="73"/>
  <c r="P84" i="69"/>
  <c r="P84" i="49"/>
  <c r="P84" i="42"/>
  <c r="P84" i="87"/>
  <c r="P84" i="85"/>
  <c r="P84" i="71"/>
  <c r="Q84" i="54"/>
  <c r="D141" i="128"/>
  <c r="H87" i="68" a="1"/>
  <c r="H87" s="1"/>
  <c r="H88" a="1"/>
  <c r="H88" s="1"/>
  <c r="H86" i="90" a="1"/>
  <c r="H86" s="1"/>
  <c r="H98" s="1"/>
  <c r="H87" a="1"/>
  <c r="H87" s="1"/>
  <c r="H93" a="1"/>
  <c r="H93" s="1"/>
  <c r="H89" i="68" a="1"/>
  <c r="H89" s="1"/>
  <c r="H91" i="90" a="1"/>
  <c r="H91" s="1"/>
  <c r="H89" a="1"/>
  <c r="H89" s="1"/>
  <c r="G92" a="1"/>
  <c r="G92" s="1"/>
  <c r="G94" s="1"/>
  <c r="G92" i="68" a="1"/>
  <c r="G92" s="1"/>
  <c r="G94" s="1"/>
  <c r="D59" i="87"/>
  <c r="D55" i="104"/>
  <c r="D66" s="1"/>
  <c r="D149" s="1"/>
  <c r="D140" i="87"/>
  <c r="D141" s="1"/>
  <c r="H128" i="79" a="1"/>
  <c r="H128" s="1"/>
  <c r="H130" s="1"/>
  <c r="H128" i="101" a="1"/>
  <c r="H128" s="1"/>
  <c r="H130" s="1"/>
  <c r="G128" i="129" a="1"/>
  <c r="G128" s="1"/>
  <c r="G130" s="1"/>
  <c r="G128" i="46" a="1"/>
  <c r="G128" s="1"/>
  <c r="G130" s="1"/>
  <c r="R83" i="49"/>
  <c r="S83" i="92"/>
  <c r="O120" i="48"/>
  <c r="H90" i="49" a="1"/>
  <c r="H90" s="1"/>
  <c r="H128" i="83" a="1"/>
  <c r="H128" s="1"/>
  <c r="H130" s="1"/>
  <c r="H128" i="55" a="1"/>
  <c r="H128" s="1"/>
  <c r="H130" s="1"/>
  <c r="G128" i="60" a="1"/>
  <c r="G128" s="1"/>
  <c r="G130" s="1"/>
  <c r="O120" i="99"/>
  <c r="H128" i="70" a="1"/>
  <c r="H128" s="1"/>
  <c r="H130" s="1"/>
  <c r="H128" i="73" a="1"/>
  <c r="H128" s="1"/>
  <c r="H130" s="1"/>
  <c r="I128" i="100" a="1"/>
  <c r="I128" s="1"/>
  <c r="I130" s="1"/>
  <c r="J130" s="1"/>
  <c r="H128" i="59" a="1"/>
  <c r="H128" s="1"/>
  <c r="H130" s="1"/>
  <c r="E561" i="111" a="1"/>
  <c r="K566" s="1"/>
  <c r="V566" s="1"/>
  <c r="G128" i="84" a="1"/>
  <c r="G128" s="1"/>
  <c r="G130" s="1"/>
  <c r="E758" i="111" a="1"/>
  <c r="K763" s="1"/>
  <c r="V763" s="1"/>
  <c r="H91" i="49" a="1"/>
  <c r="H91" s="1"/>
  <c r="R83" i="128"/>
  <c r="G92" i="108" a="1"/>
  <c r="G92" s="1"/>
  <c r="G94" s="1"/>
  <c r="R83" i="43"/>
  <c r="H89" i="49" a="1"/>
  <c r="H89" s="1"/>
  <c r="H86" a="1"/>
  <c r="H86" s="1"/>
  <c r="H98" s="1"/>
  <c r="I82"/>
  <c r="H87" a="1"/>
  <c r="H87" s="1"/>
  <c r="H90" i="128" a="1"/>
  <c r="H90" s="1"/>
  <c r="I91" i="94" a="1"/>
  <c r="I91" s="1"/>
  <c r="I88" i="92" a="1"/>
  <c r="I88" s="1"/>
  <c r="I90" i="94" a="1"/>
  <c r="I90" s="1"/>
  <c r="I81" i="128"/>
  <c r="T81" s="1"/>
  <c r="H86" i="86" a="1"/>
  <c r="H86" s="1"/>
  <c r="H98" s="1"/>
  <c r="H87" a="1"/>
  <c r="H87" s="1"/>
  <c r="I79" i="128"/>
  <c r="T79" s="1"/>
  <c r="I89" i="56" a="1"/>
  <c r="I89" s="1"/>
  <c r="I82" i="43"/>
  <c r="T82" s="1"/>
  <c r="H88" i="38" a="1"/>
  <c r="H88" s="1"/>
  <c r="H88" i="82" a="1"/>
  <c r="H88" s="1"/>
  <c r="H88" i="86" a="1"/>
  <c r="H88" s="1"/>
  <c r="H93" i="82" a="1"/>
  <c r="H93" s="1"/>
  <c r="H90" i="127" a="1"/>
  <c r="H90" s="1"/>
  <c r="H87" i="38" a="1"/>
  <c r="H87" s="1"/>
  <c r="I90" i="56" a="1"/>
  <c r="I90" s="1"/>
  <c r="H89" i="108" a="1"/>
  <c r="H89" s="1"/>
  <c r="I87" i="94" a="1"/>
  <c r="I87" s="1"/>
  <c r="I79" i="91"/>
  <c r="T79" s="1"/>
  <c r="I88" i="94" a="1"/>
  <c r="I88" s="1"/>
  <c r="H89" i="47" a="1"/>
  <c r="H89" s="1"/>
  <c r="H87" i="75" a="1"/>
  <c r="H87" s="1"/>
  <c r="H87" i="82" a="1"/>
  <c r="H87" s="1"/>
  <c r="H90" a="1"/>
  <c r="H90" s="1"/>
  <c r="I86" i="94" a="1"/>
  <c r="I86" s="1"/>
  <c r="I98" s="1"/>
  <c r="I89" a="1"/>
  <c r="I89" s="1"/>
  <c r="I93" a="1"/>
  <c r="I93" s="1"/>
  <c r="H91" i="127" a="1"/>
  <c r="H91" s="1"/>
  <c r="H89" i="44" a="1"/>
  <c r="H89" s="1"/>
  <c r="D141" i="92"/>
  <c r="H88" i="75" a="1"/>
  <c r="H88" s="1"/>
  <c r="H89" i="82" a="1"/>
  <c r="H89" s="1"/>
  <c r="H93" i="85" a="1"/>
  <c r="H93" s="1"/>
  <c r="F104"/>
  <c r="Q84" s="1"/>
  <c r="H90" i="86" a="1"/>
  <c r="H90" s="1"/>
  <c r="H90" i="44" a="1"/>
  <c r="H90" s="1"/>
  <c r="H86" i="128" a="1"/>
  <c r="H86" s="1"/>
  <c r="H98" s="1"/>
  <c r="H93" i="75" a="1"/>
  <c r="H93" s="1"/>
  <c r="H86" i="82" a="1"/>
  <c r="H86" s="1"/>
  <c r="H98" s="1"/>
  <c r="I90" i="92" a="1"/>
  <c r="I90" s="1"/>
  <c r="H89" i="127" a="1"/>
  <c r="H89" s="1"/>
  <c r="H91" i="128" a="1"/>
  <c r="H91" s="1"/>
  <c r="H86" i="40" a="1"/>
  <c r="H86" s="1"/>
  <c r="H98" s="1"/>
  <c r="H88" i="44" a="1"/>
  <c r="H88" s="1"/>
  <c r="G92" i="49" a="1"/>
  <c r="G92" s="1"/>
  <c r="G94" s="1"/>
  <c r="H86" i="75" a="1"/>
  <c r="H86" s="1"/>
  <c r="H98" s="1"/>
  <c r="H90" a="1"/>
  <c r="H90" s="1"/>
  <c r="H91" a="1"/>
  <c r="H91" s="1"/>
  <c r="H89" i="85" a="1"/>
  <c r="H89" s="1"/>
  <c r="I86" i="92" a="1"/>
  <c r="I86" s="1"/>
  <c r="I98" s="1"/>
  <c r="I93" a="1"/>
  <c r="I93" s="1"/>
  <c r="H93" i="109" a="1"/>
  <c r="H93" s="1"/>
  <c r="G92" i="45" a="1"/>
  <c r="G92" s="1"/>
  <c r="G94" s="1"/>
  <c r="I88" i="56" a="1"/>
  <c r="I88" s="1"/>
  <c r="I91" a="1"/>
  <c r="I91" s="1"/>
  <c r="I93" a="1"/>
  <c r="I93" s="1"/>
  <c r="G92" i="59" a="1"/>
  <c r="G92" s="1"/>
  <c r="G94" s="1"/>
  <c r="I81" i="53"/>
  <c r="T81" s="1"/>
  <c r="G92" i="82" a="1"/>
  <c r="G92" s="1"/>
  <c r="G94" s="1"/>
  <c r="H89" i="75" a="1"/>
  <c r="H89" s="1"/>
  <c r="H89" i="86" a="1"/>
  <c r="H89" s="1"/>
  <c r="H93" a="1"/>
  <c r="H93" s="1"/>
  <c r="I91" i="92" a="1"/>
  <c r="I91" s="1"/>
  <c r="H86" i="39" a="1"/>
  <c r="H86" s="1"/>
  <c r="H98" s="1"/>
  <c r="H86" i="44" a="1"/>
  <c r="H86" s="1"/>
  <c r="H98" s="1"/>
  <c r="H88" i="45" a="1"/>
  <c r="H88" s="1"/>
  <c r="H93" i="50" a="1"/>
  <c r="H93" s="1"/>
  <c r="H90" i="53" a="1"/>
  <c r="H90" s="1"/>
  <c r="I86" i="56" a="1"/>
  <c r="I86" s="1"/>
  <c r="I98" s="1"/>
  <c r="I87" a="1"/>
  <c r="I87" s="1"/>
  <c r="N120" i="72"/>
  <c r="N120" i="79"/>
  <c r="N120" i="85"/>
  <c r="N120" i="127"/>
  <c r="N120" i="108"/>
  <c r="N120" i="88"/>
  <c r="N120" i="32"/>
  <c r="N120" i="47"/>
  <c r="N120" i="52"/>
  <c r="N120" i="98"/>
  <c r="N120" i="43"/>
  <c r="D48" i="104"/>
  <c r="D87" s="1"/>
  <c r="N120" i="54"/>
  <c r="Q84" i="88"/>
  <c r="N120" i="87"/>
  <c r="N120" i="39"/>
  <c r="N120" i="68"/>
  <c r="D54" i="76"/>
  <c r="D140"/>
  <c r="N120" i="70"/>
  <c r="N120" i="82"/>
  <c r="O120" i="41"/>
  <c r="D48" i="63"/>
  <c r="D87" s="1"/>
  <c r="N120" i="73"/>
  <c r="L57" i="131"/>
  <c r="D141" i="52"/>
  <c r="D207"/>
  <c r="D53" i="57"/>
  <c r="D140"/>
  <c r="D141" s="1"/>
  <c r="D141" i="68"/>
  <c r="D207"/>
  <c r="D54" i="52"/>
  <c r="D140"/>
  <c r="O120" s="1"/>
  <c r="D207" i="57"/>
  <c r="D140" i="69"/>
  <c r="D53"/>
  <c r="D53" i="68"/>
  <c r="D140"/>
  <c r="O120" s="1"/>
  <c r="E105" i="75"/>
  <c r="J140" i="104"/>
  <c r="J36" s="1"/>
  <c r="L19" i="131"/>
  <c r="L635" i="130"/>
  <c r="M302" i="105"/>
  <c r="M296" i="130"/>
  <c r="M302" s="1"/>
  <c r="B388" i="135"/>
  <c r="B295" i="130"/>
  <c r="M430" i="105"/>
  <c r="M424" i="130"/>
  <c r="M430" s="1"/>
  <c r="M95" i="105"/>
  <c r="M89" i="130"/>
  <c r="M95" s="1"/>
  <c r="M17" i="131" s="1"/>
  <c r="B91" i="135"/>
  <c r="B70" i="130"/>
  <c r="M338" i="105"/>
  <c r="M332" i="130"/>
  <c r="M338" s="1"/>
  <c r="M374" i="105"/>
  <c r="M368" i="130"/>
  <c r="M374" s="1"/>
  <c r="M41" i="105"/>
  <c r="M35" i="130"/>
  <c r="M41" s="1"/>
  <c r="C376" i="135"/>
  <c r="C286" i="130"/>
  <c r="N120" i="38"/>
  <c r="N120" i="67"/>
  <c r="C97" i="111"/>
  <c r="C79" i="135"/>
  <c r="N120" i="77"/>
  <c r="N120" i="100"/>
  <c r="N120" i="91"/>
  <c r="N120" i="102"/>
  <c r="N120" i="45"/>
  <c r="N120" i="57"/>
  <c r="N120" i="83"/>
  <c r="N120" i="89"/>
  <c r="N120" i="109"/>
  <c r="N120" i="48"/>
  <c r="N120" i="60"/>
  <c r="N120" i="86"/>
  <c r="N120" i="41"/>
  <c r="E105" i="60"/>
  <c r="H566" i="111"/>
  <c r="S566" s="1"/>
  <c r="H565"/>
  <c r="S565" s="1"/>
  <c r="H564"/>
  <c r="S564" s="1"/>
  <c r="H562"/>
  <c r="S562" s="1"/>
  <c r="H561"/>
  <c r="S561" s="1"/>
  <c r="F566"/>
  <c r="Q566" s="1"/>
  <c r="F563"/>
  <c r="Q563" s="1"/>
  <c r="J561"/>
  <c r="U561" s="1"/>
  <c r="I565"/>
  <c r="T565" s="1"/>
  <c r="G565"/>
  <c r="R565" s="1"/>
  <c r="G562"/>
  <c r="R562" s="1"/>
  <c r="E762"/>
  <c r="E761"/>
  <c r="E759"/>
  <c r="E758"/>
  <c r="I758"/>
  <c r="T758" s="1"/>
  <c r="G761"/>
  <c r="R761" s="1"/>
  <c r="J759"/>
  <c r="U759" s="1"/>
  <c r="F762"/>
  <c r="Q762" s="1"/>
  <c r="F760"/>
  <c r="Q760" s="1"/>
  <c r="B388" i="106"/>
  <c r="B484" i="111"/>
  <c r="O119" i="90"/>
  <c r="O119" i="96"/>
  <c r="O119" i="97"/>
  <c r="O119" i="71"/>
  <c r="O119" i="75"/>
  <c r="O119" i="78"/>
  <c r="O119" i="93"/>
  <c r="O119" i="101"/>
  <c r="O119" i="40"/>
  <c r="O119" i="44"/>
  <c r="O119" i="49"/>
  <c r="O119" i="50"/>
  <c r="O119" i="58"/>
  <c r="K611" i="111"/>
  <c r="V611" s="1"/>
  <c r="H611"/>
  <c r="S611" s="1"/>
  <c r="E611"/>
  <c r="K610"/>
  <c r="V610" s="1"/>
  <c r="H610"/>
  <c r="S610" s="1"/>
  <c r="E610"/>
  <c r="K609"/>
  <c r="V609" s="1"/>
  <c r="H609"/>
  <c r="S609" s="1"/>
  <c r="E609"/>
  <c r="K608"/>
  <c r="V608" s="1"/>
  <c r="H608"/>
  <c r="S608" s="1"/>
  <c r="E608"/>
  <c r="K607"/>
  <c r="V607" s="1"/>
  <c r="H607"/>
  <c r="S607" s="1"/>
  <c r="E607"/>
  <c r="K606"/>
  <c r="V606" s="1"/>
  <c r="H606"/>
  <c r="S606" s="1"/>
  <c r="E606"/>
  <c r="J611"/>
  <c r="U611" s="1"/>
  <c r="G611"/>
  <c r="R611" s="1"/>
  <c r="J610"/>
  <c r="U610" s="1"/>
  <c r="G610"/>
  <c r="R610" s="1"/>
  <c r="J609"/>
  <c r="U609" s="1"/>
  <c r="G609"/>
  <c r="R609" s="1"/>
  <c r="J608"/>
  <c r="U608" s="1"/>
  <c r="G608"/>
  <c r="R608" s="1"/>
  <c r="J607"/>
  <c r="U607" s="1"/>
  <c r="G607"/>
  <c r="R607" s="1"/>
  <c r="J606"/>
  <c r="U606" s="1"/>
  <c r="G606"/>
  <c r="R606" s="1"/>
  <c r="I611"/>
  <c r="T611" s="1"/>
  <c r="I610"/>
  <c r="T610" s="1"/>
  <c r="I609"/>
  <c r="T609" s="1"/>
  <c r="I608"/>
  <c r="T608" s="1"/>
  <c r="I607"/>
  <c r="T607" s="1"/>
  <c r="I606"/>
  <c r="T606" s="1"/>
  <c r="F611"/>
  <c r="Q611" s="1"/>
  <c r="F610"/>
  <c r="Q610" s="1"/>
  <c r="F609"/>
  <c r="Q609" s="1"/>
  <c r="F608"/>
  <c r="Q608" s="1"/>
  <c r="F607"/>
  <c r="Q607" s="1"/>
  <c r="F606"/>
  <c r="Q606" s="1"/>
  <c r="N120" i="55"/>
  <c r="E788" i="111" a="1"/>
  <c r="B91" i="106"/>
  <c r="B112" i="111"/>
  <c r="O119" i="74"/>
  <c r="O119" i="80"/>
  <c r="O119" i="42"/>
  <c r="O119" i="46"/>
  <c r="C469" i="111"/>
  <c r="E296" a="1"/>
  <c r="O119" i="53"/>
  <c r="N120" i="59"/>
  <c r="C61" i="105"/>
  <c r="C79" i="106"/>
  <c r="E42" i="104"/>
  <c r="D141" i="83"/>
  <c r="C286" i="105"/>
  <c r="C376" i="106"/>
  <c r="O233" i="105"/>
  <c r="O232"/>
  <c r="O235"/>
  <c r="C53" i="104"/>
  <c r="O236" i="105"/>
  <c r="O234"/>
  <c r="C53" i="63"/>
  <c r="C59" s="1"/>
  <c r="O11" i="105"/>
  <c r="C133" i="63"/>
  <c r="O12" i="105"/>
  <c r="O9"/>
  <c r="O10"/>
  <c r="C291" i="7"/>
  <c r="C295" i="130" s="1"/>
  <c r="B295" i="105"/>
  <c r="N314"/>
  <c r="D70" i="87"/>
  <c r="D208" s="1"/>
  <c r="N397" i="105"/>
  <c r="D70" i="94"/>
  <c r="D208" s="1"/>
  <c r="N478" i="105"/>
  <c r="C70" i="96"/>
  <c r="C208" s="1"/>
  <c r="M496" i="105"/>
  <c r="C70" i="97"/>
  <c r="C208" s="1"/>
  <c r="M505" i="105"/>
  <c r="D70" i="108"/>
  <c r="D208" s="1"/>
  <c r="N563" i="105"/>
  <c r="C70" i="129"/>
  <c r="C208" s="1"/>
  <c r="M599" i="105"/>
  <c r="C70" i="42"/>
  <c r="C208" s="1"/>
  <c r="M53" i="105"/>
  <c r="C70" i="44"/>
  <c r="C208" s="1"/>
  <c r="M71" i="105"/>
  <c r="C70" i="58"/>
  <c r="C208" s="1"/>
  <c r="M199" i="105"/>
  <c r="R83" i="60"/>
  <c r="C70" i="7"/>
  <c r="C70" i="130" s="1"/>
  <c r="B70" i="105"/>
  <c r="C70" i="81"/>
  <c r="C208" s="1"/>
  <c r="M341" i="105"/>
  <c r="C70" i="92"/>
  <c r="C208" s="1"/>
  <c r="M460" i="105"/>
  <c r="C70" i="93"/>
  <c r="C208" s="1"/>
  <c r="M469" i="105"/>
  <c r="C70" i="94"/>
  <c r="C208" s="1"/>
  <c r="M478" i="105"/>
  <c r="C70" i="99"/>
  <c r="C208" s="1"/>
  <c r="M525" i="105"/>
  <c r="D70" i="41"/>
  <c r="D208" s="1"/>
  <c r="N44" i="105"/>
  <c r="D70" i="48"/>
  <c r="D208" s="1"/>
  <c r="N109" i="105"/>
  <c r="N145"/>
  <c r="C70" i="53"/>
  <c r="C208" s="1"/>
  <c r="M154" i="105"/>
  <c r="D70" i="54"/>
  <c r="D208" s="1"/>
  <c r="N163" i="105"/>
  <c r="R83" i="59"/>
  <c r="C70" i="69"/>
  <c r="C208" s="1"/>
  <c r="M249" i="105"/>
  <c r="C70" i="71"/>
  <c r="C208" s="1"/>
  <c r="M268" i="105"/>
  <c r="M268" i="130" s="1"/>
  <c r="C70" i="75"/>
  <c r="C208" s="1"/>
  <c r="M305" i="105"/>
  <c r="C70" i="76"/>
  <c r="C208" s="1"/>
  <c r="M314" i="105"/>
  <c r="D70" i="84"/>
  <c r="D208" s="1"/>
  <c r="N368" i="105"/>
  <c r="C70" i="90"/>
  <c r="C208" s="1"/>
  <c r="M442" i="105"/>
  <c r="C70" i="95"/>
  <c r="C208" s="1"/>
  <c r="M487" i="105"/>
  <c r="C70" i="101"/>
  <c r="C208" s="1"/>
  <c r="M543" i="105"/>
  <c r="C70" i="49"/>
  <c r="C208" s="1"/>
  <c r="M118" i="105"/>
  <c r="C70" i="50"/>
  <c r="C208" s="1"/>
  <c r="M127" i="105"/>
  <c r="C70" i="51"/>
  <c r="C208" s="1"/>
  <c r="M136" i="105"/>
  <c r="D70" i="55"/>
  <c r="D208" s="1"/>
  <c r="N172" i="105"/>
  <c r="C70" i="56"/>
  <c r="C208" s="1"/>
  <c r="M181" i="105"/>
  <c r="H91" i="60" a="1"/>
  <c r="H91" s="1"/>
  <c r="H88" a="1"/>
  <c r="H88" s="1"/>
  <c r="H93" a="1"/>
  <c r="H93" s="1"/>
  <c r="H90" a="1"/>
  <c r="H90" s="1"/>
  <c r="H87" a="1"/>
  <c r="H87" s="1"/>
  <c r="H86" a="1"/>
  <c r="H86" s="1"/>
  <c r="H98" s="1"/>
  <c r="H89" a="1"/>
  <c r="H89" s="1"/>
  <c r="I77"/>
  <c r="T77" s="1"/>
  <c r="F104"/>
  <c r="F105" s="1"/>
  <c r="F42"/>
  <c r="I79"/>
  <c r="T79" s="1"/>
  <c r="D140"/>
  <c r="O120" s="1"/>
  <c r="D53"/>
  <c r="Q84" i="55"/>
  <c r="D207" i="60"/>
  <c r="H125" a="1"/>
  <c r="H125" s="1"/>
  <c r="H122" a="1"/>
  <c r="H122" s="1"/>
  <c r="H127" a="1"/>
  <c r="H127" s="1"/>
  <c r="H124" a="1"/>
  <c r="H124" s="1"/>
  <c r="H129" a="1"/>
  <c r="H129" s="1"/>
  <c r="H126" a="1"/>
  <c r="H126" s="1"/>
  <c r="H123" a="1"/>
  <c r="H123" s="1"/>
  <c r="I113"/>
  <c r="G92" a="1"/>
  <c r="G92" s="1"/>
  <c r="G94" s="1"/>
  <c r="C59"/>
  <c r="C64"/>
  <c r="M167"/>
  <c r="G167"/>
  <c r="D167"/>
  <c r="A167"/>
  <c r="J168"/>
  <c r="K167"/>
  <c r="H167"/>
  <c r="E167"/>
  <c r="B167"/>
  <c r="L167"/>
  <c r="I167"/>
  <c r="F167"/>
  <c r="C167"/>
  <c r="I78"/>
  <c r="T78" s="1"/>
  <c r="E48"/>
  <c r="I80" i="59"/>
  <c r="T80" s="1"/>
  <c r="I127" a="1"/>
  <c r="I127" s="1"/>
  <c r="I124" a="1"/>
  <c r="I124" s="1"/>
  <c r="I123" a="1"/>
  <c r="I123" s="1"/>
  <c r="I122" a="1"/>
  <c r="I122" s="1"/>
  <c r="I126" a="1"/>
  <c r="I126" s="1"/>
  <c r="I125" a="1"/>
  <c r="I125" s="1"/>
  <c r="I129" a="1"/>
  <c r="I129" s="1"/>
  <c r="I79"/>
  <c r="T79" s="1"/>
  <c r="H89" a="1"/>
  <c r="H89" s="1"/>
  <c r="H86" a="1"/>
  <c r="H86" s="1"/>
  <c r="H98" s="1"/>
  <c r="H91" a="1"/>
  <c r="H91" s="1"/>
  <c r="E48"/>
  <c r="M167"/>
  <c r="G167"/>
  <c r="D167"/>
  <c r="A167"/>
  <c r="J168"/>
  <c r="K167"/>
  <c r="H167"/>
  <c r="E167"/>
  <c r="B167"/>
  <c r="L167"/>
  <c r="I167"/>
  <c r="F167"/>
  <c r="C167"/>
  <c r="D140"/>
  <c r="O120" s="1"/>
  <c r="D53"/>
  <c r="G42"/>
  <c r="C59"/>
  <c r="C64"/>
  <c r="I82"/>
  <c r="T82" s="1"/>
  <c r="H87" a="1"/>
  <c r="H87" s="1"/>
  <c r="H88" a="1"/>
  <c r="H88" s="1"/>
  <c r="D207"/>
  <c r="F48"/>
  <c r="O120" i="56"/>
  <c r="H90" i="59" a="1"/>
  <c r="H90" s="1"/>
  <c r="H93" a="1"/>
  <c r="H93" s="1"/>
  <c r="H91" i="58" a="1"/>
  <c r="H91" s="1"/>
  <c r="H88" a="1"/>
  <c r="H88" s="1"/>
  <c r="H93" a="1"/>
  <c r="H93" s="1"/>
  <c r="H86" a="1"/>
  <c r="H86" s="1"/>
  <c r="H98" s="1"/>
  <c r="H87" a="1"/>
  <c r="H87" s="1"/>
  <c r="H90" a="1"/>
  <c r="H90" s="1"/>
  <c r="H89" a="1"/>
  <c r="H89" s="1"/>
  <c r="I77"/>
  <c r="T77" s="1"/>
  <c r="E48"/>
  <c r="E105" i="54"/>
  <c r="E105" i="55"/>
  <c r="E105" i="57"/>
  <c r="G92" i="58" a="1"/>
  <c r="G92" s="1"/>
  <c r="G94" s="1"/>
  <c r="D140"/>
  <c r="D53"/>
  <c r="D207"/>
  <c r="J167"/>
  <c r="K166"/>
  <c r="H166"/>
  <c r="E166"/>
  <c r="B166"/>
  <c r="M166"/>
  <c r="I166"/>
  <c r="D166"/>
  <c r="F166"/>
  <c r="A166"/>
  <c r="C166"/>
  <c r="G166"/>
  <c r="L166"/>
  <c r="F48"/>
  <c r="I127" a="1"/>
  <c r="I127" s="1"/>
  <c r="I124" a="1"/>
  <c r="I124" s="1"/>
  <c r="I123" a="1"/>
  <c r="I123" s="1"/>
  <c r="I122" a="1"/>
  <c r="I122" s="1"/>
  <c r="I126" a="1"/>
  <c r="I126" s="1"/>
  <c r="I125" a="1"/>
  <c r="I125" s="1"/>
  <c r="I129" a="1"/>
  <c r="I129" s="1"/>
  <c r="H128" a="1"/>
  <c r="H128" s="1"/>
  <c r="H130" s="1"/>
  <c r="E48" i="57"/>
  <c r="F105"/>
  <c r="Q84"/>
  <c r="M167"/>
  <c r="G167"/>
  <c r="D167"/>
  <c r="A167"/>
  <c r="J168"/>
  <c r="K167"/>
  <c r="H167"/>
  <c r="E167"/>
  <c r="B167"/>
  <c r="L167"/>
  <c r="I167"/>
  <c r="F167"/>
  <c r="C167"/>
  <c r="F48"/>
  <c r="C59"/>
  <c r="C64"/>
  <c r="G42"/>
  <c r="H125" a="1"/>
  <c r="H125" s="1"/>
  <c r="H122" a="1"/>
  <c r="H122" s="1"/>
  <c r="H127" a="1"/>
  <c r="H127" s="1"/>
  <c r="H124" a="1"/>
  <c r="H124" s="1"/>
  <c r="H129" a="1"/>
  <c r="H129" s="1"/>
  <c r="H126" a="1"/>
  <c r="H126" s="1"/>
  <c r="H123" a="1"/>
  <c r="H123" s="1"/>
  <c r="I113"/>
  <c r="T83" i="56"/>
  <c r="G128" i="57" a="1"/>
  <c r="G128" s="1"/>
  <c r="G130" s="1"/>
  <c r="H125" i="56" a="1"/>
  <c r="H125" s="1"/>
  <c r="H122" a="1"/>
  <c r="H122" s="1"/>
  <c r="H127" a="1"/>
  <c r="H127" s="1"/>
  <c r="H124" a="1"/>
  <c r="H124" s="1"/>
  <c r="H129" a="1"/>
  <c r="H129" s="1"/>
  <c r="H126" a="1"/>
  <c r="H126" s="1"/>
  <c r="H123" a="1"/>
  <c r="H123" s="1"/>
  <c r="I113"/>
  <c r="H92" a="1"/>
  <c r="H92" s="1"/>
  <c r="H94" s="1"/>
  <c r="D59"/>
  <c r="D64"/>
  <c r="F48"/>
  <c r="G128" a="1"/>
  <c r="G128" s="1"/>
  <c r="G130" s="1"/>
  <c r="E105"/>
  <c r="E48"/>
  <c r="G48"/>
  <c r="M167"/>
  <c r="G167"/>
  <c r="D167"/>
  <c r="A167"/>
  <c r="J168"/>
  <c r="K167"/>
  <c r="H167"/>
  <c r="E167"/>
  <c r="B167"/>
  <c r="L167"/>
  <c r="I167"/>
  <c r="F167"/>
  <c r="C167"/>
  <c r="F105"/>
  <c r="Q84"/>
  <c r="C59" i="55"/>
  <c r="C64"/>
  <c r="I127" a="1"/>
  <c r="I127" s="1"/>
  <c r="I124" a="1"/>
  <c r="I124" s="1"/>
  <c r="I129" a="1"/>
  <c r="I129" s="1"/>
  <c r="I126" a="1"/>
  <c r="I126" s="1"/>
  <c r="I123" a="1"/>
  <c r="I123" s="1"/>
  <c r="I125" a="1"/>
  <c r="I125" s="1"/>
  <c r="I122" a="1"/>
  <c r="I122" s="1"/>
  <c r="M167"/>
  <c r="G167"/>
  <c r="D167"/>
  <c r="A167"/>
  <c r="J168"/>
  <c r="K167"/>
  <c r="H167"/>
  <c r="E167"/>
  <c r="B167"/>
  <c r="L167"/>
  <c r="I167"/>
  <c r="F167"/>
  <c r="C167"/>
  <c r="R83" i="50"/>
  <c r="E48" i="55"/>
  <c r="F48"/>
  <c r="F48" i="54"/>
  <c r="I127" a="1"/>
  <c r="I127" s="1"/>
  <c r="I124" a="1"/>
  <c r="I124" s="1"/>
  <c r="I129" a="1"/>
  <c r="I129" s="1"/>
  <c r="I126" a="1"/>
  <c r="I126" s="1"/>
  <c r="I123" a="1"/>
  <c r="I123" s="1"/>
  <c r="I125" a="1"/>
  <c r="I125" s="1"/>
  <c r="I122" a="1"/>
  <c r="I122" s="1"/>
  <c r="E48"/>
  <c r="H128" a="1"/>
  <c r="H128" s="1"/>
  <c r="H130" s="1"/>
  <c r="C59"/>
  <c r="C64"/>
  <c r="M167"/>
  <c r="G167"/>
  <c r="D167"/>
  <c r="A167"/>
  <c r="J168"/>
  <c r="K167"/>
  <c r="H167"/>
  <c r="E167"/>
  <c r="B167"/>
  <c r="L167"/>
  <c r="I167"/>
  <c r="F167"/>
  <c r="C167"/>
  <c r="G42"/>
  <c r="D53" i="53"/>
  <c r="D140"/>
  <c r="G92" a="1"/>
  <c r="G92" s="1"/>
  <c r="G94" s="1"/>
  <c r="I80"/>
  <c r="T80" s="1"/>
  <c r="F48"/>
  <c r="E48"/>
  <c r="H91" a="1"/>
  <c r="H91" s="1"/>
  <c r="H93" a="1"/>
  <c r="H93" s="1"/>
  <c r="E105" i="49"/>
  <c r="R83" i="53"/>
  <c r="H89" a="1"/>
  <c r="H89" s="1"/>
  <c r="I128" a="1"/>
  <c r="I128" s="1"/>
  <c r="I130" s="1"/>
  <c r="J130" s="1"/>
  <c r="D207"/>
  <c r="I78"/>
  <c r="T78" s="1"/>
  <c r="L166"/>
  <c r="I166"/>
  <c r="F166"/>
  <c r="C166"/>
  <c r="K166"/>
  <c r="G166"/>
  <c r="B166"/>
  <c r="M166"/>
  <c r="H166"/>
  <c r="D166"/>
  <c r="J167"/>
  <c r="A166"/>
  <c r="E166"/>
  <c r="I82"/>
  <c r="T82" s="1"/>
  <c r="I79"/>
  <c r="T79" s="1"/>
  <c r="H86" a="1"/>
  <c r="H86" s="1"/>
  <c r="H98" s="1"/>
  <c r="H88" a="1"/>
  <c r="H88" s="1"/>
  <c r="H87" a="1"/>
  <c r="H87" s="1"/>
  <c r="F48" i="52"/>
  <c r="E48"/>
  <c r="C59"/>
  <c r="C64"/>
  <c r="H125" a="1"/>
  <c r="H125" s="1"/>
  <c r="H122" a="1"/>
  <c r="H122" s="1"/>
  <c r="H127" a="1"/>
  <c r="H127" s="1"/>
  <c r="H124" a="1"/>
  <c r="H124" s="1"/>
  <c r="H129" a="1"/>
  <c r="H129" s="1"/>
  <c r="H126" a="1"/>
  <c r="H126" s="1"/>
  <c r="H123" a="1"/>
  <c r="H123" s="1"/>
  <c r="I113"/>
  <c r="J167"/>
  <c r="K166"/>
  <c r="H166"/>
  <c r="E166"/>
  <c r="B166"/>
  <c r="L166"/>
  <c r="I166"/>
  <c r="F166"/>
  <c r="C166"/>
  <c r="M166"/>
  <c r="G166"/>
  <c r="D166"/>
  <c r="A166"/>
  <c r="G128" a="1"/>
  <c r="G128" s="1"/>
  <c r="G130" s="1"/>
  <c r="F48" i="51"/>
  <c r="D59"/>
  <c r="D64"/>
  <c r="O120"/>
  <c r="G48"/>
  <c r="E48"/>
  <c r="I127" a="1"/>
  <c r="I127" s="1"/>
  <c r="I124" a="1"/>
  <c r="I124" s="1"/>
  <c r="I123" a="1"/>
  <c r="I123" s="1"/>
  <c r="I122" a="1"/>
  <c r="I122" s="1"/>
  <c r="I126" a="1"/>
  <c r="I126" s="1"/>
  <c r="I125" a="1"/>
  <c r="I125" s="1"/>
  <c r="I129" a="1"/>
  <c r="I129" s="1"/>
  <c r="H128" a="1"/>
  <c r="H128" s="1"/>
  <c r="H130" s="1"/>
  <c r="J167"/>
  <c r="K166"/>
  <c r="H166"/>
  <c r="E166"/>
  <c r="B166"/>
  <c r="M166"/>
  <c r="I166"/>
  <c r="D166"/>
  <c r="F166"/>
  <c r="A166"/>
  <c r="C166"/>
  <c r="G166"/>
  <c r="L166"/>
  <c r="F105"/>
  <c r="G92" i="50" a="1"/>
  <c r="G92" s="1"/>
  <c r="G94" s="1"/>
  <c r="D207"/>
  <c r="H87" a="1"/>
  <c r="H87" s="1"/>
  <c r="H88" a="1"/>
  <c r="H88" s="1"/>
  <c r="I82"/>
  <c r="T82" s="1"/>
  <c r="M167"/>
  <c r="G167"/>
  <c r="D167"/>
  <c r="A167"/>
  <c r="J168"/>
  <c r="K167"/>
  <c r="H167"/>
  <c r="E167"/>
  <c r="B167"/>
  <c r="L167"/>
  <c r="I167"/>
  <c r="F167"/>
  <c r="C167"/>
  <c r="E48"/>
  <c r="Q84" i="48"/>
  <c r="H89" i="50" a="1"/>
  <c r="H89" s="1"/>
  <c r="F104"/>
  <c r="F105" s="1"/>
  <c r="F42"/>
  <c r="I80"/>
  <c r="T80" s="1"/>
  <c r="I127" a="1"/>
  <c r="I127" s="1"/>
  <c r="I124" a="1"/>
  <c r="I124" s="1"/>
  <c r="I129" a="1"/>
  <c r="I129" s="1"/>
  <c r="I126" a="1"/>
  <c r="I126" s="1"/>
  <c r="I123" a="1"/>
  <c r="I123" s="1"/>
  <c r="I125" a="1"/>
  <c r="I125" s="1"/>
  <c r="I122" a="1"/>
  <c r="I122" s="1"/>
  <c r="D140"/>
  <c r="D141" s="1"/>
  <c r="D53"/>
  <c r="I79"/>
  <c r="T79" s="1"/>
  <c r="H128" a="1"/>
  <c r="H128" s="1"/>
  <c r="H130" s="1"/>
  <c r="H86" a="1"/>
  <c r="H86" s="1"/>
  <c r="H98" s="1"/>
  <c r="H90" a="1"/>
  <c r="H90" s="1"/>
  <c r="H91" a="1"/>
  <c r="H91" s="1"/>
  <c r="D140" i="49"/>
  <c r="D141" s="1"/>
  <c r="D53"/>
  <c r="J167"/>
  <c r="K166"/>
  <c r="H166"/>
  <c r="E166"/>
  <c r="B166"/>
  <c r="M166"/>
  <c r="G166"/>
  <c r="D166"/>
  <c r="A166"/>
  <c r="I166"/>
  <c r="L166"/>
  <c r="C166"/>
  <c r="F166"/>
  <c r="G42"/>
  <c r="I127" a="1"/>
  <c r="I127" s="1"/>
  <c r="I124" a="1"/>
  <c r="I124" s="1"/>
  <c r="I125" a="1"/>
  <c r="I125" s="1"/>
  <c r="I122" a="1"/>
  <c r="I122" s="1"/>
  <c r="I129" a="1"/>
  <c r="I129" s="1"/>
  <c r="I126" a="1"/>
  <c r="I126" s="1"/>
  <c r="I123" a="1"/>
  <c r="I123" s="1"/>
  <c r="H128" a="1"/>
  <c r="H128" s="1"/>
  <c r="H130" s="1"/>
  <c r="D207"/>
  <c r="F48"/>
  <c r="E48"/>
  <c r="I127" i="48" a="1"/>
  <c r="I127" s="1"/>
  <c r="I124" a="1"/>
  <c r="I124" s="1"/>
  <c r="I129" a="1"/>
  <c r="I129" s="1"/>
  <c r="I126" a="1"/>
  <c r="I126" s="1"/>
  <c r="I123" a="1"/>
  <c r="I123" s="1"/>
  <c r="I122" a="1"/>
  <c r="I122" s="1"/>
  <c r="I125" a="1"/>
  <c r="I125" s="1"/>
  <c r="C59"/>
  <c r="C64"/>
  <c r="E48"/>
  <c r="J167"/>
  <c r="K166"/>
  <c r="H166"/>
  <c r="E166"/>
  <c r="B166"/>
  <c r="L166"/>
  <c r="I166"/>
  <c r="F166"/>
  <c r="C166"/>
  <c r="M166"/>
  <c r="D166"/>
  <c r="G166"/>
  <c r="A166"/>
  <c r="F48"/>
  <c r="R83" i="45"/>
  <c r="R83" i="47"/>
  <c r="I79"/>
  <c r="T79" s="1"/>
  <c r="D140"/>
  <c r="D141" s="1"/>
  <c r="D53"/>
  <c r="D207"/>
  <c r="I127" a="1"/>
  <c r="I127" s="1"/>
  <c r="I124" a="1"/>
  <c r="I124" s="1"/>
  <c r="I129" a="1"/>
  <c r="I129" s="1"/>
  <c r="I126" a="1"/>
  <c r="I126" s="1"/>
  <c r="I123" a="1"/>
  <c r="I123" s="1"/>
  <c r="I125" a="1"/>
  <c r="I125" s="1"/>
  <c r="I122" a="1"/>
  <c r="I122" s="1"/>
  <c r="I82"/>
  <c r="T82" s="1"/>
  <c r="H88" a="1"/>
  <c r="H88" s="1"/>
  <c r="H90" a="1"/>
  <c r="H90" s="1"/>
  <c r="H128" a="1"/>
  <c r="H128" s="1"/>
  <c r="H130" s="1"/>
  <c r="H86" a="1"/>
  <c r="H86" s="1"/>
  <c r="H98" s="1"/>
  <c r="H87" a="1"/>
  <c r="H87" s="1"/>
  <c r="H91" a="1"/>
  <c r="H91" s="1"/>
  <c r="E48"/>
  <c r="G92" a="1"/>
  <c r="G92" s="1"/>
  <c r="G94" s="1"/>
  <c r="M167"/>
  <c r="G167"/>
  <c r="D167"/>
  <c r="A167"/>
  <c r="J168"/>
  <c r="K167"/>
  <c r="H167"/>
  <c r="E167"/>
  <c r="B167"/>
  <c r="L167"/>
  <c r="I167"/>
  <c r="F167"/>
  <c r="C167"/>
  <c r="F104"/>
  <c r="F105" s="1"/>
  <c r="F42"/>
  <c r="C59"/>
  <c r="C64"/>
  <c r="I80" i="46"/>
  <c r="T80" s="1"/>
  <c r="S83"/>
  <c r="H125" a="1"/>
  <c r="H125" s="1"/>
  <c r="H122" a="1"/>
  <c r="H122" s="1"/>
  <c r="H129" a="1"/>
  <c r="H129" s="1"/>
  <c r="H126" a="1"/>
  <c r="H126" s="1"/>
  <c r="H123" a="1"/>
  <c r="H123" s="1"/>
  <c r="H124" a="1"/>
  <c r="H124" s="1"/>
  <c r="H127" a="1"/>
  <c r="H127" s="1"/>
  <c r="I113"/>
  <c r="D140"/>
  <c r="D141" s="1"/>
  <c r="D53"/>
  <c r="D207"/>
  <c r="H86" a="1"/>
  <c r="H86" s="1"/>
  <c r="H98" s="1"/>
  <c r="H93" a="1"/>
  <c r="H93" s="1"/>
  <c r="H91" a="1"/>
  <c r="H91" s="1"/>
  <c r="H87" a="1"/>
  <c r="H87" s="1"/>
  <c r="H88" a="1"/>
  <c r="H88" s="1"/>
  <c r="J167"/>
  <c r="K166"/>
  <c r="H166"/>
  <c r="E166"/>
  <c r="B166"/>
  <c r="M166"/>
  <c r="G166"/>
  <c r="D166"/>
  <c r="A166"/>
  <c r="I166"/>
  <c r="C166"/>
  <c r="F166"/>
  <c r="L166"/>
  <c r="G92" a="1"/>
  <c r="G92" s="1"/>
  <c r="G94" s="1"/>
  <c r="E48"/>
  <c r="H90" a="1"/>
  <c r="H90" s="1"/>
  <c r="H89" a="1"/>
  <c r="H89" s="1"/>
  <c r="E48" i="45"/>
  <c r="M167"/>
  <c r="G167"/>
  <c r="D167"/>
  <c r="A167"/>
  <c r="J168"/>
  <c r="K167"/>
  <c r="H167"/>
  <c r="E167"/>
  <c r="B167"/>
  <c r="L167"/>
  <c r="I167"/>
  <c r="F167"/>
  <c r="C167"/>
  <c r="H87" a="1"/>
  <c r="H87" s="1"/>
  <c r="F104"/>
  <c r="Q84" s="1"/>
  <c r="F42"/>
  <c r="I82"/>
  <c r="T82" s="1"/>
  <c r="D140"/>
  <c r="O120" s="1"/>
  <c r="D53"/>
  <c r="C59"/>
  <c r="C64"/>
  <c r="H89" a="1"/>
  <c r="H89" s="1"/>
  <c r="H93" a="1"/>
  <c r="H93" s="1"/>
  <c r="I80"/>
  <c r="T80" s="1"/>
  <c r="D207"/>
  <c r="D141"/>
  <c r="I127" a="1"/>
  <c r="I127" s="1"/>
  <c r="I124" a="1"/>
  <c r="I124" s="1"/>
  <c r="I129" a="1"/>
  <c r="I129" s="1"/>
  <c r="I126" a="1"/>
  <c r="I126" s="1"/>
  <c r="I123" a="1"/>
  <c r="I123" s="1"/>
  <c r="I125" a="1"/>
  <c r="I125" s="1"/>
  <c r="I122" a="1"/>
  <c r="I122" s="1"/>
  <c r="H86" a="1"/>
  <c r="H86" s="1"/>
  <c r="H98" s="1"/>
  <c r="H90" a="1"/>
  <c r="H90" s="1"/>
  <c r="H91" a="1"/>
  <c r="H91" s="1"/>
  <c r="H128" a="1"/>
  <c r="H128" s="1"/>
  <c r="H130" s="1"/>
  <c r="H125" i="44" a="1"/>
  <c r="H125" s="1"/>
  <c r="H122" a="1"/>
  <c r="H122" s="1"/>
  <c r="H127" a="1"/>
  <c r="H127" s="1"/>
  <c r="H124" a="1"/>
  <c r="H124" s="1"/>
  <c r="H129" a="1"/>
  <c r="H129" s="1"/>
  <c r="H126" a="1"/>
  <c r="H126" s="1"/>
  <c r="H123" a="1"/>
  <c r="H123" s="1"/>
  <c r="I113"/>
  <c r="I82"/>
  <c r="T82" s="1"/>
  <c r="G128" a="1"/>
  <c r="G128" s="1"/>
  <c r="G130" s="1"/>
  <c r="E105"/>
  <c r="G92" a="1"/>
  <c r="G92" s="1"/>
  <c r="G94" s="1"/>
  <c r="E48"/>
  <c r="M167"/>
  <c r="G167"/>
  <c r="D167"/>
  <c r="A167"/>
  <c r="J168"/>
  <c r="K167"/>
  <c r="H167"/>
  <c r="E167"/>
  <c r="B167"/>
  <c r="L167"/>
  <c r="I167"/>
  <c r="F167"/>
  <c r="C167"/>
  <c r="D207"/>
  <c r="R83" i="40"/>
  <c r="H91" i="44" a="1"/>
  <c r="H91" s="1"/>
  <c r="F104"/>
  <c r="F42"/>
  <c r="D140"/>
  <c r="D141" s="1"/>
  <c r="D53"/>
  <c r="H93" a="1"/>
  <c r="H93" s="1"/>
  <c r="D53" i="43"/>
  <c r="D140"/>
  <c r="O120" s="1"/>
  <c r="H125" a="1"/>
  <c r="H125" s="1"/>
  <c r="H122" a="1"/>
  <c r="H122" s="1"/>
  <c r="H127" a="1"/>
  <c r="H127" s="1"/>
  <c r="H124" a="1"/>
  <c r="H124" s="1"/>
  <c r="H126" a="1"/>
  <c r="H126" s="1"/>
  <c r="H123" a="1"/>
  <c r="H123" s="1"/>
  <c r="H129" a="1"/>
  <c r="H129" s="1"/>
  <c r="I113"/>
  <c r="J167"/>
  <c r="K166"/>
  <c r="H166"/>
  <c r="E166"/>
  <c r="B166"/>
  <c r="L166"/>
  <c r="I166"/>
  <c r="F166"/>
  <c r="C166"/>
  <c r="M166"/>
  <c r="D166"/>
  <c r="G166"/>
  <c r="A166"/>
  <c r="G128" a="1"/>
  <c r="G128" s="1"/>
  <c r="G130" s="1"/>
  <c r="C59"/>
  <c r="C64"/>
  <c r="E48"/>
  <c r="H91" a="1"/>
  <c r="H91" s="1"/>
  <c r="H88" a="1"/>
  <c r="H88" s="1"/>
  <c r="H93" a="1"/>
  <c r="H93" s="1"/>
  <c r="H90" a="1"/>
  <c r="H90" s="1"/>
  <c r="H87" a="1"/>
  <c r="H87" s="1"/>
  <c r="H86" a="1"/>
  <c r="H86" s="1"/>
  <c r="H98" s="1"/>
  <c r="H89" a="1"/>
  <c r="H89" s="1"/>
  <c r="I77"/>
  <c r="T77" s="1"/>
  <c r="O120" i="39"/>
  <c r="R83" i="42"/>
  <c r="D207" i="43"/>
  <c r="F48"/>
  <c r="G92" a="1"/>
  <c r="G92" s="1"/>
  <c r="G94" s="1"/>
  <c r="D207" i="42"/>
  <c r="H125" a="1"/>
  <c r="H125" s="1"/>
  <c r="H122" a="1"/>
  <c r="H122" s="1"/>
  <c r="H127" a="1"/>
  <c r="H127" s="1"/>
  <c r="H124" a="1"/>
  <c r="H124" s="1"/>
  <c r="H129" a="1"/>
  <c r="H129" s="1"/>
  <c r="H126" a="1"/>
  <c r="H126" s="1"/>
  <c r="H123" a="1"/>
  <c r="H123" s="1"/>
  <c r="I113"/>
  <c r="H91" a="1"/>
  <c r="H91" s="1"/>
  <c r="H88" a="1"/>
  <c r="H88" s="1"/>
  <c r="H93" a="1"/>
  <c r="H93" s="1"/>
  <c r="H90" a="1"/>
  <c r="H90" s="1"/>
  <c r="H87" a="1"/>
  <c r="H87" s="1"/>
  <c r="H89" a="1"/>
  <c r="H89" s="1"/>
  <c r="H86" a="1"/>
  <c r="H86" s="1"/>
  <c r="H98" s="1"/>
  <c r="I77"/>
  <c r="T77" s="1"/>
  <c r="G128" a="1"/>
  <c r="G128" s="1"/>
  <c r="G130" s="1"/>
  <c r="I79"/>
  <c r="T79" s="1"/>
  <c r="D140"/>
  <c r="D141" s="1"/>
  <c r="D53"/>
  <c r="M167"/>
  <c r="G167"/>
  <c r="D167"/>
  <c r="A167"/>
  <c r="J168"/>
  <c r="K167"/>
  <c r="H167"/>
  <c r="E167"/>
  <c r="B167"/>
  <c r="L167"/>
  <c r="I167"/>
  <c r="F167"/>
  <c r="C167"/>
  <c r="G92" a="1"/>
  <c r="G92" s="1"/>
  <c r="G94" s="1"/>
  <c r="I81"/>
  <c r="T81" s="1"/>
  <c r="E48"/>
  <c r="F48"/>
  <c r="E48" i="41"/>
  <c r="F48"/>
  <c r="H125" a="1"/>
  <c r="H125" s="1"/>
  <c r="H122" a="1"/>
  <c r="H122" s="1"/>
  <c r="H127" a="1"/>
  <c r="H127" s="1"/>
  <c r="H124" a="1"/>
  <c r="H124" s="1"/>
  <c r="H129" a="1"/>
  <c r="H129" s="1"/>
  <c r="H126" a="1"/>
  <c r="H126" s="1"/>
  <c r="H123" a="1"/>
  <c r="H123" s="1"/>
  <c r="I113"/>
  <c r="M167"/>
  <c r="G167"/>
  <c r="D167"/>
  <c r="A167"/>
  <c r="J168"/>
  <c r="K167"/>
  <c r="H167"/>
  <c r="E167"/>
  <c r="B167"/>
  <c r="L167"/>
  <c r="I167"/>
  <c r="F167"/>
  <c r="C167"/>
  <c r="G128" a="1"/>
  <c r="G128" s="1"/>
  <c r="G130" s="1"/>
  <c r="E105"/>
  <c r="F105"/>
  <c r="Q84"/>
  <c r="C59"/>
  <c r="C64"/>
  <c r="I79" i="40"/>
  <c r="T79" s="1"/>
  <c r="F48"/>
  <c r="H91" a="1"/>
  <c r="H91" s="1"/>
  <c r="H87" a="1"/>
  <c r="H87" s="1"/>
  <c r="I82"/>
  <c r="T82" s="1"/>
  <c r="J167"/>
  <c r="K166"/>
  <c r="H166"/>
  <c r="E166"/>
  <c r="B166"/>
  <c r="L166"/>
  <c r="I166"/>
  <c r="F166"/>
  <c r="C166"/>
  <c r="M166"/>
  <c r="D166"/>
  <c r="G166"/>
  <c r="A166"/>
  <c r="D140"/>
  <c r="D141" s="1"/>
  <c r="D53"/>
  <c r="I125" a="1"/>
  <c r="I125" s="1"/>
  <c r="I122" a="1"/>
  <c r="I122" s="1"/>
  <c r="I127" a="1"/>
  <c r="I127" s="1"/>
  <c r="I124" a="1"/>
  <c r="I124" s="1"/>
  <c r="I129" a="1"/>
  <c r="I129" s="1"/>
  <c r="I126" a="1"/>
  <c r="I126" s="1"/>
  <c r="I123" a="1"/>
  <c r="I123" s="1"/>
  <c r="E105"/>
  <c r="H88" a="1"/>
  <c r="H88" s="1"/>
  <c r="H93" a="1"/>
  <c r="H93" s="1"/>
  <c r="H128" a="1"/>
  <c r="H128" s="1"/>
  <c r="H130" s="1"/>
  <c r="E48"/>
  <c r="G92" a="1"/>
  <c r="G92" s="1"/>
  <c r="G94" s="1"/>
  <c r="D207"/>
  <c r="H90" a="1"/>
  <c r="H90" s="1"/>
  <c r="H89" a="1"/>
  <c r="H89" s="1"/>
  <c r="M167" i="39"/>
  <c r="G167"/>
  <c r="D167"/>
  <c r="A167"/>
  <c r="J168"/>
  <c r="K167"/>
  <c r="H167"/>
  <c r="E167"/>
  <c r="B167"/>
  <c r="L167"/>
  <c r="I167"/>
  <c r="F167"/>
  <c r="C167"/>
  <c r="E105" i="38"/>
  <c r="H87" i="39" a="1"/>
  <c r="H87" s="1"/>
  <c r="I81"/>
  <c r="T81" s="1"/>
  <c r="C59"/>
  <c r="C64"/>
  <c r="F104"/>
  <c r="F42"/>
  <c r="G92" a="1"/>
  <c r="G92" s="1"/>
  <c r="G94" s="1"/>
  <c r="H89" a="1"/>
  <c r="H89" s="1"/>
  <c r="H93" a="1"/>
  <c r="H93" s="1"/>
  <c r="E48"/>
  <c r="D59"/>
  <c r="D64"/>
  <c r="I127" a="1"/>
  <c r="I127" s="1"/>
  <c r="I124" a="1"/>
  <c r="I124" s="1"/>
  <c r="I129" a="1"/>
  <c r="I129" s="1"/>
  <c r="I126" a="1"/>
  <c r="I126" s="1"/>
  <c r="I123" a="1"/>
  <c r="I123" s="1"/>
  <c r="I125" a="1"/>
  <c r="I125" s="1"/>
  <c r="I122" a="1"/>
  <c r="I122" s="1"/>
  <c r="R83" i="38"/>
  <c r="H90" i="39" a="1"/>
  <c r="H90" s="1"/>
  <c r="H91" a="1"/>
  <c r="H91" s="1"/>
  <c r="H128" a="1"/>
  <c r="H128" s="1"/>
  <c r="H130" s="1"/>
  <c r="E48" i="38"/>
  <c r="I79"/>
  <c r="T79" s="1"/>
  <c r="C59"/>
  <c r="C64"/>
  <c r="H125" a="1"/>
  <c r="H125" s="1"/>
  <c r="H122" a="1"/>
  <c r="H122" s="1"/>
  <c r="H127" a="1"/>
  <c r="H127" s="1"/>
  <c r="H124" a="1"/>
  <c r="H124" s="1"/>
  <c r="H129" a="1"/>
  <c r="H129" s="1"/>
  <c r="H126" a="1"/>
  <c r="H126" s="1"/>
  <c r="H123" a="1"/>
  <c r="H123" s="1"/>
  <c r="I113"/>
  <c r="I80"/>
  <c r="T80" s="1"/>
  <c r="F48"/>
  <c r="G128" a="1"/>
  <c r="G128" s="1"/>
  <c r="G130" s="1"/>
  <c r="H89" a="1"/>
  <c r="H89" s="1"/>
  <c r="H93" a="1"/>
  <c r="H93" s="1"/>
  <c r="G92" a="1"/>
  <c r="G92" s="1"/>
  <c r="G94" s="1"/>
  <c r="D140"/>
  <c r="O120" s="1"/>
  <c r="D53"/>
  <c r="D207"/>
  <c r="M167"/>
  <c r="G167"/>
  <c r="D167"/>
  <c r="A167"/>
  <c r="J168"/>
  <c r="K167"/>
  <c r="H167"/>
  <c r="E167"/>
  <c r="B167"/>
  <c r="L167"/>
  <c r="I167"/>
  <c r="F167"/>
  <c r="C167"/>
  <c r="H86" a="1"/>
  <c r="H86" s="1"/>
  <c r="H98" s="1"/>
  <c r="H90" a="1"/>
  <c r="H90" s="1"/>
  <c r="H91" a="1"/>
  <c r="H91" s="1"/>
  <c r="I78" i="32"/>
  <c r="T78" s="1"/>
  <c r="H91" a="1"/>
  <c r="H91" s="1"/>
  <c r="H103" s="1"/>
  <c r="H88" a="1"/>
  <c r="H88" s="1"/>
  <c r="H100" s="1"/>
  <c r="H93" a="1"/>
  <c r="H93" s="1"/>
  <c r="H90" a="1"/>
  <c r="H90" s="1"/>
  <c r="H102" s="1"/>
  <c r="H87" a="1"/>
  <c r="H87" s="1"/>
  <c r="H99" s="1"/>
  <c r="H89" a="1"/>
  <c r="H89" s="1"/>
  <c r="H101" s="1"/>
  <c r="H86" a="1"/>
  <c r="H86" s="1"/>
  <c r="H98" s="1"/>
  <c r="I77"/>
  <c r="T77" s="1"/>
  <c r="H125" a="1"/>
  <c r="H125" s="1"/>
  <c r="H122" a="1"/>
  <c r="H122" s="1"/>
  <c r="H127" a="1"/>
  <c r="H127" s="1"/>
  <c r="H124" a="1"/>
  <c r="H124" s="1"/>
  <c r="H129" a="1"/>
  <c r="H129" s="1"/>
  <c r="H126" a="1"/>
  <c r="H126" s="1"/>
  <c r="H123" a="1"/>
  <c r="H123" s="1"/>
  <c r="I113"/>
  <c r="D140"/>
  <c r="O120" s="1"/>
  <c r="D53"/>
  <c r="D207"/>
  <c r="G128" a="1"/>
  <c r="G128" s="1"/>
  <c r="G130" s="1"/>
  <c r="M167"/>
  <c r="G167"/>
  <c r="D167"/>
  <c r="A167"/>
  <c r="J168"/>
  <c r="K167"/>
  <c r="H167"/>
  <c r="E167"/>
  <c r="B167"/>
  <c r="L167"/>
  <c r="I167"/>
  <c r="F167"/>
  <c r="C167"/>
  <c r="F48"/>
  <c r="C59"/>
  <c r="C64"/>
  <c r="E48"/>
  <c r="R83" i="127"/>
  <c r="G92" i="32" a="1"/>
  <c r="G92" s="1"/>
  <c r="G94" s="1"/>
  <c r="M167" i="129"/>
  <c r="G167"/>
  <c r="D167"/>
  <c r="A167"/>
  <c r="J168"/>
  <c r="K167"/>
  <c r="H167"/>
  <c r="E167"/>
  <c r="B167"/>
  <c r="L167"/>
  <c r="I167"/>
  <c r="F167"/>
  <c r="C167"/>
  <c r="D59"/>
  <c r="D64"/>
  <c r="H125" a="1"/>
  <c r="H125" s="1"/>
  <c r="H122" a="1"/>
  <c r="H122" s="1"/>
  <c r="H127" a="1"/>
  <c r="H127" s="1"/>
  <c r="H124" a="1"/>
  <c r="H124" s="1"/>
  <c r="H129" a="1"/>
  <c r="H129" s="1"/>
  <c r="H126" a="1"/>
  <c r="H126" s="1"/>
  <c r="H123" a="1"/>
  <c r="H123" s="1"/>
  <c r="I113"/>
  <c r="F48"/>
  <c r="G48"/>
  <c r="E48"/>
  <c r="D59" i="128"/>
  <c r="D64"/>
  <c r="I82"/>
  <c r="T82" s="1"/>
  <c r="F48"/>
  <c r="E105"/>
  <c r="R83" i="109"/>
  <c r="H87" i="128" a="1"/>
  <c r="H87" s="1"/>
  <c r="H88" a="1"/>
  <c r="H88" s="1"/>
  <c r="G92" a="1"/>
  <c r="G92" s="1"/>
  <c r="G94" s="1"/>
  <c r="E48"/>
  <c r="J167"/>
  <c r="K166"/>
  <c r="H166"/>
  <c r="E166"/>
  <c r="B166"/>
  <c r="L166"/>
  <c r="I166"/>
  <c r="F166"/>
  <c r="C166"/>
  <c r="M166"/>
  <c r="G166"/>
  <c r="D166"/>
  <c r="A166"/>
  <c r="C59"/>
  <c r="C64"/>
  <c r="G42"/>
  <c r="G134" s="1"/>
  <c r="H93" a="1"/>
  <c r="H93" s="1"/>
  <c r="H89" a="1"/>
  <c r="H89" s="1"/>
  <c r="I79" i="127"/>
  <c r="T79" s="1"/>
  <c r="G92" a="1"/>
  <c r="G92" s="1"/>
  <c r="G94" s="1"/>
  <c r="H125" a="1"/>
  <c r="H125" s="1"/>
  <c r="H122" a="1"/>
  <c r="H122" s="1"/>
  <c r="H127" a="1"/>
  <c r="H127" s="1"/>
  <c r="H124" a="1"/>
  <c r="H124" s="1"/>
  <c r="H129" a="1"/>
  <c r="H129" s="1"/>
  <c r="H126" a="1"/>
  <c r="H126" s="1"/>
  <c r="H123" a="1"/>
  <c r="H123" s="1"/>
  <c r="I113"/>
  <c r="I81"/>
  <c r="T81" s="1"/>
  <c r="F48"/>
  <c r="H87" a="1"/>
  <c r="H87" s="1"/>
  <c r="H88" a="1"/>
  <c r="H88" s="1"/>
  <c r="G128" a="1"/>
  <c r="G128" s="1"/>
  <c r="G130" s="1"/>
  <c r="C59"/>
  <c r="C64"/>
  <c r="E48"/>
  <c r="D140"/>
  <c r="O120" s="1"/>
  <c r="D53"/>
  <c r="M167"/>
  <c r="G167"/>
  <c r="D167"/>
  <c r="A167"/>
  <c r="J168"/>
  <c r="K167"/>
  <c r="H167"/>
  <c r="E167"/>
  <c r="B167"/>
  <c r="L167"/>
  <c r="I167"/>
  <c r="F167"/>
  <c r="C167"/>
  <c r="I78"/>
  <c r="T78" s="1"/>
  <c r="D207"/>
  <c r="H86" a="1"/>
  <c r="H86" s="1"/>
  <c r="H98" s="1"/>
  <c r="H93" a="1"/>
  <c r="H93" s="1"/>
  <c r="D140" i="109"/>
  <c r="O120" s="1"/>
  <c r="D53"/>
  <c r="E140"/>
  <c r="E141" s="1"/>
  <c r="E53"/>
  <c r="E207"/>
  <c r="I78"/>
  <c r="T78" s="1"/>
  <c r="M166"/>
  <c r="G166"/>
  <c r="D166"/>
  <c r="A166"/>
  <c r="J167"/>
  <c r="K166"/>
  <c r="H166"/>
  <c r="E166"/>
  <c r="B166"/>
  <c r="L166"/>
  <c r="I166"/>
  <c r="F166"/>
  <c r="C166"/>
  <c r="G42"/>
  <c r="G92" a="1"/>
  <c r="G92" s="1"/>
  <c r="G94" s="1"/>
  <c r="H90" a="1"/>
  <c r="H90" s="1"/>
  <c r="H91" a="1"/>
  <c r="H91" s="1"/>
  <c r="G128" a="1"/>
  <c r="G128" s="1"/>
  <c r="G130" s="1"/>
  <c r="I81"/>
  <c r="T81" s="1"/>
  <c r="F104"/>
  <c r="F42"/>
  <c r="I80"/>
  <c r="T80" s="1"/>
  <c r="C59"/>
  <c r="C64"/>
  <c r="D207"/>
  <c r="H129" a="1"/>
  <c r="H129" s="1"/>
  <c r="H126" a="1"/>
  <c r="H126" s="1"/>
  <c r="H123" a="1"/>
  <c r="H123" s="1"/>
  <c r="H125" a="1"/>
  <c r="H125" s="1"/>
  <c r="H122" a="1"/>
  <c r="H122" s="1"/>
  <c r="H127" a="1"/>
  <c r="H127" s="1"/>
  <c r="H124" a="1"/>
  <c r="H124" s="1"/>
  <c r="I113"/>
  <c r="H86" a="1"/>
  <c r="H86" s="1"/>
  <c r="H98" s="1"/>
  <c r="R83" i="102"/>
  <c r="H87" i="109" a="1"/>
  <c r="H87" s="1"/>
  <c r="H88" a="1"/>
  <c r="H88" s="1"/>
  <c r="H89" a="1"/>
  <c r="H89" s="1"/>
  <c r="M167" i="108"/>
  <c r="G167"/>
  <c r="D167"/>
  <c r="A167"/>
  <c r="J168"/>
  <c r="K167"/>
  <c r="H167"/>
  <c r="E167"/>
  <c r="B167"/>
  <c r="L167"/>
  <c r="I167"/>
  <c r="F167"/>
  <c r="C167"/>
  <c r="E48"/>
  <c r="C59"/>
  <c r="C64"/>
  <c r="I82"/>
  <c r="T82" s="1"/>
  <c r="H87" a="1"/>
  <c r="H87" s="1"/>
  <c r="H88" a="1"/>
  <c r="H88" s="1"/>
  <c r="F104"/>
  <c r="F42"/>
  <c r="I127" a="1"/>
  <c r="I127" s="1"/>
  <c r="I124" a="1"/>
  <c r="I124" s="1"/>
  <c r="I129" a="1"/>
  <c r="I129" s="1"/>
  <c r="I126" a="1"/>
  <c r="I126" s="1"/>
  <c r="I123" a="1"/>
  <c r="I123" s="1"/>
  <c r="I125" a="1"/>
  <c r="I125" s="1"/>
  <c r="I122" a="1"/>
  <c r="I122" s="1"/>
  <c r="R83" i="101"/>
  <c r="H128" i="108" a="1"/>
  <c r="H128" s="1"/>
  <c r="H130" s="1"/>
  <c r="H86" a="1"/>
  <c r="H86" s="1"/>
  <c r="H98" s="1"/>
  <c r="H90" a="1"/>
  <c r="H90" s="1"/>
  <c r="H91" a="1"/>
  <c r="H91" s="1"/>
  <c r="M167" i="102"/>
  <c r="G167"/>
  <c r="D167"/>
  <c r="A167"/>
  <c r="J168"/>
  <c r="K167"/>
  <c r="H167"/>
  <c r="E167"/>
  <c r="B167"/>
  <c r="L167"/>
  <c r="I167"/>
  <c r="F167"/>
  <c r="C167"/>
  <c r="E48"/>
  <c r="H125" a="1"/>
  <c r="H125" s="1"/>
  <c r="H122" a="1"/>
  <c r="H122" s="1"/>
  <c r="H127" a="1"/>
  <c r="H127" s="1"/>
  <c r="H124" a="1"/>
  <c r="H124" s="1"/>
  <c r="H129" a="1"/>
  <c r="H129" s="1"/>
  <c r="H126" a="1"/>
  <c r="H126" s="1"/>
  <c r="H123" a="1"/>
  <c r="H123" s="1"/>
  <c r="I113"/>
  <c r="I81"/>
  <c r="T81" s="1"/>
  <c r="H91" a="1"/>
  <c r="H91" s="1"/>
  <c r="H88" a="1"/>
  <c r="H88" s="1"/>
  <c r="H93" a="1"/>
  <c r="H93" s="1"/>
  <c r="H90" a="1"/>
  <c r="H90" s="1"/>
  <c r="H87" a="1"/>
  <c r="H87" s="1"/>
  <c r="H89" a="1"/>
  <c r="H89" s="1"/>
  <c r="H86" a="1"/>
  <c r="H86" s="1"/>
  <c r="H98" s="1"/>
  <c r="I77"/>
  <c r="T77" s="1"/>
  <c r="G92" a="1"/>
  <c r="G92" s="1"/>
  <c r="G94" s="1"/>
  <c r="R83" i="100"/>
  <c r="G128" i="102" a="1"/>
  <c r="G128" s="1"/>
  <c r="G130" s="1"/>
  <c r="F104"/>
  <c r="F105" s="1"/>
  <c r="F42"/>
  <c r="I79"/>
  <c r="T79" s="1"/>
  <c r="I82"/>
  <c r="T82" s="1"/>
  <c r="D140"/>
  <c r="O120" s="1"/>
  <c r="D53"/>
  <c r="D207"/>
  <c r="C59"/>
  <c r="C64"/>
  <c r="I78"/>
  <c r="T78" s="1"/>
  <c r="F104" i="101"/>
  <c r="F42"/>
  <c r="I79"/>
  <c r="T79" s="1"/>
  <c r="I127" a="1"/>
  <c r="I127" s="1"/>
  <c r="I124" a="1"/>
  <c r="I124" s="1"/>
  <c r="I129" a="1"/>
  <c r="I129" s="1"/>
  <c r="I126" a="1"/>
  <c r="I126" s="1"/>
  <c r="I123" a="1"/>
  <c r="I123" s="1"/>
  <c r="I125" a="1"/>
  <c r="I125" s="1"/>
  <c r="I122" a="1"/>
  <c r="I122" s="1"/>
  <c r="H86" a="1"/>
  <c r="H86" s="1"/>
  <c r="H98" s="1"/>
  <c r="H90" a="1"/>
  <c r="H90" s="1"/>
  <c r="H91" a="1"/>
  <c r="H91" s="1"/>
  <c r="D140"/>
  <c r="D53"/>
  <c r="H87" a="1"/>
  <c r="H87" s="1"/>
  <c r="H88" a="1"/>
  <c r="H88" s="1"/>
  <c r="I82"/>
  <c r="T82" s="1"/>
  <c r="I81"/>
  <c r="T81" s="1"/>
  <c r="E48"/>
  <c r="M167"/>
  <c r="G167"/>
  <c r="D167"/>
  <c r="A167"/>
  <c r="J168"/>
  <c r="K167"/>
  <c r="H167"/>
  <c r="E167"/>
  <c r="B167"/>
  <c r="L167"/>
  <c r="I167"/>
  <c r="F167"/>
  <c r="C167"/>
  <c r="D207"/>
  <c r="G92" a="1"/>
  <c r="G92" s="1"/>
  <c r="G94" s="1"/>
  <c r="H89" a="1"/>
  <c r="H89" s="1"/>
  <c r="H93" a="1"/>
  <c r="H93" s="1"/>
  <c r="C59" i="100"/>
  <c r="C64"/>
  <c r="G42"/>
  <c r="H86" a="1"/>
  <c r="H86" s="1"/>
  <c r="H98" s="1"/>
  <c r="H90" a="1"/>
  <c r="H90" s="1"/>
  <c r="I78"/>
  <c r="T78" s="1"/>
  <c r="I81"/>
  <c r="T81" s="1"/>
  <c r="I79"/>
  <c r="T79" s="1"/>
  <c r="J167"/>
  <c r="K166"/>
  <c r="H166"/>
  <c r="E166"/>
  <c r="B166"/>
  <c r="L166"/>
  <c r="I166"/>
  <c r="F166"/>
  <c r="C166"/>
  <c r="G166"/>
  <c r="A166"/>
  <c r="M166"/>
  <c r="D166"/>
  <c r="H87" a="1"/>
  <c r="H87" s="1"/>
  <c r="H88" a="1"/>
  <c r="H88" s="1"/>
  <c r="E48"/>
  <c r="F48"/>
  <c r="D140"/>
  <c r="O120" s="1"/>
  <c r="D53"/>
  <c r="D207"/>
  <c r="E105"/>
  <c r="G92" a="1"/>
  <c r="G92" s="1"/>
  <c r="G94" s="1"/>
  <c r="H89" a="1"/>
  <c r="H89" s="1"/>
  <c r="H93" a="1"/>
  <c r="H93" s="1"/>
  <c r="G92" i="99" a="1"/>
  <c r="G92" s="1"/>
  <c r="G94" s="1"/>
  <c r="H125" a="1"/>
  <c r="H125" s="1"/>
  <c r="H122" a="1"/>
  <c r="H122" s="1"/>
  <c r="H127" a="1"/>
  <c r="H127" s="1"/>
  <c r="H124" a="1"/>
  <c r="H124" s="1"/>
  <c r="H129" a="1"/>
  <c r="H129" s="1"/>
  <c r="H126" a="1"/>
  <c r="H126" s="1"/>
  <c r="H123" a="1"/>
  <c r="H123" s="1"/>
  <c r="I113"/>
  <c r="D59"/>
  <c r="D64"/>
  <c r="G128" a="1"/>
  <c r="G128" s="1"/>
  <c r="G130" s="1"/>
  <c r="F104"/>
  <c r="F42"/>
  <c r="I82"/>
  <c r="T82" s="1"/>
  <c r="H88" a="1"/>
  <c r="H88" s="1"/>
  <c r="H87" a="1"/>
  <c r="H87" s="1"/>
  <c r="H91" a="1"/>
  <c r="H91" s="1"/>
  <c r="H90" a="1"/>
  <c r="H90" s="1"/>
  <c r="H86" a="1"/>
  <c r="H86" s="1"/>
  <c r="H98" s="1"/>
  <c r="H93" a="1"/>
  <c r="H93" s="1"/>
  <c r="H89" a="1"/>
  <c r="H89" s="1"/>
  <c r="M167"/>
  <c r="G167"/>
  <c r="D167"/>
  <c r="A167"/>
  <c r="J168"/>
  <c r="K167"/>
  <c r="H167"/>
  <c r="E167"/>
  <c r="B167"/>
  <c r="L167"/>
  <c r="I167"/>
  <c r="F167"/>
  <c r="C167"/>
  <c r="E48"/>
  <c r="R83" i="97"/>
  <c r="R83" i="98"/>
  <c r="I79"/>
  <c r="T79" s="1"/>
  <c r="C59"/>
  <c r="C64"/>
  <c r="D140"/>
  <c r="D141" s="1"/>
  <c r="D53"/>
  <c r="I81"/>
  <c r="T81" s="1"/>
  <c r="G92" a="1"/>
  <c r="G92" s="1"/>
  <c r="G94" s="1"/>
  <c r="I127" a="1"/>
  <c r="I127" s="1"/>
  <c r="I124" a="1"/>
  <c r="I124" s="1"/>
  <c r="I125" a="1"/>
  <c r="I125" s="1"/>
  <c r="I122" a="1"/>
  <c r="I122" s="1"/>
  <c r="I129" a="1"/>
  <c r="I129" s="1"/>
  <c r="I126" a="1"/>
  <c r="I126" s="1"/>
  <c r="I123" a="1"/>
  <c r="I123" s="1"/>
  <c r="H128" a="1"/>
  <c r="H128" s="1"/>
  <c r="H130" s="1"/>
  <c r="D207"/>
  <c r="I80"/>
  <c r="T80" s="1"/>
  <c r="F104"/>
  <c r="F42"/>
  <c r="H91" a="1"/>
  <c r="H91" s="1"/>
  <c r="H88" a="1"/>
  <c r="H88" s="1"/>
  <c r="H89" a="1"/>
  <c r="H89" s="1"/>
  <c r="H93" a="1"/>
  <c r="H93" s="1"/>
  <c r="H87" a="1"/>
  <c r="H87" s="1"/>
  <c r="H86" a="1"/>
  <c r="H86" s="1"/>
  <c r="H98" s="1"/>
  <c r="H90" a="1"/>
  <c r="H90" s="1"/>
  <c r="I77"/>
  <c r="T77" s="1"/>
  <c r="J167"/>
  <c r="K166"/>
  <c r="H166"/>
  <c r="E166"/>
  <c r="B166"/>
  <c r="M166"/>
  <c r="G166"/>
  <c r="D166"/>
  <c r="A166"/>
  <c r="I166"/>
  <c r="L166"/>
  <c r="C166"/>
  <c r="F166"/>
  <c r="E48"/>
  <c r="Q84" i="94"/>
  <c r="G92" i="97" a="1"/>
  <c r="G92" s="1"/>
  <c r="G94" s="1"/>
  <c r="D207"/>
  <c r="I82"/>
  <c r="T82" s="1"/>
  <c r="I79"/>
  <c r="T79" s="1"/>
  <c r="H88" a="1"/>
  <c r="H88" s="1"/>
  <c r="H87" a="1"/>
  <c r="H87" s="1"/>
  <c r="H91" a="1"/>
  <c r="H91" s="1"/>
  <c r="H90" a="1"/>
  <c r="H90" s="1"/>
  <c r="H86" a="1"/>
  <c r="H86" s="1"/>
  <c r="H98" s="1"/>
  <c r="H93" a="1"/>
  <c r="H93" s="1"/>
  <c r="H89" a="1"/>
  <c r="H89" s="1"/>
  <c r="E105"/>
  <c r="M167"/>
  <c r="G167"/>
  <c r="D167"/>
  <c r="A167"/>
  <c r="J168"/>
  <c r="K167"/>
  <c r="H167"/>
  <c r="E167"/>
  <c r="B167"/>
  <c r="L167"/>
  <c r="I167"/>
  <c r="F167"/>
  <c r="C167"/>
  <c r="D140"/>
  <c r="D141" s="1"/>
  <c r="D53"/>
  <c r="E48"/>
  <c r="F48"/>
  <c r="I127" a="1"/>
  <c r="I127" s="1"/>
  <c r="I124" a="1"/>
  <c r="I124" s="1"/>
  <c r="I129" a="1"/>
  <c r="I129" s="1"/>
  <c r="I126" a="1"/>
  <c r="I126" s="1"/>
  <c r="I123" a="1"/>
  <c r="I123" s="1"/>
  <c r="I125" a="1"/>
  <c r="I125" s="1"/>
  <c r="I122" a="1"/>
  <c r="I122" s="1"/>
  <c r="Q84" i="95"/>
  <c r="H128" i="97" a="1"/>
  <c r="H128" s="1"/>
  <c r="H130" s="1"/>
  <c r="F48" i="96"/>
  <c r="E48"/>
  <c r="D140"/>
  <c r="D53"/>
  <c r="D207"/>
  <c r="J167"/>
  <c r="K166"/>
  <c r="H166"/>
  <c r="E166"/>
  <c r="B166"/>
  <c r="L166"/>
  <c r="I166"/>
  <c r="F166"/>
  <c r="C166"/>
  <c r="M166"/>
  <c r="D166"/>
  <c r="A166"/>
  <c r="G166"/>
  <c r="I79"/>
  <c r="T79" s="1"/>
  <c r="I81"/>
  <c r="T81" s="1"/>
  <c r="H91" a="1"/>
  <c r="H91" s="1"/>
  <c r="H88" a="1"/>
  <c r="H88" s="1"/>
  <c r="H93" a="1"/>
  <c r="H93" s="1"/>
  <c r="H90" a="1"/>
  <c r="H90" s="1"/>
  <c r="H87" a="1"/>
  <c r="H87" s="1"/>
  <c r="H86" a="1"/>
  <c r="H86" s="1"/>
  <c r="H98" s="1"/>
  <c r="H89" a="1"/>
  <c r="H89" s="1"/>
  <c r="I77"/>
  <c r="T77" s="1"/>
  <c r="G92" a="1"/>
  <c r="G92" s="1"/>
  <c r="G94" s="1"/>
  <c r="H128" a="1"/>
  <c r="H128" s="1"/>
  <c r="H130" s="1"/>
  <c r="I127" a="1"/>
  <c r="I127" s="1"/>
  <c r="I124" a="1"/>
  <c r="I124" s="1"/>
  <c r="I129" a="1"/>
  <c r="I129" s="1"/>
  <c r="I126" a="1"/>
  <c r="I126" s="1"/>
  <c r="I123" a="1"/>
  <c r="I123" s="1"/>
  <c r="I122" a="1"/>
  <c r="I122" s="1"/>
  <c r="I125" a="1"/>
  <c r="I125" s="1"/>
  <c r="I80"/>
  <c r="T80" s="1"/>
  <c r="E105" i="93"/>
  <c r="R83" i="96"/>
  <c r="M167" i="95"/>
  <c r="G167"/>
  <c r="D167"/>
  <c r="A167"/>
  <c r="J168"/>
  <c r="K167"/>
  <c r="H167"/>
  <c r="E167"/>
  <c r="B167"/>
  <c r="L167"/>
  <c r="I167"/>
  <c r="F167"/>
  <c r="C167"/>
  <c r="D59"/>
  <c r="D64"/>
  <c r="E48"/>
  <c r="E105" i="94"/>
  <c r="O120" i="95"/>
  <c r="F48"/>
  <c r="G48"/>
  <c r="I127" a="1"/>
  <c r="I127" s="1"/>
  <c r="I124" a="1"/>
  <c r="I124" s="1"/>
  <c r="I129" a="1"/>
  <c r="I129" s="1"/>
  <c r="I126" a="1"/>
  <c r="I126" s="1"/>
  <c r="I123" a="1"/>
  <c r="I123" s="1"/>
  <c r="I125" a="1"/>
  <c r="I125" s="1"/>
  <c r="I122" a="1"/>
  <c r="I122" s="1"/>
  <c r="R83" i="93"/>
  <c r="H128" i="95" a="1"/>
  <c r="H128" s="1"/>
  <c r="H130" s="1"/>
  <c r="F48" i="94"/>
  <c r="H92" a="1"/>
  <c r="H92" s="1"/>
  <c r="H94" s="1"/>
  <c r="G48"/>
  <c r="I127" a="1"/>
  <c r="I127" s="1"/>
  <c r="I124" a="1"/>
  <c r="I124" s="1"/>
  <c r="I129" a="1"/>
  <c r="I129" s="1"/>
  <c r="I126" a="1"/>
  <c r="I126" s="1"/>
  <c r="I123" a="1"/>
  <c r="I123" s="1"/>
  <c r="I125" a="1"/>
  <c r="I125" s="1"/>
  <c r="I122" a="1"/>
  <c r="I122" s="1"/>
  <c r="H128" a="1"/>
  <c r="H128" s="1"/>
  <c r="H130" s="1"/>
  <c r="M167"/>
  <c r="G167"/>
  <c r="D167"/>
  <c r="A167"/>
  <c r="J168"/>
  <c r="K167"/>
  <c r="H167"/>
  <c r="E167"/>
  <c r="B167"/>
  <c r="L167"/>
  <c r="I167"/>
  <c r="F167"/>
  <c r="C167"/>
  <c r="E48"/>
  <c r="D140" i="93"/>
  <c r="D141" s="1"/>
  <c r="D53"/>
  <c r="D207"/>
  <c r="R83" i="91"/>
  <c r="M167" i="93"/>
  <c r="G167"/>
  <c r="D167"/>
  <c r="A167"/>
  <c r="J168"/>
  <c r="K167"/>
  <c r="H167"/>
  <c r="E167"/>
  <c r="B167"/>
  <c r="L167"/>
  <c r="I167"/>
  <c r="F167"/>
  <c r="C167"/>
  <c r="I81"/>
  <c r="T81" s="1"/>
  <c r="F104"/>
  <c r="F105" s="1"/>
  <c r="F42"/>
  <c r="E48"/>
  <c r="I79"/>
  <c r="T79" s="1"/>
  <c r="H91" a="1"/>
  <c r="H91" s="1"/>
  <c r="H90" a="1"/>
  <c r="H90" s="1"/>
  <c r="H86" a="1"/>
  <c r="H86" s="1"/>
  <c r="H98" s="1"/>
  <c r="H93" a="1"/>
  <c r="H93" s="1"/>
  <c r="H89" a="1"/>
  <c r="H89" s="1"/>
  <c r="H88" a="1"/>
  <c r="H88" s="1"/>
  <c r="H87" a="1"/>
  <c r="H87" s="1"/>
  <c r="I127" a="1"/>
  <c r="I127" s="1"/>
  <c r="I124" a="1"/>
  <c r="I124" s="1"/>
  <c r="I129" a="1"/>
  <c r="I129" s="1"/>
  <c r="I126" a="1"/>
  <c r="I126" s="1"/>
  <c r="I123" a="1"/>
  <c r="I123" s="1"/>
  <c r="I125" a="1"/>
  <c r="I125" s="1"/>
  <c r="I122" a="1"/>
  <c r="I122" s="1"/>
  <c r="G92" a="1"/>
  <c r="G92" s="1"/>
  <c r="G94" s="1"/>
  <c r="T83" i="92"/>
  <c r="H128" i="93" a="1"/>
  <c r="H128" s="1"/>
  <c r="H130" s="1"/>
  <c r="F207" i="92"/>
  <c r="H92" a="1"/>
  <c r="H92" s="1"/>
  <c r="H94" s="1"/>
  <c r="I127" a="1"/>
  <c r="I127" s="1"/>
  <c r="I124" a="1"/>
  <c r="I124" s="1"/>
  <c r="I125" a="1"/>
  <c r="I125" s="1"/>
  <c r="I122" a="1"/>
  <c r="I122" s="1"/>
  <c r="I123" a="1"/>
  <c r="I123" s="1"/>
  <c r="I129" a="1"/>
  <c r="I129" s="1"/>
  <c r="I126" a="1"/>
  <c r="I126" s="1"/>
  <c r="G48"/>
  <c r="H128" a="1"/>
  <c r="H128" s="1"/>
  <c r="H130" s="1"/>
  <c r="F53"/>
  <c r="F140"/>
  <c r="F141" s="1"/>
  <c r="E48"/>
  <c r="D59"/>
  <c r="D64"/>
  <c r="J167"/>
  <c r="K166"/>
  <c r="H166"/>
  <c r="E166"/>
  <c r="B166"/>
  <c r="L166"/>
  <c r="I166"/>
  <c r="F166"/>
  <c r="C166"/>
  <c r="M166"/>
  <c r="G166"/>
  <c r="D166"/>
  <c r="A166"/>
  <c r="I89" a="1"/>
  <c r="I89" s="1"/>
  <c r="I87" a="1"/>
  <c r="I87" s="1"/>
  <c r="D207" i="91"/>
  <c r="M167"/>
  <c r="G167"/>
  <c r="D167"/>
  <c r="A167"/>
  <c r="J168"/>
  <c r="K167"/>
  <c r="H167"/>
  <c r="E167"/>
  <c r="B167"/>
  <c r="L167"/>
  <c r="I167"/>
  <c r="F167"/>
  <c r="C167"/>
  <c r="I82"/>
  <c r="T82" s="1"/>
  <c r="R83" i="79"/>
  <c r="E105" i="91"/>
  <c r="E48"/>
  <c r="C59"/>
  <c r="C64"/>
  <c r="I127" a="1"/>
  <c r="I127" s="1"/>
  <c r="I124" a="1"/>
  <c r="I124" s="1"/>
  <c r="I129" a="1"/>
  <c r="I129" s="1"/>
  <c r="I126" a="1"/>
  <c r="I126" s="1"/>
  <c r="I123" a="1"/>
  <c r="I123" s="1"/>
  <c r="I125" a="1"/>
  <c r="I125" s="1"/>
  <c r="I122" a="1"/>
  <c r="I122" s="1"/>
  <c r="D140"/>
  <c r="D141" s="1"/>
  <c r="D53"/>
  <c r="I78"/>
  <c r="T78" s="1"/>
  <c r="F104"/>
  <c r="F105" s="1"/>
  <c r="F42"/>
  <c r="H91" a="1"/>
  <c r="H91" s="1"/>
  <c r="H88" a="1"/>
  <c r="H88" s="1"/>
  <c r="H93" a="1"/>
  <c r="H93" s="1"/>
  <c r="H90" a="1"/>
  <c r="H90" s="1"/>
  <c r="H87" a="1"/>
  <c r="H87" s="1"/>
  <c r="H89" a="1"/>
  <c r="H89" s="1"/>
  <c r="H86" a="1"/>
  <c r="H86" s="1"/>
  <c r="H98" s="1"/>
  <c r="I77"/>
  <c r="T77" s="1"/>
  <c r="G92" a="1"/>
  <c r="G92" s="1"/>
  <c r="G94" s="1"/>
  <c r="I81"/>
  <c r="T81" s="1"/>
  <c r="R83" i="80"/>
  <c r="H128" i="91" a="1"/>
  <c r="H128" s="1"/>
  <c r="H130" s="1"/>
  <c r="D207" i="90"/>
  <c r="E48"/>
  <c r="I127" a="1"/>
  <c r="I127" s="1"/>
  <c r="I124" a="1"/>
  <c r="I124" s="1"/>
  <c r="I129" a="1"/>
  <c r="I129" s="1"/>
  <c r="I126" a="1"/>
  <c r="I126" s="1"/>
  <c r="I123" a="1"/>
  <c r="I123" s="1"/>
  <c r="I125" a="1"/>
  <c r="I125" s="1"/>
  <c r="I122" a="1"/>
  <c r="I122" s="1"/>
  <c r="H128" a="1"/>
  <c r="H128" s="1"/>
  <c r="H130" s="1"/>
  <c r="D140"/>
  <c r="D141" s="1"/>
  <c r="D53"/>
  <c r="M167"/>
  <c r="G167"/>
  <c r="D167"/>
  <c r="A167"/>
  <c r="J168"/>
  <c r="K167"/>
  <c r="H167"/>
  <c r="E167"/>
  <c r="B167"/>
  <c r="L167"/>
  <c r="I167"/>
  <c r="F167"/>
  <c r="C167"/>
  <c r="D141" i="89"/>
  <c r="D59"/>
  <c r="D64"/>
  <c r="G48"/>
  <c r="F48"/>
  <c r="H125" a="1"/>
  <c r="H125" s="1"/>
  <c r="H122" a="1"/>
  <c r="H122" s="1"/>
  <c r="H127" a="1"/>
  <c r="H127" s="1"/>
  <c r="H124" a="1"/>
  <c r="H124" s="1"/>
  <c r="H129" a="1"/>
  <c r="H129" s="1"/>
  <c r="H126" a="1"/>
  <c r="H126" s="1"/>
  <c r="H123" a="1"/>
  <c r="H123" s="1"/>
  <c r="I113"/>
  <c r="C59"/>
  <c r="C64"/>
  <c r="G128" a="1"/>
  <c r="G128" s="1"/>
  <c r="G130" s="1"/>
  <c r="M167"/>
  <c r="G167"/>
  <c r="D167"/>
  <c r="A167"/>
  <c r="J168"/>
  <c r="K167"/>
  <c r="H167"/>
  <c r="E167"/>
  <c r="B167"/>
  <c r="L167"/>
  <c r="I167"/>
  <c r="F167"/>
  <c r="C167"/>
  <c r="E48"/>
  <c r="J167" i="80"/>
  <c r="K166"/>
  <c r="H166"/>
  <c r="E166"/>
  <c r="B166"/>
  <c r="L166"/>
  <c r="I166"/>
  <c r="F166"/>
  <c r="C166"/>
  <c r="M166"/>
  <c r="G166"/>
  <c r="D166"/>
  <c r="A166"/>
  <c r="E48"/>
  <c r="F104"/>
  <c r="F42"/>
  <c r="H125" a="1"/>
  <c r="H125" s="1"/>
  <c r="H122" a="1"/>
  <c r="H122" s="1"/>
  <c r="H127" a="1"/>
  <c r="H127" s="1"/>
  <c r="H124" a="1"/>
  <c r="H124" s="1"/>
  <c r="H129" a="1"/>
  <c r="H129" s="1"/>
  <c r="H126" a="1"/>
  <c r="H126" s="1"/>
  <c r="H123" a="1"/>
  <c r="H123" s="1"/>
  <c r="I113"/>
  <c r="D140"/>
  <c r="D141" s="1"/>
  <c r="D53"/>
  <c r="D207"/>
  <c r="G128" a="1"/>
  <c r="G128" s="1"/>
  <c r="G130" s="1"/>
  <c r="I81"/>
  <c r="T81" s="1"/>
  <c r="G92" a="1"/>
  <c r="G92" s="1"/>
  <c r="G94" s="1"/>
  <c r="I78"/>
  <c r="T78" s="1"/>
  <c r="H91" a="1"/>
  <c r="H91" s="1"/>
  <c r="H90" a="1"/>
  <c r="H90" s="1"/>
  <c r="H86" a="1"/>
  <c r="H86" s="1"/>
  <c r="H98" s="1"/>
  <c r="H93" a="1"/>
  <c r="H93" s="1"/>
  <c r="H89" a="1"/>
  <c r="H89" s="1"/>
  <c r="H88" a="1"/>
  <c r="H88" s="1"/>
  <c r="H87" a="1"/>
  <c r="H87" s="1"/>
  <c r="F105" i="81"/>
  <c r="H91" i="79" a="1"/>
  <c r="H91" s="1"/>
  <c r="H88" a="1"/>
  <c r="H88" s="1"/>
  <c r="H93" a="1"/>
  <c r="H93" s="1"/>
  <c r="H90" a="1"/>
  <c r="H90" s="1"/>
  <c r="H86" a="1"/>
  <c r="H86" s="1"/>
  <c r="H98" s="1"/>
  <c r="H87" a="1"/>
  <c r="H87" s="1"/>
  <c r="H89" a="1"/>
  <c r="H89" s="1"/>
  <c r="I77"/>
  <c r="T77" s="1"/>
  <c r="M167"/>
  <c r="G167"/>
  <c r="D167"/>
  <c r="A167"/>
  <c r="J168"/>
  <c r="K167"/>
  <c r="H167"/>
  <c r="E167"/>
  <c r="B167"/>
  <c r="L167"/>
  <c r="I167"/>
  <c r="F167"/>
  <c r="C167"/>
  <c r="D207"/>
  <c r="C59"/>
  <c r="C64"/>
  <c r="R83" i="82"/>
  <c r="Q84" i="83"/>
  <c r="I127" i="79" a="1"/>
  <c r="I127" s="1"/>
  <c r="I124" a="1"/>
  <c r="I124" s="1"/>
  <c r="I129" a="1"/>
  <c r="I129" s="1"/>
  <c r="I126" a="1"/>
  <c r="I126" s="1"/>
  <c r="I123" a="1"/>
  <c r="I123" s="1"/>
  <c r="I125" a="1"/>
  <c r="I125" s="1"/>
  <c r="I122" a="1"/>
  <c r="I122" s="1"/>
  <c r="I79"/>
  <c r="T79" s="1"/>
  <c r="E48"/>
  <c r="P119"/>
  <c r="D140"/>
  <c r="D141" s="1"/>
  <c r="D53"/>
  <c r="F48"/>
  <c r="G92" a="1"/>
  <c r="G92" s="1"/>
  <c r="G94" s="1"/>
  <c r="G104" i="88"/>
  <c r="G42"/>
  <c r="H125" a="1"/>
  <c r="H125" s="1"/>
  <c r="H122" a="1"/>
  <c r="H122" s="1"/>
  <c r="H127" a="1"/>
  <c r="H127" s="1"/>
  <c r="H124" a="1"/>
  <c r="H124" s="1"/>
  <c r="H129" a="1"/>
  <c r="H129" s="1"/>
  <c r="H126" a="1"/>
  <c r="H126" s="1"/>
  <c r="H123" a="1"/>
  <c r="H123" s="1"/>
  <c r="I113"/>
  <c r="D140"/>
  <c r="D141" s="1"/>
  <c r="D53"/>
  <c r="G128" a="1"/>
  <c r="G128" s="1"/>
  <c r="G130" s="1"/>
  <c r="F48"/>
  <c r="M167"/>
  <c r="G167"/>
  <c r="D167"/>
  <c r="A167"/>
  <c r="J168"/>
  <c r="K167"/>
  <c r="H167"/>
  <c r="E167"/>
  <c r="B167"/>
  <c r="L167"/>
  <c r="I167"/>
  <c r="F167"/>
  <c r="C167"/>
  <c r="C59"/>
  <c r="C64"/>
  <c r="E48"/>
  <c r="D207"/>
  <c r="G104" i="87"/>
  <c r="G105" s="1"/>
  <c r="G42"/>
  <c r="F48"/>
  <c r="I127" a="1"/>
  <c r="I127" s="1"/>
  <c r="I124" a="1"/>
  <c r="I124" s="1"/>
  <c r="I129" a="1"/>
  <c r="I129" s="1"/>
  <c r="I126" a="1"/>
  <c r="I126" s="1"/>
  <c r="I123" a="1"/>
  <c r="I123" s="1"/>
  <c r="I125" a="1"/>
  <c r="I125" s="1"/>
  <c r="I122" a="1"/>
  <c r="I122" s="1"/>
  <c r="H128" a="1"/>
  <c r="H128" s="1"/>
  <c r="H130" s="1"/>
  <c r="M167"/>
  <c r="G167"/>
  <c r="D167"/>
  <c r="A167"/>
  <c r="J168"/>
  <c r="K167"/>
  <c r="H167"/>
  <c r="E167"/>
  <c r="B167"/>
  <c r="L167"/>
  <c r="I167"/>
  <c r="F167"/>
  <c r="C167"/>
  <c r="E48"/>
  <c r="C59"/>
  <c r="C64"/>
  <c r="I127" i="86" a="1"/>
  <c r="I127" s="1"/>
  <c r="I124" a="1"/>
  <c r="I124" s="1"/>
  <c r="I129" a="1"/>
  <c r="I129" s="1"/>
  <c r="I126" a="1"/>
  <c r="I126" s="1"/>
  <c r="I123" a="1"/>
  <c r="I123" s="1"/>
  <c r="I125" a="1"/>
  <c r="I125" s="1"/>
  <c r="I122" a="1"/>
  <c r="I122" s="1"/>
  <c r="D140"/>
  <c r="O120" s="1"/>
  <c r="D53"/>
  <c r="G92" a="1"/>
  <c r="G92" s="1"/>
  <c r="G94" s="1"/>
  <c r="E48"/>
  <c r="H128" a="1"/>
  <c r="H128" s="1"/>
  <c r="H130" s="1"/>
  <c r="F48"/>
  <c r="D207"/>
  <c r="C59"/>
  <c r="C64"/>
  <c r="I82"/>
  <c r="T82" s="1"/>
  <c r="M167"/>
  <c r="G167"/>
  <c r="D167"/>
  <c r="A167"/>
  <c r="J168"/>
  <c r="K167"/>
  <c r="H167"/>
  <c r="E167"/>
  <c r="B167"/>
  <c r="L167"/>
  <c r="I167"/>
  <c r="F167"/>
  <c r="C167"/>
  <c r="D53" i="85"/>
  <c r="D140"/>
  <c r="D141" s="1"/>
  <c r="J167"/>
  <c r="K166"/>
  <c r="H166"/>
  <c r="E166"/>
  <c r="B166"/>
  <c r="L166"/>
  <c r="I166"/>
  <c r="F166"/>
  <c r="C166"/>
  <c r="M166"/>
  <c r="D166"/>
  <c r="G166"/>
  <c r="A166"/>
  <c r="I80"/>
  <c r="T80" s="1"/>
  <c r="E48"/>
  <c r="D207"/>
  <c r="G92" a="1"/>
  <c r="G92" s="1"/>
  <c r="G94" s="1"/>
  <c r="C59"/>
  <c r="C64"/>
  <c r="R84" i="84"/>
  <c r="H86" i="85" a="1"/>
  <c r="H86" s="1"/>
  <c r="H98" s="1"/>
  <c r="H90" a="1"/>
  <c r="H90" s="1"/>
  <c r="H91" a="1"/>
  <c r="H91" s="1"/>
  <c r="I127" a="1"/>
  <c r="I127" s="1"/>
  <c r="I124" a="1"/>
  <c r="I124" s="1"/>
  <c r="I129" a="1"/>
  <c r="I129" s="1"/>
  <c r="I126" a="1"/>
  <c r="I126" s="1"/>
  <c r="I123" a="1"/>
  <c r="I123" s="1"/>
  <c r="I122" a="1"/>
  <c r="I122" s="1"/>
  <c r="I125" a="1"/>
  <c r="I125" s="1"/>
  <c r="F48"/>
  <c r="H128" a="1"/>
  <c r="H128" s="1"/>
  <c r="H130" s="1"/>
  <c r="H88" a="1"/>
  <c r="H88" s="1"/>
  <c r="I116" i="84"/>
  <c r="T116" s="1"/>
  <c r="E48"/>
  <c r="H48"/>
  <c r="H124" a="1"/>
  <c r="H124" s="1"/>
  <c r="H129" a="1"/>
  <c r="H129" s="1"/>
  <c r="F53"/>
  <c r="F140"/>
  <c r="Q120" s="1"/>
  <c r="H127" a="1"/>
  <c r="H127" s="1"/>
  <c r="H126" a="1"/>
  <c r="H126" s="1"/>
  <c r="H125" a="1"/>
  <c r="H125" s="1"/>
  <c r="F207"/>
  <c r="I118"/>
  <c r="T118" s="1"/>
  <c r="J167"/>
  <c r="K166"/>
  <c r="H166"/>
  <c r="E166"/>
  <c r="B166"/>
  <c r="M166"/>
  <c r="G166"/>
  <c r="D166"/>
  <c r="A166"/>
  <c r="I166"/>
  <c r="L166"/>
  <c r="C166"/>
  <c r="F166"/>
  <c r="G48"/>
  <c r="R83" i="77"/>
  <c r="H123" i="84" a="1"/>
  <c r="H123" s="1"/>
  <c r="H122" a="1"/>
  <c r="H122" s="1"/>
  <c r="H134" s="1"/>
  <c r="D59" i="83"/>
  <c r="D64"/>
  <c r="M167"/>
  <c r="G167"/>
  <c r="D167"/>
  <c r="A167"/>
  <c r="J168"/>
  <c r="K167"/>
  <c r="H167"/>
  <c r="E167"/>
  <c r="B167"/>
  <c r="L167"/>
  <c r="I167"/>
  <c r="F167"/>
  <c r="C167"/>
  <c r="C59"/>
  <c r="C64"/>
  <c r="I127" a="1"/>
  <c r="I127" s="1"/>
  <c r="I124" a="1"/>
  <c r="I124" s="1"/>
  <c r="I129" a="1"/>
  <c r="I129" s="1"/>
  <c r="I126" a="1"/>
  <c r="I126" s="1"/>
  <c r="I123" a="1"/>
  <c r="I123" s="1"/>
  <c r="I125" a="1"/>
  <c r="I125" s="1"/>
  <c r="I122" a="1"/>
  <c r="I122" s="1"/>
  <c r="E48"/>
  <c r="F48"/>
  <c r="S83" i="81"/>
  <c r="E48" i="82"/>
  <c r="C59"/>
  <c r="C64"/>
  <c r="D207"/>
  <c r="G42"/>
  <c r="I127" a="1"/>
  <c r="I127" s="1"/>
  <c r="I124" a="1"/>
  <c r="I124" s="1"/>
  <c r="I129" a="1"/>
  <c r="I129" s="1"/>
  <c r="I126" a="1"/>
  <c r="I126" s="1"/>
  <c r="I123" a="1"/>
  <c r="I123" s="1"/>
  <c r="I125" a="1"/>
  <c r="I125" s="1"/>
  <c r="I122" a="1"/>
  <c r="I122" s="1"/>
  <c r="F48"/>
  <c r="M167"/>
  <c r="G167"/>
  <c r="D167"/>
  <c r="A167"/>
  <c r="J168"/>
  <c r="K167"/>
  <c r="H167"/>
  <c r="E167"/>
  <c r="B167"/>
  <c r="L167"/>
  <c r="I167"/>
  <c r="F167"/>
  <c r="C167"/>
  <c r="I78"/>
  <c r="T78" s="1"/>
  <c r="I81"/>
  <c r="T81" s="1"/>
  <c r="H128" a="1"/>
  <c r="H128" s="1"/>
  <c r="H130" s="1"/>
  <c r="I82"/>
  <c r="T82" s="1"/>
  <c r="D140"/>
  <c r="D141" s="1"/>
  <c r="D53"/>
  <c r="R83" i="75"/>
  <c r="R83" i="78"/>
  <c r="T83" i="81"/>
  <c r="H91" i="82" a="1"/>
  <c r="H91" s="1"/>
  <c r="H92" i="81" a="1"/>
  <c r="H92" s="1"/>
  <c r="H94" s="1"/>
  <c r="M167"/>
  <c r="G167"/>
  <c r="D167"/>
  <c r="A167"/>
  <c r="J168"/>
  <c r="K167"/>
  <c r="H167"/>
  <c r="E167"/>
  <c r="B167"/>
  <c r="L167"/>
  <c r="I167"/>
  <c r="F167"/>
  <c r="C167"/>
  <c r="I86" a="1"/>
  <c r="I86" s="1"/>
  <c r="I98" s="1"/>
  <c r="I90" a="1"/>
  <c r="I90" s="1"/>
  <c r="O120"/>
  <c r="D59"/>
  <c r="D64"/>
  <c r="I91" a="1"/>
  <c r="I91" s="1"/>
  <c r="I87" a="1"/>
  <c r="I87" s="1"/>
  <c r="I127" a="1"/>
  <c r="I127" s="1"/>
  <c r="I124" a="1"/>
  <c r="I124" s="1"/>
  <c r="I129" a="1"/>
  <c r="I129" s="1"/>
  <c r="I126" a="1"/>
  <c r="I126" s="1"/>
  <c r="I123" a="1"/>
  <c r="I123" s="1"/>
  <c r="I125" a="1"/>
  <c r="I125" s="1"/>
  <c r="I122" a="1"/>
  <c r="I122" s="1"/>
  <c r="E48"/>
  <c r="G104"/>
  <c r="G105" s="1"/>
  <c r="G42"/>
  <c r="F48"/>
  <c r="H128" a="1"/>
  <c r="H128" s="1"/>
  <c r="H130" s="1"/>
  <c r="I88" a="1"/>
  <c r="I88" s="1"/>
  <c r="I89" a="1"/>
  <c r="I89" s="1"/>
  <c r="I93" a="1"/>
  <c r="I93" s="1"/>
  <c r="D207" i="78"/>
  <c r="E53"/>
  <c r="E140"/>
  <c r="I79"/>
  <c r="T79" s="1"/>
  <c r="H87" a="1"/>
  <c r="H87" s="1"/>
  <c r="H91" a="1"/>
  <c r="H91" s="1"/>
  <c r="H90" a="1"/>
  <c r="H90" s="1"/>
  <c r="H88" a="1"/>
  <c r="H88" s="1"/>
  <c r="H93" a="1"/>
  <c r="H93" s="1"/>
  <c r="H89" a="1"/>
  <c r="H89" s="1"/>
  <c r="H86" a="1"/>
  <c r="H86" s="1"/>
  <c r="H98" s="1"/>
  <c r="I128" a="1"/>
  <c r="I128" s="1"/>
  <c r="I130" s="1"/>
  <c r="J130" s="1"/>
  <c r="F104"/>
  <c r="F105" s="1"/>
  <c r="F42"/>
  <c r="I82"/>
  <c r="T82" s="1"/>
  <c r="M167"/>
  <c r="G167"/>
  <c r="D167"/>
  <c r="A167"/>
  <c r="J168"/>
  <c r="K167"/>
  <c r="H167"/>
  <c r="E167"/>
  <c r="B167"/>
  <c r="L167"/>
  <c r="I167"/>
  <c r="F167"/>
  <c r="C167"/>
  <c r="E207"/>
  <c r="D140"/>
  <c r="D141" s="1"/>
  <c r="D53"/>
  <c r="G92" a="1"/>
  <c r="G92" s="1"/>
  <c r="G94" s="1"/>
  <c r="H91" i="77" a="1"/>
  <c r="H91" s="1"/>
  <c r="H88" a="1"/>
  <c r="H88" s="1"/>
  <c r="H93" a="1"/>
  <c r="H93" s="1"/>
  <c r="H86" a="1"/>
  <c r="H86" s="1"/>
  <c r="H98" s="1"/>
  <c r="H87" a="1"/>
  <c r="H87" s="1"/>
  <c r="H90" a="1"/>
  <c r="H90" s="1"/>
  <c r="H89" a="1"/>
  <c r="H89" s="1"/>
  <c r="I77"/>
  <c r="T77" s="1"/>
  <c r="D207"/>
  <c r="H125" a="1"/>
  <c r="H125" s="1"/>
  <c r="H122" a="1"/>
  <c r="H122" s="1"/>
  <c r="H127" a="1"/>
  <c r="H127" s="1"/>
  <c r="H126" a="1"/>
  <c r="H126" s="1"/>
  <c r="H129" a="1"/>
  <c r="H129" s="1"/>
  <c r="H124" a="1"/>
  <c r="H124" s="1"/>
  <c r="H123" a="1"/>
  <c r="H123" s="1"/>
  <c r="I113"/>
  <c r="I79"/>
  <c r="T79" s="1"/>
  <c r="F104"/>
  <c r="F105" s="1"/>
  <c r="F42"/>
  <c r="D140"/>
  <c r="D141" s="1"/>
  <c r="D53"/>
  <c r="I81"/>
  <c r="T81" s="1"/>
  <c r="I78"/>
  <c r="T78" s="1"/>
  <c r="G128" a="1"/>
  <c r="G128" s="1"/>
  <c r="G130" s="1"/>
  <c r="E48"/>
  <c r="J167"/>
  <c r="K166"/>
  <c r="H166"/>
  <c r="E166"/>
  <c r="B166"/>
  <c r="M166"/>
  <c r="I166"/>
  <c r="D166"/>
  <c r="F166"/>
  <c r="A166"/>
  <c r="C166"/>
  <c r="L166"/>
  <c r="G166"/>
  <c r="G92" a="1"/>
  <c r="G92" s="1"/>
  <c r="G94" s="1"/>
  <c r="C59"/>
  <c r="C64"/>
  <c r="R83" i="71"/>
  <c r="R83" i="74"/>
  <c r="M167" i="76"/>
  <c r="G167"/>
  <c r="D167"/>
  <c r="A167"/>
  <c r="J168"/>
  <c r="K167"/>
  <c r="H167"/>
  <c r="E167"/>
  <c r="B167"/>
  <c r="L167"/>
  <c r="I167"/>
  <c r="F167"/>
  <c r="C167"/>
  <c r="F105"/>
  <c r="Q84"/>
  <c r="E48"/>
  <c r="F48"/>
  <c r="G104"/>
  <c r="G105" s="1"/>
  <c r="G42"/>
  <c r="H125" a="1"/>
  <c r="H125" s="1"/>
  <c r="H122" a="1"/>
  <c r="H122" s="1"/>
  <c r="H127" a="1"/>
  <c r="H127" s="1"/>
  <c r="H124" a="1"/>
  <c r="H124" s="1"/>
  <c r="H129" a="1"/>
  <c r="H129" s="1"/>
  <c r="H126" a="1"/>
  <c r="H126" s="1"/>
  <c r="H123" a="1"/>
  <c r="H123" s="1"/>
  <c r="I113"/>
  <c r="G128" a="1"/>
  <c r="G128" s="1"/>
  <c r="G130" s="1"/>
  <c r="H125" i="75" a="1"/>
  <c r="H125" s="1"/>
  <c r="H122" a="1"/>
  <c r="H122" s="1"/>
  <c r="H127" a="1"/>
  <c r="H127" s="1"/>
  <c r="H124" a="1"/>
  <c r="H124" s="1"/>
  <c r="H129" a="1"/>
  <c r="H129" s="1"/>
  <c r="H126" a="1"/>
  <c r="H126" s="1"/>
  <c r="H123" a="1"/>
  <c r="H123" s="1"/>
  <c r="I113"/>
  <c r="D207"/>
  <c r="I82"/>
  <c r="T82" s="1"/>
  <c r="I79"/>
  <c r="T79" s="1"/>
  <c r="G128" a="1"/>
  <c r="G128" s="1"/>
  <c r="G130" s="1"/>
  <c r="G92" a="1"/>
  <c r="G92" s="1"/>
  <c r="G94" s="1"/>
  <c r="E48"/>
  <c r="M167"/>
  <c r="G167"/>
  <c r="D167"/>
  <c r="A167"/>
  <c r="J168"/>
  <c r="K167"/>
  <c r="H167"/>
  <c r="E167"/>
  <c r="B167"/>
  <c r="L167"/>
  <c r="I167"/>
  <c r="F167"/>
  <c r="C167"/>
  <c r="F48"/>
  <c r="D140"/>
  <c r="D141" s="1"/>
  <c r="D53"/>
  <c r="I127" i="74" a="1"/>
  <c r="I127" s="1"/>
  <c r="I124" a="1"/>
  <c r="I124" s="1"/>
  <c r="I125" a="1"/>
  <c r="I125" s="1"/>
  <c r="I122" a="1"/>
  <c r="I122" s="1"/>
  <c r="I129" a="1"/>
  <c r="I129" s="1"/>
  <c r="I126" a="1"/>
  <c r="I126" s="1"/>
  <c r="I123" a="1"/>
  <c r="I123" s="1"/>
  <c r="D140"/>
  <c r="D141" s="1"/>
  <c r="D53"/>
  <c r="E48"/>
  <c r="J167"/>
  <c r="K166"/>
  <c r="H166"/>
  <c r="E166"/>
  <c r="B166"/>
  <c r="M166"/>
  <c r="G166"/>
  <c r="D166"/>
  <c r="A166"/>
  <c r="I166"/>
  <c r="C166"/>
  <c r="F166"/>
  <c r="L166"/>
  <c r="H128" a="1"/>
  <c r="H128" s="1"/>
  <c r="H130" s="1"/>
  <c r="E105"/>
  <c r="G92" a="1"/>
  <c r="G92" s="1"/>
  <c r="G94" s="1"/>
  <c r="I79"/>
  <c r="T79" s="1"/>
  <c r="H91" a="1"/>
  <c r="H91" s="1"/>
  <c r="H93" a="1"/>
  <c r="H93" s="1"/>
  <c r="H87" a="1"/>
  <c r="H87" s="1"/>
  <c r="H89" a="1"/>
  <c r="H89" s="1"/>
  <c r="H90" a="1"/>
  <c r="H90" s="1"/>
  <c r="H88" a="1"/>
  <c r="H88" s="1"/>
  <c r="H86" a="1"/>
  <c r="H86" s="1"/>
  <c r="H98" s="1"/>
  <c r="D207"/>
  <c r="I81"/>
  <c r="T81" s="1"/>
  <c r="F104"/>
  <c r="F42"/>
  <c r="I80"/>
  <c r="T80" s="1"/>
  <c r="F104" i="73"/>
  <c r="F42"/>
  <c r="I127" a="1"/>
  <c r="I127" s="1"/>
  <c r="I124" a="1"/>
  <c r="I124" s="1"/>
  <c r="I129" a="1"/>
  <c r="I129" s="1"/>
  <c r="I126" a="1"/>
  <c r="I126" s="1"/>
  <c r="I123" a="1"/>
  <c r="I123" s="1"/>
  <c r="I125" a="1"/>
  <c r="I125" s="1"/>
  <c r="I122" a="1"/>
  <c r="I122" s="1"/>
  <c r="H91" a="1"/>
  <c r="H91" s="1"/>
  <c r="H88" a="1"/>
  <c r="H88" s="1"/>
  <c r="H93" a="1"/>
  <c r="H93" s="1"/>
  <c r="H90" a="1"/>
  <c r="H90" s="1"/>
  <c r="H87" a="1"/>
  <c r="H87" s="1"/>
  <c r="H89" a="1"/>
  <c r="H89" s="1"/>
  <c r="H86" a="1"/>
  <c r="H86" s="1"/>
  <c r="H98" s="1"/>
  <c r="I77"/>
  <c r="T77" s="1"/>
  <c r="G92" a="1"/>
  <c r="G92" s="1"/>
  <c r="G94" s="1"/>
  <c r="I81"/>
  <c r="T81" s="1"/>
  <c r="D140"/>
  <c r="O120" s="1"/>
  <c r="D53"/>
  <c r="E48"/>
  <c r="D207"/>
  <c r="C59"/>
  <c r="C64"/>
  <c r="J167"/>
  <c r="K166"/>
  <c r="H166"/>
  <c r="E166"/>
  <c r="B166"/>
  <c r="L166"/>
  <c r="I166"/>
  <c r="F166"/>
  <c r="C166"/>
  <c r="M166"/>
  <c r="G166"/>
  <c r="D166"/>
  <c r="A166"/>
  <c r="D207" i="72"/>
  <c r="M167"/>
  <c r="G167"/>
  <c r="D167"/>
  <c r="A167"/>
  <c r="J168"/>
  <c r="K167"/>
  <c r="H167"/>
  <c r="E167"/>
  <c r="B167"/>
  <c r="L167"/>
  <c r="I167"/>
  <c r="F167"/>
  <c r="C167"/>
  <c r="G92" a="1"/>
  <c r="G92" s="1"/>
  <c r="G94" s="1"/>
  <c r="E105"/>
  <c r="F104"/>
  <c r="F42"/>
  <c r="C59"/>
  <c r="C64"/>
  <c r="D140"/>
  <c r="D141" s="1"/>
  <c r="D53"/>
  <c r="H91" a="1"/>
  <c r="H91" s="1"/>
  <c r="H88" a="1"/>
  <c r="H88" s="1"/>
  <c r="H93" a="1"/>
  <c r="H93" s="1"/>
  <c r="H90" a="1"/>
  <c r="H90" s="1"/>
  <c r="H87" a="1"/>
  <c r="H87" s="1"/>
  <c r="H89" a="1"/>
  <c r="H89" s="1"/>
  <c r="H86" a="1"/>
  <c r="H86" s="1"/>
  <c r="H98" s="1"/>
  <c r="I77"/>
  <c r="T77" s="1"/>
  <c r="E48"/>
  <c r="I127" a="1"/>
  <c r="I127" s="1"/>
  <c r="I124" a="1"/>
  <c r="I124" s="1"/>
  <c r="I129" a="1"/>
  <c r="I129" s="1"/>
  <c r="I126" a="1"/>
  <c r="I126" s="1"/>
  <c r="I123" a="1"/>
  <c r="I123" s="1"/>
  <c r="I125" a="1"/>
  <c r="I125" s="1"/>
  <c r="I122" a="1"/>
  <c r="I122" s="1"/>
  <c r="H128" a="1"/>
  <c r="H128" s="1"/>
  <c r="H130" s="1"/>
  <c r="F104" i="71"/>
  <c r="F105" s="1"/>
  <c r="F42"/>
  <c r="I129" a="1"/>
  <c r="I129" s="1"/>
  <c r="I125" a="1"/>
  <c r="I125" s="1"/>
  <c r="E48"/>
  <c r="I80"/>
  <c r="T80" s="1"/>
  <c r="G92" a="1"/>
  <c r="G92" s="1"/>
  <c r="G94" s="1"/>
  <c r="R83" i="70"/>
  <c r="H128" i="71" a="1"/>
  <c r="H128" s="1"/>
  <c r="D140"/>
  <c r="D141" s="1"/>
  <c r="D53"/>
  <c r="I78"/>
  <c r="T78" s="1"/>
  <c r="H93" a="1"/>
  <c r="H93" s="1"/>
  <c r="H89" a="1"/>
  <c r="H89" s="1"/>
  <c r="H88" a="1"/>
  <c r="H88" s="1"/>
  <c r="H87" a="1"/>
  <c r="H87" s="1"/>
  <c r="H91" a="1"/>
  <c r="H91" s="1"/>
  <c r="H90" a="1"/>
  <c r="H90" s="1"/>
  <c r="H86" a="1"/>
  <c r="H86" s="1"/>
  <c r="H98" s="1"/>
  <c r="M167"/>
  <c r="G167"/>
  <c r="D167"/>
  <c r="A167"/>
  <c r="J168"/>
  <c r="K167"/>
  <c r="H167"/>
  <c r="E167"/>
  <c r="B167"/>
  <c r="L167"/>
  <c r="I167"/>
  <c r="F167"/>
  <c r="C167"/>
  <c r="D207"/>
  <c r="I79"/>
  <c r="T79" s="1"/>
  <c r="D140" i="70"/>
  <c r="D141" s="1"/>
  <c r="D53"/>
  <c r="I127" a="1"/>
  <c r="I127" s="1"/>
  <c r="I124" a="1"/>
  <c r="I124" s="1"/>
  <c r="I129" a="1"/>
  <c r="I129" s="1"/>
  <c r="I126" a="1"/>
  <c r="I126" s="1"/>
  <c r="I123" a="1"/>
  <c r="I123" s="1"/>
  <c r="I125" a="1"/>
  <c r="I125" s="1"/>
  <c r="I122" a="1"/>
  <c r="I122" s="1"/>
  <c r="H91" a="1"/>
  <c r="H91" s="1"/>
  <c r="H88" a="1"/>
  <c r="H88" s="1"/>
  <c r="H93" a="1"/>
  <c r="H93" s="1"/>
  <c r="H90" a="1"/>
  <c r="H90" s="1"/>
  <c r="H87" a="1"/>
  <c r="H87" s="1"/>
  <c r="H89" a="1"/>
  <c r="H89" s="1"/>
  <c r="H86" a="1"/>
  <c r="H86" s="1"/>
  <c r="H98" s="1"/>
  <c r="I77"/>
  <c r="T77" s="1"/>
  <c r="E105" i="69"/>
  <c r="G92" i="70" a="1"/>
  <c r="G92" s="1"/>
  <c r="G94" s="1"/>
  <c r="E48"/>
  <c r="I78"/>
  <c r="T78" s="1"/>
  <c r="C59"/>
  <c r="C64"/>
  <c r="D207"/>
  <c r="I80"/>
  <c r="T80" s="1"/>
  <c r="F104"/>
  <c r="F105" s="1"/>
  <c r="F42"/>
  <c r="I82"/>
  <c r="T82" s="1"/>
  <c r="M167"/>
  <c r="G167"/>
  <c r="D167"/>
  <c r="A167"/>
  <c r="J168"/>
  <c r="K167"/>
  <c r="H167"/>
  <c r="E167"/>
  <c r="B167"/>
  <c r="L167"/>
  <c r="I167"/>
  <c r="F167"/>
  <c r="C167"/>
  <c r="M167" i="69"/>
  <c r="G167"/>
  <c r="D167"/>
  <c r="A167"/>
  <c r="J168"/>
  <c r="K167"/>
  <c r="H167"/>
  <c r="E167"/>
  <c r="B167"/>
  <c r="L167"/>
  <c r="I167"/>
  <c r="F167"/>
  <c r="C167"/>
  <c r="F105"/>
  <c r="Q84"/>
  <c r="E48"/>
  <c r="F48"/>
  <c r="I127" a="1"/>
  <c r="I127" s="1"/>
  <c r="I124" a="1"/>
  <c r="I124" s="1"/>
  <c r="I129" a="1"/>
  <c r="I129" s="1"/>
  <c r="I126" a="1"/>
  <c r="I126" s="1"/>
  <c r="I123" a="1"/>
  <c r="I123" s="1"/>
  <c r="I125" a="1"/>
  <c r="I125" s="1"/>
  <c r="I122" a="1"/>
  <c r="I122" s="1"/>
  <c r="G48"/>
  <c r="H128" a="1"/>
  <c r="H128" s="1"/>
  <c r="H130" s="1"/>
  <c r="F48" i="68"/>
  <c r="J167"/>
  <c r="K166"/>
  <c r="H166"/>
  <c r="E166"/>
  <c r="B166"/>
  <c r="L166"/>
  <c r="I166"/>
  <c r="F166"/>
  <c r="C166"/>
  <c r="M166"/>
  <c r="G166"/>
  <c r="D166"/>
  <c r="A166"/>
  <c r="H125" a="1"/>
  <c r="H125" s="1"/>
  <c r="H122" a="1"/>
  <c r="H122" s="1"/>
  <c r="H127" a="1"/>
  <c r="H127" s="1"/>
  <c r="H124" a="1"/>
  <c r="H124" s="1"/>
  <c r="H129" a="1"/>
  <c r="H129" s="1"/>
  <c r="H126" a="1"/>
  <c r="H126" s="1"/>
  <c r="H123" a="1"/>
  <c r="H123" s="1"/>
  <c r="I113"/>
  <c r="C59"/>
  <c r="C64"/>
  <c r="G128" a="1"/>
  <c r="G128" s="1"/>
  <c r="G130" s="1"/>
  <c r="E48"/>
  <c r="I81" i="67"/>
  <c r="T81" s="1"/>
  <c r="E48"/>
  <c r="M167"/>
  <c r="G167"/>
  <c r="D167"/>
  <c r="A167"/>
  <c r="J168"/>
  <c r="K167"/>
  <c r="H167"/>
  <c r="E167"/>
  <c r="B167"/>
  <c r="L167"/>
  <c r="I167"/>
  <c r="F167"/>
  <c r="C167"/>
  <c r="D140"/>
  <c r="D141" s="1"/>
  <c r="D53"/>
  <c r="H91" a="1"/>
  <c r="H91" s="1"/>
  <c r="H88" a="1"/>
  <c r="H88" s="1"/>
  <c r="H93" a="1"/>
  <c r="H93" s="1"/>
  <c r="H90" a="1"/>
  <c r="H90" s="1"/>
  <c r="H87" a="1"/>
  <c r="H87" s="1"/>
  <c r="H89" a="1"/>
  <c r="H89" s="1"/>
  <c r="H86" a="1"/>
  <c r="H86" s="1"/>
  <c r="H98" s="1"/>
  <c r="I77"/>
  <c r="T77" s="1"/>
  <c r="G92" a="1"/>
  <c r="G92" s="1"/>
  <c r="G94" s="1"/>
  <c r="E105"/>
  <c r="R83"/>
  <c r="I78"/>
  <c r="T78" s="1"/>
  <c r="F104"/>
  <c r="F42"/>
  <c r="I127" a="1"/>
  <c r="I127" s="1"/>
  <c r="I124" a="1"/>
  <c r="I124" s="1"/>
  <c r="I129" a="1"/>
  <c r="I129" s="1"/>
  <c r="I126" a="1"/>
  <c r="I126" s="1"/>
  <c r="I123" a="1"/>
  <c r="I123" s="1"/>
  <c r="I125" a="1"/>
  <c r="I125" s="1"/>
  <c r="I122" a="1"/>
  <c r="I122" s="1"/>
  <c r="D208"/>
  <c r="H128" a="1"/>
  <c r="H128" s="1"/>
  <c r="H130" s="1"/>
  <c r="C59"/>
  <c r="C64"/>
  <c r="B78" i="114"/>
  <c r="C78" s="1"/>
  <c r="A87"/>
  <c r="B79" i="113"/>
  <c r="C79" s="1"/>
  <c r="A88"/>
  <c r="A309" i="7"/>
  <c r="B300"/>
  <c r="A88"/>
  <c r="B79"/>
  <c r="R84" i="129" l="1"/>
  <c r="I562" i="111"/>
  <c r="T562" s="1"/>
  <c r="J564"/>
  <c r="U564" s="1"/>
  <c r="H563"/>
  <c r="S563" s="1"/>
  <c r="J761"/>
  <c r="U761" s="1"/>
  <c r="G758"/>
  <c r="R758" s="1"/>
  <c r="I761"/>
  <c r="T761" s="1"/>
  <c r="E760"/>
  <c r="E763"/>
  <c r="H139" i="84"/>
  <c r="H58" s="1"/>
  <c r="H69" s="1"/>
  <c r="R373" i="105" s="1"/>
  <c r="H138" i="84"/>
  <c r="H57" s="1"/>
  <c r="H68" s="1"/>
  <c r="R372" i="105" s="1"/>
  <c r="H135" i="84"/>
  <c r="H54" s="1"/>
  <c r="H65" s="1"/>
  <c r="R369" i="105" s="1"/>
  <c r="H137" i="84"/>
  <c r="H56" s="1"/>
  <c r="H67" s="1"/>
  <c r="R371" i="105" s="1"/>
  <c r="H136" i="84"/>
  <c r="H55" s="1"/>
  <c r="H66" s="1"/>
  <c r="R370" i="105" s="1"/>
  <c r="R119" i="56"/>
  <c r="G136" i="85"/>
  <c r="G55" s="1"/>
  <c r="G66" s="1"/>
  <c r="Q381" i="105" s="1"/>
  <c r="R115" i="85"/>
  <c r="G138" i="54"/>
  <c r="G57" s="1"/>
  <c r="G68" s="1"/>
  <c r="Q167" i="105" s="1"/>
  <c r="R117" i="54"/>
  <c r="G139" i="90"/>
  <c r="G58" s="1"/>
  <c r="G69" s="1"/>
  <c r="Q447" i="105" s="1"/>
  <c r="R118" i="90"/>
  <c r="G139" i="52"/>
  <c r="G58" s="1"/>
  <c r="G69" s="1"/>
  <c r="Q150" i="105" s="1"/>
  <c r="R118" i="52"/>
  <c r="G138" i="68"/>
  <c r="G57" s="1"/>
  <c r="G68" s="1"/>
  <c r="Q244" i="105" s="1"/>
  <c r="R117" i="68"/>
  <c r="G139" i="45"/>
  <c r="G58" s="1"/>
  <c r="G69" s="1"/>
  <c r="Q85" i="105" s="1"/>
  <c r="R118" i="45"/>
  <c r="G137" i="97"/>
  <c r="G56" s="1"/>
  <c r="G67" s="1"/>
  <c r="Q508" i="105" s="1"/>
  <c r="R116" i="97"/>
  <c r="G139" i="49"/>
  <c r="G58" s="1"/>
  <c r="G69" s="1"/>
  <c r="Q123" i="105" s="1"/>
  <c r="R118" i="49"/>
  <c r="G136" i="100"/>
  <c r="G55" s="1"/>
  <c r="G66" s="1"/>
  <c r="Q536" i="105" s="1"/>
  <c r="R115" i="100"/>
  <c r="G139" i="101"/>
  <c r="G58" s="1"/>
  <c r="G69" s="1"/>
  <c r="Q548" i="105" s="1"/>
  <c r="R118" i="101"/>
  <c r="G137" i="60"/>
  <c r="G56" s="1"/>
  <c r="G67" s="1"/>
  <c r="Q220" i="105" s="1"/>
  <c r="R116" i="60"/>
  <c r="G138" i="50"/>
  <c r="G57" s="1"/>
  <c r="G68" s="1"/>
  <c r="Q131" i="105" s="1"/>
  <c r="R117" i="50"/>
  <c r="G137" i="47"/>
  <c r="G56" s="1"/>
  <c r="G67" s="1"/>
  <c r="Q103" i="105" s="1"/>
  <c r="R116" i="47"/>
  <c r="G138" i="46"/>
  <c r="G57" s="1"/>
  <c r="G68" s="1"/>
  <c r="Q93" i="105" s="1"/>
  <c r="R117" i="46"/>
  <c r="G136" i="43"/>
  <c r="G55" s="1"/>
  <c r="G66" s="1"/>
  <c r="Q64" i="105" s="1"/>
  <c r="R115" i="43"/>
  <c r="G135" i="40"/>
  <c r="G54" s="1"/>
  <c r="G65" s="1"/>
  <c r="Q36" i="105" s="1"/>
  <c r="R114" i="40"/>
  <c r="G136" i="32"/>
  <c r="G55" s="1"/>
  <c r="G66" s="1"/>
  <c r="R115"/>
  <c r="G136" i="127"/>
  <c r="G55" s="1"/>
  <c r="G66" s="1"/>
  <c r="Q583" i="105" s="1"/>
  <c r="R115" i="127"/>
  <c r="G139" i="100"/>
  <c r="G58" s="1"/>
  <c r="G69" s="1"/>
  <c r="Q539" i="105" s="1"/>
  <c r="R118" i="100"/>
  <c r="G138" i="98"/>
  <c r="G57" s="1"/>
  <c r="G68" s="1"/>
  <c r="Q520" i="105" s="1"/>
  <c r="R117" i="98"/>
  <c r="G135" i="96"/>
  <c r="G54" s="1"/>
  <c r="G65" s="1"/>
  <c r="Q497" i="105" s="1"/>
  <c r="R114" i="96"/>
  <c r="G135" i="91"/>
  <c r="G54" s="1"/>
  <c r="G65" s="1"/>
  <c r="Q452" i="105" s="1"/>
  <c r="R114" i="91"/>
  <c r="G136" i="80"/>
  <c r="G55" s="1"/>
  <c r="G66" s="1"/>
  <c r="Q426" i="105" s="1"/>
  <c r="R115" i="80"/>
  <c r="G138" i="79"/>
  <c r="G57" s="1"/>
  <c r="G68" s="1"/>
  <c r="Q419" i="105" s="1"/>
  <c r="R117" i="79"/>
  <c r="G137" i="77"/>
  <c r="G56" s="1"/>
  <c r="G67" s="1"/>
  <c r="Q326" i="105" s="1"/>
  <c r="R116" i="77"/>
  <c r="G137" i="75"/>
  <c r="G56" s="1"/>
  <c r="G67" s="1"/>
  <c r="Q308" i="105" s="1"/>
  <c r="R116" i="75"/>
  <c r="G138" i="74"/>
  <c r="G57" s="1"/>
  <c r="G68" s="1"/>
  <c r="Q300" i="105" s="1"/>
  <c r="R117" i="74"/>
  <c r="G139" i="71"/>
  <c r="G58" s="1"/>
  <c r="G69" s="1"/>
  <c r="Q273" i="105" s="1"/>
  <c r="R118" i="71"/>
  <c r="G137" i="48"/>
  <c r="G56" s="1"/>
  <c r="G67" s="1"/>
  <c r="Q112" i="105" s="1"/>
  <c r="R116" i="48"/>
  <c r="G137" i="55"/>
  <c r="G56" s="1"/>
  <c r="G67" s="1"/>
  <c r="Q175" i="105" s="1"/>
  <c r="R116" i="55"/>
  <c r="G137" i="108"/>
  <c r="G56" s="1"/>
  <c r="G67" s="1"/>
  <c r="Q566" i="105" s="1"/>
  <c r="R116" i="108"/>
  <c r="G137" i="100"/>
  <c r="G56" s="1"/>
  <c r="G67" s="1"/>
  <c r="Q537" i="105" s="1"/>
  <c r="R116" i="100"/>
  <c r="G138" i="97"/>
  <c r="G57" s="1"/>
  <c r="G68" s="1"/>
  <c r="Q509" i="105" s="1"/>
  <c r="R117" i="97"/>
  <c r="G136" i="82"/>
  <c r="G55" s="1"/>
  <c r="G66" s="1"/>
  <c r="Q352" i="105" s="1"/>
  <c r="R115" i="82"/>
  <c r="G138" i="59"/>
  <c r="G57" s="1"/>
  <c r="G68" s="1"/>
  <c r="Q212" i="105" s="1"/>
  <c r="R117" i="59"/>
  <c r="G135" i="60"/>
  <c r="G54" s="1"/>
  <c r="G65" s="1"/>
  <c r="Q218" i="105" s="1"/>
  <c r="R114" i="60"/>
  <c r="G137" i="50"/>
  <c r="G56" s="1"/>
  <c r="G67" s="1"/>
  <c r="Q130" i="105" s="1"/>
  <c r="R116" i="50"/>
  <c r="G136" i="46"/>
  <c r="G55" s="1"/>
  <c r="G66" s="1"/>
  <c r="Q91" i="105" s="1"/>
  <c r="R115" i="46"/>
  <c r="G139" i="43"/>
  <c r="G58" s="1"/>
  <c r="G69" s="1"/>
  <c r="Q67" i="105" s="1"/>
  <c r="R118" i="43"/>
  <c r="G138" i="42"/>
  <c r="G57" s="1"/>
  <c r="G68" s="1"/>
  <c r="Q57" i="105" s="1"/>
  <c r="R117" i="42"/>
  <c r="G139" i="32"/>
  <c r="G58" s="1"/>
  <c r="G69" s="1"/>
  <c r="R118"/>
  <c r="G139" i="127"/>
  <c r="G58" s="1"/>
  <c r="G69" s="1"/>
  <c r="Q586" i="105" s="1"/>
  <c r="R118" i="127"/>
  <c r="G135" i="102"/>
  <c r="G54" s="1"/>
  <c r="G65" s="1"/>
  <c r="Q555" i="105" s="1"/>
  <c r="R114" i="102"/>
  <c r="G139" i="98"/>
  <c r="G58" s="1"/>
  <c r="G69" s="1"/>
  <c r="Q521" i="105" s="1"/>
  <c r="R118" i="98"/>
  <c r="G136" i="93"/>
  <c r="G55" s="1"/>
  <c r="G66" s="1"/>
  <c r="Q471" i="105" s="1"/>
  <c r="R115" i="93"/>
  <c r="G138" i="91"/>
  <c r="G57" s="1"/>
  <c r="G68" s="1"/>
  <c r="Q455" i="105" s="1"/>
  <c r="R117" i="91"/>
  <c r="G135" i="79"/>
  <c r="G54" s="1"/>
  <c r="G65" s="1"/>
  <c r="Q416" i="105" s="1"/>
  <c r="R114" i="79"/>
  <c r="G135" i="85"/>
  <c r="G54" s="1"/>
  <c r="G65" s="1"/>
  <c r="Q380" i="105" s="1"/>
  <c r="R114" i="85"/>
  <c r="G136" i="78"/>
  <c r="G55" s="1"/>
  <c r="G66" s="1"/>
  <c r="Q334" i="105" s="1"/>
  <c r="R115" i="78"/>
  <c r="G135" i="77"/>
  <c r="G54" s="1"/>
  <c r="G65" s="1"/>
  <c r="Q324" i="105" s="1"/>
  <c r="R114" i="77"/>
  <c r="G135" i="74"/>
  <c r="G54" s="1"/>
  <c r="G65" s="1"/>
  <c r="Q297" i="105" s="1"/>
  <c r="R114" i="74"/>
  <c r="G135" i="73"/>
  <c r="G54" s="1"/>
  <c r="G65" s="1"/>
  <c r="Q288" i="105" s="1"/>
  <c r="R114" i="73"/>
  <c r="G137" i="71"/>
  <c r="G56" s="1"/>
  <c r="G67" s="1"/>
  <c r="Q271" i="105" s="1"/>
  <c r="R116" i="71"/>
  <c r="G136" i="67"/>
  <c r="G55" s="1"/>
  <c r="G66" s="1"/>
  <c r="R115"/>
  <c r="G137" i="39"/>
  <c r="G56" s="1"/>
  <c r="G67" s="1"/>
  <c r="Q29" i="105" s="1"/>
  <c r="R116" i="39"/>
  <c r="G136" i="55"/>
  <c r="G55" s="1"/>
  <c r="G66" s="1"/>
  <c r="Q174" i="105" s="1"/>
  <c r="R115" i="55"/>
  <c r="G138" i="48"/>
  <c r="G57" s="1"/>
  <c r="G68" s="1"/>
  <c r="Q113" i="105" s="1"/>
  <c r="R117" i="48"/>
  <c r="G139" i="68"/>
  <c r="G58" s="1"/>
  <c r="G69" s="1"/>
  <c r="Q245" i="105" s="1"/>
  <c r="R118" i="68"/>
  <c r="G136" i="49"/>
  <c r="G55" s="1"/>
  <c r="G66" s="1"/>
  <c r="Q120" i="105" s="1"/>
  <c r="R115" i="49"/>
  <c r="G135" i="109"/>
  <c r="G54" s="1"/>
  <c r="G65" s="1"/>
  <c r="Q573" i="105" s="1"/>
  <c r="R114" i="109"/>
  <c r="G135" i="100"/>
  <c r="G54" s="1"/>
  <c r="G65" s="1"/>
  <c r="Q535" i="105" s="1"/>
  <c r="R114" i="100"/>
  <c r="G135" i="53"/>
  <c r="G54" s="1"/>
  <c r="G65" s="1"/>
  <c r="Q155" i="105" s="1"/>
  <c r="R114" i="53"/>
  <c r="G138" i="109"/>
  <c r="G57" s="1"/>
  <c r="G68" s="1"/>
  <c r="Q576" i="105" s="1"/>
  <c r="R117" i="109"/>
  <c r="G138" i="60"/>
  <c r="G57" s="1"/>
  <c r="G68" s="1"/>
  <c r="Q221" i="105" s="1"/>
  <c r="R117" i="60"/>
  <c r="G135" i="47"/>
  <c r="G54" s="1"/>
  <c r="G65" s="1"/>
  <c r="Q101" i="105" s="1"/>
  <c r="R114" i="47"/>
  <c r="G136"/>
  <c r="G55" s="1"/>
  <c r="G66" s="1"/>
  <c r="Q102" i="105" s="1"/>
  <c r="R115" i="47"/>
  <c r="G137" i="43"/>
  <c r="G56" s="1"/>
  <c r="G67" s="1"/>
  <c r="Q65" i="105" s="1"/>
  <c r="R116" i="43"/>
  <c r="G135" i="42"/>
  <c r="G54" s="1"/>
  <c r="G65" s="1"/>
  <c r="Q54" i="105" s="1"/>
  <c r="R114" i="42"/>
  <c r="G139" i="40"/>
  <c r="G58" s="1"/>
  <c r="G69" s="1"/>
  <c r="Q40" i="105" s="1"/>
  <c r="R118" i="40"/>
  <c r="G137" i="38"/>
  <c r="G56" s="1"/>
  <c r="G67" s="1"/>
  <c r="Q20" i="105" s="1"/>
  <c r="R116" i="38"/>
  <c r="G138" i="127"/>
  <c r="G57" s="1"/>
  <c r="G68" s="1"/>
  <c r="Q585" i="105" s="1"/>
  <c r="R117" i="127"/>
  <c r="G138" i="102"/>
  <c r="G57" s="1"/>
  <c r="G68" s="1"/>
  <c r="Q558" i="105" s="1"/>
  <c r="R117" i="102"/>
  <c r="G139" i="99"/>
  <c r="G58" s="1"/>
  <c r="G69" s="1"/>
  <c r="Q530" i="105" s="1"/>
  <c r="R118" i="99"/>
  <c r="G135" i="98"/>
  <c r="G54" s="1"/>
  <c r="G65" s="1"/>
  <c r="Q517" i="105" s="1"/>
  <c r="R114" i="98"/>
  <c r="G139" i="79"/>
  <c r="G58" s="1"/>
  <c r="G69" s="1"/>
  <c r="Q420" i="105" s="1"/>
  <c r="R118" i="79"/>
  <c r="G139" i="86"/>
  <c r="G58" s="1"/>
  <c r="G69" s="1"/>
  <c r="Q393" i="105" s="1"/>
  <c r="R118" i="86"/>
  <c r="G136" i="77"/>
  <c r="G55" s="1"/>
  <c r="G66" s="1"/>
  <c r="Q325" i="105" s="1"/>
  <c r="R115" i="77"/>
  <c r="G136" i="74"/>
  <c r="G55" s="1"/>
  <c r="G66" s="1"/>
  <c r="Q298" i="105" s="1"/>
  <c r="R115" i="74"/>
  <c r="G138" i="73"/>
  <c r="G57" s="1"/>
  <c r="G68" s="1"/>
  <c r="Q291" i="105" s="1"/>
  <c r="R117" i="73"/>
  <c r="G136" i="71"/>
  <c r="G55" s="1"/>
  <c r="G66" s="1"/>
  <c r="Q270" i="105" s="1"/>
  <c r="R115" i="71"/>
  <c r="G136" i="48"/>
  <c r="G55" s="1"/>
  <c r="R115"/>
  <c r="G135" i="57"/>
  <c r="G54" s="1"/>
  <c r="G65" s="1"/>
  <c r="Q191" i="105" s="1"/>
  <c r="R114" i="57"/>
  <c r="G138" i="90"/>
  <c r="G57" s="1"/>
  <c r="G68" s="1"/>
  <c r="Q446" i="105" s="1"/>
  <c r="R117" i="90"/>
  <c r="G138" i="49"/>
  <c r="G57" s="1"/>
  <c r="G68" s="1"/>
  <c r="Q122" i="105" s="1"/>
  <c r="R117" i="49"/>
  <c r="G136" i="97"/>
  <c r="G55" s="1"/>
  <c r="G66" s="1"/>
  <c r="Q507" i="105" s="1"/>
  <c r="R115" i="97"/>
  <c r="G136" i="38"/>
  <c r="G55" s="1"/>
  <c r="G66" s="1"/>
  <c r="Q19" i="105" s="1"/>
  <c r="R115" i="38"/>
  <c r="G139" i="59"/>
  <c r="G58" s="1"/>
  <c r="G69" s="1"/>
  <c r="Q213" i="105" s="1"/>
  <c r="R118" i="59"/>
  <c r="G138" i="82"/>
  <c r="G57" s="1"/>
  <c r="G68" s="1"/>
  <c r="Q354" i="105" s="1"/>
  <c r="R117" i="82"/>
  <c r="G138" i="53"/>
  <c r="G57" s="1"/>
  <c r="G68" s="1"/>
  <c r="Q158" i="105" s="1"/>
  <c r="R117" i="53"/>
  <c r="G139" i="58"/>
  <c r="G58" s="1"/>
  <c r="G69" s="1"/>
  <c r="Q204" i="105" s="1"/>
  <c r="R118" i="58"/>
  <c r="G139" i="46"/>
  <c r="G58" s="1"/>
  <c r="G69" s="1"/>
  <c r="Q94" i="105" s="1"/>
  <c r="R118" i="46"/>
  <c r="G139" i="44"/>
  <c r="G58" s="1"/>
  <c r="G69" s="1"/>
  <c r="Q76" i="105" s="1"/>
  <c r="R118" i="44"/>
  <c r="G139" i="38"/>
  <c r="G58" s="1"/>
  <c r="G69" s="1"/>
  <c r="Q22" i="105" s="1"/>
  <c r="R118" i="38"/>
  <c r="G136" i="109"/>
  <c r="G55" s="1"/>
  <c r="G66" s="1"/>
  <c r="Q574" i="105" s="1"/>
  <c r="R115" i="109"/>
  <c r="G135" i="101"/>
  <c r="G54" s="1"/>
  <c r="G65" s="1"/>
  <c r="Q544" i="105" s="1"/>
  <c r="R114" i="101"/>
  <c r="G136" i="99"/>
  <c r="G55" s="1"/>
  <c r="G66" s="1"/>
  <c r="Q527" i="105" s="1"/>
  <c r="R115" i="99"/>
  <c r="G136" i="96"/>
  <c r="G55" s="1"/>
  <c r="G66" s="1"/>
  <c r="Q498" i="105" s="1"/>
  <c r="R115" i="96"/>
  <c r="G135" i="93"/>
  <c r="G54" s="1"/>
  <c r="G65" s="1"/>
  <c r="Q470" i="105" s="1"/>
  <c r="R114" i="93"/>
  <c r="G136" i="91"/>
  <c r="G55" s="1"/>
  <c r="G66" s="1"/>
  <c r="Q453" i="105" s="1"/>
  <c r="R115" i="91"/>
  <c r="G137" i="79"/>
  <c r="G56" s="1"/>
  <c r="G67" s="1"/>
  <c r="Q418" i="105" s="1"/>
  <c r="R116" i="79"/>
  <c r="G137" i="86"/>
  <c r="G56" s="1"/>
  <c r="G67" s="1"/>
  <c r="Q391" i="105" s="1"/>
  <c r="R116" i="86"/>
  <c r="G137" i="78"/>
  <c r="G56" s="1"/>
  <c r="G67" s="1"/>
  <c r="Q335" i="105" s="1"/>
  <c r="R116" i="78"/>
  <c r="G137" i="74"/>
  <c r="G56" s="1"/>
  <c r="G67" s="1"/>
  <c r="Q299" i="105" s="1"/>
  <c r="R116" i="74"/>
  <c r="G138" i="72"/>
  <c r="G57" s="1"/>
  <c r="G68" s="1"/>
  <c r="Q281" i="105" s="1"/>
  <c r="R117" i="72"/>
  <c r="G138" i="70"/>
  <c r="G57" s="1"/>
  <c r="G68" s="1"/>
  <c r="Q262" i="105" s="1"/>
  <c r="R117" i="70"/>
  <c r="G137" i="83"/>
  <c r="G56" s="1"/>
  <c r="G67" s="1"/>
  <c r="Q362" i="105" s="1"/>
  <c r="R116" i="83"/>
  <c r="G136" i="54"/>
  <c r="G55" s="1"/>
  <c r="G66" s="1"/>
  <c r="Q165" i="105" s="1"/>
  <c r="R115" i="54"/>
  <c r="G136" i="90"/>
  <c r="G55" s="1"/>
  <c r="G66" s="1"/>
  <c r="Q444" i="105" s="1"/>
  <c r="R115" i="90"/>
  <c r="G135"/>
  <c r="G54" s="1"/>
  <c r="G65" s="1"/>
  <c r="Q443" i="105" s="1"/>
  <c r="R114" i="90"/>
  <c r="G135" i="49"/>
  <c r="G54" s="1"/>
  <c r="G65" s="1"/>
  <c r="Q119" i="105" s="1"/>
  <c r="R114" i="49"/>
  <c r="G136" i="108"/>
  <c r="G55" s="1"/>
  <c r="G66" s="1"/>
  <c r="Q565" i="105" s="1"/>
  <c r="R115" i="108"/>
  <c r="G139" i="53"/>
  <c r="G58" s="1"/>
  <c r="G69" s="1"/>
  <c r="Q159" i="105" s="1"/>
  <c r="R118" i="53"/>
  <c r="G136" i="45"/>
  <c r="G55" s="1"/>
  <c r="G66" s="1"/>
  <c r="Q82" i="105" s="1"/>
  <c r="R115" i="45"/>
  <c r="G139" i="47"/>
  <c r="G58" s="1"/>
  <c r="G69" s="1"/>
  <c r="Q105" i="105" s="1"/>
  <c r="R118" i="47"/>
  <c r="G136" i="60"/>
  <c r="G55" s="1"/>
  <c r="G66" s="1"/>
  <c r="Q219" i="105" s="1"/>
  <c r="R115" i="60"/>
  <c r="G136" i="50"/>
  <c r="G55" s="1"/>
  <c r="G66" s="1"/>
  <c r="Q129" i="105" s="1"/>
  <c r="R115" i="50"/>
  <c r="G135" i="46"/>
  <c r="G54" s="1"/>
  <c r="G65" s="1"/>
  <c r="Q90" i="105" s="1"/>
  <c r="R114" i="46"/>
  <c r="G138" i="44"/>
  <c r="G57" s="1"/>
  <c r="G68" s="1"/>
  <c r="Q75" i="105" s="1"/>
  <c r="R117" i="44"/>
  <c r="G139" i="42"/>
  <c r="G58" s="1"/>
  <c r="G69" s="1"/>
  <c r="Q58" i="105" s="1"/>
  <c r="R118" i="42"/>
  <c r="G136" i="40"/>
  <c r="G55" s="1"/>
  <c r="G66" s="1"/>
  <c r="Q37" i="105" s="1"/>
  <c r="R115" i="40"/>
  <c r="G138" i="38"/>
  <c r="G57" s="1"/>
  <c r="G68" s="1"/>
  <c r="Q21" i="105" s="1"/>
  <c r="R117" i="38"/>
  <c r="G135" i="127"/>
  <c r="G54" s="1"/>
  <c r="G65" s="1"/>
  <c r="Q582" i="105" s="1"/>
  <c r="R114" i="127"/>
  <c r="G136" i="102"/>
  <c r="G55" s="1"/>
  <c r="G66" s="1"/>
  <c r="Q556" i="105" s="1"/>
  <c r="R115" i="102"/>
  <c r="G138" i="99"/>
  <c r="G57" s="1"/>
  <c r="G68" s="1"/>
  <c r="Q529" i="105" s="1"/>
  <c r="R117" i="99"/>
  <c r="G139" i="96"/>
  <c r="G58" s="1"/>
  <c r="G69" s="1"/>
  <c r="Q501" i="105" s="1"/>
  <c r="R118" i="96"/>
  <c r="G139" i="91"/>
  <c r="G58" s="1"/>
  <c r="G69" s="1"/>
  <c r="Q456" i="105" s="1"/>
  <c r="R118" i="91"/>
  <c r="G139" i="80"/>
  <c r="G58" s="1"/>
  <c r="G69" s="1"/>
  <c r="Q429" i="105" s="1"/>
  <c r="R118" i="80"/>
  <c r="G136" i="86"/>
  <c r="G55" s="1"/>
  <c r="G66" s="1"/>
  <c r="Q390" i="105" s="1"/>
  <c r="R115" i="86"/>
  <c r="G135" i="78"/>
  <c r="G54" s="1"/>
  <c r="G65" s="1"/>
  <c r="Q333" i="105" s="1"/>
  <c r="R114" i="78"/>
  <c r="G138" i="75"/>
  <c r="G57" s="1"/>
  <c r="G68" s="1"/>
  <c r="Q309" i="105" s="1"/>
  <c r="R117" i="75"/>
  <c r="G136" i="73"/>
  <c r="G55" s="1"/>
  <c r="G66" s="1"/>
  <c r="Q289" i="105" s="1"/>
  <c r="R115" i="73"/>
  <c r="G135" i="71"/>
  <c r="G54" s="1"/>
  <c r="G65" s="1"/>
  <c r="Q269" i="105" s="1"/>
  <c r="R114" i="71"/>
  <c r="G135" i="70"/>
  <c r="G54" s="1"/>
  <c r="G65" s="1"/>
  <c r="Q259" i="105" s="1"/>
  <c r="R114" i="70"/>
  <c r="G137" i="67"/>
  <c r="G56" s="1"/>
  <c r="G67" s="1"/>
  <c r="R116"/>
  <c r="G139" i="54"/>
  <c r="G58" s="1"/>
  <c r="G69" s="1"/>
  <c r="Q168" i="105" s="1"/>
  <c r="R118" i="54"/>
  <c r="G139" i="41"/>
  <c r="G58" s="1"/>
  <c r="G69" s="1"/>
  <c r="Q49" i="105" s="1"/>
  <c r="R118" i="41"/>
  <c r="G136" i="39"/>
  <c r="G55" s="1"/>
  <c r="G66" s="1"/>
  <c r="Q28" i="105" s="1"/>
  <c r="R115" i="39"/>
  <c r="G139" i="82"/>
  <c r="G58" s="1"/>
  <c r="G69" s="1"/>
  <c r="Q355" i="105" s="1"/>
  <c r="R118" i="82"/>
  <c r="G138" i="108"/>
  <c r="G57" s="1"/>
  <c r="G68" s="1"/>
  <c r="Q567" i="105" s="1"/>
  <c r="R117" i="108"/>
  <c r="G135" i="82"/>
  <c r="G54" s="1"/>
  <c r="G65" s="1"/>
  <c r="Q351" i="105" s="1"/>
  <c r="R114" i="82"/>
  <c r="G137" i="127"/>
  <c r="G56" s="1"/>
  <c r="G67" s="1"/>
  <c r="Q584" i="105" s="1"/>
  <c r="R116" i="127"/>
  <c r="G139" i="60"/>
  <c r="G58" s="1"/>
  <c r="G69" s="1"/>
  <c r="Q222" i="105" s="1"/>
  <c r="R118" i="60"/>
  <c r="G138" i="58"/>
  <c r="G57" s="1"/>
  <c r="G68" s="1"/>
  <c r="Q203" i="105" s="1"/>
  <c r="R117" i="58"/>
  <c r="G139" i="50"/>
  <c r="G58" s="1"/>
  <c r="G69" s="1"/>
  <c r="Q132" i="105" s="1"/>
  <c r="R118" i="50"/>
  <c r="G135" i="44"/>
  <c r="G54" s="1"/>
  <c r="G65" s="1"/>
  <c r="Q72" i="105" s="1"/>
  <c r="R114" i="44"/>
  <c r="G137" i="42"/>
  <c r="G56" s="1"/>
  <c r="G67" s="1"/>
  <c r="Q56" i="105" s="1"/>
  <c r="R116" i="42"/>
  <c r="G138" i="40"/>
  <c r="G57" s="1"/>
  <c r="G68" s="1"/>
  <c r="Q39" i="105" s="1"/>
  <c r="R117" i="40"/>
  <c r="G135" i="38"/>
  <c r="G54" s="1"/>
  <c r="G65" s="1"/>
  <c r="Q18" i="105" s="1"/>
  <c r="R114" i="38"/>
  <c r="G139" i="102"/>
  <c r="G58" s="1"/>
  <c r="G69" s="1"/>
  <c r="Q559" i="105" s="1"/>
  <c r="R118" i="102"/>
  <c r="G136" i="101"/>
  <c r="G55" s="1"/>
  <c r="G66" s="1"/>
  <c r="Q545" i="105" s="1"/>
  <c r="R115" i="101"/>
  <c r="G137" i="98"/>
  <c r="G56" s="1"/>
  <c r="G67" s="1"/>
  <c r="Q519" i="105" s="1"/>
  <c r="R116" i="98"/>
  <c r="G138" i="96"/>
  <c r="G57" s="1"/>
  <c r="G68" s="1"/>
  <c r="Q500" i="105" s="1"/>
  <c r="R117" i="96"/>
  <c r="G139" i="93"/>
  <c r="G58" s="1"/>
  <c r="G69" s="1"/>
  <c r="Q474" i="105" s="1"/>
  <c r="R118" i="93"/>
  <c r="G135" i="80"/>
  <c r="G54" s="1"/>
  <c r="G65" s="1"/>
  <c r="Q425" i="105" s="1"/>
  <c r="R114" i="80"/>
  <c r="G139" i="85"/>
  <c r="G58" s="1"/>
  <c r="G69" s="1"/>
  <c r="Q384" i="105" s="1"/>
  <c r="R118" i="85"/>
  <c r="G138"/>
  <c r="G57" s="1"/>
  <c r="G68" s="1"/>
  <c r="Q383" i="105" s="1"/>
  <c r="R117" i="85"/>
  <c r="G139" i="78"/>
  <c r="G58" s="1"/>
  <c r="G69" s="1"/>
  <c r="Q337" i="105" s="1"/>
  <c r="R118" i="78"/>
  <c r="G135" i="75"/>
  <c r="G54" s="1"/>
  <c r="G65" s="1"/>
  <c r="Q306" i="105" s="1"/>
  <c r="R114" i="75"/>
  <c r="G139" i="73"/>
  <c r="G58" s="1"/>
  <c r="G69" s="1"/>
  <c r="Q292" i="105" s="1"/>
  <c r="R118" i="73"/>
  <c r="G135" i="72"/>
  <c r="G54" s="1"/>
  <c r="G65" s="1"/>
  <c r="Q278" i="105" s="1"/>
  <c r="R114" i="72"/>
  <c r="G136" i="70"/>
  <c r="G55" s="1"/>
  <c r="G66" s="1"/>
  <c r="Q260" i="105" s="1"/>
  <c r="R115" i="70"/>
  <c r="G138" i="67"/>
  <c r="G57" s="1"/>
  <c r="G68" s="1"/>
  <c r="R117"/>
  <c r="G137" i="68"/>
  <c r="G56" s="1"/>
  <c r="G67" s="1"/>
  <c r="Q243" i="105" s="1"/>
  <c r="R116" i="68"/>
  <c r="G137" i="82"/>
  <c r="G56" s="1"/>
  <c r="G67" s="1"/>
  <c r="Q353" i="105" s="1"/>
  <c r="R116" i="82"/>
  <c r="G136" i="53"/>
  <c r="G55" s="1"/>
  <c r="G66" s="1"/>
  <c r="Q156" i="105" s="1"/>
  <c r="R115" i="53"/>
  <c r="G138" i="45"/>
  <c r="G57" s="1"/>
  <c r="G68" s="1"/>
  <c r="Q84" i="105" s="1"/>
  <c r="R117" i="45"/>
  <c r="G137" i="58"/>
  <c r="G56" s="1"/>
  <c r="G67" s="1"/>
  <c r="Q202" i="105" s="1"/>
  <c r="R116" i="58"/>
  <c r="G137" i="53"/>
  <c r="G56" s="1"/>
  <c r="G67" s="1"/>
  <c r="Q157" i="105" s="1"/>
  <c r="R116" i="53"/>
  <c r="G135" i="50"/>
  <c r="G54" s="1"/>
  <c r="G65" s="1"/>
  <c r="Q128" i="105" s="1"/>
  <c r="R114" i="50"/>
  <c r="G138" i="47"/>
  <c r="G57" s="1"/>
  <c r="G68" s="1"/>
  <c r="Q104" i="105" s="1"/>
  <c r="R117" i="47"/>
  <c r="G135" i="45"/>
  <c r="G54" s="1"/>
  <c r="G65" s="1"/>
  <c r="Q81" i="105" s="1"/>
  <c r="R114" i="45"/>
  <c r="G136" i="42"/>
  <c r="G55" s="1"/>
  <c r="G66" s="1"/>
  <c r="Q55" i="105" s="1"/>
  <c r="R115" i="42"/>
  <c r="G138" i="39"/>
  <c r="G57" s="1"/>
  <c r="G68" s="1"/>
  <c r="Q30" i="105" s="1"/>
  <c r="R117" i="39"/>
  <c r="G135" i="32"/>
  <c r="G54" s="1"/>
  <c r="G65" s="1"/>
  <c r="R114"/>
  <c r="G139" i="109"/>
  <c r="G58" s="1"/>
  <c r="G69" s="1"/>
  <c r="Q577" i="105" s="1"/>
  <c r="R118" i="109"/>
  <c r="G137" i="99"/>
  <c r="G56" s="1"/>
  <c r="G67" s="1"/>
  <c r="Q528" i="105" s="1"/>
  <c r="R116" i="99"/>
  <c r="G136" i="98"/>
  <c r="G55" s="1"/>
  <c r="G66" s="1"/>
  <c r="Q518" i="105" s="1"/>
  <c r="R115" i="98"/>
  <c r="G137" i="91"/>
  <c r="G56" s="1"/>
  <c r="G67" s="1"/>
  <c r="Q454" i="105" s="1"/>
  <c r="R116" i="91"/>
  <c r="G138" i="80"/>
  <c r="G57" s="1"/>
  <c r="G68" s="1"/>
  <c r="Q428" i="105" s="1"/>
  <c r="R117" i="80"/>
  <c r="G138" i="86"/>
  <c r="G57" s="1"/>
  <c r="G68" s="1"/>
  <c r="Q392" i="105" s="1"/>
  <c r="R117" i="86"/>
  <c r="G139" i="77"/>
  <c r="G58" s="1"/>
  <c r="G69" s="1"/>
  <c r="Q328" i="105" s="1"/>
  <c r="R118" i="77"/>
  <c r="G139" i="75"/>
  <c r="G58" s="1"/>
  <c r="G69" s="1"/>
  <c r="Q310" i="105" s="1"/>
  <c r="R118" i="75"/>
  <c r="G139" i="72"/>
  <c r="G58" s="1"/>
  <c r="G69" s="1"/>
  <c r="Q282" i="105" s="1"/>
  <c r="R118" i="72"/>
  <c r="G139" i="70"/>
  <c r="G58" s="1"/>
  <c r="G69" s="1"/>
  <c r="Q263" i="105" s="1"/>
  <c r="R118" i="70"/>
  <c r="G137" i="57"/>
  <c r="G56" s="1"/>
  <c r="G67" s="1"/>
  <c r="Q193" i="105" s="1"/>
  <c r="R116" i="57"/>
  <c r="G139" i="83"/>
  <c r="G58" s="1"/>
  <c r="G69" s="1"/>
  <c r="Q364" i="105" s="1"/>
  <c r="R118" i="83"/>
  <c r="G136" i="68"/>
  <c r="G55" s="1"/>
  <c r="G66" s="1"/>
  <c r="Q242" i="105" s="1"/>
  <c r="R115" i="68"/>
  <c r="G135" i="59"/>
  <c r="G54" s="1"/>
  <c r="G65" s="1"/>
  <c r="Q209" i="105" s="1"/>
  <c r="R114" i="59"/>
  <c r="G135" i="108"/>
  <c r="G54" s="1"/>
  <c r="G65" s="1"/>
  <c r="Q564" i="105" s="1"/>
  <c r="R114" i="108"/>
  <c r="G136" i="59"/>
  <c r="G55" s="1"/>
  <c r="G66" s="1"/>
  <c r="Q210" i="105" s="1"/>
  <c r="R115" i="59"/>
  <c r="G139" i="108"/>
  <c r="G58" s="1"/>
  <c r="G69" s="1"/>
  <c r="Q568" i="105" s="1"/>
  <c r="R118" i="108"/>
  <c r="G139" i="97"/>
  <c r="G58" s="1"/>
  <c r="G69" s="1"/>
  <c r="Q510" i="105" s="1"/>
  <c r="R118" i="97"/>
  <c r="G135" i="58"/>
  <c r="G54" s="1"/>
  <c r="G65" s="1"/>
  <c r="Q200" i="105" s="1"/>
  <c r="R114" i="58"/>
  <c r="G136" i="44"/>
  <c r="G55" s="1"/>
  <c r="G66" s="1"/>
  <c r="Q73" i="105" s="1"/>
  <c r="R115" i="44"/>
  <c r="G135" i="43"/>
  <c r="G54" s="1"/>
  <c r="G65" s="1"/>
  <c r="Q63" i="105" s="1"/>
  <c r="R114" i="43"/>
  <c r="G137" i="40"/>
  <c r="G56" s="1"/>
  <c r="G67" s="1"/>
  <c r="Q38" i="105" s="1"/>
  <c r="R116" i="40"/>
  <c r="G138" i="32"/>
  <c r="G57" s="1"/>
  <c r="G68" s="1"/>
  <c r="R117"/>
  <c r="G137" i="102"/>
  <c r="G56" s="1"/>
  <c r="G67" s="1"/>
  <c r="Q557" i="105" s="1"/>
  <c r="R116" i="102"/>
  <c r="G137" i="101"/>
  <c r="G56" s="1"/>
  <c r="G67" s="1"/>
  <c r="Q546" i="105" s="1"/>
  <c r="R116" i="101"/>
  <c r="G138" i="100"/>
  <c r="G57" s="1"/>
  <c r="G68" s="1"/>
  <c r="Q538" i="105" s="1"/>
  <c r="R117" i="100"/>
  <c r="G135" i="97"/>
  <c r="G54" s="1"/>
  <c r="G65" s="1"/>
  <c r="Q506" i="105" s="1"/>
  <c r="R114" i="97"/>
  <c r="G138" i="93"/>
  <c r="G57" s="1"/>
  <c r="G68" s="1"/>
  <c r="Q473" i="105" s="1"/>
  <c r="R117" i="93"/>
  <c r="G137" i="80"/>
  <c r="G56" s="1"/>
  <c r="G67" s="1"/>
  <c r="Q427" i="105" s="1"/>
  <c r="R116" i="80"/>
  <c r="G137" i="85"/>
  <c r="G56" s="1"/>
  <c r="G67" s="1"/>
  <c r="Q382" i="105" s="1"/>
  <c r="R116" i="85"/>
  <c r="G138" i="78"/>
  <c r="G57" s="1"/>
  <c r="G68" s="1"/>
  <c r="Q336" i="105" s="1"/>
  <c r="R117" i="78"/>
  <c r="G136" i="75"/>
  <c r="G55" s="1"/>
  <c r="G66" s="1"/>
  <c r="Q307" i="105" s="1"/>
  <c r="R115" i="75"/>
  <c r="G137" i="73"/>
  <c r="G56" s="1"/>
  <c r="G67" s="1"/>
  <c r="Q290" i="105" s="1"/>
  <c r="R116" i="73"/>
  <c r="G137" i="72"/>
  <c r="G56" s="1"/>
  <c r="G67" s="1"/>
  <c r="Q280" i="105" s="1"/>
  <c r="R116" i="72"/>
  <c r="G137" i="70"/>
  <c r="G56" s="1"/>
  <c r="G67" s="1"/>
  <c r="Q261" i="105" s="1"/>
  <c r="R116" i="70"/>
  <c r="G135" i="67"/>
  <c r="G54" s="1"/>
  <c r="R114"/>
  <c r="G136" i="57"/>
  <c r="G55" s="1"/>
  <c r="G66" s="1"/>
  <c r="Q192" i="105" s="1"/>
  <c r="R115" i="57"/>
  <c r="G135" i="54"/>
  <c r="G54" s="1"/>
  <c r="G65" s="1"/>
  <c r="Q164" i="105" s="1"/>
  <c r="R114" i="54"/>
  <c r="G135" i="68"/>
  <c r="G54" s="1"/>
  <c r="G65" s="1"/>
  <c r="Q241" i="105" s="1"/>
  <c r="R114" i="68"/>
  <c r="G135" i="39"/>
  <c r="G54" s="1"/>
  <c r="G65" s="1"/>
  <c r="Q27" i="105" s="1"/>
  <c r="R114" i="39"/>
  <c r="G137" i="49"/>
  <c r="G56" s="1"/>
  <c r="G67" s="1"/>
  <c r="Q121" i="105" s="1"/>
  <c r="R116" i="49"/>
  <c r="G137" i="59"/>
  <c r="G56" s="1"/>
  <c r="G67" s="1"/>
  <c r="Q211" i="105" s="1"/>
  <c r="R116" i="59"/>
  <c r="G137" i="45"/>
  <c r="G56" s="1"/>
  <c r="G67" s="1"/>
  <c r="Q83" i="105" s="1"/>
  <c r="R116" i="45"/>
  <c r="G136" i="58"/>
  <c r="G55" s="1"/>
  <c r="G66" s="1"/>
  <c r="Q201" i="105" s="1"/>
  <c r="R115" i="58"/>
  <c r="G137" i="46"/>
  <c r="G56" s="1"/>
  <c r="G67" s="1"/>
  <c r="Q92" i="105" s="1"/>
  <c r="R116" i="46"/>
  <c r="G137" i="44"/>
  <c r="G56" s="1"/>
  <c r="G67" s="1"/>
  <c r="Q74" i="105" s="1"/>
  <c r="R116" i="44"/>
  <c r="G138" i="43"/>
  <c r="G57" s="1"/>
  <c r="G68" s="1"/>
  <c r="Q66" i="105" s="1"/>
  <c r="R117" i="43"/>
  <c r="G139" i="39"/>
  <c r="G58" s="1"/>
  <c r="G69" s="1"/>
  <c r="Q31" i="105" s="1"/>
  <c r="R118" i="39"/>
  <c r="G137" i="32"/>
  <c r="G56" s="1"/>
  <c r="G67" s="1"/>
  <c r="R116"/>
  <c r="G137" i="109"/>
  <c r="G56" s="1"/>
  <c r="G67" s="1"/>
  <c r="Q575" i="105" s="1"/>
  <c r="R116" i="109"/>
  <c r="G138" i="101"/>
  <c r="G57" s="1"/>
  <c r="G68" s="1"/>
  <c r="Q547" i="105" s="1"/>
  <c r="R117" i="101"/>
  <c r="G135" i="99"/>
  <c r="G54" s="1"/>
  <c r="G65" s="1"/>
  <c r="Q526" i="105" s="1"/>
  <c r="R114" i="99"/>
  <c r="G137" i="96"/>
  <c r="G56" s="1"/>
  <c r="G67" s="1"/>
  <c r="Q499" i="105" s="1"/>
  <c r="R116" i="96"/>
  <c r="G137" i="93"/>
  <c r="G56" s="1"/>
  <c r="G67" s="1"/>
  <c r="Q472" i="105" s="1"/>
  <c r="R116" i="93"/>
  <c r="G136" i="79"/>
  <c r="G55" s="1"/>
  <c r="G66" s="1"/>
  <c r="Q417" i="105" s="1"/>
  <c r="R115" i="79"/>
  <c r="G135" i="86"/>
  <c r="G54" s="1"/>
  <c r="G65" s="1"/>
  <c r="Q389" i="105" s="1"/>
  <c r="R114" i="86"/>
  <c r="G138" i="77"/>
  <c r="G57" s="1"/>
  <c r="G68" s="1"/>
  <c r="Q327" i="105" s="1"/>
  <c r="R117" i="77"/>
  <c r="G139" i="74"/>
  <c r="G58" s="1"/>
  <c r="G69" s="1"/>
  <c r="Q301" i="105" s="1"/>
  <c r="R118" i="74"/>
  <c r="G136" i="72"/>
  <c r="G55" s="1"/>
  <c r="G66" s="1"/>
  <c r="Q279" i="105" s="1"/>
  <c r="R115" i="72"/>
  <c r="G138" i="71"/>
  <c r="G57" s="1"/>
  <c r="G68" s="1"/>
  <c r="Q272" i="105" s="1"/>
  <c r="R117" i="71"/>
  <c r="G139" i="67"/>
  <c r="G58" s="1"/>
  <c r="G69" s="1"/>
  <c r="R118"/>
  <c r="H138" i="56"/>
  <c r="H57" s="1"/>
  <c r="H68" s="1"/>
  <c r="R185" i="105" s="1"/>
  <c r="S117" i="56"/>
  <c r="H135"/>
  <c r="H54" s="1"/>
  <c r="H65" s="1"/>
  <c r="R182" i="105" s="1"/>
  <c r="S114" i="56"/>
  <c r="H139" i="94"/>
  <c r="H58" s="1"/>
  <c r="H69" s="1"/>
  <c r="R483" i="105" s="1"/>
  <c r="S118" i="94"/>
  <c r="H137" i="92"/>
  <c r="H56" s="1"/>
  <c r="H67" s="1"/>
  <c r="R463" i="105" s="1"/>
  <c r="S116" i="92"/>
  <c r="H138" i="81"/>
  <c r="H57" s="1"/>
  <c r="H68" s="1"/>
  <c r="R345" i="105" s="1"/>
  <c r="S117" i="81"/>
  <c r="H135" i="69"/>
  <c r="H54" s="1"/>
  <c r="H65" s="1"/>
  <c r="R250" i="105" s="1"/>
  <c r="S114" i="69"/>
  <c r="H139" i="51"/>
  <c r="H58" s="1"/>
  <c r="H69" s="1"/>
  <c r="R141" i="105" s="1"/>
  <c r="S118" i="51"/>
  <c r="H138" i="95"/>
  <c r="H57" s="1"/>
  <c r="H68" s="1"/>
  <c r="R491" i="105" s="1"/>
  <c r="S117" i="95"/>
  <c r="H136" i="92"/>
  <c r="H55" s="1"/>
  <c r="H66" s="1"/>
  <c r="R462" i="105" s="1"/>
  <c r="S115" i="92"/>
  <c r="H139" i="69"/>
  <c r="H58" s="1"/>
  <c r="H69" s="1"/>
  <c r="R254" i="105" s="1"/>
  <c r="S118" i="69"/>
  <c r="H135" i="57"/>
  <c r="H54" s="1"/>
  <c r="H65" s="1"/>
  <c r="R191" i="105" s="1"/>
  <c r="S114" i="57"/>
  <c r="H137" i="55"/>
  <c r="H56" s="1"/>
  <c r="H67" s="1"/>
  <c r="R175" i="105" s="1"/>
  <c r="S116" i="55"/>
  <c r="H136" i="94"/>
  <c r="H55" s="1"/>
  <c r="H66" s="1"/>
  <c r="R480" i="105" s="1"/>
  <c r="S115" i="94"/>
  <c r="H136" i="89"/>
  <c r="H55" s="1"/>
  <c r="H66" s="1"/>
  <c r="R435" i="105" s="1"/>
  <c r="S115" i="89"/>
  <c r="H139" i="81"/>
  <c r="H58" s="1"/>
  <c r="H69" s="1"/>
  <c r="R346" i="105" s="1"/>
  <c r="S118" i="81"/>
  <c r="H139" i="68"/>
  <c r="H58" s="1"/>
  <c r="H69" s="1"/>
  <c r="R245" i="105" s="1"/>
  <c r="S118" i="68"/>
  <c r="H139" i="48"/>
  <c r="H58" s="1"/>
  <c r="H69" s="1"/>
  <c r="R114" i="105" s="1"/>
  <c r="S118" i="48"/>
  <c r="H136"/>
  <c r="H55" s="1"/>
  <c r="S115"/>
  <c r="H136" i="54"/>
  <c r="H55" s="1"/>
  <c r="H66" s="1"/>
  <c r="R165" i="105" s="1"/>
  <c r="S115" i="54"/>
  <c r="H135" i="52"/>
  <c r="H54" s="1"/>
  <c r="H65" s="1"/>
  <c r="R146" i="105" s="1"/>
  <c r="S114" i="52"/>
  <c r="H137" i="48"/>
  <c r="H56" s="1"/>
  <c r="H67" s="1"/>
  <c r="R112" i="105" s="1"/>
  <c r="S116" i="48"/>
  <c r="H139" i="41"/>
  <c r="H58" s="1"/>
  <c r="H69" s="1"/>
  <c r="R49" i="105" s="1"/>
  <c r="S118" i="41"/>
  <c r="H139" i="89"/>
  <c r="H58" s="1"/>
  <c r="H69" s="1"/>
  <c r="R438" i="105" s="1"/>
  <c r="S118" i="89"/>
  <c r="H138" i="76"/>
  <c r="H57" s="1"/>
  <c r="H68" s="1"/>
  <c r="R318" i="105" s="1"/>
  <c r="S117" i="76"/>
  <c r="H135" i="55"/>
  <c r="H54" s="1"/>
  <c r="H65" s="1"/>
  <c r="R173" i="105" s="1"/>
  <c r="S114" i="55"/>
  <c r="H136" i="129"/>
  <c r="H55" s="1"/>
  <c r="H66" s="1"/>
  <c r="R601" i="105" s="1"/>
  <c r="S115" i="129"/>
  <c r="H138" i="94"/>
  <c r="H57" s="1"/>
  <c r="H68" s="1"/>
  <c r="R482" i="105" s="1"/>
  <c r="S117" i="94"/>
  <c r="H135" i="92"/>
  <c r="H54" s="1"/>
  <c r="H65" s="1"/>
  <c r="R461" i="105" s="1"/>
  <c r="S114" i="92"/>
  <c r="H138" i="87"/>
  <c r="H57" s="1"/>
  <c r="H68" s="1"/>
  <c r="R401" i="105" s="1"/>
  <c r="S117" i="87"/>
  <c r="H136" i="81"/>
  <c r="H55" s="1"/>
  <c r="H66" s="1"/>
  <c r="R343" i="105" s="1"/>
  <c r="S115" i="81"/>
  <c r="H139" i="92"/>
  <c r="H58" s="1"/>
  <c r="H69" s="1"/>
  <c r="R465" i="105" s="1"/>
  <c r="S118" i="92"/>
  <c r="H137" i="56"/>
  <c r="H56" s="1"/>
  <c r="H67" s="1"/>
  <c r="R184" i="105" s="1"/>
  <c r="S116" i="56"/>
  <c r="H136" i="88"/>
  <c r="H55" s="1"/>
  <c r="H66" s="1"/>
  <c r="R408" i="105" s="1"/>
  <c r="S115" i="88"/>
  <c r="H139" i="83"/>
  <c r="H58" s="1"/>
  <c r="H69" s="1"/>
  <c r="R364" i="105" s="1"/>
  <c r="S118" i="83"/>
  <c r="H135" i="51"/>
  <c r="H54" s="1"/>
  <c r="H65" s="1"/>
  <c r="R137" i="105" s="1"/>
  <c r="S114" i="51"/>
  <c r="H138" i="88"/>
  <c r="H57" s="1"/>
  <c r="H68" s="1"/>
  <c r="R410" i="105" s="1"/>
  <c r="S117" i="88"/>
  <c r="H136" i="57"/>
  <c r="H55" s="1"/>
  <c r="H66" s="1"/>
  <c r="R192" i="105" s="1"/>
  <c r="S115" i="57"/>
  <c r="H138" i="55"/>
  <c r="H57" s="1"/>
  <c r="H68" s="1"/>
  <c r="R176" i="105" s="1"/>
  <c r="S117" i="55"/>
  <c r="H138" i="54"/>
  <c r="H57" s="1"/>
  <c r="H68" s="1"/>
  <c r="R167" i="105" s="1"/>
  <c r="S117" i="54"/>
  <c r="H138" i="51"/>
  <c r="H57" s="1"/>
  <c r="H68" s="1"/>
  <c r="R140" i="105" s="1"/>
  <c r="S117" i="51"/>
  <c r="H139" i="76"/>
  <c r="H58" s="1"/>
  <c r="H69" s="1"/>
  <c r="R319" i="105" s="1"/>
  <c r="S118" i="76"/>
  <c r="H139" i="57"/>
  <c r="H58" s="1"/>
  <c r="H69" s="1"/>
  <c r="R195" i="105" s="1"/>
  <c r="S118" i="57"/>
  <c r="H138" i="90"/>
  <c r="H57" s="1"/>
  <c r="H68" s="1"/>
  <c r="R446" i="105" s="1"/>
  <c r="S117" i="90"/>
  <c r="H138" i="52"/>
  <c r="H57" s="1"/>
  <c r="H68" s="1"/>
  <c r="R149" i="105" s="1"/>
  <c r="S117" i="52"/>
  <c r="H138" i="129"/>
  <c r="H57" s="1"/>
  <c r="H68" s="1"/>
  <c r="R603" i="105" s="1"/>
  <c r="S117" i="129"/>
  <c r="H136" i="51"/>
  <c r="H55" s="1"/>
  <c r="H66" s="1"/>
  <c r="R138" i="105" s="1"/>
  <c r="S115" i="51"/>
  <c r="H136" i="52"/>
  <c r="H55" s="1"/>
  <c r="H66" s="1"/>
  <c r="R147" i="105" s="1"/>
  <c r="S115" i="52"/>
  <c r="H139" i="95"/>
  <c r="H58" s="1"/>
  <c r="H69" s="1"/>
  <c r="R492" i="105" s="1"/>
  <c r="S118" i="95"/>
  <c r="H139" i="87"/>
  <c r="H58" s="1"/>
  <c r="H69" s="1"/>
  <c r="R402" i="105" s="1"/>
  <c r="S118" i="87"/>
  <c r="H136" i="76"/>
  <c r="H55" s="1"/>
  <c r="H66" s="1"/>
  <c r="R316" i="105" s="1"/>
  <c r="S115" i="76"/>
  <c r="H137" i="52"/>
  <c r="H56" s="1"/>
  <c r="H67" s="1"/>
  <c r="R148" i="105" s="1"/>
  <c r="S116" i="52"/>
  <c r="H136" i="87"/>
  <c r="H55" s="1"/>
  <c r="H66" s="1"/>
  <c r="R399" i="105" s="1"/>
  <c r="S115" i="87"/>
  <c r="H137" i="69"/>
  <c r="H56" s="1"/>
  <c r="H67" s="1"/>
  <c r="R252" i="105" s="1"/>
  <c r="S116" i="69"/>
  <c r="H137" i="87"/>
  <c r="H56" s="1"/>
  <c r="H67" s="1"/>
  <c r="R400" i="105" s="1"/>
  <c r="S116" i="87"/>
  <c r="H136" i="55"/>
  <c r="H55" s="1"/>
  <c r="H66" s="1"/>
  <c r="R174" i="105" s="1"/>
  <c r="S115" i="55"/>
  <c r="H138" i="83"/>
  <c r="H57" s="1"/>
  <c r="H68" s="1"/>
  <c r="R363" i="105" s="1"/>
  <c r="S117" i="83"/>
  <c r="H136"/>
  <c r="H55" s="1"/>
  <c r="H66" s="1"/>
  <c r="R361" i="105" s="1"/>
  <c r="S115" i="83"/>
  <c r="H137" i="95"/>
  <c r="H56" s="1"/>
  <c r="H67" s="1"/>
  <c r="R490" i="105" s="1"/>
  <c r="S116" i="95"/>
  <c r="H135" i="94"/>
  <c r="H54" s="1"/>
  <c r="H65" s="1"/>
  <c r="R479" i="105" s="1"/>
  <c r="S114" i="94"/>
  <c r="H136" i="90"/>
  <c r="H55" s="1"/>
  <c r="H66" s="1"/>
  <c r="R444" i="105" s="1"/>
  <c r="S115" i="90"/>
  <c r="H137" i="81"/>
  <c r="H56" s="1"/>
  <c r="H67" s="1"/>
  <c r="R344" i="105" s="1"/>
  <c r="S116" i="81"/>
  <c r="H137" i="51"/>
  <c r="H56" s="1"/>
  <c r="H67" s="1"/>
  <c r="R139" i="105" s="1"/>
  <c r="S116" i="51"/>
  <c r="H135" i="48"/>
  <c r="H54" s="1"/>
  <c r="H65" s="1"/>
  <c r="R110" i="105" s="1"/>
  <c r="S114" i="48"/>
  <c r="H137" i="94"/>
  <c r="H56" s="1"/>
  <c r="H67" s="1"/>
  <c r="R481" i="105" s="1"/>
  <c r="S116" i="94"/>
  <c r="H138" i="92"/>
  <c r="H57" s="1"/>
  <c r="H68" s="1"/>
  <c r="R464" i="105" s="1"/>
  <c r="S117" i="92"/>
  <c r="H137" i="88"/>
  <c r="H56" s="1"/>
  <c r="H67" s="1"/>
  <c r="R409" i="105" s="1"/>
  <c r="S116" i="88"/>
  <c r="H138" i="68"/>
  <c r="H57" s="1"/>
  <c r="H68" s="1"/>
  <c r="R244" i="105" s="1"/>
  <c r="S117" i="68"/>
  <c r="H136" i="56"/>
  <c r="H55" s="1"/>
  <c r="H66" s="1"/>
  <c r="R183" i="105" s="1"/>
  <c r="S115" i="56"/>
  <c r="H139"/>
  <c r="H58" s="1"/>
  <c r="H69" s="1"/>
  <c r="R186" i="105" s="1"/>
  <c r="S118" i="56"/>
  <c r="H135" i="54"/>
  <c r="H54" s="1"/>
  <c r="H65" s="1"/>
  <c r="R164" i="105" s="1"/>
  <c r="S114" i="54"/>
  <c r="H136" i="41"/>
  <c r="H55" s="1"/>
  <c r="H66" s="1"/>
  <c r="R46" i="105" s="1"/>
  <c r="S115" i="41"/>
  <c r="H135" i="89"/>
  <c r="H54" s="1"/>
  <c r="H65" s="1"/>
  <c r="R434" i="105" s="1"/>
  <c r="S114" i="89"/>
  <c r="H135" i="81"/>
  <c r="H54" s="1"/>
  <c r="H65" s="1"/>
  <c r="R342" i="105" s="1"/>
  <c r="S114" i="81"/>
  <c r="H138" i="57"/>
  <c r="H57" s="1"/>
  <c r="H68" s="1"/>
  <c r="R194" i="105" s="1"/>
  <c r="S117" i="57"/>
  <c r="H137" i="54"/>
  <c r="H56" s="1"/>
  <c r="H67" s="1"/>
  <c r="R166" i="105" s="1"/>
  <c r="S116" i="54"/>
  <c r="H138" i="41"/>
  <c r="H57" s="1"/>
  <c r="H68" s="1"/>
  <c r="R48" i="105" s="1"/>
  <c r="S117" i="41"/>
  <c r="H137" i="89"/>
  <c r="H56" s="1"/>
  <c r="H67" s="1"/>
  <c r="R436" i="105" s="1"/>
  <c r="S116" i="89"/>
  <c r="H137" i="76"/>
  <c r="H56" s="1"/>
  <c r="H67" s="1"/>
  <c r="R317" i="105" s="1"/>
  <c r="S116" i="76"/>
  <c r="H139" i="55"/>
  <c r="H58" s="1"/>
  <c r="H69" s="1"/>
  <c r="R177" i="105" s="1"/>
  <c r="S118" i="55"/>
  <c r="H139" i="54"/>
  <c r="H58" s="1"/>
  <c r="H69" s="1"/>
  <c r="R168" i="105" s="1"/>
  <c r="S118" i="54"/>
  <c r="H138" i="48"/>
  <c r="H57" s="1"/>
  <c r="H68" s="1"/>
  <c r="R113" i="105" s="1"/>
  <c r="S117" i="48"/>
  <c r="H135" i="41"/>
  <c r="H54" s="1"/>
  <c r="H65" s="1"/>
  <c r="R45" i="105" s="1"/>
  <c r="S114" i="41"/>
  <c r="H138" i="89"/>
  <c r="H57" s="1"/>
  <c r="H68" s="1"/>
  <c r="R437" i="105" s="1"/>
  <c r="S117" i="89"/>
  <c r="H135" i="88"/>
  <c r="H54" s="1"/>
  <c r="H65" s="1"/>
  <c r="R407" i="105" s="1"/>
  <c r="S114" i="88"/>
  <c r="H139"/>
  <c r="H58" s="1"/>
  <c r="H69" s="1"/>
  <c r="R411" i="105" s="1"/>
  <c r="S118" i="88"/>
  <c r="H135" i="129"/>
  <c r="H54" s="1"/>
  <c r="H65" s="1"/>
  <c r="R600" i="105" s="1"/>
  <c r="S114" i="129"/>
  <c r="H139" i="52"/>
  <c r="H58" s="1"/>
  <c r="H69" s="1"/>
  <c r="R150" i="105" s="1"/>
  <c r="S118" i="52"/>
  <c r="H139" i="129"/>
  <c r="H58" s="1"/>
  <c r="H69" s="1"/>
  <c r="R604" i="105" s="1"/>
  <c r="S118" i="129"/>
  <c r="H137" i="83"/>
  <c r="H56" s="1"/>
  <c r="H67" s="1"/>
  <c r="R362" i="105" s="1"/>
  <c r="S116" i="83"/>
  <c r="H135"/>
  <c r="H54" s="1"/>
  <c r="H65" s="1"/>
  <c r="R360" i="105" s="1"/>
  <c r="S114" i="83"/>
  <c r="H135" i="87"/>
  <c r="H54" s="1"/>
  <c r="H65" s="1"/>
  <c r="R398" i="105" s="1"/>
  <c r="S114" i="87"/>
  <c r="H137" i="41"/>
  <c r="H56" s="1"/>
  <c r="H67" s="1"/>
  <c r="R47" i="105" s="1"/>
  <c r="S116" i="41"/>
  <c r="H135" i="76"/>
  <c r="H54" s="1"/>
  <c r="H65" s="1"/>
  <c r="R315" i="105" s="1"/>
  <c r="S114" i="76"/>
  <c r="H136" i="95"/>
  <c r="H55" s="1"/>
  <c r="H66" s="1"/>
  <c r="R489" i="105" s="1"/>
  <c r="S115" i="95"/>
  <c r="H137" i="129"/>
  <c r="H56" s="1"/>
  <c r="H67" s="1"/>
  <c r="R602" i="105" s="1"/>
  <c r="S116" i="129"/>
  <c r="H138" i="69"/>
  <c r="H57" s="1"/>
  <c r="H68" s="1"/>
  <c r="R253" i="105" s="1"/>
  <c r="S117" i="69"/>
  <c r="H137" i="57"/>
  <c r="H56" s="1"/>
  <c r="H67" s="1"/>
  <c r="R193" i="105" s="1"/>
  <c r="S116" i="57"/>
  <c r="H135" i="95"/>
  <c r="H54" s="1"/>
  <c r="H65" s="1"/>
  <c r="R488" i="105" s="1"/>
  <c r="S114" i="95"/>
  <c r="H136" i="69"/>
  <c r="H55" s="1"/>
  <c r="H66" s="1"/>
  <c r="R251" i="105" s="1"/>
  <c r="S115" i="69"/>
  <c r="G134" i="109"/>
  <c r="R113"/>
  <c r="G134" i="45"/>
  <c r="G53" s="1"/>
  <c r="R113"/>
  <c r="G134" i="81"/>
  <c r="R113"/>
  <c r="R119" s="1"/>
  <c r="G134" i="59"/>
  <c r="R113"/>
  <c r="G134" i="90"/>
  <c r="G53" s="1"/>
  <c r="R113"/>
  <c r="G134" i="76"/>
  <c r="R113"/>
  <c r="R119" s="1"/>
  <c r="G134" i="82"/>
  <c r="R113"/>
  <c r="G134" i="87"/>
  <c r="R113"/>
  <c r="R119" s="1"/>
  <c r="G134" i="88"/>
  <c r="R113"/>
  <c r="R119" s="1"/>
  <c r="G134" i="100"/>
  <c r="R113"/>
  <c r="G134" i="49"/>
  <c r="R113"/>
  <c r="G134" i="54"/>
  <c r="R113"/>
  <c r="G134" i="57"/>
  <c r="R113"/>
  <c r="G134" i="39"/>
  <c r="R113"/>
  <c r="G134" i="101"/>
  <c r="G53" s="1"/>
  <c r="R113"/>
  <c r="G134" i="68"/>
  <c r="G53" s="1"/>
  <c r="R113"/>
  <c r="F134" i="67"/>
  <c r="Q113"/>
  <c r="Q119" s="1"/>
  <c r="F134" i="73"/>
  <c r="Q113"/>
  <c r="Q119" s="1"/>
  <c r="F134" i="74"/>
  <c r="Q113"/>
  <c r="Q119" s="1"/>
  <c r="F134" i="78"/>
  <c r="Q113"/>
  <c r="F134" i="91"/>
  <c r="Q113"/>
  <c r="Q119" s="1"/>
  <c r="F134" i="98"/>
  <c r="Q113"/>
  <c r="Q119" s="1"/>
  <c r="F134" i="101"/>
  <c r="Q113"/>
  <c r="Q119" s="1"/>
  <c r="F134" i="39"/>
  <c r="Q113"/>
  <c r="Q119" s="1"/>
  <c r="F134" i="47"/>
  <c r="Q113"/>
  <c r="Q119" s="1"/>
  <c r="F134" i="71"/>
  <c r="Q113"/>
  <c r="Q119" s="1"/>
  <c r="F134" i="72"/>
  <c r="Q113"/>
  <c r="Q119" s="1"/>
  <c r="F134" i="108"/>
  <c r="Q113"/>
  <c r="Q119" s="1"/>
  <c r="F134" i="109"/>
  <c r="Q113"/>
  <c r="F134" i="44"/>
  <c r="Q113"/>
  <c r="Q119" s="1"/>
  <c r="F134" i="50"/>
  <c r="Q113"/>
  <c r="Q119" s="1"/>
  <c r="F134" i="70"/>
  <c r="Q113"/>
  <c r="Q119" s="1"/>
  <c r="F134" i="77"/>
  <c r="Q113"/>
  <c r="Q119" s="1"/>
  <c r="F134" i="80"/>
  <c r="Q113"/>
  <c r="Q119" s="1"/>
  <c r="F134" i="93"/>
  <c r="Q113"/>
  <c r="Q119" s="1"/>
  <c r="F134" i="99"/>
  <c r="Q113"/>
  <c r="Q119" s="1"/>
  <c r="F134" i="102"/>
  <c r="Q113"/>
  <c r="Q119" s="1"/>
  <c r="F134" i="45"/>
  <c r="Q113"/>
  <c r="Q119" s="1"/>
  <c r="F134" i="60"/>
  <c r="Q113"/>
  <c r="Q119" s="1"/>
  <c r="Q119" i="89"/>
  <c r="G57" i="128"/>
  <c r="G68" s="1"/>
  <c r="Q594" i="105" s="1"/>
  <c r="G56" i="128"/>
  <c r="G67" s="1"/>
  <c r="Q593" i="105" s="1"/>
  <c r="G58" i="128"/>
  <c r="G69" s="1"/>
  <c r="Q595" i="105" s="1"/>
  <c r="G55" i="128"/>
  <c r="G66" s="1"/>
  <c r="Q592" i="105" s="1"/>
  <c r="G54" i="128"/>
  <c r="G65" s="1"/>
  <c r="Q591" i="105" s="1"/>
  <c r="H128" i="48" a="1"/>
  <c r="H128" s="1"/>
  <c r="H130" s="1"/>
  <c r="I122" i="71" a="1"/>
  <c r="I122" s="1"/>
  <c r="I126" a="1"/>
  <c r="I126" s="1"/>
  <c r="I127" a="1"/>
  <c r="I127" s="1"/>
  <c r="H130"/>
  <c r="I123" a="1"/>
  <c r="I123" s="1"/>
  <c r="H105" i="84"/>
  <c r="I93" i="76" a="1"/>
  <c r="I93" s="1"/>
  <c r="I91" i="87" a="1"/>
  <c r="I91" s="1"/>
  <c r="I103" s="1"/>
  <c r="I47" s="1"/>
  <c r="I42" i="84"/>
  <c r="I104"/>
  <c r="Q84" i="89"/>
  <c r="H92" i="52" a="1"/>
  <c r="H92" s="1"/>
  <c r="H94" s="1"/>
  <c r="S83" i="39"/>
  <c r="I87" i="48" a="1"/>
  <c r="I87" s="1"/>
  <c r="I99" s="1"/>
  <c r="I43" s="1"/>
  <c r="I93" i="90" a="1"/>
  <c r="I93" s="1"/>
  <c r="I91" i="48" a="1"/>
  <c r="I91" s="1"/>
  <c r="I103" s="1"/>
  <c r="I47" s="1"/>
  <c r="I89" i="76" a="1"/>
  <c r="I89" s="1"/>
  <c r="I101" s="1"/>
  <c r="I45" s="1"/>
  <c r="I86" i="88" a="1"/>
  <c r="I86" s="1"/>
  <c r="I98" s="1"/>
  <c r="H92" i="69" a="1"/>
  <c r="H92" s="1"/>
  <c r="H94" s="1"/>
  <c r="I88" i="76" a="1"/>
  <c r="I88" s="1"/>
  <c r="I100" s="1"/>
  <c r="I44" s="1"/>
  <c r="I91" i="89" a="1"/>
  <c r="I91" s="1"/>
  <c r="I103" s="1"/>
  <c r="I47" s="1"/>
  <c r="H92" i="95" a="1"/>
  <c r="H92" s="1"/>
  <c r="H94" s="1"/>
  <c r="I91" i="76" a="1"/>
  <c r="I91" s="1"/>
  <c r="I103" s="1"/>
  <c r="I47" s="1"/>
  <c r="I87" a="1"/>
  <c r="I87" s="1"/>
  <c r="I88" i="95" a="1"/>
  <c r="I88" s="1"/>
  <c r="I100" s="1"/>
  <c r="I44" s="1"/>
  <c r="I86" i="129" a="1"/>
  <c r="I86" s="1"/>
  <c r="I98" s="1"/>
  <c r="I86" i="48" a="1"/>
  <c r="I86" s="1"/>
  <c r="I98" s="1"/>
  <c r="I90" a="1"/>
  <c r="I90" s="1"/>
  <c r="I102" s="1"/>
  <c r="I46" s="1"/>
  <c r="I86" i="76" a="1"/>
  <c r="I86" s="1"/>
  <c r="I98" s="1"/>
  <c r="I90" a="1"/>
  <c r="I90" s="1"/>
  <c r="I87" i="95" a="1"/>
  <c r="I87" s="1"/>
  <c r="I99" s="1"/>
  <c r="I43" s="1"/>
  <c r="I90" i="129" a="1"/>
  <c r="I90" s="1"/>
  <c r="I102" s="1"/>
  <c r="I46" s="1"/>
  <c r="I88" i="48" a="1"/>
  <c r="I88" s="1"/>
  <c r="I100" s="1"/>
  <c r="I44" s="1"/>
  <c r="I89" a="1"/>
  <c r="I89" s="1"/>
  <c r="I101" s="1"/>
  <c r="I45" s="1"/>
  <c r="I93" a="1"/>
  <c r="I93" s="1"/>
  <c r="I91" i="68" a="1"/>
  <c r="I91" s="1"/>
  <c r="I103" s="1"/>
  <c r="I47" s="1"/>
  <c r="I86" i="69" a="1"/>
  <c r="I86" s="1"/>
  <c r="I98" s="1"/>
  <c r="H92" i="76" a="1"/>
  <c r="H92" s="1"/>
  <c r="H94" s="1"/>
  <c r="I87" i="87" a="1"/>
  <c r="I87" s="1"/>
  <c r="I99" s="1"/>
  <c r="I43" s="1"/>
  <c r="I90" i="88" a="1"/>
  <c r="I90" s="1"/>
  <c r="I102" s="1"/>
  <c r="I46" s="1"/>
  <c r="I90" i="89" a="1"/>
  <c r="I90" s="1"/>
  <c r="I102" s="1"/>
  <c r="I46" s="1"/>
  <c r="I91" i="90" a="1"/>
  <c r="I91" s="1"/>
  <c r="I103" s="1"/>
  <c r="I47" s="1"/>
  <c r="I89" i="95" a="1"/>
  <c r="I89" s="1"/>
  <c r="I101" s="1"/>
  <c r="I45" s="1"/>
  <c r="I90" a="1"/>
  <c r="I90" s="1"/>
  <c r="I102" s="1"/>
  <c r="I46" s="1"/>
  <c r="I88" i="129" a="1"/>
  <c r="I88" s="1"/>
  <c r="I100" s="1"/>
  <c r="I44" s="1"/>
  <c r="I89" a="1"/>
  <c r="I89" s="1"/>
  <c r="I101" s="1"/>
  <c r="I45" s="1"/>
  <c r="I93" a="1"/>
  <c r="I93" s="1"/>
  <c r="H92" a="1"/>
  <c r="H92" s="1"/>
  <c r="H94" s="1"/>
  <c r="I90" i="52" a="1"/>
  <c r="I90" s="1"/>
  <c r="I102" s="1"/>
  <c r="I46" s="1"/>
  <c r="H92" i="57" a="1"/>
  <c r="H92" s="1"/>
  <c r="H94" s="1"/>
  <c r="I87" i="68" a="1"/>
  <c r="I87" s="1"/>
  <c r="I99" s="1"/>
  <c r="I43" s="1"/>
  <c r="I90" i="69" a="1"/>
  <c r="I90" s="1"/>
  <c r="I102" s="1"/>
  <c r="I46" s="1"/>
  <c r="H92" i="87" a="1"/>
  <c r="H92" s="1"/>
  <c r="H94" s="1"/>
  <c r="I91" i="95" a="1"/>
  <c r="I91" s="1"/>
  <c r="I103" s="1"/>
  <c r="I47" s="1"/>
  <c r="I86" a="1"/>
  <c r="I86" s="1"/>
  <c r="I98" s="1"/>
  <c r="I93" a="1"/>
  <c r="I93" s="1"/>
  <c r="I91" i="129" a="1"/>
  <c r="I91" s="1"/>
  <c r="I103" s="1"/>
  <c r="I47" s="1"/>
  <c r="I87" a="1"/>
  <c r="I87" s="1"/>
  <c r="I99" s="1"/>
  <c r="I43" s="1"/>
  <c r="I88" i="41" a="1"/>
  <c r="I88" s="1"/>
  <c r="I100" s="1"/>
  <c r="I44" s="1"/>
  <c r="H92" i="48" a="1"/>
  <c r="H92" s="1"/>
  <c r="H94" s="1"/>
  <c r="H92" i="54" a="1"/>
  <c r="H92" s="1"/>
  <c r="H94" s="1"/>
  <c r="H92" i="55" a="1"/>
  <c r="H92" s="1"/>
  <c r="H94" s="1"/>
  <c r="I89" a="1"/>
  <c r="I89" s="1"/>
  <c r="I101" s="1"/>
  <c r="I45" s="1"/>
  <c r="I93" i="41" a="1"/>
  <c r="I93" s="1"/>
  <c r="I86" i="52" a="1"/>
  <c r="I86" s="1"/>
  <c r="I98" s="1"/>
  <c r="I87" i="54" a="1"/>
  <c r="I87" s="1"/>
  <c r="I99" s="1"/>
  <c r="I43" s="1"/>
  <c r="R84" i="56"/>
  <c r="I89" i="41" a="1"/>
  <c r="I89" s="1"/>
  <c r="I101" s="1"/>
  <c r="I45" s="1"/>
  <c r="I93" i="51" a="1"/>
  <c r="I93" s="1"/>
  <c r="I88" i="54" a="1"/>
  <c r="I88" s="1"/>
  <c r="I100" s="1"/>
  <c r="I44" s="1"/>
  <c r="I89" i="51" a="1"/>
  <c r="I89" s="1"/>
  <c r="I101" s="1"/>
  <c r="I45" s="1"/>
  <c r="I91" i="55" a="1"/>
  <c r="I91" s="1"/>
  <c r="I103" s="1"/>
  <c r="I47" s="1"/>
  <c r="I87" i="83" a="1"/>
  <c r="I87" s="1"/>
  <c r="I99" s="1"/>
  <c r="I43" s="1"/>
  <c r="T83" i="76"/>
  <c r="H92" i="88" a="1"/>
  <c r="H92" s="1"/>
  <c r="H94" s="1"/>
  <c r="I86" i="51" a="1"/>
  <c r="I86" s="1"/>
  <c r="I98" s="1"/>
  <c r="I93" i="55" a="1"/>
  <c r="I93" s="1"/>
  <c r="I89" i="57" a="1"/>
  <c r="I89" s="1"/>
  <c r="I101" s="1"/>
  <c r="I45" s="1"/>
  <c r="I89" i="83" a="1"/>
  <c r="I89" s="1"/>
  <c r="I101" s="1"/>
  <c r="I45" s="1"/>
  <c r="I88" i="57" a="1"/>
  <c r="I88" s="1"/>
  <c r="I100" s="1"/>
  <c r="I44" s="1"/>
  <c r="S83" i="76"/>
  <c r="I93" i="57" a="1"/>
  <c r="I93" s="1"/>
  <c r="I88" i="68" a="1"/>
  <c r="I88" s="1"/>
  <c r="I100" s="1"/>
  <c r="I44" s="1"/>
  <c r="I89" a="1"/>
  <c r="I89" s="1"/>
  <c r="I101" s="1"/>
  <c r="I45" s="1"/>
  <c r="I93" a="1"/>
  <c r="I93" s="1"/>
  <c r="I91" i="69" a="1"/>
  <c r="I91" s="1"/>
  <c r="I87" a="1"/>
  <c r="I87" s="1"/>
  <c r="I99" s="1"/>
  <c r="I43" s="1"/>
  <c r="I88" i="87" a="1"/>
  <c r="I88" s="1"/>
  <c r="I100" s="1"/>
  <c r="I44" s="1"/>
  <c r="I89" a="1"/>
  <c r="I89" s="1"/>
  <c r="I101" s="1"/>
  <c r="I45" s="1"/>
  <c r="I93" a="1"/>
  <c r="I93" s="1"/>
  <c r="I91" i="88" a="1"/>
  <c r="I91" s="1"/>
  <c r="I103" s="1"/>
  <c r="I47" s="1"/>
  <c r="I87" a="1"/>
  <c r="I87" s="1"/>
  <c r="I88" i="89" a="1"/>
  <c r="I88" s="1"/>
  <c r="I100" s="1"/>
  <c r="I44" s="1"/>
  <c r="I87" a="1"/>
  <c r="I87" s="1"/>
  <c r="I99" s="1"/>
  <c r="I43" s="1"/>
  <c r="H92" a="1"/>
  <c r="H92" s="1"/>
  <c r="H94" s="1"/>
  <c r="I89" i="90" a="1"/>
  <c r="I89" s="1"/>
  <c r="I101" s="1"/>
  <c r="I45" s="1"/>
  <c r="I90" a="1"/>
  <c r="I90" s="1"/>
  <c r="I102" s="1"/>
  <c r="I46" s="1"/>
  <c r="H92" i="41" a="1"/>
  <c r="H92" s="1"/>
  <c r="H94" s="1"/>
  <c r="I86" a="1"/>
  <c r="I86" s="1"/>
  <c r="I98" s="1"/>
  <c r="I90" a="1"/>
  <c r="I90" s="1"/>
  <c r="I102" s="1"/>
  <c r="I46" s="1"/>
  <c r="H92" i="51" a="1"/>
  <c r="H92" s="1"/>
  <c r="H94" s="1"/>
  <c r="I88" a="1"/>
  <c r="I88" s="1"/>
  <c r="I100" s="1"/>
  <c r="I44" s="1"/>
  <c r="I90" a="1"/>
  <c r="I90" s="1"/>
  <c r="I102" s="1"/>
  <c r="I46" s="1"/>
  <c r="I91" i="52" a="1"/>
  <c r="I91" s="1"/>
  <c r="I103" s="1"/>
  <c r="I47" s="1"/>
  <c r="I87" a="1"/>
  <c r="I87" s="1"/>
  <c r="I99" s="1"/>
  <c r="I43" s="1"/>
  <c r="I86" i="54" a="1"/>
  <c r="I86" s="1"/>
  <c r="I98" s="1"/>
  <c r="I89" a="1"/>
  <c r="I89" s="1"/>
  <c r="I101" s="1"/>
  <c r="I45" s="1"/>
  <c r="I93" a="1"/>
  <c r="I93" s="1"/>
  <c r="I86" i="55" a="1"/>
  <c r="I86" s="1"/>
  <c r="I98" s="1"/>
  <c r="I90" a="1"/>
  <c r="I90" s="1"/>
  <c r="I102" s="1"/>
  <c r="I46" s="1"/>
  <c r="I86" i="57" a="1"/>
  <c r="I86" s="1"/>
  <c r="I98" s="1"/>
  <c r="I90" a="1"/>
  <c r="I90" s="1"/>
  <c r="I102" s="1"/>
  <c r="I46" s="1"/>
  <c r="I91" i="83" a="1"/>
  <c r="I91" s="1"/>
  <c r="I103" s="1"/>
  <c r="I47" s="1"/>
  <c r="I86" a="1"/>
  <c r="I86" s="1"/>
  <c r="I98" s="1"/>
  <c r="I86" i="68" a="1"/>
  <c r="I86" s="1"/>
  <c r="I98" s="1"/>
  <c r="I90" a="1"/>
  <c r="I90" s="1"/>
  <c r="I102" s="1"/>
  <c r="I46" s="1"/>
  <c r="I88" i="69" a="1"/>
  <c r="I88" s="1"/>
  <c r="I89" a="1"/>
  <c r="I89" s="1"/>
  <c r="I101" s="1"/>
  <c r="I45" s="1"/>
  <c r="I93" a="1"/>
  <c r="I93" s="1"/>
  <c r="I86" i="87" a="1"/>
  <c r="I86" s="1"/>
  <c r="I98" s="1"/>
  <c r="I90" a="1"/>
  <c r="I90" s="1"/>
  <c r="I102" s="1"/>
  <c r="I46" s="1"/>
  <c r="I88" i="88" a="1"/>
  <c r="I88" s="1"/>
  <c r="I100" s="1"/>
  <c r="I44" s="1"/>
  <c r="I89" a="1"/>
  <c r="I89" s="1"/>
  <c r="I101" s="1"/>
  <c r="I45" s="1"/>
  <c r="I93" a="1"/>
  <c r="I93" s="1"/>
  <c r="I86" i="89" a="1"/>
  <c r="I86" s="1"/>
  <c r="I98" s="1"/>
  <c r="I89" a="1"/>
  <c r="I89" s="1"/>
  <c r="I101" s="1"/>
  <c r="I45" s="1"/>
  <c r="I93" a="1"/>
  <c r="I93" s="1"/>
  <c r="I88" i="90" a="1"/>
  <c r="I88" s="1"/>
  <c r="I100" s="1"/>
  <c r="I44" s="1"/>
  <c r="I86" a="1"/>
  <c r="I86" s="1"/>
  <c r="I98" s="1"/>
  <c r="I87" a="1"/>
  <c r="I87" s="1"/>
  <c r="I99" s="1"/>
  <c r="I43" s="1"/>
  <c r="I91" i="41" a="1"/>
  <c r="I91" s="1"/>
  <c r="I103" s="1"/>
  <c r="I47" s="1"/>
  <c r="I87" a="1"/>
  <c r="I87" s="1"/>
  <c r="I99" s="1"/>
  <c r="I43" s="1"/>
  <c r="I91" i="51" a="1"/>
  <c r="I91" s="1"/>
  <c r="I103" s="1"/>
  <c r="I47" s="1"/>
  <c r="I87" a="1"/>
  <c r="I87" s="1"/>
  <c r="I99" s="1"/>
  <c r="I43" s="1"/>
  <c r="I88" i="52" a="1"/>
  <c r="I88" s="1"/>
  <c r="I100" s="1"/>
  <c r="I44" s="1"/>
  <c r="I89" a="1"/>
  <c r="I89" s="1"/>
  <c r="I101" s="1"/>
  <c r="I45" s="1"/>
  <c r="I93" a="1"/>
  <c r="I93" s="1"/>
  <c r="I91" i="54" a="1"/>
  <c r="I91" s="1"/>
  <c r="I103" s="1"/>
  <c r="I47" s="1"/>
  <c r="I90" a="1"/>
  <c r="I90" s="1"/>
  <c r="I102" s="1"/>
  <c r="I46" s="1"/>
  <c r="I88" i="55" a="1"/>
  <c r="I88" s="1"/>
  <c r="I100" s="1"/>
  <c r="I44" s="1"/>
  <c r="I87" a="1"/>
  <c r="I87" s="1"/>
  <c r="I99" s="1"/>
  <c r="I43" s="1"/>
  <c r="I91" i="57" a="1"/>
  <c r="I91" s="1"/>
  <c r="I103" s="1"/>
  <c r="I47" s="1"/>
  <c r="I87" a="1"/>
  <c r="I87" s="1"/>
  <c r="I99" s="1"/>
  <c r="I43" s="1"/>
  <c r="I90" i="83" a="1"/>
  <c r="I90" s="1"/>
  <c r="I102" s="1"/>
  <c r="I46" s="1"/>
  <c r="H92" a="1"/>
  <c r="H92" s="1"/>
  <c r="H94" s="1"/>
  <c r="I93" i="85" a="1"/>
  <c r="I93" s="1"/>
  <c r="I87" i="97" a="1"/>
  <c r="I87" s="1"/>
  <c r="I99" s="1"/>
  <c r="I43" s="1"/>
  <c r="I87" i="99" a="1"/>
  <c r="I87" s="1"/>
  <c r="I99" s="1"/>
  <c r="I43" s="1"/>
  <c r="R119" i="129"/>
  <c r="Q84" i="97"/>
  <c r="T83" i="68"/>
  <c r="Q84" i="86"/>
  <c r="Q84" i="87"/>
  <c r="R84" i="92"/>
  <c r="Q119" i="38"/>
  <c r="Q84" i="32"/>
  <c r="G104" i="57"/>
  <c r="R84" s="1"/>
  <c r="Q84" i="43"/>
  <c r="R84" i="69"/>
  <c r="Q84" i="59"/>
  <c r="R84" i="51"/>
  <c r="Q119" i="32"/>
  <c r="Q84" i="90"/>
  <c r="R119" i="89"/>
  <c r="S83" i="87"/>
  <c r="Q84" i="100"/>
  <c r="Q84" i="40"/>
  <c r="T83" i="129"/>
  <c r="F56" i="63"/>
  <c r="F67" s="1"/>
  <c r="F142" s="1"/>
  <c r="Q84" i="46"/>
  <c r="R84" i="95"/>
  <c r="T83" i="57"/>
  <c r="S83" i="90"/>
  <c r="S83" i="129"/>
  <c r="S83" i="44"/>
  <c r="Q119" i="40"/>
  <c r="S83" i="52"/>
  <c r="S83" i="108"/>
  <c r="S83" i="85"/>
  <c r="S83" i="86"/>
  <c r="T83" i="90"/>
  <c r="Q119" i="75"/>
  <c r="Q119" i="87"/>
  <c r="Q84" i="82"/>
  <c r="R84" i="89"/>
  <c r="R84" i="94"/>
  <c r="Q84" i="38"/>
  <c r="Q84" i="42"/>
  <c r="F58" i="63"/>
  <c r="F69" s="1"/>
  <c r="F144" s="1"/>
  <c r="F58" i="104"/>
  <c r="F69" s="1"/>
  <c r="F152" s="1"/>
  <c r="G104" i="45"/>
  <c r="R84" s="1"/>
  <c r="G104" i="108"/>
  <c r="G105" s="1"/>
  <c r="G104" i="41"/>
  <c r="G105" s="1"/>
  <c r="Q119" i="46"/>
  <c r="F55" i="63"/>
  <c r="Q119" i="90"/>
  <c r="Q84" i="75"/>
  <c r="F140" i="90"/>
  <c r="F141" s="1"/>
  <c r="Q119" i="96"/>
  <c r="G104" i="100"/>
  <c r="G105" s="1"/>
  <c r="Q84" i="49"/>
  <c r="Q119" i="53"/>
  <c r="F105" i="58"/>
  <c r="Q84" i="128"/>
  <c r="Q84" i="79"/>
  <c r="S83" i="55"/>
  <c r="G104"/>
  <c r="R84" s="1"/>
  <c r="G46" i="41"/>
  <c r="R119" i="69"/>
  <c r="P120" i="78"/>
  <c r="G104" i="82"/>
  <c r="G105" s="1"/>
  <c r="Q119" i="85"/>
  <c r="Q119" i="86"/>
  <c r="Q119" i="79"/>
  <c r="R119" i="92"/>
  <c r="R119" i="94"/>
  <c r="Q119" i="97"/>
  <c r="Q119" i="100"/>
  <c r="G104" i="109"/>
  <c r="G105" s="1"/>
  <c r="G104" i="128"/>
  <c r="G105" s="1"/>
  <c r="Q119" i="42"/>
  <c r="F140" i="46"/>
  <c r="F141" s="1"/>
  <c r="G104" i="49"/>
  <c r="G105" s="1"/>
  <c r="R119" i="51"/>
  <c r="Q84" i="53"/>
  <c r="Q119" i="58"/>
  <c r="F66" i="32"/>
  <c r="P10" i="105" s="1"/>
  <c r="F57" i="63"/>
  <c r="F68" s="1"/>
  <c r="F143" s="1"/>
  <c r="F54"/>
  <c r="F65" s="1"/>
  <c r="F140" s="1"/>
  <c r="F54" i="104"/>
  <c r="F65" s="1"/>
  <c r="F148" s="1"/>
  <c r="F56"/>
  <c r="F67" s="1"/>
  <c r="F150" s="1"/>
  <c r="E144" i="63"/>
  <c r="G104" i="90"/>
  <c r="G105" s="1"/>
  <c r="G104" i="83"/>
  <c r="S83" i="89"/>
  <c r="Q119" i="68"/>
  <c r="Q119" i="82"/>
  <c r="R119" i="95"/>
  <c r="Q84" i="96"/>
  <c r="G104" i="101"/>
  <c r="G105" s="1"/>
  <c r="Q84" i="127"/>
  <c r="Q119"/>
  <c r="G104" i="39"/>
  <c r="G105" s="1"/>
  <c r="Q119" i="43"/>
  <c r="Q119" i="49"/>
  <c r="G104" i="54"/>
  <c r="G105" s="1"/>
  <c r="Q119" i="59"/>
  <c r="G104"/>
  <c r="G105" s="1"/>
  <c r="F57" i="104"/>
  <c r="F68" s="1"/>
  <c r="F151" s="1"/>
  <c r="F55"/>
  <c r="F66" s="1"/>
  <c r="F149" s="1"/>
  <c r="S83" i="69"/>
  <c r="S83" i="68"/>
  <c r="G104" i="52"/>
  <c r="R84" s="1"/>
  <c r="S83" i="41"/>
  <c r="G48" i="108"/>
  <c r="G207" s="1"/>
  <c r="G47" i="104"/>
  <c r="G46"/>
  <c r="G48" i="68"/>
  <c r="G141" s="1"/>
  <c r="G47" i="63"/>
  <c r="G43" i="104"/>
  <c r="G48" i="39"/>
  <c r="G207" s="1"/>
  <c r="G44" i="63"/>
  <c r="G48" i="90"/>
  <c r="G207" s="1"/>
  <c r="G48" i="45"/>
  <c r="G207" s="1"/>
  <c r="G45" i="104"/>
  <c r="G45" i="63"/>
  <c r="G48" i="101"/>
  <c r="G207" s="1"/>
  <c r="H100" i="67"/>
  <c r="H44" s="1"/>
  <c r="H102"/>
  <c r="H46" s="1"/>
  <c r="H103"/>
  <c r="H47" s="1"/>
  <c r="I103" i="69"/>
  <c r="I47" s="1"/>
  <c r="H99" i="70"/>
  <c r="H43" s="1"/>
  <c r="H100"/>
  <c r="H44" s="1"/>
  <c r="H103" i="71"/>
  <c r="H47" s="1"/>
  <c r="H101"/>
  <c r="H45" s="1"/>
  <c r="H99" i="72"/>
  <c r="H43" s="1"/>
  <c r="H100"/>
  <c r="H44" s="1"/>
  <c r="H99" i="73"/>
  <c r="H43" s="1"/>
  <c r="H100"/>
  <c r="H44" s="1"/>
  <c r="H102" i="74"/>
  <c r="H46" s="1"/>
  <c r="H99" i="77"/>
  <c r="H43" s="1"/>
  <c r="H100"/>
  <c r="H44" s="1"/>
  <c r="H103" i="78"/>
  <c r="H47" s="1"/>
  <c r="I101" i="81"/>
  <c r="I45" s="1"/>
  <c r="H100" i="85"/>
  <c r="H44" s="1"/>
  <c r="H103"/>
  <c r="H47" s="1"/>
  <c r="H101" i="79"/>
  <c r="H45" s="1"/>
  <c r="H102"/>
  <c r="H46" s="1"/>
  <c r="H103"/>
  <c r="H47" s="1"/>
  <c r="H100" i="80"/>
  <c r="H44" s="1"/>
  <c r="H101" i="91"/>
  <c r="H45" s="1"/>
  <c r="I101" i="92"/>
  <c r="I45" s="1"/>
  <c r="H101" i="93"/>
  <c r="H45" s="1"/>
  <c r="H102"/>
  <c r="H46" s="1"/>
  <c r="H101" i="96"/>
  <c r="H45" s="1"/>
  <c r="H102"/>
  <c r="H46" s="1"/>
  <c r="H103"/>
  <c r="H47" s="1"/>
  <c r="H99" i="97"/>
  <c r="H43" s="1"/>
  <c r="H101" i="98"/>
  <c r="H45" s="1"/>
  <c r="H99" i="99"/>
  <c r="H43" s="1"/>
  <c r="H102" i="100"/>
  <c r="H46" s="1"/>
  <c r="H102" i="101"/>
  <c r="H46" s="1"/>
  <c r="H101" i="102"/>
  <c r="H45" s="1"/>
  <c r="H100" i="108"/>
  <c r="H44" s="1"/>
  <c r="H99" i="109"/>
  <c r="H43" s="1"/>
  <c r="H103"/>
  <c r="H47" s="1"/>
  <c r="H100" i="127"/>
  <c r="H44" s="1"/>
  <c r="H101" i="128"/>
  <c r="H45" s="1"/>
  <c r="H137" s="1"/>
  <c r="H100"/>
  <c r="H44" s="1"/>
  <c r="H136" s="1"/>
  <c r="H43" i="32"/>
  <c r="H44"/>
  <c r="H103" i="38"/>
  <c r="H47" s="1"/>
  <c r="H101"/>
  <c r="H45" s="1"/>
  <c r="H102" i="39"/>
  <c r="H46" s="1"/>
  <c r="H101" i="40"/>
  <c r="H45" s="1"/>
  <c r="H101" i="42"/>
  <c r="H45" s="1"/>
  <c r="H102" i="45"/>
  <c r="H46" s="1"/>
  <c r="H102" i="50"/>
  <c r="H46" s="1"/>
  <c r="H100" i="53"/>
  <c r="H44" s="1"/>
  <c r="H103"/>
  <c r="H47" s="1"/>
  <c r="H101" i="58"/>
  <c r="H45" s="1"/>
  <c r="H103"/>
  <c r="H47" s="1"/>
  <c r="H99" i="59"/>
  <c r="H43" s="1"/>
  <c r="H103"/>
  <c r="H47" s="1"/>
  <c r="H102" i="53"/>
  <c r="H46" s="1"/>
  <c r="I100" i="56"/>
  <c r="I44" s="1"/>
  <c r="H102" i="75"/>
  <c r="H46" s="1"/>
  <c r="H100" i="44"/>
  <c r="H44" s="1"/>
  <c r="H103" i="128"/>
  <c r="H47" s="1"/>
  <c r="H139" s="1"/>
  <c r="H103" i="127"/>
  <c r="H47" s="1"/>
  <c r="H99" i="75"/>
  <c r="H43" s="1"/>
  <c r="I100" i="94"/>
  <c r="I44" s="1"/>
  <c r="H101" i="108"/>
  <c r="H45" s="1"/>
  <c r="H102" i="127"/>
  <c r="H46" s="1"/>
  <c r="H100" i="82"/>
  <c r="H44" s="1"/>
  <c r="I101" i="56"/>
  <c r="I45" s="1"/>
  <c r="I100" i="92"/>
  <c r="I44" s="1"/>
  <c r="H102" i="128"/>
  <c r="H46" s="1"/>
  <c r="H138" s="1"/>
  <c r="H99" i="49"/>
  <c r="H43" s="1"/>
  <c r="H101"/>
  <c r="H45" s="1"/>
  <c r="H102"/>
  <c r="H46" s="1"/>
  <c r="H103" i="90"/>
  <c r="H47" s="1"/>
  <c r="H99"/>
  <c r="H43" s="1"/>
  <c r="H99" i="68"/>
  <c r="H43" s="1"/>
  <c r="H103" i="100"/>
  <c r="H47" s="1"/>
  <c r="H103" i="86"/>
  <c r="H47" s="1"/>
  <c r="H99" i="85"/>
  <c r="H43" s="1"/>
  <c r="G104" i="68"/>
  <c r="R84" s="1"/>
  <c r="S83" i="57"/>
  <c r="G44" i="83"/>
  <c r="G104" i="48"/>
  <c r="G46" i="52"/>
  <c r="S83" i="83"/>
  <c r="S83" i="95"/>
  <c r="H99" i="67"/>
  <c r="H43" s="1"/>
  <c r="I100" i="69"/>
  <c r="I44" s="1"/>
  <c r="H101" i="70"/>
  <c r="H45" s="1"/>
  <c r="H102" i="71"/>
  <c r="H46" s="1"/>
  <c r="H100"/>
  <c r="H44" s="1"/>
  <c r="H101" i="72"/>
  <c r="H45" s="1"/>
  <c r="H101" i="73"/>
  <c r="H45" s="1"/>
  <c r="H100" i="74"/>
  <c r="H44" s="1"/>
  <c r="H99"/>
  <c r="H43" s="1"/>
  <c r="I102" i="76"/>
  <c r="I46" s="1"/>
  <c r="H102" i="77"/>
  <c r="H46" s="1"/>
  <c r="H101" i="78"/>
  <c r="H45" s="1"/>
  <c r="H102"/>
  <c r="H46" s="1"/>
  <c r="I103" i="81"/>
  <c r="I47" s="1"/>
  <c r="H100" i="79"/>
  <c r="H44" s="1"/>
  <c r="H99" i="80"/>
  <c r="H43" s="1"/>
  <c r="H103"/>
  <c r="H47" s="1"/>
  <c r="H102" i="91"/>
  <c r="H46" s="1"/>
  <c r="H103"/>
  <c r="H47" s="1"/>
  <c r="I99" i="92"/>
  <c r="I43" s="1"/>
  <c r="H100" i="93"/>
  <c r="H44" s="1"/>
  <c r="H99" i="96"/>
  <c r="H43" s="1"/>
  <c r="H100"/>
  <c r="H44" s="1"/>
  <c r="H103" i="97"/>
  <c r="H47" s="1"/>
  <c r="H102" i="98"/>
  <c r="H46" s="1"/>
  <c r="H103"/>
  <c r="H47" s="1"/>
  <c r="H103" i="99"/>
  <c r="H47" s="1"/>
  <c r="H101" i="100"/>
  <c r="H45" s="1"/>
  <c r="H99"/>
  <c r="H43" s="1"/>
  <c r="H101" i="101"/>
  <c r="H45" s="1"/>
  <c r="H99"/>
  <c r="H43" s="1"/>
  <c r="H103"/>
  <c r="H47" s="1"/>
  <c r="H102" i="102"/>
  <c r="H46" s="1"/>
  <c r="H103"/>
  <c r="H47" s="1"/>
  <c r="H102" i="108"/>
  <c r="H46" s="1"/>
  <c r="H100" i="109"/>
  <c r="H44" s="1"/>
  <c r="H45" i="32"/>
  <c r="H103" i="39"/>
  <c r="H47" s="1"/>
  <c r="H101"/>
  <c r="H45" s="1"/>
  <c r="H100" i="40"/>
  <c r="H44" s="1"/>
  <c r="H103"/>
  <c r="H47" s="1"/>
  <c r="H102" i="42"/>
  <c r="H46" s="1"/>
  <c r="H103"/>
  <c r="H47" s="1"/>
  <c r="H101" i="43"/>
  <c r="H45" s="1"/>
  <c r="H102"/>
  <c r="H46" s="1"/>
  <c r="H103"/>
  <c r="H47" s="1"/>
  <c r="H103" i="44"/>
  <c r="H47" s="1"/>
  <c r="H103" i="45"/>
  <c r="H47" s="1"/>
  <c r="H99"/>
  <c r="H43" s="1"/>
  <c r="H102" i="46"/>
  <c r="H46" s="1"/>
  <c r="H99"/>
  <c r="H43" s="1"/>
  <c r="H99" i="47"/>
  <c r="H43" s="1"/>
  <c r="H100"/>
  <c r="H44" s="1"/>
  <c r="H103" i="50"/>
  <c r="H47" s="1"/>
  <c r="H101"/>
  <c r="H45" s="1"/>
  <c r="H99"/>
  <c r="H43" s="1"/>
  <c r="H99" i="53"/>
  <c r="H43" s="1"/>
  <c r="H101"/>
  <c r="H45" s="1"/>
  <c r="H99" i="58"/>
  <c r="H43" s="1"/>
  <c r="H100"/>
  <c r="H44" s="1"/>
  <c r="H102" i="59"/>
  <c r="H46" s="1"/>
  <c r="H100"/>
  <c r="H44" s="1"/>
  <c r="H101"/>
  <c r="H45" s="1"/>
  <c r="H101" i="60"/>
  <c r="H45" s="1"/>
  <c r="H102"/>
  <c r="H46" s="1"/>
  <c r="H103"/>
  <c r="H47" s="1"/>
  <c r="H100" i="45"/>
  <c r="H44" s="1"/>
  <c r="I103" i="92"/>
  <c r="I47" s="1"/>
  <c r="H101" i="75"/>
  <c r="H45" s="1"/>
  <c r="I103" i="56"/>
  <c r="I47" s="1"/>
  <c r="H103" i="75"/>
  <c r="H47" s="1"/>
  <c r="I102" i="92"/>
  <c r="I46" s="1"/>
  <c r="H100" i="75"/>
  <c r="H44" s="1"/>
  <c r="H101" i="44"/>
  <c r="H45" s="1"/>
  <c r="I101" i="94"/>
  <c r="I45" s="1"/>
  <c r="H99" i="82"/>
  <c r="H43" s="1"/>
  <c r="H101" i="47"/>
  <c r="H45" s="1"/>
  <c r="I99" i="94"/>
  <c r="I43" s="1"/>
  <c r="H99" i="38"/>
  <c r="H43" s="1"/>
  <c r="H100" i="86"/>
  <c r="H44" s="1"/>
  <c r="H99"/>
  <c r="H43" s="1"/>
  <c r="I102" i="94"/>
  <c r="I46" s="1"/>
  <c r="H101" i="90"/>
  <c r="H45" s="1"/>
  <c r="H100" i="68"/>
  <c r="H44" s="1"/>
  <c r="H100" i="39"/>
  <c r="H44" s="1"/>
  <c r="S83" i="88"/>
  <c r="S83" i="54"/>
  <c r="H101" i="67"/>
  <c r="H45" s="1"/>
  <c r="H102" i="70"/>
  <c r="H46" s="1"/>
  <c r="H103"/>
  <c r="H47" s="1"/>
  <c r="H99" i="71"/>
  <c r="H43" s="1"/>
  <c r="H102" i="72"/>
  <c r="H46" s="1"/>
  <c r="H103"/>
  <c r="H47" s="1"/>
  <c r="H102" i="73"/>
  <c r="H46" s="1"/>
  <c r="H103"/>
  <c r="H47" s="1"/>
  <c r="H101" i="74"/>
  <c r="H45" s="1"/>
  <c r="H103"/>
  <c r="H47" s="1"/>
  <c r="I99" i="76"/>
  <c r="I43" s="1"/>
  <c r="H101" i="77"/>
  <c r="H45" s="1"/>
  <c r="H103"/>
  <c r="H47" s="1"/>
  <c r="H100" i="78"/>
  <c r="H44" s="1"/>
  <c r="H99"/>
  <c r="H43" s="1"/>
  <c r="I100" i="81"/>
  <c r="I44" s="1"/>
  <c r="I99"/>
  <c r="I43" s="1"/>
  <c r="I102"/>
  <c r="I46" s="1"/>
  <c r="H103" i="82"/>
  <c r="H47" s="1"/>
  <c r="H102" i="85"/>
  <c r="H46" s="1"/>
  <c r="H99" i="79"/>
  <c r="H43" s="1"/>
  <c r="H101" i="80"/>
  <c r="H45" s="1"/>
  <c r="H102"/>
  <c r="H46" s="1"/>
  <c r="H99" i="91"/>
  <c r="H43" s="1"/>
  <c r="H100"/>
  <c r="H44" s="1"/>
  <c r="H99" i="93"/>
  <c r="H43" s="1"/>
  <c r="H103"/>
  <c r="H47" s="1"/>
  <c r="H101" i="97"/>
  <c r="H45" s="1"/>
  <c r="H102"/>
  <c r="H46" s="1"/>
  <c r="H100"/>
  <c r="H44" s="1"/>
  <c r="H99" i="98"/>
  <c r="H43" s="1"/>
  <c r="H100"/>
  <c r="H44" s="1"/>
  <c r="H101" i="99"/>
  <c r="H45" s="1"/>
  <c r="H102"/>
  <c r="H46" s="1"/>
  <c r="H100"/>
  <c r="H44" s="1"/>
  <c r="H100" i="100"/>
  <c r="H44" s="1"/>
  <c r="H100" i="101"/>
  <c r="H44" s="1"/>
  <c r="H99" i="102"/>
  <c r="H43" s="1"/>
  <c r="H100"/>
  <c r="H44" s="1"/>
  <c r="H103" i="108"/>
  <c r="H47" s="1"/>
  <c r="H99"/>
  <c r="H43" s="1"/>
  <c r="H101" i="109"/>
  <c r="H45" s="1"/>
  <c r="H102"/>
  <c r="H46" s="1"/>
  <c r="H99" i="127"/>
  <c r="H43" s="1"/>
  <c r="H99" i="128"/>
  <c r="H43" s="1"/>
  <c r="H135" s="1"/>
  <c r="H46" i="32"/>
  <c r="H47"/>
  <c r="H102" i="38"/>
  <c r="H46" s="1"/>
  <c r="H99" i="39"/>
  <c r="H43" s="1"/>
  <c r="H102" i="40"/>
  <c r="H46" s="1"/>
  <c r="H99"/>
  <c r="H43" s="1"/>
  <c r="H99" i="42"/>
  <c r="H43" s="1"/>
  <c r="H100"/>
  <c r="H44" s="1"/>
  <c r="H99" i="43"/>
  <c r="H43" s="1"/>
  <c r="H100"/>
  <c r="H44" s="1"/>
  <c r="H101" i="45"/>
  <c r="H45" s="1"/>
  <c r="H101" i="46"/>
  <c r="H45" s="1"/>
  <c r="H100"/>
  <c r="H44" s="1"/>
  <c r="H103"/>
  <c r="H47" s="1"/>
  <c r="H103" i="47"/>
  <c r="H47" s="1"/>
  <c r="H102"/>
  <c r="H46" s="1"/>
  <c r="H100" i="50"/>
  <c r="H44" s="1"/>
  <c r="H102" i="58"/>
  <c r="H46" s="1"/>
  <c r="H99" i="60"/>
  <c r="H43" s="1"/>
  <c r="H100"/>
  <c r="H44" s="1"/>
  <c r="I99" i="56"/>
  <c r="I43" s="1"/>
  <c r="H101" i="86"/>
  <c r="H45" s="1"/>
  <c r="H101" i="85"/>
  <c r="H45" s="1"/>
  <c r="H101" i="127"/>
  <c r="H45" s="1"/>
  <c r="H102" i="44"/>
  <c r="H46" s="1"/>
  <c r="H102" i="86"/>
  <c r="H46" s="1"/>
  <c r="H101" i="82"/>
  <c r="H45" s="1"/>
  <c r="H102"/>
  <c r="H46" s="1"/>
  <c r="I102" i="56"/>
  <c r="I46" s="1"/>
  <c r="H100" i="38"/>
  <c r="H44" s="1"/>
  <c r="I103" i="94"/>
  <c r="I47" s="1"/>
  <c r="T82" i="49"/>
  <c r="T83" s="1"/>
  <c r="H103"/>
  <c r="H47" s="1"/>
  <c r="H101" i="68"/>
  <c r="H45" s="1"/>
  <c r="H100" i="49"/>
  <c r="H44" s="1"/>
  <c r="H99" i="44"/>
  <c r="H43" s="1"/>
  <c r="I88" i="83" a="1"/>
  <c r="I88" s="1"/>
  <c r="I93" a="1"/>
  <c r="I93" s="1"/>
  <c r="S83" i="51"/>
  <c r="G43" i="55"/>
  <c r="S83" i="48"/>
  <c r="G43"/>
  <c r="D141" i="59"/>
  <c r="O120" i="72"/>
  <c r="O120" i="67"/>
  <c r="H92" i="68" a="1"/>
  <c r="H92" s="1"/>
  <c r="H94" s="1"/>
  <c r="H92" i="90" a="1"/>
  <c r="H92" s="1"/>
  <c r="H94" s="1"/>
  <c r="J758" i="111"/>
  <c r="U758" s="1"/>
  <c r="F759"/>
  <c r="Q759" s="1"/>
  <c r="J763"/>
  <c r="U763" s="1"/>
  <c r="F761"/>
  <c r="Q761" s="1"/>
  <c r="G759"/>
  <c r="R759" s="1"/>
  <c r="G762"/>
  <c r="R762" s="1"/>
  <c r="I759"/>
  <c r="T759" s="1"/>
  <c r="I762"/>
  <c r="T762" s="1"/>
  <c r="H758"/>
  <c r="S758" s="1"/>
  <c r="H759"/>
  <c r="S759" s="1"/>
  <c r="H760"/>
  <c r="S760" s="1"/>
  <c r="H761"/>
  <c r="S761" s="1"/>
  <c r="H762"/>
  <c r="S762" s="1"/>
  <c r="H763"/>
  <c r="S763" s="1"/>
  <c r="F763"/>
  <c r="Q763" s="1"/>
  <c r="J760"/>
  <c r="U760" s="1"/>
  <c r="F758"/>
  <c r="Q758" s="1"/>
  <c r="J762"/>
  <c r="U762" s="1"/>
  <c r="G760"/>
  <c r="R760" s="1"/>
  <c r="G763"/>
  <c r="R763" s="1"/>
  <c r="I760"/>
  <c r="T760" s="1"/>
  <c r="I763"/>
  <c r="T763" s="1"/>
  <c r="K758"/>
  <c r="V758" s="1"/>
  <c r="K759"/>
  <c r="V759" s="1"/>
  <c r="K760"/>
  <c r="V760" s="1"/>
  <c r="K761"/>
  <c r="V761" s="1"/>
  <c r="K762"/>
  <c r="V762" s="1"/>
  <c r="D141" i="60"/>
  <c r="F105" i="44"/>
  <c r="I128" i="86" a="1"/>
  <c r="I128" s="1"/>
  <c r="I130" s="1"/>
  <c r="J130" s="1"/>
  <c r="G561" i="111"/>
  <c r="R561" s="1"/>
  <c r="G564"/>
  <c r="R564" s="1"/>
  <c r="I561"/>
  <c r="T561" s="1"/>
  <c r="I564"/>
  <c r="T564" s="1"/>
  <c r="F561"/>
  <c r="Q561" s="1"/>
  <c r="J562"/>
  <c r="U562" s="1"/>
  <c r="F564"/>
  <c r="Q564" s="1"/>
  <c r="J565"/>
  <c r="U565" s="1"/>
  <c r="E561"/>
  <c r="E562"/>
  <c r="E563"/>
  <c r="E564"/>
  <c r="E565"/>
  <c r="E566"/>
  <c r="E880" a="1"/>
  <c r="J885" s="1"/>
  <c r="U885" s="1"/>
  <c r="E24" a="1"/>
  <c r="G29" s="1"/>
  <c r="R29" s="1"/>
  <c r="E144" a="1"/>
  <c r="J149" s="1"/>
  <c r="U149" s="1"/>
  <c r="E161" a="1"/>
  <c r="F166" s="1"/>
  <c r="Q166" s="1"/>
  <c r="G563"/>
  <c r="R563" s="1"/>
  <c r="G566"/>
  <c r="R566" s="1"/>
  <c r="I563"/>
  <c r="T563" s="1"/>
  <c r="I566"/>
  <c r="T566" s="1"/>
  <c r="F562"/>
  <c r="Q562" s="1"/>
  <c r="J563"/>
  <c r="U563" s="1"/>
  <c r="F565"/>
  <c r="Q565" s="1"/>
  <c r="J566"/>
  <c r="U566" s="1"/>
  <c r="K561"/>
  <c r="V561" s="1"/>
  <c r="K562"/>
  <c r="V562" s="1"/>
  <c r="K563"/>
  <c r="V563" s="1"/>
  <c r="K564"/>
  <c r="V564" s="1"/>
  <c r="K565"/>
  <c r="V565" s="1"/>
  <c r="D141" i="32"/>
  <c r="T83" i="83"/>
  <c r="E591" i="111" a="1"/>
  <c r="K592" s="1"/>
  <c r="V592" s="1"/>
  <c r="I127" i="84" a="1"/>
  <c r="I127" s="1"/>
  <c r="E341" i="111" a="1"/>
  <c r="F346" s="1"/>
  <c r="Q346" s="1"/>
  <c r="I128" i="101" a="1"/>
  <c r="I128" s="1"/>
  <c r="I130" s="1"/>
  <c r="J130" s="1"/>
  <c r="I128" i="108" a="1"/>
  <c r="I128" s="1"/>
  <c r="I130" s="1"/>
  <c r="J130" s="1"/>
  <c r="P120" i="109"/>
  <c r="T83" i="97"/>
  <c r="H104" i="83"/>
  <c r="H42"/>
  <c r="O120" i="87"/>
  <c r="I128" i="67" a="1"/>
  <c r="I128" s="1"/>
  <c r="I130" s="1"/>
  <c r="J130" s="1"/>
  <c r="I129" i="84" a="1"/>
  <c r="I129" s="1"/>
  <c r="I128" i="93" a="1"/>
  <c r="I128" s="1"/>
  <c r="I130" s="1"/>
  <c r="J130" s="1"/>
  <c r="I128" i="94" a="1"/>
  <c r="I128" s="1"/>
  <c r="I130" s="1"/>
  <c r="J130" s="1"/>
  <c r="I128" i="95" a="1"/>
  <c r="I128" s="1"/>
  <c r="I130" s="1"/>
  <c r="J130" s="1"/>
  <c r="E927" i="111" a="1"/>
  <c r="G932" s="1"/>
  <c r="R932" s="1"/>
  <c r="I128" i="51" a="1"/>
  <c r="I128" s="1"/>
  <c r="I130" s="1"/>
  <c r="J130" s="1"/>
  <c r="I128" i="81" a="1"/>
  <c r="I128" s="1"/>
  <c r="I130" s="1"/>
  <c r="J130" s="1"/>
  <c r="I128" i="83" a="1"/>
  <c r="I128" s="1"/>
  <c r="I130" s="1"/>
  <c r="J130" s="1"/>
  <c r="H128" i="41" a="1"/>
  <c r="H128" s="1"/>
  <c r="H128" i="44" a="1"/>
  <c r="H128" s="1"/>
  <c r="H130" s="1"/>
  <c r="I86" i="49" a="1"/>
  <c r="I86" s="1"/>
  <c r="I98" s="1"/>
  <c r="O120" i="57"/>
  <c r="I128" i="69" a="1"/>
  <c r="I128" s="1"/>
  <c r="I130" s="1"/>
  <c r="J130" s="1"/>
  <c r="I128" i="72" a="1"/>
  <c r="I128" s="1"/>
  <c r="I130" s="1"/>
  <c r="J130" s="1"/>
  <c r="I128" i="82" a="1"/>
  <c r="I128" s="1"/>
  <c r="I130" s="1"/>
  <c r="J130" s="1"/>
  <c r="I123" i="84" a="1"/>
  <c r="I123" s="1"/>
  <c r="I122" a="1"/>
  <c r="I122" s="1"/>
  <c r="H128" i="127" a="1"/>
  <c r="H128" s="1"/>
  <c r="H130" s="1"/>
  <c r="E251" i="111" a="1"/>
  <c r="F256" s="1"/>
  <c r="Q256" s="1"/>
  <c r="E833" a="1"/>
  <c r="J837" s="1"/>
  <c r="U837" s="1"/>
  <c r="E942" a="1"/>
  <c r="E114" a="1"/>
  <c r="G119" s="1"/>
  <c r="R119" s="1"/>
  <c r="I128" i="47" a="1"/>
  <c r="I128" s="1"/>
  <c r="I130" s="1"/>
  <c r="J130" s="1"/>
  <c r="I126" i="84" a="1"/>
  <c r="I126" s="1"/>
  <c r="I124" a="1"/>
  <c r="I124" s="1"/>
  <c r="E623" i="111" a="1"/>
  <c r="I128" i="85" a="1"/>
  <c r="I128" s="1"/>
  <c r="I130" s="1"/>
  <c r="J130" s="1"/>
  <c r="I128" i="87" a="1"/>
  <c r="I128" s="1"/>
  <c r="I130" s="1"/>
  <c r="J130" s="1"/>
  <c r="H128" i="89" a="1"/>
  <c r="H128" s="1"/>
  <c r="H130" s="1"/>
  <c r="E39" i="111" a="1"/>
  <c r="G44" s="1"/>
  <c r="R44" s="1"/>
  <c r="I128" i="50" a="1"/>
  <c r="I128" s="1"/>
  <c r="I130" s="1"/>
  <c r="J130" s="1"/>
  <c r="I128" i="54" a="1"/>
  <c r="I128" s="1"/>
  <c r="I130" s="1"/>
  <c r="J130" s="1"/>
  <c r="S83" i="49"/>
  <c r="I87" a="1"/>
  <c r="I87" s="1"/>
  <c r="S83" i="80"/>
  <c r="H92" i="49" a="1"/>
  <c r="H92" s="1"/>
  <c r="H94" s="1"/>
  <c r="I87" i="44" a="1"/>
  <c r="I87" s="1"/>
  <c r="I90" a="1"/>
  <c r="I90" s="1"/>
  <c r="F105" i="85"/>
  <c r="I91" i="49" a="1"/>
  <c r="I91" s="1"/>
  <c r="I89" a="1"/>
  <c r="I89" s="1"/>
  <c r="I93" a="1"/>
  <c r="I93" s="1"/>
  <c r="I88" a="1"/>
  <c r="I88" s="1"/>
  <c r="I90" a="1"/>
  <c r="I90" s="1"/>
  <c r="I92" i="94" a="1"/>
  <c r="I92" s="1"/>
  <c r="I94" s="1"/>
  <c r="J94" s="1"/>
  <c r="I91" i="44" a="1"/>
  <c r="I91" s="1"/>
  <c r="I89" a="1"/>
  <c r="I89" s="1"/>
  <c r="I89" i="97" a="1"/>
  <c r="I89" s="1"/>
  <c r="S83" i="128"/>
  <c r="S83" i="43"/>
  <c r="I86" i="46" a="1"/>
  <c r="I86" s="1"/>
  <c r="I98" s="1"/>
  <c r="I90" i="47" a="1"/>
  <c r="I90" s="1"/>
  <c r="I90" i="97" a="1"/>
  <c r="I90" s="1"/>
  <c r="I90" i="46" a="1"/>
  <c r="I90" s="1"/>
  <c r="I88" i="47" a="1"/>
  <c r="I88" s="1"/>
  <c r="I88" i="85" a="1"/>
  <c r="I88" s="1"/>
  <c r="I88" i="97" a="1"/>
  <c r="I88" s="1"/>
  <c r="I91" a="1"/>
  <c r="I91" s="1"/>
  <c r="I86" a="1"/>
  <c r="I86" s="1"/>
  <c r="I98" s="1"/>
  <c r="I89" i="85" a="1"/>
  <c r="I89" s="1"/>
  <c r="I93" i="97" a="1"/>
  <c r="I93" s="1"/>
  <c r="I93" i="38" a="1"/>
  <c r="I93" s="1"/>
  <c r="T83" i="44"/>
  <c r="I88" a="1"/>
  <c r="I88" s="1"/>
  <c r="I86" i="75" a="1"/>
  <c r="I86" s="1"/>
  <c r="I98" s="1"/>
  <c r="I88" i="108" a="1"/>
  <c r="I88" s="1"/>
  <c r="I86" i="44" a="1"/>
  <c r="I86" s="1"/>
  <c r="I98" s="1"/>
  <c r="I93" a="1"/>
  <c r="I93" s="1"/>
  <c r="I89" i="108" a="1"/>
  <c r="I89" s="1"/>
  <c r="I88" i="75" a="1"/>
  <c r="I88" s="1"/>
  <c r="I86" i="85" a="1"/>
  <c r="I86" s="1"/>
  <c r="I98" s="1"/>
  <c r="I90" a="1"/>
  <c r="I90" s="1"/>
  <c r="I86" i="108" a="1"/>
  <c r="I86" s="1"/>
  <c r="I98" s="1"/>
  <c r="I90" a="1"/>
  <c r="I90" s="1"/>
  <c r="I89" i="38" a="1"/>
  <c r="I89" s="1"/>
  <c r="I88" i="46" a="1"/>
  <c r="I88" s="1"/>
  <c r="I91" a="1"/>
  <c r="I91" s="1"/>
  <c r="I87" i="47" a="1"/>
  <c r="I87" s="1"/>
  <c r="I89" a="1"/>
  <c r="I89" s="1"/>
  <c r="I92" i="56" a="1"/>
  <c r="I92" s="1"/>
  <c r="I94" s="1"/>
  <c r="J94" s="1"/>
  <c r="I89" i="75" a="1"/>
  <c r="I89" s="1"/>
  <c r="I91" i="85" a="1"/>
  <c r="I91" s="1"/>
  <c r="I87" a="1"/>
  <c r="I87" s="1"/>
  <c r="I90" i="100" a="1"/>
  <c r="I90" s="1"/>
  <c r="I91" i="108" a="1"/>
  <c r="I91" s="1"/>
  <c r="I87" a="1"/>
  <c r="I87" s="1"/>
  <c r="I89" i="128" a="1"/>
  <c r="I89" s="1"/>
  <c r="I88" i="38" a="1"/>
  <c r="I88" s="1"/>
  <c r="I89" i="46" a="1"/>
  <c r="I89" s="1"/>
  <c r="I93" a="1"/>
  <c r="I93" s="1"/>
  <c r="I91" i="47" a="1"/>
  <c r="I91" s="1"/>
  <c r="I86" a="1"/>
  <c r="I86" s="1"/>
  <c r="I98" s="1"/>
  <c r="I93" a="1"/>
  <c r="I93" s="1"/>
  <c r="D141" i="86"/>
  <c r="I91" i="100" a="1"/>
  <c r="I91" s="1"/>
  <c r="I88" i="128" a="1"/>
  <c r="I88" s="1"/>
  <c r="I88" i="59" a="1"/>
  <c r="I88" s="1"/>
  <c r="I93" i="75" a="1"/>
  <c r="I93" s="1"/>
  <c r="I89" i="109" a="1"/>
  <c r="I89" s="1"/>
  <c r="T83" i="128"/>
  <c r="I87" a="1"/>
  <c r="I87" s="1"/>
  <c r="I87" i="46" a="1"/>
  <c r="I87" s="1"/>
  <c r="I93" i="59" a="1"/>
  <c r="I93" s="1"/>
  <c r="I89" i="86" a="1"/>
  <c r="I89" s="1"/>
  <c r="I86" i="100" a="1"/>
  <c r="I86" s="1"/>
  <c r="I98" s="1"/>
  <c r="I93" i="109" a="1"/>
  <c r="I93" s="1"/>
  <c r="I91" i="38" a="1"/>
  <c r="I91" s="1"/>
  <c r="I87" a="1"/>
  <c r="I87" s="1"/>
  <c r="I86" i="59" a="1"/>
  <c r="I86" s="1"/>
  <c r="I98" s="1"/>
  <c r="I89" a="1"/>
  <c r="I89" s="1"/>
  <c r="I86" i="86" a="1"/>
  <c r="I86" s="1"/>
  <c r="I98" s="1"/>
  <c r="I91" i="75" a="1"/>
  <c r="I91" s="1"/>
  <c r="I87" a="1"/>
  <c r="I87" s="1"/>
  <c r="H92" a="1"/>
  <c r="H92" s="1"/>
  <c r="H94" s="1"/>
  <c r="I88" i="86" a="1"/>
  <c r="I88" s="1"/>
  <c r="I90" a="1"/>
  <c r="I90" s="1"/>
  <c r="H92" a="1"/>
  <c r="H92" s="1"/>
  <c r="H94" s="1"/>
  <c r="I88" i="100" a="1"/>
  <c r="I88" s="1"/>
  <c r="I87" a="1"/>
  <c r="I87" s="1"/>
  <c r="I86" i="128" a="1"/>
  <c r="I86" s="1"/>
  <c r="I98" s="1"/>
  <c r="I91" a="1"/>
  <c r="I91" s="1"/>
  <c r="I86" i="38" a="1"/>
  <c r="I86" s="1"/>
  <c r="I98" s="1"/>
  <c r="I90" a="1"/>
  <c r="I90" s="1"/>
  <c r="I91" i="59" a="1"/>
  <c r="I91" s="1"/>
  <c r="I87" a="1"/>
  <c r="I87" s="1"/>
  <c r="O120" i="58"/>
  <c r="D141" i="104"/>
  <c r="D133" i="63"/>
  <c r="O120" i="74"/>
  <c r="D141" i="38"/>
  <c r="D65" i="76"/>
  <c r="D54" i="104"/>
  <c r="D65" s="1"/>
  <c r="D59" i="76"/>
  <c r="D141"/>
  <c r="O120"/>
  <c r="D65" i="52"/>
  <c r="D54" i="63"/>
  <c r="D65" s="1"/>
  <c r="D59" i="52"/>
  <c r="D141" i="69"/>
  <c r="O120"/>
  <c r="D64" i="68"/>
  <c r="D59"/>
  <c r="D64" i="69"/>
  <c r="D59"/>
  <c r="D64" i="57"/>
  <c r="D59"/>
  <c r="E48" i="63"/>
  <c r="O120" i="40"/>
  <c r="D141" i="100"/>
  <c r="E48" i="104"/>
  <c r="L56" i="131"/>
  <c r="L54"/>
  <c r="L58" s="1"/>
  <c r="M187" i="105"/>
  <c r="M181" i="130"/>
  <c r="M187" s="1"/>
  <c r="M28" i="131" s="1"/>
  <c r="M133" i="105"/>
  <c r="M127" i="130"/>
  <c r="M133" s="1"/>
  <c r="M24" i="131" s="1"/>
  <c r="M493" i="105"/>
  <c r="M487" i="130"/>
  <c r="M493" s="1"/>
  <c r="M320" i="105"/>
  <c r="M314" i="130"/>
  <c r="M320" s="1"/>
  <c r="M255" i="105"/>
  <c r="M249" i="130"/>
  <c r="M255" s="1"/>
  <c r="M39" i="131" s="1"/>
  <c r="M531" i="105"/>
  <c r="M525" i="130"/>
  <c r="M531" s="1"/>
  <c r="M466" i="105"/>
  <c r="M460" i="130"/>
  <c r="M466" s="1"/>
  <c r="M59" i="105"/>
  <c r="M53" i="130"/>
  <c r="M59" s="1"/>
  <c r="M511" i="105"/>
  <c r="M505" i="130"/>
  <c r="M511" s="1"/>
  <c r="N403" i="105"/>
  <c r="B400" i="135"/>
  <c r="B304" i="130"/>
  <c r="B103" i="135"/>
  <c r="B79" i="130"/>
  <c r="N178" i="105"/>
  <c r="M124"/>
  <c r="M118" i="130"/>
  <c r="M124" s="1"/>
  <c r="M22" i="131" s="1"/>
  <c r="M448" i="105"/>
  <c r="M442" i="130"/>
  <c r="M448" s="1"/>
  <c r="M311" i="105"/>
  <c r="M305" i="130"/>
  <c r="M311" s="1"/>
  <c r="N169" i="105"/>
  <c r="N115"/>
  <c r="M484"/>
  <c r="M478" i="130"/>
  <c r="M484" s="1"/>
  <c r="M347" i="105"/>
  <c r="M341" i="130"/>
  <c r="M347" s="1"/>
  <c r="M205" i="105"/>
  <c r="M199" i="130"/>
  <c r="M205" s="1"/>
  <c r="M29" i="131" s="1"/>
  <c r="M605" i="105"/>
  <c r="M599" i="130"/>
  <c r="M605" s="1"/>
  <c r="M502" i="105"/>
  <c r="M496" i="130"/>
  <c r="M502" s="1"/>
  <c r="M142" i="105"/>
  <c r="M136" i="130"/>
  <c r="M142" s="1"/>
  <c r="M25" i="131" s="1"/>
  <c r="M549" i="105"/>
  <c r="M543" i="130"/>
  <c r="M549" s="1"/>
  <c r="N374" i="105"/>
  <c r="M274" i="130"/>
  <c r="M160" i="105"/>
  <c r="M154" i="130"/>
  <c r="M160" s="1"/>
  <c r="M33" i="131" s="1"/>
  <c r="N50" i="105"/>
  <c r="M475"/>
  <c r="M469" i="130"/>
  <c r="M475" s="1"/>
  <c r="M77" i="105"/>
  <c r="M71" i="130"/>
  <c r="M77" s="1"/>
  <c r="M16" i="131" s="1"/>
  <c r="N569" i="105"/>
  <c r="N484"/>
  <c r="C112" i="111"/>
  <c r="C91" i="135"/>
  <c r="O120" i="93"/>
  <c r="C484" i="111"/>
  <c r="C388" i="135"/>
  <c r="O120" i="71"/>
  <c r="O120" i="80"/>
  <c r="O120" i="53"/>
  <c r="O120" i="96"/>
  <c r="E152" i="104"/>
  <c r="F42"/>
  <c r="O120" i="101"/>
  <c r="F42" i="63"/>
  <c r="O120" i="49"/>
  <c r="J43" i="111"/>
  <c r="U43" s="1"/>
  <c r="G39"/>
  <c r="I40"/>
  <c r="T40" s="1"/>
  <c r="K39"/>
  <c r="H42"/>
  <c r="S42" s="1"/>
  <c r="F254"/>
  <c r="Q254" s="1"/>
  <c r="E256"/>
  <c r="E253"/>
  <c r="G254"/>
  <c r="R254" s="1"/>
  <c r="J251"/>
  <c r="U251" s="1"/>
  <c r="K947"/>
  <c r="V947" s="1"/>
  <c r="H947"/>
  <c r="S947" s="1"/>
  <c r="E947"/>
  <c r="K946"/>
  <c r="V946" s="1"/>
  <c r="H946"/>
  <c r="S946" s="1"/>
  <c r="E946"/>
  <c r="K945"/>
  <c r="V945" s="1"/>
  <c r="H945"/>
  <c r="S945" s="1"/>
  <c r="E945"/>
  <c r="K944"/>
  <c r="V944" s="1"/>
  <c r="H944"/>
  <c r="S944" s="1"/>
  <c r="E944"/>
  <c r="K943"/>
  <c r="V943" s="1"/>
  <c r="H943"/>
  <c r="S943" s="1"/>
  <c r="E943"/>
  <c r="K942"/>
  <c r="V942" s="1"/>
  <c r="J947"/>
  <c r="U947" s="1"/>
  <c r="F947"/>
  <c r="Q947" s="1"/>
  <c r="J946"/>
  <c r="U946" s="1"/>
  <c r="F946"/>
  <c r="Q946" s="1"/>
  <c r="J945"/>
  <c r="U945" s="1"/>
  <c r="F945"/>
  <c r="Q945" s="1"/>
  <c r="J944"/>
  <c r="U944" s="1"/>
  <c r="F944"/>
  <c r="Q944" s="1"/>
  <c r="J943"/>
  <c r="U943" s="1"/>
  <c r="F943"/>
  <c r="Q943" s="1"/>
  <c r="J942"/>
  <c r="U942" s="1"/>
  <c r="G942"/>
  <c r="R942" s="1"/>
  <c r="I947"/>
  <c r="T947" s="1"/>
  <c r="I946"/>
  <c r="T946" s="1"/>
  <c r="I945"/>
  <c r="T945" s="1"/>
  <c r="I944"/>
  <c r="T944" s="1"/>
  <c r="I943"/>
  <c r="T943" s="1"/>
  <c r="I942"/>
  <c r="T942" s="1"/>
  <c r="F942"/>
  <c r="Q942" s="1"/>
  <c r="G947"/>
  <c r="R947" s="1"/>
  <c r="G944"/>
  <c r="R944" s="1"/>
  <c r="G945"/>
  <c r="R945" s="1"/>
  <c r="H942"/>
  <c r="S942" s="1"/>
  <c r="G946"/>
  <c r="R946" s="1"/>
  <c r="E942"/>
  <c r="G943"/>
  <c r="R943" s="1"/>
  <c r="I342"/>
  <c r="T342" s="1"/>
  <c r="E345"/>
  <c r="E342"/>
  <c r="G341"/>
  <c r="R341" s="1"/>
  <c r="G837"/>
  <c r="R837" s="1"/>
  <c r="F834"/>
  <c r="Q834" s="1"/>
  <c r="E838"/>
  <c r="K833"/>
  <c r="V833" s="1"/>
  <c r="G114"/>
  <c r="R114" s="1"/>
  <c r="E117"/>
  <c r="B103" i="106"/>
  <c r="B127" i="111"/>
  <c r="P119" i="68"/>
  <c r="S83" i="72"/>
  <c r="P119" i="84"/>
  <c r="P119" i="87"/>
  <c r="P119" i="89"/>
  <c r="T83"/>
  <c r="E713" i="111" a="1"/>
  <c r="T83" i="95"/>
  <c r="E803" i="111" a="1"/>
  <c r="P119" i="108"/>
  <c r="P119" i="129"/>
  <c r="S83" i="32"/>
  <c r="J28" i="111"/>
  <c r="U28" s="1"/>
  <c r="G27"/>
  <c r="R27" s="1"/>
  <c r="J25"/>
  <c r="U25" s="1"/>
  <c r="G24"/>
  <c r="I28"/>
  <c r="T28" s="1"/>
  <c r="F27"/>
  <c r="Q27" s="1"/>
  <c r="I25"/>
  <c r="T25" s="1"/>
  <c r="F24"/>
  <c r="H27"/>
  <c r="S27" s="1"/>
  <c r="H24"/>
  <c r="K27"/>
  <c r="V27" s="1"/>
  <c r="K24"/>
  <c r="E27"/>
  <c r="E24"/>
  <c r="I166"/>
  <c r="T166" s="1"/>
  <c r="F165"/>
  <c r="Q165" s="1"/>
  <c r="I163"/>
  <c r="T163" s="1"/>
  <c r="F162"/>
  <c r="Q162" s="1"/>
  <c r="K166"/>
  <c r="V166" s="1"/>
  <c r="K165"/>
  <c r="V165" s="1"/>
  <c r="K164"/>
  <c r="V164" s="1"/>
  <c r="K163"/>
  <c r="V163" s="1"/>
  <c r="K162"/>
  <c r="V162" s="1"/>
  <c r="K161"/>
  <c r="G166"/>
  <c r="R166" s="1"/>
  <c r="G163"/>
  <c r="R163" s="1"/>
  <c r="J166"/>
  <c r="U166" s="1"/>
  <c r="J163"/>
  <c r="U163" s="1"/>
  <c r="T83" i="52"/>
  <c r="E236" i="111" a="1"/>
  <c r="T83" i="54"/>
  <c r="E266" i="111" a="1"/>
  <c r="P119" i="57"/>
  <c r="S83" i="58"/>
  <c r="K793" i="111"/>
  <c r="V793" s="1"/>
  <c r="H793"/>
  <c r="S793" s="1"/>
  <c r="E793"/>
  <c r="K792"/>
  <c r="V792" s="1"/>
  <c r="H792"/>
  <c r="S792" s="1"/>
  <c r="E792"/>
  <c r="K791"/>
  <c r="V791" s="1"/>
  <c r="H791"/>
  <c r="S791" s="1"/>
  <c r="E791"/>
  <c r="K790"/>
  <c r="V790" s="1"/>
  <c r="H790"/>
  <c r="S790" s="1"/>
  <c r="E790"/>
  <c r="K789"/>
  <c r="V789" s="1"/>
  <c r="H789"/>
  <c r="S789" s="1"/>
  <c r="E789"/>
  <c r="K788"/>
  <c r="V788" s="1"/>
  <c r="H788"/>
  <c r="S788" s="1"/>
  <c r="E788"/>
  <c r="J793"/>
  <c r="U793" s="1"/>
  <c r="G793"/>
  <c r="R793" s="1"/>
  <c r="J792"/>
  <c r="U792" s="1"/>
  <c r="G792"/>
  <c r="R792" s="1"/>
  <c r="J791"/>
  <c r="U791" s="1"/>
  <c r="G791"/>
  <c r="R791" s="1"/>
  <c r="J790"/>
  <c r="U790" s="1"/>
  <c r="G790"/>
  <c r="R790" s="1"/>
  <c r="J789"/>
  <c r="U789" s="1"/>
  <c r="G789"/>
  <c r="R789" s="1"/>
  <c r="J788"/>
  <c r="U788" s="1"/>
  <c r="G788"/>
  <c r="R788" s="1"/>
  <c r="I793"/>
  <c r="T793" s="1"/>
  <c r="I792"/>
  <c r="T792" s="1"/>
  <c r="I791"/>
  <c r="T791" s="1"/>
  <c r="I790"/>
  <c r="T790" s="1"/>
  <c r="I789"/>
  <c r="T789" s="1"/>
  <c r="I788"/>
  <c r="T788" s="1"/>
  <c r="F792"/>
  <c r="Q792" s="1"/>
  <c r="F789"/>
  <c r="Q789" s="1"/>
  <c r="F793"/>
  <c r="Q793" s="1"/>
  <c r="F790"/>
  <c r="Q790" s="1"/>
  <c r="F788"/>
  <c r="Q788" s="1"/>
  <c r="F791"/>
  <c r="Q791" s="1"/>
  <c r="E129" a="1"/>
  <c r="E311" a="1"/>
  <c r="B400" i="106"/>
  <c r="B499" i="111"/>
  <c r="T83" i="69"/>
  <c r="E407" i="111" a="1"/>
  <c r="P119" i="69"/>
  <c r="K628" i="111"/>
  <c r="V628" s="1"/>
  <c r="H628"/>
  <c r="S628" s="1"/>
  <c r="E628"/>
  <c r="K627"/>
  <c r="V627" s="1"/>
  <c r="H627"/>
  <c r="S627" s="1"/>
  <c r="E627"/>
  <c r="K626"/>
  <c r="V626" s="1"/>
  <c r="H626"/>
  <c r="S626" s="1"/>
  <c r="E626"/>
  <c r="K625"/>
  <c r="V625" s="1"/>
  <c r="H625"/>
  <c r="S625" s="1"/>
  <c r="E625"/>
  <c r="K624"/>
  <c r="V624" s="1"/>
  <c r="H624"/>
  <c r="S624" s="1"/>
  <c r="E624"/>
  <c r="K623"/>
  <c r="H623"/>
  <c r="E623"/>
  <c r="J628"/>
  <c r="U628" s="1"/>
  <c r="G628"/>
  <c r="R628" s="1"/>
  <c r="J627"/>
  <c r="U627" s="1"/>
  <c r="G627"/>
  <c r="R627" s="1"/>
  <c r="J626"/>
  <c r="U626" s="1"/>
  <c r="G626"/>
  <c r="R626" s="1"/>
  <c r="J625"/>
  <c r="U625" s="1"/>
  <c r="G625"/>
  <c r="R625" s="1"/>
  <c r="J624"/>
  <c r="U624" s="1"/>
  <c r="G624"/>
  <c r="R624" s="1"/>
  <c r="J623"/>
  <c r="G623"/>
  <c r="I628"/>
  <c r="T628" s="1"/>
  <c r="I627"/>
  <c r="T627" s="1"/>
  <c r="I626"/>
  <c r="T626" s="1"/>
  <c r="I625"/>
  <c r="T625" s="1"/>
  <c r="I624"/>
  <c r="T624" s="1"/>
  <c r="I623"/>
  <c r="F628"/>
  <c r="Q628" s="1"/>
  <c r="F627"/>
  <c r="Q627" s="1"/>
  <c r="F626"/>
  <c r="Q626" s="1"/>
  <c r="F625"/>
  <c r="Q625" s="1"/>
  <c r="F624"/>
  <c r="Q624" s="1"/>
  <c r="F623"/>
  <c r="P119" i="94"/>
  <c r="P119" i="39"/>
  <c r="T83" i="41"/>
  <c r="E69" i="111" a="1"/>
  <c r="P119" i="41"/>
  <c r="G149" i="111"/>
  <c r="R149" s="1"/>
  <c r="J147"/>
  <c r="U147" s="1"/>
  <c r="G146"/>
  <c r="R146" s="1"/>
  <c r="J144"/>
  <c r="U144" s="1"/>
  <c r="F149"/>
  <c r="Q149" s="1"/>
  <c r="I147"/>
  <c r="T147" s="1"/>
  <c r="F146"/>
  <c r="Q146" s="1"/>
  <c r="I144"/>
  <c r="T144" s="1"/>
  <c r="E148"/>
  <c r="E145"/>
  <c r="H148"/>
  <c r="S148" s="1"/>
  <c r="H145"/>
  <c r="S145" s="1"/>
  <c r="K148"/>
  <c r="V148" s="1"/>
  <c r="K145"/>
  <c r="V145" s="1"/>
  <c r="T83" i="48"/>
  <c r="E176" i="111" a="1"/>
  <c r="T83" i="51"/>
  <c r="E221" i="111" a="1"/>
  <c r="T83" i="55"/>
  <c r="E281" i="111" a="1"/>
  <c r="I301"/>
  <c r="T301" s="1"/>
  <c r="F301"/>
  <c r="Q301" s="1"/>
  <c r="I300"/>
  <c r="T300" s="1"/>
  <c r="F300"/>
  <c r="Q300" s="1"/>
  <c r="I299"/>
  <c r="T299" s="1"/>
  <c r="F299"/>
  <c r="Q299" s="1"/>
  <c r="I298"/>
  <c r="T298" s="1"/>
  <c r="F298"/>
  <c r="Q298" s="1"/>
  <c r="I297"/>
  <c r="T297" s="1"/>
  <c r="F297"/>
  <c r="Q297" s="1"/>
  <c r="I296"/>
  <c r="T296" s="1"/>
  <c r="F296"/>
  <c r="Q296" s="1"/>
  <c r="K301"/>
  <c r="V301" s="1"/>
  <c r="H301"/>
  <c r="S301" s="1"/>
  <c r="E301"/>
  <c r="K300"/>
  <c r="V300" s="1"/>
  <c r="H300"/>
  <c r="S300" s="1"/>
  <c r="E300"/>
  <c r="K299"/>
  <c r="V299" s="1"/>
  <c r="H299"/>
  <c r="S299" s="1"/>
  <c r="E299"/>
  <c r="K298"/>
  <c r="V298" s="1"/>
  <c r="H298"/>
  <c r="S298" s="1"/>
  <c r="E298"/>
  <c r="K297"/>
  <c r="V297" s="1"/>
  <c r="H297"/>
  <c r="S297" s="1"/>
  <c r="E297"/>
  <c r="K296"/>
  <c r="V296" s="1"/>
  <c r="H296"/>
  <c r="S296" s="1"/>
  <c r="E296"/>
  <c r="G301"/>
  <c r="R301" s="1"/>
  <c r="G300"/>
  <c r="R300" s="1"/>
  <c r="G299"/>
  <c r="R299" s="1"/>
  <c r="G298"/>
  <c r="R298" s="1"/>
  <c r="G297"/>
  <c r="R297" s="1"/>
  <c r="G296"/>
  <c r="R296" s="1"/>
  <c r="J301"/>
  <c r="U301" s="1"/>
  <c r="J300"/>
  <c r="U300" s="1"/>
  <c r="J299"/>
  <c r="U299" s="1"/>
  <c r="J298"/>
  <c r="U298" s="1"/>
  <c r="J297"/>
  <c r="U297" s="1"/>
  <c r="J296"/>
  <c r="U296" s="1"/>
  <c r="E638" a="1"/>
  <c r="E987" a="1"/>
  <c r="E516" a="1"/>
  <c r="E392" a="1"/>
  <c r="P119" i="76"/>
  <c r="P119" i="81"/>
  <c r="P119" i="83"/>
  <c r="T83" i="87"/>
  <c r="E653" i="111" a="1"/>
  <c r="T83" i="88"/>
  <c r="E668" i="111" a="1"/>
  <c r="P119" i="92"/>
  <c r="P119" i="95"/>
  <c r="P119" i="99"/>
  <c r="J884" i="111"/>
  <c r="U884" s="1"/>
  <c r="G883"/>
  <c r="R883" s="1"/>
  <c r="J881"/>
  <c r="U881" s="1"/>
  <c r="G880"/>
  <c r="R880" s="1"/>
  <c r="I884"/>
  <c r="T884" s="1"/>
  <c r="F883"/>
  <c r="Q883" s="1"/>
  <c r="I881"/>
  <c r="T881" s="1"/>
  <c r="F880"/>
  <c r="Q880" s="1"/>
  <c r="E883"/>
  <c r="E880"/>
  <c r="K883"/>
  <c r="V883" s="1"/>
  <c r="K880"/>
  <c r="V880" s="1"/>
  <c r="H885"/>
  <c r="S885" s="1"/>
  <c r="H881"/>
  <c r="S881" s="1"/>
  <c r="J931"/>
  <c r="U931" s="1"/>
  <c r="G930"/>
  <c r="R930" s="1"/>
  <c r="J928"/>
  <c r="U928" s="1"/>
  <c r="G927"/>
  <c r="R927" s="1"/>
  <c r="I931"/>
  <c r="T931" s="1"/>
  <c r="F930"/>
  <c r="Q930" s="1"/>
  <c r="I928"/>
  <c r="T928" s="1"/>
  <c r="F927"/>
  <c r="Q927" s="1"/>
  <c r="H930"/>
  <c r="S930" s="1"/>
  <c r="H927"/>
  <c r="S927" s="1"/>
  <c r="E930"/>
  <c r="E927"/>
  <c r="K930"/>
  <c r="V930" s="1"/>
  <c r="K929"/>
  <c r="V929" s="1"/>
  <c r="P119" i="43"/>
  <c r="P119" i="48"/>
  <c r="P119" i="51"/>
  <c r="P119" i="52"/>
  <c r="P119" i="54"/>
  <c r="P119" i="55"/>
  <c r="P119" i="56"/>
  <c r="E501" i="111" a="1"/>
  <c r="E576" a="1"/>
  <c r="E895" a="1"/>
  <c r="E957" a="1"/>
  <c r="E972" a="1"/>
  <c r="E206" a="1"/>
  <c r="E728" a="1"/>
  <c r="C70" i="105"/>
  <c r="C91" i="106"/>
  <c r="C295" i="105"/>
  <c r="C388" i="106"/>
  <c r="C59" i="104"/>
  <c r="C142" s="1"/>
  <c r="C64"/>
  <c r="C70" s="1"/>
  <c r="C89" s="1"/>
  <c r="P232" i="105"/>
  <c r="P234"/>
  <c r="D53" i="104"/>
  <c r="S83" i="59"/>
  <c r="C64" i="63"/>
  <c r="C70" s="1"/>
  <c r="C88" s="1"/>
  <c r="P235" i="105"/>
  <c r="P233"/>
  <c r="P236"/>
  <c r="P13"/>
  <c r="P11"/>
  <c r="C134" i="63"/>
  <c r="D53"/>
  <c r="D141" i="58"/>
  <c r="Q84" i="60"/>
  <c r="P12" i="105"/>
  <c r="P9"/>
  <c r="T83" i="59"/>
  <c r="C300" i="7"/>
  <c r="C304" i="130" s="1"/>
  <c r="B304" i="105"/>
  <c r="C70" i="67"/>
  <c r="M231" i="105"/>
  <c r="M231" i="130" s="1"/>
  <c r="C70" i="70"/>
  <c r="C208" s="1"/>
  <c r="M258" i="105"/>
  <c r="C70" i="72"/>
  <c r="C208" s="1"/>
  <c r="M277" i="105"/>
  <c r="C70" i="73"/>
  <c r="C208" s="1"/>
  <c r="M287" i="105"/>
  <c r="M287" i="130" s="1"/>
  <c r="C70" i="91"/>
  <c r="C208" s="1"/>
  <c r="M451" i="105"/>
  <c r="D70" i="92"/>
  <c r="D208" s="1"/>
  <c r="N460" i="105"/>
  <c r="C70" i="98"/>
  <c r="C208" s="1"/>
  <c r="M516" i="105"/>
  <c r="M516" i="130" s="1"/>
  <c r="C70" i="127"/>
  <c r="C208" s="1"/>
  <c r="M581" i="105"/>
  <c r="C70" i="128"/>
  <c r="C208" s="1"/>
  <c r="M590" i="105"/>
  <c r="D70" i="128"/>
  <c r="D208" s="1"/>
  <c r="N590" i="105"/>
  <c r="D70" i="129"/>
  <c r="D208" s="1"/>
  <c r="N599" i="105"/>
  <c r="C70" i="38"/>
  <c r="C208" s="1"/>
  <c r="M17" i="105"/>
  <c r="D70" i="39"/>
  <c r="D208" s="1"/>
  <c r="N26" i="105"/>
  <c r="C70" i="52"/>
  <c r="C208" s="1"/>
  <c r="M145" i="105"/>
  <c r="D70" i="56"/>
  <c r="D208" s="1"/>
  <c r="N181" i="105"/>
  <c r="C70" i="57"/>
  <c r="C208" s="1"/>
  <c r="M190" i="105"/>
  <c r="M274"/>
  <c r="C70" i="77"/>
  <c r="C208" s="1"/>
  <c r="M323" i="105"/>
  <c r="C70" i="82"/>
  <c r="C208" s="1"/>
  <c r="M350" i="105"/>
  <c r="C70" i="83"/>
  <c r="C208" s="1"/>
  <c r="M359" i="105"/>
  <c r="D70" i="83"/>
  <c r="D208" s="1"/>
  <c r="N359" i="105"/>
  <c r="C70" i="86"/>
  <c r="C208" s="1"/>
  <c r="M388" i="105"/>
  <c r="C70" i="87"/>
  <c r="C208" s="1"/>
  <c r="M397" i="105"/>
  <c r="C70" i="88"/>
  <c r="C208" s="1"/>
  <c r="M406" i="105"/>
  <c r="C70" i="79"/>
  <c r="C208" s="1"/>
  <c r="M415" i="105"/>
  <c r="C70" i="89"/>
  <c r="C208" s="1"/>
  <c r="M433" i="105"/>
  <c r="D70" i="99"/>
  <c r="D208" s="1"/>
  <c r="N525" i="105"/>
  <c r="C70" i="100"/>
  <c r="C208" s="1"/>
  <c r="M534" i="105"/>
  <c r="C70" i="108"/>
  <c r="C208" s="1"/>
  <c r="M563" i="105"/>
  <c r="C70" i="109"/>
  <c r="C208" s="1"/>
  <c r="M572" i="105"/>
  <c r="C70" i="41"/>
  <c r="C208" s="1"/>
  <c r="M44" i="105"/>
  <c r="C70" i="45"/>
  <c r="C208" s="1"/>
  <c r="M80" i="105"/>
  <c r="D70" i="51"/>
  <c r="D208" s="1"/>
  <c r="N136" i="105"/>
  <c r="C70" i="55"/>
  <c r="C208" s="1"/>
  <c r="M172" i="105"/>
  <c r="C70" i="60"/>
  <c r="C208" s="1"/>
  <c r="M217" i="105"/>
  <c r="C79" i="7"/>
  <c r="C79" i="130" s="1"/>
  <c r="B79" i="105"/>
  <c r="C70" i="68"/>
  <c r="C208" s="1"/>
  <c r="M240" i="105"/>
  <c r="D70" i="81"/>
  <c r="D208" s="1"/>
  <c r="N341" i="105"/>
  <c r="C70" i="85"/>
  <c r="C208" s="1"/>
  <c r="M379" i="105"/>
  <c r="M379" i="130" s="1"/>
  <c r="D70" i="89"/>
  <c r="D208" s="1"/>
  <c r="N433" i="105"/>
  <c r="D70" i="95"/>
  <c r="D208" s="1"/>
  <c r="N487" i="105"/>
  <c r="C70" i="102"/>
  <c r="C208" s="1"/>
  <c r="M554" i="105"/>
  <c r="M554" i="130" s="1"/>
  <c r="C70" i="32"/>
  <c r="M8" i="105"/>
  <c r="M8" i="130" s="1"/>
  <c r="C70" i="39"/>
  <c r="C208" s="1"/>
  <c r="M26" i="105"/>
  <c r="C70" i="43"/>
  <c r="C208" s="1"/>
  <c r="M62" i="105"/>
  <c r="C70" i="47"/>
  <c r="C208" s="1"/>
  <c r="M100" i="105"/>
  <c r="M100" i="130" s="1"/>
  <c r="C70" i="48"/>
  <c r="C208" s="1"/>
  <c r="M109" i="105"/>
  <c r="C70" i="54"/>
  <c r="C208" s="1"/>
  <c r="M163" i="105"/>
  <c r="C70" i="59"/>
  <c r="C208" s="1"/>
  <c r="M208" i="105"/>
  <c r="D59" i="60"/>
  <c r="D64"/>
  <c r="H92" a="1"/>
  <c r="H92" s="1"/>
  <c r="H94" s="1"/>
  <c r="S83"/>
  <c r="E140"/>
  <c r="E141" s="1"/>
  <c r="E53"/>
  <c r="E207"/>
  <c r="G104"/>
  <c r="G42"/>
  <c r="L168"/>
  <c r="I168"/>
  <c r="F168"/>
  <c r="C168"/>
  <c r="M168"/>
  <c r="G168"/>
  <c r="D168"/>
  <c r="A168"/>
  <c r="J169"/>
  <c r="K168"/>
  <c r="H168"/>
  <c r="E168"/>
  <c r="B168"/>
  <c r="I127" a="1"/>
  <c r="I127" s="1"/>
  <c r="I124" a="1"/>
  <c r="I124" s="1"/>
  <c r="I129" a="1"/>
  <c r="I129" s="1"/>
  <c r="I126" a="1"/>
  <c r="I126" s="1"/>
  <c r="I123" a="1"/>
  <c r="I123" s="1"/>
  <c r="I125" a="1"/>
  <c r="I125" s="1"/>
  <c r="I122" a="1"/>
  <c r="I122" s="1"/>
  <c r="F48"/>
  <c r="I93" a="1"/>
  <c r="I93" s="1"/>
  <c r="I90" a="1"/>
  <c r="I90" s="1"/>
  <c r="I87" a="1"/>
  <c r="I87" s="1"/>
  <c r="I89" a="1"/>
  <c r="I89" s="1"/>
  <c r="I86" a="1"/>
  <c r="I86" s="1"/>
  <c r="I98" s="1"/>
  <c r="I91" a="1"/>
  <c r="I91" s="1"/>
  <c r="I88" a="1"/>
  <c r="I88" s="1"/>
  <c r="T83"/>
  <c r="H128" a="1"/>
  <c r="H128" s="1"/>
  <c r="H130" s="1"/>
  <c r="G48" i="59"/>
  <c r="L168"/>
  <c r="I168"/>
  <c r="F168"/>
  <c r="C168"/>
  <c r="M168"/>
  <c r="G168"/>
  <c r="D168"/>
  <c r="A168"/>
  <c r="J169"/>
  <c r="K168"/>
  <c r="H168"/>
  <c r="E168"/>
  <c r="B168"/>
  <c r="E140"/>
  <c r="E141" s="1"/>
  <c r="E53"/>
  <c r="I90" a="1"/>
  <c r="I90" s="1"/>
  <c r="I128" a="1"/>
  <c r="I128" s="1"/>
  <c r="I130" s="1"/>
  <c r="J130" s="1"/>
  <c r="F53"/>
  <c r="F140"/>
  <c r="D59"/>
  <c r="D64"/>
  <c r="E207"/>
  <c r="F207"/>
  <c r="H92" a="1"/>
  <c r="H92" s="1"/>
  <c r="H94" s="1"/>
  <c r="M167" i="58"/>
  <c r="G167"/>
  <c r="D167"/>
  <c r="A167"/>
  <c r="J168"/>
  <c r="I167"/>
  <c r="E167"/>
  <c r="K167"/>
  <c r="F167"/>
  <c r="B167"/>
  <c r="C167"/>
  <c r="H167"/>
  <c r="L167"/>
  <c r="D59"/>
  <c r="D64"/>
  <c r="F53"/>
  <c r="F140"/>
  <c r="G104"/>
  <c r="G42"/>
  <c r="E140"/>
  <c r="P120" s="1"/>
  <c r="E53"/>
  <c r="E207"/>
  <c r="H92" a="1"/>
  <c r="H92" s="1"/>
  <c r="H94" s="1"/>
  <c r="F207"/>
  <c r="I93" a="1"/>
  <c r="I93" s="1"/>
  <c r="I90" a="1"/>
  <c r="I90" s="1"/>
  <c r="I87" a="1"/>
  <c r="I87" s="1"/>
  <c r="I89" a="1"/>
  <c r="I89" s="1"/>
  <c r="I88" a="1"/>
  <c r="I88" s="1"/>
  <c r="I91" a="1"/>
  <c r="I91" s="1"/>
  <c r="I86" a="1"/>
  <c r="I86" s="1"/>
  <c r="I98" s="1"/>
  <c r="T83"/>
  <c r="D141" i="96"/>
  <c r="I128" i="58" a="1"/>
  <c r="I128" s="1"/>
  <c r="I130" s="1"/>
  <c r="J130" s="1"/>
  <c r="I127" i="57" a="1"/>
  <c r="I127" s="1"/>
  <c r="I124" a="1"/>
  <c r="I124" s="1"/>
  <c r="I129" a="1"/>
  <c r="I129" s="1"/>
  <c r="I126" a="1"/>
  <c r="I126" s="1"/>
  <c r="I123" a="1"/>
  <c r="I123" s="1"/>
  <c r="I125" a="1"/>
  <c r="I125" s="1"/>
  <c r="I122" a="1"/>
  <c r="I122" s="1"/>
  <c r="H104"/>
  <c r="H42"/>
  <c r="E140"/>
  <c r="E141" s="1"/>
  <c r="E53"/>
  <c r="G48"/>
  <c r="F140"/>
  <c r="F141" s="1"/>
  <c r="F53"/>
  <c r="F207"/>
  <c r="L168"/>
  <c r="I168"/>
  <c r="F168"/>
  <c r="C168"/>
  <c r="M168"/>
  <c r="G168"/>
  <c r="D168"/>
  <c r="A168"/>
  <c r="J169"/>
  <c r="K168"/>
  <c r="H168"/>
  <c r="E168"/>
  <c r="B168"/>
  <c r="E207"/>
  <c r="D141" i="53"/>
  <c r="H128" i="57" a="1"/>
  <c r="H128" s="1"/>
  <c r="H130" s="1"/>
  <c r="I42" i="56"/>
  <c r="G140"/>
  <c r="G141" s="1"/>
  <c r="G53"/>
  <c r="G207"/>
  <c r="E207"/>
  <c r="H104"/>
  <c r="H42"/>
  <c r="F207"/>
  <c r="I127" a="1"/>
  <c r="I127" s="1"/>
  <c r="I124" a="1"/>
  <c r="I124" s="1"/>
  <c r="I129" a="1"/>
  <c r="I129" s="1"/>
  <c r="I126" a="1"/>
  <c r="I126" s="1"/>
  <c r="I123" a="1"/>
  <c r="I123" s="1"/>
  <c r="I125" a="1"/>
  <c r="I125" s="1"/>
  <c r="I122" a="1"/>
  <c r="I122" s="1"/>
  <c r="H128" a="1"/>
  <c r="H128" s="1"/>
  <c r="H130" s="1"/>
  <c r="L168"/>
  <c r="I168"/>
  <c r="F168"/>
  <c r="C168"/>
  <c r="M168"/>
  <c r="G168"/>
  <c r="D168"/>
  <c r="A168"/>
  <c r="J169"/>
  <c r="K168"/>
  <c r="H168"/>
  <c r="E168"/>
  <c r="B168"/>
  <c r="E140"/>
  <c r="E53"/>
  <c r="F140"/>
  <c r="F141" s="1"/>
  <c r="F53"/>
  <c r="G53" i="55"/>
  <c r="E140"/>
  <c r="E141" s="1"/>
  <c r="E53"/>
  <c r="H104"/>
  <c r="H42"/>
  <c r="E207"/>
  <c r="I128" a="1"/>
  <c r="I128" s="1"/>
  <c r="I130" s="1"/>
  <c r="J130" s="1"/>
  <c r="F140"/>
  <c r="Q120" s="1"/>
  <c r="F53"/>
  <c r="F207"/>
  <c r="L168"/>
  <c r="I168"/>
  <c r="F168"/>
  <c r="C168"/>
  <c r="M168"/>
  <c r="G168"/>
  <c r="D168"/>
  <c r="A168"/>
  <c r="J169"/>
  <c r="K168"/>
  <c r="H168"/>
  <c r="E168"/>
  <c r="B168"/>
  <c r="L168" i="54"/>
  <c r="I168"/>
  <c r="F168"/>
  <c r="C168"/>
  <c r="M168"/>
  <c r="G168"/>
  <c r="D168"/>
  <c r="A168"/>
  <c r="J169"/>
  <c r="K168"/>
  <c r="H168"/>
  <c r="E168"/>
  <c r="B168"/>
  <c r="E207"/>
  <c r="F207"/>
  <c r="O120" i="47"/>
  <c r="S83" i="53"/>
  <c r="G48" i="54"/>
  <c r="H104"/>
  <c r="H42"/>
  <c r="E140"/>
  <c r="E141" s="1"/>
  <c r="E53"/>
  <c r="F140"/>
  <c r="F141" s="1"/>
  <c r="F53"/>
  <c r="E207" i="53"/>
  <c r="F207"/>
  <c r="Q84" i="50"/>
  <c r="I87" i="53" a="1"/>
  <c r="I87" s="1"/>
  <c r="I90" a="1"/>
  <c r="I90" s="1"/>
  <c r="I89" a="1"/>
  <c r="I89" s="1"/>
  <c r="H92" a="1"/>
  <c r="H92" s="1"/>
  <c r="H94" s="1"/>
  <c r="F140"/>
  <c r="F141" s="1"/>
  <c r="F53"/>
  <c r="G104"/>
  <c r="G105" s="1"/>
  <c r="G42"/>
  <c r="D59"/>
  <c r="D64"/>
  <c r="J168"/>
  <c r="K167"/>
  <c r="H167"/>
  <c r="E167"/>
  <c r="B167"/>
  <c r="L167"/>
  <c r="G167"/>
  <c r="C167"/>
  <c r="M167"/>
  <c r="I167"/>
  <c r="D167"/>
  <c r="A167"/>
  <c r="F167"/>
  <c r="E140"/>
  <c r="E141" s="1"/>
  <c r="E53"/>
  <c r="I88" a="1"/>
  <c r="I88" s="1"/>
  <c r="I91" a="1"/>
  <c r="I91" s="1"/>
  <c r="T83"/>
  <c r="I93" a="1"/>
  <c r="I93" s="1"/>
  <c r="I86" a="1"/>
  <c r="I86" s="1"/>
  <c r="I98" s="1"/>
  <c r="I127" i="52" a="1"/>
  <c r="I127" s="1"/>
  <c r="I124" a="1"/>
  <c r="I124" s="1"/>
  <c r="I129" a="1"/>
  <c r="I129" s="1"/>
  <c r="I126" a="1"/>
  <c r="I126" s="1"/>
  <c r="I123" a="1"/>
  <c r="I123" s="1"/>
  <c r="I125" a="1"/>
  <c r="I125" s="1"/>
  <c r="I122" a="1"/>
  <c r="I122" s="1"/>
  <c r="H128" a="1"/>
  <c r="H128" s="1"/>
  <c r="H130" s="1"/>
  <c r="M167"/>
  <c r="G167"/>
  <c r="D167"/>
  <c r="A167"/>
  <c r="J168"/>
  <c r="K167"/>
  <c r="H167"/>
  <c r="E167"/>
  <c r="B167"/>
  <c r="L167"/>
  <c r="I167"/>
  <c r="F167"/>
  <c r="C167"/>
  <c r="E141"/>
  <c r="E207"/>
  <c r="H104"/>
  <c r="H42"/>
  <c r="O120" i="46"/>
  <c r="S83" i="50"/>
  <c r="E140" i="52"/>
  <c r="E53"/>
  <c r="G53"/>
  <c r="F140"/>
  <c r="Q120" s="1"/>
  <c r="F53"/>
  <c r="F207"/>
  <c r="F141"/>
  <c r="E140" i="51"/>
  <c r="E53"/>
  <c r="E207"/>
  <c r="G207"/>
  <c r="F53"/>
  <c r="F140"/>
  <c r="F141" s="1"/>
  <c r="D141" i="43"/>
  <c r="H104" i="51"/>
  <c r="H42"/>
  <c r="F207"/>
  <c r="M167"/>
  <c r="G167"/>
  <c r="D167"/>
  <c r="A167"/>
  <c r="J168"/>
  <c r="I167"/>
  <c r="E167"/>
  <c r="K167"/>
  <c r="F167"/>
  <c r="B167"/>
  <c r="C167"/>
  <c r="H167"/>
  <c r="L167"/>
  <c r="G140"/>
  <c r="G141" s="1"/>
  <c r="G53"/>
  <c r="H92" i="50" a="1"/>
  <c r="H92" s="1"/>
  <c r="H94" s="1"/>
  <c r="D59"/>
  <c r="D64"/>
  <c r="I88" a="1"/>
  <c r="I88" s="1"/>
  <c r="I89" a="1"/>
  <c r="I89" s="1"/>
  <c r="I93" a="1"/>
  <c r="I93" s="1"/>
  <c r="F48"/>
  <c r="G104"/>
  <c r="G42"/>
  <c r="T83"/>
  <c r="I86" a="1"/>
  <c r="I86" s="1"/>
  <c r="I98" s="1"/>
  <c r="I90" a="1"/>
  <c r="I90" s="1"/>
  <c r="E140"/>
  <c r="P120" s="1"/>
  <c r="E53"/>
  <c r="E207"/>
  <c r="L168"/>
  <c r="I168"/>
  <c r="F168"/>
  <c r="C168"/>
  <c r="M168"/>
  <c r="G168"/>
  <c r="D168"/>
  <c r="A168"/>
  <c r="J169"/>
  <c r="K168"/>
  <c r="H168"/>
  <c r="E168"/>
  <c r="B168"/>
  <c r="O120"/>
  <c r="I91" a="1"/>
  <c r="I91" s="1"/>
  <c r="I87" a="1"/>
  <c r="I87" s="1"/>
  <c r="E207" i="49"/>
  <c r="F53"/>
  <c r="F140"/>
  <c r="M167"/>
  <c r="G167"/>
  <c r="D167"/>
  <c r="A167"/>
  <c r="L167"/>
  <c r="I167"/>
  <c r="F167"/>
  <c r="C167"/>
  <c r="J168"/>
  <c r="E167"/>
  <c r="H167"/>
  <c r="K167"/>
  <c r="B167"/>
  <c r="I128" a="1"/>
  <c r="I128" s="1"/>
  <c r="I130" s="1"/>
  <c r="J130" s="1"/>
  <c r="F207"/>
  <c r="S83" i="45"/>
  <c r="E140" i="49"/>
  <c r="P120" s="1"/>
  <c r="E53"/>
  <c r="H42"/>
  <c r="G48"/>
  <c r="D59"/>
  <c r="D64"/>
  <c r="F140" i="48"/>
  <c r="Q120" s="1"/>
  <c r="F53"/>
  <c r="G53"/>
  <c r="E140"/>
  <c r="E53"/>
  <c r="H104"/>
  <c r="H42"/>
  <c r="T83" i="46"/>
  <c r="M167" i="48"/>
  <c r="G167"/>
  <c r="D167"/>
  <c r="A167"/>
  <c r="J168"/>
  <c r="K167"/>
  <c r="H167"/>
  <c r="E167"/>
  <c r="B167"/>
  <c r="I167"/>
  <c r="L167"/>
  <c r="C167"/>
  <c r="F167"/>
  <c r="T83" i="47"/>
  <c r="I128" i="48" a="1"/>
  <c r="I128" s="1"/>
  <c r="I130" s="1"/>
  <c r="J130" s="1"/>
  <c r="L168" i="47"/>
  <c r="I168"/>
  <c r="F168"/>
  <c r="C168"/>
  <c r="M168"/>
  <c r="G168"/>
  <c r="D168"/>
  <c r="A168"/>
  <c r="J169"/>
  <c r="K168"/>
  <c r="H168"/>
  <c r="E168"/>
  <c r="B168"/>
  <c r="F48"/>
  <c r="E207"/>
  <c r="H92" a="1"/>
  <c r="H92" s="1"/>
  <c r="H94" s="1"/>
  <c r="D59"/>
  <c r="D64"/>
  <c r="G104"/>
  <c r="G42"/>
  <c r="E140"/>
  <c r="P120" s="1"/>
  <c r="E53"/>
  <c r="Q84"/>
  <c r="S83"/>
  <c r="M167" i="46"/>
  <c r="G167"/>
  <c r="D167"/>
  <c r="A167"/>
  <c r="L167"/>
  <c r="I167"/>
  <c r="F167"/>
  <c r="C167"/>
  <c r="J168"/>
  <c r="E167"/>
  <c r="H167"/>
  <c r="K167"/>
  <c r="B167"/>
  <c r="I127" a="1"/>
  <c r="I127" s="1"/>
  <c r="I124" a="1"/>
  <c r="I124" s="1"/>
  <c r="I125" a="1"/>
  <c r="I125" s="1"/>
  <c r="I122" a="1"/>
  <c r="I122" s="1"/>
  <c r="I129" a="1"/>
  <c r="I129" s="1"/>
  <c r="I123" a="1"/>
  <c r="I123" s="1"/>
  <c r="I126" a="1"/>
  <c r="I126" s="1"/>
  <c r="H128" a="1"/>
  <c r="H128" s="1"/>
  <c r="H130" s="1"/>
  <c r="E207"/>
  <c r="H92" a="1"/>
  <c r="H92" s="1"/>
  <c r="H94" s="1"/>
  <c r="E140"/>
  <c r="E141" s="1"/>
  <c r="E53"/>
  <c r="G42"/>
  <c r="G104"/>
  <c r="D59"/>
  <c r="D64"/>
  <c r="F59"/>
  <c r="F64"/>
  <c r="H92" i="45" a="1"/>
  <c r="H92" s="1"/>
  <c r="H94" s="1"/>
  <c r="F48"/>
  <c r="E207"/>
  <c r="E141"/>
  <c r="O120" i="42"/>
  <c r="I88" i="45" a="1"/>
  <c r="I88" s="1"/>
  <c r="I89" a="1"/>
  <c r="I89" s="1"/>
  <c r="I93" a="1"/>
  <c r="I93" s="1"/>
  <c r="D59"/>
  <c r="D64"/>
  <c r="L168"/>
  <c r="I168"/>
  <c r="F168"/>
  <c r="C168"/>
  <c r="M168"/>
  <c r="G168"/>
  <c r="D168"/>
  <c r="A168"/>
  <c r="J169"/>
  <c r="K168"/>
  <c r="H168"/>
  <c r="E168"/>
  <c r="B168"/>
  <c r="E140"/>
  <c r="P120" s="1"/>
  <c r="E53"/>
  <c r="T83"/>
  <c r="I86" a="1"/>
  <c r="I86" s="1"/>
  <c r="I98" s="1"/>
  <c r="I90" a="1"/>
  <c r="I90" s="1"/>
  <c r="I128" a="1"/>
  <c r="I128" s="1"/>
  <c r="I130" s="1"/>
  <c r="J130" s="1"/>
  <c r="I91" a="1"/>
  <c r="I91" s="1"/>
  <c r="I87" a="1"/>
  <c r="I87" s="1"/>
  <c r="E140" i="44"/>
  <c r="P120" s="1"/>
  <c r="E53"/>
  <c r="E207"/>
  <c r="H92" a="1"/>
  <c r="H92" s="1"/>
  <c r="H94" s="1"/>
  <c r="O120"/>
  <c r="D59"/>
  <c r="D64"/>
  <c r="H42"/>
  <c r="I127" a="1"/>
  <c r="I127" s="1"/>
  <c r="I124" a="1"/>
  <c r="I124" s="1"/>
  <c r="I129" a="1"/>
  <c r="I129" s="1"/>
  <c r="I126" a="1"/>
  <c r="I126" s="1"/>
  <c r="I123" a="1"/>
  <c r="I123" s="1"/>
  <c r="I125" a="1"/>
  <c r="I125" s="1"/>
  <c r="I122" a="1"/>
  <c r="I122" s="1"/>
  <c r="F48"/>
  <c r="L168"/>
  <c r="I168"/>
  <c r="F168"/>
  <c r="C168"/>
  <c r="M168"/>
  <c r="G168"/>
  <c r="D168"/>
  <c r="A168"/>
  <c r="J169"/>
  <c r="K168"/>
  <c r="H168"/>
  <c r="E168"/>
  <c r="B168"/>
  <c r="G104"/>
  <c r="G42"/>
  <c r="Q84"/>
  <c r="G104" i="43"/>
  <c r="G42"/>
  <c r="F140"/>
  <c r="F53"/>
  <c r="H92" a="1"/>
  <c r="H92" s="1"/>
  <c r="H94" s="1"/>
  <c r="E140"/>
  <c r="E141" s="1"/>
  <c r="E53"/>
  <c r="E207"/>
  <c r="I127" a="1"/>
  <c r="I127" s="1"/>
  <c r="I124" a="1"/>
  <c r="I124" s="1"/>
  <c r="I129" a="1"/>
  <c r="I129" s="1"/>
  <c r="I126" a="1"/>
  <c r="I126" s="1"/>
  <c r="I123" a="1"/>
  <c r="I123" s="1"/>
  <c r="I122" a="1"/>
  <c r="I122" s="1"/>
  <c r="I125" a="1"/>
  <c r="I125" s="1"/>
  <c r="D59"/>
  <c r="D64"/>
  <c r="H128" a="1"/>
  <c r="H128" s="1"/>
  <c r="H130" s="1"/>
  <c r="F207"/>
  <c r="I93" a="1"/>
  <c r="I93" s="1"/>
  <c r="I90" a="1"/>
  <c r="I90" s="1"/>
  <c r="I87" a="1"/>
  <c r="I87" s="1"/>
  <c r="I89" a="1"/>
  <c r="I89" s="1"/>
  <c r="I91" a="1"/>
  <c r="I91" s="1"/>
  <c r="I88" a="1"/>
  <c r="I88" s="1"/>
  <c r="I86" a="1"/>
  <c r="I86" s="1"/>
  <c r="I98" s="1"/>
  <c r="M167"/>
  <c r="G167"/>
  <c r="D167"/>
  <c r="A167"/>
  <c r="J168"/>
  <c r="K167"/>
  <c r="H167"/>
  <c r="E167"/>
  <c r="B167"/>
  <c r="I167"/>
  <c r="L167"/>
  <c r="C167"/>
  <c r="F167"/>
  <c r="L168" i="42"/>
  <c r="I168"/>
  <c r="F168"/>
  <c r="C168"/>
  <c r="M168"/>
  <c r="G168"/>
  <c r="D168"/>
  <c r="A168"/>
  <c r="J169"/>
  <c r="K168"/>
  <c r="H168"/>
  <c r="E168"/>
  <c r="B168"/>
  <c r="I93" a="1"/>
  <c r="I93" s="1"/>
  <c r="I90" a="1"/>
  <c r="I90" s="1"/>
  <c r="I87" a="1"/>
  <c r="I87" s="1"/>
  <c r="I89" a="1"/>
  <c r="I89" s="1"/>
  <c r="I86" a="1"/>
  <c r="I86" s="1"/>
  <c r="I98" s="1"/>
  <c r="I91" a="1"/>
  <c r="I91" s="1"/>
  <c r="I88" a="1"/>
  <c r="I88" s="1"/>
  <c r="T83"/>
  <c r="F140"/>
  <c r="F53"/>
  <c r="E140"/>
  <c r="P120" s="1"/>
  <c r="E53"/>
  <c r="E207"/>
  <c r="G104"/>
  <c r="G42"/>
  <c r="D59"/>
  <c r="D64"/>
  <c r="I127" a="1"/>
  <c r="I127" s="1"/>
  <c r="I124" a="1"/>
  <c r="I124" s="1"/>
  <c r="I129" a="1"/>
  <c r="I129" s="1"/>
  <c r="I126" a="1"/>
  <c r="I126" s="1"/>
  <c r="I123" a="1"/>
  <c r="I123" s="1"/>
  <c r="I125" a="1"/>
  <c r="I125" s="1"/>
  <c r="I122" a="1"/>
  <c r="I122" s="1"/>
  <c r="T83" i="38"/>
  <c r="S83" i="42"/>
  <c r="H128" a="1"/>
  <c r="H128" s="1"/>
  <c r="H130" s="1"/>
  <c r="F207"/>
  <c r="H92" a="1"/>
  <c r="H92" s="1"/>
  <c r="H94" s="1"/>
  <c r="H104" i="41"/>
  <c r="H42"/>
  <c r="I127" a="1"/>
  <c r="I127" s="1"/>
  <c r="I124" a="1"/>
  <c r="I124" s="1"/>
  <c r="I129" a="1"/>
  <c r="I129" s="1"/>
  <c r="I126" a="1"/>
  <c r="I126" s="1"/>
  <c r="I123" a="1"/>
  <c r="I123" s="1"/>
  <c r="I125" a="1"/>
  <c r="I125" s="1"/>
  <c r="I122" a="1"/>
  <c r="I122" s="1"/>
  <c r="H130"/>
  <c r="F140"/>
  <c r="F141" s="1"/>
  <c r="F53"/>
  <c r="E140"/>
  <c r="E53"/>
  <c r="G53"/>
  <c r="L168"/>
  <c r="I168"/>
  <c r="F168"/>
  <c r="C168"/>
  <c r="M168"/>
  <c r="G168"/>
  <c r="D168"/>
  <c r="A168"/>
  <c r="J169"/>
  <c r="K168"/>
  <c r="H168"/>
  <c r="E168"/>
  <c r="B168"/>
  <c r="F207"/>
  <c r="E207"/>
  <c r="S83" i="127"/>
  <c r="D59" i="40"/>
  <c r="D64"/>
  <c r="F207"/>
  <c r="I128" a="1"/>
  <c r="I128" s="1"/>
  <c r="I130" s="1"/>
  <c r="J130" s="1"/>
  <c r="S83"/>
  <c r="H92" a="1"/>
  <c r="H92" s="1"/>
  <c r="H94" s="1"/>
  <c r="E207"/>
  <c r="T83"/>
  <c r="I93" a="1"/>
  <c r="I93" s="1"/>
  <c r="I89" a="1"/>
  <c r="I89" s="1"/>
  <c r="I88" a="1"/>
  <c r="I88" s="1"/>
  <c r="I87" a="1"/>
  <c r="I87" s="1"/>
  <c r="I91" a="1"/>
  <c r="I91" s="1"/>
  <c r="I90" a="1"/>
  <c r="I90" s="1"/>
  <c r="I86" a="1"/>
  <c r="I86" s="1"/>
  <c r="I98" s="1"/>
  <c r="H42"/>
  <c r="G42"/>
  <c r="G104"/>
  <c r="E140"/>
  <c r="E141" s="1"/>
  <c r="E53"/>
  <c r="M167"/>
  <c r="G167"/>
  <c r="D167"/>
  <c r="A167"/>
  <c r="J168"/>
  <c r="K167"/>
  <c r="H167"/>
  <c r="E167"/>
  <c r="B167"/>
  <c r="I167"/>
  <c r="L167"/>
  <c r="C167"/>
  <c r="F167"/>
  <c r="F140"/>
  <c r="F53"/>
  <c r="F48" i="39"/>
  <c r="I128" a="1"/>
  <c r="I128" s="1"/>
  <c r="I130" s="1"/>
  <c r="J130" s="1"/>
  <c r="I91" a="1"/>
  <c r="I91" s="1"/>
  <c r="I87" a="1"/>
  <c r="I87" s="1"/>
  <c r="E140"/>
  <c r="E53"/>
  <c r="L168"/>
  <c r="I168"/>
  <c r="F168"/>
  <c r="C168"/>
  <c r="M168"/>
  <c r="G168"/>
  <c r="D168"/>
  <c r="A168"/>
  <c r="J169"/>
  <c r="K168"/>
  <c r="H168"/>
  <c r="E168"/>
  <c r="B168"/>
  <c r="H92" a="1"/>
  <c r="H92" s="1"/>
  <c r="H94" s="1"/>
  <c r="I88" a="1"/>
  <c r="I88" s="1"/>
  <c r="I89" a="1"/>
  <c r="I89" s="1"/>
  <c r="I93" a="1"/>
  <c r="I93" s="1"/>
  <c r="H42"/>
  <c r="E207"/>
  <c r="F105"/>
  <c r="Q84"/>
  <c r="T83"/>
  <c r="I86" a="1"/>
  <c r="I86" s="1"/>
  <c r="I98" s="1"/>
  <c r="I90" a="1"/>
  <c r="I90" s="1"/>
  <c r="H92" i="38" a="1"/>
  <c r="H92" s="1"/>
  <c r="H94" s="1"/>
  <c r="L168"/>
  <c r="I168"/>
  <c r="F168"/>
  <c r="C168"/>
  <c r="M168"/>
  <c r="G168"/>
  <c r="D168"/>
  <c r="A168"/>
  <c r="J169"/>
  <c r="K168"/>
  <c r="H168"/>
  <c r="E168"/>
  <c r="B168"/>
  <c r="G104"/>
  <c r="G42"/>
  <c r="F140"/>
  <c r="F53"/>
  <c r="I127" a="1"/>
  <c r="I127" s="1"/>
  <c r="I124" a="1"/>
  <c r="I124" s="1"/>
  <c r="I129" a="1"/>
  <c r="I129" s="1"/>
  <c r="I126" a="1"/>
  <c r="I126" s="1"/>
  <c r="I123" a="1"/>
  <c r="I123" s="1"/>
  <c r="I125" a="1"/>
  <c r="I125" s="1"/>
  <c r="I122" a="1"/>
  <c r="I122" s="1"/>
  <c r="E140"/>
  <c r="P120" s="1"/>
  <c r="E53"/>
  <c r="H128" a="1"/>
  <c r="H128" s="1"/>
  <c r="H130" s="1"/>
  <c r="D59"/>
  <c r="D64"/>
  <c r="F207"/>
  <c r="E207"/>
  <c r="S83"/>
  <c r="E207" i="32"/>
  <c r="F207"/>
  <c r="D59"/>
  <c r="D64"/>
  <c r="H92" a="1"/>
  <c r="H92" s="1"/>
  <c r="H94" s="1"/>
  <c r="I127" a="1"/>
  <c r="I127" s="1"/>
  <c r="I124" a="1"/>
  <c r="I124" s="1"/>
  <c r="I129" a="1"/>
  <c r="I129" s="1"/>
  <c r="I126" a="1"/>
  <c r="I126" s="1"/>
  <c r="I123" a="1"/>
  <c r="I123" s="1"/>
  <c r="I125" a="1"/>
  <c r="I125" s="1"/>
  <c r="I122" a="1"/>
  <c r="I122" s="1"/>
  <c r="I93" a="1"/>
  <c r="I93" s="1"/>
  <c r="I90" a="1"/>
  <c r="I90" s="1"/>
  <c r="I102" s="1"/>
  <c r="I87" a="1"/>
  <c r="I87" s="1"/>
  <c r="I99" s="1"/>
  <c r="I89" a="1"/>
  <c r="I89" s="1"/>
  <c r="I101" s="1"/>
  <c r="I86" a="1"/>
  <c r="I86" s="1"/>
  <c r="I98" s="1"/>
  <c r="I91" a="1"/>
  <c r="I91" s="1"/>
  <c r="I103" s="1"/>
  <c r="I88" a="1"/>
  <c r="I88" s="1"/>
  <c r="I100" s="1"/>
  <c r="T83"/>
  <c r="H128" a="1"/>
  <c r="H128" s="1"/>
  <c r="H130" s="1"/>
  <c r="E140"/>
  <c r="E141" s="1"/>
  <c r="G104"/>
  <c r="G42"/>
  <c r="F140"/>
  <c r="F141" s="1"/>
  <c r="F53"/>
  <c r="L168"/>
  <c r="I168"/>
  <c r="F168"/>
  <c r="C168"/>
  <c r="M168"/>
  <c r="G168"/>
  <c r="D168"/>
  <c r="A168"/>
  <c r="J169"/>
  <c r="K168"/>
  <c r="H168"/>
  <c r="E168"/>
  <c r="B168"/>
  <c r="D141" i="127"/>
  <c r="E141" i="129"/>
  <c r="E207"/>
  <c r="G140"/>
  <c r="G53"/>
  <c r="F207"/>
  <c r="F141"/>
  <c r="H104"/>
  <c r="H42"/>
  <c r="L168"/>
  <c r="I168"/>
  <c r="F168"/>
  <c r="C168"/>
  <c r="M168"/>
  <c r="G168"/>
  <c r="D168"/>
  <c r="A168"/>
  <c r="J169"/>
  <c r="K168"/>
  <c r="H168"/>
  <c r="E168"/>
  <c r="B168"/>
  <c r="E140"/>
  <c r="E53"/>
  <c r="G207"/>
  <c r="G141"/>
  <c r="F140"/>
  <c r="Q120" s="1"/>
  <c r="F53"/>
  <c r="I127" a="1"/>
  <c r="I127" s="1"/>
  <c r="I124" a="1"/>
  <c r="I124" s="1"/>
  <c r="I129" a="1"/>
  <c r="I129" s="1"/>
  <c r="I126" a="1"/>
  <c r="I126" s="1"/>
  <c r="I123" a="1"/>
  <c r="I123" s="1"/>
  <c r="I125" a="1"/>
  <c r="I125" s="1"/>
  <c r="I122" a="1"/>
  <c r="I122" s="1"/>
  <c r="H128" a="1"/>
  <c r="H128" s="1"/>
  <c r="H130" s="1"/>
  <c r="M167" i="128"/>
  <c r="G167"/>
  <c r="D167"/>
  <c r="A167"/>
  <c r="J168"/>
  <c r="K167"/>
  <c r="H167"/>
  <c r="E167"/>
  <c r="B167"/>
  <c r="L167"/>
  <c r="I167"/>
  <c r="F167"/>
  <c r="C167"/>
  <c r="E207"/>
  <c r="F140"/>
  <c r="Q120" s="1"/>
  <c r="F53"/>
  <c r="H92" a="1"/>
  <c r="H92" s="1"/>
  <c r="H94" s="1"/>
  <c r="I90" a="1"/>
  <c r="I90" s="1"/>
  <c r="G48"/>
  <c r="H42"/>
  <c r="H134" s="1"/>
  <c r="E140"/>
  <c r="P120" s="1"/>
  <c r="E53"/>
  <c r="F207"/>
  <c r="I93" a="1"/>
  <c r="I93" s="1"/>
  <c r="L168" i="127"/>
  <c r="I168"/>
  <c r="F168"/>
  <c r="C168"/>
  <c r="M168"/>
  <c r="G168"/>
  <c r="D168"/>
  <c r="A168"/>
  <c r="J169"/>
  <c r="K168"/>
  <c r="H168"/>
  <c r="E168"/>
  <c r="B168"/>
  <c r="I127" a="1"/>
  <c r="I127" s="1"/>
  <c r="I124" a="1"/>
  <c r="I124" s="1"/>
  <c r="I129" a="1"/>
  <c r="I129" s="1"/>
  <c r="I126" a="1"/>
  <c r="I126" s="1"/>
  <c r="I123" a="1"/>
  <c r="I123" s="1"/>
  <c r="I125" a="1"/>
  <c r="I125" s="1"/>
  <c r="I122" a="1"/>
  <c r="I122" s="1"/>
  <c r="I88" a="1"/>
  <c r="I88" s="1"/>
  <c r="I87" a="1"/>
  <c r="I87" s="1"/>
  <c r="D59"/>
  <c r="D64"/>
  <c r="E140"/>
  <c r="P120" s="1"/>
  <c r="E53"/>
  <c r="F207"/>
  <c r="G104"/>
  <c r="G42"/>
  <c r="D141" i="109"/>
  <c r="I86" i="127" a="1"/>
  <c r="I86" s="1"/>
  <c r="I98" s="1"/>
  <c r="I89" a="1"/>
  <c r="I89" s="1"/>
  <c r="I93" a="1"/>
  <c r="I93" s="1"/>
  <c r="H92" a="1"/>
  <c r="H92" s="1"/>
  <c r="H94" s="1"/>
  <c r="E207"/>
  <c r="F140"/>
  <c r="F141" s="1"/>
  <c r="F53"/>
  <c r="S83" i="109"/>
  <c r="T83" i="127"/>
  <c r="I91" a="1"/>
  <c r="I91" s="1"/>
  <c r="I90" a="1"/>
  <c r="I90" s="1"/>
  <c r="I125" i="109" a="1"/>
  <c r="I125" s="1"/>
  <c r="I122" a="1"/>
  <c r="I122" s="1"/>
  <c r="I127" a="1"/>
  <c r="I127" s="1"/>
  <c r="I124" a="1"/>
  <c r="I124" s="1"/>
  <c r="I129" a="1"/>
  <c r="I129" s="1"/>
  <c r="I126" a="1"/>
  <c r="I126" s="1"/>
  <c r="I123" a="1"/>
  <c r="I123" s="1"/>
  <c r="L167"/>
  <c r="I167"/>
  <c r="F167"/>
  <c r="C167"/>
  <c r="M167"/>
  <c r="G167"/>
  <c r="D167"/>
  <c r="A167"/>
  <c r="J168"/>
  <c r="K167"/>
  <c r="H167"/>
  <c r="E167"/>
  <c r="B167"/>
  <c r="E59"/>
  <c r="E64"/>
  <c r="F48"/>
  <c r="G48"/>
  <c r="D59"/>
  <c r="D64"/>
  <c r="D141" i="102"/>
  <c r="T83" i="108"/>
  <c r="I86" i="109" a="1"/>
  <c r="I86" s="1"/>
  <c r="I98" s="1"/>
  <c r="I90" a="1"/>
  <c r="I90" s="1"/>
  <c r="I91" a="1"/>
  <c r="I91" s="1"/>
  <c r="F105"/>
  <c r="Q84"/>
  <c r="H92" a="1"/>
  <c r="H92" s="1"/>
  <c r="H94" s="1"/>
  <c r="H128" a="1"/>
  <c r="H128" s="1"/>
  <c r="H130" s="1"/>
  <c r="Q84" i="102"/>
  <c r="T83" i="109"/>
  <c r="I87" a="1"/>
  <c r="I87" s="1"/>
  <c r="I88" a="1"/>
  <c r="I88" s="1"/>
  <c r="F105" i="108"/>
  <c r="Q84"/>
  <c r="E207"/>
  <c r="F48"/>
  <c r="E140"/>
  <c r="E141" s="1"/>
  <c r="E53"/>
  <c r="H92" a="1"/>
  <c r="H92" s="1"/>
  <c r="H94" s="1"/>
  <c r="G53"/>
  <c r="L168"/>
  <c r="I168"/>
  <c r="F168"/>
  <c r="C168"/>
  <c r="M168"/>
  <c r="G168"/>
  <c r="D168"/>
  <c r="A168"/>
  <c r="J169"/>
  <c r="K168"/>
  <c r="H168"/>
  <c r="E168"/>
  <c r="B168"/>
  <c r="I93" a="1"/>
  <c r="I93" s="1"/>
  <c r="H92" i="102" a="1"/>
  <c r="H92" s="1"/>
  <c r="H94" s="1"/>
  <c r="I127" a="1"/>
  <c r="I127" s="1"/>
  <c r="I124" a="1"/>
  <c r="I124" s="1"/>
  <c r="I129" a="1"/>
  <c r="I129" s="1"/>
  <c r="I126" a="1"/>
  <c r="I126" s="1"/>
  <c r="I123" a="1"/>
  <c r="I123" s="1"/>
  <c r="I125" a="1"/>
  <c r="I125" s="1"/>
  <c r="I122" a="1"/>
  <c r="I122" s="1"/>
  <c r="E140"/>
  <c r="P120" s="1"/>
  <c r="E53"/>
  <c r="H128" a="1"/>
  <c r="H128" s="1"/>
  <c r="H130" s="1"/>
  <c r="G104"/>
  <c r="G42"/>
  <c r="I93" a="1"/>
  <c r="I93" s="1"/>
  <c r="I90" a="1"/>
  <c r="I90" s="1"/>
  <c r="I87" a="1"/>
  <c r="I87" s="1"/>
  <c r="I89" a="1"/>
  <c r="I89" s="1"/>
  <c r="I86" a="1"/>
  <c r="I86" s="1"/>
  <c r="I98" s="1"/>
  <c r="I91" a="1"/>
  <c r="I91" s="1"/>
  <c r="I88" a="1"/>
  <c r="I88" s="1"/>
  <c r="T83"/>
  <c r="L168"/>
  <c r="I168"/>
  <c r="F168"/>
  <c r="C168"/>
  <c r="M168"/>
  <c r="G168"/>
  <c r="D168"/>
  <c r="A168"/>
  <c r="J169"/>
  <c r="K168"/>
  <c r="H168"/>
  <c r="E168"/>
  <c r="B168"/>
  <c r="S83" i="98"/>
  <c r="T83" i="100"/>
  <c r="D59" i="102"/>
  <c r="D64"/>
  <c r="F48"/>
  <c r="E207"/>
  <c r="D141" i="101"/>
  <c r="S83" i="102"/>
  <c r="L168" i="101"/>
  <c r="I168"/>
  <c r="F168"/>
  <c r="C168"/>
  <c r="M168"/>
  <c r="G168"/>
  <c r="D168"/>
  <c r="A168"/>
  <c r="J169"/>
  <c r="K168"/>
  <c r="H168"/>
  <c r="E168"/>
  <c r="B168"/>
  <c r="F105"/>
  <c r="Q84"/>
  <c r="T83"/>
  <c r="I86" a="1"/>
  <c r="I86" s="1"/>
  <c r="I98" s="1"/>
  <c r="I90" a="1"/>
  <c r="I90" s="1"/>
  <c r="S83"/>
  <c r="E140"/>
  <c r="P120" s="1"/>
  <c r="E53"/>
  <c r="E207"/>
  <c r="F48"/>
  <c r="I91" a="1"/>
  <c r="I91" s="1"/>
  <c r="I87" a="1"/>
  <c r="I87" s="1"/>
  <c r="D59"/>
  <c r="D64"/>
  <c r="H92" a="1"/>
  <c r="H92" s="1"/>
  <c r="H94" s="1"/>
  <c r="I88" a="1"/>
  <c r="I88" s="1"/>
  <c r="I89" a="1"/>
  <c r="I89" s="1"/>
  <c r="I93" a="1"/>
  <c r="I93" s="1"/>
  <c r="E207" i="100"/>
  <c r="H92" a="1"/>
  <c r="H92" s="1"/>
  <c r="H94" s="1"/>
  <c r="F207"/>
  <c r="E140"/>
  <c r="E141" s="1"/>
  <c r="E53"/>
  <c r="M167"/>
  <c r="G167"/>
  <c r="D167"/>
  <c r="A167"/>
  <c r="J168"/>
  <c r="K167"/>
  <c r="H167"/>
  <c r="E167"/>
  <c r="B167"/>
  <c r="L167"/>
  <c r="C167"/>
  <c r="F167"/>
  <c r="I167"/>
  <c r="G48"/>
  <c r="D59"/>
  <c r="D64"/>
  <c r="F140"/>
  <c r="F141" s="1"/>
  <c r="F53"/>
  <c r="I89" a="1"/>
  <c r="I89" s="1"/>
  <c r="I93" a="1"/>
  <c r="I93" s="1"/>
  <c r="S83"/>
  <c r="E140" i="99"/>
  <c r="E53"/>
  <c r="T83"/>
  <c r="I89" a="1"/>
  <c r="I89" s="1"/>
  <c r="I93" a="1"/>
  <c r="I93" s="1"/>
  <c r="I88" a="1"/>
  <c r="I88" s="1"/>
  <c r="Q84"/>
  <c r="F105"/>
  <c r="F48"/>
  <c r="I127" a="1"/>
  <c r="I127" s="1"/>
  <c r="I124" a="1"/>
  <c r="I124" s="1"/>
  <c r="I129" a="1"/>
  <c r="I129" s="1"/>
  <c r="I126" a="1"/>
  <c r="I126" s="1"/>
  <c r="I123" a="1"/>
  <c r="I123" s="1"/>
  <c r="I125" a="1"/>
  <c r="I125" s="1"/>
  <c r="I122" a="1"/>
  <c r="I122" s="1"/>
  <c r="S83" i="97"/>
  <c r="O120" i="98"/>
  <c r="I90" i="99" a="1"/>
  <c r="I90" s="1"/>
  <c r="H128" a="1"/>
  <c r="H128" s="1"/>
  <c r="H130" s="1"/>
  <c r="E207"/>
  <c r="L168"/>
  <c r="I168"/>
  <c r="F168"/>
  <c r="C168"/>
  <c r="M168"/>
  <c r="G168"/>
  <c r="D168"/>
  <c r="A168"/>
  <c r="J169"/>
  <c r="K168"/>
  <c r="H168"/>
  <c r="E168"/>
  <c r="B168"/>
  <c r="H92" a="1"/>
  <c r="H92" s="1"/>
  <c r="H94" s="1"/>
  <c r="G104"/>
  <c r="G42"/>
  <c r="I86" a="1"/>
  <c r="I86" s="1"/>
  <c r="I98" s="1"/>
  <c r="I91" a="1"/>
  <c r="I91" s="1"/>
  <c r="E140" i="98"/>
  <c r="E141" s="1"/>
  <c r="E53"/>
  <c r="M167"/>
  <c r="G167"/>
  <c r="D167"/>
  <c r="A167"/>
  <c r="L167"/>
  <c r="I167"/>
  <c r="F167"/>
  <c r="C167"/>
  <c r="J168"/>
  <c r="E167"/>
  <c r="H167"/>
  <c r="K167"/>
  <c r="B167"/>
  <c r="D59"/>
  <c r="D64"/>
  <c r="H92" a="1"/>
  <c r="H92" s="1"/>
  <c r="H94" s="1"/>
  <c r="F48"/>
  <c r="Q120" i="92"/>
  <c r="S83" i="96"/>
  <c r="I128" i="98" a="1"/>
  <c r="I128" s="1"/>
  <c r="I130" s="1"/>
  <c r="J130" s="1"/>
  <c r="E207"/>
  <c r="I93" a="1"/>
  <c r="I93" s="1"/>
  <c r="I90" a="1"/>
  <c r="I90" s="1"/>
  <c r="I87" a="1"/>
  <c r="I87" s="1"/>
  <c r="I91" a="1"/>
  <c r="I91" s="1"/>
  <c r="I88" a="1"/>
  <c r="I88" s="1"/>
  <c r="I89" a="1"/>
  <c r="I89" s="1"/>
  <c r="I86" a="1"/>
  <c r="I86" s="1"/>
  <c r="I98" s="1"/>
  <c r="T83"/>
  <c r="F105"/>
  <c r="Q84"/>
  <c r="G104"/>
  <c r="G42"/>
  <c r="E207" i="97"/>
  <c r="L168"/>
  <c r="I168"/>
  <c r="F168"/>
  <c r="C168"/>
  <c r="M168"/>
  <c r="G168"/>
  <c r="D168"/>
  <c r="A168"/>
  <c r="J169"/>
  <c r="K168"/>
  <c r="H168"/>
  <c r="E168"/>
  <c r="B168"/>
  <c r="G104"/>
  <c r="G42"/>
  <c r="F207"/>
  <c r="D59"/>
  <c r="D64"/>
  <c r="H92" a="1"/>
  <c r="H92" s="1"/>
  <c r="H94" s="1"/>
  <c r="I128" a="1"/>
  <c r="I128" s="1"/>
  <c r="I130" s="1"/>
  <c r="J130" s="1"/>
  <c r="O120"/>
  <c r="F140"/>
  <c r="F53"/>
  <c r="E140"/>
  <c r="E141" s="1"/>
  <c r="E53"/>
  <c r="H92" i="96" a="1"/>
  <c r="H92" s="1"/>
  <c r="H94" s="1"/>
  <c r="D59"/>
  <c r="D64"/>
  <c r="F140"/>
  <c r="F141" s="1"/>
  <c r="F53"/>
  <c r="E140"/>
  <c r="P120" s="1"/>
  <c r="E53"/>
  <c r="F207"/>
  <c r="G104"/>
  <c r="G105" s="1"/>
  <c r="G42"/>
  <c r="I93" a="1"/>
  <c r="I93" s="1"/>
  <c r="I90" a="1"/>
  <c r="I90" s="1"/>
  <c r="I87" a="1"/>
  <c r="I87" s="1"/>
  <c r="I89" a="1"/>
  <c r="I89" s="1"/>
  <c r="I91" a="1"/>
  <c r="I91" s="1"/>
  <c r="I86" a="1"/>
  <c r="I86" s="1"/>
  <c r="I98" s="1"/>
  <c r="I88" a="1"/>
  <c r="I88" s="1"/>
  <c r="T83"/>
  <c r="M167"/>
  <c r="G167"/>
  <c r="D167"/>
  <c r="A167"/>
  <c r="J168"/>
  <c r="K167"/>
  <c r="H167"/>
  <c r="E167"/>
  <c r="B167"/>
  <c r="I167"/>
  <c r="F167"/>
  <c r="L167"/>
  <c r="C167"/>
  <c r="E207"/>
  <c r="I128" a="1"/>
  <c r="I128" s="1"/>
  <c r="I130" s="1"/>
  <c r="J130" s="1"/>
  <c r="S83" i="93"/>
  <c r="G140" i="95"/>
  <c r="G53"/>
  <c r="F140"/>
  <c r="Q120" s="1"/>
  <c r="F53"/>
  <c r="F207"/>
  <c r="E140"/>
  <c r="E141" s="1"/>
  <c r="E53"/>
  <c r="E207"/>
  <c r="L168"/>
  <c r="I168"/>
  <c r="F168"/>
  <c r="C168"/>
  <c r="M168"/>
  <c r="G168"/>
  <c r="D168"/>
  <c r="A168"/>
  <c r="J169"/>
  <c r="K168"/>
  <c r="H168"/>
  <c r="E168"/>
  <c r="B168"/>
  <c r="G207"/>
  <c r="H104"/>
  <c r="H42"/>
  <c r="E207" i="94"/>
  <c r="E140"/>
  <c r="E141" s="1"/>
  <c r="E53"/>
  <c r="G140"/>
  <c r="G53"/>
  <c r="F140"/>
  <c r="Q120" s="1"/>
  <c r="F53"/>
  <c r="F207"/>
  <c r="H104"/>
  <c r="H42"/>
  <c r="L168"/>
  <c r="I168"/>
  <c r="F168"/>
  <c r="C168"/>
  <c r="M168"/>
  <c r="G168"/>
  <c r="D168"/>
  <c r="A168"/>
  <c r="J169"/>
  <c r="K168"/>
  <c r="H168"/>
  <c r="E168"/>
  <c r="B168"/>
  <c r="I42"/>
  <c r="G207"/>
  <c r="Q84" i="93"/>
  <c r="G104"/>
  <c r="G42"/>
  <c r="E207"/>
  <c r="H92" a="1"/>
  <c r="H92" s="1"/>
  <c r="H94" s="1"/>
  <c r="T83"/>
  <c r="I90" a="1"/>
  <c r="I90" s="1"/>
  <c r="I86" a="1"/>
  <c r="I86" s="1"/>
  <c r="I98" s="1"/>
  <c r="I93" a="1"/>
  <c r="I93" s="1"/>
  <c r="I89" a="1"/>
  <c r="I89" s="1"/>
  <c r="I88" a="1"/>
  <c r="I88" s="1"/>
  <c r="I87" a="1"/>
  <c r="I87" s="1"/>
  <c r="I91" a="1"/>
  <c r="I91" s="1"/>
  <c r="F48"/>
  <c r="L168"/>
  <c r="I168"/>
  <c r="F168"/>
  <c r="C168"/>
  <c r="M168"/>
  <c r="G168"/>
  <c r="D168"/>
  <c r="A168"/>
  <c r="J169"/>
  <c r="K168"/>
  <c r="H168"/>
  <c r="E168"/>
  <c r="B168"/>
  <c r="E140"/>
  <c r="E141" s="1"/>
  <c r="E53"/>
  <c r="D59"/>
  <c r="D64"/>
  <c r="M167" i="92"/>
  <c r="G167"/>
  <c r="D167"/>
  <c r="A167"/>
  <c r="J168"/>
  <c r="K167"/>
  <c r="H167"/>
  <c r="E167"/>
  <c r="B167"/>
  <c r="L167"/>
  <c r="I167"/>
  <c r="F167"/>
  <c r="C167"/>
  <c r="G140"/>
  <c r="G53"/>
  <c r="H104"/>
  <c r="H42"/>
  <c r="I128" a="1"/>
  <c r="I128" s="1"/>
  <c r="I130" s="1"/>
  <c r="J130" s="1"/>
  <c r="E207"/>
  <c r="F59"/>
  <c r="F64"/>
  <c r="G207"/>
  <c r="I92" a="1"/>
  <c r="I92" s="1"/>
  <c r="I94" s="1"/>
  <c r="J94" s="1"/>
  <c r="E140"/>
  <c r="E53"/>
  <c r="I42"/>
  <c r="H92" i="91" a="1"/>
  <c r="H92" s="1"/>
  <c r="H94" s="1"/>
  <c r="E207"/>
  <c r="G104"/>
  <c r="G42"/>
  <c r="I93" a="1"/>
  <c r="I93" s="1"/>
  <c r="I90" a="1"/>
  <c r="I90" s="1"/>
  <c r="I87" a="1"/>
  <c r="I87" s="1"/>
  <c r="I89" a="1"/>
  <c r="I89" s="1"/>
  <c r="I91" a="1"/>
  <c r="I91" s="1"/>
  <c r="I88" a="1"/>
  <c r="I88" s="1"/>
  <c r="I86" a="1"/>
  <c r="I86" s="1"/>
  <c r="I98" s="1"/>
  <c r="T83"/>
  <c r="D59"/>
  <c r="D64"/>
  <c r="L168"/>
  <c r="I168"/>
  <c r="F168"/>
  <c r="C168"/>
  <c r="M168"/>
  <c r="G168"/>
  <c r="D168"/>
  <c r="A168"/>
  <c r="J169"/>
  <c r="K168"/>
  <c r="H168"/>
  <c r="E168"/>
  <c r="B168"/>
  <c r="R84" i="87"/>
  <c r="O120" i="91"/>
  <c r="F48"/>
  <c r="E140"/>
  <c r="P120" s="1"/>
  <c r="E53"/>
  <c r="S83"/>
  <c r="I128" a="1"/>
  <c r="I128" s="1"/>
  <c r="I130" s="1"/>
  <c r="J130" s="1"/>
  <c r="Q84"/>
  <c r="L168" i="90"/>
  <c r="I168"/>
  <c r="F168"/>
  <c r="C168"/>
  <c r="M168"/>
  <c r="G168"/>
  <c r="D168"/>
  <c r="A168"/>
  <c r="J169"/>
  <c r="K168"/>
  <c r="H168"/>
  <c r="E168"/>
  <c r="B168"/>
  <c r="E207"/>
  <c r="I128" a="1"/>
  <c r="I128" s="1"/>
  <c r="I130" s="1"/>
  <c r="J130" s="1"/>
  <c r="F59"/>
  <c r="F64"/>
  <c r="O120"/>
  <c r="D59"/>
  <c r="D64"/>
  <c r="E140"/>
  <c r="E141" s="1"/>
  <c r="E53"/>
  <c r="H42"/>
  <c r="L168" i="89"/>
  <c r="I168"/>
  <c r="F168"/>
  <c r="C168"/>
  <c r="M168"/>
  <c r="G168"/>
  <c r="D168"/>
  <c r="A168"/>
  <c r="J169"/>
  <c r="K168"/>
  <c r="H168"/>
  <c r="E168"/>
  <c r="B168"/>
  <c r="I127" a="1"/>
  <c r="I127" s="1"/>
  <c r="I124" a="1"/>
  <c r="I124" s="1"/>
  <c r="I129" a="1"/>
  <c r="I129" s="1"/>
  <c r="I126" a="1"/>
  <c r="I126" s="1"/>
  <c r="I123" a="1"/>
  <c r="I123" s="1"/>
  <c r="I125" a="1"/>
  <c r="I125" s="1"/>
  <c r="I122" a="1"/>
  <c r="I122" s="1"/>
  <c r="G140"/>
  <c r="G53"/>
  <c r="E140"/>
  <c r="E141" s="1"/>
  <c r="E53"/>
  <c r="F140"/>
  <c r="F53"/>
  <c r="F207"/>
  <c r="H104"/>
  <c r="H42"/>
  <c r="O120" i="85"/>
  <c r="O120" i="88"/>
  <c r="E207" i="89"/>
  <c r="G207"/>
  <c r="H92" i="80" a="1"/>
  <c r="H92" s="1"/>
  <c r="H94" s="1"/>
  <c r="D59"/>
  <c r="D64"/>
  <c r="F105"/>
  <c r="Q84"/>
  <c r="E207"/>
  <c r="G104"/>
  <c r="G42"/>
  <c r="I127" a="1"/>
  <c r="I127" s="1"/>
  <c r="I124" a="1"/>
  <c r="I124" s="1"/>
  <c r="I129" a="1"/>
  <c r="I129" s="1"/>
  <c r="I126" a="1"/>
  <c r="I126" s="1"/>
  <c r="I123" a="1"/>
  <c r="I123" s="1"/>
  <c r="I125" a="1"/>
  <c r="I125" s="1"/>
  <c r="I122" a="1"/>
  <c r="I122" s="1"/>
  <c r="F48"/>
  <c r="E140"/>
  <c r="E141" s="1"/>
  <c r="E53"/>
  <c r="M167"/>
  <c r="G167"/>
  <c r="D167"/>
  <c r="A167"/>
  <c r="J168"/>
  <c r="K167"/>
  <c r="H167"/>
  <c r="E167"/>
  <c r="B167"/>
  <c r="L167"/>
  <c r="I167"/>
  <c r="F167"/>
  <c r="C167"/>
  <c r="H128" a="1"/>
  <c r="H128" s="1"/>
  <c r="H130" s="1"/>
  <c r="T83"/>
  <c r="I87" a="1"/>
  <c r="I87" s="1"/>
  <c r="I91" a="1"/>
  <c r="I91" s="1"/>
  <c r="I90" a="1"/>
  <c r="I90" s="1"/>
  <c r="I86" a="1"/>
  <c r="I86" s="1"/>
  <c r="I98" s="1"/>
  <c r="I93" a="1"/>
  <c r="I93" s="1"/>
  <c r="I89" a="1"/>
  <c r="I89" s="1"/>
  <c r="I88" a="1"/>
  <c r="I88" s="1"/>
  <c r="O120" i="79"/>
  <c r="H92" a="1"/>
  <c r="H92" s="1"/>
  <c r="H94" s="1"/>
  <c r="F140"/>
  <c r="F141" s="1"/>
  <c r="F53"/>
  <c r="E207"/>
  <c r="I128" a="1"/>
  <c r="I128" s="1"/>
  <c r="I130" s="1"/>
  <c r="J130" s="1"/>
  <c r="F207"/>
  <c r="L168"/>
  <c r="I168"/>
  <c r="F168"/>
  <c r="C168"/>
  <c r="M168"/>
  <c r="G168"/>
  <c r="D168"/>
  <c r="A168"/>
  <c r="J169"/>
  <c r="K168"/>
  <c r="H168"/>
  <c r="E168"/>
  <c r="B168"/>
  <c r="I93" a="1"/>
  <c r="I93" s="1"/>
  <c r="I90" a="1"/>
  <c r="I90" s="1"/>
  <c r="I87" a="1"/>
  <c r="I87" s="1"/>
  <c r="I91" a="1"/>
  <c r="I91" s="1"/>
  <c r="I89" a="1"/>
  <c r="I89" s="1"/>
  <c r="I88" a="1"/>
  <c r="I88" s="1"/>
  <c r="I86" a="1"/>
  <c r="I86" s="1"/>
  <c r="I98" s="1"/>
  <c r="T83"/>
  <c r="G104"/>
  <c r="G42"/>
  <c r="D59"/>
  <c r="D64"/>
  <c r="E140"/>
  <c r="E141" s="1"/>
  <c r="E53"/>
  <c r="S83"/>
  <c r="E140" i="88"/>
  <c r="E141" s="1"/>
  <c r="E53"/>
  <c r="H104"/>
  <c r="H42"/>
  <c r="I127" a="1"/>
  <c r="I127" s="1"/>
  <c r="I124" a="1"/>
  <c r="I124" s="1"/>
  <c r="I129" a="1"/>
  <c r="I129" s="1"/>
  <c r="I126" a="1"/>
  <c r="I126" s="1"/>
  <c r="I123" a="1"/>
  <c r="I123" s="1"/>
  <c r="I125" a="1"/>
  <c r="I125" s="1"/>
  <c r="I122" a="1"/>
  <c r="I122" s="1"/>
  <c r="G105"/>
  <c r="R84"/>
  <c r="H128" a="1"/>
  <c r="H128" s="1"/>
  <c r="H130" s="1"/>
  <c r="F140"/>
  <c r="Q120" s="1"/>
  <c r="F53"/>
  <c r="F207"/>
  <c r="G48"/>
  <c r="E207"/>
  <c r="L168"/>
  <c r="I168"/>
  <c r="F168"/>
  <c r="C168"/>
  <c r="M168"/>
  <c r="G168"/>
  <c r="D168"/>
  <c r="A168"/>
  <c r="J169"/>
  <c r="K168"/>
  <c r="H168"/>
  <c r="E168"/>
  <c r="B168"/>
  <c r="D59"/>
  <c r="D64"/>
  <c r="E140" i="87"/>
  <c r="E53"/>
  <c r="H104"/>
  <c r="H42"/>
  <c r="F207"/>
  <c r="T83" i="86"/>
  <c r="E207" i="87"/>
  <c r="L168"/>
  <c r="I168"/>
  <c r="F168"/>
  <c r="C168"/>
  <c r="M168"/>
  <c r="G168"/>
  <c r="D168"/>
  <c r="A168"/>
  <c r="J169"/>
  <c r="K168"/>
  <c r="H168"/>
  <c r="E168"/>
  <c r="B168"/>
  <c r="F140"/>
  <c r="F141" s="1"/>
  <c r="F53"/>
  <c r="G48"/>
  <c r="F207" i="86"/>
  <c r="H42"/>
  <c r="L168"/>
  <c r="I168"/>
  <c r="F168"/>
  <c r="C168"/>
  <c r="M168"/>
  <c r="G168"/>
  <c r="D168"/>
  <c r="A168"/>
  <c r="J169"/>
  <c r="K168"/>
  <c r="H168"/>
  <c r="E168"/>
  <c r="B168"/>
  <c r="F140"/>
  <c r="F141" s="1"/>
  <c r="F53"/>
  <c r="E140"/>
  <c r="P120" s="1"/>
  <c r="E53"/>
  <c r="G104"/>
  <c r="G42"/>
  <c r="F141" i="84"/>
  <c r="I91" i="86" a="1"/>
  <c r="I91" s="1"/>
  <c r="I87" a="1"/>
  <c r="I87" s="1"/>
  <c r="E207"/>
  <c r="D59"/>
  <c r="D64"/>
  <c r="T83" i="85"/>
  <c r="I93" i="86" a="1"/>
  <c r="I93" s="1"/>
  <c r="M167" i="85"/>
  <c r="G167"/>
  <c r="D167"/>
  <c r="A167"/>
  <c r="J168"/>
  <c r="K167"/>
  <c r="H167"/>
  <c r="E167"/>
  <c r="B167"/>
  <c r="I167"/>
  <c r="L167"/>
  <c r="C167"/>
  <c r="F167"/>
  <c r="F140"/>
  <c r="F53"/>
  <c r="F207"/>
  <c r="H92" a="1"/>
  <c r="H92" s="1"/>
  <c r="H94" s="1"/>
  <c r="G104"/>
  <c r="G42"/>
  <c r="E207"/>
  <c r="D59"/>
  <c r="D64"/>
  <c r="E140"/>
  <c r="P120" s="1"/>
  <c r="E53"/>
  <c r="G207" i="84"/>
  <c r="M167"/>
  <c r="G167"/>
  <c r="D167"/>
  <c r="A167"/>
  <c r="L167"/>
  <c r="I167"/>
  <c r="F167"/>
  <c r="C167"/>
  <c r="J168"/>
  <c r="E167"/>
  <c r="H167"/>
  <c r="K167"/>
  <c r="B167"/>
  <c r="F59"/>
  <c r="F64"/>
  <c r="E140"/>
  <c r="E141" s="1"/>
  <c r="E53"/>
  <c r="E207"/>
  <c r="H128" a="1"/>
  <c r="H128" s="1"/>
  <c r="H130" s="1"/>
  <c r="I125" a="1"/>
  <c r="I125" s="1"/>
  <c r="S119"/>
  <c r="G140"/>
  <c r="G141" s="1"/>
  <c r="G53"/>
  <c r="H207"/>
  <c r="S83" i="82"/>
  <c r="E140" i="83"/>
  <c r="E141" s="1"/>
  <c r="E53"/>
  <c r="L168"/>
  <c r="I168"/>
  <c r="F168"/>
  <c r="C168"/>
  <c r="M168"/>
  <c r="G168"/>
  <c r="D168"/>
  <c r="A168"/>
  <c r="J169"/>
  <c r="K168"/>
  <c r="H168"/>
  <c r="E168"/>
  <c r="B168"/>
  <c r="E141" i="78"/>
  <c r="O120" i="82"/>
  <c r="F207" i="83"/>
  <c r="G53"/>
  <c r="E207"/>
  <c r="F140"/>
  <c r="F141" s="1"/>
  <c r="F53"/>
  <c r="H42" i="82"/>
  <c r="F207"/>
  <c r="G48"/>
  <c r="Q84" i="77"/>
  <c r="I88" i="82" a="1"/>
  <c r="I88" s="1"/>
  <c r="I89" a="1"/>
  <c r="I89" s="1"/>
  <c r="I93" a="1"/>
  <c r="I93" s="1"/>
  <c r="D59"/>
  <c r="D64"/>
  <c r="L168"/>
  <c r="I168"/>
  <c r="F168"/>
  <c r="C168"/>
  <c r="M168"/>
  <c r="G168"/>
  <c r="D168"/>
  <c r="A168"/>
  <c r="J169"/>
  <c r="K168"/>
  <c r="H168"/>
  <c r="E168"/>
  <c r="B168"/>
  <c r="E140"/>
  <c r="E141" s="1"/>
  <c r="E53"/>
  <c r="T83"/>
  <c r="I86" a="1"/>
  <c r="I86" s="1"/>
  <c r="I98" s="1"/>
  <c r="I90" a="1"/>
  <c r="I90" s="1"/>
  <c r="F140"/>
  <c r="F53"/>
  <c r="E207"/>
  <c r="H92" a="1"/>
  <c r="H92" s="1"/>
  <c r="H94" s="1"/>
  <c r="I91" a="1"/>
  <c r="I91" s="1"/>
  <c r="I87" a="1"/>
  <c r="I87" s="1"/>
  <c r="F140" i="81"/>
  <c r="Q120" s="1"/>
  <c r="F53"/>
  <c r="E140"/>
  <c r="E53"/>
  <c r="Q84" i="71"/>
  <c r="D141" i="73"/>
  <c r="O120" i="77"/>
  <c r="F207" i="81"/>
  <c r="E207"/>
  <c r="I92" a="1"/>
  <c r="I92" s="1"/>
  <c r="I94" s="1"/>
  <c r="J94" s="1"/>
  <c r="L168"/>
  <c r="I168"/>
  <c r="F168"/>
  <c r="C168"/>
  <c r="M168"/>
  <c r="G168"/>
  <c r="D168"/>
  <c r="A168"/>
  <c r="J169"/>
  <c r="K168"/>
  <c r="H168"/>
  <c r="E168"/>
  <c r="B168"/>
  <c r="R84"/>
  <c r="G48"/>
  <c r="H104"/>
  <c r="H42"/>
  <c r="D59" i="78"/>
  <c r="D64"/>
  <c r="L168"/>
  <c r="I168"/>
  <c r="F168"/>
  <c r="C168"/>
  <c r="M168"/>
  <c r="G168"/>
  <c r="D168"/>
  <c r="A168"/>
  <c r="J169"/>
  <c r="K168"/>
  <c r="H168"/>
  <c r="E168"/>
  <c r="B168"/>
  <c r="H92" a="1"/>
  <c r="H92" s="1"/>
  <c r="H94" s="1"/>
  <c r="Q84"/>
  <c r="S83"/>
  <c r="G104"/>
  <c r="G42"/>
  <c r="F48"/>
  <c r="T83"/>
  <c r="I86" a="1"/>
  <c r="I86" s="1"/>
  <c r="I98" s="1"/>
  <c r="I88" a="1"/>
  <c r="I88" s="1"/>
  <c r="I89" a="1"/>
  <c r="I89" s="1"/>
  <c r="I90" a="1"/>
  <c r="I90" s="1"/>
  <c r="I93" a="1"/>
  <c r="I93" s="1"/>
  <c r="I91" a="1"/>
  <c r="I91" s="1"/>
  <c r="I87" a="1"/>
  <c r="I87" s="1"/>
  <c r="E59"/>
  <c r="E64"/>
  <c r="O120"/>
  <c r="F48" i="77"/>
  <c r="G104"/>
  <c r="G42"/>
  <c r="E207"/>
  <c r="D59"/>
  <c r="D64"/>
  <c r="I127" a="1"/>
  <c r="I127" s="1"/>
  <c r="I124" a="1"/>
  <c r="I124" s="1"/>
  <c r="I123" a="1"/>
  <c r="I123" s="1"/>
  <c r="I122" a="1"/>
  <c r="I122" s="1"/>
  <c r="I126" a="1"/>
  <c r="I126" s="1"/>
  <c r="I125" a="1"/>
  <c r="I125" s="1"/>
  <c r="I129" a="1"/>
  <c r="I129" s="1"/>
  <c r="H92" a="1"/>
  <c r="H92" s="1"/>
  <c r="H94" s="1"/>
  <c r="T83" i="75"/>
  <c r="S83"/>
  <c r="H128" i="77" a="1"/>
  <c r="H128" s="1"/>
  <c r="H130" s="1"/>
  <c r="M167"/>
  <c r="G167"/>
  <c r="D167"/>
  <c r="A167"/>
  <c r="J168"/>
  <c r="I167"/>
  <c r="E167"/>
  <c r="K167"/>
  <c r="F167"/>
  <c r="B167"/>
  <c r="C167"/>
  <c r="L167"/>
  <c r="H167"/>
  <c r="I93" a="1"/>
  <c r="I93" s="1"/>
  <c r="I90" a="1"/>
  <c r="I90" s="1"/>
  <c r="I87" a="1"/>
  <c r="I87" s="1"/>
  <c r="I89" a="1"/>
  <c r="I89" s="1"/>
  <c r="I88" a="1"/>
  <c r="I88" s="1"/>
  <c r="I91" a="1"/>
  <c r="I91" s="1"/>
  <c r="I86" a="1"/>
  <c r="I86" s="1"/>
  <c r="I98" s="1"/>
  <c r="T83"/>
  <c r="E140"/>
  <c r="P120" s="1"/>
  <c r="E53"/>
  <c r="S83"/>
  <c r="E207" i="76"/>
  <c r="I127" a="1"/>
  <c r="I127" s="1"/>
  <c r="I124" a="1"/>
  <c r="I124" s="1"/>
  <c r="I129" a="1"/>
  <c r="I129" s="1"/>
  <c r="I126" a="1"/>
  <c r="I126" s="1"/>
  <c r="I123" a="1"/>
  <c r="I123" s="1"/>
  <c r="I125" a="1"/>
  <c r="I125" s="1"/>
  <c r="I122" a="1"/>
  <c r="I122" s="1"/>
  <c r="L168"/>
  <c r="I168"/>
  <c r="F168"/>
  <c r="C168"/>
  <c r="M168"/>
  <c r="G168"/>
  <c r="D168"/>
  <c r="A168"/>
  <c r="J169"/>
  <c r="K168"/>
  <c r="H168"/>
  <c r="E168"/>
  <c r="B168"/>
  <c r="H128" a="1"/>
  <c r="H128" s="1"/>
  <c r="H130" s="1"/>
  <c r="G48"/>
  <c r="F140"/>
  <c r="Q120" s="1"/>
  <c r="F53"/>
  <c r="F207"/>
  <c r="E140"/>
  <c r="E53"/>
  <c r="H104"/>
  <c r="H42"/>
  <c r="R84"/>
  <c r="F207" i="75"/>
  <c r="E207"/>
  <c r="G104"/>
  <c r="G42"/>
  <c r="D59"/>
  <c r="D64"/>
  <c r="H42"/>
  <c r="I127" a="1"/>
  <c r="I127" s="1"/>
  <c r="I124" a="1"/>
  <c r="I124" s="1"/>
  <c r="I129" a="1"/>
  <c r="I129" s="1"/>
  <c r="I126" a="1"/>
  <c r="I126" s="1"/>
  <c r="I123" a="1"/>
  <c r="I123" s="1"/>
  <c r="I125" a="1"/>
  <c r="I125" s="1"/>
  <c r="I122" a="1"/>
  <c r="I122" s="1"/>
  <c r="H128" a="1"/>
  <c r="H128" s="1"/>
  <c r="H130" s="1"/>
  <c r="F140"/>
  <c r="F141" s="1"/>
  <c r="F53"/>
  <c r="L168"/>
  <c r="I168"/>
  <c r="F168"/>
  <c r="C168"/>
  <c r="M168"/>
  <c r="G168"/>
  <c r="D168"/>
  <c r="A168"/>
  <c r="J169"/>
  <c r="K168"/>
  <c r="H168"/>
  <c r="E168"/>
  <c r="B168"/>
  <c r="E140"/>
  <c r="E141" s="1"/>
  <c r="E53"/>
  <c r="O120"/>
  <c r="I90" a="1"/>
  <c r="I90" s="1"/>
  <c r="F105" i="74"/>
  <c r="Q84"/>
  <c r="H92" a="1"/>
  <c r="H92" s="1"/>
  <c r="H94" s="1"/>
  <c r="G104"/>
  <c r="G42"/>
  <c r="D59"/>
  <c r="D64"/>
  <c r="F48"/>
  <c r="E140"/>
  <c r="P120" s="1"/>
  <c r="E53"/>
  <c r="E207"/>
  <c r="S83"/>
  <c r="I128" a="1"/>
  <c r="I128" s="1"/>
  <c r="I130" s="1"/>
  <c r="J130" s="1"/>
  <c r="T83"/>
  <c r="I90" a="1"/>
  <c r="I90" s="1"/>
  <c r="I89" a="1"/>
  <c r="I89" s="1"/>
  <c r="I93" a="1"/>
  <c r="I93" s="1"/>
  <c r="I91" a="1"/>
  <c r="I91" s="1"/>
  <c r="I86" a="1"/>
  <c r="I86" s="1"/>
  <c r="I98" s="1"/>
  <c r="I87" a="1"/>
  <c r="I87" s="1"/>
  <c r="I88" a="1"/>
  <c r="I88" s="1"/>
  <c r="M167"/>
  <c r="G167"/>
  <c r="D167"/>
  <c r="A167"/>
  <c r="L167"/>
  <c r="I167"/>
  <c r="F167"/>
  <c r="C167"/>
  <c r="J168"/>
  <c r="E167"/>
  <c r="K167"/>
  <c r="B167"/>
  <c r="H167"/>
  <c r="O120" i="70"/>
  <c r="D59" i="73"/>
  <c r="D64"/>
  <c r="S83"/>
  <c r="I128" a="1"/>
  <c r="I128" s="1"/>
  <c r="I130" s="1"/>
  <c r="J130" s="1"/>
  <c r="M167"/>
  <c r="G167"/>
  <c r="D167"/>
  <c r="A167"/>
  <c r="J168"/>
  <c r="K167"/>
  <c r="H167"/>
  <c r="E167"/>
  <c r="B167"/>
  <c r="L167"/>
  <c r="I167"/>
  <c r="F167"/>
  <c r="C167"/>
  <c r="E140"/>
  <c r="P120" s="1"/>
  <c r="E53"/>
  <c r="E207"/>
  <c r="H92" a="1"/>
  <c r="H92" s="1"/>
  <c r="H94" s="1"/>
  <c r="F105"/>
  <c r="Q84"/>
  <c r="G104"/>
  <c r="G42"/>
  <c r="I93" a="1"/>
  <c r="I93" s="1"/>
  <c r="I90" a="1"/>
  <c r="I90" s="1"/>
  <c r="I87" a="1"/>
  <c r="I87" s="1"/>
  <c r="I89" a="1"/>
  <c r="I89" s="1"/>
  <c r="I86" a="1"/>
  <c r="I86" s="1"/>
  <c r="I98" s="1"/>
  <c r="I91" a="1"/>
  <c r="I91" s="1"/>
  <c r="I88" a="1"/>
  <c r="I88" s="1"/>
  <c r="T83"/>
  <c r="F48"/>
  <c r="H92" i="72" a="1"/>
  <c r="H92" s="1"/>
  <c r="H94" s="1"/>
  <c r="F105"/>
  <c r="Q84"/>
  <c r="L168"/>
  <c r="I168"/>
  <c r="F168"/>
  <c r="C168"/>
  <c r="M168"/>
  <c r="G168"/>
  <c r="D168"/>
  <c r="A168"/>
  <c r="J169"/>
  <c r="K168"/>
  <c r="H168"/>
  <c r="E168"/>
  <c r="B168"/>
  <c r="E140"/>
  <c r="P120" s="1"/>
  <c r="E53"/>
  <c r="I93" a="1"/>
  <c r="I93" s="1"/>
  <c r="I90" a="1"/>
  <c r="I90" s="1"/>
  <c r="I87" a="1"/>
  <c r="I87" s="1"/>
  <c r="I89" a="1"/>
  <c r="I89" s="1"/>
  <c r="I86" a="1"/>
  <c r="I86" s="1"/>
  <c r="I98" s="1"/>
  <c r="I91" a="1"/>
  <c r="I91" s="1"/>
  <c r="I88" a="1"/>
  <c r="I88" s="1"/>
  <c r="T83"/>
  <c r="F48"/>
  <c r="G104"/>
  <c r="G42"/>
  <c r="E207"/>
  <c r="D59"/>
  <c r="D64"/>
  <c r="L168" i="71"/>
  <c r="I168"/>
  <c r="F168"/>
  <c r="C168"/>
  <c r="M168"/>
  <c r="G168"/>
  <c r="D168"/>
  <c r="A168"/>
  <c r="J169"/>
  <c r="K168"/>
  <c r="H168"/>
  <c r="E168"/>
  <c r="B168"/>
  <c r="E207"/>
  <c r="Q84" i="70"/>
  <c r="S83" i="71"/>
  <c r="T83"/>
  <c r="I90" a="1"/>
  <c r="I90" s="1"/>
  <c r="I86" a="1"/>
  <c r="I86" s="1"/>
  <c r="I98" s="1"/>
  <c r="I93" a="1"/>
  <c r="I93" s="1"/>
  <c r="I89" a="1"/>
  <c r="I89" s="1"/>
  <c r="I88" a="1"/>
  <c r="I88" s="1"/>
  <c r="I87" a="1"/>
  <c r="I87" s="1"/>
  <c r="I91" a="1"/>
  <c r="I91" s="1"/>
  <c r="E140"/>
  <c r="E141" s="1"/>
  <c r="E53"/>
  <c r="H92" a="1"/>
  <c r="H92" s="1"/>
  <c r="H94" s="1"/>
  <c r="D59"/>
  <c r="D64"/>
  <c r="G104"/>
  <c r="G42"/>
  <c r="F48"/>
  <c r="I93" i="70" a="1"/>
  <c r="I93" s="1"/>
  <c r="I90" a="1"/>
  <c r="I90" s="1"/>
  <c r="I87" a="1"/>
  <c r="I87" s="1"/>
  <c r="I89" a="1"/>
  <c r="I89" s="1"/>
  <c r="I91" a="1"/>
  <c r="I91" s="1"/>
  <c r="I86" a="1"/>
  <c r="I86" s="1"/>
  <c r="I98" s="1"/>
  <c r="I88" a="1"/>
  <c r="I88" s="1"/>
  <c r="T83"/>
  <c r="D59"/>
  <c r="D64"/>
  <c r="S83"/>
  <c r="I128" a="1"/>
  <c r="I128" s="1"/>
  <c r="I130" s="1"/>
  <c r="J130" s="1"/>
  <c r="L168"/>
  <c r="I168"/>
  <c r="F168"/>
  <c r="C168"/>
  <c r="M168"/>
  <c r="G168"/>
  <c r="D168"/>
  <c r="A168"/>
  <c r="J169"/>
  <c r="K168"/>
  <c r="H168"/>
  <c r="E168"/>
  <c r="B168"/>
  <c r="E140"/>
  <c r="P120" s="1"/>
  <c r="E53"/>
  <c r="G104"/>
  <c r="G42"/>
  <c r="F48"/>
  <c r="E207"/>
  <c r="H92" a="1"/>
  <c r="H92" s="1"/>
  <c r="H94" s="1"/>
  <c r="G207" i="69"/>
  <c r="F140"/>
  <c r="Q120" s="1"/>
  <c r="F53"/>
  <c r="H104"/>
  <c r="H42"/>
  <c r="E140"/>
  <c r="E53"/>
  <c r="F207"/>
  <c r="L168"/>
  <c r="I168"/>
  <c r="F168"/>
  <c r="C168"/>
  <c r="M168"/>
  <c r="G168"/>
  <c r="D168"/>
  <c r="A168"/>
  <c r="J169"/>
  <c r="K168"/>
  <c r="H168"/>
  <c r="E168"/>
  <c r="B168"/>
  <c r="G140"/>
  <c r="G141" s="1"/>
  <c r="G53"/>
  <c r="E207"/>
  <c r="E140" i="68"/>
  <c r="E53"/>
  <c r="I127" a="1"/>
  <c r="I127" s="1"/>
  <c r="I124" a="1"/>
  <c r="I124" s="1"/>
  <c r="I129" a="1"/>
  <c r="I129" s="1"/>
  <c r="I126" a="1"/>
  <c r="I126" s="1"/>
  <c r="I123" a="1"/>
  <c r="I123" s="1"/>
  <c r="I125" a="1"/>
  <c r="I125" s="1"/>
  <c r="I122" a="1"/>
  <c r="I122" s="1"/>
  <c r="H42"/>
  <c r="F140"/>
  <c r="F53"/>
  <c r="F207"/>
  <c r="F141"/>
  <c r="H128" a="1"/>
  <c r="H128" s="1"/>
  <c r="H130" s="1"/>
  <c r="E207"/>
  <c r="E141"/>
  <c r="M167"/>
  <c r="G167"/>
  <c r="D167"/>
  <c r="A167"/>
  <c r="J168"/>
  <c r="K167"/>
  <c r="H167"/>
  <c r="E167"/>
  <c r="B167"/>
  <c r="L167"/>
  <c r="I167"/>
  <c r="F167"/>
  <c r="C167"/>
  <c r="F48" i="67"/>
  <c r="D59"/>
  <c r="D64"/>
  <c r="E140"/>
  <c r="E141" s="1"/>
  <c r="E53"/>
  <c r="S83"/>
  <c r="H92" a="1"/>
  <c r="H92" s="1"/>
  <c r="H94" s="1"/>
  <c r="E208"/>
  <c r="F105"/>
  <c r="Q84"/>
  <c r="G104"/>
  <c r="G105" s="1"/>
  <c r="G42"/>
  <c r="I93" a="1"/>
  <c r="I93" s="1"/>
  <c r="I90" a="1"/>
  <c r="I90" s="1"/>
  <c r="I87" a="1"/>
  <c r="I87" s="1"/>
  <c r="I89" a="1"/>
  <c r="I89" s="1"/>
  <c r="I86" a="1"/>
  <c r="I86" s="1"/>
  <c r="I98" s="1"/>
  <c r="I91" a="1"/>
  <c r="I91" s="1"/>
  <c r="I88" a="1"/>
  <c r="I88" s="1"/>
  <c r="T83"/>
  <c r="L168"/>
  <c r="I168"/>
  <c r="F168"/>
  <c r="C168"/>
  <c r="M168"/>
  <c r="G168"/>
  <c r="D168"/>
  <c r="A168"/>
  <c r="J169"/>
  <c r="K168"/>
  <c r="H168"/>
  <c r="E168"/>
  <c r="B168"/>
  <c r="B87" i="114"/>
  <c r="C87" s="1"/>
  <c r="A96"/>
  <c r="A97" i="113"/>
  <c r="B88"/>
  <c r="C88" s="1"/>
  <c r="A97" i="7"/>
  <c r="B88"/>
  <c r="A318"/>
  <c r="B309"/>
  <c r="I838" i="111" l="1"/>
  <c r="T838" s="1"/>
  <c r="E191" a="1"/>
  <c r="J196" s="1"/>
  <c r="U196" s="1"/>
  <c r="M284" i="105"/>
  <c r="I128" i="71" a="1"/>
  <c r="I128" s="1"/>
  <c r="I130" s="1"/>
  <c r="J130" s="1"/>
  <c r="E141" i="104"/>
  <c r="E133" i="63"/>
  <c r="I137" i="84"/>
  <c r="I56" s="1"/>
  <c r="I67" s="1"/>
  <c r="S371" i="105" s="1"/>
  <c r="I136" i="84"/>
  <c r="I55" s="1"/>
  <c r="I66" s="1"/>
  <c r="S370" i="105" s="1"/>
  <c r="I139" i="84"/>
  <c r="I58" s="1"/>
  <c r="I69" s="1"/>
  <c r="S373" i="105" s="1"/>
  <c r="I138" i="84"/>
  <c r="I57" s="1"/>
  <c r="I68" s="1"/>
  <c r="S372" i="105" s="1"/>
  <c r="I135" i="84"/>
  <c r="I54" s="1"/>
  <c r="I65" s="1"/>
  <c r="S369" i="105" s="1"/>
  <c r="G135" i="48"/>
  <c r="R114"/>
  <c r="R119" s="1"/>
  <c r="G135" i="55"/>
  <c r="R114"/>
  <c r="R119" s="1"/>
  <c r="G138" i="52"/>
  <c r="R117"/>
  <c r="R119" s="1"/>
  <c r="G136" i="83"/>
  <c r="R115"/>
  <c r="R119" s="1"/>
  <c r="G138" i="41"/>
  <c r="G57" s="1"/>
  <c r="G68" s="1"/>
  <c r="Q48" i="105" s="1"/>
  <c r="R117" i="41"/>
  <c r="R119" s="1"/>
  <c r="H136" i="49"/>
  <c r="H55" s="1"/>
  <c r="H66" s="1"/>
  <c r="R120" i="105" s="1"/>
  <c r="S115" i="49"/>
  <c r="H138" i="86"/>
  <c r="H57" s="1"/>
  <c r="H68" s="1"/>
  <c r="R392" i="105" s="1"/>
  <c r="S117" i="86"/>
  <c r="H137" i="85"/>
  <c r="H56" s="1"/>
  <c r="H67" s="1"/>
  <c r="R382" i="105" s="1"/>
  <c r="S116" i="85"/>
  <c r="H136" i="60"/>
  <c r="H55" s="1"/>
  <c r="H66" s="1"/>
  <c r="R219" i="105" s="1"/>
  <c r="S115" i="60"/>
  <c r="H139" i="47"/>
  <c r="H58" s="1"/>
  <c r="H69" s="1"/>
  <c r="R105" i="105" s="1"/>
  <c r="S118" i="47"/>
  <c r="H137" i="46"/>
  <c r="H56" s="1"/>
  <c r="H67" s="1"/>
  <c r="R92" i="105" s="1"/>
  <c r="S116" i="46"/>
  <c r="H135" i="43"/>
  <c r="H54" s="1"/>
  <c r="H65" s="1"/>
  <c r="R63" i="105" s="1"/>
  <c r="S114" i="43"/>
  <c r="H135" i="39"/>
  <c r="H54" s="1"/>
  <c r="H65" s="1"/>
  <c r="R27" i="105" s="1"/>
  <c r="S114" i="39"/>
  <c r="H138" i="32"/>
  <c r="H57" s="1"/>
  <c r="H68" s="1"/>
  <c r="S117"/>
  <c r="H138" i="109"/>
  <c r="H57" s="1"/>
  <c r="H68" s="1"/>
  <c r="R576" i="105" s="1"/>
  <c r="S117" i="109"/>
  <c r="H139" i="108"/>
  <c r="H58" s="1"/>
  <c r="H69" s="1"/>
  <c r="R568" i="105" s="1"/>
  <c r="S118" i="108"/>
  <c r="H136" i="101"/>
  <c r="H55" s="1"/>
  <c r="H66" s="1"/>
  <c r="R545" i="105" s="1"/>
  <c r="S115" i="101"/>
  <c r="H138" i="99"/>
  <c r="H57" s="1"/>
  <c r="H68" s="1"/>
  <c r="R529" i="105" s="1"/>
  <c r="S117" i="99"/>
  <c r="H135" i="98"/>
  <c r="H54" s="1"/>
  <c r="H65" s="1"/>
  <c r="R517" i="105" s="1"/>
  <c r="S114" i="98"/>
  <c r="H137" i="97"/>
  <c r="H56" s="1"/>
  <c r="H67" s="1"/>
  <c r="R508" i="105" s="1"/>
  <c r="S116" i="97"/>
  <c r="H136" i="91"/>
  <c r="H55" s="1"/>
  <c r="H66" s="1"/>
  <c r="R453" i="105" s="1"/>
  <c r="S115" i="91"/>
  <c r="H137" i="80"/>
  <c r="H56" s="1"/>
  <c r="H67" s="1"/>
  <c r="R427" i="105" s="1"/>
  <c r="S116" i="80"/>
  <c r="H138" i="85"/>
  <c r="H57" s="1"/>
  <c r="H68" s="1"/>
  <c r="R383" i="105" s="1"/>
  <c r="S117" i="85"/>
  <c r="H136" i="78"/>
  <c r="H55" s="1"/>
  <c r="H66" s="1"/>
  <c r="R334" i="105" s="1"/>
  <c r="S115" i="78"/>
  <c r="H139" i="73"/>
  <c r="H58" s="1"/>
  <c r="H69" s="1"/>
  <c r="R292" i="105" s="1"/>
  <c r="S118" i="73"/>
  <c r="H138" i="72"/>
  <c r="H57" s="1"/>
  <c r="H68" s="1"/>
  <c r="R281" i="105" s="1"/>
  <c r="S117" i="72"/>
  <c r="H138" i="70"/>
  <c r="H57" s="1"/>
  <c r="H68" s="1"/>
  <c r="R262" i="105" s="1"/>
  <c r="S117" i="70"/>
  <c r="H136" i="39"/>
  <c r="H55" s="1"/>
  <c r="H66" s="1"/>
  <c r="R28" i="105" s="1"/>
  <c r="S115" i="39"/>
  <c r="H136" i="68"/>
  <c r="H55" s="1"/>
  <c r="H66" s="1"/>
  <c r="R242" i="105" s="1"/>
  <c r="S115" i="68"/>
  <c r="H135" i="86"/>
  <c r="H54" s="1"/>
  <c r="H65" s="1"/>
  <c r="R389" i="105" s="1"/>
  <c r="S114" i="86"/>
  <c r="H137" i="75"/>
  <c r="H56" s="1"/>
  <c r="H67" s="1"/>
  <c r="R308" i="105" s="1"/>
  <c r="S116" i="75"/>
  <c r="H139" i="60"/>
  <c r="H58" s="1"/>
  <c r="H69" s="1"/>
  <c r="R222" i="105" s="1"/>
  <c r="S118" i="60"/>
  <c r="H137" i="59"/>
  <c r="H56" s="1"/>
  <c r="H67" s="1"/>
  <c r="R211" i="105" s="1"/>
  <c r="S116" i="59"/>
  <c r="H136" i="58"/>
  <c r="H55" s="1"/>
  <c r="H66" s="1"/>
  <c r="R201" i="105" s="1"/>
  <c r="S115" i="58"/>
  <c r="H135" i="53"/>
  <c r="H54" s="1"/>
  <c r="H65" s="1"/>
  <c r="R155" i="105" s="1"/>
  <c r="S114" i="53"/>
  <c r="H139" i="50"/>
  <c r="H58" s="1"/>
  <c r="H69" s="1"/>
  <c r="R132" i="105" s="1"/>
  <c r="S118" i="50"/>
  <c r="H135" i="47"/>
  <c r="H54" s="1"/>
  <c r="H65" s="1"/>
  <c r="R101" i="105" s="1"/>
  <c r="S114" i="47"/>
  <c r="H135" i="45"/>
  <c r="H54" s="1"/>
  <c r="H65" s="1"/>
  <c r="R81" i="105" s="1"/>
  <c r="S114" i="45"/>
  <c r="H139" i="43"/>
  <c r="H58" s="1"/>
  <c r="H69" s="1"/>
  <c r="R67" i="105" s="1"/>
  <c r="S118" i="43"/>
  <c r="H139" i="42"/>
  <c r="H58" s="1"/>
  <c r="H69" s="1"/>
  <c r="R58" i="105" s="1"/>
  <c r="S118" i="42"/>
  <c r="H136" i="40"/>
  <c r="H55" s="1"/>
  <c r="H66" s="1"/>
  <c r="R37" i="105" s="1"/>
  <c r="S115" i="40"/>
  <c r="H137" i="32"/>
  <c r="H56" s="1"/>
  <c r="H67" s="1"/>
  <c r="S116"/>
  <c r="H139" i="102"/>
  <c r="H58" s="1"/>
  <c r="H69" s="1"/>
  <c r="R559" i="105" s="1"/>
  <c r="S118" i="102"/>
  <c r="H135" i="101"/>
  <c r="H54" s="1"/>
  <c r="H65" s="1"/>
  <c r="R544" i="105" s="1"/>
  <c r="S114" i="101"/>
  <c r="H137" i="100"/>
  <c r="H56" s="1"/>
  <c r="H67" s="1"/>
  <c r="R537" i="105" s="1"/>
  <c r="S116" i="100"/>
  <c r="H138" i="98"/>
  <c r="H57" s="1"/>
  <c r="H68" s="1"/>
  <c r="R520" i="105" s="1"/>
  <c r="S117" i="98"/>
  <c r="H135" i="96"/>
  <c r="H54" s="1"/>
  <c r="H65" s="1"/>
  <c r="R497" i="105" s="1"/>
  <c r="S114" i="96"/>
  <c r="H139" i="80"/>
  <c r="H58" s="1"/>
  <c r="H69" s="1"/>
  <c r="R429" i="105" s="1"/>
  <c r="S118" i="80"/>
  <c r="H137" i="78"/>
  <c r="H56" s="1"/>
  <c r="H67" s="1"/>
  <c r="R335" i="105" s="1"/>
  <c r="S116" i="78"/>
  <c r="H135" i="74"/>
  <c r="H54" s="1"/>
  <c r="H65" s="1"/>
  <c r="R297" i="105" s="1"/>
  <c r="S114" i="74"/>
  <c r="H137" i="72"/>
  <c r="H56" s="1"/>
  <c r="H67" s="1"/>
  <c r="R280" i="105" s="1"/>
  <c r="S116" i="72"/>
  <c r="H137" i="70"/>
  <c r="H56" s="1"/>
  <c r="H67" s="1"/>
  <c r="R261" i="105" s="1"/>
  <c r="S116" i="70"/>
  <c r="H139" i="100"/>
  <c r="H58" s="1"/>
  <c r="H69" s="1"/>
  <c r="R539" i="105" s="1"/>
  <c r="S118" i="100"/>
  <c r="H139" i="90"/>
  <c r="H58" s="1"/>
  <c r="H69" s="1"/>
  <c r="R447" i="105" s="1"/>
  <c r="S118" i="90"/>
  <c r="H135" i="49"/>
  <c r="H54" s="1"/>
  <c r="H65" s="1"/>
  <c r="R119" i="105" s="1"/>
  <c r="S114" i="49"/>
  <c r="H137" i="108"/>
  <c r="H56" s="1"/>
  <c r="H67" s="1"/>
  <c r="R566" i="105" s="1"/>
  <c r="S116" i="108"/>
  <c r="H139" i="127"/>
  <c r="H58" s="1"/>
  <c r="H69" s="1"/>
  <c r="R586" i="105" s="1"/>
  <c r="S118" i="127"/>
  <c r="H138" i="75"/>
  <c r="H57" s="1"/>
  <c r="H68" s="1"/>
  <c r="R309" i="105" s="1"/>
  <c r="S117" i="75"/>
  <c r="H139" i="59"/>
  <c r="H58" s="1"/>
  <c r="H69" s="1"/>
  <c r="R213" i="105" s="1"/>
  <c r="S118" i="59"/>
  <c r="H137" i="58"/>
  <c r="H56" s="1"/>
  <c r="H67" s="1"/>
  <c r="R202" i="105" s="1"/>
  <c r="S116" i="58"/>
  <c r="H138" i="50"/>
  <c r="H57" s="1"/>
  <c r="H68" s="1"/>
  <c r="R131" i="105" s="1"/>
  <c r="S117" i="50"/>
  <c r="H137" i="40"/>
  <c r="H56" s="1"/>
  <c r="H67" s="1"/>
  <c r="R38" i="105" s="1"/>
  <c r="S116" i="40"/>
  <c r="H139" i="38"/>
  <c r="H58" s="1"/>
  <c r="H69" s="1"/>
  <c r="R22" i="105" s="1"/>
  <c r="S118" i="38"/>
  <c r="H139" i="109"/>
  <c r="H58" s="1"/>
  <c r="H69" s="1"/>
  <c r="R577" i="105" s="1"/>
  <c r="S118" i="109"/>
  <c r="H137" i="102"/>
  <c r="H56" s="1"/>
  <c r="H67" s="1"/>
  <c r="R557" i="105" s="1"/>
  <c r="S116" i="102"/>
  <c r="H135" i="99"/>
  <c r="H54" s="1"/>
  <c r="H65" s="1"/>
  <c r="R526" i="105" s="1"/>
  <c r="S114" i="99"/>
  <c r="H139" i="96"/>
  <c r="H58" s="1"/>
  <c r="H69" s="1"/>
  <c r="R501" i="105" s="1"/>
  <c r="S118" i="96"/>
  <c r="H138" i="93"/>
  <c r="H57" s="1"/>
  <c r="H68" s="1"/>
  <c r="R473" i="105" s="1"/>
  <c r="S117" i="93"/>
  <c r="H137" i="91"/>
  <c r="H56" s="1"/>
  <c r="H67" s="1"/>
  <c r="R454" i="105" s="1"/>
  <c r="S116" i="91"/>
  <c r="H138" i="79"/>
  <c r="H57" s="1"/>
  <c r="H68" s="1"/>
  <c r="R419" i="105" s="1"/>
  <c r="S117" i="79"/>
  <c r="H139" i="85"/>
  <c r="H58" s="1"/>
  <c r="H69" s="1"/>
  <c r="R384" i="105" s="1"/>
  <c r="S118" i="85"/>
  <c r="H139" i="78"/>
  <c r="H58" s="1"/>
  <c r="H69" s="1"/>
  <c r="R337" i="105" s="1"/>
  <c r="S118" i="78"/>
  <c r="H136" i="73"/>
  <c r="H55" s="1"/>
  <c r="H66" s="1"/>
  <c r="R289" i="105" s="1"/>
  <c r="S115" i="73"/>
  <c r="H135" i="72"/>
  <c r="H54" s="1"/>
  <c r="H65" s="1"/>
  <c r="R278" i="105" s="1"/>
  <c r="S114" i="72"/>
  <c r="H136" i="70"/>
  <c r="H55" s="1"/>
  <c r="H66" s="1"/>
  <c r="R260" i="105" s="1"/>
  <c r="S115" i="70"/>
  <c r="H136" i="67"/>
  <c r="H55" s="1"/>
  <c r="H66" s="1"/>
  <c r="S115"/>
  <c r="H139" i="49"/>
  <c r="H58" s="1"/>
  <c r="H69" s="1"/>
  <c r="R123" i="105" s="1"/>
  <c r="S118" i="49"/>
  <c r="H136" i="38"/>
  <c r="H55" s="1"/>
  <c r="H66" s="1"/>
  <c r="R19" i="105" s="1"/>
  <c r="S115" i="38"/>
  <c r="H137" i="82"/>
  <c r="H56" s="1"/>
  <c r="H67" s="1"/>
  <c r="R353" i="105" s="1"/>
  <c r="S116" i="82"/>
  <c r="H137" i="127"/>
  <c r="H56" s="1"/>
  <c r="H67" s="1"/>
  <c r="R584" i="105" s="1"/>
  <c r="S116" i="127"/>
  <c r="H138" i="58"/>
  <c r="H57" s="1"/>
  <c r="H68" s="1"/>
  <c r="R203" i="105" s="1"/>
  <c r="S117" i="58"/>
  <c r="H138" i="47"/>
  <c r="H57" s="1"/>
  <c r="H68" s="1"/>
  <c r="R104" i="105" s="1"/>
  <c r="S117" i="47"/>
  <c r="H136" i="46"/>
  <c r="H55" s="1"/>
  <c r="H66" s="1"/>
  <c r="R91" i="105" s="1"/>
  <c r="S115" i="46"/>
  <c r="H136" i="43"/>
  <c r="H55" s="1"/>
  <c r="H66" s="1"/>
  <c r="R64" i="105" s="1"/>
  <c r="S115" i="43"/>
  <c r="H135" i="42"/>
  <c r="H54" s="1"/>
  <c r="H65" s="1"/>
  <c r="R54" i="105" s="1"/>
  <c r="S114" i="42"/>
  <c r="H138" i="40"/>
  <c r="H57" s="1"/>
  <c r="H68" s="1"/>
  <c r="R39" i="105" s="1"/>
  <c r="S117" i="40"/>
  <c r="H139" i="32"/>
  <c r="H58" s="1"/>
  <c r="H69" s="1"/>
  <c r="S118"/>
  <c r="H135" i="127"/>
  <c r="H54" s="1"/>
  <c r="H65" s="1"/>
  <c r="R582" i="105" s="1"/>
  <c r="S114" i="127"/>
  <c r="H135" i="108"/>
  <c r="H54" s="1"/>
  <c r="H65" s="1"/>
  <c r="R564" i="105" s="1"/>
  <c r="S114" i="108"/>
  <c r="H135" i="102"/>
  <c r="H54" s="1"/>
  <c r="H65" s="1"/>
  <c r="R555" i="105" s="1"/>
  <c r="S114" i="102"/>
  <c r="H136" i="99"/>
  <c r="H55" s="1"/>
  <c r="H66" s="1"/>
  <c r="R527" i="105" s="1"/>
  <c r="S115" i="99"/>
  <c r="H136" i="98"/>
  <c r="H55" s="1"/>
  <c r="H66" s="1"/>
  <c r="R518" i="105" s="1"/>
  <c r="S115" i="98"/>
  <c r="H138" i="97"/>
  <c r="H57" s="1"/>
  <c r="H68" s="1"/>
  <c r="R509" i="105" s="1"/>
  <c r="S117" i="97"/>
  <c r="H135" i="93"/>
  <c r="H54" s="1"/>
  <c r="H65" s="1"/>
  <c r="R470" i="105" s="1"/>
  <c r="S114" i="93"/>
  <c r="H138" i="80"/>
  <c r="H57" s="1"/>
  <c r="H68" s="1"/>
  <c r="R428" i="105" s="1"/>
  <c r="S117" i="80"/>
  <c r="H135" i="78"/>
  <c r="H54" s="1"/>
  <c r="H65" s="1"/>
  <c r="R333" i="105" s="1"/>
  <c r="S114" i="78"/>
  <c r="H137" i="77"/>
  <c r="H56" s="1"/>
  <c r="H67" s="1"/>
  <c r="R326" i="105" s="1"/>
  <c r="S116" i="77"/>
  <c r="H137" i="74"/>
  <c r="H56" s="1"/>
  <c r="H67" s="1"/>
  <c r="R299" i="105" s="1"/>
  <c r="S116" i="74"/>
  <c r="H139" i="72"/>
  <c r="H58" s="1"/>
  <c r="H69" s="1"/>
  <c r="R282" i="105" s="1"/>
  <c r="S118" i="72"/>
  <c r="H139" i="70"/>
  <c r="H58" s="1"/>
  <c r="H69" s="1"/>
  <c r="R263" i="105" s="1"/>
  <c r="S118" i="70"/>
  <c r="H137" i="67"/>
  <c r="H56" s="1"/>
  <c r="H67" s="1"/>
  <c r="S116"/>
  <c r="H135" i="38"/>
  <c r="H54" s="1"/>
  <c r="H65" s="1"/>
  <c r="R18" i="105" s="1"/>
  <c r="S114" i="38"/>
  <c r="H135" i="82"/>
  <c r="H54" s="1"/>
  <c r="H65" s="1"/>
  <c r="R351" i="105" s="1"/>
  <c r="S114" i="82"/>
  <c r="H136" i="75"/>
  <c r="H55" s="1"/>
  <c r="H66" s="1"/>
  <c r="R307" i="105" s="1"/>
  <c r="S115" i="75"/>
  <c r="H136" i="45"/>
  <c r="H55" s="1"/>
  <c r="H66" s="1"/>
  <c r="R82" i="105" s="1"/>
  <c r="S115" i="45"/>
  <c r="H137" i="60"/>
  <c r="H56" s="1"/>
  <c r="H67" s="1"/>
  <c r="R220" i="105" s="1"/>
  <c r="S116" i="60"/>
  <c r="H138" i="59"/>
  <c r="H57" s="1"/>
  <c r="H68" s="1"/>
  <c r="R212" i="105" s="1"/>
  <c r="S117" i="59"/>
  <c r="H137" i="53"/>
  <c r="H56" s="1"/>
  <c r="H67" s="1"/>
  <c r="R157" i="105" s="1"/>
  <c r="S116" i="53"/>
  <c r="H137" i="50"/>
  <c r="H56" s="1"/>
  <c r="H67" s="1"/>
  <c r="R130" i="105" s="1"/>
  <c r="S116" i="50"/>
  <c r="H136" i="47"/>
  <c r="H55" s="1"/>
  <c r="H66" s="1"/>
  <c r="R102" i="105" s="1"/>
  <c r="S115" i="47"/>
  <c r="H138" i="46"/>
  <c r="H57" s="1"/>
  <c r="H68" s="1"/>
  <c r="R93" i="105" s="1"/>
  <c r="S117" i="46"/>
  <c r="H139" i="44"/>
  <c r="H58" s="1"/>
  <c r="H69" s="1"/>
  <c r="R76" i="105" s="1"/>
  <c r="S118" i="44"/>
  <c r="H137" i="43"/>
  <c r="H56" s="1"/>
  <c r="H67" s="1"/>
  <c r="R65" i="105" s="1"/>
  <c r="S116" i="43"/>
  <c r="H139" i="40"/>
  <c r="H58" s="1"/>
  <c r="H69" s="1"/>
  <c r="R40" i="105" s="1"/>
  <c r="S118" i="40"/>
  <c r="H139" i="39"/>
  <c r="H58" s="1"/>
  <c r="H69" s="1"/>
  <c r="R31" i="105" s="1"/>
  <c r="S118" i="39"/>
  <c r="H138" i="108"/>
  <c r="H57" s="1"/>
  <c r="H68" s="1"/>
  <c r="R567" i="105" s="1"/>
  <c r="S117" i="108"/>
  <c r="H139" i="101"/>
  <c r="H58" s="1"/>
  <c r="H69" s="1"/>
  <c r="R548" i="105" s="1"/>
  <c r="S118" i="101"/>
  <c r="H135" i="100"/>
  <c r="H54" s="1"/>
  <c r="H65" s="1"/>
  <c r="R535" i="105" s="1"/>
  <c r="S114" i="100"/>
  <c r="H139" i="98"/>
  <c r="H58" s="1"/>
  <c r="H69" s="1"/>
  <c r="R521" i="105" s="1"/>
  <c r="S118" i="98"/>
  <c r="H136" i="96"/>
  <c r="H55" s="1"/>
  <c r="H66" s="1"/>
  <c r="R498" i="105" s="1"/>
  <c r="S115" i="96"/>
  <c r="H136" i="93"/>
  <c r="H55" s="1"/>
  <c r="H66" s="1"/>
  <c r="R471" i="105" s="1"/>
  <c r="S115" i="93"/>
  <c r="H138" i="91"/>
  <c r="H57" s="1"/>
  <c r="H68" s="1"/>
  <c r="R455" i="105" s="1"/>
  <c r="S117" i="91"/>
  <c r="H136" i="79"/>
  <c r="H55" s="1"/>
  <c r="H66" s="1"/>
  <c r="R417" i="105" s="1"/>
  <c r="S115" i="79"/>
  <c r="H138" i="78"/>
  <c r="H57" s="1"/>
  <c r="H68" s="1"/>
  <c r="R336" i="105" s="1"/>
  <c r="S117" i="78"/>
  <c r="H137" i="73"/>
  <c r="H56" s="1"/>
  <c r="H67" s="1"/>
  <c r="R290" i="105" s="1"/>
  <c r="S116" i="73"/>
  <c r="H138" i="71"/>
  <c r="H57" s="1"/>
  <c r="H68" s="1"/>
  <c r="R272" i="105" s="1"/>
  <c r="S117" i="71"/>
  <c r="H135" i="67"/>
  <c r="H54" s="1"/>
  <c r="H65" s="1"/>
  <c r="S114"/>
  <c r="H139" i="86"/>
  <c r="H58" s="1"/>
  <c r="H69" s="1"/>
  <c r="R393" i="105" s="1"/>
  <c r="S118" i="86"/>
  <c r="H135" i="90"/>
  <c r="H54" s="1"/>
  <c r="H65" s="1"/>
  <c r="R443" i="105" s="1"/>
  <c r="S114" i="90"/>
  <c r="H137" i="49"/>
  <c r="H56" s="1"/>
  <c r="H67" s="1"/>
  <c r="R121" i="105" s="1"/>
  <c r="S116" i="49"/>
  <c r="H138" i="127"/>
  <c r="H57" s="1"/>
  <c r="H68" s="1"/>
  <c r="R585" i="105" s="1"/>
  <c r="S117" i="127"/>
  <c r="H135" i="75"/>
  <c r="H54" s="1"/>
  <c r="H65" s="1"/>
  <c r="R306" i="105" s="1"/>
  <c r="S114" i="75"/>
  <c r="H136" i="44"/>
  <c r="H55" s="1"/>
  <c r="H66" s="1"/>
  <c r="R73" i="105" s="1"/>
  <c r="S115" i="44"/>
  <c r="H138" i="53"/>
  <c r="H57" s="1"/>
  <c r="H68" s="1"/>
  <c r="R158" i="105" s="1"/>
  <c r="S117" i="53"/>
  <c r="H139" i="58"/>
  <c r="H58" s="1"/>
  <c r="H69" s="1"/>
  <c r="R204" i="105" s="1"/>
  <c r="S118" i="58"/>
  <c r="H136" i="53"/>
  <c r="H55" s="1"/>
  <c r="H66" s="1"/>
  <c r="R156" i="105" s="1"/>
  <c r="S115" i="53"/>
  <c r="H137" i="42"/>
  <c r="H56" s="1"/>
  <c r="H67" s="1"/>
  <c r="R56" i="105" s="1"/>
  <c r="S116" i="42"/>
  <c r="H137" i="38"/>
  <c r="H56" s="1"/>
  <c r="H67" s="1"/>
  <c r="R20" i="105" s="1"/>
  <c r="S116" i="38"/>
  <c r="H135" i="32"/>
  <c r="H54" s="1"/>
  <c r="H65" s="1"/>
  <c r="S114"/>
  <c r="H136" i="127"/>
  <c r="H55" s="1"/>
  <c r="H66" s="1"/>
  <c r="R583" i="105" s="1"/>
  <c r="S115" i="127"/>
  <c r="H136" i="108"/>
  <c r="H55" s="1"/>
  <c r="H66" s="1"/>
  <c r="R565" i="105" s="1"/>
  <c r="S115" i="108"/>
  <c r="H138" i="100"/>
  <c r="H57" s="1"/>
  <c r="H68" s="1"/>
  <c r="R538" i="105" s="1"/>
  <c r="S117" i="100"/>
  <c r="H135" i="97"/>
  <c r="H54" s="1"/>
  <c r="H65" s="1"/>
  <c r="R506" i="105" s="1"/>
  <c r="S114" i="97"/>
  <c r="H137" i="96"/>
  <c r="H56" s="1"/>
  <c r="H67" s="1"/>
  <c r="R499" i="105" s="1"/>
  <c r="S116" i="96"/>
  <c r="H139" i="79"/>
  <c r="H58" s="1"/>
  <c r="H69" s="1"/>
  <c r="R420" i="105" s="1"/>
  <c r="S118" i="79"/>
  <c r="H135" i="77"/>
  <c r="H54" s="1"/>
  <c r="H65" s="1"/>
  <c r="R324" i="105" s="1"/>
  <c r="S114" i="77"/>
  <c r="H138" i="74"/>
  <c r="H57" s="1"/>
  <c r="H68" s="1"/>
  <c r="R300" i="105" s="1"/>
  <c r="S117" i="74"/>
  <c r="H136" i="72"/>
  <c r="H55" s="1"/>
  <c r="H66" s="1"/>
  <c r="R279" i="105" s="1"/>
  <c r="S115" i="72"/>
  <c r="H139" i="71"/>
  <c r="H58" s="1"/>
  <c r="H69" s="1"/>
  <c r="R273" i="105" s="1"/>
  <c r="S118" i="71"/>
  <c r="H138" i="67"/>
  <c r="H57" s="1"/>
  <c r="H68" s="1"/>
  <c r="S117"/>
  <c r="H135" i="44"/>
  <c r="H54" s="1"/>
  <c r="H65" s="1"/>
  <c r="R72" i="105" s="1"/>
  <c r="S114" i="44"/>
  <c r="H137" i="68"/>
  <c r="H56" s="1"/>
  <c r="H67" s="1"/>
  <c r="R243" i="105" s="1"/>
  <c r="S116" i="68"/>
  <c r="H138" i="82"/>
  <c r="H57" s="1"/>
  <c r="H68" s="1"/>
  <c r="R354" i="105" s="1"/>
  <c r="S117" i="82"/>
  <c r="H138" i="44"/>
  <c r="H57" s="1"/>
  <c r="H68" s="1"/>
  <c r="R75" i="105" s="1"/>
  <c r="S117" i="44"/>
  <c r="H137" i="86"/>
  <c r="H56" s="1"/>
  <c r="H67" s="1"/>
  <c r="R391" i="105" s="1"/>
  <c r="S116" i="86"/>
  <c r="H135" i="60"/>
  <c r="H54" s="1"/>
  <c r="H65" s="1"/>
  <c r="R218" i="105" s="1"/>
  <c r="S114" i="60"/>
  <c r="H136" i="50"/>
  <c r="H55" s="1"/>
  <c r="H66" s="1"/>
  <c r="R129" i="105" s="1"/>
  <c r="S115" i="50"/>
  <c r="H139" i="46"/>
  <c r="H58" s="1"/>
  <c r="H69" s="1"/>
  <c r="R94" i="105" s="1"/>
  <c r="S118" i="46"/>
  <c r="H137" i="45"/>
  <c r="H56" s="1"/>
  <c r="H67" s="1"/>
  <c r="R83" i="105" s="1"/>
  <c r="S116" i="45"/>
  <c r="H136" i="42"/>
  <c r="H55" s="1"/>
  <c r="H66" s="1"/>
  <c r="R55" i="105" s="1"/>
  <c r="S115" i="42"/>
  <c r="H135" i="40"/>
  <c r="H54" s="1"/>
  <c r="H65" s="1"/>
  <c r="R36" i="105" s="1"/>
  <c r="S114" i="40"/>
  <c r="H138" i="38"/>
  <c r="H57" s="1"/>
  <c r="H68" s="1"/>
  <c r="R21" i="105" s="1"/>
  <c r="S117" i="38"/>
  <c r="H137" i="109"/>
  <c r="H56" s="1"/>
  <c r="H67" s="1"/>
  <c r="R575" i="105" s="1"/>
  <c r="S116" i="109"/>
  <c r="H136" i="102"/>
  <c r="H55" s="1"/>
  <c r="H66" s="1"/>
  <c r="R556" i="105" s="1"/>
  <c r="S115" i="102"/>
  <c r="H136" i="100"/>
  <c r="H55" s="1"/>
  <c r="H66" s="1"/>
  <c r="R536" i="105" s="1"/>
  <c r="S115" i="100"/>
  <c r="H137" i="99"/>
  <c r="H56" s="1"/>
  <c r="H67" s="1"/>
  <c r="R528" i="105" s="1"/>
  <c r="S116" i="99"/>
  <c r="H136" i="97"/>
  <c r="H55" s="1"/>
  <c r="H66" s="1"/>
  <c r="R507" i="105" s="1"/>
  <c r="S115" i="97"/>
  <c r="H139" i="93"/>
  <c r="H58" s="1"/>
  <c r="H69" s="1"/>
  <c r="R474" i="105" s="1"/>
  <c r="S118" i="93"/>
  <c r="H135" i="91"/>
  <c r="H54" s="1"/>
  <c r="H65" s="1"/>
  <c r="R452" i="105" s="1"/>
  <c r="S114" i="91"/>
  <c r="H135" i="79"/>
  <c r="H54" s="1"/>
  <c r="H65" s="1"/>
  <c r="R416" i="105" s="1"/>
  <c r="S114" i="79"/>
  <c r="H139" i="82"/>
  <c r="H58" s="1"/>
  <c r="H69" s="1"/>
  <c r="R355" i="105" s="1"/>
  <c r="S118" i="82"/>
  <c r="H139" i="77"/>
  <c r="H58" s="1"/>
  <c r="H69" s="1"/>
  <c r="R328" i="105" s="1"/>
  <c r="S118" i="77"/>
  <c r="H139" i="74"/>
  <c r="H58" s="1"/>
  <c r="H69" s="1"/>
  <c r="R301" i="105" s="1"/>
  <c r="S118" i="74"/>
  <c r="H138" i="73"/>
  <c r="H57" s="1"/>
  <c r="H68" s="1"/>
  <c r="R291" i="105" s="1"/>
  <c r="S117" i="73"/>
  <c r="H135" i="71"/>
  <c r="H54" s="1"/>
  <c r="H65" s="1"/>
  <c r="R269" i="105" s="1"/>
  <c r="S114" i="71"/>
  <c r="H137" i="90"/>
  <c r="H56" s="1"/>
  <c r="H67" s="1"/>
  <c r="R445" i="105" s="1"/>
  <c r="S116" i="90"/>
  <c r="H136" i="86"/>
  <c r="H55" s="1"/>
  <c r="H66" s="1"/>
  <c r="R390" i="105" s="1"/>
  <c r="S115" i="86"/>
  <c r="H137" i="47"/>
  <c r="H56" s="1"/>
  <c r="H67" s="1"/>
  <c r="R103" i="105" s="1"/>
  <c r="S116" i="47"/>
  <c r="H137" i="44"/>
  <c r="H56" s="1"/>
  <c r="H67" s="1"/>
  <c r="R74" i="105" s="1"/>
  <c r="S116" i="44"/>
  <c r="H139" i="75"/>
  <c r="H58" s="1"/>
  <c r="H69" s="1"/>
  <c r="R310" i="105" s="1"/>
  <c r="S118" i="75"/>
  <c r="H138" i="60"/>
  <c r="H57" s="1"/>
  <c r="H68" s="1"/>
  <c r="R221" i="105" s="1"/>
  <c r="S117" i="60"/>
  <c r="H136" i="59"/>
  <c r="H55" s="1"/>
  <c r="H66" s="1"/>
  <c r="R210" i="105" s="1"/>
  <c r="S115" i="59"/>
  <c r="H135" i="58"/>
  <c r="H54" s="1"/>
  <c r="H65" s="1"/>
  <c r="R200" i="105" s="1"/>
  <c r="S114" i="58"/>
  <c r="H135" i="50"/>
  <c r="H54" s="1"/>
  <c r="H65" s="1"/>
  <c r="R128" i="105" s="1"/>
  <c r="S114" i="50"/>
  <c r="H135" i="46"/>
  <c r="H54" s="1"/>
  <c r="H65" s="1"/>
  <c r="R90" i="105" s="1"/>
  <c r="S114" i="46"/>
  <c r="H139" i="45"/>
  <c r="H58" s="1"/>
  <c r="H69" s="1"/>
  <c r="R85" i="105" s="1"/>
  <c r="S118" i="45"/>
  <c r="H138" i="43"/>
  <c r="H57" s="1"/>
  <c r="H68" s="1"/>
  <c r="R66" i="105" s="1"/>
  <c r="S117" i="43"/>
  <c r="H138" i="42"/>
  <c r="H57" s="1"/>
  <c r="H68" s="1"/>
  <c r="R57" i="105" s="1"/>
  <c r="S117" i="42"/>
  <c r="H137" i="39"/>
  <c r="H56" s="1"/>
  <c r="H67" s="1"/>
  <c r="R29" i="105" s="1"/>
  <c r="S116" i="39"/>
  <c r="H136" i="109"/>
  <c r="H55" s="1"/>
  <c r="H66" s="1"/>
  <c r="R574" i="105" s="1"/>
  <c r="S115" i="109"/>
  <c r="H138" i="102"/>
  <c r="H57" s="1"/>
  <c r="H68" s="1"/>
  <c r="R558" i="105" s="1"/>
  <c r="S117" i="102"/>
  <c r="H137" i="101"/>
  <c r="H56" s="1"/>
  <c r="H67" s="1"/>
  <c r="R546" i="105" s="1"/>
  <c r="S116" i="101"/>
  <c r="H139" i="99"/>
  <c r="H58" s="1"/>
  <c r="H69" s="1"/>
  <c r="R530" i="105" s="1"/>
  <c r="S118" i="99"/>
  <c r="H139" i="97"/>
  <c r="H58" s="1"/>
  <c r="H69" s="1"/>
  <c r="R510" i="105" s="1"/>
  <c r="S118" i="97"/>
  <c r="H139" i="91"/>
  <c r="H58" s="1"/>
  <c r="H69" s="1"/>
  <c r="R456" i="105" s="1"/>
  <c r="S118" i="91"/>
  <c r="H135" i="80"/>
  <c r="H54" s="1"/>
  <c r="H65" s="1"/>
  <c r="R425" i="105" s="1"/>
  <c r="S114" i="80"/>
  <c r="H138" i="77"/>
  <c r="H57" s="1"/>
  <c r="H68" s="1"/>
  <c r="R327" i="105" s="1"/>
  <c r="S117" i="77"/>
  <c r="H136" i="74"/>
  <c r="H55" s="1"/>
  <c r="H66" s="1"/>
  <c r="R298" i="105" s="1"/>
  <c r="S115" i="74"/>
  <c r="H136" i="71"/>
  <c r="H55" s="1"/>
  <c r="H66" s="1"/>
  <c r="R270" i="105" s="1"/>
  <c r="S115" i="71"/>
  <c r="H135" i="85"/>
  <c r="H54" s="1"/>
  <c r="H65" s="1"/>
  <c r="R380" i="105" s="1"/>
  <c r="S114" i="85"/>
  <c r="H135" i="68"/>
  <c r="H54" s="1"/>
  <c r="H65" s="1"/>
  <c r="R241" i="105" s="1"/>
  <c r="S114" i="68"/>
  <c r="H138" i="49"/>
  <c r="H57" s="1"/>
  <c r="H68" s="1"/>
  <c r="R122" i="105" s="1"/>
  <c r="S117" i="49"/>
  <c r="H136" i="82"/>
  <c r="H55" s="1"/>
  <c r="H66" s="1"/>
  <c r="R352" i="105" s="1"/>
  <c r="S115" i="82"/>
  <c r="H135" i="59"/>
  <c r="H54" s="1"/>
  <c r="H65" s="1"/>
  <c r="R209" i="105" s="1"/>
  <c r="S114" i="59"/>
  <c r="H139" i="53"/>
  <c r="H58" s="1"/>
  <c r="H69" s="1"/>
  <c r="R159" i="105" s="1"/>
  <c r="S118" i="53"/>
  <c r="H138" i="45"/>
  <c r="H57" s="1"/>
  <c r="H68" s="1"/>
  <c r="R84" i="105" s="1"/>
  <c r="S117" i="45"/>
  <c r="H138" i="39"/>
  <c r="H57" s="1"/>
  <c r="H68" s="1"/>
  <c r="R30" i="105" s="1"/>
  <c r="S117" i="39"/>
  <c r="H136" i="32"/>
  <c r="H55" s="1"/>
  <c r="S115"/>
  <c r="H135" i="109"/>
  <c r="H54" s="1"/>
  <c r="H65" s="1"/>
  <c r="R573" i="105" s="1"/>
  <c r="S114" i="109"/>
  <c r="H138" i="101"/>
  <c r="H57" s="1"/>
  <c r="H68" s="1"/>
  <c r="R547" i="105" s="1"/>
  <c r="S117" i="101"/>
  <c r="H137" i="98"/>
  <c r="H56" s="1"/>
  <c r="H67" s="1"/>
  <c r="R519" i="105" s="1"/>
  <c r="S116" i="98"/>
  <c r="H138" i="96"/>
  <c r="H57" s="1"/>
  <c r="H68" s="1"/>
  <c r="R500" i="105" s="1"/>
  <c r="S117" i="96"/>
  <c r="H137" i="93"/>
  <c r="H56" s="1"/>
  <c r="H67" s="1"/>
  <c r="R472" i="105" s="1"/>
  <c r="S116" i="93"/>
  <c r="H136" i="80"/>
  <c r="H55" s="1"/>
  <c r="H66" s="1"/>
  <c r="R426" i="105" s="1"/>
  <c r="S115" i="80"/>
  <c r="H137" i="79"/>
  <c r="H56" s="1"/>
  <c r="H67" s="1"/>
  <c r="R418" i="105" s="1"/>
  <c r="S116" i="79"/>
  <c r="H136" i="85"/>
  <c r="H55" s="1"/>
  <c r="H66" s="1"/>
  <c r="R381" i="105" s="1"/>
  <c r="S115" i="85"/>
  <c r="H136" i="77"/>
  <c r="H55" s="1"/>
  <c r="H66" s="1"/>
  <c r="R325" i="105" s="1"/>
  <c r="S115" i="77"/>
  <c r="H135" i="73"/>
  <c r="H54" s="1"/>
  <c r="H65" s="1"/>
  <c r="R288" i="105" s="1"/>
  <c r="S114" i="73"/>
  <c r="H137" i="71"/>
  <c r="H56" s="1"/>
  <c r="H67" s="1"/>
  <c r="R271" i="105" s="1"/>
  <c r="S116" i="71"/>
  <c r="H135" i="70"/>
  <c r="H54" s="1"/>
  <c r="H65" s="1"/>
  <c r="R259" i="105" s="1"/>
  <c r="S114" i="70"/>
  <c r="H139" i="67"/>
  <c r="H58" s="1"/>
  <c r="H69" s="1"/>
  <c r="S118"/>
  <c r="I138" i="56"/>
  <c r="I57" s="1"/>
  <c r="I68" s="1"/>
  <c r="S185" i="105" s="1"/>
  <c r="T117" i="56"/>
  <c r="I138" i="55"/>
  <c r="I57" s="1"/>
  <c r="I68" s="1"/>
  <c r="S176" i="105" s="1"/>
  <c r="T117" i="55"/>
  <c r="I137" i="41"/>
  <c r="I56" s="1"/>
  <c r="I67" s="1"/>
  <c r="S47" i="105" s="1"/>
  <c r="T116" i="41"/>
  <c r="I135" i="81"/>
  <c r="I54" s="1"/>
  <c r="I65" s="1"/>
  <c r="S342" i="105" s="1"/>
  <c r="T114" i="81"/>
  <c r="I135" i="76"/>
  <c r="I54" s="1"/>
  <c r="I65" s="1"/>
  <c r="S315" i="105" s="1"/>
  <c r="T114" i="76"/>
  <c r="I135" i="94"/>
  <c r="I54" s="1"/>
  <c r="I65" s="1"/>
  <c r="S479" i="105" s="1"/>
  <c r="T114" i="94"/>
  <c r="I137"/>
  <c r="I56" s="1"/>
  <c r="I67" s="1"/>
  <c r="S481" i="105" s="1"/>
  <c r="T116" i="94"/>
  <c r="I138" i="92"/>
  <c r="I57" s="1"/>
  <c r="I68" s="1"/>
  <c r="S464" i="105" s="1"/>
  <c r="T117" i="92"/>
  <c r="I135"/>
  <c r="I54" s="1"/>
  <c r="I65" s="1"/>
  <c r="S461" i="105" s="1"/>
  <c r="T114" i="92"/>
  <c r="I137" i="88"/>
  <c r="I56" s="1"/>
  <c r="I67" s="1"/>
  <c r="S409" i="105" s="1"/>
  <c r="T116" i="88"/>
  <c r="I137" i="56"/>
  <c r="I56" s="1"/>
  <c r="I67" s="1"/>
  <c r="S184" i="105" s="1"/>
  <c r="T116" i="56"/>
  <c r="I137" i="76"/>
  <c r="I56" s="1"/>
  <c r="I67" s="1"/>
  <c r="S317" i="105" s="1"/>
  <c r="T116" i="76"/>
  <c r="I137" i="68"/>
  <c r="I56" s="1"/>
  <c r="I67" s="1"/>
  <c r="S243" i="105" s="1"/>
  <c r="T116" i="68"/>
  <c r="I135" i="97"/>
  <c r="I54" s="1"/>
  <c r="I65" s="1"/>
  <c r="S506" i="105" s="1"/>
  <c r="T114" i="97"/>
  <c r="I138" i="83"/>
  <c r="I57" s="1"/>
  <c r="I68" s="1"/>
  <c r="S363" i="105" s="1"/>
  <c r="T117" i="83"/>
  <c r="I135" i="55"/>
  <c r="I54" s="1"/>
  <c r="I65" s="1"/>
  <c r="S173" i="105" s="1"/>
  <c r="T114" i="55"/>
  <c r="I139" i="54"/>
  <c r="I58" s="1"/>
  <c r="I69" s="1"/>
  <c r="S168" i="105" s="1"/>
  <c r="T118" i="54"/>
  <c r="I136" i="52"/>
  <c r="I55" s="1"/>
  <c r="I66" s="1"/>
  <c r="S147" i="105" s="1"/>
  <c r="T115" i="52"/>
  <c r="I135" i="41"/>
  <c r="I54" s="1"/>
  <c r="I65" s="1"/>
  <c r="S45" i="105" s="1"/>
  <c r="T114" i="41"/>
  <c r="I137" i="89"/>
  <c r="I56" s="1"/>
  <c r="I67" s="1"/>
  <c r="S436" i="105" s="1"/>
  <c r="T116" i="89"/>
  <c r="I135" i="52"/>
  <c r="I54" s="1"/>
  <c r="I65" s="1"/>
  <c r="S146" i="105" s="1"/>
  <c r="T114" i="52"/>
  <c r="I136" i="51"/>
  <c r="I55" s="1"/>
  <c r="I66" s="1"/>
  <c r="S138" i="105" s="1"/>
  <c r="T115" i="51"/>
  <c r="I137" i="90"/>
  <c r="I56" s="1"/>
  <c r="I67" s="1"/>
  <c r="S445" i="105" s="1"/>
  <c r="T116" i="90"/>
  <c r="I136" i="89"/>
  <c r="I55" s="1"/>
  <c r="I66" s="1"/>
  <c r="S435" i="105" s="1"/>
  <c r="T115" i="89"/>
  <c r="I135" i="69"/>
  <c r="I54" s="1"/>
  <c r="I65" s="1"/>
  <c r="S250" i="105" s="1"/>
  <c r="T114" i="69"/>
  <c r="I137" i="57"/>
  <c r="I56" s="1"/>
  <c r="I67" s="1"/>
  <c r="S193" i="105" s="1"/>
  <c r="T116" i="57"/>
  <c r="I139" i="55"/>
  <c r="I58" s="1"/>
  <c r="I69" s="1"/>
  <c r="S177" i="105" s="1"/>
  <c r="T118" i="55"/>
  <c r="I135" i="54"/>
  <c r="I54" s="1"/>
  <c r="I65" s="1"/>
  <c r="S164" i="105" s="1"/>
  <c r="T114" i="54"/>
  <c r="I137" i="55"/>
  <c r="I56" s="1"/>
  <c r="I67" s="1"/>
  <c r="S175" i="105" s="1"/>
  <c r="T116" i="55"/>
  <c r="I139" i="129"/>
  <c r="I58" s="1"/>
  <c r="I69" s="1"/>
  <c r="S604" i="105" s="1"/>
  <c r="T118" i="129"/>
  <c r="I139" i="95"/>
  <c r="I58" s="1"/>
  <c r="I69" s="1"/>
  <c r="S492" i="105" s="1"/>
  <c r="T118" i="95"/>
  <c r="I135" i="68"/>
  <c r="I54" s="1"/>
  <c r="I65" s="1"/>
  <c r="S241" i="105" s="1"/>
  <c r="T114" i="68"/>
  <c r="I136" i="129"/>
  <c r="I55" s="1"/>
  <c r="I66" s="1"/>
  <c r="S601" i="105" s="1"/>
  <c r="T115" i="129"/>
  <c r="I139" i="90"/>
  <c r="I58" s="1"/>
  <c r="I69" s="1"/>
  <c r="S447" i="105" s="1"/>
  <c r="T118" i="90"/>
  <c r="I135" i="87"/>
  <c r="I54" s="1"/>
  <c r="I65" s="1"/>
  <c r="S398" i="105" s="1"/>
  <c r="T114" i="87"/>
  <c r="I136" i="48"/>
  <c r="I55" s="1"/>
  <c r="T115"/>
  <c r="I139" i="89"/>
  <c r="I58" s="1"/>
  <c r="I69" s="1"/>
  <c r="S438" i="105" s="1"/>
  <c r="T118" i="89"/>
  <c r="I135" i="56"/>
  <c r="I54" s="1"/>
  <c r="I65" s="1"/>
  <c r="S182" i="105" s="1"/>
  <c r="T114" i="56"/>
  <c r="I139" i="87"/>
  <c r="I58" s="1"/>
  <c r="I69" s="1"/>
  <c r="S402" i="105" s="1"/>
  <c r="T118" i="87"/>
  <c r="I138" i="81"/>
  <c r="I57" s="1"/>
  <c r="I68" s="1"/>
  <c r="S345" i="105" s="1"/>
  <c r="T117" i="81"/>
  <c r="I138" i="94"/>
  <c r="I57" s="1"/>
  <c r="I68" s="1"/>
  <c r="S482" i="105" s="1"/>
  <c r="T117" i="94"/>
  <c r="I139" i="56"/>
  <c r="I58" s="1"/>
  <c r="I69" s="1"/>
  <c r="S186" i="105" s="1"/>
  <c r="T118" i="56"/>
  <c r="I138" i="76"/>
  <c r="I57" s="1"/>
  <c r="I68" s="1"/>
  <c r="S318" i="105" s="1"/>
  <c r="T117" i="76"/>
  <c r="I136" i="92"/>
  <c r="I55" s="1"/>
  <c r="I66" s="1"/>
  <c r="S462" i="105" s="1"/>
  <c r="T115" i="92"/>
  <c r="I137"/>
  <c r="I56" s="1"/>
  <c r="I67" s="1"/>
  <c r="S463" i="105" s="1"/>
  <c r="T116" i="92"/>
  <c r="I136" i="87"/>
  <c r="I55" s="1"/>
  <c r="I66" s="1"/>
  <c r="S399" i="105" s="1"/>
  <c r="T115" i="87"/>
  <c r="I137" i="81"/>
  <c r="I56" s="1"/>
  <c r="I67" s="1"/>
  <c r="S344" i="105" s="1"/>
  <c r="T116" i="81"/>
  <c r="I139" i="69"/>
  <c r="I58" s="1"/>
  <c r="I69" s="1"/>
  <c r="S254" i="105" s="1"/>
  <c r="T118" i="69"/>
  <c r="I135" i="99"/>
  <c r="I54" s="1"/>
  <c r="I65" s="1"/>
  <c r="S526" i="105" s="1"/>
  <c r="T114" i="99"/>
  <c r="I139" i="57"/>
  <c r="I58" s="1"/>
  <c r="I69" s="1"/>
  <c r="S195" i="105" s="1"/>
  <c r="T118" i="57"/>
  <c r="I138" i="54"/>
  <c r="I57" s="1"/>
  <c r="I68" s="1"/>
  <c r="S167" i="105" s="1"/>
  <c r="T117" i="54"/>
  <c r="I137" i="52"/>
  <c r="I56" s="1"/>
  <c r="I67" s="1"/>
  <c r="S148" i="105" s="1"/>
  <c r="T116" i="52"/>
  <c r="I139" i="51"/>
  <c r="I58" s="1"/>
  <c r="I69" s="1"/>
  <c r="S141" i="105" s="1"/>
  <c r="T118" i="51"/>
  <c r="I135" i="90"/>
  <c r="I54" s="1"/>
  <c r="I65" s="1"/>
  <c r="S443" i="105" s="1"/>
  <c r="T114" i="90"/>
  <c r="I138" i="87"/>
  <c r="I57" s="1"/>
  <c r="I68" s="1"/>
  <c r="S401" i="105" s="1"/>
  <c r="T117" i="87"/>
  <c r="I137" i="69"/>
  <c r="I56" s="1"/>
  <c r="I67" s="1"/>
  <c r="S252" i="105" s="1"/>
  <c r="T116" i="69"/>
  <c r="I138" i="57"/>
  <c r="I57" s="1"/>
  <c r="I68" s="1"/>
  <c r="S194" i="105" s="1"/>
  <c r="T117" i="57"/>
  <c r="I138" i="51"/>
  <c r="I57" s="1"/>
  <c r="I68" s="1"/>
  <c r="S140" i="105" s="1"/>
  <c r="T117" i="51"/>
  <c r="I138" i="41"/>
  <c r="I57" s="1"/>
  <c r="I68" s="1"/>
  <c r="S48" i="105" s="1"/>
  <c r="T117" i="41"/>
  <c r="I138" i="90"/>
  <c r="I57" s="1"/>
  <c r="I68" s="1"/>
  <c r="S446" i="105" s="1"/>
  <c r="T117" i="90"/>
  <c r="I135" i="89"/>
  <c r="I54" s="1"/>
  <c r="I65" s="1"/>
  <c r="S434" i="105" s="1"/>
  <c r="T114" i="89"/>
  <c r="I139" i="88"/>
  <c r="I58" s="1"/>
  <c r="I69" s="1"/>
  <c r="S411" i="105" s="1"/>
  <c r="T118" i="88"/>
  <c r="I137" i="83"/>
  <c r="I56" s="1"/>
  <c r="I67" s="1"/>
  <c r="S362" i="105" s="1"/>
  <c r="T116" i="83"/>
  <c r="I135"/>
  <c r="I54" s="1"/>
  <c r="I65" s="1"/>
  <c r="S360" i="105" s="1"/>
  <c r="T114" i="83"/>
  <c r="I136" i="54"/>
  <c r="I55" s="1"/>
  <c r="I66" s="1"/>
  <c r="S165" i="105" s="1"/>
  <c r="T115" i="54"/>
  <c r="I135" i="129"/>
  <c r="I54" s="1"/>
  <c r="I65" s="1"/>
  <c r="S600" i="105" s="1"/>
  <c r="T114" i="129"/>
  <c r="I138" i="69"/>
  <c r="I57" s="1"/>
  <c r="I68" s="1"/>
  <c r="S253" i="105" s="1"/>
  <c r="T117" i="69"/>
  <c r="I138" i="52"/>
  <c r="I57" s="1"/>
  <c r="I68" s="1"/>
  <c r="S149" i="105" s="1"/>
  <c r="T117" i="52"/>
  <c r="I137" i="129"/>
  <c r="I56" s="1"/>
  <c r="I67" s="1"/>
  <c r="S602" i="105" s="1"/>
  <c r="T116" i="129"/>
  <c r="I137" i="95"/>
  <c r="I56" s="1"/>
  <c r="I67" s="1"/>
  <c r="S490" i="105" s="1"/>
  <c r="T116" i="95"/>
  <c r="I138" i="88"/>
  <c r="I57" s="1"/>
  <c r="I68" s="1"/>
  <c r="S410" i="105" s="1"/>
  <c r="T117" i="88"/>
  <c r="I137" i="48"/>
  <c r="I56" s="1"/>
  <c r="I67" s="1"/>
  <c r="S112" i="105" s="1"/>
  <c r="T116" i="48"/>
  <c r="I135" i="95"/>
  <c r="I54" s="1"/>
  <c r="I65" s="1"/>
  <c r="S488" i="105" s="1"/>
  <c r="T114" i="95"/>
  <c r="I138" i="48"/>
  <c r="I57" s="1"/>
  <c r="I68" s="1"/>
  <c r="S113" i="105" s="1"/>
  <c r="T117" i="48"/>
  <c r="I136" i="95"/>
  <c r="I55" s="1"/>
  <c r="I66" s="1"/>
  <c r="S489" i="105" s="1"/>
  <c r="T115" i="95"/>
  <c r="I139" i="48"/>
  <c r="I58" s="1"/>
  <c r="I69" s="1"/>
  <c r="S114" i="105" s="1"/>
  <c r="T118" i="48"/>
  <c r="I139" i="94"/>
  <c r="I58" s="1"/>
  <c r="I69" s="1"/>
  <c r="S483" i="105" s="1"/>
  <c r="T118" i="94"/>
  <c r="I136" i="81"/>
  <c r="I55" s="1"/>
  <c r="I66" s="1"/>
  <c r="S343" i="105" s="1"/>
  <c r="T115" i="81"/>
  <c r="I139" i="68"/>
  <c r="I58" s="1"/>
  <c r="I69" s="1"/>
  <c r="S245" i="105" s="1"/>
  <c r="T118" i="68"/>
  <c r="I139" i="92"/>
  <c r="I58" s="1"/>
  <c r="I69" s="1"/>
  <c r="S465" i="105" s="1"/>
  <c r="T118" i="92"/>
  <c r="I135" i="48"/>
  <c r="I54" s="1"/>
  <c r="I65" s="1"/>
  <c r="S110" i="105" s="1"/>
  <c r="T114" i="48"/>
  <c r="I138" i="95"/>
  <c r="I57" s="1"/>
  <c r="I68" s="1"/>
  <c r="S491" i="105" s="1"/>
  <c r="T117" i="95"/>
  <c r="I139" i="81"/>
  <c r="I58" s="1"/>
  <c r="I69" s="1"/>
  <c r="S346" i="105" s="1"/>
  <c r="T118" i="81"/>
  <c r="I136" i="69"/>
  <c r="I55" s="1"/>
  <c r="I66" s="1"/>
  <c r="S251" i="105" s="1"/>
  <c r="T115" i="69"/>
  <c r="I136" i="94"/>
  <c r="I55" s="1"/>
  <c r="I66" s="1"/>
  <c r="S480" i="105" s="1"/>
  <c r="T115" i="94"/>
  <c r="I136" i="56"/>
  <c r="I55" s="1"/>
  <c r="I66" s="1"/>
  <c r="S183" i="105" s="1"/>
  <c r="T115" i="56"/>
  <c r="I136" i="76"/>
  <c r="I55" s="1"/>
  <c r="I66" s="1"/>
  <c r="S316" i="105" s="1"/>
  <c r="T115" i="76"/>
  <c r="I135" i="57"/>
  <c r="I54" s="1"/>
  <c r="I65" s="1"/>
  <c r="S191" i="105" s="1"/>
  <c r="T114" i="57"/>
  <c r="I136" i="55"/>
  <c r="I55" s="1"/>
  <c r="I66" s="1"/>
  <c r="S174" i="105" s="1"/>
  <c r="T115" i="55"/>
  <c r="I135" i="51"/>
  <c r="I54" s="1"/>
  <c r="I65" s="1"/>
  <c r="S137" i="105" s="1"/>
  <c r="T114" i="51"/>
  <c r="I139" i="41"/>
  <c r="I58" s="1"/>
  <c r="I69" s="1"/>
  <c r="S49" i="105" s="1"/>
  <c r="T118" i="41"/>
  <c r="I136" i="90"/>
  <c r="I55" s="1"/>
  <c r="I66" s="1"/>
  <c r="S444" i="105" s="1"/>
  <c r="T115" i="90"/>
  <c r="I136" i="88"/>
  <c r="I55" s="1"/>
  <c r="I66" s="1"/>
  <c r="S408" i="105" s="1"/>
  <c r="T115" i="88"/>
  <c r="I138" i="68"/>
  <c r="I57" s="1"/>
  <c r="I68" s="1"/>
  <c r="S244" i="105" s="1"/>
  <c r="T117" i="68"/>
  <c r="I139" i="83"/>
  <c r="I58" s="1"/>
  <c r="I69" s="1"/>
  <c r="S364" i="105" s="1"/>
  <c r="T118" i="83"/>
  <c r="I137" i="54"/>
  <c r="I56" s="1"/>
  <c r="I67" s="1"/>
  <c r="S166" i="105" s="1"/>
  <c r="T116" i="54"/>
  <c r="I139" i="52"/>
  <c r="I58" s="1"/>
  <c r="I69" s="1"/>
  <c r="S150" i="105" s="1"/>
  <c r="T118" i="52"/>
  <c r="I137" i="87"/>
  <c r="I56" s="1"/>
  <c r="I67" s="1"/>
  <c r="S400" i="105" s="1"/>
  <c r="T116" i="87"/>
  <c r="I136" i="68"/>
  <c r="I55" s="1"/>
  <c r="I66" s="1"/>
  <c r="S242" i="105" s="1"/>
  <c r="T115" i="68"/>
  <c r="I136" i="57"/>
  <c r="I55" s="1"/>
  <c r="I66" s="1"/>
  <c r="S192" i="105" s="1"/>
  <c r="T115" i="57"/>
  <c r="I137" i="51"/>
  <c r="I56" s="1"/>
  <c r="I67" s="1"/>
  <c r="S139" i="105" s="1"/>
  <c r="T116" i="51"/>
  <c r="I136" i="41"/>
  <c r="I55" s="1"/>
  <c r="I66" s="1"/>
  <c r="S46" i="105" s="1"/>
  <c r="T115" i="41"/>
  <c r="I138" i="89"/>
  <c r="I57" s="1"/>
  <c r="I68" s="1"/>
  <c r="S437" i="105" s="1"/>
  <c r="T117" i="89"/>
  <c r="I138" i="129"/>
  <c r="I57" s="1"/>
  <c r="I68" s="1"/>
  <c r="S603" i="105" s="1"/>
  <c r="T117" i="129"/>
  <c r="I139" i="76"/>
  <c r="I58" s="1"/>
  <c r="I69" s="1"/>
  <c r="S319" i="105" s="1"/>
  <c r="T118" i="76"/>
  <c r="I134" i="94"/>
  <c r="T113"/>
  <c r="I134" i="92"/>
  <c r="T113"/>
  <c r="I134" i="56"/>
  <c r="T113"/>
  <c r="I134" i="84"/>
  <c r="I53" s="1"/>
  <c r="T113"/>
  <c r="H134" i="69"/>
  <c r="S113"/>
  <c r="H134" i="41"/>
  <c r="S113"/>
  <c r="H134" i="68"/>
  <c r="S113"/>
  <c r="H134" i="76"/>
  <c r="S113"/>
  <c r="S119" s="1"/>
  <c r="H134" i="81"/>
  <c r="S113"/>
  <c r="S119" s="1"/>
  <c r="H134" i="82"/>
  <c r="S113"/>
  <c r="H134" i="90"/>
  <c r="S113"/>
  <c r="H134" i="94"/>
  <c r="S113"/>
  <c r="H134" i="39"/>
  <c r="S113"/>
  <c r="H134" i="48"/>
  <c r="S113"/>
  <c r="H134" i="49"/>
  <c r="S113"/>
  <c r="H134" i="54"/>
  <c r="S113"/>
  <c r="S119" s="1"/>
  <c r="H134" i="56"/>
  <c r="S113"/>
  <c r="H134" i="92"/>
  <c r="S113"/>
  <c r="H134" i="129"/>
  <c r="S113"/>
  <c r="H134" i="57"/>
  <c r="S113"/>
  <c r="S119" s="1"/>
  <c r="H134" i="87"/>
  <c r="S113"/>
  <c r="S119" s="1"/>
  <c r="H134" i="40"/>
  <c r="S113"/>
  <c r="H134" i="44"/>
  <c r="S113"/>
  <c r="H134" i="55"/>
  <c r="S113"/>
  <c r="H134" i="75"/>
  <c r="S113"/>
  <c r="H134" i="86"/>
  <c r="S113"/>
  <c r="H134" i="88"/>
  <c r="S113"/>
  <c r="S119" s="1"/>
  <c r="H134" i="89"/>
  <c r="S113"/>
  <c r="H134" i="95"/>
  <c r="S113"/>
  <c r="H134" i="51"/>
  <c r="S113"/>
  <c r="H134" i="52"/>
  <c r="S113"/>
  <c r="H134" i="83"/>
  <c r="S113"/>
  <c r="G134" i="77"/>
  <c r="R113"/>
  <c r="R119" s="1"/>
  <c r="G134" i="99"/>
  <c r="R113"/>
  <c r="R119" s="1"/>
  <c r="G134" i="42"/>
  <c r="R113"/>
  <c r="G134" i="53"/>
  <c r="R113"/>
  <c r="G134" i="85"/>
  <c r="R113"/>
  <c r="G134" i="93"/>
  <c r="R113"/>
  <c r="R119" s="1"/>
  <c r="G134" i="97"/>
  <c r="R113"/>
  <c r="G134" i="70"/>
  <c r="R113"/>
  <c r="R119" s="1"/>
  <c r="G134" i="72"/>
  <c r="R113"/>
  <c r="R119" s="1"/>
  <c r="G134" i="74"/>
  <c r="R113"/>
  <c r="R119" s="1"/>
  <c r="G134" i="32"/>
  <c r="R113"/>
  <c r="G134" i="38"/>
  <c r="R113"/>
  <c r="G134" i="43"/>
  <c r="R113"/>
  <c r="G134" i="44"/>
  <c r="R113"/>
  <c r="R119" s="1"/>
  <c r="G134" i="46"/>
  <c r="R113"/>
  <c r="G134" i="47"/>
  <c r="R113"/>
  <c r="R119" s="1"/>
  <c r="G134" i="50"/>
  <c r="R113"/>
  <c r="R119" s="1"/>
  <c r="G134" i="58"/>
  <c r="R113"/>
  <c r="G134" i="60"/>
  <c r="R113"/>
  <c r="R119" s="1"/>
  <c r="G134" i="67"/>
  <c r="R113"/>
  <c r="R119" s="1"/>
  <c r="G134" i="71"/>
  <c r="R113"/>
  <c r="R119" s="1"/>
  <c r="G134" i="73"/>
  <c r="R113"/>
  <c r="R119" s="1"/>
  <c r="G134" i="86"/>
  <c r="R113"/>
  <c r="G134" i="102"/>
  <c r="R113"/>
  <c r="R119" s="1"/>
  <c r="G134" i="127"/>
  <c r="R113"/>
  <c r="G134" i="75"/>
  <c r="R113"/>
  <c r="G134" i="78"/>
  <c r="R113"/>
  <c r="R119" s="1"/>
  <c r="G134" i="79"/>
  <c r="R113"/>
  <c r="G134" i="80"/>
  <c r="R113"/>
  <c r="R119" s="1"/>
  <c r="G134" i="91"/>
  <c r="R113"/>
  <c r="R119" s="1"/>
  <c r="G134" i="96"/>
  <c r="R113"/>
  <c r="G134" i="98"/>
  <c r="R113"/>
  <c r="R119" s="1"/>
  <c r="G134" i="40"/>
  <c r="R113"/>
  <c r="Q120" i="89"/>
  <c r="H55" i="128"/>
  <c r="H66" s="1"/>
  <c r="R592" i="105" s="1"/>
  <c r="H54" i="128"/>
  <c r="H65" s="1"/>
  <c r="R591" i="105" s="1"/>
  <c r="H57" i="128"/>
  <c r="H68" s="1"/>
  <c r="R594" i="105" s="1"/>
  <c r="H58" i="128"/>
  <c r="H69" s="1"/>
  <c r="R595" i="105" s="1"/>
  <c r="H56" i="128"/>
  <c r="H67" s="1"/>
  <c r="R593" i="105" s="1"/>
  <c r="I48" i="84"/>
  <c r="T84"/>
  <c r="I105"/>
  <c r="G105" i="57"/>
  <c r="I92" i="68" a="1"/>
  <c r="I92" s="1"/>
  <c r="I94" s="1"/>
  <c r="J94" s="1"/>
  <c r="I92" i="90" a="1"/>
  <c r="I92" s="1"/>
  <c r="I94" s="1"/>
  <c r="J94" s="1"/>
  <c r="I92" i="48" a="1"/>
  <c r="I92" s="1"/>
  <c r="I94" s="1"/>
  <c r="J94" s="1"/>
  <c r="I92" i="54" a="1"/>
  <c r="I92" s="1"/>
  <c r="I94" s="1"/>
  <c r="J94" s="1"/>
  <c r="I92" i="55" a="1"/>
  <c r="I92" s="1"/>
  <c r="I94" s="1"/>
  <c r="J94" s="1"/>
  <c r="I92" i="88" a="1"/>
  <c r="I92" s="1"/>
  <c r="I94" s="1"/>
  <c r="J94" s="1"/>
  <c r="I92" i="69" a="1"/>
  <c r="I92" s="1"/>
  <c r="I94" s="1"/>
  <c r="J94" s="1"/>
  <c r="I92" i="95" a="1"/>
  <c r="I92" s="1"/>
  <c r="I94" s="1"/>
  <c r="J94" s="1"/>
  <c r="I92" i="87" a="1"/>
  <c r="I92" s="1"/>
  <c r="I94" s="1"/>
  <c r="J94" s="1"/>
  <c r="I92" i="129" a="1"/>
  <c r="I92" s="1"/>
  <c r="I94" s="1"/>
  <c r="J94" s="1"/>
  <c r="I92" i="41" a="1"/>
  <c r="I92" s="1"/>
  <c r="I94" s="1"/>
  <c r="J94" s="1"/>
  <c r="I92" i="51" a="1"/>
  <c r="I92" s="1"/>
  <c r="I94" s="1"/>
  <c r="J94" s="1"/>
  <c r="I92" i="52" a="1"/>
  <c r="I92" s="1"/>
  <c r="I94" s="1"/>
  <c r="J94" s="1"/>
  <c r="I99" i="88"/>
  <c r="I43" s="1"/>
  <c r="I92" i="76" a="1"/>
  <c r="I92" s="1"/>
  <c r="I94" s="1"/>
  <c r="J94" s="1"/>
  <c r="Q120" i="82"/>
  <c r="I92" i="89" a="1"/>
  <c r="I92" s="1"/>
  <c r="I94" s="1"/>
  <c r="J94" s="1"/>
  <c r="I92" i="57" a="1"/>
  <c r="I92" s="1"/>
  <c r="I94" s="1"/>
  <c r="J94" s="1"/>
  <c r="R120" i="129"/>
  <c r="Q120" i="42"/>
  <c r="R84" i="54"/>
  <c r="R120" i="89"/>
  <c r="Q120" i="38"/>
  <c r="R84" i="49"/>
  <c r="G141" i="45"/>
  <c r="R120" i="94"/>
  <c r="S84" i="52"/>
  <c r="G140" i="90"/>
  <c r="G141" s="1"/>
  <c r="S84" i="129"/>
  <c r="H104" i="68"/>
  <c r="S84" s="1"/>
  <c r="R84" i="101"/>
  <c r="Q120" i="59"/>
  <c r="Q120" i="90"/>
  <c r="R120" i="92"/>
  <c r="R84" i="109"/>
  <c r="Q120" i="40"/>
  <c r="R119" i="49"/>
  <c r="R119" i="57"/>
  <c r="R84" i="41"/>
  <c r="Q120" i="85"/>
  <c r="Q120" i="97"/>
  <c r="R84" i="59"/>
  <c r="G48" i="41"/>
  <c r="G207" s="1"/>
  <c r="I104" i="92"/>
  <c r="T84" s="1"/>
  <c r="R84" i="100"/>
  <c r="R119" i="39"/>
  <c r="R84" i="82"/>
  <c r="G140" i="108"/>
  <c r="G141" s="1"/>
  <c r="Q120" i="43"/>
  <c r="G140" i="45"/>
  <c r="G55" i="63"/>
  <c r="G56" i="104"/>
  <c r="G67" s="1"/>
  <c r="G150" s="1"/>
  <c r="G207" i="68"/>
  <c r="Q120"/>
  <c r="G140" i="101"/>
  <c r="G141" s="1"/>
  <c r="Q120" i="58"/>
  <c r="R84" i="108"/>
  <c r="G105" i="55"/>
  <c r="Q120" i="46"/>
  <c r="R119" i="68"/>
  <c r="R119" i="101"/>
  <c r="R119" i="45"/>
  <c r="G140" i="39"/>
  <c r="G141" s="1"/>
  <c r="I104" i="94"/>
  <c r="T84" s="1"/>
  <c r="G53" i="39"/>
  <c r="G59" s="1"/>
  <c r="H104" i="49"/>
  <c r="S84" s="1"/>
  <c r="G54" i="104"/>
  <c r="G65" s="1"/>
  <c r="R119" i="82"/>
  <c r="R84" i="39"/>
  <c r="R119" i="59"/>
  <c r="G105" i="83"/>
  <c r="R84"/>
  <c r="G140" i="68"/>
  <c r="H104" i="75"/>
  <c r="H105" s="1"/>
  <c r="H104" i="86"/>
  <c r="H105" s="1"/>
  <c r="E141" i="96"/>
  <c r="R119" i="100"/>
  <c r="R119" i="109"/>
  <c r="H104" i="40"/>
  <c r="H105" s="1"/>
  <c r="R119" i="54"/>
  <c r="I104" i="56"/>
  <c r="I105" s="1"/>
  <c r="G65" i="67"/>
  <c r="Q232" i="105" s="1"/>
  <c r="H104" i="82"/>
  <c r="H105" s="1"/>
  <c r="H104" i="90"/>
  <c r="S84" s="1"/>
  <c r="R120" i="95"/>
  <c r="H104" i="128"/>
  <c r="H105" s="1"/>
  <c r="R84"/>
  <c r="H104" i="39"/>
  <c r="H105" s="1"/>
  <c r="H104" i="44"/>
  <c r="S84" s="1"/>
  <c r="Q120" i="49"/>
  <c r="G58" i="63"/>
  <c r="G69" s="1"/>
  <c r="G144" s="1"/>
  <c r="G56"/>
  <c r="G67" s="1"/>
  <c r="R84" i="90"/>
  <c r="R119" i="108"/>
  <c r="H47" i="63"/>
  <c r="R119" i="90"/>
  <c r="H46" i="104"/>
  <c r="H43"/>
  <c r="H44" i="63"/>
  <c r="H46"/>
  <c r="H43"/>
  <c r="H45"/>
  <c r="H47" i="104"/>
  <c r="H44"/>
  <c r="H45"/>
  <c r="I100" i="67"/>
  <c r="I44" s="1"/>
  <c r="I102" i="71"/>
  <c r="I46" s="1"/>
  <c r="I102" i="73"/>
  <c r="I46" s="1"/>
  <c r="I100" i="77"/>
  <c r="I44" s="1"/>
  <c r="I100" i="79"/>
  <c r="I44" s="1"/>
  <c r="I102" i="80"/>
  <c r="I46" s="1"/>
  <c r="I101" i="91"/>
  <c r="I45" s="1"/>
  <c r="I100" i="93"/>
  <c r="I44" s="1"/>
  <c r="I103" i="96"/>
  <c r="I47" s="1"/>
  <c r="I102"/>
  <c r="I46" s="1"/>
  <c r="I101" i="98"/>
  <c r="I45" s="1"/>
  <c r="I99"/>
  <c r="I43" s="1"/>
  <c r="I101" i="99"/>
  <c r="I45" s="1"/>
  <c r="I100" i="101"/>
  <c r="I44" s="1"/>
  <c r="I102"/>
  <c r="I46" s="1"/>
  <c r="I100" i="102"/>
  <c r="I44" s="1"/>
  <c r="I101"/>
  <c r="I45" s="1"/>
  <c r="I103" i="109"/>
  <c r="I47" s="1"/>
  <c r="I101" i="127"/>
  <c r="I45" s="1"/>
  <c r="I99"/>
  <c r="I43" s="1"/>
  <c r="I46" i="32"/>
  <c r="I102" i="39"/>
  <c r="I46" s="1"/>
  <c r="I99"/>
  <c r="I43" s="1"/>
  <c r="I103" i="40"/>
  <c r="I47" s="1"/>
  <c r="I101"/>
  <c r="I45" s="1"/>
  <c r="I103" i="42"/>
  <c r="I47" s="1"/>
  <c r="I99"/>
  <c r="I43" s="1"/>
  <c r="I101" i="43"/>
  <c r="I45" s="1"/>
  <c r="I99" i="45"/>
  <c r="I43" s="1"/>
  <c r="I102" i="50"/>
  <c r="I46" s="1"/>
  <c r="I100" i="53"/>
  <c r="I44" s="1"/>
  <c r="I102"/>
  <c r="I46" s="1"/>
  <c r="I103" i="58"/>
  <c r="I47" s="1"/>
  <c r="I99"/>
  <c r="I43" s="1"/>
  <c r="I102" i="59"/>
  <c r="I46" s="1"/>
  <c r="I103" i="60"/>
  <c r="I47" s="1"/>
  <c r="I99"/>
  <c r="I43" s="1"/>
  <c r="I102" i="38"/>
  <c r="I46" s="1"/>
  <c r="I99"/>
  <c r="I43" s="1"/>
  <c r="I100" i="59"/>
  <c r="I44" s="1"/>
  <c r="I101" i="46"/>
  <c r="I45" s="1"/>
  <c r="I99" i="108"/>
  <c r="I43" s="1"/>
  <c r="I99" i="85"/>
  <c r="I43" s="1"/>
  <c r="I103" i="46"/>
  <c r="I47" s="1"/>
  <c r="I102" i="108"/>
  <c r="I46" s="1"/>
  <c r="I101"/>
  <c r="I45" s="1"/>
  <c r="I100"/>
  <c r="I44" s="1"/>
  <c r="I101" i="85"/>
  <c r="I45" s="1"/>
  <c r="I100" i="97"/>
  <c r="I44" s="1"/>
  <c r="I102" i="46"/>
  <c r="I46" s="1"/>
  <c r="I101" i="97"/>
  <c r="I45" s="1"/>
  <c r="I103" i="44"/>
  <c r="I47" s="1"/>
  <c r="I102" i="49"/>
  <c r="I46" s="1"/>
  <c r="I101"/>
  <c r="I45" s="1"/>
  <c r="I99" i="44"/>
  <c r="I43" s="1"/>
  <c r="I99" i="49"/>
  <c r="I43" s="1"/>
  <c r="G48" i="48"/>
  <c r="I100" i="83"/>
  <c r="I44" s="1"/>
  <c r="G43" i="63"/>
  <c r="I99" i="70"/>
  <c r="I43" s="1"/>
  <c r="I101" i="71"/>
  <c r="I45" s="1"/>
  <c r="I100" i="72"/>
  <c r="I44" s="1"/>
  <c r="I100" i="82"/>
  <c r="I44" s="1"/>
  <c r="I99" i="79"/>
  <c r="I43" s="1"/>
  <c r="I101" i="80"/>
  <c r="I45" s="1"/>
  <c r="I100" i="70"/>
  <c r="I44" s="1"/>
  <c r="I101"/>
  <c r="I45" s="1"/>
  <c r="I100" i="71"/>
  <c r="I44" s="1"/>
  <c r="I102" i="72"/>
  <c r="I46" s="1"/>
  <c r="I103" i="73"/>
  <c r="I47" s="1"/>
  <c r="I99"/>
  <c r="I43" s="1"/>
  <c r="I100" i="74"/>
  <c r="I44" s="1"/>
  <c r="I103"/>
  <c r="I47" s="1"/>
  <c r="I102"/>
  <c r="I46" s="1"/>
  <c r="I102" i="75"/>
  <c r="I46" s="1"/>
  <c r="I103" i="77"/>
  <c r="I47" s="1"/>
  <c r="I99"/>
  <c r="I43" s="1"/>
  <c r="I103" i="78"/>
  <c r="I47" s="1"/>
  <c r="I101"/>
  <c r="I45" s="1"/>
  <c r="I102" i="82"/>
  <c r="I46" s="1"/>
  <c r="I101"/>
  <c r="I45" s="1"/>
  <c r="I103" i="86"/>
  <c r="I47" s="1"/>
  <c r="I103" i="79"/>
  <c r="I47" s="1"/>
  <c r="I100" i="80"/>
  <c r="I44" s="1"/>
  <c r="I99"/>
  <c r="I43" s="1"/>
  <c r="I103" i="91"/>
  <c r="I47" s="1"/>
  <c r="I102"/>
  <c r="I46" s="1"/>
  <c r="I99" i="93"/>
  <c r="I43" s="1"/>
  <c r="I99" i="96"/>
  <c r="I43" s="1"/>
  <c r="I103" i="98"/>
  <c r="I47" s="1"/>
  <c r="I101" i="101"/>
  <c r="I45" s="1"/>
  <c r="I103"/>
  <c r="I47" s="1"/>
  <c r="I102" i="102"/>
  <c r="I46" s="1"/>
  <c r="I99" i="109"/>
  <c r="I43" s="1"/>
  <c r="I103" i="127"/>
  <c r="I47" s="1"/>
  <c r="I47" i="32"/>
  <c r="I43"/>
  <c r="I100" i="39"/>
  <c r="I44" s="1"/>
  <c r="I102" i="40"/>
  <c r="I46" s="1"/>
  <c r="I100"/>
  <c r="I44" s="1"/>
  <c r="I100" i="42"/>
  <c r="I44" s="1"/>
  <c r="I101"/>
  <c r="I45" s="1"/>
  <c r="I103" i="43"/>
  <c r="I47" s="1"/>
  <c r="I102"/>
  <c r="I46" s="1"/>
  <c r="I100" i="45"/>
  <c r="I44" s="1"/>
  <c r="I103" i="50"/>
  <c r="I47" s="1"/>
  <c r="I100"/>
  <c r="I44" s="1"/>
  <c r="I103" i="53"/>
  <c r="I47" s="1"/>
  <c r="I101"/>
  <c r="I45" s="1"/>
  <c r="I101" i="58"/>
  <c r="I45" s="1"/>
  <c r="I100" i="60"/>
  <c r="I44" s="1"/>
  <c r="I101"/>
  <c r="I45" s="1"/>
  <c r="I103" i="59"/>
  <c r="I47" s="1"/>
  <c r="I103" i="128"/>
  <c r="I47" s="1"/>
  <c r="I139" s="1"/>
  <c r="I100" i="100"/>
  <c r="I44" s="1"/>
  <c r="I100" i="86"/>
  <c r="I44" s="1"/>
  <c r="I103" i="75"/>
  <c r="I47" s="1"/>
  <c r="I99" i="128"/>
  <c r="I43" s="1"/>
  <c r="I135" s="1"/>
  <c r="I103" i="100"/>
  <c r="I47" s="1"/>
  <c r="I101" i="128"/>
  <c r="I45" s="1"/>
  <c r="I137" s="1"/>
  <c r="I102" i="100"/>
  <c r="I46" s="1"/>
  <c r="I101" i="75"/>
  <c r="I45" s="1"/>
  <c r="I99" i="47"/>
  <c r="I43" s="1"/>
  <c r="I101" i="38"/>
  <c r="I45" s="1"/>
  <c r="I100" i="75"/>
  <c r="I44" s="1"/>
  <c r="I100" i="44"/>
  <c r="I44" s="1"/>
  <c r="I103" i="97"/>
  <c r="I47" s="1"/>
  <c r="I100" i="47"/>
  <c r="I44" s="1"/>
  <c r="I102"/>
  <c r="I46" s="1"/>
  <c r="I101" i="44"/>
  <c r="I45" s="1"/>
  <c r="I102"/>
  <c r="I46" s="1"/>
  <c r="G48" i="55"/>
  <c r="G207" s="1"/>
  <c r="R84" i="48"/>
  <c r="E26" i="111"/>
  <c r="E29"/>
  <c r="K26"/>
  <c r="V26" s="1"/>
  <c r="K29"/>
  <c r="V29" s="1"/>
  <c r="H26"/>
  <c r="S26" s="1"/>
  <c r="H29"/>
  <c r="S29" s="1"/>
  <c r="F25"/>
  <c r="Q25" s="1"/>
  <c r="I26"/>
  <c r="T26" s="1"/>
  <c r="F28"/>
  <c r="Q28" s="1"/>
  <c r="I29"/>
  <c r="T29" s="1"/>
  <c r="G25"/>
  <c r="R25" s="1"/>
  <c r="J26"/>
  <c r="U26" s="1"/>
  <c r="G28"/>
  <c r="R28" s="1"/>
  <c r="J29"/>
  <c r="U29" s="1"/>
  <c r="I115"/>
  <c r="T115" s="1"/>
  <c r="J344"/>
  <c r="U344" s="1"/>
  <c r="E341"/>
  <c r="E344"/>
  <c r="F341"/>
  <c r="Q341" s="1"/>
  <c r="I345"/>
  <c r="T345" s="1"/>
  <c r="G251"/>
  <c r="R251" s="1"/>
  <c r="E252"/>
  <c r="E255"/>
  <c r="I252"/>
  <c r="T252" s="1"/>
  <c r="H39"/>
  <c r="S39" s="1"/>
  <c r="E42"/>
  <c r="F39"/>
  <c r="Q39" s="1"/>
  <c r="I43"/>
  <c r="T43" s="1"/>
  <c r="G42"/>
  <c r="R42" s="1"/>
  <c r="I92" i="83" a="1"/>
  <c r="I92" s="1"/>
  <c r="I94" s="1"/>
  <c r="J94" s="1"/>
  <c r="I101" i="67"/>
  <c r="I45" s="1"/>
  <c r="I103" i="71"/>
  <c r="I47" s="1"/>
  <c r="I101" i="72"/>
  <c r="I45" s="1"/>
  <c r="I99" i="74"/>
  <c r="I43" s="1"/>
  <c r="I102" i="77"/>
  <c r="I46" s="1"/>
  <c r="I100" i="78"/>
  <c r="I44" s="1"/>
  <c r="I99" i="82"/>
  <c r="I43" s="1"/>
  <c r="I102" i="67"/>
  <c r="I46" s="1"/>
  <c r="I103"/>
  <c r="I47" s="1"/>
  <c r="I99"/>
  <c r="I43" s="1"/>
  <c r="I103" i="70"/>
  <c r="I47" s="1"/>
  <c r="I102"/>
  <c r="I46" s="1"/>
  <c r="I99" i="71"/>
  <c r="I43" s="1"/>
  <c r="I103" i="72"/>
  <c r="I47" s="1"/>
  <c r="I99"/>
  <c r="I43" s="1"/>
  <c r="I100" i="73"/>
  <c r="I44" s="1"/>
  <c r="I101"/>
  <c r="I45" s="1"/>
  <c r="I101" i="74"/>
  <c r="I45" s="1"/>
  <c r="I101" i="77"/>
  <c r="I45" s="1"/>
  <c r="I99" i="78"/>
  <c r="I43" s="1"/>
  <c r="I102"/>
  <c r="I46" s="1"/>
  <c r="I103" i="82"/>
  <c r="I47" s="1"/>
  <c r="I99" i="86"/>
  <c r="I43" s="1"/>
  <c r="I101" i="79"/>
  <c r="I45" s="1"/>
  <c r="I102"/>
  <c r="I46" s="1"/>
  <c r="I103" i="80"/>
  <c r="I47" s="1"/>
  <c r="I100" i="91"/>
  <c r="I44" s="1"/>
  <c r="I99"/>
  <c r="I43" s="1"/>
  <c r="I103" i="93"/>
  <c r="I47" s="1"/>
  <c r="I101"/>
  <c r="I45" s="1"/>
  <c r="I102"/>
  <c r="I46" s="1"/>
  <c r="I100" i="96"/>
  <c r="I44" s="1"/>
  <c r="I101"/>
  <c r="I45" s="1"/>
  <c r="I100" i="98"/>
  <c r="I44" s="1"/>
  <c r="I102"/>
  <c r="I46" s="1"/>
  <c r="I103" i="99"/>
  <c r="I47" s="1"/>
  <c r="I102"/>
  <c r="I46" s="1"/>
  <c r="I100"/>
  <c r="I44" s="1"/>
  <c r="I101" i="100"/>
  <c r="I45" s="1"/>
  <c r="I99" i="101"/>
  <c r="I43" s="1"/>
  <c r="I103" i="102"/>
  <c r="I47" s="1"/>
  <c r="I99"/>
  <c r="I43" s="1"/>
  <c r="I100" i="109"/>
  <c r="I44" s="1"/>
  <c r="I102"/>
  <c r="I46" s="1"/>
  <c r="I102" i="127"/>
  <c r="I46" s="1"/>
  <c r="I100"/>
  <c r="I44" s="1"/>
  <c r="I102" i="128"/>
  <c r="I46" s="1"/>
  <c r="I138" s="1"/>
  <c r="I44" i="32"/>
  <c r="I45"/>
  <c r="I101" i="39"/>
  <c r="I45" s="1"/>
  <c r="I103"/>
  <c r="I47" s="1"/>
  <c r="I99" i="40"/>
  <c r="I43" s="1"/>
  <c r="I102" i="42"/>
  <c r="I46" s="1"/>
  <c r="I100" i="43"/>
  <c r="I44" s="1"/>
  <c r="I99"/>
  <c r="I43" s="1"/>
  <c r="I103" i="45"/>
  <c r="I47" s="1"/>
  <c r="I102"/>
  <c r="I46" s="1"/>
  <c r="I101"/>
  <c r="I45" s="1"/>
  <c r="I99" i="50"/>
  <c r="I43" s="1"/>
  <c r="I101"/>
  <c r="I45" s="1"/>
  <c r="I99" i="53"/>
  <c r="I43" s="1"/>
  <c r="I100" i="58"/>
  <c r="I44" s="1"/>
  <c r="I102"/>
  <c r="I46" s="1"/>
  <c r="I102" i="60"/>
  <c r="I46" s="1"/>
  <c r="I99" i="59"/>
  <c r="I43" s="1"/>
  <c r="I99" i="100"/>
  <c r="I43" s="1"/>
  <c r="I102" i="86"/>
  <c r="I46" s="1"/>
  <c r="I99" i="75"/>
  <c r="I43" s="1"/>
  <c r="I101" i="59"/>
  <c r="I45" s="1"/>
  <c r="I103" i="38"/>
  <c r="I47" s="1"/>
  <c r="I101" i="86"/>
  <c r="I45" s="1"/>
  <c r="I99" i="46"/>
  <c r="I43" s="1"/>
  <c r="I101" i="109"/>
  <c r="I45" s="1"/>
  <c r="I100" i="128"/>
  <c r="I44" s="1"/>
  <c r="I136" s="1"/>
  <c r="I103" i="47"/>
  <c r="I47" s="1"/>
  <c r="I100" i="38"/>
  <c r="I44" s="1"/>
  <c r="I103" i="108"/>
  <c r="I47" s="1"/>
  <c r="I103" i="85"/>
  <c r="I47" s="1"/>
  <c r="I101" i="47"/>
  <c r="I45" s="1"/>
  <c r="I100" i="46"/>
  <c r="I44" s="1"/>
  <c r="I102" i="85"/>
  <c r="I46" s="1"/>
  <c r="I100"/>
  <c r="I44" s="1"/>
  <c r="I102" i="97"/>
  <c r="I46" s="1"/>
  <c r="I100" i="49"/>
  <c r="I44" s="1"/>
  <c r="I103"/>
  <c r="I47" s="1"/>
  <c r="G48" i="52"/>
  <c r="G48" i="83"/>
  <c r="G207" s="1"/>
  <c r="G57" i="104"/>
  <c r="G68" s="1"/>
  <c r="G58"/>
  <c r="G69" s="1"/>
  <c r="G152" s="1"/>
  <c r="E25" i="111"/>
  <c r="E28"/>
  <c r="K25"/>
  <c r="V25" s="1"/>
  <c r="K28"/>
  <c r="V28" s="1"/>
  <c r="H25"/>
  <c r="S25" s="1"/>
  <c r="H28"/>
  <c r="S28" s="1"/>
  <c r="I24"/>
  <c r="T24" s="1"/>
  <c r="F26"/>
  <c r="Q26" s="1"/>
  <c r="I27"/>
  <c r="T27" s="1"/>
  <c r="F29"/>
  <c r="Q29" s="1"/>
  <c r="J24"/>
  <c r="U24" s="1"/>
  <c r="G26"/>
  <c r="R26" s="1"/>
  <c r="J27"/>
  <c r="U27" s="1"/>
  <c r="H114"/>
  <c r="S114" s="1"/>
  <c r="J118"/>
  <c r="U118" s="1"/>
  <c r="J341"/>
  <c r="U341" s="1"/>
  <c r="G344"/>
  <c r="R344" s="1"/>
  <c r="E343"/>
  <c r="E346"/>
  <c r="F344"/>
  <c r="Q344" s="1"/>
  <c r="J254"/>
  <c r="U254" s="1"/>
  <c r="E251"/>
  <c r="E254"/>
  <c r="F251"/>
  <c r="Q251" s="1"/>
  <c r="I255"/>
  <c r="T255" s="1"/>
  <c r="E39"/>
  <c r="K42"/>
  <c r="V42" s="1"/>
  <c r="F42"/>
  <c r="Q42" s="1"/>
  <c r="J40"/>
  <c r="U40" s="1"/>
  <c r="G46" i="63"/>
  <c r="G44" i="104"/>
  <c r="H884" i="111"/>
  <c r="S884" s="1"/>
  <c r="H880"/>
  <c r="S880" s="1"/>
  <c r="K881"/>
  <c r="V881" s="1"/>
  <c r="K884"/>
  <c r="V884" s="1"/>
  <c r="E881"/>
  <c r="E884"/>
  <c r="I880"/>
  <c r="T880" s="1"/>
  <c r="F882"/>
  <c r="Q882" s="1"/>
  <c r="I883"/>
  <c r="T883" s="1"/>
  <c r="F885"/>
  <c r="Q885" s="1"/>
  <c r="J880"/>
  <c r="U880" s="1"/>
  <c r="G882"/>
  <c r="R882" s="1"/>
  <c r="J883"/>
  <c r="U883" s="1"/>
  <c r="G885"/>
  <c r="R885" s="1"/>
  <c r="J161"/>
  <c r="U161" s="1"/>
  <c r="J164"/>
  <c r="U164" s="1"/>
  <c r="G161"/>
  <c r="R161" s="1"/>
  <c r="G164"/>
  <c r="R164" s="1"/>
  <c r="E161"/>
  <c r="E162"/>
  <c r="E163"/>
  <c r="E164"/>
  <c r="E165"/>
  <c r="E166"/>
  <c r="F161"/>
  <c r="Q161" s="1"/>
  <c r="I162"/>
  <c r="T162" s="1"/>
  <c r="F164"/>
  <c r="Q164" s="1"/>
  <c r="I165"/>
  <c r="T165" s="1"/>
  <c r="K837"/>
  <c r="V837" s="1"/>
  <c r="H835"/>
  <c r="S835" s="1"/>
  <c r="I835"/>
  <c r="T835" s="1"/>
  <c r="G834"/>
  <c r="R834" s="1"/>
  <c r="J838"/>
  <c r="U838" s="1"/>
  <c r="H882"/>
  <c r="S882" s="1"/>
  <c r="H883"/>
  <c r="S883" s="1"/>
  <c r="K882"/>
  <c r="V882" s="1"/>
  <c r="K885"/>
  <c r="V885" s="1"/>
  <c r="E882"/>
  <c r="E885"/>
  <c r="F881"/>
  <c r="Q881" s="1"/>
  <c r="I882"/>
  <c r="T882" s="1"/>
  <c r="F884"/>
  <c r="Q884" s="1"/>
  <c r="I885"/>
  <c r="T885" s="1"/>
  <c r="G881"/>
  <c r="R881" s="1"/>
  <c r="J882"/>
  <c r="U882" s="1"/>
  <c r="G884"/>
  <c r="R884" s="1"/>
  <c r="J162"/>
  <c r="U162" s="1"/>
  <c r="J165"/>
  <c r="U165" s="1"/>
  <c r="G162"/>
  <c r="R162" s="1"/>
  <c r="G165"/>
  <c r="R165" s="1"/>
  <c r="H161"/>
  <c r="S161" s="1"/>
  <c r="H162"/>
  <c r="S162" s="1"/>
  <c r="H163"/>
  <c r="S163" s="1"/>
  <c r="H164"/>
  <c r="S164" s="1"/>
  <c r="H165"/>
  <c r="S165" s="1"/>
  <c r="H166"/>
  <c r="S166" s="1"/>
  <c r="I161"/>
  <c r="T161" s="1"/>
  <c r="F163"/>
  <c r="Q163" s="1"/>
  <c r="I164"/>
  <c r="T164" s="1"/>
  <c r="E835"/>
  <c r="H838"/>
  <c r="S838" s="1"/>
  <c r="F837"/>
  <c r="Q837" s="1"/>
  <c r="J835"/>
  <c r="U835" s="1"/>
  <c r="K114"/>
  <c r="V114" s="1"/>
  <c r="H117"/>
  <c r="S117" s="1"/>
  <c r="F117"/>
  <c r="Q117" s="1"/>
  <c r="J115"/>
  <c r="U115" s="1"/>
  <c r="E114"/>
  <c r="K117"/>
  <c r="V117" s="1"/>
  <c r="F114"/>
  <c r="Q114" s="1"/>
  <c r="I118"/>
  <c r="T118" s="1"/>
  <c r="G117"/>
  <c r="R117" s="1"/>
  <c r="K927"/>
  <c r="V927" s="1"/>
  <c r="K931"/>
  <c r="V931" s="1"/>
  <c r="E929"/>
  <c r="E932"/>
  <c r="H929"/>
  <c r="S929" s="1"/>
  <c r="H932"/>
  <c r="S932" s="1"/>
  <c r="F928"/>
  <c r="Q928" s="1"/>
  <c r="I929"/>
  <c r="T929" s="1"/>
  <c r="F931"/>
  <c r="Q931" s="1"/>
  <c r="I932"/>
  <c r="T932" s="1"/>
  <c r="G928"/>
  <c r="R928" s="1"/>
  <c r="J929"/>
  <c r="U929" s="1"/>
  <c r="G931"/>
  <c r="R931" s="1"/>
  <c r="J932"/>
  <c r="U932" s="1"/>
  <c r="K144"/>
  <c r="V144" s="1"/>
  <c r="K147"/>
  <c r="V147" s="1"/>
  <c r="H144"/>
  <c r="S144" s="1"/>
  <c r="H147"/>
  <c r="S147" s="1"/>
  <c r="E144"/>
  <c r="E147"/>
  <c r="F144"/>
  <c r="Q144" s="1"/>
  <c r="I145"/>
  <c r="T145" s="1"/>
  <c r="F147"/>
  <c r="Q147" s="1"/>
  <c r="I148"/>
  <c r="T148" s="1"/>
  <c r="G144"/>
  <c r="R144" s="1"/>
  <c r="J145"/>
  <c r="U145" s="1"/>
  <c r="G147"/>
  <c r="R147" s="1"/>
  <c r="J148"/>
  <c r="U148" s="1"/>
  <c r="K838"/>
  <c r="V838" s="1"/>
  <c r="K834"/>
  <c r="V834" s="1"/>
  <c r="E834"/>
  <c r="E837"/>
  <c r="H834"/>
  <c r="S834" s="1"/>
  <c r="H837"/>
  <c r="S837" s="1"/>
  <c r="I833"/>
  <c r="T833" s="1"/>
  <c r="F835"/>
  <c r="Q835" s="1"/>
  <c r="I836"/>
  <c r="T836" s="1"/>
  <c r="F838"/>
  <c r="Q838" s="1"/>
  <c r="J833"/>
  <c r="U833" s="1"/>
  <c r="G835"/>
  <c r="R835" s="1"/>
  <c r="J836"/>
  <c r="U836" s="1"/>
  <c r="G838"/>
  <c r="R838" s="1"/>
  <c r="K932"/>
  <c r="V932" s="1"/>
  <c r="K928"/>
  <c r="V928" s="1"/>
  <c r="E928"/>
  <c r="E931"/>
  <c r="H928"/>
  <c r="S928" s="1"/>
  <c r="H931"/>
  <c r="S931" s="1"/>
  <c r="I927"/>
  <c r="T927" s="1"/>
  <c r="F929"/>
  <c r="Q929" s="1"/>
  <c r="I930"/>
  <c r="T930" s="1"/>
  <c r="F932"/>
  <c r="Q932" s="1"/>
  <c r="J927"/>
  <c r="U927" s="1"/>
  <c r="G929"/>
  <c r="R929" s="1"/>
  <c r="J930"/>
  <c r="U930" s="1"/>
  <c r="K146"/>
  <c r="V146" s="1"/>
  <c r="K149"/>
  <c r="V149" s="1"/>
  <c r="H146"/>
  <c r="S146" s="1"/>
  <c r="H149"/>
  <c r="S149" s="1"/>
  <c r="E146"/>
  <c r="E149"/>
  <c r="F145"/>
  <c r="Q145" s="1"/>
  <c r="I146"/>
  <c r="T146" s="1"/>
  <c r="F148"/>
  <c r="Q148" s="1"/>
  <c r="I149"/>
  <c r="T149" s="1"/>
  <c r="G145"/>
  <c r="R145" s="1"/>
  <c r="J146"/>
  <c r="U146" s="1"/>
  <c r="G148"/>
  <c r="R148" s="1"/>
  <c r="K835"/>
  <c r="V835" s="1"/>
  <c r="K836"/>
  <c r="V836" s="1"/>
  <c r="E833"/>
  <c r="E836"/>
  <c r="H833"/>
  <c r="S833" s="1"/>
  <c r="H836"/>
  <c r="S836" s="1"/>
  <c r="F833"/>
  <c r="Q833" s="1"/>
  <c r="I834"/>
  <c r="T834" s="1"/>
  <c r="F836"/>
  <c r="Q836" s="1"/>
  <c r="I837"/>
  <c r="T837" s="1"/>
  <c r="G833"/>
  <c r="R833" s="1"/>
  <c r="J834"/>
  <c r="U834" s="1"/>
  <c r="G836"/>
  <c r="R836" s="1"/>
  <c r="E596"/>
  <c r="E595"/>
  <c r="E594"/>
  <c r="E593"/>
  <c r="K591"/>
  <c r="V591" s="1"/>
  <c r="G596"/>
  <c r="R596" s="1"/>
  <c r="G593"/>
  <c r="R593" s="1"/>
  <c r="J596"/>
  <c r="U596" s="1"/>
  <c r="F595"/>
  <c r="Q595" s="1"/>
  <c r="J593"/>
  <c r="U593" s="1"/>
  <c r="F592"/>
  <c r="Q592" s="1"/>
  <c r="I596"/>
  <c r="T596" s="1"/>
  <c r="I592"/>
  <c r="T592" s="1"/>
  <c r="H596"/>
  <c r="S596" s="1"/>
  <c r="H595"/>
  <c r="S595" s="1"/>
  <c r="H594"/>
  <c r="S594" s="1"/>
  <c r="H593"/>
  <c r="S593" s="1"/>
  <c r="E592"/>
  <c r="E591"/>
  <c r="G594"/>
  <c r="R594" s="1"/>
  <c r="G591"/>
  <c r="R591" s="1"/>
  <c r="J595"/>
  <c r="U595" s="1"/>
  <c r="F594"/>
  <c r="Q594" s="1"/>
  <c r="J592"/>
  <c r="U592" s="1"/>
  <c r="F591"/>
  <c r="Q591" s="1"/>
  <c r="I595"/>
  <c r="T595" s="1"/>
  <c r="I591"/>
  <c r="T591" s="1"/>
  <c r="K596"/>
  <c r="V596" s="1"/>
  <c r="K595"/>
  <c r="V595" s="1"/>
  <c r="K594"/>
  <c r="V594" s="1"/>
  <c r="K593"/>
  <c r="V593" s="1"/>
  <c r="H592"/>
  <c r="S592" s="1"/>
  <c r="H591"/>
  <c r="S591" s="1"/>
  <c r="G595"/>
  <c r="R595" s="1"/>
  <c r="G592"/>
  <c r="R592" s="1"/>
  <c r="F596"/>
  <c r="Q596" s="1"/>
  <c r="J594"/>
  <c r="U594" s="1"/>
  <c r="F593"/>
  <c r="Q593" s="1"/>
  <c r="J591"/>
  <c r="U591" s="1"/>
  <c r="I593"/>
  <c r="T593" s="1"/>
  <c r="I594"/>
  <c r="T594" s="1"/>
  <c r="I128" i="57" a="1"/>
  <c r="I128" s="1"/>
  <c r="I130" s="1"/>
  <c r="J130" s="1"/>
  <c r="E116" i="111"/>
  <c r="E119"/>
  <c r="K116"/>
  <c r="V116" s="1"/>
  <c r="K119"/>
  <c r="V119" s="1"/>
  <c r="H116"/>
  <c r="S116" s="1"/>
  <c r="H119"/>
  <c r="S119" s="1"/>
  <c r="F115"/>
  <c r="Q115" s="1"/>
  <c r="I116"/>
  <c r="T116" s="1"/>
  <c r="F118"/>
  <c r="Q118" s="1"/>
  <c r="I119"/>
  <c r="T119" s="1"/>
  <c r="G115"/>
  <c r="R115" s="1"/>
  <c r="J116"/>
  <c r="U116" s="1"/>
  <c r="G118"/>
  <c r="R118" s="1"/>
  <c r="J119"/>
  <c r="U119" s="1"/>
  <c r="J343"/>
  <c r="U343" s="1"/>
  <c r="J346"/>
  <c r="U346" s="1"/>
  <c r="G343"/>
  <c r="R343" s="1"/>
  <c r="G346"/>
  <c r="R346" s="1"/>
  <c r="K341"/>
  <c r="V341" s="1"/>
  <c r="K342"/>
  <c r="V342" s="1"/>
  <c r="K343"/>
  <c r="V343" s="1"/>
  <c r="K344"/>
  <c r="V344" s="1"/>
  <c r="K345"/>
  <c r="V345" s="1"/>
  <c r="K346"/>
  <c r="V346" s="1"/>
  <c r="F342"/>
  <c r="Q342" s="1"/>
  <c r="I343"/>
  <c r="T343" s="1"/>
  <c r="F345"/>
  <c r="Q345" s="1"/>
  <c r="I346"/>
  <c r="T346" s="1"/>
  <c r="J253"/>
  <c r="U253" s="1"/>
  <c r="J256"/>
  <c r="U256" s="1"/>
  <c r="G253"/>
  <c r="R253" s="1"/>
  <c r="G256"/>
  <c r="R256" s="1"/>
  <c r="K251"/>
  <c r="V251" s="1"/>
  <c r="K252"/>
  <c r="V252" s="1"/>
  <c r="K253"/>
  <c r="V253" s="1"/>
  <c r="K254"/>
  <c r="V254" s="1"/>
  <c r="K255"/>
  <c r="V255" s="1"/>
  <c r="K256"/>
  <c r="V256" s="1"/>
  <c r="F252"/>
  <c r="Q252" s="1"/>
  <c r="I253"/>
  <c r="T253" s="1"/>
  <c r="F255"/>
  <c r="Q255" s="1"/>
  <c r="I256"/>
  <c r="T256" s="1"/>
  <c r="H41"/>
  <c r="S41" s="1"/>
  <c r="H44"/>
  <c r="S44" s="1"/>
  <c r="E41"/>
  <c r="E44"/>
  <c r="K41"/>
  <c r="V41" s="1"/>
  <c r="K44"/>
  <c r="V44" s="1"/>
  <c r="F40"/>
  <c r="Q40" s="1"/>
  <c r="I41"/>
  <c r="T41" s="1"/>
  <c r="F43"/>
  <c r="Q43" s="1"/>
  <c r="I44"/>
  <c r="T44" s="1"/>
  <c r="G40"/>
  <c r="R40" s="1"/>
  <c r="J41"/>
  <c r="U41" s="1"/>
  <c r="G43"/>
  <c r="R43" s="1"/>
  <c r="J44"/>
  <c r="U44" s="1"/>
  <c r="I128" i="75" a="1"/>
  <c r="I128" s="1"/>
  <c r="I130" s="1"/>
  <c r="J130" s="1"/>
  <c r="E115" i="111"/>
  <c r="E118"/>
  <c r="K115"/>
  <c r="V115" s="1"/>
  <c r="K118"/>
  <c r="V118" s="1"/>
  <c r="H115"/>
  <c r="S115" s="1"/>
  <c r="H118"/>
  <c r="S118" s="1"/>
  <c r="I114"/>
  <c r="T114" s="1"/>
  <c r="F116"/>
  <c r="Q116" s="1"/>
  <c r="I117"/>
  <c r="T117" s="1"/>
  <c r="F119"/>
  <c r="Q119" s="1"/>
  <c r="J114"/>
  <c r="U114" s="1"/>
  <c r="G116"/>
  <c r="R116" s="1"/>
  <c r="J117"/>
  <c r="U117" s="1"/>
  <c r="J342"/>
  <c r="U342" s="1"/>
  <c r="J345"/>
  <c r="U345" s="1"/>
  <c r="G342"/>
  <c r="R342" s="1"/>
  <c r="G345"/>
  <c r="R345" s="1"/>
  <c r="H341"/>
  <c r="S341" s="1"/>
  <c r="H342"/>
  <c r="S342" s="1"/>
  <c r="H343"/>
  <c r="S343" s="1"/>
  <c r="H344"/>
  <c r="S344" s="1"/>
  <c r="H345"/>
  <c r="S345" s="1"/>
  <c r="H346"/>
  <c r="S346" s="1"/>
  <c r="I341"/>
  <c r="T341" s="1"/>
  <c r="F343"/>
  <c r="Q343" s="1"/>
  <c r="I344"/>
  <c r="T344" s="1"/>
  <c r="J252"/>
  <c r="U252" s="1"/>
  <c r="J255"/>
  <c r="U255" s="1"/>
  <c r="G252"/>
  <c r="R252" s="1"/>
  <c r="G255"/>
  <c r="R255" s="1"/>
  <c r="H251"/>
  <c r="S251" s="1"/>
  <c r="H252"/>
  <c r="S252" s="1"/>
  <c r="H253"/>
  <c r="S253" s="1"/>
  <c r="H254"/>
  <c r="S254" s="1"/>
  <c r="H255"/>
  <c r="S255" s="1"/>
  <c r="H256"/>
  <c r="S256" s="1"/>
  <c r="I251"/>
  <c r="T251" s="1"/>
  <c r="F253"/>
  <c r="Q253" s="1"/>
  <c r="I254"/>
  <c r="T254" s="1"/>
  <c r="H40"/>
  <c r="S40" s="1"/>
  <c r="H43"/>
  <c r="S43" s="1"/>
  <c r="E40"/>
  <c r="E43"/>
  <c r="K40"/>
  <c r="V40" s="1"/>
  <c r="K43"/>
  <c r="V43" s="1"/>
  <c r="I39"/>
  <c r="T39" s="1"/>
  <c r="F41"/>
  <c r="Q41" s="1"/>
  <c r="I42"/>
  <c r="T42" s="1"/>
  <c r="F44"/>
  <c r="Q44" s="1"/>
  <c r="J39"/>
  <c r="U39" s="1"/>
  <c r="G41"/>
  <c r="R41" s="1"/>
  <c r="J42"/>
  <c r="U42" s="1"/>
  <c r="E141" i="42"/>
  <c r="E141" i="44"/>
  <c r="I42" i="83"/>
  <c r="H105"/>
  <c r="S84"/>
  <c r="H48"/>
  <c r="I128" i="80" a="1"/>
  <c r="I128" s="1"/>
  <c r="I130" s="1"/>
  <c r="J130" s="1"/>
  <c r="I128" i="99" a="1"/>
  <c r="I128" s="1"/>
  <c r="I130" s="1"/>
  <c r="J130" s="1"/>
  <c r="I128" i="43" a="1"/>
  <c r="I128" s="1"/>
  <c r="I130" s="1"/>
  <c r="J130" s="1"/>
  <c r="E141" i="101"/>
  <c r="G141" i="92"/>
  <c r="I128" i="56" a="1"/>
  <c r="I128" s="1"/>
  <c r="I130" s="1"/>
  <c r="J130" s="1"/>
  <c r="F196" i="111"/>
  <c r="Q196" s="1"/>
  <c r="I194"/>
  <c r="T194" s="1"/>
  <c r="F193"/>
  <c r="Q193" s="1"/>
  <c r="I191"/>
  <c r="T191" s="1"/>
  <c r="H196"/>
  <c r="S196" s="1"/>
  <c r="H195"/>
  <c r="S195" s="1"/>
  <c r="H194"/>
  <c r="S194" s="1"/>
  <c r="H193"/>
  <c r="S193" s="1"/>
  <c r="H192"/>
  <c r="S192" s="1"/>
  <c r="H191"/>
  <c r="S191" s="1"/>
  <c r="G195"/>
  <c r="R195" s="1"/>
  <c r="G192"/>
  <c r="R192" s="1"/>
  <c r="J194"/>
  <c r="U194" s="1"/>
  <c r="J191"/>
  <c r="U191" s="1"/>
  <c r="I196"/>
  <c r="T196" s="1"/>
  <c r="F195"/>
  <c r="Q195" s="1"/>
  <c r="I193"/>
  <c r="T193" s="1"/>
  <c r="F192"/>
  <c r="Q192" s="1"/>
  <c r="K196"/>
  <c r="V196" s="1"/>
  <c r="K195"/>
  <c r="V195" s="1"/>
  <c r="K194"/>
  <c r="V194" s="1"/>
  <c r="K193"/>
  <c r="V193" s="1"/>
  <c r="K192"/>
  <c r="V192" s="1"/>
  <c r="K191"/>
  <c r="V191" s="1"/>
  <c r="G196"/>
  <c r="R196" s="1"/>
  <c r="G193"/>
  <c r="R193" s="1"/>
  <c r="J195"/>
  <c r="U195" s="1"/>
  <c r="J192"/>
  <c r="U192" s="1"/>
  <c r="I195"/>
  <c r="T195" s="1"/>
  <c r="F194"/>
  <c r="Q194" s="1"/>
  <c r="I192"/>
  <c r="T192" s="1"/>
  <c r="F191"/>
  <c r="Q191" s="1"/>
  <c r="E196"/>
  <c r="E195"/>
  <c r="E194"/>
  <c r="E193"/>
  <c r="E192"/>
  <c r="E191"/>
  <c r="G194"/>
  <c r="R194" s="1"/>
  <c r="G191"/>
  <c r="R191" s="1"/>
  <c r="J193"/>
  <c r="U193" s="1"/>
  <c r="I128" i="77" a="1"/>
  <c r="I128" s="1"/>
  <c r="I130" s="1"/>
  <c r="J130" s="1"/>
  <c r="I128" i="88" a="1"/>
  <c r="I128" s="1"/>
  <c r="I130" s="1"/>
  <c r="J130" s="1"/>
  <c r="I128" i="89" a="1"/>
  <c r="I128" s="1"/>
  <c r="I130" s="1"/>
  <c r="J130" s="1"/>
  <c r="I128" i="41" a="1"/>
  <c r="I128" s="1"/>
  <c r="I130" s="1"/>
  <c r="J130" s="1"/>
  <c r="I128" i="52" a="1"/>
  <c r="I128" s="1"/>
  <c r="I130" s="1"/>
  <c r="J130" s="1"/>
  <c r="I92" i="49" a="1"/>
  <c r="I92" s="1"/>
  <c r="I94" s="1"/>
  <c r="J94" s="1"/>
  <c r="I92" i="44" a="1"/>
  <c r="I92" s="1"/>
  <c r="I94" s="1"/>
  <c r="J94" s="1"/>
  <c r="I92" i="97" a="1"/>
  <c r="I92" s="1"/>
  <c r="I94" s="1"/>
  <c r="J94" s="1"/>
  <c r="F141" i="38"/>
  <c r="I92" i="85" a="1"/>
  <c r="I92" s="1"/>
  <c r="I94" s="1"/>
  <c r="J94" s="1"/>
  <c r="I92" i="108" a="1"/>
  <c r="I92" s="1"/>
  <c r="I94" s="1"/>
  <c r="J94" s="1"/>
  <c r="I92" i="38" a="1"/>
  <c r="I92" s="1"/>
  <c r="I94" s="1"/>
  <c r="J94" s="1"/>
  <c r="I92" i="46" a="1"/>
  <c r="I92" s="1"/>
  <c r="I94" s="1"/>
  <c r="J94" s="1"/>
  <c r="I92" i="47" a="1"/>
  <c r="I92" s="1"/>
  <c r="I94" s="1"/>
  <c r="J94" s="1"/>
  <c r="E141" i="73"/>
  <c r="F141" i="128"/>
  <c r="F141" i="59"/>
  <c r="E141" i="86"/>
  <c r="F141" i="95"/>
  <c r="F141" i="55"/>
  <c r="F141" i="89"/>
  <c r="P120" i="68"/>
  <c r="P120" i="55"/>
  <c r="D140" i="63"/>
  <c r="P120" i="99"/>
  <c r="P120" i="39"/>
  <c r="C147" i="104"/>
  <c r="C153" s="1"/>
  <c r="N315" i="105"/>
  <c r="D148" i="104"/>
  <c r="D70" i="76"/>
  <c r="D208" s="1"/>
  <c r="P120" i="129"/>
  <c r="E87" i="104"/>
  <c r="N190" i="105"/>
  <c r="D70" i="57"/>
  <c r="D208" s="1"/>
  <c r="N146" i="105"/>
  <c r="D70" i="52"/>
  <c r="D208" s="1"/>
  <c r="N249" i="105"/>
  <c r="D70" i="69"/>
  <c r="D208" s="1"/>
  <c r="N240" i="105"/>
  <c r="D70" i="68"/>
  <c r="D208" s="1"/>
  <c r="R120" i="56"/>
  <c r="Q120" i="57"/>
  <c r="C139" i="63"/>
  <c r="C145" s="1"/>
  <c r="P120" i="48"/>
  <c r="P120" i="89"/>
  <c r="P120" i="76"/>
  <c r="P120" i="84"/>
  <c r="P120" i="57"/>
  <c r="P120" i="81"/>
  <c r="P120" i="41"/>
  <c r="P120" i="51"/>
  <c r="P120" i="52"/>
  <c r="P120" i="56"/>
  <c r="F48" i="63"/>
  <c r="P120" i="69"/>
  <c r="F141" i="88"/>
  <c r="F48" i="104"/>
  <c r="M115" i="105"/>
  <c r="M109" i="130"/>
  <c r="M115" s="1"/>
  <c r="M21" i="131" s="1"/>
  <c r="M32" i="105"/>
  <c r="M26" i="130"/>
  <c r="M32" s="1"/>
  <c r="N493" i="105"/>
  <c r="N347"/>
  <c r="M223"/>
  <c r="M217" i="130"/>
  <c r="M223" s="1"/>
  <c r="M18" i="131" s="1"/>
  <c r="M86" i="105"/>
  <c r="M80" i="130"/>
  <c r="M86" s="1"/>
  <c r="M569" i="105"/>
  <c r="M563" i="130"/>
  <c r="M569" s="1"/>
  <c r="M439" i="105"/>
  <c r="M433" i="130"/>
  <c r="M439" s="1"/>
  <c r="M44" i="131" s="1"/>
  <c r="M403" i="105"/>
  <c r="M397" i="130"/>
  <c r="M403" s="1"/>
  <c r="M365" i="105"/>
  <c r="M359" i="130"/>
  <c r="M365" s="1"/>
  <c r="N187" i="105"/>
  <c r="M23"/>
  <c r="M17" i="130"/>
  <c r="M23" s="1"/>
  <c r="M13" i="131" s="1"/>
  <c r="M596" i="105"/>
  <c r="M590" i="130"/>
  <c r="M596" s="1"/>
  <c r="N466" i="105"/>
  <c r="M283"/>
  <c r="M277" i="130"/>
  <c r="M283" s="1"/>
  <c r="M40" i="131" s="1"/>
  <c r="M214" i="105"/>
  <c r="M208" i="130"/>
  <c r="M214" s="1"/>
  <c r="M34" i="131" s="1"/>
  <c r="M106" i="130"/>
  <c r="M14"/>
  <c r="N439" i="105"/>
  <c r="M246"/>
  <c r="M240" i="130"/>
  <c r="M246" s="1"/>
  <c r="M178" i="105"/>
  <c r="M172" i="130"/>
  <c r="M178" s="1"/>
  <c r="M27" i="131" s="1"/>
  <c r="M50" i="105"/>
  <c r="M44" i="130"/>
  <c r="M50" s="1"/>
  <c r="M540" i="105"/>
  <c r="M534" i="130"/>
  <c r="M540" s="1"/>
  <c r="M421" i="105"/>
  <c r="M415" i="130"/>
  <c r="M421" s="1"/>
  <c r="M394" i="105"/>
  <c r="M388" i="130"/>
  <c r="M394" s="1"/>
  <c r="M356" i="105"/>
  <c r="M350" i="130"/>
  <c r="M356" s="1"/>
  <c r="M151" i="105"/>
  <c r="M145" i="130"/>
  <c r="M151" s="1"/>
  <c r="M32" i="131" s="1"/>
  <c r="N605" i="105"/>
  <c r="M587"/>
  <c r="M581" i="130"/>
  <c r="M587" s="1"/>
  <c r="M49" i="131" s="1"/>
  <c r="M457" i="105"/>
  <c r="M451" i="130"/>
  <c r="M457" s="1"/>
  <c r="M43" i="131" s="1"/>
  <c r="M264" i="105"/>
  <c r="M258" i="130"/>
  <c r="M264" s="1"/>
  <c r="B412" i="135"/>
  <c r="B313" i="130"/>
  <c r="B115" i="135"/>
  <c r="B88" i="130"/>
  <c r="M169" i="105"/>
  <c r="M163" i="130"/>
  <c r="M169" s="1"/>
  <c r="M26" i="131" s="1"/>
  <c r="M68" i="105"/>
  <c r="M62" i="130"/>
  <c r="M68" s="1"/>
  <c r="M560"/>
  <c r="M385"/>
  <c r="N142" i="105"/>
  <c r="M578"/>
  <c r="M572" i="130"/>
  <c r="M578" s="1"/>
  <c r="M48" i="131" s="1"/>
  <c r="N531" i="105"/>
  <c r="M412"/>
  <c r="M406" i="130"/>
  <c r="M412" s="1"/>
  <c r="N365" i="105"/>
  <c r="M329"/>
  <c r="M323" i="130"/>
  <c r="M329" s="1"/>
  <c r="M196" i="105"/>
  <c r="M190" i="130"/>
  <c r="M196" s="1"/>
  <c r="M23" i="131" s="1"/>
  <c r="N32" i="105"/>
  <c r="N596"/>
  <c r="M522" i="130"/>
  <c r="M293"/>
  <c r="M237"/>
  <c r="C499" i="111"/>
  <c r="C400" i="135"/>
  <c r="C127" i="111"/>
  <c r="C103" i="135"/>
  <c r="P120" i="43"/>
  <c r="P120" i="83"/>
  <c r="V24" i="111"/>
  <c r="S24"/>
  <c r="Q24"/>
  <c r="R24"/>
  <c r="V39"/>
  <c r="R39"/>
  <c r="G42" i="104"/>
  <c r="P120" i="87"/>
  <c r="P120" i="92"/>
  <c r="G42" i="63"/>
  <c r="P120" i="59"/>
  <c r="Q119" i="78"/>
  <c r="T83" i="43"/>
  <c r="E99" i="111" a="1"/>
  <c r="K962"/>
  <c r="V962" s="1"/>
  <c r="H962"/>
  <c r="S962" s="1"/>
  <c r="E962"/>
  <c r="K961"/>
  <c r="V961" s="1"/>
  <c r="H961"/>
  <c r="S961" s="1"/>
  <c r="E961"/>
  <c r="K960"/>
  <c r="V960" s="1"/>
  <c r="H960"/>
  <c r="S960" s="1"/>
  <c r="E960"/>
  <c r="K959"/>
  <c r="V959" s="1"/>
  <c r="H959"/>
  <c r="S959" s="1"/>
  <c r="E959"/>
  <c r="K958"/>
  <c r="V958" s="1"/>
  <c r="H958"/>
  <c r="S958" s="1"/>
  <c r="E958"/>
  <c r="K957"/>
  <c r="V957" s="1"/>
  <c r="H957"/>
  <c r="S957" s="1"/>
  <c r="E957"/>
  <c r="I962"/>
  <c r="T962" s="1"/>
  <c r="I961"/>
  <c r="T961" s="1"/>
  <c r="I960"/>
  <c r="T960" s="1"/>
  <c r="I959"/>
  <c r="T959" s="1"/>
  <c r="I958"/>
  <c r="T958" s="1"/>
  <c r="I957"/>
  <c r="T957" s="1"/>
  <c r="G962"/>
  <c r="R962" s="1"/>
  <c r="G961"/>
  <c r="R961" s="1"/>
  <c r="G960"/>
  <c r="R960" s="1"/>
  <c r="G959"/>
  <c r="R959" s="1"/>
  <c r="G958"/>
  <c r="R958" s="1"/>
  <c r="G957"/>
  <c r="R957" s="1"/>
  <c r="J962"/>
  <c r="U962" s="1"/>
  <c r="F961"/>
  <c r="Q961" s="1"/>
  <c r="J959"/>
  <c r="U959" s="1"/>
  <c r="F958"/>
  <c r="Q958" s="1"/>
  <c r="F962"/>
  <c r="Q962" s="1"/>
  <c r="J960"/>
  <c r="U960" s="1"/>
  <c r="F959"/>
  <c r="Q959" s="1"/>
  <c r="J957"/>
  <c r="U957" s="1"/>
  <c r="J958"/>
  <c r="U958" s="1"/>
  <c r="J961"/>
  <c r="U961" s="1"/>
  <c r="F957"/>
  <c r="Q957" s="1"/>
  <c r="F960"/>
  <c r="Q960" s="1"/>
  <c r="K673"/>
  <c r="V673" s="1"/>
  <c r="H673"/>
  <c r="S673" s="1"/>
  <c r="E673"/>
  <c r="K672"/>
  <c r="V672" s="1"/>
  <c r="H672"/>
  <c r="S672" s="1"/>
  <c r="E672"/>
  <c r="K671"/>
  <c r="V671" s="1"/>
  <c r="H671"/>
  <c r="S671" s="1"/>
  <c r="E671"/>
  <c r="K670"/>
  <c r="V670" s="1"/>
  <c r="H670"/>
  <c r="S670" s="1"/>
  <c r="E670"/>
  <c r="K669"/>
  <c r="V669" s="1"/>
  <c r="H669"/>
  <c r="S669" s="1"/>
  <c r="E669"/>
  <c r="K668"/>
  <c r="V668" s="1"/>
  <c r="H668"/>
  <c r="S668" s="1"/>
  <c r="E668"/>
  <c r="J673"/>
  <c r="U673" s="1"/>
  <c r="G673"/>
  <c r="R673" s="1"/>
  <c r="J672"/>
  <c r="U672" s="1"/>
  <c r="G672"/>
  <c r="R672" s="1"/>
  <c r="J671"/>
  <c r="U671" s="1"/>
  <c r="G671"/>
  <c r="R671" s="1"/>
  <c r="J670"/>
  <c r="U670" s="1"/>
  <c r="G670"/>
  <c r="R670" s="1"/>
  <c r="J669"/>
  <c r="U669" s="1"/>
  <c r="G669"/>
  <c r="R669" s="1"/>
  <c r="J668"/>
  <c r="U668" s="1"/>
  <c r="G668"/>
  <c r="R668" s="1"/>
  <c r="I673"/>
  <c r="T673" s="1"/>
  <c r="I672"/>
  <c r="T672" s="1"/>
  <c r="I671"/>
  <c r="T671" s="1"/>
  <c r="I670"/>
  <c r="T670" s="1"/>
  <c r="I669"/>
  <c r="T669" s="1"/>
  <c r="I668"/>
  <c r="T668" s="1"/>
  <c r="F673"/>
  <c r="Q673" s="1"/>
  <c r="F672"/>
  <c r="Q672" s="1"/>
  <c r="F671"/>
  <c r="Q671" s="1"/>
  <c r="F670"/>
  <c r="Q670" s="1"/>
  <c r="F669"/>
  <c r="Q669" s="1"/>
  <c r="F668"/>
  <c r="Q668" s="1"/>
  <c r="I181"/>
  <c r="T181" s="1"/>
  <c r="F181"/>
  <c r="Q181" s="1"/>
  <c r="I180"/>
  <c r="T180" s="1"/>
  <c r="F180"/>
  <c r="Q180" s="1"/>
  <c r="I179"/>
  <c r="T179" s="1"/>
  <c r="F179"/>
  <c r="Q179" s="1"/>
  <c r="I178"/>
  <c r="T178" s="1"/>
  <c r="F178"/>
  <c r="Q178" s="1"/>
  <c r="I177"/>
  <c r="T177" s="1"/>
  <c r="F177"/>
  <c r="Q177" s="1"/>
  <c r="I176"/>
  <c r="T176" s="1"/>
  <c r="F176"/>
  <c r="Q176" s="1"/>
  <c r="K181"/>
  <c r="V181" s="1"/>
  <c r="H181"/>
  <c r="S181" s="1"/>
  <c r="E181"/>
  <c r="K180"/>
  <c r="V180" s="1"/>
  <c r="H180"/>
  <c r="S180" s="1"/>
  <c r="E180"/>
  <c r="K179"/>
  <c r="V179" s="1"/>
  <c r="H179"/>
  <c r="S179" s="1"/>
  <c r="E179"/>
  <c r="K178"/>
  <c r="V178" s="1"/>
  <c r="H178"/>
  <c r="S178" s="1"/>
  <c r="E178"/>
  <c r="K177"/>
  <c r="V177" s="1"/>
  <c r="H177"/>
  <c r="S177" s="1"/>
  <c r="E177"/>
  <c r="K176"/>
  <c r="V176" s="1"/>
  <c r="H176"/>
  <c r="S176" s="1"/>
  <c r="E176"/>
  <c r="G181"/>
  <c r="R181" s="1"/>
  <c r="G180"/>
  <c r="R180" s="1"/>
  <c r="G179"/>
  <c r="R179" s="1"/>
  <c r="G178"/>
  <c r="R178" s="1"/>
  <c r="G177"/>
  <c r="R177" s="1"/>
  <c r="G176"/>
  <c r="R176" s="1"/>
  <c r="J181"/>
  <c r="U181" s="1"/>
  <c r="J180"/>
  <c r="U180" s="1"/>
  <c r="J179"/>
  <c r="U179" s="1"/>
  <c r="J178"/>
  <c r="U178" s="1"/>
  <c r="J177"/>
  <c r="U177" s="1"/>
  <c r="J176"/>
  <c r="U176" s="1"/>
  <c r="V623"/>
  <c r="K412"/>
  <c r="V412" s="1"/>
  <c r="H412"/>
  <c r="S412" s="1"/>
  <c r="E412"/>
  <c r="K411"/>
  <c r="V411" s="1"/>
  <c r="H411"/>
  <c r="S411" s="1"/>
  <c r="E411"/>
  <c r="K410"/>
  <c r="V410" s="1"/>
  <c r="H410"/>
  <c r="S410" s="1"/>
  <c r="E410"/>
  <c r="K409"/>
  <c r="V409" s="1"/>
  <c r="H409"/>
  <c r="S409" s="1"/>
  <c r="E409"/>
  <c r="K408"/>
  <c r="V408" s="1"/>
  <c r="H408"/>
  <c r="S408" s="1"/>
  <c r="E408"/>
  <c r="K407"/>
  <c r="V407" s="1"/>
  <c r="H407"/>
  <c r="S407" s="1"/>
  <c r="E407"/>
  <c r="J412"/>
  <c r="U412" s="1"/>
  <c r="F412"/>
  <c r="Q412" s="1"/>
  <c r="J411"/>
  <c r="U411" s="1"/>
  <c r="F411"/>
  <c r="Q411" s="1"/>
  <c r="J410"/>
  <c r="U410" s="1"/>
  <c r="F410"/>
  <c r="Q410" s="1"/>
  <c r="J409"/>
  <c r="U409" s="1"/>
  <c r="F409"/>
  <c r="Q409" s="1"/>
  <c r="J408"/>
  <c r="U408" s="1"/>
  <c r="F408"/>
  <c r="Q408" s="1"/>
  <c r="J407"/>
  <c r="U407" s="1"/>
  <c r="F407"/>
  <c r="Q407" s="1"/>
  <c r="G412"/>
  <c r="R412" s="1"/>
  <c r="G411"/>
  <c r="R411" s="1"/>
  <c r="G410"/>
  <c r="R410" s="1"/>
  <c r="G409"/>
  <c r="R409" s="1"/>
  <c r="G408"/>
  <c r="R408" s="1"/>
  <c r="G407"/>
  <c r="R407" s="1"/>
  <c r="I412"/>
  <c r="T412" s="1"/>
  <c r="I411"/>
  <c r="T411" s="1"/>
  <c r="I410"/>
  <c r="T410" s="1"/>
  <c r="I409"/>
  <c r="T409" s="1"/>
  <c r="I408"/>
  <c r="T408" s="1"/>
  <c r="I407"/>
  <c r="T407" s="1"/>
  <c r="I316"/>
  <c r="T316" s="1"/>
  <c r="F316"/>
  <c r="Q316" s="1"/>
  <c r="I315"/>
  <c r="T315" s="1"/>
  <c r="F315"/>
  <c r="Q315" s="1"/>
  <c r="I314"/>
  <c r="T314" s="1"/>
  <c r="F314"/>
  <c r="Q314" s="1"/>
  <c r="I313"/>
  <c r="T313" s="1"/>
  <c r="F313"/>
  <c r="Q313" s="1"/>
  <c r="I312"/>
  <c r="T312" s="1"/>
  <c r="F312"/>
  <c r="Q312" s="1"/>
  <c r="I311"/>
  <c r="T311" s="1"/>
  <c r="F311"/>
  <c r="Q311" s="1"/>
  <c r="K316"/>
  <c r="V316" s="1"/>
  <c r="H316"/>
  <c r="S316" s="1"/>
  <c r="E316"/>
  <c r="K315"/>
  <c r="V315" s="1"/>
  <c r="H315"/>
  <c r="S315" s="1"/>
  <c r="E315"/>
  <c r="K314"/>
  <c r="V314" s="1"/>
  <c r="H314"/>
  <c r="S314" s="1"/>
  <c r="E314"/>
  <c r="K313"/>
  <c r="V313" s="1"/>
  <c r="H313"/>
  <c r="S313" s="1"/>
  <c r="E313"/>
  <c r="K312"/>
  <c r="V312" s="1"/>
  <c r="H312"/>
  <c r="S312" s="1"/>
  <c r="E312"/>
  <c r="K311"/>
  <c r="V311" s="1"/>
  <c r="H311"/>
  <c r="S311" s="1"/>
  <c r="E311"/>
  <c r="G316"/>
  <c r="R316" s="1"/>
  <c r="G315"/>
  <c r="R315" s="1"/>
  <c r="G314"/>
  <c r="R314" s="1"/>
  <c r="G313"/>
  <c r="R313" s="1"/>
  <c r="G312"/>
  <c r="R312" s="1"/>
  <c r="G311"/>
  <c r="R311" s="1"/>
  <c r="J316"/>
  <c r="U316" s="1"/>
  <c r="J315"/>
  <c r="U315" s="1"/>
  <c r="J314"/>
  <c r="U314" s="1"/>
  <c r="J313"/>
  <c r="U313" s="1"/>
  <c r="J312"/>
  <c r="U312" s="1"/>
  <c r="J311"/>
  <c r="U311" s="1"/>
  <c r="I241"/>
  <c r="T241" s="1"/>
  <c r="F241"/>
  <c r="Q241" s="1"/>
  <c r="I240"/>
  <c r="T240" s="1"/>
  <c r="F240"/>
  <c r="Q240" s="1"/>
  <c r="I239"/>
  <c r="T239" s="1"/>
  <c r="F239"/>
  <c r="Q239" s="1"/>
  <c r="I238"/>
  <c r="T238" s="1"/>
  <c r="F238"/>
  <c r="Q238" s="1"/>
  <c r="I237"/>
  <c r="T237" s="1"/>
  <c r="F237"/>
  <c r="Q237" s="1"/>
  <c r="I236"/>
  <c r="T236" s="1"/>
  <c r="F236"/>
  <c r="Q236" s="1"/>
  <c r="K241"/>
  <c r="V241" s="1"/>
  <c r="H241"/>
  <c r="S241" s="1"/>
  <c r="E241"/>
  <c r="K240"/>
  <c r="V240" s="1"/>
  <c r="H240"/>
  <c r="S240" s="1"/>
  <c r="E240"/>
  <c r="K239"/>
  <c r="V239" s="1"/>
  <c r="H239"/>
  <c r="S239" s="1"/>
  <c r="E239"/>
  <c r="K238"/>
  <c r="V238" s="1"/>
  <c r="H238"/>
  <c r="S238" s="1"/>
  <c r="E238"/>
  <c r="K237"/>
  <c r="V237" s="1"/>
  <c r="H237"/>
  <c r="S237" s="1"/>
  <c r="E237"/>
  <c r="K236"/>
  <c r="V236" s="1"/>
  <c r="H236"/>
  <c r="S236" s="1"/>
  <c r="E236"/>
  <c r="G241"/>
  <c r="R241" s="1"/>
  <c r="G240"/>
  <c r="R240" s="1"/>
  <c r="G239"/>
  <c r="R239" s="1"/>
  <c r="G238"/>
  <c r="R238" s="1"/>
  <c r="G237"/>
  <c r="R237" s="1"/>
  <c r="G236"/>
  <c r="R236" s="1"/>
  <c r="J241"/>
  <c r="U241" s="1"/>
  <c r="J240"/>
  <c r="U240" s="1"/>
  <c r="J239"/>
  <c r="U239" s="1"/>
  <c r="J238"/>
  <c r="U238" s="1"/>
  <c r="J237"/>
  <c r="U237" s="1"/>
  <c r="J236"/>
  <c r="U236" s="1"/>
  <c r="E818" a="1"/>
  <c r="E531" a="1"/>
  <c r="E422" a="1"/>
  <c r="E357" a="1"/>
  <c r="E84" a="1"/>
  <c r="E326" a="1"/>
  <c r="E454" a="1"/>
  <c r="E54" a="1"/>
  <c r="E377" a="1"/>
  <c r="E439" a="1"/>
  <c r="B412" i="106"/>
  <c r="B514" i="111"/>
  <c r="B115" i="106"/>
  <c r="B142" i="111"/>
  <c r="K733"/>
  <c r="V733" s="1"/>
  <c r="H733"/>
  <c r="S733" s="1"/>
  <c r="E733"/>
  <c r="K732"/>
  <c r="V732" s="1"/>
  <c r="H732"/>
  <c r="S732" s="1"/>
  <c r="E732"/>
  <c r="K731"/>
  <c r="V731" s="1"/>
  <c r="H731"/>
  <c r="S731" s="1"/>
  <c r="E731"/>
  <c r="K730"/>
  <c r="V730" s="1"/>
  <c r="G733"/>
  <c r="R733" s="1"/>
  <c r="G732"/>
  <c r="R732" s="1"/>
  <c r="G731"/>
  <c r="R731" s="1"/>
  <c r="H730"/>
  <c r="S730" s="1"/>
  <c r="E730"/>
  <c r="K729"/>
  <c r="V729" s="1"/>
  <c r="H729"/>
  <c r="S729" s="1"/>
  <c r="E729"/>
  <c r="K728"/>
  <c r="V728" s="1"/>
  <c r="H728"/>
  <c r="S728" s="1"/>
  <c r="E728"/>
  <c r="J733"/>
  <c r="U733" s="1"/>
  <c r="F733"/>
  <c r="Q733" s="1"/>
  <c r="J732"/>
  <c r="U732" s="1"/>
  <c r="F732"/>
  <c r="Q732" s="1"/>
  <c r="J731"/>
  <c r="U731" s="1"/>
  <c r="F731"/>
  <c r="Q731" s="1"/>
  <c r="J730"/>
  <c r="U730" s="1"/>
  <c r="G730"/>
  <c r="R730" s="1"/>
  <c r="J729"/>
  <c r="U729" s="1"/>
  <c r="G729"/>
  <c r="R729" s="1"/>
  <c r="J728"/>
  <c r="U728" s="1"/>
  <c r="G728"/>
  <c r="R728" s="1"/>
  <c r="F730"/>
  <c r="Q730" s="1"/>
  <c r="F729"/>
  <c r="Q729" s="1"/>
  <c r="F728"/>
  <c r="Q728" s="1"/>
  <c r="I728"/>
  <c r="T728" s="1"/>
  <c r="I733"/>
  <c r="T733" s="1"/>
  <c r="I732"/>
  <c r="T732" s="1"/>
  <c r="I731"/>
  <c r="T731" s="1"/>
  <c r="I730"/>
  <c r="T730" s="1"/>
  <c r="I729"/>
  <c r="T729" s="1"/>
  <c r="K977"/>
  <c r="V977" s="1"/>
  <c r="H977"/>
  <c r="S977" s="1"/>
  <c r="E977"/>
  <c r="K976"/>
  <c r="V976" s="1"/>
  <c r="H976"/>
  <c r="S976" s="1"/>
  <c r="E976"/>
  <c r="K975"/>
  <c r="V975" s="1"/>
  <c r="H975"/>
  <c r="S975" s="1"/>
  <c r="E975"/>
  <c r="K974"/>
  <c r="V974" s="1"/>
  <c r="H974"/>
  <c r="S974" s="1"/>
  <c r="E974"/>
  <c r="K973"/>
  <c r="V973" s="1"/>
  <c r="H973"/>
  <c r="S973" s="1"/>
  <c r="E973"/>
  <c r="K972"/>
  <c r="V972" s="1"/>
  <c r="H972"/>
  <c r="S972" s="1"/>
  <c r="E972"/>
  <c r="G977"/>
  <c r="R977" s="1"/>
  <c r="G976"/>
  <c r="R976" s="1"/>
  <c r="G975"/>
  <c r="R975" s="1"/>
  <c r="G974"/>
  <c r="R974" s="1"/>
  <c r="G973"/>
  <c r="R973" s="1"/>
  <c r="G972"/>
  <c r="R972" s="1"/>
  <c r="J977"/>
  <c r="U977" s="1"/>
  <c r="F977"/>
  <c r="Q977" s="1"/>
  <c r="J976"/>
  <c r="U976" s="1"/>
  <c r="F976"/>
  <c r="Q976" s="1"/>
  <c r="J975"/>
  <c r="U975" s="1"/>
  <c r="F975"/>
  <c r="Q975" s="1"/>
  <c r="J974"/>
  <c r="U974" s="1"/>
  <c r="F974"/>
  <c r="Q974" s="1"/>
  <c r="J973"/>
  <c r="U973" s="1"/>
  <c r="F973"/>
  <c r="Q973" s="1"/>
  <c r="J972"/>
  <c r="U972" s="1"/>
  <c r="F972"/>
  <c r="Q972" s="1"/>
  <c r="I975"/>
  <c r="T975" s="1"/>
  <c r="I972"/>
  <c r="T972" s="1"/>
  <c r="I976"/>
  <c r="T976" s="1"/>
  <c r="I973"/>
  <c r="T973" s="1"/>
  <c r="I974"/>
  <c r="T974" s="1"/>
  <c r="I977"/>
  <c r="T977" s="1"/>
  <c r="K581"/>
  <c r="V581" s="1"/>
  <c r="H581"/>
  <c r="S581" s="1"/>
  <c r="E581"/>
  <c r="K580"/>
  <c r="V580" s="1"/>
  <c r="H580"/>
  <c r="S580" s="1"/>
  <c r="E580"/>
  <c r="K579"/>
  <c r="V579" s="1"/>
  <c r="H579"/>
  <c r="S579" s="1"/>
  <c r="E579"/>
  <c r="K578"/>
  <c r="V578" s="1"/>
  <c r="H578"/>
  <c r="S578" s="1"/>
  <c r="E578"/>
  <c r="K577"/>
  <c r="V577" s="1"/>
  <c r="H577"/>
  <c r="S577" s="1"/>
  <c r="E577"/>
  <c r="K576"/>
  <c r="V576" s="1"/>
  <c r="H576"/>
  <c r="S576" s="1"/>
  <c r="E576"/>
  <c r="I581"/>
  <c r="T581" s="1"/>
  <c r="I580"/>
  <c r="T580" s="1"/>
  <c r="I579"/>
  <c r="T579" s="1"/>
  <c r="I578"/>
  <c r="T578" s="1"/>
  <c r="I577"/>
  <c r="T577" s="1"/>
  <c r="I576"/>
  <c r="T576" s="1"/>
  <c r="G581"/>
  <c r="R581" s="1"/>
  <c r="G580"/>
  <c r="R580" s="1"/>
  <c r="G579"/>
  <c r="R579" s="1"/>
  <c r="G578"/>
  <c r="R578" s="1"/>
  <c r="G577"/>
  <c r="R577" s="1"/>
  <c r="G576"/>
  <c r="R576" s="1"/>
  <c r="J580"/>
  <c r="U580" s="1"/>
  <c r="F579"/>
  <c r="Q579" s="1"/>
  <c r="J577"/>
  <c r="U577" s="1"/>
  <c r="F576"/>
  <c r="Q576" s="1"/>
  <c r="J581"/>
  <c r="U581" s="1"/>
  <c r="F580"/>
  <c r="Q580" s="1"/>
  <c r="J578"/>
  <c r="U578" s="1"/>
  <c r="F577"/>
  <c r="Q577" s="1"/>
  <c r="F581"/>
  <c r="Q581" s="1"/>
  <c r="J579"/>
  <c r="U579" s="1"/>
  <c r="F578"/>
  <c r="Q578" s="1"/>
  <c r="J576"/>
  <c r="U576" s="1"/>
  <c r="K658"/>
  <c r="V658" s="1"/>
  <c r="H658"/>
  <c r="S658" s="1"/>
  <c r="E658"/>
  <c r="K657"/>
  <c r="V657" s="1"/>
  <c r="H657"/>
  <c r="S657" s="1"/>
  <c r="E657"/>
  <c r="K656"/>
  <c r="V656" s="1"/>
  <c r="H656"/>
  <c r="S656" s="1"/>
  <c r="E656"/>
  <c r="K655"/>
  <c r="V655" s="1"/>
  <c r="H655"/>
  <c r="S655" s="1"/>
  <c r="E655"/>
  <c r="K654"/>
  <c r="V654" s="1"/>
  <c r="H654"/>
  <c r="S654" s="1"/>
  <c r="E654"/>
  <c r="K653"/>
  <c r="V653" s="1"/>
  <c r="H653"/>
  <c r="S653" s="1"/>
  <c r="E653"/>
  <c r="J658"/>
  <c r="U658" s="1"/>
  <c r="G658"/>
  <c r="R658" s="1"/>
  <c r="J657"/>
  <c r="U657" s="1"/>
  <c r="G657"/>
  <c r="R657" s="1"/>
  <c r="J656"/>
  <c r="U656" s="1"/>
  <c r="G656"/>
  <c r="R656" s="1"/>
  <c r="J655"/>
  <c r="U655" s="1"/>
  <c r="G655"/>
  <c r="R655" s="1"/>
  <c r="J654"/>
  <c r="U654" s="1"/>
  <c r="G654"/>
  <c r="R654" s="1"/>
  <c r="J653"/>
  <c r="U653" s="1"/>
  <c r="G653"/>
  <c r="R653" s="1"/>
  <c r="I658"/>
  <c r="T658" s="1"/>
  <c r="I657"/>
  <c r="T657" s="1"/>
  <c r="I656"/>
  <c r="T656" s="1"/>
  <c r="I655"/>
  <c r="T655" s="1"/>
  <c r="I654"/>
  <c r="T654" s="1"/>
  <c r="I653"/>
  <c r="T653" s="1"/>
  <c r="F658"/>
  <c r="Q658" s="1"/>
  <c r="F657"/>
  <c r="Q657" s="1"/>
  <c r="F656"/>
  <c r="Q656" s="1"/>
  <c r="F655"/>
  <c r="Q655" s="1"/>
  <c r="F654"/>
  <c r="Q654" s="1"/>
  <c r="F653"/>
  <c r="Q653" s="1"/>
  <c r="I521"/>
  <c r="T521" s="1"/>
  <c r="F521"/>
  <c r="Q521" s="1"/>
  <c r="I520"/>
  <c r="T520" s="1"/>
  <c r="F520"/>
  <c r="Q520" s="1"/>
  <c r="I519"/>
  <c r="T519" s="1"/>
  <c r="F519"/>
  <c r="Q519" s="1"/>
  <c r="I518"/>
  <c r="T518" s="1"/>
  <c r="F518"/>
  <c r="Q518" s="1"/>
  <c r="I517"/>
  <c r="T517" s="1"/>
  <c r="F517"/>
  <c r="Q517" s="1"/>
  <c r="I516"/>
  <c r="T516" s="1"/>
  <c r="F516"/>
  <c r="Q516" s="1"/>
  <c r="K521"/>
  <c r="V521" s="1"/>
  <c r="H521"/>
  <c r="S521" s="1"/>
  <c r="E521"/>
  <c r="K520"/>
  <c r="V520" s="1"/>
  <c r="H520"/>
  <c r="S520" s="1"/>
  <c r="E520"/>
  <c r="K519"/>
  <c r="V519" s="1"/>
  <c r="H519"/>
  <c r="S519" s="1"/>
  <c r="E519"/>
  <c r="K518"/>
  <c r="V518" s="1"/>
  <c r="H518"/>
  <c r="S518" s="1"/>
  <c r="E518"/>
  <c r="K517"/>
  <c r="V517" s="1"/>
  <c r="H517"/>
  <c r="S517" s="1"/>
  <c r="E517"/>
  <c r="K516"/>
  <c r="V516" s="1"/>
  <c r="H516"/>
  <c r="S516" s="1"/>
  <c r="E516"/>
  <c r="G521"/>
  <c r="R521" s="1"/>
  <c r="G520"/>
  <c r="R520" s="1"/>
  <c r="G519"/>
  <c r="R519" s="1"/>
  <c r="G518"/>
  <c r="R518" s="1"/>
  <c r="G517"/>
  <c r="R517" s="1"/>
  <c r="G516"/>
  <c r="R516" s="1"/>
  <c r="J521"/>
  <c r="U521" s="1"/>
  <c r="J520"/>
  <c r="U520" s="1"/>
  <c r="J519"/>
  <c r="U519" s="1"/>
  <c r="J518"/>
  <c r="U518" s="1"/>
  <c r="J517"/>
  <c r="U517" s="1"/>
  <c r="J516"/>
  <c r="U516" s="1"/>
  <c r="K992"/>
  <c r="V992" s="1"/>
  <c r="H992"/>
  <c r="S992" s="1"/>
  <c r="E992"/>
  <c r="K991"/>
  <c r="V991" s="1"/>
  <c r="H991"/>
  <c r="S991" s="1"/>
  <c r="E991"/>
  <c r="K990"/>
  <c r="V990" s="1"/>
  <c r="H990"/>
  <c r="S990" s="1"/>
  <c r="E990"/>
  <c r="K989"/>
  <c r="V989" s="1"/>
  <c r="H989"/>
  <c r="S989" s="1"/>
  <c r="E989"/>
  <c r="K988"/>
  <c r="V988" s="1"/>
  <c r="H988"/>
  <c r="S988" s="1"/>
  <c r="E988"/>
  <c r="K987"/>
  <c r="V987" s="1"/>
  <c r="H987"/>
  <c r="S987" s="1"/>
  <c r="E987"/>
  <c r="J992"/>
  <c r="U992" s="1"/>
  <c r="F992"/>
  <c r="Q992" s="1"/>
  <c r="J991"/>
  <c r="U991" s="1"/>
  <c r="F991"/>
  <c r="Q991" s="1"/>
  <c r="J990"/>
  <c r="U990" s="1"/>
  <c r="F990"/>
  <c r="Q990" s="1"/>
  <c r="J989"/>
  <c r="U989" s="1"/>
  <c r="F989"/>
  <c r="Q989" s="1"/>
  <c r="J988"/>
  <c r="U988" s="1"/>
  <c r="F988"/>
  <c r="Q988" s="1"/>
  <c r="J987"/>
  <c r="U987" s="1"/>
  <c r="F987"/>
  <c r="Q987" s="1"/>
  <c r="I992"/>
  <c r="T992" s="1"/>
  <c r="I991"/>
  <c r="T991" s="1"/>
  <c r="I990"/>
  <c r="T990" s="1"/>
  <c r="I989"/>
  <c r="T989" s="1"/>
  <c r="I988"/>
  <c r="T988" s="1"/>
  <c r="I987"/>
  <c r="T987" s="1"/>
  <c r="G992"/>
  <c r="R992" s="1"/>
  <c r="G989"/>
  <c r="R989" s="1"/>
  <c r="G990"/>
  <c r="R990" s="1"/>
  <c r="G987"/>
  <c r="R987" s="1"/>
  <c r="G991"/>
  <c r="R991" s="1"/>
  <c r="G988"/>
  <c r="R988" s="1"/>
  <c r="I286"/>
  <c r="T286" s="1"/>
  <c r="F286"/>
  <c r="Q286" s="1"/>
  <c r="I285"/>
  <c r="T285" s="1"/>
  <c r="F285"/>
  <c r="Q285" s="1"/>
  <c r="I284"/>
  <c r="T284" s="1"/>
  <c r="F284"/>
  <c r="Q284" s="1"/>
  <c r="I283"/>
  <c r="T283" s="1"/>
  <c r="F283"/>
  <c r="Q283" s="1"/>
  <c r="I282"/>
  <c r="T282" s="1"/>
  <c r="F282"/>
  <c r="Q282" s="1"/>
  <c r="I281"/>
  <c r="T281" s="1"/>
  <c r="F281"/>
  <c r="Q281" s="1"/>
  <c r="K286"/>
  <c r="V286" s="1"/>
  <c r="H286"/>
  <c r="S286" s="1"/>
  <c r="E286"/>
  <c r="K285"/>
  <c r="V285" s="1"/>
  <c r="H285"/>
  <c r="S285" s="1"/>
  <c r="E285"/>
  <c r="K284"/>
  <c r="V284" s="1"/>
  <c r="H284"/>
  <c r="S284" s="1"/>
  <c r="E284"/>
  <c r="K283"/>
  <c r="V283" s="1"/>
  <c r="H283"/>
  <c r="S283" s="1"/>
  <c r="E283"/>
  <c r="K282"/>
  <c r="V282" s="1"/>
  <c r="H282"/>
  <c r="S282" s="1"/>
  <c r="E282"/>
  <c r="K281"/>
  <c r="V281" s="1"/>
  <c r="H281"/>
  <c r="S281" s="1"/>
  <c r="E281"/>
  <c r="G286"/>
  <c r="R286" s="1"/>
  <c r="G285"/>
  <c r="R285" s="1"/>
  <c r="G284"/>
  <c r="R284" s="1"/>
  <c r="G283"/>
  <c r="R283" s="1"/>
  <c r="G282"/>
  <c r="R282" s="1"/>
  <c r="G281"/>
  <c r="R281" s="1"/>
  <c r="J286"/>
  <c r="U286" s="1"/>
  <c r="J285"/>
  <c r="U285" s="1"/>
  <c r="J284"/>
  <c r="U284" s="1"/>
  <c r="J283"/>
  <c r="U283" s="1"/>
  <c r="J282"/>
  <c r="U282" s="1"/>
  <c r="J281"/>
  <c r="U281" s="1"/>
  <c r="U623"/>
  <c r="S623"/>
  <c r="J134"/>
  <c r="U134" s="1"/>
  <c r="G134"/>
  <c r="R134" s="1"/>
  <c r="J133"/>
  <c r="U133" s="1"/>
  <c r="G133"/>
  <c r="R133" s="1"/>
  <c r="J132"/>
  <c r="U132" s="1"/>
  <c r="G132"/>
  <c r="R132" s="1"/>
  <c r="J131"/>
  <c r="U131" s="1"/>
  <c r="G131"/>
  <c r="R131" s="1"/>
  <c r="J130"/>
  <c r="U130" s="1"/>
  <c r="G130"/>
  <c r="R130" s="1"/>
  <c r="J129"/>
  <c r="U129" s="1"/>
  <c r="G129"/>
  <c r="R129" s="1"/>
  <c r="I134"/>
  <c r="T134" s="1"/>
  <c r="F134"/>
  <c r="Q134" s="1"/>
  <c r="I133"/>
  <c r="T133" s="1"/>
  <c r="F133"/>
  <c r="Q133" s="1"/>
  <c r="I132"/>
  <c r="T132" s="1"/>
  <c r="F132"/>
  <c r="Q132" s="1"/>
  <c r="I131"/>
  <c r="T131" s="1"/>
  <c r="F131"/>
  <c r="Q131" s="1"/>
  <c r="I130"/>
  <c r="T130" s="1"/>
  <c r="F130"/>
  <c r="Q130" s="1"/>
  <c r="I129"/>
  <c r="T129" s="1"/>
  <c r="F129"/>
  <c r="Q129" s="1"/>
  <c r="K134"/>
  <c r="V134" s="1"/>
  <c r="K133"/>
  <c r="V133" s="1"/>
  <c r="K132"/>
  <c r="V132" s="1"/>
  <c r="K131"/>
  <c r="V131" s="1"/>
  <c r="K130"/>
  <c r="V130" s="1"/>
  <c r="K129"/>
  <c r="V129" s="1"/>
  <c r="E134"/>
  <c r="E133"/>
  <c r="E132"/>
  <c r="E131"/>
  <c r="E130"/>
  <c r="E129"/>
  <c r="H134"/>
  <c r="S134" s="1"/>
  <c r="H133"/>
  <c r="S133" s="1"/>
  <c r="H132"/>
  <c r="S132" s="1"/>
  <c r="H131"/>
  <c r="S131" s="1"/>
  <c r="H130"/>
  <c r="S130" s="1"/>
  <c r="H129"/>
  <c r="S129" s="1"/>
  <c r="K808"/>
  <c r="V808" s="1"/>
  <c r="H808"/>
  <c r="S808" s="1"/>
  <c r="E808"/>
  <c r="K807"/>
  <c r="V807" s="1"/>
  <c r="H807"/>
  <c r="S807" s="1"/>
  <c r="E807"/>
  <c r="K806"/>
  <c r="V806" s="1"/>
  <c r="H806"/>
  <c r="S806" s="1"/>
  <c r="E806"/>
  <c r="K805"/>
  <c r="V805" s="1"/>
  <c r="H805"/>
  <c r="S805" s="1"/>
  <c r="E805"/>
  <c r="K804"/>
  <c r="V804" s="1"/>
  <c r="H804"/>
  <c r="S804" s="1"/>
  <c r="E804"/>
  <c r="K803"/>
  <c r="V803" s="1"/>
  <c r="H803"/>
  <c r="S803" s="1"/>
  <c r="E803"/>
  <c r="J808"/>
  <c r="U808" s="1"/>
  <c r="G808"/>
  <c r="R808" s="1"/>
  <c r="J807"/>
  <c r="U807" s="1"/>
  <c r="G807"/>
  <c r="R807" s="1"/>
  <c r="J806"/>
  <c r="U806" s="1"/>
  <c r="G806"/>
  <c r="R806" s="1"/>
  <c r="J805"/>
  <c r="U805" s="1"/>
  <c r="G805"/>
  <c r="R805" s="1"/>
  <c r="J804"/>
  <c r="U804" s="1"/>
  <c r="G804"/>
  <c r="R804" s="1"/>
  <c r="J803"/>
  <c r="U803" s="1"/>
  <c r="G803"/>
  <c r="R803" s="1"/>
  <c r="I808"/>
  <c r="T808" s="1"/>
  <c r="I807"/>
  <c r="T807" s="1"/>
  <c r="I806"/>
  <c r="T806" s="1"/>
  <c r="I805"/>
  <c r="T805" s="1"/>
  <c r="I804"/>
  <c r="T804" s="1"/>
  <c r="I803"/>
  <c r="T803" s="1"/>
  <c r="F806"/>
  <c r="Q806" s="1"/>
  <c r="F803"/>
  <c r="Q803" s="1"/>
  <c r="F807"/>
  <c r="Q807" s="1"/>
  <c r="F804"/>
  <c r="Q804" s="1"/>
  <c r="F808"/>
  <c r="Q808" s="1"/>
  <c r="F805"/>
  <c r="Q805" s="1"/>
  <c r="E850" a="1"/>
  <c r="E471" a="1"/>
  <c r="E546" a="1"/>
  <c r="E9" a="1"/>
  <c r="E698" a="1"/>
  <c r="E683" a="1"/>
  <c r="Q119" i="109"/>
  <c r="I211" i="111"/>
  <c r="T211" s="1"/>
  <c r="F211"/>
  <c r="Q211" s="1"/>
  <c r="I210"/>
  <c r="T210" s="1"/>
  <c r="F210"/>
  <c r="Q210" s="1"/>
  <c r="I209"/>
  <c r="T209" s="1"/>
  <c r="F209"/>
  <c r="Q209" s="1"/>
  <c r="I208"/>
  <c r="T208" s="1"/>
  <c r="F208"/>
  <c r="Q208" s="1"/>
  <c r="I207"/>
  <c r="T207" s="1"/>
  <c r="F207"/>
  <c r="Q207" s="1"/>
  <c r="I206"/>
  <c r="T206" s="1"/>
  <c r="F206"/>
  <c r="Q206" s="1"/>
  <c r="K211"/>
  <c r="V211" s="1"/>
  <c r="H211"/>
  <c r="S211" s="1"/>
  <c r="E211"/>
  <c r="K210"/>
  <c r="V210" s="1"/>
  <c r="H210"/>
  <c r="S210" s="1"/>
  <c r="E210"/>
  <c r="K209"/>
  <c r="V209" s="1"/>
  <c r="H209"/>
  <c r="S209" s="1"/>
  <c r="E209"/>
  <c r="K208"/>
  <c r="V208" s="1"/>
  <c r="H208"/>
  <c r="S208" s="1"/>
  <c r="E208"/>
  <c r="K207"/>
  <c r="V207" s="1"/>
  <c r="H207"/>
  <c r="S207" s="1"/>
  <c r="E207"/>
  <c r="K206"/>
  <c r="V206" s="1"/>
  <c r="H206"/>
  <c r="S206" s="1"/>
  <c r="E206"/>
  <c r="G211"/>
  <c r="R211" s="1"/>
  <c r="G210"/>
  <c r="R210" s="1"/>
  <c r="G209"/>
  <c r="R209" s="1"/>
  <c r="G208"/>
  <c r="R208" s="1"/>
  <c r="G207"/>
  <c r="R207" s="1"/>
  <c r="G206"/>
  <c r="R206" s="1"/>
  <c r="J211"/>
  <c r="U211" s="1"/>
  <c r="J210"/>
  <c r="U210" s="1"/>
  <c r="J209"/>
  <c r="U209" s="1"/>
  <c r="J208"/>
  <c r="U208" s="1"/>
  <c r="J207"/>
  <c r="U207" s="1"/>
  <c r="J206"/>
  <c r="U206" s="1"/>
  <c r="J900"/>
  <c r="U900" s="1"/>
  <c r="G900"/>
  <c r="R900" s="1"/>
  <c r="J899"/>
  <c r="U899" s="1"/>
  <c r="G899"/>
  <c r="R899" s="1"/>
  <c r="J898"/>
  <c r="U898" s="1"/>
  <c r="G898"/>
  <c r="R898" s="1"/>
  <c r="J897"/>
  <c r="U897" s="1"/>
  <c r="G897"/>
  <c r="R897" s="1"/>
  <c r="J896"/>
  <c r="U896" s="1"/>
  <c r="G896"/>
  <c r="R896" s="1"/>
  <c r="J895"/>
  <c r="U895" s="1"/>
  <c r="G895"/>
  <c r="R895" s="1"/>
  <c r="I900"/>
  <c r="T900" s="1"/>
  <c r="F900"/>
  <c r="Q900" s="1"/>
  <c r="I899"/>
  <c r="T899" s="1"/>
  <c r="F899"/>
  <c r="Q899" s="1"/>
  <c r="I898"/>
  <c r="T898" s="1"/>
  <c r="F898"/>
  <c r="Q898" s="1"/>
  <c r="I897"/>
  <c r="T897" s="1"/>
  <c r="F897"/>
  <c r="Q897" s="1"/>
  <c r="I896"/>
  <c r="T896" s="1"/>
  <c r="F896"/>
  <c r="Q896" s="1"/>
  <c r="I895"/>
  <c r="T895" s="1"/>
  <c r="F895"/>
  <c r="Q895" s="1"/>
  <c r="H900"/>
  <c r="S900" s="1"/>
  <c r="H899"/>
  <c r="S899" s="1"/>
  <c r="H898"/>
  <c r="S898" s="1"/>
  <c r="H897"/>
  <c r="S897" s="1"/>
  <c r="H896"/>
  <c r="S896" s="1"/>
  <c r="H895"/>
  <c r="S895" s="1"/>
  <c r="E900"/>
  <c r="E899"/>
  <c r="E898"/>
  <c r="E897"/>
  <c r="E896"/>
  <c r="E895"/>
  <c r="K898"/>
  <c r="V898" s="1"/>
  <c r="K895"/>
  <c r="V895" s="1"/>
  <c r="K900"/>
  <c r="V900" s="1"/>
  <c r="K897"/>
  <c r="V897" s="1"/>
  <c r="K899"/>
  <c r="V899" s="1"/>
  <c r="K896"/>
  <c r="V896" s="1"/>
  <c r="I506"/>
  <c r="T506" s="1"/>
  <c r="F506"/>
  <c r="Q506" s="1"/>
  <c r="I505"/>
  <c r="T505" s="1"/>
  <c r="F505"/>
  <c r="Q505" s="1"/>
  <c r="I504"/>
  <c r="T504" s="1"/>
  <c r="F504"/>
  <c r="Q504" s="1"/>
  <c r="I503"/>
  <c r="T503" s="1"/>
  <c r="F503"/>
  <c r="Q503" s="1"/>
  <c r="I502"/>
  <c r="T502" s="1"/>
  <c r="F502"/>
  <c r="Q502" s="1"/>
  <c r="I501"/>
  <c r="T501" s="1"/>
  <c r="F501"/>
  <c r="Q501" s="1"/>
  <c r="K506"/>
  <c r="V506" s="1"/>
  <c r="H506"/>
  <c r="S506" s="1"/>
  <c r="E506"/>
  <c r="K505"/>
  <c r="V505" s="1"/>
  <c r="H505"/>
  <c r="S505" s="1"/>
  <c r="E505"/>
  <c r="K504"/>
  <c r="V504" s="1"/>
  <c r="H504"/>
  <c r="S504" s="1"/>
  <c r="E504"/>
  <c r="K503"/>
  <c r="V503" s="1"/>
  <c r="H503"/>
  <c r="S503" s="1"/>
  <c r="E503"/>
  <c r="K502"/>
  <c r="V502" s="1"/>
  <c r="H502"/>
  <c r="S502" s="1"/>
  <c r="E502"/>
  <c r="K501"/>
  <c r="V501" s="1"/>
  <c r="H501"/>
  <c r="S501" s="1"/>
  <c r="E501"/>
  <c r="G506"/>
  <c r="R506" s="1"/>
  <c r="G505"/>
  <c r="R505" s="1"/>
  <c r="G504"/>
  <c r="R504" s="1"/>
  <c r="G503"/>
  <c r="R503" s="1"/>
  <c r="G502"/>
  <c r="R502" s="1"/>
  <c r="G501"/>
  <c r="R501" s="1"/>
  <c r="J506"/>
  <c r="U506" s="1"/>
  <c r="J505"/>
  <c r="U505" s="1"/>
  <c r="J504"/>
  <c r="U504" s="1"/>
  <c r="J503"/>
  <c r="U503" s="1"/>
  <c r="J502"/>
  <c r="U502" s="1"/>
  <c r="J501"/>
  <c r="U501" s="1"/>
  <c r="K397"/>
  <c r="V397" s="1"/>
  <c r="H397"/>
  <c r="S397" s="1"/>
  <c r="E397"/>
  <c r="K396"/>
  <c r="V396" s="1"/>
  <c r="H396"/>
  <c r="S396" s="1"/>
  <c r="E396"/>
  <c r="K395"/>
  <c r="V395" s="1"/>
  <c r="H395"/>
  <c r="S395" s="1"/>
  <c r="E395"/>
  <c r="K394"/>
  <c r="V394" s="1"/>
  <c r="H394"/>
  <c r="S394" s="1"/>
  <c r="E394"/>
  <c r="K393"/>
  <c r="V393" s="1"/>
  <c r="H393"/>
  <c r="S393" s="1"/>
  <c r="E393"/>
  <c r="K392"/>
  <c r="V392" s="1"/>
  <c r="H392"/>
  <c r="S392" s="1"/>
  <c r="E392"/>
  <c r="G397"/>
  <c r="R397" s="1"/>
  <c r="G396"/>
  <c r="R396" s="1"/>
  <c r="G395"/>
  <c r="R395" s="1"/>
  <c r="G394"/>
  <c r="R394" s="1"/>
  <c r="G393"/>
  <c r="R393" s="1"/>
  <c r="G392"/>
  <c r="R392" s="1"/>
  <c r="I396"/>
  <c r="T396" s="1"/>
  <c r="I395"/>
  <c r="T395" s="1"/>
  <c r="I394"/>
  <c r="T394" s="1"/>
  <c r="I393"/>
  <c r="T393" s="1"/>
  <c r="I392"/>
  <c r="T392" s="1"/>
  <c r="J397"/>
  <c r="U397" s="1"/>
  <c r="F397"/>
  <c r="Q397" s="1"/>
  <c r="J396"/>
  <c r="U396" s="1"/>
  <c r="F396"/>
  <c r="Q396" s="1"/>
  <c r="J395"/>
  <c r="U395" s="1"/>
  <c r="F395"/>
  <c r="Q395" s="1"/>
  <c r="J394"/>
  <c r="U394" s="1"/>
  <c r="F394"/>
  <c r="Q394" s="1"/>
  <c r="J393"/>
  <c r="U393" s="1"/>
  <c r="F393"/>
  <c r="Q393" s="1"/>
  <c r="J392"/>
  <c r="U392" s="1"/>
  <c r="F392"/>
  <c r="Q392" s="1"/>
  <c r="I397"/>
  <c r="T397" s="1"/>
  <c r="K643"/>
  <c r="V643" s="1"/>
  <c r="H643"/>
  <c r="S643" s="1"/>
  <c r="E643"/>
  <c r="K642"/>
  <c r="V642" s="1"/>
  <c r="H642"/>
  <c r="S642" s="1"/>
  <c r="E642"/>
  <c r="K641"/>
  <c r="V641" s="1"/>
  <c r="H641"/>
  <c r="S641" s="1"/>
  <c r="E641"/>
  <c r="K640"/>
  <c r="V640" s="1"/>
  <c r="H640"/>
  <c r="S640" s="1"/>
  <c r="E640"/>
  <c r="K639"/>
  <c r="V639" s="1"/>
  <c r="H639"/>
  <c r="S639" s="1"/>
  <c r="E639"/>
  <c r="K638"/>
  <c r="V638" s="1"/>
  <c r="H638"/>
  <c r="S638" s="1"/>
  <c r="E638"/>
  <c r="J643"/>
  <c r="U643" s="1"/>
  <c r="G643"/>
  <c r="R643" s="1"/>
  <c r="J642"/>
  <c r="U642" s="1"/>
  <c r="G642"/>
  <c r="R642" s="1"/>
  <c r="J641"/>
  <c r="U641" s="1"/>
  <c r="G641"/>
  <c r="R641" s="1"/>
  <c r="J640"/>
  <c r="U640" s="1"/>
  <c r="G640"/>
  <c r="R640" s="1"/>
  <c r="J639"/>
  <c r="U639" s="1"/>
  <c r="G639"/>
  <c r="R639" s="1"/>
  <c r="J638"/>
  <c r="U638" s="1"/>
  <c r="G638"/>
  <c r="R638" s="1"/>
  <c r="I643"/>
  <c r="T643" s="1"/>
  <c r="I642"/>
  <c r="T642" s="1"/>
  <c r="I641"/>
  <c r="T641" s="1"/>
  <c r="I640"/>
  <c r="T640" s="1"/>
  <c r="I639"/>
  <c r="T639" s="1"/>
  <c r="I638"/>
  <c r="T638" s="1"/>
  <c r="F643"/>
  <c r="Q643" s="1"/>
  <c r="F642"/>
  <c r="Q642" s="1"/>
  <c r="F641"/>
  <c r="Q641" s="1"/>
  <c r="F640"/>
  <c r="Q640" s="1"/>
  <c r="F639"/>
  <c r="Q639" s="1"/>
  <c r="F638"/>
  <c r="Q638" s="1"/>
  <c r="I226"/>
  <c r="T226" s="1"/>
  <c r="F226"/>
  <c r="Q226" s="1"/>
  <c r="I225"/>
  <c r="T225" s="1"/>
  <c r="F225"/>
  <c r="Q225" s="1"/>
  <c r="I224"/>
  <c r="T224" s="1"/>
  <c r="F224"/>
  <c r="Q224" s="1"/>
  <c r="I223"/>
  <c r="T223" s="1"/>
  <c r="F223"/>
  <c r="Q223" s="1"/>
  <c r="I222"/>
  <c r="T222" s="1"/>
  <c r="F222"/>
  <c r="Q222" s="1"/>
  <c r="I221"/>
  <c r="T221" s="1"/>
  <c r="F221"/>
  <c r="Q221" s="1"/>
  <c r="K226"/>
  <c r="V226" s="1"/>
  <c r="H226"/>
  <c r="S226" s="1"/>
  <c r="E226"/>
  <c r="K225"/>
  <c r="V225" s="1"/>
  <c r="H225"/>
  <c r="S225" s="1"/>
  <c r="E225"/>
  <c r="K224"/>
  <c r="V224" s="1"/>
  <c r="H224"/>
  <c r="S224" s="1"/>
  <c r="E224"/>
  <c r="K223"/>
  <c r="V223" s="1"/>
  <c r="H223"/>
  <c r="S223" s="1"/>
  <c r="E223"/>
  <c r="K222"/>
  <c r="V222" s="1"/>
  <c r="H222"/>
  <c r="S222" s="1"/>
  <c r="E222"/>
  <c r="K221"/>
  <c r="V221" s="1"/>
  <c r="H221"/>
  <c r="S221" s="1"/>
  <c r="E221"/>
  <c r="G226"/>
  <c r="R226" s="1"/>
  <c r="G225"/>
  <c r="R225" s="1"/>
  <c r="G224"/>
  <c r="R224" s="1"/>
  <c r="G223"/>
  <c r="R223" s="1"/>
  <c r="G222"/>
  <c r="R222" s="1"/>
  <c r="G221"/>
  <c r="R221" s="1"/>
  <c r="J226"/>
  <c r="U226" s="1"/>
  <c r="J225"/>
  <c r="U225" s="1"/>
  <c r="J224"/>
  <c r="U224" s="1"/>
  <c r="J223"/>
  <c r="U223" s="1"/>
  <c r="J222"/>
  <c r="U222" s="1"/>
  <c r="J221"/>
  <c r="U221" s="1"/>
  <c r="J74"/>
  <c r="U74" s="1"/>
  <c r="G74"/>
  <c r="R74" s="1"/>
  <c r="J73"/>
  <c r="U73" s="1"/>
  <c r="G73"/>
  <c r="R73" s="1"/>
  <c r="J72"/>
  <c r="U72" s="1"/>
  <c r="G72"/>
  <c r="R72" s="1"/>
  <c r="J71"/>
  <c r="U71" s="1"/>
  <c r="G71"/>
  <c r="R71" s="1"/>
  <c r="J70"/>
  <c r="U70" s="1"/>
  <c r="G70"/>
  <c r="R70" s="1"/>
  <c r="J69"/>
  <c r="G69"/>
  <c r="I74"/>
  <c r="T74" s="1"/>
  <c r="F74"/>
  <c r="Q74" s="1"/>
  <c r="I73"/>
  <c r="T73" s="1"/>
  <c r="F73"/>
  <c r="Q73" s="1"/>
  <c r="I72"/>
  <c r="T72" s="1"/>
  <c r="F72"/>
  <c r="Q72" s="1"/>
  <c r="I71"/>
  <c r="T71" s="1"/>
  <c r="F71"/>
  <c r="Q71" s="1"/>
  <c r="I70"/>
  <c r="T70" s="1"/>
  <c r="F70"/>
  <c r="Q70" s="1"/>
  <c r="I69"/>
  <c r="F69"/>
  <c r="H74"/>
  <c r="S74" s="1"/>
  <c r="H73"/>
  <c r="S73" s="1"/>
  <c r="H72"/>
  <c r="S72" s="1"/>
  <c r="H71"/>
  <c r="S71" s="1"/>
  <c r="H70"/>
  <c r="S70" s="1"/>
  <c r="H69"/>
  <c r="K74"/>
  <c r="V74" s="1"/>
  <c r="K73"/>
  <c r="V73" s="1"/>
  <c r="K72"/>
  <c r="V72" s="1"/>
  <c r="K71"/>
  <c r="V71" s="1"/>
  <c r="K70"/>
  <c r="V70" s="1"/>
  <c r="K69"/>
  <c r="E74"/>
  <c r="E73"/>
  <c r="E72"/>
  <c r="E71"/>
  <c r="E70"/>
  <c r="E69"/>
  <c r="Q623"/>
  <c r="T623"/>
  <c r="R623"/>
  <c r="I271"/>
  <c r="T271" s="1"/>
  <c r="F271"/>
  <c r="Q271" s="1"/>
  <c r="I270"/>
  <c r="T270" s="1"/>
  <c r="F270"/>
  <c r="Q270" s="1"/>
  <c r="I269"/>
  <c r="T269" s="1"/>
  <c r="F269"/>
  <c r="Q269" s="1"/>
  <c r="I268"/>
  <c r="T268" s="1"/>
  <c r="F268"/>
  <c r="Q268" s="1"/>
  <c r="I267"/>
  <c r="T267" s="1"/>
  <c r="F267"/>
  <c r="Q267" s="1"/>
  <c r="I266"/>
  <c r="T266" s="1"/>
  <c r="F266"/>
  <c r="Q266" s="1"/>
  <c r="K271"/>
  <c r="V271" s="1"/>
  <c r="H271"/>
  <c r="S271" s="1"/>
  <c r="E271"/>
  <c r="K270"/>
  <c r="V270" s="1"/>
  <c r="H270"/>
  <c r="S270" s="1"/>
  <c r="E270"/>
  <c r="K269"/>
  <c r="V269" s="1"/>
  <c r="H269"/>
  <c r="S269" s="1"/>
  <c r="E269"/>
  <c r="K268"/>
  <c r="V268" s="1"/>
  <c r="H268"/>
  <c r="S268" s="1"/>
  <c r="E268"/>
  <c r="K267"/>
  <c r="V267" s="1"/>
  <c r="H267"/>
  <c r="S267" s="1"/>
  <c r="E267"/>
  <c r="K266"/>
  <c r="V266" s="1"/>
  <c r="H266"/>
  <c r="S266" s="1"/>
  <c r="E266"/>
  <c r="G271"/>
  <c r="R271" s="1"/>
  <c r="G270"/>
  <c r="R270" s="1"/>
  <c r="G269"/>
  <c r="R269" s="1"/>
  <c r="G268"/>
  <c r="R268" s="1"/>
  <c r="G267"/>
  <c r="R267" s="1"/>
  <c r="G266"/>
  <c r="R266" s="1"/>
  <c r="J271"/>
  <c r="U271" s="1"/>
  <c r="J270"/>
  <c r="U270" s="1"/>
  <c r="J269"/>
  <c r="U269" s="1"/>
  <c r="J268"/>
  <c r="U268" s="1"/>
  <c r="J267"/>
  <c r="U267" s="1"/>
  <c r="J266"/>
  <c r="U266" s="1"/>
  <c r="V161"/>
  <c r="K718"/>
  <c r="V718" s="1"/>
  <c r="H718"/>
  <c r="S718" s="1"/>
  <c r="E718"/>
  <c r="K717"/>
  <c r="V717" s="1"/>
  <c r="H717"/>
  <c r="S717" s="1"/>
  <c r="E717"/>
  <c r="K716"/>
  <c r="V716" s="1"/>
  <c r="H716"/>
  <c r="S716" s="1"/>
  <c r="E716"/>
  <c r="K715"/>
  <c r="V715" s="1"/>
  <c r="H715"/>
  <c r="S715" s="1"/>
  <c r="E715"/>
  <c r="K714"/>
  <c r="V714" s="1"/>
  <c r="H714"/>
  <c r="S714" s="1"/>
  <c r="E714"/>
  <c r="K713"/>
  <c r="V713" s="1"/>
  <c r="H713"/>
  <c r="S713" s="1"/>
  <c r="E713"/>
  <c r="J718"/>
  <c r="U718" s="1"/>
  <c r="G718"/>
  <c r="R718" s="1"/>
  <c r="J717"/>
  <c r="U717" s="1"/>
  <c r="G717"/>
  <c r="R717" s="1"/>
  <c r="J716"/>
  <c r="U716" s="1"/>
  <c r="G716"/>
  <c r="R716" s="1"/>
  <c r="J715"/>
  <c r="U715" s="1"/>
  <c r="G715"/>
  <c r="R715" s="1"/>
  <c r="J714"/>
  <c r="U714" s="1"/>
  <c r="G714"/>
  <c r="R714" s="1"/>
  <c r="J713"/>
  <c r="U713" s="1"/>
  <c r="G713"/>
  <c r="R713" s="1"/>
  <c r="I718"/>
  <c r="T718" s="1"/>
  <c r="I717"/>
  <c r="T717" s="1"/>
  <c r="I716"/>
  <c r="T716" s="1"/>
  <c r="I715"/>
  <c r="T715" s="1"/>
  <c r="I714"/>
  <c r="T714" s="1"/>
  <c r="I713"/>
  <c r="T713" s="1"/>
  <c r="F718"/>
  <c r="Q718" s="1"/>
  <c r="F717"/>
  <c r="Q717" s="1"/>
  <c r="F716"/>
  <c r="Q716" s="1"/>
  <c r="F715"/>
  <c r="Q715" s="1"/>
  <c r="F714"/>
  <c r="Q714" s="1"/>
  <c r="F713"/>
  <c r="Q713" s="1"/>
  <c r="E773" a="1"/>
  <c r="E865" a="1"/>
  <c r="E743" a="1"/>
  <c r="E912" a="1"/>
  <c r="E486" a="1"/>
  <c r="C79" i="105"/>
  <c r="C103" i="106"/>
  <c r="C304" i="105"/>
  <c r="C400" i="106"/>
  <c r="E53" i="104"/>
  <c r="E59" s="1"/>
  <c r="C209" i="67"/>
  <c r="C143" i="104"/>
  <c r="Q234" i="105"/>
  <c r="Q233"/>
  <c r="D59" i="104"/>
  <c r="D142" s="1"/>
  <c r="D64"/>
  <c r="D70" s="1"/>
  <c r="D89" s="1"/>
  <c r="Q235" i="105"/>
  <c r="Q236"/>
  <c r="Q9"/>
  <c r="Q10"/>
  <c r="Q12"/>
  <c r="C208" i="32"/>
  <c r="C135" i="63"/>
  <c r="Q13" i="105"/>
  <c r="D59" i="63"/>
  <c r="D134" s="1"/>
  <c r="D64"/>
  <c r="D70" s="1"/>
  <c r="D88" s="1"/>
  <c r="Q11" i="105"/>
  <c r="E53" i="63"/>
  <c r="D70" i="71"/>
  <c r="D208" s="1"/>
  <c r="N268" i="105"/>
  <c r="D70" i="88"/>
  <c r="D208" s="1"/>
  <c r="N406" i="105"/>
  <c r="D70" i="101"/>
  <c r="D208" s="1"/>
  <c r="N543" i="105"/>
  <c r="D70" i="102"/>
  <c r="D208" s="1"/>
  <c r="N554" i="105"/>
  <c r="D70" i="45"/>
  <c r="D208" s="1"/>
  <c r="N80" i="105"/>
  <c r="F70" i="46"/>
  <c r="F208" s="1"/>
  <c r="P89" i="105"/>
  <c r="D70" i="49"/>
  <c r="D208" s="1"/>
  <c r="N118" i="105"/>
  <c r="D70" i="53"/>
  <c r="D208" s="1"/>
  <c r="N154" i="105"/>
  <c r="D70" i="59"/>
  <c r="D208" s="1"/>
  <c r="N208" i="105"/>
  <c r="D70" i="72"/>
  <c r="D208" s="1"/>
  <c r="N277" i="105"/>
  <c r="D70" i="74"/>
  <c r="D208" s="1"/>
  <c r="N296" i="105"/>
  <c r="E70" i="78"/>
  <c r="E208" s="1"/>
  <c r="O332" i="105"/>
  <c r="D70" i="78"/>
  <c r="D208" s="1"/>
  <c r="N332" i="105"/>
  <c r="F70" i="84"/>
  <c r="F208" s="1"/>
  <c r="P368" i="105"/>
  <c r="D70" i="85"/>
  <c r="D208" s="1"/>
  <c r="N379" i="105"/>
  <c r="D70" i="79"/>
  <c r="D208" s="1"/>
  <c r="N415" i="105"/>
  <c r="D70" i="91"/>
  <c r="D208" s="1"/>
  <c r="N451" i="105"/>
  <c r="D70" i="127"/>
  <c r="D208" s="1"/>
  <c r="N581" i="105"/>
  <c r="D70" i="38"/>
  <c r="D208" s="1"/>
  <c r="N17" i="105"/>
  <c r="D70" i="42"/>
  <c r="D208" s="1"/>
  <c r="N53" i="105"/>
  <c r="D70" i="43"/>
  <c r="D208" s="1"/>
  <c r="N62" i="105"/>
  <c r="D70" i="46"/>
  <c r="D208" s="1"/>
  <c r="N89" i="105"/>
  <c r="D70" i="50"/>
  <c r="D208" s="1"/>
  <c r="N127" i="105"/>
  <c r="D70" i="60"/>
  <c r="D208" s="1"/>
  <c r="N217" i="105"/>
  <c r="M522"/>
  <c r="M293"/>
  <c r="M237"/>
  <c r="C88" i="7"/>
  <c r="C88" i="130" s="1"/>
  <c r="B88" i="105"/>
  <c r="D70" i="67"/>
  <c r="N231" i="105"/>
  <c r="D70" i="73"/>
  <c r="D208" s="1"/>
  <c r="N287" i="105"/>
  <c r="D70" i="77"/>
  <c r="D208" s="1"/>
  <c r="N323" i="105"/>
  <c r="D70" i="80"/>
  <c r="D208" s="1"/>
  <c r="N424" i="105"/>
  <c r="F70" i="90"/>
  <c r="F208" s="1"/>
  <c r="P442" i="105"/>
  <c r="D70" i="98"/>
  <c r="D208" s="1"/>
  <c r="N516" i="105"/>
  <c r="D70" i="100"/>
  <c r="D208" s="1"/>
  <c r="N534" i="105"/>
  <c r="D70" i="109"/>
  <c r="D208" s="1"/>
  <c r="N572" i="105"/>
  <c r="E70" i="109"/>
  <c r="E208" s="1"/>
  <c r="O572" i="105"/>
  <c r="D70" i="40"/>
  <c r="D208" s="1"/>
  <c r="N35" i="105"/>
  <c r="D70" i="58"/>
  <c r="D208" s="1"/>
  <c r="N199" i="105"/>
  <c r="M560"/>
  <c r="M385"/>
  <c r="C309" i="7"/>
  <c r="C313" i="130" s="1"/>
  <c r="B313" i="105"/>
  <c r="D70" i="70"/>
  <c r="D208" s="1"/>
  <c r="N258" i="105"/>
  <c r="D70" i="75"/>
  <c r="D208" s="1"/>
  <c r="N305" i="105"/>
  <c r="D70" i="82"/>
  <c r="D208" s="1"/>
  <c r="N350" i="105"/>
  <c r="D70" i="86"/>
  <c r="D208" s="1"/>
  <c r="N388" i="105"/>
  <c r="D70" i="90"/>
  <c r="D208" s="1"/>
  <c r="N442" i="105"/>
  <c r="F70" i="92"/>
  <c r="F208" s="1"/>
  <c r="P460" i="105"/>
  <c r="D70" i="93"/>
  <c r="D208" s="1"/>
  <c r="N469" i="105"/>
  <c r="D70" i="96"/>
  <c r="D208" s="1"/>
  <c r="N496" i="105"/>
  <c r="D70" i="97"/>
  <c r="D208" s="1"/>
  <c r="N505" i="105"/>
  <c r="D70" i="32"/>
  <c r="N8" i="105"/>
  <c r="D70" i="44"/>
  <c r="D208" s="1"/>
  <c r="N71" i="105"/>
  <c r="D70" i="47"/>
  <c r="D208" s="1"/>
  <c r="N100" i="105"/>
  <c r="M106"/>
  <c r="M14"/>
  <c r="I92" i="60" a="1"/>
  <c r="I92" s="1"/>
  <c r="I94" s="1"/>
  <c r="J94" s="1"/>
  <c r="H104"/>
  <c r="H105" s="1"/>
  <c r="H42"/>
  <c r="F140"/>
  <c r="Q120" s="1"/>
  <c r="F53"/>
  <c r="K169"/>
  <c r="H169"/>
  <c r="H170" s="1"/>
  <c r="E169"/>
  <c r="E170" s="1"/>
  <c r="B169"/>
  <c r="B170" s="1"/>
  <c r="L169"/>
  <c r="I169"/>
  <c r="F169"/>
  <c r="F170" s="1"/>
  <c r="C169"/>
  <c r="C170" s="1"/>
  <c r="M169"/>
  <c r="G169"/>
  <c r="G170" s="1"/>
  <c r="D169"/>
  <c r="D170" s="1"/>
  <c r="A169"/>
  <c r="G48"/>
  <c r="E59"/>
  <c r="E64"/>
  <c r="P120"/>
  <c r="G105"/>
  <c r="R84"/>
  <c r="F207"/>
  <c r="I128" a="1"/>
  <c r="I128" s="1"/>
  <c r="I130" s="1"/>
  <c r="J130" s="1"/>
  <c r="F141" i="58"/>
  <c r="F59" i="59"/>
  <c r="F64"/>
  <c r="G207"/>
  <c r="H104"/>
  <c r="H42"/>
  <c r="I92" a="1"/>
  <c r="I92" s="1"/>
  <c r="I94" s="1"/>
  <c r="J94" s="1"/>
  <c r="I42"/>
  <c r="E59"/>
  <c r="E64"/>
  <c r="K169"/>
  <c r="H169"/>
  <c r="H170" s="1"/>
  <c r="E169"/>
  <c r="E170" s="1"/>
  <c r="B169"/>
  <c r="B170" s="1"/>
  <c r="L169"/>
  <c r="I169"/>
  <c r="F169"/>
  <c r="F170" s="1"/>
  <c r="C169"/>
  <c r="C170" s="1"/>
  <c r="M169"/>
  <c r="G169"/>
  <c r="G170" s="1"/>
  <c r="D169"/>
  <c r="D170" s="1"/>
  <c r="A169"/>
  <c r="G140"/>
  <c r="G141" s="1"/>
  <c r="G53"/>
  <c r="Q120" i="53"/>
  <c r="E141" i="58"/>
  <c r="E59"/>
  <c r="E64"/>
  <c r="G105"/>
  <c r="R84"/>
  <c r="I92" a="1"/>
  <c r="I92" s="1"/>
  <c r="I94" s="1"/>
  <c r="J94" s="1"/>
  <c r="H104"/>
  <c r="H42"/>
  <c r="G48"/>
  <c r="F59"/>
  <c r="F64"/>
  <c r="L168"/>
  <c r="I168"/>
  <c r="F168"/>
  <c r="C168"/>
  <c r="J169"/>
  <c r="E168"/>
  <c r="A168"/>
  <c r="K168"/>
  <c r="G168"/>
  <c r="B168"/>
  <c r="D168"/>
  <c r="H168"/>
  <c r="M168"/>
  <c r="P120" i="53"/>
  <c r="F59" i="57"/>
  <c r="F64"/>
  <c r="G140"/>
  <c r="G141" s="1"/>
  <c r="G53"/>
  <c r="E59"/>
  <c r="E64"/>
  <c r="H105"/>
  <c r="S84"/>
  <c r="H48"/>
  <c r="I104"/>
  <c r="I42"/>
  <c r="K169"/>
  <c r="H169"/>
  <c r="H170" s="1"/>
  <c r="E169"/>
  <c r="E170" s="1"/>
  <c r="B169"/>
  <c r="B170" s="1"/>
  <c r="L169"/>
  <c r="I169"/>
  <c r="F169"/>
  <c r="F170" s="1"/>
  <c r="C169"/>
  <c r="C170" s="1"/>
  <c r="M169"/>
  <c r="G169"/>
  <c r="G170" s="1"/>
  <c r="D169"/>
  <c r="D170" s="1"/>
  <c r="A169"/>
  <c r="G207"/>
  <c r="E59" i="56"/>
  <c r="E64"/>
  <c r="K169"/>
  <c r="H169"/>
  <c r="H170" s="1"/>
  <c r="E169"/>
  <c r="E170" s="1"/>
  <c r="B169"/>
  <c r="B170" s="1"/>
  <c r="L169"/>
  <c r="I169"/>
  <c r="F169"/>
  <c r="F170" s="1"/>
  <c r="C169"/>
  <c r="C170" s="1"/>
  <c r="M169"/>
  <c r="G169"/>
  <c r="G170" s="1"/>
  <c r="D169"/>
  <c r="D170" s="1"/>
  <c r="A169"/>
  <c r="G59"/>
  <c r="G64"/>
  <c r="Q120"/>
  <c r="E141"/>
  <c r="H105"/>
  <c r="S84"/>
  <c r="I48"/>
  <c r="F59"/>
  <c r="F64"/>
  <c r="H48"/>
  <c r="F59" i="55"/>
  <c r="F64"/>
  <c r="E59"/>
  <c r="E64"/>
  <c r="K169"/>
  <c r="H169"/>
  <c r="H170" s="1"/>
  <c r="E169"/>
  <c r="E170" s="1"/>
  <c r="B169"/>
  <c r="B170" s="1"/>
  <c r="L169"/>
  <c r="I169"/>
  <c r="F169"/>
  <c r="F170" s="1"/>
  <c r="C169"/>
  <c r="C170" s="1"/>
  <c r="M169"/>
  <c r="G169"/>
  <c r="G170" s="1"/>
  <c r="D169"/>
  <c r="D170" s="1"/>
  <c r="A169"/>
  <c r="I104"/>
  <c r="I42"/>
  <c r="H105"/>
  <c r="S84"/>
  <c r="G64"/>
  <c r="H48"/>
  <c r="H48" i="54"/>
  <c r="I104"/>
  <c r="I42"/>
  <c r="G140"/>
  <c r="G141" s="1"/>
  <c r="G53"/>
  <c r="Q120"/>
  <c r="F59"/>
  <c r="F64"/>
  <c r="K169"/>
  <c r="H169"/>
  <c r="H170" s="1"/>
  <c r="E169"/>
  <c r="E170" s="1"/>
  <c r="B169"/>
  <c r="B170" s="1"/>
  <c r="L169"/>
  <c r="I169"/>
  <c r="F169"/>
  <c r="F170" s="1"/>
  <c r="C169"/>
  <c r="C170" s="1"/>
  <c r="M169"/>
  <c r="G169"/>
  <c r="G170" s="1"/>
  <c r="D169"/>
  <c r="D170" s="1"/>
  <c r="A169"/>
  <c r="P120"/>
  <c r="E59"/>
  <c r="E64"/>
  <c r="H105"/>
  <c r="S84"/>
  <c r="G207"/>
  <c r="M168" i="53"/>
  <c r="G168"/>
  <c r="D168"/>
  <c r="A168"/>
  <c r="L168"/>
  <c r="H168"/>
  <c r="C168"/>
  <c r="J169"/>
  <c r="I168"/>
  <c r="E168"/>
  <c r="K168"/>
  <c r="B168"/>
  <c r="F168"/>
  <c r="G48"/>
  <c r="F59"/>
  <c r="F64"/>
  <c r="I92" a="1"/>
  <c r="I92" s="1"/>
  <c r="I94" s="1"/>
  <c r="J94" s="1"/>
  <c r="E59"/>
  <c r="E64"/>
  <c r="H104"/>
  <c r="H42"/>
  <c r="F141" i="49"/>
  <c r="Q120" i="51"/>
  <c r="R84" i="53"/>
  <c r="G64" i="52"/>
  <c r="L168"/>
  <c r="I168"/>
  <c r="F168"/>
  <c r="C168"/>
  <c r="M168"/>
  <c r="G168"/>
  <c r="D168"/>
  <c r="A168"/>
  <c r="J169"/>
  <c r="K168"/>
  <c r="H168"/>
  <c r="E168"/>
  <c r="B168"/>
  <c r="E59"/>
  <c r="E64"/>
  <c r="H48"/>
  <c r="I104"/>
  <c r="T84" s="1"/>
  <c r="I42"/>
  <c r="E141" i="51"/>
  <c r="F59" i="52"/>
  <c r="F64"/>
  <c r="L168" i="51"/>
  <c r="I168"/>
  <c r="F168"/>
  <c r="C168"/>
  <c r="J169"/>
  <c r="E168"/>
  <c r="A168"/>
  <c r="K168"/>
  <c r="G168"/>
  <c r="B168"/>
  <c r="D168"/>
  <c r="H168"/>
  <c r="M168"/>
  <c r="I104"/>
  <c r="I42"/>
  <c r="R120"/>
  <c r="G59"/>
  <c r="G64"/>
  <c r="H105"/>
  <c r="S84"/>
  <c r="F59"/>
  <c r="F64"/>
  <c r="E59"/>
  <c r="E64"/>
  <c r="H48"/>
  <c r="F140" i="50"/>
  <c r="Q120" s="1"/>
  <c r="F53"/>
  <c r="H104"/>
  <c r="H42"/>
  <c r="E141"/>
  <c r="K169"/>
  <c r="H169"/>
  <c r="H170" s="1"/>
  <c r="E169"/>
  <c r="E170" s="1"/>
  <c r="B169"/>
  <c r="B170" s="1"/>
  <c r="L169"/>
  <c r="I169"/>
  <c r="F169"/>
  <c r="F170" s="1"/>
  <c r="C169"/>
  <c r="C170" s="1"/>
  <c r="M169"/>
  <c r="G169"/>
  <c r="G170" s="1"/>
  <c r="D169"/>
  <c r="D170" s="1"/>
  <c r="A169"/>
  <c r="G105"/>
  <c r="R84"/>
  <c r="F207"/>
  <c r="G141" i="94"/>
  <c r="E59" i="50"/>
  <c r="E64"/>
  <c r="I92" a="1"/>
  <c r="I92" s="1"/>
  <c r="I94" s="1"/>
  <c r="J94" s="1"/>
  <c r="G48"/>
  <c r="G140" i="49"/>
  <c r="G53"/>
  <c r="H48"/>
  <c r="I42"/>
  <c r="L168"/>
  <c r="I168"/>
  <c r="F168"/>
  <c r="C168"/>
  <c r="J169"/>
  <c r="K168"/>
  <c r="H168"/>
  <c r="E168"/>
  <c r="B168"/>
  <c r="A168"/>
  <c r="M168"/>
  <c r="D168"/>
  <c r="G168"/>
  <c r="E141" i="39"/>
  <c r="E59" i="49"/>
  <c r="E64"/>
  <c r="E141"/>
  <c r="G207"/>
  <c r="F59"/>
  <c r="F64"/>
  <c r="G64" i="48"/>
  <c r="E141" i="47"/>
  <c r="E59" i="48"/>
  <c r="E64"/>
  <c r="S84"/>
  <c r="I104"/>
  <c r="I42"/>
  <c r="F59"/>
  <c r="F64"/>
  <c r="L168"/>
  <c r="I168"/>
  <c r="F168"/>
  <c r="C168"/>
  <c r="M168"/>
  <c r="G168"/>
  <c r="D168"/>
  <c r="A168"/>
  <c r="J169"/>
  <c r="E168"/>
  <c r="H168"/>
  <c r="K168"/>
  <c r="B168"/>
  <c r="H48"/>
  <c r="F141" i="94"/>
  <c r="F141" i="43"/>
  <c r="E59" i="47"/>
  <c r="E64"/>
  <c r="G105"/>
  <c r="R84"/>
  <c r="G48"/>
  <c r="H104"/>
  <c r="H105" s="1"/>
  <c r="H42"/>
  <c r="F140"/>
  <c r="Q120" s="1"/>
  <c r="F53"/>
  <c r="F207"/>
  <c r="I42"/>
  <c r="K169"/>
  <c r="H169"/>
  <c r="H170" s="1"/>
  <c r="E169"/>
  <c r="E170" s="1"/>
  <c r="B169"/>
  <c r="B170" s="1"/>
  <c r="L169"/>
  <c r="I169"/>
  <c r="F169"/>
  <c r="F170" s="1"/>
  <c r="C169"/>
  <c r="C170" s="1"/>
  <c r="M169"/>
  <c r="G169"/>
  <c r="G170" s="1"/>
  <c r="D169"/>
  <c r="D170" s="1"/>
  <c r="A169"/>
  <c r="G48" i="46"/>
  <c r="P120"/>
  <c r="G105"/>
  <c r="R84"/>
  <c r="I42"/>
  <c r="L168"/>
  <c r="I168"/>
  <c r="F168"/>
  <c r="C168"/>
  <c r="J169"/>
  <c r="K168"/>
  <c r="H168"/>
  <c r="E168"/>
  <c r="B168"/>
  <c r="A168"/>
  <c r="D168"/>
  <c r="G168"/>
  <c r="M168"/>
  <c r="E59"/>
  <c r="E64"/>
  <c r="H104"/>
  <c r="H42"/>
  <c r="I128" a="1"/>
  <c r="I128" s="1"/>
  <c r="I130" s="1"/>
  <c r="J130" s="1"/>
  <c r="I92" i="45" a="1"/>
  <c r="I92" s="1"/>
  <c r="I94" s="1"/>
  <c r="J94" s="1"/>
  <c r="E59"/>
  <c r="E64"/>
  <c r="K169"/>
  <c r="H169"/>
  <c r="H170" s="1"/>
  <c r="E169"/>
  <c r="E170" s="1"/>
  <c r="B169"/>
  <c r="B170" s="1"/>
  <c r="L169"/>
  <c r="I169"/>
  <c r="F169"/>
  <c r="F170" s="1"/>
  <c r="C169"/>
  <c r="C170" s="1"/>
  <c r="M169"/>
  <c r="G169"/>
  <c r="G170" s="1"/>
  <c r="D169"/>
  <c r="D170" s="1"/>
  <c r="A169"/>
  <c r="F140"/>
  <c r="Q120" s="1"/>
  <c r="F53"/>
  <c r="H104"/>
  <c r="S84" s="1"/>
  <c r="H42"/>
  <c r="F207"/>
  <c r="F141"/>
  <c r="G59"/>
  <c r="G64"/>
  <c r="G105" i="44"/>
  <c r="R84"/>
  <c r="H48"/>
  <c r="G48"/>
  <c r="K169"/>
  <c r="H169"/>
  <c r="H170" s="1"/>
  <c r="E169"/>
  <c r="E170" s="1"/>
  <c r="B169"/>
  <c r="B170" s="1"/>
  <c r="L169"/>
  <c r="I169"/>
  <c r="F169"/>
  <c r="F170" s="1"/>
  <c r="C169"/>
  <c r="C170" s="1"/>
  <c r="M169"/>
  <c r="G169"/>
  <c r="G170" s="1"/>
  <c r="D169"/>
  <c r="D170" s="1"/>
  <c r="A169"/>
  <c r="F140"/>
  <c r="Q120" s="1"/>
  <c r="F53"/>
  <c r="E59"/>
  <c r="E64"/>
  <c r="R84" i="96"/>
  <c r="I128" i="44" a="1"/>
  <c r="I128" s="1"/>
  <c r="I130" s="1"/>
  <c r="J130" s="1"/>
  <c r="F207"/>
  <c r="I42"/>
  <c r="F59" i="43"/>
  <c r="F64"/>
  <c r="G105"/>
  <c r="R84"/>
  <c r="E59"/>
  <c r="E64"/>
  <c r="G48"/>
  <c r="L168"/>
  <c r="I168"/>
  <c r="F168"/>
  <c r="C168"/>
  <c r="M168"/>
  <c r="G168"/>
  <c r="D168"/>
  <c r="A168"/>
  <c r="J169"/>
  <c r="E168"/>
  <c r="H168"/>
  <c r="K168"/>
  <c r="B168"/>
  <c r="I92" a="1"/>
  <c r="I92" s="1"/>
  <c r="I94" s="1"/>
  <c r="J94" s="1"/>
  <c r="H42"/>
  <c r="H104"/>
  <c r="G48" i="42"/>
  <c r="F59"/>
  <c r="F64"/>
  <c r="F141" i="85"/>
  <c r="F141" i="42"/>
  <c r="I128" a="1"/>
  <c r="I128" s="1"/>
  <c r="I130" s="1"/>
  <c r="J130" s="1"/>
  <c r="H104"/>
  <c r="H105" s="1"/>
  <c r="H42"/>
  <c r="G105"/>
  <c r="R84"/>
  <c r="E59"/>
  <c r="E64"/>
  <c r="I92" a="1"/>
  <c r="I92" s="1"/>
  <c r="I94" s="1"/>
  <c r="J94" s="1"/>
  <c r="K169"/>
  <c r="H169"/>
  <c r="H170" s="1"/>
  <c r="E169"/>
  <c r="E170" s="1"/>
  <c r="B169"/>
  <c r="B170" s="1"/>
  <c r="L169"/>
  <c r="I169"/>
  <c r="F169"/>
  <c r="F170" s="1"/>
  <c r="C169"/>
  <c r="C170" s="1"/>
  <c r="M169"/>
  <c r="G169"/>
  <c r="G170" s="1"/>
  <c r="D169"/>
  <c r="D170" s="1"/>
  <c r="A169"/>
  <c r="E141" i="38"/>
  <c r="E141" i="41"/>
  <c r="K169"/>
  <c r="H169"/>
  <c r="H170" s="1"/>
  <c r="E169"/>
  <c r="E170" s="1"/>
  <c r="B169"/>
  <c r="B170" s="1"/>
  <c r="L169"/>
  <c r="I169"/>
  <c r="F169"/>
  <c r="F170" s="1"/>
  <c r="C169"/>
  <c r="C170" s="1"/>
  <c r="M169"/>
  <c r="G169"/>
  <c r="G170" s="1"/>
  <c r="D169"/>
  <c r="D170" s="1"/>
  <c r="A169"/>
  <c r="G64"/>
  <c r="I104"/>
  <c r="I42"/>
  <c r="H105"/>
  <c r="S84"/>
  <c r="Q120"/>
  <c r="E59"/>
  <c r="E64"/>
  <c r="H48"/>
  <c r="F59"/>
  <c r="F64"/>
  <c r="L168" i="40"/>
  <c r="I168"/>
  <c r="F168"/>
  <c r="C168"/>
  <c r="M168"/>
  <c r="G168"/>
  <c r="D168"/>
  <c r="A168"/>
  <c r="J169"/>
  <c r="E168"/>
  <c r="H168"/>
  <c r="K168"/>
  <c r="B168"/>
  <c r="H48"/>
  <c r="P120"/>
  <c r="F141"/>
  <c r="F59"/>
  <c r="F64"/>
  <c r="E59"/>
  <c r="E64"/>
  <c r="G48"/>
  <c r="I92" a="1"/>
  <c r="I92" s="1"/>
  <c r="I94" s="1"/>
  <c r="J94" s="1"/>
  <c r="G105"/>
  <c r="R84"/>
  <c r="P120" i="32"/>
  <c r="E59" i="39"/>
  <c r="E64"/>
  <c r="H48"/>
  <c r="F207"/>
  <c r="F140"/>
  <c r="F141" s="1"/>
  <c r="F53"/>
  <c r="I92" a="1"/>
  <c r="I92" s="1"/>
  <c r="I94" s="1"/>
  <c r="J94" s="1"/>
  <c r="K169"/>
  <c r="H169"/>
  <c r="H170" s="1"/>
  <c r="E169"/>
  <c r="E170" s="1"/>
  <c r="B169"/>
  <c r="B170" s="1"/>
  <c r="L169"/>
  <c r="I169"/>
  <c r="F169"/>
  <c r="F170" s="1"/>
  <c r="C169"/>
  <c r="C170" s="1"/>
  <c r="M169"/>
  <c r="G169"/>
  <c r="G170" s="1"/>
  <c r="D169"/>
  <c r="D170" s="1"/>
  <c r="A169"/>
  <c r="G105" i="38"/>
  <c r="R84"/>
  <c r="Q120" i="127"/>
  <c r="E59" i="38"/>
  <c r="E64"/>
  <c r="F59"/>
  <c r="F64"/>
  <c r="G48"/>
  <c r="K169"/>
  <c r="H169"/>
  <c r="H170" s="1"/>
  <c r="E169"/>
  <c r="E170" s="1"/>
  <c r="B169"/>
  <c r="B170" s="1"/>
  <c r="L169"/>
  <c r="I169"/>
  <c r="F169"/>
  <c r="F170" s="1"/>
  <c r="C169"/>
  <c r="C170" s="1"/>
  <c r="M169"/>
  <c r="G169"/>
  <c r="G170" s="1"/>
  <c r="D169"/>
  <c r="D170" s="1"/>
  <c r="A169"/>
  <c r="H104"/>
  <c r="H105" s="1"/>
  <c r="H42"/>
  <c r="I42"/>
  <c r="I128" a="1"/>
  <c r="I128" s="1"/>
  <c r="I130" s="1"/>
  <c r="J130" s="1"/>
  <c r="E59" i="32"/>
  <c r="E64"/>
  <c r="H104"/>
  <c r="H42"/>
  <c r="G141" i="95"/>
  <c r="Q120" i="32"/>
  <c r="I128" a="1"/>
  <c r="I128" s="1"/>
  <c r="I130" s="1"/>
  <c r="J130" s="1"/>
  <c r="K169"/>
  <c r="H169"/>
  <c r="H170" s="1"/>
  <c r="E169"/>
  <c r="E170" s="1"/>
  <c r="B169"/>
  <c r="B170" s="1"/>
  <c r="L169"/>
  <c r="I169"/>
  <c r="F169"/>
  <c r="F170" s="1"/>
  <c r="C169"/>
  <c r="C170" s="1"/>
  <c r="M169"/>
  <c r="G169"/>
  <c r="G170" s="1"/>
  <c r="D169"/>
  <c r="D170" s="1"/>
  <c r="A169"/>
  <c r="F59"/>
  <c r="F64"/>
  <c r="G105"/>
  <c r="R84"/>
  <c r="G48"/>
  <c r="I92" a="1"/>
  <c r="I92" s="1"/>
  <c r="I94" s="1"/>
  <c r="J94" s="1"/>
  <c r="F59" i="129"/>
  <c r="F64"/>
  <c r="E59"/>
  <c r="E64"/>
  <c r="H48"/>
  <c r="F141" i="76"/>
  <c r="K169" i="129"/>
  <c r="H169"/>
  <c r="H170" s="1"/>
  <c r="E169"/>
  <c r="E170" s="1"/>
  <c r="B169"/>
  <c r="B170" s="1"/>
  <c r="L169"/>
  <c r="I169"/>
  <c r="F169"/>
  <c r="F170" s="1"/>
  <c r="C169"/>
  <c r="C170" s="1"/>
  <c r="M169"/>
  <c r="G169"/>
  <c r="G170" s="1"/>
  <c r="D169"/>
  <c r="D170" s="1"/>
  <c r="A169"/>
  <c r="I104"/>
  <c r="T84" s="1"/>
  <c r="I42"/>
  <c r="G59"/>
  <c r="G64"/>
  <c r="I128" a="1"/>
  <c r="I128" s="1"/>
  <c r="I130" s="1"/>
  <c r="J130" s="1"/>
  <c r="F59" i="128"/>
  <c r="F64"/>
  <c r="I92" a="1"/>
  <c r="I92" s="1"/>
  <c r="I94" s="1"/>
  <c r="J94" s="1"/>
  <c r="I42"/>
  <c r="I134" s="1"/>
  <c r="E59"/>
  <c r="E64"/>
  <c r="H48"/>
  <c r="G207"/>
  <c r="L168"/>
  <c r="I168"/>
  <c r="F168"/>
  <c r="C168"/>
  <c r="M168"/>
  <c r="G168"/>
  <c r="D168"/>
  <c r="A168"/>
  <c r="J169"/>
  <c r="K168"/>
  <c r="H168"/>
  <c r="E168"/>
  <c r="B168"/>
  <c r="G140"/>
  <c r="R120" s="1"/>
  <c r="G53"/>
  <c r="E141"/>
  <c r="F59" i="127"/>
  <c r="F64"/>
  <c r="H104"/>
  <c r="H42"/>
  <c r="G105"/>
  <c r="R84"/>
  <c r="E59"/>
  <c r="E64"/>
  <c r="E141"/>
  <c r="I128" a="1"/>
  <c r="I128" s="1"/>
  <c r="I130" s="1"/>
  <c r="J130" s="1"/>
  <c r="I92" a="1"/>
  <c r="I92" s="1"/>
  <c r="I94" s="1"/>
  <c r="J94" s="1"/>
  <c r="G48"/>
  <c r="K169"/>
  <c r="H169"/>
  <c r="H170" s="1"/>
  <c r="E169"/>
  <c r="E170" s="1"/>
  <c r="B169"/>
  <c r="B170" s="1"/>
  <c r="L169"/>
  <c r="I169"/>
  <c r="F169"/>
  <c r="F170" s="1"/>
  <c r="C169"/>
  <c r="C170" s="1"/>
  <c r="M169"/>
  <c r="G169"/>
  <c r="G170" s="1"/>
  <c r="D169"/>
  <c r="D170" s="1"/>
  <c r="A169"/>
  <c r="E141" i="102"/>
  <c r="P120" i="108"/>
  <c r="F207" i="109"/>
  <c r="G207"/>
  <c r="J169"/>
  <c r="K168"/>
  <c r="H168"/>
  <c r="E168"/>
  <c r="B168"/>
  <c r="L168"/>
  <c r="I168"/>
  <c r="F168"/>
  <c r="C168"/>
  <c r="M168"/>
  <c r="G168"/>
  <c r="D168"/>
  <c r="A168"/>
  <c r="H104"/>
  <c r="H42"/>
  <c r="I92" a="1"/>
  <c r="I92" s="1"/>
  <c r="I94" s="1"/>
  <c r="J94" s="1"/>
  <c r="G140"/>
  <c r="G53"/>
  <c r="F140"/>
  <c r="F141" s="1"/>
  <c r="F53"/>
  <c r="I128" a="1"/>
  <c r="I128" s="1"/>
  <c r="I130" s="1"/>
  <c r="J130" s="1"/>
  <c r="H104" i="108"/>
  <c r="H42"/>
  <c r="E59"/>
  <c r="E64"/>
  <c r="I42"/>
  <c r="F140"/>
  <c r="Q120" s="1"/>
  <c r="F53"/>
  <c r="K169"/>
  <c r="H169"/>
  <c r="H170" s="1"/>
  <c r="E169"/>
  <c r="E170" s="1"/>
  <c r="B169"/>
  <c r="B170" s="1"/>
  <c r="L169"/>
  <c r="I169"/>
  <c r="F169"/>
  <c r="F170" s="1"/>
  <c r="C169"/>
  <c r="C170" s="1"/>
  <c r="M169"/>
  <c r="G169"/>
  <c r="G170" s="1"/>
  <c r="D169"/>
  <c r="D170" s="1"/>
  <c r="A169"/>
  <c r="G59"/>
  <c r="G64"/>
  <c r="F207"/>
  <c r="F207" i="102"/>
  <c r="F140"/>
  <c r="F141" s="1"/>
  <c r="F53"/>
  <c r="K169"/>
  <c r="H169"/>
  <c r="H170" s="1"/>
  <c r="E169"/>
  <c r="E170" s="1"/>
  <c r="B169"/>
  <c r="B170" s="1"/>
  <c r="L169"/>
  <c r="I169"/>
  <c r="F169"/>
  <c r="F170" s="1"/>
  <c r="C169"/>
  <c r="C170" s="1"/>
  <c r="M169"/>
  <c r="G169"/>
  <c r="G170" s="1"/>
  <c r="D169"/>
  <c r="D170" s="1"/>
  <c r="A169"/>
  <c r="I92" a="1"/>
  <c r="I92" s="1"/>
  <c r="I94" s="1"/>
  <c r="J94" s="1"/>
  <c r="G105"/>
  <c r="R84"/>
  <c r="E59"/>
  <c r="E64"/>
  <c r="H104"/>
  <c r="H105" s="1"/>
  <c r="H42"/>
  <c r="G48"/>
  <c r="I128" a="1"/>
  <c r="I128" s="1"/>
  <c r="I130" s="1"/>
  <c r="J130" s="1"/>
  <c r="F207" i="101"/>
  <c r="E59"/>
  <c r="E64"/>
  <c r="G59"/>
  <c r="G64"/>
  <c r="K169"/>
  <c r="H169"/>
  <c r="H170" s="1"/>
  <c r="E169"/>
  <c r="E170" s="1"/>
  <c r="B169"/>
  <c r="B170" s="1"/>
  <c r="L169"/>
  <c r="I169"/>
  <c r="F169"/>
  <c r="F170" s="1"/>
  <c r="C169"/>
  <c r="C170" s="1"/>
  <c r="M169"/>
  <c r="G169"/>
  <c r="G170" s="1"/>
  <c r="D169"/>
  <c r="D170" s="1"/>
  <c r="A169"/>
  <c r="P120" i="100"/>
  <c r="H104" i="101"/>
  <c r="H105" s="1"/>
  <c r="H42"/>
  <c r="F140"/>
  <c r="Q120" s="1"/>
  <c r="F53"/>
  <c r="I92" a="1"/>
  <c r="I92" s="1"/>
  <c r="I94" s="1"/>
  <c r="J94" s="1"/>
  <c r="G140" i="100"/>
  <c r="G53"/>
  <c r="G207"/>
  <c r="L168"/>
  <c r="I168"/>
  <c r="F168"/>
  <c r="C168"/>
  <c r="M168"/>
  <c r="G168"/>
  <c r="D168"/>
  <c r="A168"/>
  <c r="H168"/>
  <c r="K168"/>
  <c r="B168"/>
  <c r="J169"/>
  <c r="E168"/>
  <c r="H104"/>
  <c r="H105" s="1"/>
  <c r="H42"/>
  <c r="Q120" i="96"/>
  <c r="I92" i="100" a="1"/>
  <c r="I92" s="1"/>
  <c r="I94" s="1"/>
  <c r="J94" s="1"/>
  <c r="E59"/>
  <c r="E64"/>
  <c r="I42"/>
  <c r="Q120"/>
  <c r="F59"/>
  <c r="F64"/>
  <c r="G105" i="99"/>
  <c r="R84"/>
  <c r="F207"/>
  <c r="G48"/>
  <c r="E59"/>
  <c r="E64"/>
  <c r="I92" a="1"/>
  <c r="I92" s="1"/>
  <c r="I94" s="1"/>
  <c r="J94" s="1"/>
  <c r="H104"/>
  <c r="H42"/>
  <c r="K169"/>
  <c r="H169"/>
  <c r="H170" s="1"/>
  <c r="E169"/>
  <c r="E170" s="1"/>
  <c r="B169"/>
  <c r="B170" s="1"/>
  <c r="L169"/>
  <c r="I169"/>
  <c r="F169"/>
  <c r="F170" s="1"/>
  <c r="C169"/>
  <c r="C170" s="1"/>
  <c r="M169"/>
  <c r="G169"/>
  <c r="G170" s="1"/>
  <c r="D169"/>
  <c r="D170" s="1"/>
  <c r="A169"/>
  <c r="F140"/>
  <c r="F141" s="1"/>
  <c r="F53"/>
  <c r="E141"/>
  <c r="G48" i="98"/>
  <c r="H104"/>
  <c r="H42"/>
  <c r="I92" a="1"/>
  <c r="I92" s="1"/>
  <c r="I94" s="1"/>
  <c r="J94" s="1"/>
  <c r="F140"/>
  <c r="F141" s="1"/>
  <c r="F53"/>
  <c r="F207"/>
  <c r="L168"/>
  <c r="I168"/>
  <c r="F168"/>
  <c r="C168"/>
  <c r="J169"/>
  <c r="K168"/>
  <c r="H168"/>
  <c r="E168"/>
  <c r="B168"/>
  <c r="A168"/>
  <c r="M168"/>
  <c r="D168"/>
  <c r="G168"/>
  <c r="E59"/>
  <c r="E64"/>
  <c r="G105"/>
  <c r="R84"/>
  <c r="P120"/>
  <c r="I42" i="97"/>
  <c r="P120"/>
  <c r="F141"/>
  <c r="E59"/>
  <c r="E64"/>
  <c r="H104"/>
  <c r="H42"/>
  <c r="G105"/>
  <c r="R84"/>
  <c r="F59"/>
  <c r="F64"/>
  <c r="G48"/>
  <c r="K169"/>
  <c r="H169"/>
  <c r="H170" s="1"/>
  <c r="E169"/>
  <c r="E170" s="1"/>
  <c r="B169"/>
  <c r="B170" s="1"/>
  <c r="L169"/>
  <c r="I169"/>
  <c r="F169"/>
  <c r="F170" s="1"/>
  <c r="C169"/>
  <c r="C170" s="1"/>
  <c r="M169"/>
  <c r="G169"/>
  <c r="G170" s="1"/>
  <c r="D169"/>
  <c r="D170" s="1"/>
  <c r="A169"/>
  <c r="P120" i="82"/>
  <c r="P120" i="94"/>
  <c r="P120" i="95"/>
  <c r="E59" i="96"/>
  <c r="E64"/>
  <c r="I92" a="1"/>
  <c r="I92" s="1"/>
  <c r="I94" s="1"/>
  <c r="J94" s="1"/>
  <c r="G48"/>
  <c r="H42"/>
  <c r="H104"/>
  <c r="L168"/>
  <c r="I168"/>
  <c r="F168"/>
  <c r="C168"/>
  <c r="M168"/>
  <c r="G168"/>
  <c r="D168"/>
  <c r="A168"/>
  <c r="J169"/>
  <c r="E168"/>
  <c r="K168"/>
  <c r="B168"/>
  <c r="H168"/>
  <c r="F59"/>
  <c r="F64"/>
  <c r="G59" i="95"/>
  <c r="G64"/>
  <c r="H105"/>
  <c r="S84"/>
  <c r="K169"/>
  <c r="H169"/>
  <c r="H170" s="1"/>
  <c r="E169"/>
  <c r="E170" s="1"/>
  <c r="B169"/>
  <c r="B170" s="1"/>
  <c r="L169"/>
  <c r="I169"/>
  <c r="F169"/>
  <c r="F170" s="1"/>
  <c r="C169"/>
  <c r="C170" s="1"/>
  <c r="M169"/>
  <c r="G169"/>
  <c r="G170" s="1"/>
  <c r="D169"/>
  <c r="D170" s="1"/>
  <c r="A169"/>
  <c r="F59"/>
  <c r="F64"/>
  <c r="H48"/>
  <c r="E59"/>
  <c r="E64"/>
  <c r="I104"/>
  <c r="I42"/>
  <c r="H105" i="94"/>
  <c r="S84"/>
  <c r="F59"/>
  <c r="F64"/>
  <c r="I48"/>
  <c r="K169"/>
  <c r="H169"/>
  <c r="H170" s="1"/>
  <c r="E169"/>
  <c r="E170" s="1"/>
  <c r="B169"/>
  <c r="B170" s="1"/>
  <c r="L169"/>
  <c r="I169"/>
  <c r="F169"/>
  <c r="F170" s="1"/>
  <c r="C169"/>
  <c r="C170" s="1"/>
  <c r="M169"/>
  <c r="G169"/>
  <c r="G170" s="1"/>
  <c r="D169"/>
  <c r="D170" s="1"/>
  <c r="A169"/>
  <c r="H48"/>
  <c r="G59"/>
  <c r="G64"/>
  <c r="E59"/>
  <c r="E64"/>
  <c r="P120" i="93"/>
  <c r="G105"/>
  <c r="R84"/>
  <c r="K169"/>
  <c r="H169"/>
  <c r="H170" s="1"/>
  <c r="E169"/>
  <c r="E170" s="1"/>
  <c r="B169"/>
  <c r="B170" s="1"/>
  <c r="L169"/>
  <c r="I169"/>
  <c r="F169"/>
  <c r="F170" s="1"/>
  <c r="C169"/>
  <c r="C170" s="1"/>
  <c r="M169"/>
  <c r="G169"/>
  <c r="G170" s="1"/>
  <c r="D169"/>
  <c r="D170" s="1"/>
  <c r="A169"/>
  <c r="F140"/>
  <c r="Q120" s="1"/>
  <c r="F53"/>
  <c r="I92" a="1"/>
  <c r="I92" s="1"/>
  <c r="I94" s="1"/>
  <c r="J94" s="1"/>
  <c r="H104"/>
  <c r="H42"/>
  <c r="G48"/>
  <c r="E59"/>
  <c r="E64"/>
  <c r="F207"/>
  <c r="I48" i="92"/>
  <c r="H105"/>
  <c r="S84"/>
  <c r="E59"/>
  <c r="E64"/>
  <c r="H48"/>
  <c r="L168"/>
  <c r="I168"/>
  <c r="F168"/>
  <c r="C168"/>
  <c r="M168"/>
  <c r="G168"/>
  <c r="D168"/>
  <c r="A168"/>
  <c r="J169"/>
  <c r="K168"/>
  <c r="H168"/>
  <c r="E168"/>
  <c r="B168"/>
  <c r="G59"/>
  <c r="G64"/>
  <c r="P120" i="80"/>
  <c r="E141" i="92"/>
  <c r="E59" i="91"/>
  <c r="E64"/>
  <c r="G105"/>
  <c r="R84"/>
  <c r="E141"/>
  <c r="F140"/>
  <c r="F141" s="1"/>
  <c r="F53"/>
  <c r="G48"/>
  <c r="H104"/>
  <c r="H105" s="1"/>
  <c r="H42"/>
  <c r="G141" i="89"/>
  <c r="F207" i="91"/>
  <c r="K169"/>
  <c r="H169"/>
  <c r="H170" s="1"/>
  <c r="E169"/>
  <c r="E170" s="1"/>
  <c r="B169"/>
  <c r="B170" s="1"/>
  <c r="L169"/>
  <c r="I169"/>
  <c r="F169"/>
  <c r="F170" s="1"/>
  <c r="C169"/>
  <c r="C170" s="1"/>
  <c r="M169"/>
  <c r="G169"/>
  <c r="G170" s="1"/>
  <c r="D169"/>
  <c r="D170" s="1"/>
  <c r="A169"/>
  <c r="I92" a="1"/>
  <c r="I92" s="1"/>
  <c r="I94" s="1"/>
  <c r="J94" s="1"/>
  <c r="H48" i="90"/>
  <c r="Q120" i="86"/>
  <c r="P120" i="90"/>
  <c r="E59"/>
  <c r="E64"/>
  <c r="K169"/>
  <c r="H169"/>
  <c r="H170" s="1"/>
  <c r="E169"/>
  <c r="E170" s="1"/>
  <c r="B169"/>
  <c r="B170" s="1"/>
  <c r="L169"/>
  <c r="I169"/>
  <c r="F169"/>
  <c r="F170" s="1"/>
  <c r="C169"/>
  <c r="C170" s="1"/>
  <c r="M169"/>
  <c r="G169"/>
  <c r="G170" s="1"/>
  <c r="D169"/>
  <c r="D170" s="1"/>
  <c r="A169"/>
  <c r="G59"/>
  <c r="G64"/>
  <c r="I104"/>
  <c r="I42"/>
  <c r="S84" i="89"/>
  <c r="H105"/>
  <c r="F59"/>
  <c r="F64"/>
  <c r="I104"/>
  <c r="I42"/>
  <c r="P120" i="88"/>
  <c r="H48" i="89"/>
  <c r="E59"/>
  <c r="E64"/>
  <c r="G59"/>
  <c r="G64"/>
  <c r="K169"/>
  <c r="H169"/>
  <c r="H170" s="1"/>
  <c r="E169"/>
  <c r="E170" s="1"/>
  <c r="B169"/>
  <c r="B170" s="1"/>
  <c r="L169"/>
  <c r="I169"/>
  <c r="F169"/>
  <c r="F170" s="1"/>
  <c r="C169"/>
  <c r="C170" s="1"/>
  <c r="M169"/>
  <c r="G169"/>
  <c r="G170" s="1"/>
  <c r="D169"/>
  <c r="D170" s="1"/>
  <c r="A169"/>
  <c r="I92" i="80" a="1"/>
  <c r="I92" s="1"/>
  <c r="I94" s="1"/>
  <c r="J94" s="1"/>
  <c r="G105"/>
  <c r="R84"/>
  <c r="Q120" i="79"/>
  <c r="L168" i="80"/>
  <c r="I168"/>
  <c r="F168"/>
  <c r="C168"/>
  <c r="M168"/>
  <c r="G168"/>
  <c r="D168"/>
  <c r="A168"/>
  <c r="J169"/>
  <c r="K168"/>
  <c r="H168"/>
  <c r="E168"/>
  <c r="B168"/>
  <c r="F207"/>
  <c r="G48"/>
  <c r="H104"/>
  <c r="H42"/>
  <c r="E59"/>
  <c r="E64"/>
  <c r="F140"/>
  <c r="Q120" s="1"/>
  <c r="F53"/>
  <c r="K169" i="79"/>
  <c r="H169"/>
  <c r="H170" s="1"/>
  <c r="E169"/>
  <c r="E170" s="1"/>
  <c r="B169"/>
  <c r="B170" s="1"/>
  <c r="L169"/>
  <c r="I169"/>
  <c r="F169"/>
  <c r="F170" s="1"/>
  <c r="C169"/>
  <c r="C170" s="1"/>
  <c r="M169"/>
  <c r="G169"/>
  <c r="G170" s="1"/>
  <c r="D169"/>
  <c r="D170" s="1"/>
  <c r="A169"/>
  <c r="G105"/>
  <c r="R84"/>
  <c r="H104"/>
  <c r="H105" s="1"/>
  <c r="H42"/>
  <c r="E59"/>
  <c r="E64"/>
  <c r="F59"/>
  <c r="F64"/>
  <c r="G48"/>
  <c r="I92" a="1"/>
  <c r="I92" s="1"/>
  <c r="I94" s="1"/>
  <c r="J94" s="1"/>
  <c r="P120"/>
  <c r="G140" i="88"/>
  <c r="R120" s="1"/>
  <c r="G53"/>
  <c r="I42"/>
  <c r="F59"/>
  <c r="F64"/>
  <c r="S84"/>
  <c r="H105"/>
  <c r="E59"/>
  <c r="E64"/>
  <c r="E141" i="87"/>
  <c r="K169" i="88"/>
  <c r="H169"/>
  <c r="H170" s="1"/>
  <c r="E169"/>
  <c r="E170" s="1"/>
  <c r="B169"/>
  <c r="B170" s="1"/>
  <c r="L169"/>
  <c r="I169"/>
  <c r="F169"/>
  <c r="F170" s="1"/>
  <c r="C169"/>
  <c r="C170" s="1"/>
  <c r="M169"/>
  <c r="G169"/>
  <c r="G170" s="1"/>
  <c r="D169"/>
  <c r="D170" s="1"/>
  <c r="A169"/>
  <c r="G207"/>
  <c r="H48"/>
  <c r="G140" i="87"/>
  <c r="R120" s="1"/>
  <c r="G53"/>
  <c r="F59"/>
  <c r="F64"/>
  <c r="K169"/>
  <c r="H169"/>
  <c r="H170" s="1"/>
  <c r="E169"/>
  <c r="E170" s="1"/>
  <c r="B169"/>
  <c r="B170" s="1"/>
  <c r="L169"/>
  <c r="I169"/>
  <c r="F169"/>
  <c r="F170" s="1"/>
  <c r="C169"/>
  <c r="C170" s="1"/>
  <c r="M169"/>
  <c r="G169"/>
  <c r="G170" s="1"/>
  <c r="D169"/>
  <c r="D170" s="1"/>
  <c r="A169"/>
  <c r="I104"/>
  <c r="I42"/>
  <c r="H48"/>
  <c r="E59"/>
  <c r="E64"/>
  <c r="Q120"/>
  <c r="G207"/>
  <c r="H105"/>
  <c r="S84"/>
  <c r="G105" i="86"/>
  <c r="R84"/>
  <c r="F59"/>
  <c r="F64"/>
  <c r="K169"/>
  <c r="H169"/>
  <c r="H170" s="1"/>
  <c r="E169"/>
  <c r="E170" s="1"/>
  <c r="B169"/>
  <c r="B170" s="1"/>
  <c r="L169"/>
  <c r="I169"/>
  <c r="F169"/>
  <c r="F170" s="1"/>
  <c r="C169"/>
  <c r="C170" s="1"/>
  <c r="M169"/>
  <c r="G169"/>
  <c r="G170" s="1"/>
  <c r="D169"/>
  <c r="D170" s="1"/>
  <c r="A169"/>
  <c r="I92" a="1"/>
  <c r="I92" s="1"/>
  <c r="I94" s="1"/>
  <c r="J94" s="1"/>
  <c r="G48"/>
  <c r="I42"/>
  <c r="E59"/>
  <c r="E64"/>
  <c r="H48"/>
  <c r="E141" i="81"/>
  <c r="E59" i="85"/>
  <c r="E64"/>
  <c r="G105"/>
  <c r="R84"/>
  <c r="L168"/>
  <c r="I168"/>
  <c r="F168"/>
  <c r="C168"/>
  <c r="M168"/>
  <c r="G168"/>
  <c r="D168"/>
  <c r="A168"/>
  <c r="J169"/>
  <c r="E168"/>
  <c r="H168"/>
  <c r="K168"/>
  <c r="B168"/>
  <c r="G48"/>
  <c r="F59"/>
  <c r="F64"/>
  <c r="I42"/>
  <c r="F141" i="81"/>
  <c r="H104" i="85"/>
  <c r="H42"/>
  <c r="E141"/>
  <c r="H140" i="84"/>
  <c r="H141" s="1"/>
  <c r="H53"/>
  <c r="G59"/>
  <c r="G64"/>
  <c r="E59"/>
  <c r="E64"/>
  <c r="R120"/>
  <c r="L168"/>
  <c r="I168"/>
  <c r="F168"/>
  <c r="C168"/>
  <c r="J169"/>
  <c r="K168"/>
  <c r="H168"/>
  <c r="E168"/>
  <c r="B168"/>
  <c r="A168"/>
  <c r="M168"/>
  <c r="D168"/>
  <c r="G168"/>
  <c r="Q120" i="83"/>
  <c r="I128" i="84" a="1"/>
  <c r="I128" s="1"/>
  <c r="I130" s="1"/>
  <c r="J130" s="1"/>
  <c r="F59" i="83"/>
  <c r="F64"/>
  <c r="K169"/>
  <c r="H169"/>
  <c r="H170" s="1"/>
  <c r="E169"/>
  <c r="E170" s="1"/>
  <c r="B169"/>
  <c r="B170" s="1"/>
  <c r="L169"/>
  <c r="I169"/>
  <c r="F169"/>
  <c r="F170" s="1"/>
  <c r="C169"/>
  <c r="C170" s="1"/>
  <c r="M169"/>
  <c r="G169"/>
  <c r="G170" s="1"/>
  <c r="D169"/>
  <c r="D170" s="1"/>
  <c r="A169"/>
  <c r="E59"/>
  <c r="E64"/>
  <c r="G64"/>
  <c r="F59" i="82"/>
  <c r="F64"/>
  <c r="I92" a="1"/>
  <c r="I92" s="1"/>
  <c r="I94" s="1"/>
  <c r="J94" s="1"/>
  <c r="F141"/>
  <c r="G140"/>
  <c r="G53"/>
  <c r="H48"/>
  <c r="E59"/>
  <c r="E64"/>
  <c r="K169"/>
  <c r="H169"/>
  <c r="H170" s="1"/>
  <c r="E169"/>
  <c r="E170" s="1"/>
  <c r="B169"/>
  <c r="B170" s="1"/>
  <c r="L169"/>
  <c r="I169"/>
  <c r="F169"/>
  <c r="F170" s="1"/>
  <c r="C169"/>
  <c r="C170" s="1"/>
  <c r="M169"/>
  <c r="G169"/>
  <c r="G170" s="1"/>
  <c r="D169"/>
  <c r="D170" s="1"/>
  <c r="A169"/>
  <c r="G207"/>
  <c r="H105" i="81"/>
  <c r="S84"/>
  <c r="E59"/>
  <c r="E64"/>
  <c r="H48"/>
  <c r="F59"/>
  <c r="F64"/>
  <c r="E141" i="72"/>
  <c r="G140" i="81"/>
  <c r="R120" s="1"/>
  <c r="G53"/>
  <c r="G207"/>
  <c r="K169"/>
  <c r="H169"/>
  <c r="H170" s="1"/>
  <c r="E169"/>
  <c r="E170" s="1"/>
  <c r="B169"/>
  <c r="B170" s="1"/>
  <c r="L169"/>
  <c r="I169"/>
  <c r="F169"/>
  <c r="F170" s="1"/>
  <c r="C169"/>
  <c r="C170" s="1"/>
  <c r="M169"/>
  <c r="G169"/>
  <c r="G170" s="1"/>
  <c r="D169"/>
  <c r="D170" s="1"/>
  <c r="A169"/>
  <c r="I104"/>
  <c r="I42"/>
  <c r="E141" i="77"/>
  <c r="F207" i="78"/>
  <c r="G105"/>
  <c r="R84"/>
  <c r="H104"/>
  <c r="H105" s="1"/>
  <c r="H42"/>
  <c r="K169"/>
  <c r="H169"/>
  <c r="H170" s="1"/>
  <c r="E169"/>
  <c r="E170" s="1"/>
  <c r="B169"/>
  <c r="B170" s="1"/>
  <c r="L169"/>
  <c r="I169"/>
  <c r="F169"/>
  <c r="F170" s="1"/>
  <c r="C169"/>
  <c r="C170" s="1"/>
  <c r="M169"/>
  <c r="G169"/>
  <c r="G170" s="1"/>
  <c r="D169"/>
  <c r="D170" s="1"/>
  <c r="A169"/>
  <c r="I92" a="1"/>
  <c r="I92" s="1"/>
  <c r="I94" s="1"/>
  <c r="J94" s="1"/>
  <c r="F140"/>
  <c r="F53"/>
  <c r="G48"/>
  <c r="G105" i="77"/>
  <c r="R84"/>
  <c r="E59"/>
  <c r="E64"/>
  <c r="I92" a="1"/>
  <c r="I92" s="1"/>
  <c r="I94" s="1"/>
  <c r="J94" s="1"/>
  <c r="L168"/>
  <c r="I168"/>
  <c r="F168"/>
  <c r="C168"/>
  <c r="J169"/>
  <c r="E168"/>
  <c r="A168"/>
  <c r="K168"/>
  <c r="G168"/>
  <c r="B168"/>
  <c r="D168"/>
  <c r="M168"/>
  <c r="H168"/>
  <c r="H104"/>
  <c r="H105" s="1"/>
  <c r="H42"/>
  <c r="F53"/>
  <c r="F140"/>
  <c r="F141" s="1"/>
  <c r="E141" i="76"/>
  <c r="F207" i="77"/>
  <c r="G48"/>
  <c r="E59" i="76"/>
  <c r="E64"/>
  <c r="G140"/>
  <c r="G141" s="1"/>
  <c r="G53"/>
  <c r="K169"/>
  <c r="H169"/>
  <c r="H170" s="1"/>
  <c r="E169"/>
  <c r="E170" s="1"/>
  <c r="B169"/>
  <c r="B170" s="1"/>
  <c r="L169"/>
  <c r="I169"/>
  <c r="F169"/>
  <c r="F170" s="1"/>
  <c r="C169"/>
  <c r="C170" s="1"/>
  <c r="M169"/>
  <c r="G169"/>
  <c r="G170" s="1"/>
  <c r="D169"/>
  <c r="D170" s="1"/>
  <c r="A169"/>
  <c r="I104"/>
  <c r="I42"/>
  <c r="H105"/>
  <c r="S84"/>
  <c r="G207"/>
  <c r="E141" i="74"/>
  <c r="I128" i="76" a="1"/>
  <c r="I128" s="1"/>
  <c r="I130" s="1"/>
  <c r="J130" s="1"/>
  <c r="H48"/>
  <c r="F59"/>
  <c r="F64"/>
  <c r="I92" i="75" a="1"/>
  <c r="I92" s="1"/>
  <c r="I94" s="1"/>
  <c r="J94" s="1"/>
  <c r="Q120"/>
  <c r="P120"/>
  <c r="I42"/>
  <c r="H48"/>
  <c r="G105"/>
  <c r="R84"/>
  <c r="F141" i="69"/>
  <c r="E59" i="75"/>
  <c r="E64"/>
  <c r="K169"/>
  <c r="H169"/>
  <c r="H170" s="1"/>
  <c r="E169"/>
  <c r="E170" s="1"/>
  <c r="B169"/>
  <c r="B170" s="1"/>
  <c r="L169"/>
  <c r="I169"/>
  <c r="F169"/>
  <c r="F170" s="1"/>
  <c r="C169"/>
  <c r="C170" s="1"/>
  <c r="M169"/>
  <c r="G169"/>
  <c r="G170" s="1"/>
  <c r="D169"/>
  <c r="D170" s="1"/>
  <c r="A169"/>
  <c r="F59"/>
  <c r="F64"/>
  <c r="G48"/>
  <c r="I92" i="74" a="1"/>
  <c r="I92" s="1"/>
  <c r="I94" s="1"/>
  <c r="J94" s="1"/>
  <c r="F53"/>
  <c r="F140"/>
  <c r="F141" s="1"/>
  <c r="F207"/>
  <c r="G105"/>
  <c r="R84"/>
  <c r="H104"/>
  <c r="H105" s="1"/>
  <c r="H42"/>
  <c r="L168"/>
  <c r="I168"/>
  <c r="F168"/>
  <c r="C168"/>
  <c r="J169"/>
  <c r="K168"/>
  <c r="H168"/>
  <c r="E168"/>
  <c r="B168"/>
  <c r="A168"/>
  <c r="G168"/>
  <c r="M168"/>
  <c r="D168"/>
  <c r="E59"/>
  <c r="E64"/>
  <c r="G48"/>
  <c r="I92" i="73" a="1"/>
  <c r="I92" s="1"/>
  <c r="I94" s="1"/>
  <c r="J94" s="1"/>
  <c r="G105"/>
  <c r="R84"/>
  <c r="H104"/>
  <c r="H105" s="1"/>
  <c r="H42"/>
  <c r="L168"/>
  <c r="I168"/>
  <c r="F168"/>
  <c r="C168"/>
  <c r="M168"/>
  <c r="G168"/>
  <c r="D168"/>
  <c r="A168"/>
  <c r="J169"/>
  <c r="K168"/>
  <c r="H168"/>
  <c r="E168"/>
  <c r="B168"/>
  <c r="E141" i="69"/>
  <c r="F140" i="73"/>
  <c r="Q120" s="1"/>
  <c r="F53"/>
  <c r="G48"/>
  <c r="E59"/>
  <c r="E64"/>
  <c r="F207"/>
  <c r="G48" i="72"/>
  <c r="I92" a="1"/>
  <c r="I92" s="1"/>
  <c r="I94" s="1"/>
  <c r="J94" s="1"/>
  <c r="K169"/>
  <c r="H169"/>
  <c r="H170" s="1"/>
  <c r="E169"/>
  <c r="E170" s="1"/>
  <c r="B169"/>
  <c r="B170" s="1"/>
  <c r="L169"/>
  <c r="I169"/>
  <c r="F169"/>
  <c r="F170" s="1"/>
  <c r="C169"/>
  <c r="C170" s="1"/>
  <c r="M169"/>
  <c r="G169"/>
  <c r="G170" s="1"/>
  <c r="D169"/>
  <c r="D170" s="1"/>
  <c r="A169"/>
  <c r="F140"/>
  <c r="Q120" s="1"/>
  <c r="F53"/>
  <c r="F207"/>
  <c r="E59"/>
  <c r="E64"/>
  <c r="H104"/>
  <c r="H42"/>
  <c r="G105"/>
  <c r="R84"/>
  <c r="F140" i="71"/>
  <c r="Q120" s="1"/>
  <c r="F53"/>
  <c r="F207"/>
  <c r="G105"/>
  <c r="R84"/>
  <c r="H104"/>
  <c r="H105" s="1"/>
  <c r="H42"/>
  <c r="I92" a="1"/>
  <c r="I92" s="1"/>
  <c r="I94" s="1"/>
  <c r="J94" s="1"/>
  <c r="E141" i="70"/>
  <c r="P120" i="71"/>
  <c r="G48"/>
  <c r="E59"/>
  <c r="E64"/>
  <c r="K169"/>
  <c r="H169"/>
  <c r="H170" s="1"/>
  <c r="E169"/>
  <c r="E170" s="1"/>
  <c r="B169"/>
  <c r="B170" s="1"/>
  <c r="L169"/>
  <c r="I169"/>
  <c r="F169"/>
  <c r="F170" s="1"/>
  <c r="C169"/>
  <c r="C170" s="1"/>
  <c r="M169"/>
  <c r="G169"/>
  <c r="G170" s="1"/>
  <c r="D169"/>
  <c r="D170" s="1"/>
  <c r="A169"/>
  <c r="F207" i="70"/>
  <c r="G105"/>
  <c r="R84"/>
  <c r="I92" a="1"/>
  <c r="I92" s="1"/>
  <c r="I94" s="1"/>
  <c r="J94" s="1"/>
  <c r="H104"/>
  <c r="H105" s="1"/>
  <c r="H42"/>
  <c r="G48"/>
  <c r="F140"/>
  <c r="F141" s="1"/>
  <c r="F53"/>
  <c r="E59"/>
  <c r="E64"/>
  <c r="K169"/>
  <c r="H169"/>
  <c r="H170" s="1"/>
  <c r="E169"/>
  <c r="E170" s="1"/>
  <c r="B169"/>
  <c r="B170" s="1"/>
  <c r="L169"/>
  <c r="I169"/>
  <c r="F169"/>
  <c r="F170" s="1"/>
  <c r="C169"/>
  <c r="C170" s="1"/>
  <c r="M169"/>
  <c r="G169"/>
  <c r="G170" s="1"/>
  <c r="D169"/>
  <c r="D170" s="1"/>
  <c r="A169"/>
  <c r="G59" i="69"/>
  <c r="G64"/>
  <c r="I104"/>
  <c r="I42"/>
  <c r="F59"/>
  <c r="F64"/>
  <c r="E59"/>
  <c r="E64"/>
  <c r="H105"/>
  <c r="S84"/>
  <c r="R120"/>
  <c r="K169"/>
  <c r="H169"/>
  <c r="H170" s="1"/>
  <c r="E169"/>
  <c r="E170" s="1"/>
  <c r="B169"/>
  <c r="B170" s="1"/>
  <c r="L169"/>
  <c r="I169"/>
  <c r="F169"/>
  <c r="F170" s="1"/>
  <c r="C169"/>
  <c r="C170" s="1"/>
  <c r="M169"/>
  <c r="G169"/>
  <c r="G170" s="1"/>
  <c r="D169"/>
  <c r="D170" s="1"/>
  <c r="A169"/>
  <c r="H48"/>
  <c r="F59" i="68"/>
  <c r="F64"/>
  <c r="P120" i="67"/>
  <c r="I104" i="68"/>
  <c r="T84" s="1"/>
  <c r="I42"/>
  <c r="L168"/>
  <c r="I168"/>
  <c r="F168"/>
  <c r="C168"/>
  <c r="M168"/>
  <c r="G168"/>
  <c r="D168"/>
  <c r="A168"/>
  <c r="J169"/>
  <c r="K168"/>
  <c r="H168"/>
  <c r="E168"/>
  <c r="B168"/>
  <c r="G59"/>
  <c r="G64"/>
  <c r="H48"/>
  <c r="E59"/>
  <c r="E64"/>
  <c r="I128" a="1"/>
  <c r="I128" s="1"/>
  <c r="I130" s="1"/>
  <c r="J130" s="1"/>
  <c r="K169" i="67"/>
  <c r="H169"/>
  <c r="H170" s="1"/>
  <c r="E169"/>
  <c r="E170" s="1"/>
  <c r="B169"/>
  <c r="B170" s="1"/>
  <c r="L169"/>
  <c r="I169"/>
  <c r="F169"/>
  <c r="F170" s="1"/>
  <c r="C169"/>
  <c r="C170" s="1"/>
  <c r="M169"/>
  <c r="G169"/>
  <c r="G170" s="1"/>
  <c r="D169"/>
  <c r="D170" s="1"/>
  <c r="A169"/>
  <c r="I92" a="1"/>
  <c r="I92" s="1"/>
  <c r="I94" s="1"/>
  <c r="J94" s="1"/>
  <c r="H104"/>
  <c r="H105" s="1"/>
  <c r="H42"/>
  <c r="E59"/>
  <c r="E64"/>
  <c r="F208"/>
  <c r="R84"/>
  <c r="G48"/>
  <c r="F140"/>
  <c r="F141" s="1"/>
  <c r="F53"/>
  <c r="B96" i="114"/>
  <c r="C96" s="1"/>
  <c r="A105"/>
  <c r="B97" i="113"/>
  <c r="C97" s="1"/>
  <c r="A106"/>
  <c r="A106" i="7"/>
  <c r="B97"/>
  <c r="A327"/>
  <c r="B318"/>
  <c r="L33" i="107"/>
  <c r="L32"/>
  <c r="T119" i="84" l="1"/>
  <c r="E613" i="111" a="1"/>
  <c r="F141" i="104"/>
  <c r="I140" i="84"/>
  <c r="I141" s="1"/>
  <c r="I138" i="97"/>
  <c r="I57" s="1"/>
  <c r="I68" s="1"/>
  <c r="S509" i="105" s="1"/>
  <c r="T117" i="97"/>
  <c r="I136" i="46"/>
  <c r="I55" s="1"/>
  <c r="I66" s="1"/>
  <c r="S91" i="105" s="1"/>
  <c r="T115" i="46"/>
  <c r="I139" i="108"/>
  <c r="I58" s="1"/>
  <c r="I69" s="1"/>
  <c r="S568" i="105" s="1"/>
  <c r="T118" i="108"/>
  <c r="I137" i="86"/>
  <c r="I56" s="1"/>
  <c r="I67" s="1"/>
  <c r="S391" i="105" s="1"/>
  <c r="T116" i="86"/>
  <c r="I135" i="75"/>
  <c r="I54" s="1"/>
  <c r="I65" s="1"/>
  <c r="S306" i="105" s="1"/>
  <c r="T114" i="75"/>
  <c r="I135" i="59"/>
  <c r="I54" s="1"/>
  <c r="I65" s="1"/>
  <c r="S209" i="105" s="1"/>
  <c r="T114" i="59"/>
  <c r="I136" i="58"/>
  <c r="I55" s="1"/>
  <c r="I66" s="1"/>
  <c r="S201" i="105" s="1"/>
  <c r="T115" i="58"/>
  <c r="I135" i="50"/>
  <c r="I54" s="1"/>
  <c r="I65" s="1"/>
  <c r="S128" i="105" s="1"/>
  <c r="T114" i="50"/>
  <c r="I139" i="45"/>
  <c r="I58" s="1"/>
  <c r="I69" s="1"/>
  <c r="S85" i="105" s="1"/>
  <c r="T118" i="45"/>
  <c r="I138" i="42"/>
  <c r="I57" s="1"/>
  <c r="I68" s="1"/>
  <c r="S57" i="105" s="1"/>
  <c r="T117" i="42"/>
  <c r="I137" i="39"/>
  <c r="I56" s="1"/>
  <c r="I67" s="1"/>
  <c r="S29" i="105" s="1"/>
  <c r="T116" i="39"/>
  <c r="I138" i="109"/>
  <c r="I57" s="1"/>
  <c r="I68" s="1"/>
  <c r="S576" i="105" s="1"/>
  <c r="T117" i="109"/>
  <c r="I139" i="102"/>
  <c r="I58" s="1"/>
  <c r="I69" s="1"/>
  <c r="S559" i="105" s="1"/>
  <c r="T118" i="102"/>
  <c r="I136" i="99"/>
  <c r="I55" s="1"/>
  <c r="I66" s="1"/>
  <c r="S527" i="105" s="1"/>
  <c r="T115" i="99"/>
  <c r="I138" i="98"/>
  <c r="I57" s="1"/>
  <c r="I68" s="1"/>
  <c r="S520" i="105" s="1"/>
  <c r="T117" i="98"/>
  <c r="I136" i="96"/>
  <c r="I55" s="1"/>
  <c r="I66" s="1"/>
  <c r="S498" i="105" s="1"/>
  <c r="T115" i="96"/>
  <c r="I139" i="93"/>
  <c r="I58" s="1"/>
  <c r="I69" s="1"/>
  <c r="S474" i="105" s="1"/>
  <c r="T118" i="93"/>
  <c r="I139" i="80"/>
  <c r="I58" s="1"/>
  <c r="I69" s="1"/>
  <c r="S429" i="105" s="1"/>
  <c r="T118" i="80"/>
  <c r="I135" i="86"/>
  <c r="I54" s="1"/>
  <c r="I65" s="1"/>
  <c r="S389" i="105" s="1"/>
  <c r="T114" i="86"/>
  <c r="I135" i="78"/>
  <c r="I54" s="1"/>
  <c r="I65" s="1"/>
  <c r="S333" i="105" s="1"/>
  <c r="T114" i="78"/>
  <c r="I137" i="73"/>
  <c r="I56" s="1"/>
  <c r="I67" s="1"/>
  <c r="S290" i="105" s="1"/>
  <c r="T116" i="73"/>
  <c r="I139" i="72"/>
  <c r="I58" s="1"/>
  <c r="I69" s="1"/>
  <c r="S282" i="105" s="1"/>
  <c r="T118" i="72"/>
  <c r="I139" i="70"/>
  <c r="I58" s="1"/>
  <c r="I69" s="1"/>
  <c r="S263" i="105" s="1"/>
  <c r="T118" i="70"/>
  <c r="I138" i="67"/>
  <c r="I57" s="1"/>
  <c r="I68" s="1"/>
  <c r="T117"/>
  <c r="I138" i="77"/>
  <c r="I57" s="1"/>
  <c r="I68" s="1"/>
  <c r="S327" i="105" s="1"/>
  <c r="T117" i="77"/>
  <c r="I139" i="71"/>
  <c r="I58" s="1"/>
  <c r="I69" s="1"/>
  <c r="S273" i="105" s="1"/>
  <c r="T118" i="71"/>
  <c r="I138" i="44"/>
  <c r="I57" s="1"/>
  <c r="I68" s="1"/>
  <c r="S75" i="105" s="1"/>
  <c r="T117" i="44"/>
  <c r="I136" i="47"/>
  <c r="I55" s="1"/>
  <c r="I66" s="1"/>
  <c r="S102" i="105" s="1"/>
  <c r="T115" i="47"/>
  <c r="I136" i="75"/>
  <c r="I55" s="1"/>
  <c r="I66" s="1"/>
  <c r="S307" i="105" s="1"/>
  <c r="T115" i="75"/>
  <c r="I137"/>
  <c r="I56" s="1"/>
  <c r="I67" s="1"/>
  <c r="S308" i="105" s="1"/>
  <c r="T116" i="75"/>
  <c r="I139" i="100"/>
  <c r="I58" s="1"/>
  <c r="I69" s="1"/>
  <c r="S539" i="105" s="1"/>
  <c r="T118" i="100"/>
  <c r="I136" i="86"/>
  <c r="I55" s="1"/>
  <c r="I66" s="1"/>
  <c r="S390" i="105" s="1"/>
  <c r="T115" i="86"/>
  <c r="I139" i="59"/>
  <c r="I58" s="1"/>
  <c r="I69" s="1"/>
  <c r="S213" i="105" s="1"/>
  <c r="T118" i="59"/>
  <c r="I137" i="58"/>
  <c r="I56" s="1"/>
  <c r="I67" s="1"/>
  <c r="S202" i="105" s="1"/>
  <c r="T116" i="58"/>
  <c r="I136" i="50"/>
  <c r="I55" s="1"/>
  <c r="I66" s="1"/>
  <c r="S129" i="105" s="1"/>
  <c r="T115" i="50"/>
  <c r="I138" i="43"/>
  <c r="I57" s="1"/>
  <c r="I68" s="1"/>
  <c r="S66" i="105" s="1"/>
  <c r="T117" i="43"/>
  <c r="I136" i="42"/>
  <c r="I55" s="1"/>
  <c r="I66" s="1"/>
  <c r="S55" i="105" s="1"/>
  <c r="T115" i="42"/>
  <c r="I136" i="39"/>
  <c r="I55" s="1"/>
  <c r="I66" s="1"/>
  <c r="S28" i="105" s="1"/>
  <c r="T115" i="39"/>
  <c r="I139" i="127"/>
  <c r="I58" s="1"/>
  <c r="I69" s="1"/>
  <c r="S586" i="105" s="1"/>
  <c r="T118" i="127"/>
  <c r="I139" i="101"/>
  <c r="I58" s="1"/>
  <c r="I69" s="1"/>
  <c r="S548" i="105" s="1"/>
  <c r="T118" i="101"/>
  <c r="I135" i="96"/>
  <c r="I54" s="1"/>
  <c r="I65" s="1"/>
  <c r="S497" i="105" s="1"/>
  <c r="T114" i="96"/>
  <c r="I139" i="91"/>
  <c r="I58" s="1"/>
  <c r="I69" s="1"/>
  <c r="S456" i="105" s="1"/>
  <c r="T118" i="91"/>
  <c r="I139" i="79"/>
  <c r="I58" s="1"/>
  <c r="I69" s="1"/>
  <c r="S420" i="105" s="1"/>
  <c r="T118" i="79"/>
  <c r="I138" i="82"/>
  <c r="I57" s="1"/>
  <c r="I68" s="1"/>
  <c r="S354" i="105" s="1"/>
  <c r="T117" i="82"/>
  <c r="I135" i="77"/>
  <c r="I54" s="1"/>
  <c r="I65" s="1"/>
  <c r="S324" i="105" s="1"/>
  <c r="T114" i="77"/>
  <c r="I138" i="74"/>
  <c r="I57" s="1"/>
  <c r="I68" s="1"/>
  <c r="S300" i="105" s="1"/>
  <c r="T117" i="74"/>
  <c r="I135" i="73"/>
  <c r="I54" s="1"/>
  <c r="I65" s="1"/>
  <c r="S288" i="105" s="1"/>
  <c r="T114" i="73"/>
  <c r="I136" i="71"/>
  <c r="I55" s="1"/>
  <c r="I66" s="1"/>
  <c r="S270" i="105" s="1"/>
  <c r="T115" i="71"/>
  <c r="I137" i="80"/>
  <c r="I56" s="1"/>
  <c r="I67" s="1"/>
  <c r="S427" i="105" s="1"/>
  <c r="T116" i="80"/>
  <c r="I136" i="72"/>
  <c r="I55" s="1"/>
  <c r="I66" s="1"/>
  <c r="S279" i="105" s="1"/>
  <c r="T115" i="72"/>
  <c r="I135" i="44"/>
  <c r="I54" s="1"/>
  <c r="I65" s="1"/>
  <c r="S72" i="105" s="1"/>
  <c r="T114" i="44"/>
  <c r="I139"/>
  <c r="I58" s="1"/>
  <c r="I69" s="1"/>
  <c r="S76" i="105" s="1"/>
  <c r="T118" i="44"/>
  <c r="I136" i="97"/>
  <c r="I55" s="1"/>
  <c r="I66" s="1"/>
  <c r="S507" i="105" s="1"/>
  <c r="T115" i="97"/>
  <c r="I137" i="108"/>
  <c r="I56" s="1"/>
  <c r="I67" s="1"/>
  <c r="S566" i="105" s="1"/>
  <c r="T116" i="108"/>
  <c r="I135" i="85"/>
  <c r="I54" s="1"/>
  <c r="I65" s="1"/>
  <c r="S380" i="105" s="1"/>
  <c r="T114" i="85"/>
  <c r="I136" i="59"/>
  <c r="I55" s="1"/>
  <c r="I66" s="1"/>
  <c r="S210" i="105" s="1"/>
  <c r="T115" i="59"/>
  <c r="I135" i="60"/>
  <c r="I54" s="1"/>
  <c r="I65" s="1"/>
  <c r="S218" i="105" s="1"/>
  <c r="T114" i="60"/>
  <c r="I135" i="58"/>
  <c r="I54" s="1"/>
  <c r="I65" s="1"/>
  <c r="S200" i="105" s="1"/>
  <c r="T114" i="58"/>
  <c r="I136" i="53"/>
  <c r="I55" s="1"/>
  <c r="I66" s="1"/>
  <c r="S156" i="105" s="1"/>
  <c r="T115" i="53"/>
  <c r="I137" i="43"/>
  <c r="I56" s="1"/>
  <c r="I67" s="1"/>
  <c r="S65" i="105" s="1"/>
  <c r="T116" i="43"/>
  <c r="I137" i="40"/>
  <c r="I56" s="1"/>
  <c r="I67" s="1"/>
  <c r="S38" i="105" s="1"/>
  <c r="T116" i="40"/>
  <c r="I138" i="39"/>
  <c r="I57" s="1"/>
  <c r="I68" s="1"/>
  <c r="S30" i="105" s="1"/>
  <c r="T117" i="39"/>
  <c r="I137" i="127"/>
  <c r="I56" s="1"/>
  <c r="I67" s="1"/>
  <c r="S584" i="105" s="1"/>
  <c r="T116" i="127"/>
  <c r="I136" i="102"/>
  <c r="I55" s="1"/>
  <c r="I66" s="1"/>
  <c r="S556" i="105" s="1"/>
  <c r="T115" i="102"/>
  <c r="I137" i="99"/>
  <c r="I56" s="1"/>
  <c r="I67" s="1"/>
  <c r="S528" i="105" s="1"/>
  <c r="T116" i="99"/>
  <c r="I138" i="96"/>
  <c r="I57" s="1"/>
  <c r="I68" s="1"/>
  <c r="S500" i="105" s="1"/>
  <c r="T117" i="96"/>
  <c r="I137" i="91"/>
  <c r="I56" s="1"/>
  <c r="I67" s="1"/>
  <c r="S454" i="105" s="1"/>
  <c r="T116" i="91"/>
  <c r="I136" i="77"/>
  <c r="I55" s="1"/>
  <c r="I66" s="1"/>
  <c r="S325" i="105" s="1"/>
  <c r="T115" i="77"/>
  <c r="I136" i="67"/>
  <c r="I55" s="1"/>
  <c r="I66" s="1"/>
  <c r="T115"/>
  <c r="I136" i="49"/>
  <c r="I55" s="1"/>
  <c r="I66" s="1"/>
  <c r="S120" i="105" s="1"/>
  <c r="T115" i="49"/>
  <c r="I138" i="85"/>
  <c r="I57" s="1"/>
  <c r="I68" s="1"/>
  <c r="S383" i="105" s="1"/>
  <c r="T117" i="85"/>
  <c r="I139"/>
  <c r="I58" s="1"/>
  <c r="I69" s="1"/>
  <c r="S384" i="105" s="1"/>
  <c r="T118" i="85"/>
  <c r="I139" i="47"/>
  <c r="I58" s="1"/>
  <c r="I69" s="1"/>
  <c r="S105" i="105" s="1"/>
  <c r="T118" i="47"/>
  <c r="I135" i="46"/>
  <c r="I54" s="1"/>
  <c r="I65" s="1"/>
  <c r="S90" i="105" s="1"/>
  <c r="T114" i="46"/>
  <c r="I137" i="59"/>
  <c r="I56" s="1"/>
  <c r="I67" s="1"/>
  <c r="S211" i="105" s="1"/>
  <c r="T116" i="59"/>
  <c r="I135" i="100"/>
  <c r="I54" s="1"/>
  <c r="I65" s="1"/>
  <c r="S535" i="105" s="1"/>
  <c r="T114" i="100"/>
  <c r="I138" i="58"/>
  <c r="I57" s="1"/>
  <c r="I68" s="1"/>
  <c r="S203" i="105" s="1"/>
  <c r="T117" i="58"/>
  <c r="I137" i="50"/>
  <c r="I56" s="1"/>
  <c r="I67" s="1"/>
  <c r="S130" i="105" s="1"/>
  <c r="T116" i="50"/>
  <c r="I138" i="45"/>
  <c r="I57" s="1"/>
  <c r="I68" s="1"/>
  <c r="S84" i="105" s="1"/>
  <c r="T117" i="45"/>
  <c r="I136" i="43"/>
  <c r="I55" s="1"/>
  <c r="I66" s="1"/>
  <c r="S64" i="105" s="1"/>
  <c r="T115" i="43"/>
  <c r="I139" i="39"/>
  <c r="I58" s="1"/>
  <c r="I69" s="1"/>
  <c r="S31" i="105" s="1"/>
  <c r="T118" i="39"/>
  <c r="I136" i="32"/>
  <c r="I55" s="1"/>
  <c r="I66" s="1"/>
  <c r="T115"/>
  <c r="I138" i="127"/>
  <c r="I57" s="1"/>
  <c r="I68" s="1"/>
  <c r="S585" i="105" s="1"/>
  <c r="T117" i="127"/>
  <c r="I135" i="102"/>
  <c r="I54" s="1"/>
  <c r="I65" s="1"/>
  <c r="S555" i="105" s="1"/>
  <c r="T114" i="102"/>
  <c r="I137" i="100"/>
  <c r="I56" s="1"/>
  <c r="I67" s="1"/>
  <c r="S537" i="105" s="1"/>
  <c r="T116" i="100"/>
  <c r="I139" i="99"/>
  <c r="I58" s="1"/>
  <c r="I69" s="1"/>
  <c r="S530" i="105" s="1"/>
  <c r="T118" i="99"/>
  <c r="I137" i="96"/>
  <c r="I56" s="1"/>
  <c r="I67" s="1"/>
  <c r="S499" i="105" s="1"/>
  <c r="T116" i="96"/>
  <c r="I137" i="93"/>
  <c r="I56" s="1"/>
  <c r="I67" s="1"/>
  <c r="S472" i="105" s="1"/>
  <c r="T116" i="93"/>
  <c r="I136" i="91"/>
  <c r="I55" s="1"/>
  <c r="I66" s="1"/>
  <c r="S453" i="105" s="1"/>
  <c r="T115" i="91"/>
  <c r="I137" i="79"/>
  <c r="I56" s="1"/>
  <c r="I67" s="1"/>
  <c r="S418" i="105" s="1"/>
  <c r="T116" i="79"/>
  <c r="I138" i="78"/>
  <c r="I57" s="1"/>
  <c r="I68" s="1"/>
  <c r="S336" i="105" s="1"/>
  <c r="T117" i="78"/>
  <c r="I137" i="74"/>
  <c r="I56" s="1"/>
  <c r="I67" s="1"/>
  <c r="S299" i="105" s="1"/>
  <c r="T116" i="74"/>
  <c r="I135" i="72"/>
  <c r="I54" s="1"/>
  <c r="I65" s="1"/>
  <c r="S278" i="105" s="1"/>
  <c r="T114" i="72"/>
  <c r="I138" i="70"/>
  <c r="I57" s="1"/>
  <c r="I68" s="1"/>
  <c r="S262" i="105" s="1"/>
  <c r="T117" i="70"/>
  <c r="I139" i="67"/>
  <c r="I58" s="1"/>
  <c r="T118"/>
  <c r="I136" i="78"/>
  <c r="I55" s="1"/>
  <c r="I66" s="1"/>
  <c r="S334" i="105" s="1"/>
  <c r="T115" i="78"/>
  <c r="I137" i="72"/>
  <c r="I56" s="1"/>
  <c r="I67" s="1"/>
  <c r="S280" i="105" s="1"/>
  <c r="T116" i="72"/>
  <c r="I138" i="47"/>
  <c r="I57" s="1"/>
  <c r="I68" s="1"/>
  <c r="S104" i="105" s="1"/>
  <c r="T117" i="47"/>
  <c r="I136" i="44"/>
  <c r="I55" s="1"/>
  <c r="I66" s="1"/>
  <c r="S73" i="105" s="1"/>
  <c r="T115" i="44"/>
  <c r="I135" i="47"/>
  <c r="I54" s="1"/>
  <c r="I65" s="1"/>
  <c r="S101" i="105" s="1"/>
  <c r="T114" i="47"/>
  <c r="I139" i="75"/>
  <c r="I58" s="1"/>
  <c r="I69" s="1"/>
  <c r="S310" i="105" s="1"/>
  <c r="T118" i="75"/>
  <c r="I136" i="60"/>
  <c r="I55" s="1"/>
  <c r="I66" s="1"/>
  <c r="S219" i="105" s="1"/>
  <c r="T115" i="60"/>
  <c r="I139" i="53"/>
  <c r="I58" s="1"/>
  <c r="I69" s="1"/>
  <c r="S159" i="105" s="1"/>
  <c r="T118" i="53"/>
  <c r="I136" i="45"/>
  <c r="I55" s="1"/>
  <c r="I66" s="1"/>
  <c r="S82" i="105" s="1"/>
  <c r="T115" i="45"/>
  <c r="I137" i="42"/>
  <c r="I56" s="1"/>
  <c r="I67" s="1"/>
  <c r="S56" i="105" s="1"/>
  <c r="T116" i="42"/>
  <c r="I138" i="40"/>
  <c r="I57" s="1"/>
  <c r="I68" s="1"/>
  <c r="S39" i="105" s="1"/>
  <c r="T117" i="40"/>
  <c r="I139" i="32"/>
  <c r="I58" s="1"/>
  <c r="I69" s="1"/>
  <c r="T118"/>
  <c r="I138" i="102"/>
  <c r="I57" s="1"/>
  <c r="I68" s="1"/>
  <c r="S558" i="105" s="1"/>
  <c r="T117" i="102"/>
  <c r="I139" i="98"/>
  <c r="I58" s="1"/>
  <c r="I69" s="1"/>
  <c r="S521" i="105" s="1"/>
  <c r="T118" i="98"/>
  <c r="I138" i="91"/>
  <c r="I57" s="1"/>
  <c r="I68" s="1"/>
  <c r="S455" i="105" s="1"/>
  <c r="T117" i="91"/>
  <c r="I136" i="80"/>
  <c r="I55" s="1"/>
  <c r="I66" s="1"/>
  <c r="S426" i="105" s="1"/>
  <c r="T115" i="80"/>
  <c r="I137" i="82"/>
  <c r="I56" s="1"/>
  <c r="I67" s="1"/>
  <c r="S353" i="105" s="1"/>
  <c r="T116" i="82"/>
  <c r="I139" i="78"/>
  <c r="I58" s="1"/>
  <c r="I69" s="1"/>
  <c r="S337" i="105" s="1"/>
  <c r="T118" i="78"/>
  <c r="I138" i="75"/>
  <c r="I57" s="1"/>
  <c r="I68" s="1"/>
  <c r="S309" i="105" s="1"/>
  <c r="T117" i="75"/>
  <c r="I136" i="74"/>
  <c r="I55" s="1"/>
  <c r="I66" s="1"/>
  <c r="S298" i="105" s="1"/>
  <c r="T115" i="74"/>
  <c r="I138" i="72"/>
  <c r="I57" s="1"/>
  <c r="I68" s="1"/>
  <c r="S281" i="105" s="1"/>
  <c r="T117" i="72"/>
  <c r="I136" i="70"/>
  <c r="I55" s="1"/>
  <c r="I66" s="1"/>
  <c r="S260" i="105" s="1"/>
  <c r="T115" i="70"/>
  <c r="I136" i="82"/>
  <c r="I55" s="1"/>
  <c r="I66" s="1"/>
  <c r="S352" i="105" s="1"/>
  <c r="T115" i="82"/>
  <c r="I135" i="70"/>
  <c r="I54" s="1"/>
  <c r="I65" s="1"/>
  <c r="S259" i="105" s="1"/>
  <c r="T114" i="70"/>
  <c r="I136" i="83"/>
  <c r="I55" s="1"/>
  <c r="I66" s="1"/>
  <c r="S361" i="105" s="1"/>
  <c r="T115" i="83"/>
  <c r="I135" i="49"/>
  <c r="I54" s="1"/>
  <c r="I65" s="1"/>
  <c r="S119" i="105" s="1"/>
  <c r="T114" i="49"/>
  <c r="I138"/>
  <c r="I57" s="1"/>
  <c r="I68" s="1"/>
  <c r="S122" i="105" s="1"/>
  <c r="T117" i="49"/>
  <c r="I138" i="46"/>
  <c r="I57" s="1"/>
  <c r="I68" s="1"/>
  <c r="S93" i="105" s="1"/>
  <c r="T117" i="46"/>
  <c r="I136" i="108"/>
  <c r="I55" s="1"/>
  <c r="I66" s="1"/>
  <c r="S565" i="105" s="1"/>
  <c r="T115" i="108"/>
  <c r="I139" i="46"/>
  <c r="I58" s="1"/>
  <c r="I69" s="1"/>
  <c r="S94" i="105" s="1"/>
  <c r="T118" i="46"/>
  <c r="I137"/>
  <c r="I56" s="1"/>
  <c r="I67" s="1"/>
  <c r="S92" i="105" s="1"/>
  <c r="T116" i="46"/>
  <c r="I138" i="38"/>
  <c r="I57" s="1"/>
  <c r="I68" s="1"/>
  <c r="S21" i="105" s="1"/>
  <c r="T117" i="38"/>
  <c r="I138" i="59"/>
  <c r="I57" s="1"/>
  <c r="I68" s="1"/>
  <c r="S212" i="105" s="1"/>
  <c r="T117" i="59"/>
  <c r="I138" i="53"/>
  <c r="I57" s="1"/>
  <c r="I68" s="1"/>
  <c r="S158" i="105" s="1"/>
  <c r="T117" i="53"/>
  <c r="I135" i="45"/>
  <c r="I54" s="1"/>
  <c r="I65" s="1"/>
  <c r="S81" i="105" s="1"/>
  <c r="T114" i="45"/>
  <c r="I139" i="42"/>
  <c r="I58" s="1"/>
  <c r="I69" s="1"/>
  <c r="S58" i="105" s="1"/>
  <c r="T118" i="42"/>
  <c r="I135" i="39"/>
  <c r="I54" s="1"/>
  <c r="I65" s="1"/>
  <c r="S27" i="105" s="1"/>
  <c r="T114" i="39"/>
  <c r="I135" i="127"/>
  <c r="I54" s="1"/>
  <c r="I65" s="1"/>
  <c r="S582" i="105" s="1"/>
  <c r="T114" i="127"/>
  <c r="I137" i="102"/>
  <c r="I56" s="1"/>
  <c r="I67" s="1"/>
  <c r="S557" i="105" s="1"/>
  <c r="T116" i="102"/>
  <c r="I136" i="101"/>
  <c r="I55" s="1"/>
  <c r="I66" s="1"/>
  <c r="S545" i="105" s="1"/>
  <c r="T115" i="101"/>
  <c r="I137" i="98"/>
  <c r="I56" s="1"/>
  <c r="I67" s="1"/>
  <c r="S519" i="105" s="1"/>
  <c r="T116" i="98"/>
  <c r="I136" i="93"/>
  <c r="I55" s="1"/>
  <c r="I66" s="1"/>
  <c r="S471" i="105" s="1"/>
  <c r="T115" i="93"/>
  <c r="I136" i="79"/>
  <c r="I55" s="1"/>
  <c r="I66" s="1"/>
  <c r="S417" i="105" s="1"/>
  <c r="T115" i="79"/>
  <c r="I138" i="71"/>
  <c r="I57" s="1"/>
  <c r="I68" s="1"/>
  <c r="S272" i="105" s="1"/>
  <c r="T117" i="71"/>
  <c r="I135" i="88"/>
  <c r="I54" s="1"/>
  <c r="I65" s="1"/>
  <c r="S407" i="105" s="1"/>
  <c r="T114" i="88"/>
  <c r="I139" i="49"/>
  <c r="I58" s="1"/>
  <c r="I69" s="1"/>
  <c r="S123" i="105" s="1"/>
  <c r="T118" i="49"/>
  <c r="I136" i="85"/>
  <c r="I55" s="1"/>
  <c r="I66" s="1"/>
  <c r="S381" i="105" s="1"/>
  <c r="T115" i="85"/>
  <c r="I137" i="47"/>
  <c r="I56" s="1"/>
  <c r="I67" s="1"/>
  <c r="S103" i="105" s="1"/>
  <c r="T116" i="47"/>
  <c r="I136" i="38"/>
  <c r="I55" s="1"/>
  <c r="I66" s="1"/>
  <c r="S19" i="105" s="1"/>
  <c r="T115" i="38"/>
  <c r="I137" i="109"/>
  <c r="I56" s="1"/>
  <c r="I67" s="1"/>
  <c r="S575" i="105" s="1"/>
  <c r="T116" i="109"/>
  <c r="I139" i="38"/>
  <c r="I58" s="1"/>
  <c r="I69" s="1"/>
  <c r="S22" i="105" s="1"/>
  <c r="T118" i="38"/>
  <c r="I138" i="86"/>
  <c r="I57" s="1"/>
  <c r="I68" s="1"/>
  <c r="S392" i="105" s="1"/>
  <c r="T117" i="86"/>
  <c r="I138" i="60"/>
  <c r="I57" s="1"/>
  <c r="I68" s="1"/>
  <c r="S221" i="105" s="1"/>
  <c r="T117" i="60"/>
  <c r="I135" i="53"/>
  <c r="I54" s="1"/>
  <c r="I65" s="1"/>
  <c r="S155" i="105" s="1"/>
  <c r="T114" i="53"/>
  <c r="I137" i="45"/>
  <c r="I56" s="1"/>
  <c r="I67" s="1"/>
  <c r="S83" i="105" s="1"/>
  <c r="T116" i="45"/>
  <c r="I135" i="43"/>
  <c r="I54" s="1"/>
  <c r="I65" s="1"/>
  <c r="S63" i="105" s="1"/>
  <c r="T114" i="43"/>
  <c r="I135" i="40"/>
  <c r="I54" s="1"/>
  <c r="I65" s="1"/>
  <c r="S36" i="105" s="1"/>
  <c r="T114" i="40"/>
  <c r="I137" i="32"/>
  <c r="I56" s="1"/>
  <c r="T116"/>
  <c r="I136" i="127"/>
  <c r="I55" s="1"/>
  <c r="I66" s="1"/>
  <c r="S583" i="105" s="1"/>
  <c r="T115" i="127"/>
  <c r="I136" i="109"/>
  <c r="I55" s="1"/>
  <c r="I66" s="1"/>
  <c r="S574" i="105" s="1"/>
  <c r="T115" i="109"/>
  <c r="I135" i="101"/>
  <c r="I54" s="1"/>
  <c r="I65" s="1"/>
  <c r="S544" i="105" s="1"/>
  <c r="T114" i="101"/>
  <c r="I138" i="99"/>
  <c r="I57" s="1"/>
  <c r="I68" s="1"/>
  <c r="S529" i="105" s="1"/>
  <c r="T117" i="99"/>
  <c r="I136" i="98"/>
  <c r="I55" s="1"/>
  <c r="I66" s="1"/>
  <c r="S518" i="105" s="1"/>
  <c r="T115" i="98"/>
  <c r="I138" i="93"/>
  <c r="I57" s="1"/>
  <c r="I68" s="1"/>
  <c r="S473" i="105" s="1"/>
  <c r="T117" i="93"/>
  <c r="I135" i="91"/>
  <c r="I54" s="1"/>
  <c r="I65" s="1"/>
  <c r="S452" i="105" s="1"/>
  <c r="T114" i="91"/>
  <c r="I138" i="79"/>
  <c r="I57" s="1"/>
  <c r="I68" s="1"/>
  <c r="S419" i="105" s="1"/>
  <c r="T117" i="79"/>
  <c r="I139" i="82"/>
  <c r="I58" s="1"/>
  <c r="I69" s="1"/>
  <c r="S355" i="105" s="1"/>
  <c r="T118" i="82"/>
  <c r="I137" i="77"/>
  <c r="I56" s="1"/>
  <c r="I67" s="1"/>
  <c r="S326" i="105" s="1"/>
  <c r="T116" i="77"/>
  <c r="I136" i="73"/>
  <c r="I55" s="1"/>
  <c r="I66" s="1"/>
  <c r="S289" i="105" s="1"/>
  <c r="T115" i="73"/>
  <c r="I135" i="71"/>
  <c r="I54" s="1"/>
  <c r="I65" s="1"/>
  <c r="S269" i="105" s="1"/>
  <c r="T114" i="71"/>
  <c r="I135" i="67"/>
  <c r="I54" s="1"/>
  <c r="I65" s="1"/>
  <c r="T114"/>
  <c r="I135" i="82"/>
  <c r="I54" s="1"/>
  <c r="I65" s="1"/>
  <c r="S351" i="105" s="1"/>
  <c r="T114" i="82"/>
  <c r="I135" i="74"/>
  <c r="I54" s="1"/>
  <c r="I65" s="1"/>
  <c r="S297" i="105" s="1"/>
  <c r="T114" i="74"/>
  <c r="I137" i="67"/>
  <c r="I56" s="1"/>
  <c r="I67" s="1"/>
  <c r="T116"/>
  <c r="I137" i="44"/>
  <c r="I56" s="1"/>
  <c r="I67" s="1"/>
  <c r="S74" i="105" s="1"/>
  <c r="T116" i="44"/>
  <c r="I139" i="97"/>
  <c r="I58" s="1"/>
  <c r="I69" s="1"/>
  <c r="S510" i="105" s="1"/>
  <c r="T118" i="97"/>
  <c r="I137" i="38"/>
  <c r="I56" s="1"/>
  <c r="I67" s="1"/>
  <c r="S20" i="105" s="1"/>
  <c r="T116" i="38"/>
  <c r="I138" i="100"/>
  <c r="I57" s="1"/>
  <c r="I68" s="1"/>
  <c r="S538" i="105" s="1"/>
  <c r="T117" i="100"/>
  <c r="I136"/>
  <c r="I55" s="1"/>
  <c r="I66" s="1"/>
  <c r="S536" i="105" s="1"/>
  <c r="T115" i="100"/>
  <c r="I137" i="60"/>
  <c r="I56" s="1"/>
  <c r="I67" s="1"/>
  <c r="S220" i="105" s="1"/>
  <c r="T116" i="60"/>
  <c r="I137" i="53"/>
  <c r="I56" s="1"/>
  <c r="I67" s="1"/>
  <c r="S157" i="105" s="1"/>
  <c r="T116" i="53"/>
  <c r="I139" i="50"/>
  <c r="I58" s="1"/>
  <c r="I69" s="1"/>
  <c r="S132" i="105" s="1"/>
  <c r="T118" i="50"/>
  <c r="I139" i="43"/>
  <c r="I58" s="1"/>
  <c r="I69" s="1"/>
  <c r="S67" i="105" s="1"/>
  <c r="T118" i="43"/>
  <c r="I136" i="40"/>
  <c r="I55" s="1"/>
  <c r="I66" s="1"/>
  <c r="S37" i="105" s="1"/>
  <c r="T115" i="40"/>
  <c r="I135" i="32"/>
  <c r="I54" s="1"/>
  <c r="I65" s="1"/>
  <c r="T114"/>
  <c r="I135" i="109"/>
  <c r="I54" s="1"/>
  <c r="I65" s="1"/>
  <c r="S573" i="105" s="1"/>
  <c r="T114" i="109"/>
  <c r="I137" i="101"/>
  <c r="I56" s="1"/>
  <c r="I67" s="1"/>
  <c r="S546" i="105" s="1"/>
  <c r="T116" i="101"/>
  <c r="I135" i="93"/>
  <c r="I54" s="1"/>
  <c r="I65" s="1"/>
  <c r="S470" i="105" s="1"/>
  <c r="T114" i="93"/>
  <c r="I135" i="80"/>
  <c r="I54" s="1"/>
  <c r="I65" s="1"/>
  <c r="S425" i="105" s="1"/>
  <c r="T114" i="80"/>
  <c r="I139" i="86"/>
  <c r="I58" s="1"/>
  <c r="I69" s="1"/>
  <c r="S393" i="105" s="1"/>
  <c r="T118" i="86"/>
  <c r="I137" i="78"/>
  <c r="I56" s="1"/>
  <c r="I67" s="1"/>
  <c r="S335" i="105" s="1"/>
  <c r="T116" i="78"/>
  <c r="I139" i="77"/>
  <c r="I58" s="1"/>
  <c r="I69" s="1"/>
  <c r="S328" i="105" s="1"/>
  <c r="T118" i="77"/>
  <c r="I139" i="74"/>
  <c r="I58" s="1"/>
  <c r="I69" s="1"/>
  <c r="S301" i="105" s="1"/>
  <c r="T118" i="74"/>
  <c r="I139" i="73"/>
  <c r="I58" s="1"/>
  <c r="I69" s="1"/>
  <c r="S292" i="105" s="1"/>
  <c r="T118" i="73"/>
  <c r="I137" i="70"/>
  <c r="I56" s="1"/>
  <c r="I67" s="1"/>
  <c r="S261" i="105" s="1"/>
  <c r="T116" i="70"/>
  <c r="I135" i="79"/>
  <c r="I54" s="1"/>
  <c r="I65" s="1"/>
  <c r="S416" i="105" s="1"/>
  <c r="T114" i="79"/>
  <c r="I137" i="71"/>
  <c r="I56" s="1"/>
  <c r="I67" s="1"/>
  <c r="S271" i="105" s="1"/>
  <c r="T116" i="71"/>
  <c r="I137" i="49"/>
  <c r="I56" s="1"/>
  <c r="I67" s="1"/>
  <c r="S121" i="105" s="1"/>
  <c r="T116" i="49"/>
  <c r="I137" i="97"/>
  <c r="I56" s="1"/>
  <c r="I67" s="1"/>
  <c r="S508" i="105" s="1"/>
  <c r="T116" i="97"/>
  <c r="I137" i="85"/>
  <c r="I56" s="1"/>
  <c r="I67" s="1"/>
  <c r="S382" i="105" s="1"/>
  <c r="T116" i="85"/>
  <c r="I138" i="108"/>
  <c r="I57" s="1"/>
  <c r="I68" s="1"/>
  <c r="S567" i="105" s="1"/>
  <c r="T117" i="108"/>
  <c r="I135"/>
  <c r="I54" s="1"/>
  <c r="I65" s="1"/>
  <c r="S564" i="105" s="1"/>
  <c r="T114" i="108"/>
  <c r="I135" i="38"/>
  <c r="I54" s="1"/>
  <c r="I65" s="1"/>
  <c r="S18" i="105" s="1"/>
  <c r="T114" i="38"/>
  <c r="I139" i="60"/>
  <c r="I58" s="1"/>
  <c r="I69" s="1"/>
  <c r="S222" i="105" s="1"/>
  <c r="T118" i="60"/>
  <c r="I139" i="58"/>
  <c r="I58" s="1"/>
  <c r="I69" s="1"/>
  <c r="S204" i="105" s="1"/>
  <c r="T118" i="58"/>
  <c r="I138" i="50"/>
  <c r="I57" s="1"/>
  <c r="I68" s="1"/>
  <c r="S131" i="105" s="1"/>
  <c r="T117" i="50"/>
  <c r="I135" i="42"/>
  <c r="I54" s="1"/>
  <c r="I65" s="1"/>
  <c r="S54" i="105" s="1"/>
  <c r="T114" i="42"/>
  <c r="I139" i="40"/>
  <c r="I58" s="1"/>
  <c r="I69" s="1"/>
  <c r="S40" i="105" s="1"/>
  <c r="T118" i="40"/>
  <c r="I138" i="32"/>
  <c r="I57" s="1"/>
  <c r="I68" s="1"/>
  <c r="T117"/>
  <c r="I139" i="109"/>
  <c r="I58" s="1"/>
  <c r="I69" s="1"/>
  <c r="S577" i="105" s="1"/>
  <c r="T118" i="109"/>
  <c r="I138" i="101"/>
  <c r="I57" s="1"/>
  <c r="I68" s="1"/>
  <c r="S547" i="105" s="1"/>
  <c r="T117" i="101"/>
  <c r="I135" i="98"/>
  <c r="I54" s="1"/>
  <c r="I65" s="1"/>
  <c r="S517" i="105" s="1"/>
  <c r="T114" i="98"/>
  <c r="I139" i="96"/>
  <c r="I58" s="1"/>
  <c r="I69" s="1"/>
  <c r="S501" i="105" s="1"/>
  <c r="T118" i="96"/>
  <c r="I138" i="80"/>
  <c r="I57" s="1"/>
  <c r="I68" s="1"/>
  <c r="S428" i="105" s="1"/>
  <c r="T117" i="80"/>
  <c r="I138" i="73"/>
  <c r="I57" s="1"/>
  <c r="I68" s="1"/>
  <c r="S291" i="105" s="1"/>
  <c r="T117" i="73"/>
  <c r="I134" i="88"/>
  <c r="T113"/>
  <c r="I134" i="89"/>
  <c r="T113"/>
  <c r="T119" s="1"/>
  <c r="I134" i="95"/>
  <c r="T113"/>
  <c r="T119" s="1"/>
  <c r="I134" i="41"/>
  <c r="T113"/>
  <c r="T119" s="1"/>
  <c r="I134" i="76"/>
  <c r="T113"/>
  <c r="T119" s="1"/>
  <c r="I134" i="90"/>
  <c r="T113"/>
  <c r="T119" s="1"/>
  <c r="I134" i="38"/>
  <c r="T113"/>
  <c r="I134" i="55"/>
  <c r="T113"/>
  <c r="T119" s="1"/>
  <c r="I134" i="69"/>
  <c r="T113"/>
  <c r="T119" s="1"/>
  <c r="I134" i="75"/>
  <c r="T113"/>
  <c r="I134" i="86"/>
  <c r="T113"/>
  <c r="I134" i="87"/>
  <c r="T113"/>
  <c r="T119" s="1"/>
  <c r="I134" i="108"/>
  <c r="T113"/>
  <c r="I134" i="129"/>
  <c r="T113"/>
  <c r="T119" s="1"/>
  <c r="I134" i="44"/>
  <c r="T113"/>
  <c r="I134" i="46"/>
  <c r="T113"/>
  <c r="I134" i="49"/>
  <c r="T113"/>
  <c r="I134" i="68"/>
  <c r="T113"/>
  <c r="T119" s="1"/>
  <c r="I134" i="81"/>
  <c r="T113"/>
  <c r="T119" s="1"/>
  <c r="E568" i="111" s="1" a="1"/>
  <c r="I134" i="85"/>
  <c r="T113"/>
  <c r="I134" i="97"/>
  <c r="T113"/>
  <c r="I134" i="100"/>
  <c r="T113"/>
  <c r="I134" i="47"/>
  <c r="T113"/>
  <c r="I134" i="48"/>
  <c r="T113"/>
  <c r="T119" s="1"/>
  <c r="I134" i="51"/>
  <c r="T113"/>
  <c r="T119" s="1"/>
  <c r="I134" i="52"/>
  <c r="T113"/>
  <c r="T119" s="1"/>
  <c r="I134" i="54"/>
  <c r="T113"/>
  <c r="T119" s="1"/>
  <c r="I134" i="57"/>
  <c r="T113"/>
  <c r="T119" s="1"/>
  <c r="I134" i="59"/>
  <c r="T113"/>
  <c r="I134" i="83"/>
  <c r="T113"/>
  <c r="E598" i="111" s="1" a="1"/>
  <c r="H134" i="71"/>
  <c r="S113"/>
  <c r="S119" s="1"/>
  <c r="H134" i="72"/>
  <c r="S113"/>
  <c r="S119" s="1"/>
  <c r="H134" i="78"/>
  <c r="S113"/>
  <c r="S119" s="1"/>
  <c r="H134" i="85"/>
  <c r="S113"/>
  <c r="S119" s="1"/>
  <c r="H134" i="79"/>
  <c r="S113"/>
  <c r="S119" s="1"/>
  <c r="H134" i="93"/>
  <c r="S113"/>
  <c r="S119" s="1"/>
  <c r="H134" i="102"/>
  <c r="S113"/>
  <c r="S119" s="1"/>
  <c r="H134" i="108"/>
  <c r="S113"/>
  <c r="H134" i="47"/>
  <c r="S113"/>
  <c r="S119" s="1"/>
  <c r="H134" i="50"/>
  <c r="S113"/>
  <c r="S119" s="1"/>
  <c r="H134" i="53"/>
  <c r="S113"/>
  <c r="S119" s="1"/>
  <c r="H134" i="67"/>
  <c r="S113"/>
  <c r="S119" s="1"/>
  <c r="H134" i="70"/>
  <c r="S113"/>
  <c r="S119" s="1"/>
  <c r="H134" i="74"/>
  <c r="S113"/>
  <c r="S119" s="1"/>
  <c r="H134" i="77"/>
  <c r="S113"/>
  <c r="S119" s="1"/>
  <c r="H134" i="80"/>
  <c r="S113"/>
  <c r="S119" s="1"/>
  <c r="H134" i="91"/>
  <c r="S113"/>
  <c r="S119" s="1"/>
  <c r="H134" i="97"/>
  <c r="S113"/>
  <c r="S119" s="1"/>
  <c r="H134" i="109"/>
  <c r="S113"/>
  <c r="H134" i="127"/>
  <c r="S113"/>
  <c r="S119" s="1"/>
  <c r="H134" i="32"/>
  <c r="S113"/>
  <c r="S119" s="1"/>
  <c r="H134" i="38"/>
  <c r="S113"/>
  <c r="S119" s="1"/>
  <c r="H134" i="42"/>
  <c r="S113"/>
  <c r="S119" s="1"/>
  <c r="H134" i="43"/>
  <c r="S113"/>
  <c r="S119" s="1"/>
  <c r="H134" i="45"/>
  <c r="S113"/>
  <c r="H134" i="58"/>
  <c r="S113"/>
  <c r="S119" s="1"/>
  <c r="H134" i="59"/>
  <c r="S113"/>
  <c r="H134" i="73"/>
  <c r="S113"/>
  <c r="S119" s="1"/>
  <c r="H134" i="96"/>
  <c r="S113"/>
  <c r="S119" s="1"/>
  <c r="H134" i="98"/>
  <c r="S113"/>
  <c r="S119" s="1"/>
  <c r="H134" i="99"/>
  <c r="S113"/>
  <c r="S119" s="1"/>
  <c r="H134" i="100"/>
  <c r="S113"/>
  <c r="H134" i="101"/>
  <c r="S113"/>
  <c r="H134" i="46"/>
  <c r="S113"/>
  <c r="S119" s="1"/>
  <c r="H134" i="60"/>
  <c r="S113"/>
  <c r="S119" s="1"/>
  <c r="R120" i="101"/>
  <c r="T119" i="56"/>
  <c r="I55" i="128"/>
  <c r="I66" s="1"/>
  <c r="S592" i="105" s="1"/>
  <c r="I57" i="128"/>
  <c r="I68" s="1"/>
  <c r="S594" i="105" s="1"/>
  <c r="I56" i="128"/>
  <c r="I67" s="1"/>
  <c r="S593" i="105" s="1"/>
  <c r="I58" i="128"/>
  <c r="I69" s="1"/>
  <c r="S595" i="105" s="1"/>
  <c r="I54" i="128"/>
  <c r="I65" s="1"/>
  <c r="S591" i="105" s="1"/>
  <c r="K613" i="111"/>
  <c r="V613" s="1"/>
  <c r="I207" i="84"/>
  <c r="J48"/>
  <c r="R120" i="90"/>
  <c r="G140" i="41"/>
  <c r="R120" s="1"/>
  <c r="G59"/>
  <c r="I104" i="88"/>
  <c r="T84" s="1"/>
  <c r="R120" i="49"/>
  <c r="R120" i="54"/>
  <c r="S84" i="75"/>
  <c r="I105" i="92"/>
  <c r="H105" i="49"/>
  <c r="R120" i="68"/>
  <c r="S84" i="82"/>
  <c r="F141" i="108"/>
  <c r="R120" i="109"/>
  <c r="S84" i="39"/>
  <c r="G64"/>
  <c r="Q26" i="105" s="1"/>
  <c r="T84" i="56"/>
  <c r="R120" i="108"/>
  <c r="R120" i="45"/>
  <c r="S84" i="40"/>
  <c r="R120" i="82"/>
  <c r="S119" i="75"/>
  <c r="I105" i="94"/>
  <c r="S84" i="86"/>
  <c r="R120" i="39"/>
  <c r="I104" i="44"/>
  <c r="S119"/>
  <c r="T119" i="92"/>
  <c r="R120" i="100"/>
  <c r="H54" i="104"/>
  <c r="H65" s="1"/>
  <c r="H148" s="1"/>
  <c r="I104" i="128"/>
  <c r="I105" s="1"/>
  <c r="H56" i="63"/>
  <c r="H67" s="1"/>
  <c r="G141" i="49"/>
  <c r="H105" i="90"/>
  <c r="I104" i="97"/>
  <c r="T84" s="1"/>
  <c r="I104" i="46"/>
  <c r="I105" s="1"/>
  <c r="H58" i="63"/>
  <c r="H69" s="1"/>
  <c r="H144" s="1"/>
  <c r="I104" i="83"/>
  <c r="I105" s="1"/>
  <c r="S84" i="128"/>
  <c r="H105" i="44"/>
  <c r="H55" i="63"/>
  <c r="I104" i="75"/>
  <c r="T84" s="1"/>
  <c r="I104" i="85"/>
  <c r="I105" s="1"/>
  <c r="S119" i="86"/>
  <c r="I104"/>
  <c r="T84" s="1"/>
  <c r="I104" i="38"/>
  <c r="T84" s="1"/>
  <c r="S119" i="39"/>
  <c r="I104" i="47"/>
  <c r="T84" s="1"/>
  <c r="I104" i="49"/>
  <c r="I105" s="1"/>
  <c r="H57" i="63"/>
  <c r="H68" s="1"/>
  <c r="H143" s="1"/>
  <c r="H66" i="32"/>
  <c r="R10" i="105" s="1"/>
  <c r="H54" i="63"/>
  <c r="H65" s="1"/>
  <c r="H140" s="1"/>
  <c r="H55" i="104"/>
  <c r="H66" s="1"/>
  <c r="H149" s="1"/>
  <c r="H56"/>
  <c r="H67" s="1"/>
  <c r="H150" s="1"/>
  <c r="S119" i="82"/>
  <c r="T119" i="94"/>
  <c r="I104" i="100"/>
  <c r="T84" s="1"/>
  <c r="I104" i="108"/>
  <c r="T84" s="1"/>
  <c r="S119" i="40"/>
  <c r="S119" i="49"/>
  <c r="I104" i="59"/>
  <c r="T84" s="1"/>
  <c r="H58" i="104"/>
  <c r="H69" s="1"/>
  <c r="H57"/>
  <c r="H68" s="1"/>
  <c r="H151" s="1"/>
  <c r="I45" i="63"/>
  <c r="I46"/>
  <c r="I47" i="104"/>
  <c r="I43" i="63"/>
  <c r="I44"/>
  <c r="I46" i="104"/>
  <c r="I43"/>
  <c r="I45"/>
  <c r="I47" i="63"/>
  <c r="I44" i="104"/>
  <c r="G54" i="48"/>
  <c r="G140"/>
  <c r="G55" i="83"/>
  <c r="G140"/>
  <c r="G57" i="52"/>
  <c r="G140"/>
  <c r="R120" s="1"/>
  <c r="G141"/>
  <c r="G207"/>
  <c r="G54" i="55"/>
  <c r="G140"/>
  <c r="F141" i="47"/>
  <c r="S119" i="83"/>
  <c r="H53"/>
  <c r="H140"/>
  <c r="I48"/>
  <c r="I207" s="1"/>
  <c r="H207"/>
  <c r="L303" i="106" a="1"/>
  <c r="L310" s="1"/>
  <c r="L310" i="135" s="1"/>
  <c r="L327" i="106" a="1"/>
  <c r="L334" s="1"/>
  <c r="L334" i="135" s="1"/>
  <c r="L339" i="106" a="1"/>
  <c r="L92" a="1"/>
  <c r="N100" s="1"/>
  <c r="N100" i="135" s="1"/>
  <c r="L104" i="106" a="1"/>
  <c r="M112" s="1"/>
  <c r="L214" a="1"/>
  <c r="L238" a="1"/>
  <c r="M246" s="1"/>
  <c r="M246" i="135" s="1"/>
  <c r="L250" i="106" a="1"/>
  <c r="L259" s="1"/>
  <c r="L259" i="135" s="1"/>
  <c r="L274" i="106" a="1"/>
  <c r="M283" s="1"/>
  <c r="M283" i="135" s="1"/>
  <c r="F141" i="72"/>
  <c r="L730" i="106" a="1"/>
  <c r="N739" s="1"/>
  <c r="N739" i="135" s="1"/>
  <c r="L461" i="106" a="1"/>
  <c r="L534" a="1"/>
  <c r="L542" s="1"/>
  <c r="L542" i="135" s="1"/>
  <c r="L570" i="106" a="1"/>
  <c r="L577" s="1"/>
  <c r="L577" i="135" s="1"/>
  <c r="L742" i="106" a="1"/>
  <c r="L786" a="1"/>
  <c r="M793" s="1"/>
  <c r="M793" i="135" s="1"/>
  <c r="L8" i="106" a="1"/>
  <c r="L16" s="1"/>
  <c r="L16" i="135" s="1"/>
  <c r="L20" i="106" a="1"/>
  <c r="N28" s="1"/>
  <c r="N28" i="135" s="1"/>
  <c r="L32" i="106" a="1"/>
  <c r="M39" s="1"/>
  <c r="M39" i="135" s="1"/>
  <c r="L56" i="106" a="1"/>
  <c r="N65" s="1"/>
  <c r="N65" i="135" s="1"/>
  <c r="F141" i="73"/>
  <c r="S84" i="91"/>
  <c r="G141" i="100"/>
  <c r="F133" i="63"/>
  <c r="G141" i="81"/>
  <c r="N320" i="105"/>
  <c r="M376" i="130"/>
  <c r="M41" i="131" s="1"/>
  <c r="N196" i="105"/>
  <c r="N246"/>
  <c r="N255"/>
  <c r="N151"/>
  <c r="M225"/>
  <c r="M15" i="131"/>
  <c r="M606" i="130"/>
  <c r="M606" i="105"/>
  <c r="M551"/>
  <c r="Q120" i="78"/>
  <c r="G48" i="63"/>
  <c r="G48" i="104"/>
  <c r="F87"/>
  <c r="M30" i="131"/>
  <c r="M512" i="130"/>
  <c r="M45" i="131"/>
  <c r="M512" i="105"/>
  <c r="M376"/>
  <c r="M42" i="131"/>
  <c r="M225" i="130"/>
  <c r="M551"/>
  <c r="M35" i="131"/>
  <c r="M36" s="1"/>
  <c r="M53"/>
  <c r="M97" i="130"/>
  <c r="M12" i="131"/>
  <c r="M38"/>
  <c r="M14"/>
  <c r="N511" i="105"/>
  <c r="P466"/>
  <c r="N356"/>
  <c r="N41"/>
  <c r="N540"/>
  <c r="N430"/>
  <c r="N133"/>
  <c r="N59"/>
  <c r="N457"/>
  <c r="P374"/>
  <c r="N302"/>
  <c r="N160"/>
  <c r="N86"/>
  <c r="N412"/>
  <c r="N77"/>
  <c r="N502"/>
  <c r="N448"/>
  <c r="N311"/>
  <c r="O578"/>
  <c r="N329"/>
  <c r="N95"/>
  <c r="N23"/>
  <c r="N421"/>
  <c r="N338"/>
  <c r="N283"/>
  <c r="N124"/>
  <c r="M265" i="130"/>
  <c r="M284"/>
  <c r="B424" i="135"/>
  <c r="B322" i="130"/>
  <c r="B129" i="135"/>
  <c r="B99" i="130"/>
  <c r="N475" i="105"/>
  <c r="N394"/>
  <c r="N264"/>
  <c r="N205"/>
  <c r="N578"/>
  <c r="P448"/>
  <c r="N223"/>
  <c r="N68"/>
  <c r="N587"/>
  <c r="O338"/>
  <c r="N214"/>
  <c r="P95"/>
  <c r="N549"/>
  <c r="C514" i="111"/>
  <c r="C412" i="135"/>
  <c r="L286" i="106" a="1"/>
  <c r="L294" s="1"/>
  <c r="L286" i="135" a="1"/>
  <c r="C142" i="111"/>
  <c r="C115" i="135"/>
  <c r="D147" i="104"/>
  <c r="D153" s="1"/>
  <c r="E64"/>
  <c r="G151"/>
  <c r="G148"/>
  <c r="F141" i="60"/>
  <c r="G142" i="63"/>
  <c r="V69" i="111"/>
  <c r="S69"/>
  <c r="Q69"/>
  <c r="R69"/>
  <c r="H42" i="104"/>
  <c r="T69" i="111"/>
  <c r="U69"/>
  <c r="R119" i="75"/>
  <c r="R119" i="79"/>
  <c r="S119" i="90"/>
  <c r="S119" i="95"/>
  <c r="R119" i="96"/>
  <c r="R119" i="127"/>
  <c r="R119" i="32"/>
  <c r="R119" i="38"/>
  <c r="R119" i="43"/>
  <c r="S119" i="48"/>
  <c r="R119" i="58"/>
  <c r="I491" i="111"/>
  <c r="T491" s="1"/>
  <c r="F491"/>
  <c r="Q491" s="1"/>
  <c r="I490"/>
  <c r="T490" s="1"/>
  <c r="F490"/>
  <c r="Q490" s="1"/>
  <c r="I489"/>
  <c r="T489" s="1"/>
  <c r="F489"/>
  <c r="Q489" s="1"/>
  <c r="I488"/>
  <c r="T488" s="1"/>
  <c r="F488"/>
  <c r="Q488" s="1"/>
  <c r="I487"/>
  <c r="T487" s="1"/>
  <c r="F487"/>
  <c r="Q487" s="1"/>
  <c r="I486"/>
  <c r="T486" s="1"/>
  <c r="F486"/>
  <c r="Q486" s="1"/>
  <c r="K491"/>
  <c r="V491" s="1"/>
  <c r="H491"/>
  <c r="S491" s="1"/>
  <c r="E491"/>
  <c r="K490"/>
  <c r="V490" s="1"/>
  <c r="H490"/>
  <c r="S490" s="1"/>
  <c r="E490"/>
  <c r="K489"/>
  <c r="V489" s="1"/>
  <c r="H489"/>
  <c r="S489" s="1"/>
  <c r="E489"/>
  <c r="K488"/>
  <c r="V488" s="1"/>
  <c r="H488"/>
  <c r="S488" s="1"/>
  <c r="E488"/>
  <c r="K487"/>
  <c r="V487" s="1"/>
  <c r="H487"/>
  <c r="S487" s="1"/>
  <c r="E487"/>
  <c r="K486"/>
  <c r="V486" s="1"/>
  <c r="H486"/>
  <c r="S486" s="1"/>
  <c r="E486"/>
  <c r="G491"/>
  <c r="R491" s="1"/>
  <c r="G490"/>
  <c r="R490" s="1"/>
  <c r="G489"/>
  <c r="R489" s="1"/>
  <c r="G487"/>
  <c r="R487" s="1"/>
  <c r="G486"/>
  <c r="R486" s="1"/>
  <c r="J491"/>
  <c r="U491" s="1"/>
  <c r="J490"/>
  <c r="U490" s="1"/>
  <c r="J489"/>
  <c r="U489" s="1"/>
  <c r="J488"/>
  <c r="U488" s="1"/>
  <c r="J487"/>
  <c r="U487" s="1"/>
  <c r="J486"/>
  <c r="U486" s="1"/>
  <c r="G488"/>
  <c r="R488" s="1"/>
  <c r="K778"/>
  <c r="V778" s="1"/>
  <c r="H778"/>
  <c r="S778" s="1"/>
  <c r="E778"/>
  <c r="K777"/>
  <c r="V777" s="1"/>
  <c r="H777"/>
  <c r="S777" s="1"/>
  <c r="E777"/>
  <c r="K776"/>
  <c r="V776" s="1"/>
  <c r="H776"/>
  <c r="S776" s="1"/>
  <c r="E776"/>
  <c r="K775"/>
  <c r="V775" s="1"/>
  <c r="H775"/>
  <c r="S775" s="1"/>
  <c r="E775"/>
  <c r="K774"/>
  <c r="V774" s="1"/>
  <c r="H774"/>
  <c r="S774" s="1"/>
  <c r="E774"/>
  <c r="K773"/>
  <c r="V773" s="1"/>
  <c r="H773"/>
  <c r="S773" s="1"/>
  <c r="E773"/>
  <c r="G778"/>
  <c r="R778" s="1"/>
  <c r="G777"/>
  <c r="R777" s="1"/>
  <c r="G776"/>
  <c r="R776" s="1"/>
  <c r="G775"/>
  <c r="R775" s="1"/>
  <c r="G774"/>
  <c r="R774" s="1"/>
  <c r="G773"/>
  <c r="R773" s="1"/>
  <c r="J778"/>
  <c r="U778" s="1"/>
  <c r="F778"/>
  <c r="Q778" s="1"/>
  <c r="J777"/>
  <c r="U777" s="1"/>
  <c r="F777"/>
  <c r="Q777" s="1"/>
  <c r="J776"/>
  <c r="U776" s="1"/>
  <c r="F776"/>
  <c r="Q776" s="1"/>
  <c r="J775"/>
  <c r="U775" s="1"/>
  <c r="F775"/>
  <c r="Q775" s="1"/>
  <c r="J774"/>
  <c r="U774" s="1"/>
  <c r="F774"/>
  <c r="Q774" s="1"/>
  <c r="J773"/>
  <c r="U773" s="1"/>
  <c r="F773"/>
  <c r="Q773" s="1"/>
  <c r="I778"/>
  <c r="T778" s="1"/>
  <c r="I777"/>
  <c r="T777" s="1"/>
  <c r="I776"/>
  <c r="T776" s="1"/>
  <c r="I775"/>
  <c r="T775" s="1"/>
  <c r="I774"/>
  <c r="T774" s="1"/>
  <c r="I773"/>
  <c r="T773" s="1"/>
  <c r="I476"/>
  <c r="T476" s="1"/>
  <c r="F476"/>
  <c r="Q476" s="1"/>
  <c r="I475"/>
  <c r="T475" s="1"/>
  <c r="F475"/>
  <c r="Q475" s="1"/>
  <c r="I474"/>
  <c r="T474" s="1"/>
  <c r="F474"/>
  <c r="Q474" s="1"/>
  <c r="I473"/>
  <c r="T473" s="1"/>
  <c r="F473"/>
  <c r="Q473" s="1"/>
  <c r="I472"/>
  <c r="T472" s="1"/>
  <c r="F472"/>
  <c r="Q472" s="1"/>
  <c r="I471"/>
  <c r="F471"/>
  <c r="K476"/>
  <c r="V476" s="1"/>
  <c r="H476"/>
  <c r="S476" s="1"/>
  <c r="E476"/>
  <c r="K475"/>
  <c r="V475" s="1"/>
  <c r="H475"/>
  <c r="S475" s="1"/>
  <c r="E475"/>
  <c r="K474"/>
  <c r="V474" s="1"/>
  <c r="H474"/>
  <c r="S474" s="1"/>
  <c r="E474"/>
  <c r="K473"/>
  <c r="V473" s="1"/>
  <c r="H473"/>
  <c r="S473" s="1"/>
  <c r="E473"/>
  <c r="K472"/>
  <c r="V472" s="1"/>
  <c r="H472"/>
  <c r="S472" s="1"/>
  <c r="E472"/>
  <c r="K471"/>
  <c r="H471"/>
  <c r="E471"/>
  <c r="G475"/>
  <c r="R475" s="1"/>
  <c r="G474"/>
  <c r="R474" s="1"/>
  <c r="G472"/>
  <c r="R472" s="1"/>
  <c r="G471"/>
  <c r="J476"/>
  <c r="U476" s="1"/>
  <c r="J475"/>
  <c r="U475" s="1"/>
  <c r="J474"/>
  <c r="U474" s="1"/>
  <c r="J473"/>
  <c r="U473" s="1"/>
  <c r="J472"/>
  <c r="U472" s="1"/>
  <c r="J471"/>
  <c r="G476"/>
  <c r="R476" s="1"/>
  <c r="G473"/>
  <c r="R473" s="1"/>
  <c r="I444"/>
  <c r="T444" s="1"/>
  <c r="F444"/>
  <c r="Q444" s="1"/>
  <c r="I443"/>
  <c r="T443" s="1"/>
  <c r="F443"/>
  <c r="Q443" s="1"/>
  <c r="I442"/>
  <c r="T442" s="1"/>
  <c r="F442"/>
  <c r="Q442" s="1"/>
  <c r="I441"/>
  <c r="T441" s="1"/>
  <c r="F441"/>
  <c r="Q441" s="1"/>
  <c r="I440"/>
  <c r="T440" s="1"/>
  <c r="F440"/>
  <c r="Q440" s="1"/>
  <c r="I439"/>
  <c r="F439"/>
  <c r="K444"/>
  <c r="V444" s="1"/>
  <c r="H444"/>
  <c r="S444" s="1"/>
  <c r="E444"/>
  <c r="K443"/>
  <c r="V443" s="1"/>
  <c r="H443"/>
  <c r="S443" s="1"/>
  <c r="E443"/>
  <c r="K442"/>
  <c r="V442" s="1"/>
  <c r="H442"/>
  <c r="S442" s="1"/>
  <c r="E442"/>
  <c r="K441"/>
  <c r="V441" s="1"/>
  <c r="H441"/>
  <c r="S441" s="1"/>
  <c r="E441"/>
  <c r="K440"/>
  <c r="V440" s="1"/>
  <c r="H440"/>
  <c r="S440" s="1"/>
  <c r="E440"/>
  <c r="K439"/>
  <c r="H439"/>
  <c r="E439"/>
  <c r="G444"/>
  <c r="R444" s="1"/>
  <c r="G443"/>
  <c r="R443" s="1"/>
  <c r="G442"/>
  <c r="R442" s="1"/>
  <c r="G441"/>
  <c r="R441" s="1"/>
  <c r="G440"/>
  <c r="R440" s="1"/>
  <c r="G439"/>
  <c r="J444"/>
  <c r="U444" s="1"/>
  <c r="J443"/>
  <c r="U443" s="1"/>
  <c r="J442"/>
  <c r="U442" s="1"/>
  <c r="J441"/>
  <c r="U441" s="1"/>
  <c r="J440"/>
  <c r="U440" s="1"/>
  <c r="J439"/>
  <c r="I459"/>
  <c r="T459" s="1"/>
  <c r="F459"/>
  <c r="Q459" s="1"/>
  <c r="I458"/>
  <c r="T458" s="1"/>
  <c r="F458"/>
  <c r="Q458" s="1"/>
  <c r="I457"/>
  <c r="T457" s="1"/>
  <c r="F457"/>
  <c r="Q457" s="1"/>
  <c r="I456"/>
  <c r="T456" s="1"/>
  <c r="F456"/>
  <c r="Q456" s="1"/>
  <c r="I455"/>
  <c r="T455" s="1"/>
  <c r="F455"/>
  <c r="Q455" s="1"/>
  <c r="I454"/>
  <c r="T454" s="1"/>
  <c r="F454"/>
  <c r="Q454" s="1"/>
  <c r="K459"/>
  <c r="V459" s="1"/>
  <c r="H459"/>
  <c r="S459" s="1"/>
  <c r="E459"/>
  <c r="K458"/>
  <c r="V458" s="1"/>
  <c r="H458"/>
  <c r="S458" s="1"/>
  <c r="E458"/>
  <c r="K457"/>
  <c r="V457" s="1"/>
  <c r="H457"/>
  <c r="S457" s="1"/>
  <c r="E457"/>
  <c r="K456"/>
  <c r="V456" s="1"/>
  <c r="H456"/>
  <c r="S456" s="1"/>
  <c r="E456"/>
  <c r="K455"/>
  <c r="V455" s="1"/>
  <c r="H455"/>
  <c r="S455" s="1"/>
  <c r="E455"/>
  <c r="K454"/>
  <c r="V454" s="1"/>
  <c r="H454"/>
  <c r="S454" s="1"/>
  <c r="E454"/>
  <c r="G459"/>
  <c r="R459" s="1"/>
  <c r="G458"/>
  <c r="R458" s="1"/>
  <c r="G457"/>
  <c r="R457" s="1"/>
  <c r="G456"/>
  <c r="R456" s="1"/>
  <c r="G455"/>
  <c r="R455" s="1"/>
  <c r="G454"/>
  <c r="R454" s="1"/>
  <c r="J459"/>
  <c r="U459" s="1"/>
  <c r="J458"/>
  <c r="U458" s="1"/>
  <c r="J457"/>
  <c r="U457" s="1"/>
  <c r="J456"/>
  <c r="U456" s="1"/>
  <c r="J455"/>
  <c r="U455" s="1"/>
  <c r="J454"/>
  <c r="U454" s="1"/>
  <c r="J89"/>
  <c r="U89" s="1"/>
  <c r="G89"/>
  <c r="R89" s="1"/>
  <c r="J88"/>
  <c r="U88" s="1"/>
  <c r="G88"/>
  <c r="R88" s="1"/>
  <c r="J87"/>
  <c r="U87" s="1"/>
  <c r="G87"/>
  <c r="R87" s="1"/>
  <c r="J86"/>
  <c r="U86" s="1"/>
  <c r="G86"/>
  <c r="R86" s="1"/>
  <c r="J85"/>
  <c r="U85" s="1"/>
  <c r="G85"/>
  <c r="R85" s="1"/>
  <c r="J84"/>
  <c r="G84"/>
  <c r="I89"/>
  <c r="T89" s="1"/>
  <c r="F89"/>
  <c r="Q89" s="1"/>
  <c r="I88"/>
  <c r="T88" s="1"/>
  <c r="F88"/>
  <c r="Q88" s="1"/>
  <c r="I87"/>
  <c r="T87" s="1"/>
  <c r="F87"/>
  <c r="Q87" s="1"/>
  <c r="I86"/>
  <c r="T86" s="1"/>
  <c r="F86"/>
  <c r="Q86" s="1"/>
  <c r="I85"/>
  <c r="T85" s="1"/>
  <c r="F85"/>
  <c r="Q85" s="1"/>
  <c r="I84"/>
  <c r="F84"/>
  <c r="K89"/>
  <c r="V89" s="1"/>
  <c r="K88"/>
  <c r="V88" s="1"/>
  <c r="K87"/>
  <c r="V87" s="1"/>
  <c r="K86"/>
  <c r="V86" s="1"/>
  <c r="K85"/>
  <c r="V85" s="1"/>
  <c r="K84"/>
  <c r="E89"/>
  <c r="E88"/>
  <c r="E87"/>
  <c r="E86"/>
  <c r="E85"/>
  <c r="E84"/>
  <c r="H89"/>
  <c r="S89" s="1"/>
  <c r="H88"/>
  <c r="S88" s="1"/>
  <c r="H87"/>
  <c r="S87" s="1"/>
  <c r="H86"/>
  <c r="S86" s="1"/>
  <c r="H85"/>
  <c r="S85" s="1"/>
  <c r="H84"/>
  <c r="K536"/>
  <c r="V536" s="1"/>
  <c r="H536"/>
  <c r="S536" s="1"/>
  <c r="E536"/>
  <c r="K535"/>
  <c r="V535" s="1"/>
  <c r="H535"/>
  <c r="S535" s="1"/>
  <c r="E535"/>
  <c r="K534"/>
  <c r="V534" s="1"/>
  <c r="H534"/>
  <c r="S534" s="1"/>
  <c r="E534"/>
  <c r="K533"/>
  <c r="V533" s="1"/>
  <c r="H533"/>
  <c r="S533" s="1"/>
  <c r="E533"/>
  <c r="K532"/>
  <c r="V532" s="1"/>
  <c r="H532"/>
  <c r="S532" s="1"/>
  <c r="E532"/>
  <c r="K531"/>
  <c r="V531" s="1"/>
  <c r="H531"/>
  <c r="S531" s="1"/>
  <c r="E531"/>
  <c r="I536"/>
  <c r="T536" s="1"/>
  <c r="I535"/>
  <c r="T535" s="1"/>
  <c r="I534"/>
  <c r="T534" s="1"/>
  <c r="I533"/>
  <c r="T533" s="1"/>
  <c r="I532"/>
  <c r="T532" s="1"/>
  <c r="I531"/>
  <c r="T531" s="1"/>
  <c r="G536"/>
  <c r="R536" s="1"/>
  <c r="G535"/>
  <c r="R535" s="1"/>
  <c r="G534"/>
  <c r="R534" s="1"/>
  <c r="G533"/>
  <c r="R533" s="1"/>
  <c r="G532"/>
  <c r="R532" s="1"/>
  <c r="G531"/>
  <c r="R531" s="1"/>
  <c r="J535"/>
  <c r="U535" s="1"/>
  <c r="F534"/>
  <c r="Q534" s="1"/>
  <c r="J532"/>
  <c r="U532" s="1"/>
  <c r="F531"/>
  <c r="Q531" s="1"/>
  <c r="F536"/>
  <c r="Q536" s="1"/>
  <c r="J534"/>
  <c r="U534" s="1"/>
  <c r="F533"/>
  <c r="Q533" s="1"/>
  <c r="J531"/>
  <c r="U531" s="1"/>
  <c r="J536"/>
  <c r="U536" s="1"/>
  <c r="F535"/>
  <c r="Q535" s="1"/>
  <c r="J533"/>
  <c r="U533" s="1"/>
  <c r="F532"/>
  <c r="Q532" s="1"/>
  <c r="J104"/>
  <c r="U104" s="1"/>
  <c r="G104"/>
  <c r="R104" s="1"/>
  <c r="J103"/>
  <c r="U103" s="1"/>
  <c r="G103"/>
  <c r="R103" s="1"/>
  <c r="J102"/>
  <c r="U102" s="1"/>
  <c r="G102"/>
  <c r="R102" s="1"/>
  <c r="J101"/>
  <c r="U101" s="1"/>
  <c r="G101"/>
  <c r="R101" s="1"/>
  <c r="J100"/>
  <c r="U100" s="1"/>
  <c r="G100"/>
  <c r="R100" s="1"/>
  <c r="J99"/>
  <c r="U99" s="1"/>
  <c r="G99"/>
  <c r="R99" s="1"/>
  <c r="I104"/>
  <c r="T104" s="1"/>
  <c r="F104"/>
  <c r="Q104" s="1"/>
  <c r="I103"/>
  <c r="T103" s="1"/>
  <c r="F103"/>
  <c r="Q103" s="1"/>
  <c r="I102"/>
  <c r="T102" s="1"/>
  <c r="F102"/>
  <c r="Q102" s="1"/>
  <c r="I101"/>
  <c r="T101" s="1"/>
  <c r="F101"/>
  <c r="Q101" s="1"/>
  <c r="I100"/>
  <c r="T100" s="1"/>
  <c r="F100"/>
  <c r="Q100" s="1"/>
  <c r="I99"/>
  <c r="T99" s="1"/>
  <c r="F99"/>
  <c r="Q99" s="1"/>
  <c r="E104"/>
  <c r="E103"/>
  <c r="E102"/>
  <c r="E101"/>
  <c r="E100"/>
  <c r="E99"/>
  <c r="H104"/>
  <c r="S104" s="1"/>
  <c r="H103"/>
  <c r="S103" s="1"/>
  <c r="H102"/>
  <c r="S102" s="1"/>
  <c r="H101"/>
  <c r="S101" s="1"/>
  <c r="H100"/>
  <c r="S100" s="1"/>
  <c r="H99"/>
  <c r="S99" s="1"/>
  <c r="K104"/>
  <c r="V104" s="1"/>
  <c r="K103"/>
  <c r="V103" s="1"/>
  <c r="K102"/>
  <c r="V102" s="1"/>
  <c r="K101"/>
  <c r="V101" s="1"/>
  <c r="K100"/>
  <c r="V100" s="1"/>
  <c r="K99"/>
  <c r="V99" s="1"/>
  <c r="S119" i="69"/>
  <c r="R119" i="86"/>
  <c r="S119" i="92"/>
  <c r="E765" i="111" a="1"/>
  <c r="S119" i="94"/>
  <c r="E795" i="111" a="1"/>
  <c r="R119" i="42"/>
  <c r="S119" i="52"/>
  <c r="R119" i="53"/>
  <c r="S119" i="56"/>
  <c r="E303" i="111" a="1"/>
  <c r="K748"/>
  <c r="V748" s="1"/>
  <c r="H748"/>
  <c r="S748" s="1"/>
  <c r="E748"/>
  <c r="K747"/>
  <c r="V747" s="1"/>
  <c r="H747"/>
  <c r="S747" s="1"/>
  <c r="E747"/>
  <c r="K746"/>
  <c r="V746" s="1"/>
  <c r="H746"/>
  <c r="S746" s="1"/>
  <c r="E746"/>
  <c r="K745"/>
  <c r="V745" s="1"/>
  <c r="H745"/>
  <c r="S745" s="1"/>
  <c r="E745"/>
  <c r="K744"/>
  <c r="V744" s="1"/>
  <c r="H744"/>
  <c r="S744" s="1"/>
  <c r="E744"/>
  <c r="K743"/>
  <c r="V743" s="1"/>
  <c r="H743"/>
  <c r="S743" s="1"/>
  <c r="E743"/>
  <c r="J748"/>
  <c r="U748" s="1"/>
  <c r="F748"/>
  <c r="Q748" s="1"/>
  <c r="J747"/>
  <c r="U747" s="1"/>
  <c r="F747"/>
  <c r="Q747" s="1"/>
  <c r="J746"/>
  <c r="U746" s="1"/>
  <c r="F746"/>
  <c r="Q746" s="1"/>
  <c r="J745"/>
  <c r="U745" s="1"/>
  <c r="F745"/>
  <c r="Q745" s="1"/>
  <c r="J744"/>
  <c r="U744" s="1"/>
  <c r="F744"/>
  <c r="Q744" s="1"/>
  <c r="J743"/>
  <c r="U743" s="1"/>
  <c r="F743"/>
  <c r="Q743" s="1"/>
  <c r="I748"/>
  <c r="T748" s="1"/>
  <c r="I747"/>
  <c r="T747" s="1"/>
  <c r="I746"/>
  <c r="T746" s="1"/>
  <c r="I745"/>
  <c r="T745" s="1"/>
  <c r="I744"/>
  <c r="T744" s="1"/>
  <c r="I743"/>
  <c r="T743" s="1"/>
  <c r="G747"/>
  <c r="R747" s="1"/>
  <c r="G744"/>
  <c r="R744" s="1"/>
  <c r="G748"/>
  <c r="R748" s="1"/>
  <c r="G745"/>
  <c r="R745" s="1"/>
  <c r="G743"/>
  <c r="R743" s="1"/>
  <c r="G746"/>
  <c r="R746" s="1"/>
  <c r="K703"/>
  <c r="V703" s="1"/>
  <c r="H703"/>
  <c r="S703" s="1"/>
  <c r="E703"/>
  <c r="K702"/>
  <c r="V702" s="1"/>
  <c r="H702"/>
  <c r="S702" s="1"/>
  <c r="E702"/>
  <c r="K701"/>
  <c r="V701" s="1"/>
  <c r="H701"/>
  <c r="S701" s="1"/>
  <c r="E701"/>
  <c r="K700"/>
  <c r="V700" s="1"/>
  <c r="H700"/>
  <c r="S700" s="1"/>
  <c r="E700"/>
  <c r="K699"/>
  <c r="V699" s="1"/>
  <c r="H699"/>
  <c r="S699" s="1"/>
  <c r="E699"/>
  <c r="K698"/>
  <c r="V698" s="1"/>
  <c r="H698"/>
  <c r="S698" s="1"/>
  <c r="E698"/>
  <c r="J703"/>
  <c r="U703" s="1"/>
  <c r="G703"/>
  <c r="R703" s="1"/>
  <c r="J702"/>
  <c r="U702" s="1"/>
  <c r="G702"/>
  <c r="R702" s="1"/>
  <c r="J701"/>
  <c r="U701" s="1"/>
  <c r="G701"/>
  <c r="R701" s="1"/>
  <c r="J700"/>
  <c r="U700" s="1"/>
  <c r="G700"/>
  <c r="R700" s="1"/>
  <c r="J699"/>
  <c r="U699" s="1"/>
  <c r="G699"/>
  <c r="R699" s="1"/>
  <c r="J698"/>
  <c r="U698" s="1"/>
  <c r="G698"/>
  <c r="R698" s="1"/>
  <c r="I703"/>
  <c r="T703" s="1"/>
  <c r="I702"/>
  <c r="T702" s="1"/>
  <c r="I701"/>
  <c r="T701" s="1"/>
  <c r="I700"/>
  <c r="T700" s="1"/>
  <c r="I699"/>
  <c r="T699" s="1"/>
  <c r="I698"/>
  <c r="T698" s="1"/>
  <c r="F702"/>
  <c r="Q702" s="1"/>
  <c r="F699"/>
  <c r="Q699" s="1"/>
  <c r="F703"/>
  <c r="Q703" s="1"/>
  <c r="F700"/>
  <c r="Q700" s="1"/>
  <c r="F701"/>
  <c r="Q701" s="1"/>
  <c r="F698"/>
  <c r="Q698" s="1"/>
  <c r="J59"/>
  <c r="U59" s="1"/>
  <c r="G59"/>
  <c r="R59" s="1"/>
  <c r="J58"/>
  <c r="U58" s="1"/>
  <c r="G58"/>
  <c r="R58" s="1"/>
  <c r="J57"/>
  <c r="U57" s="1"/>
  <c r="G57"/>
  <c r="R57" s="1"/>
  <c r="J56"/>
  <c r="U56" s="1"/>
  <c r="G56"/>
  <c r="R56" s="1"/>
  <c r="J55"/>
  <c r="U55" s="1"/>
  <c r="G55"/>
  <c r="R55" s="1"/>
  <c r="J54"/>
  <c r="G54"/>
  <c r="I59"/>
  <c r="T59" s="1"/>
  <c r="F59"/>
  <c r="Q59" s="1"/>
  <c r="I58"/>
  <c r="T58" s="1"/>
  <c r="F58"/>
  <c r="Q58" s="1"/>
  <c r="I57"/>
  <c r="T57" s="1"/>
  <c r="F57"/>
  <c r="Q57" s="1"/>
  <c r="I56"/>
  <c r="T56" s="1"/>
  <c r="F56"/>
  <c r="Q56" s="1"/>
  <c r="I55"/>
  <c r="T55" s="1"/>
  <c r="F55"/>
  <c r="Q55" s="1"/>
  <c r="I54"/>
  <c r="F54"/>
  <c r="E59"/>
  <c r="E58"/>
  <c r="E57"/>
  <c r="E56"/>
  <c r="E55"/>
  <c r="E54"/>
  <c r="H59"/>
  <c r="S59" s="1"/>
  <c r="H58"/>
  <c r="S58" s="1"/>
  <c r="H57"/>
  <c r="S57" s="1"/>
  <c r="H56"/>
  <c r="S56" s="1"/>
  <c r="H55"/>
  <c r="S55" s="1"/>
  <c r="H54"/>
  <c r="K59"/>
  <c r="V59" s="1"/>
  <c r="K58"/>
  <c r="V58" s="1"/>
  <c r="K57"/>
  <c r="V57" s="1"/>
  <c r="K56"/>
  <c r="V56" s="1"/>
  <c r="K55"/>
  <c r="V55" s="1"/>
  <c r="K54"/>
  <c r="I331"/>
  <c r="T331" s="1"/>
  <c r="F331"/>
  <c r="Q331" s="1"/>
  <c r="I330"/>
  <c r="T330" s="1"/>
  <c r="F330"/>
  <c r="Q330" s="1"/>
  <c r="I329"/>
  <c r="T329" s="1"/>
  <c r="F329"/>
  <c r="Q329" s="1"/>
  <c r="I328"/>
  <c r="T328" s="1"/>
  <c r="F328"/>
  <c r="Q328" s="1"/>
  <c r="I327"/>
  <c r="T327" s="1"/>
  <c r="F327"/>
  <c r="Q327" s="1"/>
  <c r="I326"/>
  <c r="T326" s="1"/>
  <c r="F326"/>
  <c r="Q326" s="1"/>
  <c r="K331"/>
  <c r="V331" s="1"/>
  <c r="H331"/>
  <c r="S331" s="1"/>
  <c r="E331"/>
  <c r="K330"/>
  <c r="V330" s="1"/>
  <c r="H330"/>
  <c r="S330" s="1"/>
  <c r="E330"/>
  <c r="K329"/>
  <c r="V329" s="1"/>
  <c r="H329"/>
  <c r="S329" s="1"/>
  <c r="E329"/>
  <c r="K328"/>
  <c r="V328" s="1"/>
  <c r="H328"/>
  <c r="S328" s="1"/>
  <c r="E328"/>
  <c r="K327"/>
  <c r="V327" s="1"/>
  <c r="H327"/>
  <c r="S327" s="1"/>
  <c r="E327"/>
  <c r="K326"/>
  <c r="V326" s="1"/>
  <c r="H326"/>
  <c r="S326" s="1"/>
  <c r="E326"/>
  <c r="G331"/>
  <c r="R331" s="1"/>
  <c r="G330"/>
  <c r="R330" s="1"/>
  <c r="G329"/>
  <c r="R329" s="1"/>
  <c r="G328"/>
  <c r="R328" s="1"/>
  <c r="G327"/>
  <c r="R327" s="1"/>
  <c r="G326"/>
  <c r="R326" s="1"/>
  <c r="J331"/>
  <c r="U331" s="1"/>
  <c r="J330"/>
  <c r="U330" s="1"/>
  <c r="J329"/>
  <c r="U329" s="1"/>
  <c r="J328"/>
  <c r="U328" s="1"/>
  <c r="J327"/>
  <c r="U327" s="1"/>
  <c r="J326"/>
  <c r="U326" s="1"/>
  <c r="I427"/>
  <c r="T427" s="1"/>
  <c r="F427"/>
  <c r="Q427" s="1"/>
  <c r="I426"/>
  <c r="T426" s="1"/>
  <c r="F426"/>
  <c r="Q426" s="1"/>
  <c r="I425"/>
  <c r="T425" s="1"/>
  <c r="F425"/>
  <c r="Q425" s="1"/>
  <c r="I424"/>
  <c r="T424" s="1"/>
  <c r="F424"/>
  <c r="Q424" s="1"/>
  <c r="I423"/>
  <c r="T423" s="1"/>
  <c r="F423"/>
  <c r="Q423" s="1"/>
  <c r="I422"/>
  <c r="T422" s="1"/>
  <c r="F422"/>
  <c r="Q422" s="1"/>
  <c r="K427"/>
  <c r="V427" s="1"/>
  <c r="H427"/>
  <c r="S427" s="1"/>
  <c r="E427"/>
  <c r="K426"/>
  <c r="V426" s="1"/>
  <c r="H426"/>
  <c r="S426" s="1"/>
  <c r="E426"/>
  <c r="K425"/>
  <c r="V425" s="1"/>
  <c r="H425"/>
  <c r="S425" s="1"/>
  <c r="E425"/>
  <c r="K424"/>
  <c r="V424" s="1"/>
  <c r="H424"/>
  <c r="S424" s="1"/>
  <c r="E424"/>
  <c r="K423"/>
  <c r="V423" s="1"/>
  <c r="H423"/>
  <c r="S423" s="1"/>
  <c r="E423"/>
  <c r="K422"/>
  <c r="V422" s="1"/>
  <c r="H422"/>
  <c r="S422" s="1"/>
  <c r="E422"/>
  <c r="J427"/>
  <c r="U427" s="1"/>
  <c r="J426"/>
  <c r="U426" s="1"/>
  <c r="J425"/>
  <c r="U425" s="1"/>
  <c r="J424"/>
  <c r="U424" s="1"/>
  <c r="J423"/>
  <c r="U423" s="1"/>
  <c r="J422"/>
  <c r="U422" s="1"/>
  <c r="G427"/>
  <c r="R427" s="1"/>
  <c r="G426"/>
  <c r="R426" s="1"/>
  <c r="G425"/>
  <c r="R425" s="1"/>
  <c r="G424"/>
  <c r="R424" s="1"/>
  <c r="G423"/>
  <c r="R423" s="1"/>
  <c r="G422"/>
  <c r="R422" s="1"/>
  <c r="B424" i="106"/>
  <c r="B529" i="111"/>
  <c r="B129" i="106"/>
  <c r="B159" i="111"/>
  <c r="S119" i="68"/>
  <c r="R119" i="85"/>
  <c r="S119" i="89"/>
  <c r="R119" i="97"/>
  <c r="S119" i="129"/>
  <c r="R119" i="40"/>
  <c r="S119" i="41"/>
  <c r="R119" i="46"/>
  <c r="S119" i="51"/>
  <c r="S119" i="55"/>
  <c r="J917" i="111"/>
  <c r="U917" s="1"/>
  <c r="G917"/>
  <c r="R917" s="1"/>
  <c r="J916"/>
  <c r="U916" s="1"/>
  <c r="G916"/>
  <c r="R916" s="1"/>
  <c r="J915"/>
  <c r="U915" s="1"/>
  <c r="G915"/>
  <c r="R915" s="1"/>
  <c r="J914"/>
  <c r="U914" s="1"/>
  <c r="G914"/>
  <c r="R914" s="1"/>
  <c r="J913"/>
  <c r="U913" s="1"/>
  <c r="G913"/>
  <c r="R913" s="1"/>
  <c r="J912"/>
  <c r="G912"/>
  <c r="I917"/>
  <c r="T917" s="1"/>
  <c r="F917"/>
  <c r="Q917" s="1"/>
  <c r="I916"/>
  <c r="T916" s="1"/>
  <c r="F916"/>
  <c r="Q916" s="1"/>
  <c r="I915"/>
  <c r="T915" s="1"/>
  <c r="F915"/>
  <c r="Q915" s="1"/>
  <c r="I914"/>
  <c r="T914" s="1"/>
  <c r="F914"/>
  <c r="Q914" s="1"/>
  <c r="I913"/>
  <c r="T913" s="1"/>
  <c r="F913"/>
  <c r="Q913" s="1"/>
  <c r="I912"/>
  <c r="F912"/>
  <c r="E917"/>
  <c r="E916"/>
  <c r="E915"/>
  <c r="E914"/>
  <c r="E913"/>
  <c r="E912"/>
  <c r="K917"/>
  <c r="V917" s="1"/>
  <c r="K916"/>
  <c r="V916" s="1"/>
  <c r="K915"/>
  <c r="V915" s="1"/>
  <c r="K914"/>
  <c r="V914" s="1"/>
  <c r="K913"/>
  <c r="V913" s="1"/>
  <c r="K912"/>
  <c r="H916"/>
  <c r="S916" s="1"/>
  <c r="H913"/>
  <c r="S913" s="1"/>
  <c r="H915"/>
  <c r="S915" s="1"/>
  <c r="H912"/>
  <c r="H914"/>
  <c r="S914" s="1"/>
  <c r="H917"/>
  <c r="S917" s="1"/>
  <c r="J870"/>
  <c r="U870" s="1"/>
  <c r="G870"/>
  <c r="R870" s="1"/>
  <c r="J869"/>
  <c r="U869" s="1"/>
  <c r="G869"/>
  <c r="R869" s="1"/>
  <c r="J868"/>
  <c r="U868" s="1"/>
  <c r="G868"/>
  <c r="R868" s="1"/>
  <c r="J867"/>
  <c r="U867" s="1"/>
  <c r="G867"/>
  <c r="R867" s="1"/>
  <c r="J866"/>
  <c r="U866" s="1"/>
  <c r="G866"/>
  <c r="R866" s="1"/>
  <c r="J865"/>
  <c r="U865" s="1"/>
  <c r="G865"/>
  <c r="R865" s="1"/>
  <c r="I870"/>
  <c r="T870" s="1"/>
  <c r="F870"/>
  <c r="Q870" s="1"/>
  <c r="I869"/>
  <c r="T869" s="1"/>
  <c r="F869"/>
  <c r="Q869" s="1"/>
  <c r="I868"/>
  <c r="T868" s="1"/>
  <c r="F868"/>
  <c r="Q868" s="1"/>
  <c r="I867"/>
  <c r="T867" s="1"/>
  <c r="F867"/>
  <c r="Q867" s="1"/>
  <c r="I866"/>
  <c r="T866" s="1"/>
  <c r="F866"/>
  <c r="Q866" s="1"/>
  <c r="I865"/>
  <c r="T865" s="1"/>
  <c r="F865"/>
  <c r="Q865" s="1"/>
  <c r="K870"/>
  <c r="V870" s="1"/>
  <c r="K869"/>
  <c r="V869" s="1"/>
  <c r="K868"/>
  <c r="V868" s="1"/>
  <c r="K867"/>
  <c r="V867" s="1"/>
  <c r="K866"/>
  <c r="V866" s="1"/>
  <c r="K865"/>
  <c r="V865" s="1"/>
  <c r="H870"/>
  <c r="S870" s="1"/>
  <c r="H869"/>
  <c r="S869" s="1"/>
  <c r="H868"/>
  <c r="S868" s="1"/>
  <c r="H867"/>
  <c r="S867" s="1"/>
  <c r="H866"/>
  <c r="S866" s="1"/>
  <c r="H865"/>
  <c r="S865" s="1"/>
  <c r="E868"/>
  <c r="E865"/>
  <c r="E870"/>
  <c r="E867"/>
  <c r="E866"/>
  <c r="E869"/>
  <c r="K688"/>
  <c r="V688" s="1"/>
  <c r="H688"/>
  <c r="S688" s="1"/>
  <c r="E688"/>
  <c r="K687"/>
  <c r="V687" s="1"/>
  <c r="H687"/>
  <c r="S687" s="1"/>
  <c r="E687"/>
  <c r="K686"/>
  <c r="V686" s="1"/>
  <c r="H686"/>
  <c r="S686" s="1"/>
  <c r="E686"/>
  <c r="K685"/>
  <c r="V685" s="1"/>
  <c r="H685"/>
  <c r="S685" s="1"/>
  <c r="E685"/>
  <c r="K684"/>
  <c r="V684" s="1"/>
  <c r="H684"/>
  <c r="S684" s="1"/>
  <c r="E684"/>
  <c r="K683"/>
  <c r="V683" s="1"/>
  <c r="H683"/>
  <c r="S683" s="1"/>
  <c r="E683"/>
  <c r="J688"/>
  <c r="U688" s="1"/>
  <c r="G688"/>
  <c r="R688" s="1"/>
  <c r="J687"/>
  <c r="U687" s="1"/>
  <c r="G687"/>
  <c r="R687" s="1"/>
  <c r="J686"/>
  <c r="U686" s="1"/>
  <c r="G686"/>
  <c r="R686" s="1"/>
  <c r="J685"/>
  <c r="U685" s="1"/>
  <c r="G685"/>
  <c r="R685" s="1"/>
  <c r="J684"/>
  <c r="U684" s="1"/>
  <c r="G684"/>
  <c r="R684" s="1"/>
  <c r="J683"/>
  <c r="U683" s="1"/>
  <c r="G683"/>
  <c r="R683" s="1"/>
  <c r="F688"/>
  <c r="Q688" s="1"/>
  <c r="F687"/>
  <c r="Q687" s="1"/>
  <c r="F686"/>
  <c r="Q686" s="1"/>
  <c r="F685"/>
  <c r="Q685" s="1"/>
  <c r="F684"/>
  <c r="Q684" s="1"/>
  <c r="F683"/>
  <c r="Q683" s="1"/>
  <c r="I688"/>
  <c r="T688" s="1"/>
  <c r="I685"/>
  <c r="T685" s="1"/>
  <c r="I686"/>
  <c r="T686" s="1"/>
  <c r="I683"/>
  <c r="T683" s="1"/>
  <c r="I687"/>
  <c r="T687" s="1"/>
  <c r="I684"/>
  <c r="T684" s="1"/>
  <c r="J14"/>
  <c r="U14" s="1"/>
  <c r="G14"/>
  <c r="R14" s="1"/>
  <c r="J13"/>
  <c r="U13" s="1"/>
  <c r="G13"/>
  <c r="R13" s="1"/>
  <c r="J12"/>
  <c r="U12" s="1"/>
  <c r="G12"/>
  <c r="R12" s="1"/>
  <c r="J11"/>
  <c r="U11" s="1"/>
  <c r="G11"/>
  <c r="R11" s="1"/>
  <c r="J10"/>
  <c r="U10" s="1"/>
  <c r="G10"/>
  <c r="R10" s="1"/>
  <c r="J9"/>
  <c r="G9"/>
  <c r="I14"/>
  <c r="T14" s="1"/>
  <c r="F14"/>
  <c r="Q14" s="1"/>
  <c r="I13"/>
  <c r="T13" s="1"/>
  <c r="F13"/>
  <c r="Q13" s="1"/>
  <c r="I12"/>
  <c r="T12" s="1"/>
  <c r="F12"/>
  <c r="Q12" s="1"/>
  <c r="I11"/>
  <c r="T11" s="1"/>
  <c r="F11"/>
  <c r="Q11" s="1"/>
  <c r="I10"/>
  <c r="T10" s="1"/>
  <c r="F10"/>
  <c r="Q10" s="1"/>
  <c r="I9"/>
  <c r="F9"/>
  <c r="E14"/>
  <c r="E13"/>
  <c r="E12"/>
  <c r="E11"/>
  <c r="E10"/>
  <c r="E9"/>
  <c r="H14"/>
  <c r="S14" s="1"/>
  <c r="H13"/>
  <c r="S13" s="1"/>
  <c r="H12"/>
  <c r="S12" s="1"/>
  <c r="H11"/>
  <c r="S11" s="1"/>
  <c r="H10"/>
  <c r="S10" s="1"/>
  <c r="H9"/>
  <c r="K14"/>
  <c r="V14" s="1"/>
  <c r="K13"/>
  <c r="V13" s="1"/>
  <c r="K12"/>
  <c r="V12" s="1"/>
  <c r="K11"/>
  <c r="V11" s="1"/>
  <c r="K10"/>
  <c r="V10" s="1"/>
  <c r="K9"/>
  <c r="K551"/>
  <c r="V551" s="1"/>
  <c r="H551"/>
  <c r="S551" s="1"/>
  <c r="E551"/>
  <c r="K550"/>
  <c r="V550" s="1"/>
  <c r="H550"/>
  <c r="S550" s="1"/>
  <c r="E550"/>
  <c r="K549"/>
  <c r="V549" s="1"/>
  <c r="H549"/>
  <c r="S549" s="1"/>
  <c r="E549"/>
  <c r="K548"/>
  <c r="V548" s="1"/>
  <c r="H548"/>
  <c r="S548" s="1"/>
  <c r="E548"/>
  <c r="K547"/>
  <c r="V547" s="1"/>
  <c r="H547"/>
  <c r="S547" s="1"/>
  <c r="E547"/>
  <c r="K546"/>
  <c r="V546" s="1"/>
  <c r="H546"/>
  <c r="S546" s="1"/>
  <c r="E546"/>
  <c r="G551"/>
  <c r="R551" s="1"/>
  <c r="G550"/>
  <c r="R550" s="1"/>
  <c r="G549"/>
  <c r="R549" s="1"/>
  <c r="G548"/>
  <c r="R548" s="1"/>
  <c r="G547"/>
  <c r="R547" s="1"/>
  <c r="G546"/>
  <c r="R546" s="1"/>
  <c r="J551"/>
  <c r="U551" s="1"/>
  <c r="F551"/>
  <c r="Q551" s="1"/>
  <c r="J550"/>
  <c r="U550" s="1"/>
  <c r="F550"/>
  <c r="Q550" s="1"/>
  <c r="J549"/>
  <c r="U549" s="1"/>
  <c r="F549"/>
  <c r="Q549" s="1"/>
  <c r="J548"/>
  <c r="U548" s="1"/>
  <c r="F548"/>
  <c r="Q548" s="1"/>
  <c r="J547"/>
  <c r="U547" s="1"/>
  <c r="F547"/>
  <c r="Q547" s="1"/>
  <c r="J546"/>
  <c r="U546" s="1"/>
  <c r="F546"/>
  <c r="Q546" s="1"/>
  <c r="I551"/>
  <c r="T551" s="1"/>
  <c r="I548"/>
  <c r="T548" s="1"/>
  <c r="I550"/>
  <c r="T550" s="1"/>
  <c r="I547"/>
  <c r="T547" s="1"/>
  <c r="I549"/>
  <c r="T549" s="1"/>
  <c r="I546"/>
  <c r="T546" s="1"/>
  <c r="J855"/>
  <c r="U855" s="1"/>
  <c r="G855"/>
  <c r="R855" s="1"/>
  <c r="J854"/>
  <c r="U854" s="1"/>
  <c r="G854"/>
  <c r="R854" s="1"/>
  <c r="J853"/>
  <c r="U853" s="1"/>
  <c r="G853"/>
  <c r="R853" s="1"/>
  <c r="J852"/>
  <c r="U852" s="1"/>
  <c r="G852"/>
  <c r="R852" s="1"/>
  <c r="J851"/>
  <c r="U851" s="1"/>
  <c r="G851"/>
  <c r="R851" s="1"/>
  <c r="J850"/>
  <c r="G850"/>
  <c r="I855"/>
  <c r="T855" s="1"/>
  <c r="F855"/>
  <c r="Q855" s="1"/>
  <c r="I854"/>
  <c r="T854" s="1"/>
  <c r="F854"/>
  <c r="Q854" s="1"/>
  <c r="I853"/>
  <c r="T853" s="1"/>
  <c r="F853"/>
  <c r="Q853" s="1"/>
  <c r="I852"/>
  <c r="T852" s="1"/>
  <c r="F852"/>
  <c r="Q852" s="1"/>
  <c r="I851"/>
  <c r="T851" s="1"/>
  <c r="F851"/>
  <c r="Q851" s="1"/>
  <c r="I850"/>
  <c r="F850"/>
  <c r="E855"/>
  <c r="E854"/>
  <c r="E853"/>
  <c r="E852"/>
  <c r="E851"/>
  <c r="E850"/>
  <c r="K855"/>
  <c r="V855" s="1"/>
  <c r="K854"/>
  <c r="V854" s="1"/>
  <c r="K853"/>
  <c r="V853" s="1"/>
  <c r="K852"/>
  <c r="V852" s="1"/>
  <c r="K851"/>
  <c r="V851" s="1"/>
  <c r="K850"/>
  <c r="H853"/>
  <c r="S853" s="1"/>
  <c r="H850"/>
  <c r="H855"/>
  <c r="S855" s="1"/>
  <c r="H852"/>
  <c r="S852" s="1"/>
  <c r="H854"/>
  <c r="S854" s="1"/>
  <c r="H851"/>
  <c r="S851" s="1"/>
  <c r="K382"/>
  <c r="V382" s="1"/>
  <c r="H382"/>
  <c r="S382" s="1"/>
  <c r="E382"/>
  <c r="K381"/>
  <c r="V381" s="1"/>
  <c r="H381"/>
  <c r="S381" s="1"/>
  <c r="E381"/>
  <c r="K380"/>
  <c r="V380" s="1"/>
  <c r="H380"/>
  <c r="S380" s="1"/>
  <c r="E380"/>
  <c r="K379"/>
  <c r="V379" s="1"/>
  <c r="H379"/>
  <c r="S379" s="1"/>
  <c r="E379"/>
  <c r="K378"/>
  <c r="V378" s="1"/>
  <c r="H378"/>
  <c r="S378" s="1"/>
  <c r="E378"/>
  <c r="K377"/>
  <c r="H377"/>
  <c r="E377"/>
  <c r="I382"/>
  <c r="T382" s="1"/>
  <c r="I381"/>
  <c r="T381" s="1"/>
  <c r="I380"/>
  <c r="T380" s="1"/>
  <c r="I379"/>
  <c r="T379" s="1"/>
  <c r="I378"/>
  <c r="T378" s="1"/>
  <c r="I377"/>
  <c r="G382"/>
  <c r="R382" s="1"/>
  <c r="G381"/>
  <c r="R381" s="1"/>
  <c r="G380"/>
  <c r="R380" s="1"/>
  <c r="G379"/>
  <c r="R379" s="1"/>
  <c r="G378"/>
  <c r="R378" s="1"/>
  <c r="G377"/>
  <c r="J381"/>
  <c r="U381" s="1"/>
  <c r="F380"/>
  <c r="Q380" s="1"/>
  <c r="J378"/>
  <c r="U378" s="1"/>
  <c r="F377"/>
  <c r="F382"/>
  <c r="Q382" s="1"/>
  <c r="J380"/>
  <c r="U380" s="1"/>
  <c r="F379"/>
  <c r="Q379" s="1"/>
  <c r="J377"/>
  <c r="J382"/>
  <c r="U382" s="1"/>
  <c r="F381"/>
  <c r="Q381" s="1"/>
  <c r="J379"/>
  <c r="U379" s="1"/>
  <c r="F378"/>
  <c r="Q378" s="1"/>
  <c r="I362"/>
  <c r="T362" s="1"/>
  <c r="F362"/>
  <c r="Q362" s="1"/>
  <c r="I361"/>
  <c r="T361" s="1"/>
  <c r="F361"/>
  <c r="Q361" s="1"/>
  <c r="I360"/>
  <c r="T360" s="1"/>
  <c r="F360"/>
  <c r="Q360" s="1"/>
  <c r="I359"/>
  <c r="T359" s="1"/>
  <c r="F359"/>
  <c r="Q359" s="1"/>
  <c r="I358"/>
  <c r="T358" s="1"/>
  <c r="F358"/>
  <c r="Q358" s="1"/>
  <c r="I357"/>
  <c r="T357" s="1"/>
  <c r="F357"/>
  <c r="Q357" s="1"/>
  <c r="K362"/>
  <c r="V362" s="1"/>
  <c r="H362"/>
  <c r="S362" s="1"/>
  <c r="E362"/>
  <c r="K361"/>
  <c r="V361" s="1"/>
  <c r="H361"/>
  <c r="S361" s="1"/>
  <c r="E361"/>
  <c r="K360"/>
  <c r="V360" s="1"/>
  <c r="H360"/>
  <c r="S360" s="1"/>
  <c r="E360"/>
  <c r="K359"/>
  <c r="V359" s="1"/>
  <c r="H359"/>
  <c r="S359" s="1"/>
  <c r="E359"/>
  <c r="K358"/>
  <c r="V358" s="1"/>
  <c r="H358"/>
  <c r="S358" s="1"/>
  <c r="E358"/>
  <c r="K357"/>
  <c r="V357" s="1"/>
  <c r="H357"/>
  <c r="S357" s="1"/>
  <c r="E357"/>
  <c r="G362"/>
  <c r="R362" s="1"/>
  <c r="G361"/>
  <c r="R361" s="1"/>
  <c r="G360"/>
  <c r="R360" s="1"/>
  <c r="G359"/>
  <c r="R359" s="1"/>
  <c r="G358"/>
  <c r="R358" s="1"/>
  <c r="G357"/>
  <c r="R357" s="1"/>
  <c r="J362"/>
  <c r="U362" s="1"/>
  <c r="J361"/>
  <c r="U361" s="1"/>
  <c r="J360"/>
  <c r="U360" s="1"/>
  <c r="J359"/>
  <c r="U359" s="1"/>
  <c r="J358"/>
  <c r="U358" s="1"/>
  <c r="J357"/>
  <c r="U357" s="1"/>
  <c r="J823"/>
  <c r="U823" s="1"/>
  <c r="G823"/>
  <c r="R823" s="1"/>
  <c r="J822"/>
  <c r="U822" s="1"/>
  <c r="G822"/>
  <c r="R822" s="1"/>
  <c r="J821"/>
  <c r="U821" s="1"/>
  <c r="G821"/>
  <c r="R821" s="1"/>
  <c r="J820"/>
  <c r="U820" s="1"/>
  <c r="G820"/>
  <c r="R820" s="1"/>
  <c r="J819"/>
  <c r="U819" s="1"/>
  <c r="G819"/>
  <c r="R819" s="1"/>
  <c r="J818"/>
  <c r="U818" s="1"/>
  <c r="G818"/>
  <c r="R818" s="1"/>
  <c r="I823"/>
  <c r="T823" s="1"/>
  <c r="F823"/>
  <c r="Q823" s="1"/>
  <c r="I822"/>
  <c r="T822" s="1"/>
  <c r="F822"/>
  <c r="Q822" s="1"/>
  <c r="I821"/>
  <c r="T821" s="1"/>
  <c r="F821"/>
  <c r="Q821" s="1"/>
  <c r="I820"/>
  <c r="T820" s="1"/>
  <c r="F820"/>
  <c r="Q820" s="1"/>
  <c r="I819"/>
  <c r="T819" s="1"/>
  <c r="F819"/>
  <c r="Q819" s="1"/>
  <c r="I818"/>
  <c r="T818" s="1"/>
  <c r="F818"/>
  <c r="Q818" s="1"/>
  <c r="E823"/>
  <c r="E822"/>
  <c r="E821"/>
  <c r="E820"/>
  <c r="E819"/>
  <c r="E818"/>
  <c r="K823"/>
  <c r="V823" s="1"/>
  <c r="K822"/>
  <c r="V822" s="1"/>
  <c r="K821"/>
  <c r="V821" s="1"/>
  <c r="K820"/>
  <c r="V820" s="1"/>
  <c r="K819"/>
  <c r="V819" s="1"/>
  <c r="K818"/>
  <c r="V818" s="1"/>
  <c r="H822"/>
  <c r="S822" s="1"/>
  <c r="H819"/>
  <c r="S819" s="1"/>
  <c r="H821"/>
  <c r="S821" s="1"/>
  <c r="H818"/>
  <c r="S818" s="1"/>
  <c r="H823"/>
  <c r="S823" s="1"/>
  <c r="H820"/>
  <c r="S820" s="1"/>
  <c r="M348" i="106"/>
  <c r="M348" i="135" s="1"/>
  <c r="M347" i="106"/>
  <c r="M347" i="135" s="1"/>
  <c r="M346" i="106"/>
  <c r="M346" i="135" s="1"/>
  <c r="M345" i="106"/>
  <c r="M345" i="135" s="1"/>
  <c r="M344" i="106"/>
  <c r="M344" i="135" s="1"/>
  <c r="M343" i="106"/>
  <c r="M343" i="135" s="1"/>
  <c r="M342" i="106"/>
  <c r="M342" i="135" s="1"/>
  <c r="M341" i="106"/>
  <c r="M341" i="135" s="1"/>
  <c r="M340" i="106"/>
  <c r="M340" i="135" s="1"/>
  <c r="M339" i="106"/>
  <c r="M339" i="135" s="1"/>
  <c r="L348" i="106"/>
  <c r="L348" i="135" s="1"/>
  <c r="N346" i="106"/>
  <c r="N346" i="135" s="1"/>
  <c r="L345" i="106"/>
  <c r="L345" i="135" s="1"/>
  <c r="N343" i="106"/>
  <c r="N343" i="135" s="1"/>
  <c r="L342" i="106"/>
  <c r="L342" i="135" s="1"/>
  <c r="N340" i="106"/>
  <c r="N340" i="135" s="1"/>
  <c r="L339" i="106"/>
  <c r="L339" i="135" s="1"/>
  <c r="N348" i="106"/>
  <c r="N348" i="135" s="1"/>
  <c r="L347" i="106"/>
  <c r="L347" i="135" s="1"/>
  <c r="N345" i="106"/>
  <c r="N345" i="135" s="1"/>
  <c r="L344" i="106"/>
  <c r="L344" i="135" s="1"/>
  <c r="N342" i="106"/>
  <c r="N342" i="135" s="1"/>
  <c r="L341" i="106"/>
  <c r="L341" i="135" s="1"/>
  <c r="N339" i="106"/>
  <c r="N339" i="135" s="1"/>
  <c r="N347" i="106"/>
  <c r="N347" i="135" s="1"/>
  <c r="L346" i="106"/>
  <c r="L346" i="135" s="1"/>
  <c r="N344" i="106"/>
  <c r="N344" i="135" s="1"/>
  <c r="L343" i="106"/>
  <c r="L343" i="135" s="1"/>
  <c r="N341" i="106"/>
  <c r="N341" i="135" s="1"/>
  <c r="L340" i="106"/>
  <c r="L340" i="135" s="1"/>
  <c r="M470" i="106"/>
  <c r="M470" i="135" s="1"/>
  <c r="M469" i="106"/>
  <c r="M469" i="135" s="1"/>
  <c r="M468" i="106"/>
  <c r="M468" i="135" s="1"/>
  <c r="M467" i="106"/>
  <c r="M467" i="135" s="1"/>
  <c r="M466" i="106"/>
  <c r="M466" i="135" s="1"/>
  <c r="M465" i="106"/>
  <c r="M465" i="135" s="1"/>
  <c r="M464" i="106"/>
  <c r="M464" i="135" s="1"/>
  <c r="M463" i="106"/>
  <c r="M463" i="135" s="1"/>
  <c r="L470" i="106"/>
  <c r="L470" i="135" s="1"/>
  <c r="N468" i="106"/>
  <c r="N468" i="135" s="1"/>
  <c r="L467" i="106"/>
  <c r="L467" i="135" s="1"/>
  <c r="N465" i="106"/>
  <c r="N465" i="135" s="1"/>
  <c r="L464" i="106"/>
  <c r="L464" i="135" s="1"/>
  <c r="M462" i="106"/>
  <c r="M462" i="135" s="1"/>
  <c r="M461" i="106"/>
  <c r="M461" i="135" s="1"/>
  <c r="N470" i="106"/>
  <c r="N470" i="135" s="1"/>
  <c r="L469" i="106"/>
  <c r="L469" i="135" s="1"/>
  <c r="N467" i="106"/>
  <c r="N467" i="135" s="1"/>
  <c r="L466" i="106"/>
  <c r="L466" i="135" s="1"/>
  <c r="N464" i="106"/>
  <c r="N464" i="135" s="1"/>
  <c r="L463" i="106"/>
  <c r="L463" i="135" s="1"/>
  <c r="N462" i="106"/>
  <c r="N462" i="135" s="1"/>
  <c r="N461" i="106"/>
  <c r="N461" i="135" s="1"/>
  <c r="N469" i="106"/>
  <c r="N469" i="135" s="1"/>
  <c r="L468" i="106"/>
  <c r="L468" i="135" s="1"/>
  <c r="N466" i="106"/>
  <c r="N466" i="135" s="1"/>
  <c r="L465" i="106"/>
  <c r="L465" i="135" s="1"/>
  <c r="N463" i="106"/>
  <c r="N463" i="135" s="1"/>
  <c r="L462" i="106"/>
  <c r="L462" i="135" s="1"/>
  <c r="L461" i="106"/>
  <c r="L461" i="135" s="1"/>
  <c r="N537" i="106"/>
  <c r="N537" i="135" s="1"/>
  <c r="I170" i="88"/>
  <c r="C534" i="106" a="1"/>
  <c r="L579"/>
  <c r="L579" i="135" s="1"/>
  <c r="L573" i="106"/>
  <c r="L573" i="135" s="1"/>
  <c r="L570" i="106"/>
  <c r="L570" i="135" s="1"/>
  <c r="M577" i="106"/>
  <c r="M577" i="135" s="1"/>
  <c r="M571" i="106"/>
  <c r="M571" i="135" s="1"/>
  <c r="N578" i="106"/>
  <c r="N578" i="135" s="1"/>
  <c r="N575" i="106"/>
  <c r="N575" i="135" s="1"/>
  <c r="I170" i="89"/>
  <c r="C570" i="106" a="1"/>
  <c r="N738"/>
  <c r="N738" i="135" s="1"/>
  <c r="N735" i="106"/>
  <c r="N735" i="135" s="1"/>
  <c r="N732" i="106"/>
  <c r="N732" i="135" s="1"/>
  <c r="M739" i="106"/>
  <c r="M739" i="135" s="1"/>
  <c r="M736" i="106"/>
  <c r="M736" i="135" s="1"/>
  <c r="M734" i="106"/>
  <c r="M734" i="135" s="1"/>
  <c r="L730" i="106"/>
  <c r="L730" i="135" s="1"/>
  <c r="M733" i="106"/>
  <c r="M733" i="135" s="1"/>
  <c r="L739" i="106"/>
  <c r="L739" i="135" s="1"/>
  <c r="M732" i="106"/>
  <c r="M732" i="135" s="1"/>
  <c r="I170" i="102"/>
  <c r="C730" i="106" a="1"/>
  <c r="L751"/>
  <c r="L751" i="135" s="1"/>
  <c r="L750" i="106"/>
  <c r="L750" i="135" s="1"/>
  <c r="L749" i="106"/>
  <c r="L749" i="135" s="1"/>
  <c r="L748" i="106"/>
  <c r="L748" i="135" s="1"/>
  <c r="L747" i="106"/>
  <c r="L747" i="135" s="1"/>
  <c r="L746" i="106"/>
  <c r="L746" i="135" s="1"/>
  <c r="L745" i="106"/>
  <c r="L745" i="135" s="1"/>
  <c r="L744" i="106"/>
  <c r="L744" i="135" s="1"/>
  <c r="L743" i="106"/>
  <c r="L743" i="135" s="1"/>
  <c r="L742" i="106"/>
  <c r="L742" i="135" s="1"/>
  <c r="N751" i="106"/>
  <c r="N751" i="135" s="1"/>
  <c r="N750" i="106"/>
  <c r="N750" i="135" s="1"/>
  <c r="N749" i="106"/>
  <c r="N749" i="135" s="1"/>
  <c r="N748" i="106"/>
  <c r="N748" i="135" s="1"/>
  <c r="N747" i="106"/>
  <c r="N747" i="135" s="1"/>
  <c r="N746" i="106"/>
  <c r="N746" i="135" s="1"/>
  <c r="N745" i="106"/>
  <c r="N745" i="135" s="1"/>
  <c r="N744" i="106"/>
  <c r="N744" i="135" s="1"/>
  <c r="N743" i="106"/>
  <c r="N743" i="135" s="1"/>
  <c r="N742" i="106"/>
  <c r="N742" i="135" s="1"/>
  <c r="M750" i="106"/>
  <c r="M750" i="135" s="1"/>
  <c r="M747" i="106"/>
  <c r="M747" i="135" s="1"/>
  <c r="M744" i="106"/>
  <c r="M744" i="135" s="1"/>
  <c r="M751" i="106"/>
  <c r="M751" i="135" s="1"/>
  <c r="M748" i="106"/>
  <c r="M748" i="135" s="1"/>
  <c r="M745" i="106"/>
  <c r="M745" i="135" s="1"/>
  <c r="M742" i="106"/>
  <c r="M742" i="135" s="1"/>
  <c r="M749" i="106"/>
  <c r="M749" i="135" s="1"/>
  <c r="M746" i="106"/>
  <c r="M746" i="135" s="1"/>
  <c r="M743" i="106"/>
  <c r="M743" i="135" s="1"/>
  <c r="I170" i="108"/>
  <c r="C742" i="106" a="1"/>
  <c r="M789"/>
  <c r="M789" i="135" s="1"/>
  <c r="L790" i="106"/>
  <c r="L790" i="135" s="1"/>
  <c r="N791" i="106"/>
  <c r="N791" i="135" s="1"/>
  <c r="I170" i="129"/>
  <c r="C786" i="106" a="1"/>
  <c r="L15"/>
  <c r="L15" i="135" s="1"/>
  <c r="L9" i="106"/>
  <c r="L9" i="135" s="1"/>
  <c r="M13" i="106"/>
  <c r="M13" i="135" s="1"/>
  <c r="N17" i="106"/>
  <c r="N17" i="135" s="1"/>
  <c r="N11" i="106"/>
  <c r="N11" i="135" s="1"/>
  <c r="I170" i="32"/>
  <c r="C8" i="106" a="1"/>
  <c r="N29"/>
  <c r="N29" i="135" s="1"/>
  <c r="N27" i="106"/>
  <c r="N27" i="135" s="1"/>
  <c r="N26" i="106"/>
  <c r="N26" i="135" s="1"/>
  <c r="N25" i="106"/>
  <c r="N25" i="135" s="1"/>
  <c r="N23" i="106"/>
  <c r="N23" i="135" s="1"/>
  <c r="N22" i="106"/>
  <c r="N22" i="135" s="1"/>
  <c r="N21" i="106"/>
  <c r="N21" i="135" s="1"/>
  <c r="L29" i="106"/>
  <c r="L29" i="135" s="1"/>
  <c r="L28" i="106"/>
  <c r="L28" i="135" s="1"/>
  <c r="L27" i="106"/>
  <c r="L27" i="135" s="1"/>
  <c r="L25" i="106"/>
  <c r="L25" i="135" s="1"/>
  <c r="L24" i="106"/>
  <c r="L24" i="135" s="1"/>
  <c r="L23" i="106"/>
  <c r="L23" i="135" s="1"/>
  <c r="L21" i="106"/>
  <c r="L21" i="135" s="1"/>
  <c r="L20" i="106"/>
  <c r="M29"/>
  <c r="M29" i="135" s="1"/>
  <c r="M27" i="106"/>
  <c r="M27" i="135" s="1"/>
  <c r="M26" i="106"/>
  <c r="M26" i="135" s="1"/>
  <c r="M25" i="106"/>
  <c r="M25" i="135" s="1"/>
  <c r="M23" i="106"/>
  <c r="M23" i="135" s="1"/>
  <c r="M22" i="106"/>
  <c r="M22" i="135" s="1"/>
  <c r="M21" i="106"/>
  <c r="M21" i="135" s="1"/>
  <c r="I170" i="38"/>
  <c r="C20" i="106" a="1"/>
  <c r="M38"/>
  <c r="M38" i="135" s="1"/>
  <c r="N39" i="106"/>
  <c r="N39" i="135" s="1"/>
  <c r="L40" i="106"/>
  <c r="L40" i="135" s="1"/>
  <c r="I170" i="39"/>
  <c r="C32" i="106" a="1"/>
  <c r="N64"/>
  <c r="N64" i="135" s="1"/>
  <c r="N61" i="106"/>
  <c r="N61" i="135" s="1"/>
  <c r="N58" i="106"/>
  <c r="N58" i="135" s="1"/>
  <c r="L65" i="106"/>
  <c r="L65" i="135" s="1"/>
  <c r="L62" i="106"/>
  <c r="L62" i="135" s="1"/>
  <c r="L59" i="106"/>
  <c r="L59" i="135" s="1"/>
  <c r="L56" i="106"/>
  <c r="L56" i="135" s="1"/>
  <c r="M63" i="106"/>
  <c r="M63" i="135" s="1"/>
  <c r="M60" i="106"/>
  <c r="M60" i="135" s="1"/>
  <c r="M57" i="106"/>
  <c r="M57" i="135" s="1"/>
  <c r="I170" i="41"/>
  <c r="C56" i="106" a="1"/>
  <c r="M95"/>
  <c r="M95" i="135" s="1"/>
  <c r="I170" i="44"/>
  <c r="C92" i="106" a="1"/>
  <c r="M110"/>
  <c r="M106"/>
  <c r="N112"/>
  <c r="N108"/>
  <c r="N104"/>
  <c r="N104" i="135" s="1"/>
  <c r="L110" i="106"/>
  <c r="L106"/>
  <c r="I170" i="45"/>
  <c r="C104" i="106" a="1"/>
  <c r="L223"/>
  <c r="L223" i="135" s="1"/>
  <c r="L222" i="106"/>
  <c r="L222" i="135" s="1"/>
  <c r="L221" i="106"/>
  <c r="L221" i="135" s="1"/>
  <c r="L220" i="106"/>
  <c r="L220" i="135" s="1"/>
  <c r="L219" i="106"/>
  <c r="L219" i="135" s="1"/>
  <c r="L218" i="106"/>
  <c r="L218" i="135" s="1"/>
  <c r="L217" i="106"/>
  <c r="L217" i="135" s="1"/>
  <c r="L216" i="106"/>
  <c r="L216" i="135" s="1"/>
  <c r="L215" i="106"/>
  <c r="L215" i="135" s="1"/>
  <c r="L214" i="106"/>
  <c r="L214" i="135" s="1"/>
  <c r="M223" i="106"/>
  <c r="M223" i="135" s="1"/>
  <c r="M222" i="106"/>
  <c r="M222" i="135" s="1"/>
  <c r="M221" i="106"/>
  <c r="M221" i="135" s="1"/>
  <c r="M220" i="106"/>
  <c r="M220" i="135" s="1"/>
  <c r="M219" i="106"/>
  <c r="M219" i="135" s="1"/>
  <c r="M218" i="106"/>
  <c r="M218" i="135" s="1"/>
  <c r="M217" i="106"/>
  <c r="M217" i="135" s="1"/>
  <c r="M216" i="106"/>
  <c r="M216" i="135" s="1"/>
  <c r="M215" i="106"/>
  <c r="M215" i="135" s="1"/>
  <c r="M214" i="106"/>
  <c r="M214" i="135" s="1"/>
  <c r="N223" i="106"/>
  <c r="N223" i="135" s="1"/>
  <c r="N222" i="106"/>
  <c r="N222" i="135" s="1"/>
  <c r="N221" i="106"/>
  <c r="N221" i="135" s="1"/>
  <c r="N220" i="106"/>
  <c r="N220" i="135" s="1"/>
  <c r="N219" i="106"/>
  <c r="N219" i="135" s="1"/>
  <c r="N218" i="106"/>
  <c r="N218" i="135" s="1"/>
  <c r="N217" i="106"/>
  <c r="N217" i="135" s="1"/>
  <c r="N216" i="106"/>
  <c r="N216" i="135" s="1"/>
  <c r="N215" i="106"/>
  <c r="N215" i="135" s="1"/>
  <c r="N214" i="106"/>
  <c r="N214" i="135" s="1"/>
  <c r="I170" i="54"/>
  <c r="C214" i="106" a="1"/>
  <c r="M239"/>
  <c r="M239" i="135" s="1"/>
  <c r="N240" i="106"/>
  <c r="N240" i="135" s="1"/>
  <c r="L241" i="106"/>
  <c r="L241" i="135" s="1"/>
  <c r="I170" i="56"/>
  <c r="C238" i="106" a="1"/>
  <c r="L258"/>
  <c r="L258" i="135" s="1"/>
  <c r="L255" i="106"/>
  <c r="L255" i="135" s="1"/>
  <c r="L252" i="106"/>
  <c r="L252" i="135" s="1"/>
  <c r="M259" i="106"/>
  <c r="M259" i="135" s="1"/>
  <c r="M256" i="106"/>
  <c r="M256" i="135" s="1"/>
  <c r="M253" i="106"/>
  <c r="M253" i="135" s="1"/>
  <c r="M250" i="106"/>
  <c r="M250" i="135" s="1"/>
  <c r="N257" i="106"/>
  <c r="N257" i="135" s="1"/>
  <c r="N254" i="106"/>
  <c r="N254" i="135" s="1"/>
  <c r="N251" i="106"/>
  <c r="N251" i="135" s="1"/>
  <c r="I170" i="57"/>
  <c r="C250" i="106" a="1"/>
  <c r="M282"/>
  <c r="M282" i="135" s="1"/>
  <c r="M281" i="106"/>
  <c r="M281" i="135" s="1"/>
  <c r="M280" i="106"/>
  <c r="M280" i="135" s="1"/>
  <c r="M278" i="106"/>
  <c r="M278" i="135" s="1"/>
  <c r="M277" i="106"/>
  <c r="M277" i="135" s="1"/>
  <c r="M276" i="106"/>
  <c r="M276" i="135" s="1"/>
  <c r="M274" i="106"/>
  <c r="M274" i="135" s="1"/>
  <c r="N283" i="106"/>
  <c r="N283" i="135" s="1"/>
  <c r="N282" i="106"/>
  <c r="N282" i="135" s="1"/>
  <c r="N280" i="106"/>
  <c r="N280" i="135" s="1"/>
  <c r="N279" i="106"/>
  <c r="N279" i="135" s="1"/>
  <c r="N278" i="106"/>
  <c r="N278" i="135" s="1"/>
  <c r="N276" i="106"/>
  <c r="N276" i="135" s="1"/>
  <c r="N275" i="106"/>
  <c r="N275" i="135" s="1"/>
  <c r="N274" i="106"/>
  <c r="N274" i="135" s="1"/>
  <c r="L282" i="106"/>
  <c r="L282" i="135" s="1"/>
  <c r="L281" i="106"/>
  <c r="L281" i="135" s="1"/>
  <c r="L280" i="106"/>
  <c r="L280" i="135" s="1"/>
  <c r="L278" i="106"/>
  <c r="L278" i="135" s="1"/>
  <c r="L277" i="106"/>
  <c r="L277" i="135" s="1"/>
  <c r="L276" i="106"/>
  <c r="L276" i="135" s="1"/>
  <c r="L274" i="106"/>
  <c r="L274" i="135" s="1"/>
  <c r="I170" i="59"/>
  <c r="C274" i="106" a="1"/>
  <c r="L293"/>
  <c r="L290"/>
  <c r="L287"/>
  <c r="M294"/>
  <c r="M291"/>
  <c r="M288"/>
  <c r="N295"/>
  <c r="N292"/>
  <c r="N289"/>
  <c r="N286"/>
  <c r="I170" i="60"/>
  <c r="C286" i="106" a="1"/>
  <c r="M310"/>
  <c r="M310" i="135" s="1"/>
  <c r="N311" i="106"/>
  <c r="N311" i="135" s="1"/>
  <c r="I170" i="67"/>
  <c r="C303" i="106" a="1"/>
  <c r="I170" i="69"/>
  <c r="C327" i="106" a="1"/>
  <c r="I170" i="82"/>
  <c r="C461" i="106" a="1"/>
  <c r="I170" i="71"/>
  <c r="C352" i="106" a="1"/>
  <c r="I170" i="75"/>
  <c r="C401" i="106" a="1"/>
  <c r="I170" i="76"/>
  <c r="C413" i="106" a="1"/>
  <c r="I170" i="78"/>
  <c r="C437" i="106" a="1"/>
  <c r="I170" i="86"/>
  <c r="C510" i="106" a="1"/>
  <c r="I170" i="90"/>
  <c r="C582" i="106" a="1"/>
  <c r="I170" i="94"/>
  <c r="C630" i="106" a="1"/>
  <c r="I170" i="95"/>
  <c r="C642" i="106" a="1"/>
  <c r="I170" i="99"/>
  <c r="C692" i="106" a="1"/>
  <c r="I170" i="127"/>
  <c r="C764" i="106" a="1"/>
  <c r="I170" i="42"/>
  <c r="C68" i="106" a="1"/>
  <c r="I170" i="47"/>
  <c r="C130" i="106" a="1"/>
  <c r="I170" i="50"/>
  <c r="C166" i="106" a="1"/>
  <c r="L352" a="1"/>
  <c r="L401" a="1"/>
  <c r="L413" a="1"/>
  <c r="L437" a="1"/>
  <c r="L510" a="1"/>
  <c r="L582" a="1"/>
  <c r="L630" a="1"/>
  <c r="L642" a="1"/>
  <c r="L692" a="1"/>
  <c r="L764" a="1"/>
  <c r="L68" a="1"/>
  <c r="L130" a="1"/>
  <c r="L166" a="1"/>
  <c r="L336"/>
  <c r="L336" i="135" s="1"/>
  <c r="L333" i="106"/>
  <c r="L333" i="135" s="1"/>
  <c r="L330" i="106"/>
  <c r="L330" i="135" s="1"/>
  <c r="L327" i="106"/>
  <c r="L327" i="135" s="1"/>
  <c r="M333" i="106"/>
  <c r="M333" i="135" s="1"/>
  <c r="N328" i="106"/>
  <c r="N328" i="135" s="1"/>
  <c r="M335" i="106"/>
  <c r="M335" i="135" s="1"/>
  <c r="N330" i="106"/>
  <c r="N330" i="135" s="1"/>
  <c r="N335" i="106"/>
  <c r="N335" i="135" s="1"/>
  <c r="M331" i="106"/>
  <c r="M331" i="135" s="1"/>
  <c r="I170" i="70"/>
  <c r="C339" i="106" a="1"/>
  <c r="I170" i="72"/>
  <c r="C364" i="106" a="1"/>
  <c r="I170" i="81"/>
  <c r="C449" i="106" a="1"/>
  <c r="I170" i="83"/>
  <c r="C473" i="106" a="1"/>
  <c r="I170" i="87"/>
  <c r="C522" i="106" a="1"/>
  <c r="I170" i="79"/>
  <c r="C546" i="106" a="1"/>
  <c r="I170" i="91"/>
  <c r="C594" i="106" a="1"/>
  <c r="I170" i="93"/>
  <c r="C618" i="106" a="1"/>
  <c r="I170" i="97"/>
  <c r="C666" i="106" a="1"/>
  <c r="I170" i="101"/>
  <c r="C716" i="106" a="1"/>
  <c r="I170" i="55"/>
  <c r="C226" i="106" a="1"/>
  <c r="C313" i="105"/>
  <c r="C412" i="106"/>
  <c r="C88" i="105"/>
  <c r="C115" i="106"/>
  <c r="L364" a="1"/>
  <c r="L449" a="1"/>
  <c r="L473" a="1"/>
  <c r="L522" a="1"/>
  <c r="L546" a="1"/>
  <c r="L594" a="1"/>
  <c r="L618" a="1"/>
  <c r="L666" a="1"/>
  <c r="L716" a="1"/>
  <c r="L226" a="1"/>
  <c r="R233" i="105"/>
  <c r="R236"/>
  <c r="R234"/>
  <c r="D209" i="67"/>
  <c r="D143" i="104"/>
  <c r="R232" i="105"/>
  <c r="R235"/>
  <c r="F53" i="104"/>
  <c r="E142"/>
  <c r="F53" i="63"/>
  <c r="E59"/>
  <c r="E64"/>
  <c r="R11" i="105"/>
  <c r="R13"/>
  <c r="H42" i="63"/>
  <c r="R120" i="57"/>
  <c r="D139" i="63"/>
  <c r="D208" i="32"/>
  <c r="D135" i="63"/>
  <c r="R12" i="105"/>
  <c r="R9"/>
  <c r="E70" i="67"/>
  <c r="O231" i="105"/>
  <c r="G70" i="68"/>
  <c r="G208" s="1"/>
  <c r="Q240" i="105"/>
  <c r="F70" i="68"/>
  <c r="F208" s="1"/>
  <c r="P240" i="105"/>
  <c r="E70" i="71"/>
  <c r="E208" s="1"/>
  <c r="O268" i="105"/>
  <c r="E70" i="76"/>
  <c r="E208" s="1"/>
  <c r="O314" i="105"/>
  <c r="F70" i="82"/>
  <c r="F208" s="1"/>
  <c r="P350" i="105"/>
  <c r="G70" i="84"/>
  <c r="G208" s="1"/>
  <c r="Q368" i="105"/>
  <c r="E70" i="85"/>
  <c r="E208" s="1"/>
  <c r="O379" i="105"/>
  <c r="E70" i="86"/>
  <c r="E208" s="1"/>
  <c r="O388" i="105"/>
  <c r="F70" i="87"/>
  <c r="F208" s="1"/>
  <c r="P397" i="105"/>
  <c r="E70" i="88"/>
  <c r="E208" s="1"/>
  <c r="O406" i="105"/>
  <c r="F70" i="79"/>
  <c r="F208" s="1"/>
  <c r="P415" i="105"/>
  <c r="F70" i="89"/>
  <c r="F208" s="1"/>
  <c r="P433" i="105"/>
  <c r="E70" i="91"/>
  <c r="E208" s="1"/>
  <c r="O451" i="105"/>
  <c r="E70" i="94"/>
  <c r="E208" s="1"/>
  <c r="O478" i="105"/>
  <c r="E70" i="95"/>
  <c r="E208" s="1"/>
  <c r="O487" i="105"/>
  <c r="G70" i="95"/>
  <c r="G208" s="1"/>
  <c r="Q487" i="105"/>
  <c r="F70" i="97"/>
  <c r="F208" s="1"/>
  <c r="P505" i="105"/>
  <c r="E70" i="97"/>
  <c r="E208" s="1"/>
  <c r="O505" i="105"/>
  <c r="E70" i="100"/>
  <c r="E208" s="1"/>
  <c r="O534" i="105"/>
  <c r="G70" i="101"/>
  <c r="G208" s="1"/>
  <c r="Q543" i="105"/>
  <c r="E70" i="102"/>
  <c r="E208" s="1"/>
  <c r="O554" i="105"/>
  <c r="G70" i="108"/>
  <c r="G208" s="1"/>
  <c r="Q563" i="105"/>
  <c r="E70" i="127"/>
  <c r="E208" s="1"/>
  <c r="O581" i="105"/>
  <c r="F70" i="127"/>
  <c r="F208" s="1"/>
  <c r="P581" i="105"/>
  <c r="E70" i="129"/>
  <c r="E208" s="1"/>
  <c r="O599" i="105"/>
  <c r="F70" i="32"/>
  <c r="P8" i="105"/>
  <c r="E70" i="40"/>
  <c r="E208" s="1"/>
  <c r="O35" i="105"/>
  <c r="G70" i="41"/>
  <c r="G208" s="1"/>
  <c r="Q44" i="105"/>
  <c r="E70" i="50"/>
  <c r="E208" s="1"/>
  <c r="O127" i="105"/>
  <c r="E70" i="51"/>
  <c r="E208" s="1"/>
  <c r="O136" i="105"/>
  <c r="G70" i="51"/>
  <c r="G208" s="1"/>
  <c r="Q136" i="105"/>
  <c r="F70" i="52"/>
  <c r="F208" s="1"/>
  <c r="P145" i="105"/>
  <c r="Q145"/>
  <c r="E70" i="53"/>
  <c r="E208" s="1"/>
  <c r="O154" i="105"/>
  <c r="Q172"/>
  <c r="E70" i="55"/>
  <c r="E208" s="1"/>
  <c r="O172" i="105"/>
  <c r="G70" i="56"/>
  <c r="G208" s="1"/>
  <c r="Q181" i="105"/>
  <c r="F70" i="58"/>
  <c r="F208" s="1"/>
  <c r="P199" i="105"/>
  <c r="N14"/>
  <c r="N522"/>
  <c r="N385"/>
  <c r="M97"/>
  <c r="M265"/>
  <c r="C318" i="7"/>
  <c r="C322" i="130" s="1"/>
  <c r="B322" i="105"/>
  <c r="E70" i="69"/>
  <c r="E208" s="1"/>
  <c r="O249" i="105"/>
  <c r="G70" i="69"/>
  <c r="G208" s="1"/>
  <c r="Q249" i="105"/>
  <c r="E70" i="70"/>
  <c r="E208" s="1"/>
  <c r="O258" i="105"/>
  <c r="E70" i="72"/>
  <c r="E208" s="1"/>
  <c r="O277" i="105"/>
  <c r="F70" i="75"/>
  <c r="F208" s="1"/>
  <c r="P305" i="105"/>
  <c r="E70" i="77"/>
  <c r="E208" s="1"/>
  <c r="O323" i="105"/>
  <c r="F70" i="81"/>
  <c r="F208" s="1"/>
  <c r="P341" i="105"/>
  <c r="E70" i="82"/>
  <c r="E208" s="1"/>
  <c r="O350" i="105"/>
  <c r="Q359"/>
  <c r="F70" i="83"/>
  <c r="F208" s="1"/>
  <c r="P359" i="105"/>
  <c r="E70" i="87"/>
  <c r="E208" s="1"/>
  <c r="O397" i="105"/>
  <c r="E70" i="80"/>
  <c r="E208" s="1"/>
  <c r="O424" i="105"/>
  <c r="G70" i="89"/>
  <c r="G208" s="1"/>
  <c r="Q433" i="105"/>
  <c r="G70" i="90"/>
  <c r="G208" s="1"/>
  <c r="Q442" i="105"/>
  <c r="G70" i="92"/>
  <c r="G208" s="1"/>
  <c r="Q460" i="105"/>
  <c r="E70" i="93"/>
  <c r="E208" s="1"/>
  <c r="O469" i="105"/>
  <c r="G70" i="94"/>
  <c r="G208" s="1"/>
  <c r="Q478" i="105"/>
  <c r="F70" i="95"/>
  <c r="F208" s="1"/>
  <c r="P487" i="105"/>
  <c r="F70" i="96"/>
  <c r="F208" s="1"/>
  <c r="P496" i="105"/>
  <c r="E70" i="96"/>
  <c r="E208" s="1"/>
  <c r="O496" i="105"/>
  <c r="E70" i="99"/>
  <c r="E208" s="1"/>
  <c r="O525" i="105"/>
  <c r="E70" i="108"/>
  <c r="E208" s="1"/>
  <c r="O563" i="105"/>
  <c r="E70" i="128"/>
  <c r="E208" s="1"/>
  <c r="O590" i="105"/>
  <c r="F70" i="129"/>
  <c r="F208" s="1"/>
  <c r="P599" i="105"/>
  <c r="E70" i="32"/>
  <c r="O8" i="105"/>
  <c r="F70" i="38"/>
  <c r="F208" s="1"/>
  <c r="P17" i="105"/>
  <c r="E70" i="39"/>
  <c r="E208" s="1"/>
  <c r="O26" i="105"/>
  <c r="F70" i="40"/>
  <c r="F208" s="1"/>
  <c r="P35" i="105"/>
  <c r="F70" i="41"/>
  <c r="F208" s="1"/>
  <c r="P44" i="105"/>
  <c r="F70" i="42"/>
  <c r="F208" s="1"/>
  <c r="P53" i="105"/>
  <c r="E70" i="43"/>
  <c r="E208" s="1"/>
  <c r="O62" i="105"/>
  <c r="E70" i="45"/>
  <c r="E208" s="1"/>
  <c r="O80" i="105"/>
  <c r="E70" i="46"/>
  <c r="E208" s="1"/>
  <c r="O89" i="105"/>
  <c r="E70" i="47"/>
  <c r="E208" s="1"/>
  <c r="O100" i="105"/>
  <c r="Q109"/>
  <c r="E70" i="49"/>
  <c r="E208" s="1"/>
  <c r="O118" i="105"/>
  <c r="F70" i="51"/>
  <c r="F208" s="1"/>
  <c r="P136" i="105"/>
  <c r="E70" i="52"/>
  <c r="E208" s="1"/>
  <c r="O145" i="105"/>
  <c r="F70" i="53"/>
  <c r="F208" s="1"/>
  <c r="P154" i="105"/>
  <c r="F70" i="54"/>
  <c r="F208" s="1"/>
  <c r="P163" i="105"/>
  <c r="F70" i="55"/>
  <c r="F208" s="1"/>
  <c r="P172" i="105"/>
  <c r="E70" i="56"/>
  <c r="E208" s="1"/>
  <c r="O181" i="105"/>
  <c r="F70" i="57"/>
  <c r="F208" s="1"/>
  <c r="P190" i="105"/>
  <c r="E70" i="59"/>
  <c r="E208" s="1"/>
  <c r="O208" i="105"/>
  <c r="F70" i="59"/>
  <c r="F208" s="1"/>
  <c r="P208" i="105"/>
  <c r="N106"/>
  <c r="N293"/>
  <c r="C97" i="7"/>
  <c r="C99" i="130" s="1"/>
  <c r="B99" i="105"/>
  <c r="E70" i="68"/>
  <c r="E208" s="1"/>
  <c r="O240" i="105"/>
  <c r="F70" i="69"/>
  <c r="F208" s="1"/>
  <c r="P249" i="105"/>
  <c r="E70" i="73"/>
  <c r="E208" s="1"/>
  <c r="O287" i="105"/>
  <c r="E70" i="74"/>
  <c r="E208" s="1"/>
  <c r="O296" i="105"/>
  <c r="E70" i="75"/>
  <c r="E208" s="1"/>
  <c r="O305" i="105"/>
  <c r="F70" i="76"/>
  <c r="F208" s="1"/>
  <c r="P314" i="105"/>
  <c r="E70" i="81"/>
  <c r="E208" s="1"/>
  <c r="O341" i="105"/>
  <c r="E70" i="83"/>
  <c r="E208" s="1"/>
  <c r="O359" i="105"/>
  <c r="E70" i="84"/>
  <c r="E208" s="1"/>
  <c r="O368" i="105"/>
  <c r="F70" i="85"/>
  <c r="F208" s="1"/>
  <c r="P379" i="105"/>
  <c r="F70" i="86"/>
  <c r="F208" s="1"/>
  <c r="P388" i="105"/>
  <c r="F70" i="88"/>
  <c r="F208" s="1"/>
  <c r="P406" i="105"/>
  <c r="E70" i="79"/>
  <c r="E208" s="1"/>
  <c r="O415" i="105"/>
  <c r="E70" i="89"/>
  <c r="E208" s="1"/>
  <c r="O433" i="105"/>
  <c r="E70" i="90"/>
  <c r="E208" s="1"/>
  <c r="O442" i="105"/>
  <c r="E70" i="92"/>
  <c r="E208" s="1"/>
  <c r="O460" i="105"/>
  <c r="F70" i="94"/>
  <c r="F208" s="1"/>
  <c r="P478" i="105"/>
  <c r="E70" i="98"/>
  <c r="E208" s="1"/>
  <c r="O516" i="105"/>
  <c r="F70" i="100"/>
  <c r="F208" s="1"/>
  <c r="P534" i="105"/>
  <c r="E70" i="101"/>
  <c r="E208" s="1"/>
  <c r="O543" i="105"/>
  <c r="F70" i="128"/>
  <c r="F208" s="1"/>
  <c r="P590" i="105"/>
  <c r="G70" i="129"/>
  <c r="G208" s="1"/>
  <c r="Q599" i="105"/>
  <c r="E70" i="38"/>
  <c r="E208" s="1"/>
  <c r="O17" i="105"/>
  <c r="E70" i="41"/>
  <c r="E208" s="1"/>
  <c r="O44" i="105"/>
  <c r="E70" i="42"/>
  <c r="E208" s="1"/>
  <c r="O53" i="105"/>
  <c r="F70" i="43"/>
  <c r="F208" s="1"/>
  <c r="P62" i="105"/>
  <c r="E70" i="44"/>
  <c r="E208" s="1"/>
  <c r="O71" i="105"/>
  <c r="G70" i="45"/>
  <c r="G208" s="1"/>
  <c r="Q80" i="105"/>
  <c r="P109"/>
  <c r="O109"/>
  <c r="F70" i="49"/>
  <c r="F208" s="1"/>
  <c r="P118" i="105"/>
  <c r="E70" i="54"/>
  <c r="E208" s="1"/>
  <c r="O163" i="105"/>
  <c r="F70" i="56"/>
  <c r="F208" s="1"/>
  <c r="P181" i="105"/>
  <c r="E70" i="57"/>
  <c r="E208" s="1"/>
  <c r="O190" i="105"/>
  <c r="E70" i="58"/>
  <c r="E208" s="1"/>
  <c r="O199" i="105"/>
  <c r="E70" i="60"/>
  <c r="E208" s="1"/>
  <c r="O217" i="105"/>
  <c r="N237"/>
  <c r="N560"/>
  <c r="N274"/>
  <c r="N284" s="1"/>
  <c r="I104" i="60"/>
  <c r="I42"/>
  <c r="F59"/>
  <c r="F64"/>
  <c r="G140"/>
  <c r="R120" s="1"/>
  <c r="G53"/>
  <c r="G207"/>
  <c r="H48"/>
  <c r="S84"/>
  <c r="H105" i="59"/>
  <c r="S84"/>
  <c r="I48"/>
  <c r="H48"/>
  <c r="R120"/>
  <c r="G59"/>
  <c r="G64"/>
  <c r="H48" i="58"/>
  <c r="K169"/>
  <c r="H169"/>
  <c r="H170" s="1"/>
  <c r="E169"/>
  <c r="E170" s="1"/>
  <c r="B169"/>
  <c r="B170" s="1"/>
  <c r="F169"/>
  <c r="F170" s="1"/>
  <c r="A169"/>
  <c r="L169"/>
  <c r="G169"/>
  <c r="G170" s="1"/>
  <c r="C169"/>
  <c r="C170" s="1"/>
  <c r="D169"/>
  <c r="D170" s="1"/>
  <c r="I169"/>
  <c r="M169"/>
  <c r="G207"/>
  <c r="H105"/>
  <c r="S84"/>
  <c r="G140"/>
  <c r="G141" s="1"/>
  <c r="G53"/>
  <c r="I104"/>
  <c r="I42"/>
  <c r="I105" i="57"/>
  <c r="T84"/>
  <c r="H207"/>
  <c r="G59"/>
  <c r="G64"/>
  <c r="I48"/>
  <c r="J48" s="1"/>
  <c r="H140"/>
  <c r="S120" s="1"/>
  <c r="H53"/>
  <c r="H207" i="56"/>
  <c r="J48"/>
  <c r="I207"/>
  <c r="I140"/>
  <c r="I141" s="1"/>
  <c r="I53"/>
  <c r="H140"/>
  <c r="H141" s="1"/>
  <c r="H53"/>
  <c r="H140" i="55"/>
  <c r="H53"/>
  <c r="I105"/>
  <c r="T84"/>
  <c r="H207"/>
  <c r="I48"/>
  <c r="G59" i="54"/>
  <c r="G64"/>
  <c r="I105"/>
  <c r="T84"/>
  <c r="H207"/>
  <c r="I48"/>
  <c r="H140"/>
  <c r="H141" s="1"/>
  <c r="H53"/>
  <c r="G140" i="53"/>
  <c r="G141" s="1"/>
  <c r="G53"/>
  <c r="H105"/>
  <c r="S84"/>
  <c r="I104"/>
  <c r="I42"/>
  <c r="G207"/>
  <c r="L169"/>
  <c r="I169"/>
  <c r="F169"/>
  <c r="F170" s="1"/>
  <c r="C169"/>
  <c r="C170" s="1"/>
  <c r="M169"/>
  <c r="H169"/>
  <c r="H170" s="1"/>
  <c r="D169"/>
  <c r="D170" s="1"/>
  <c r="E169"/>
  <c r="E170" s="1"/>
  <c r="A169"/>
  <c r="K169"/>
  <c r="B169"/>
  <c r="B170" s="1"/>
  <c r="G169"/>
  <c r="G170" s="1"/>
  <c r="H48"/>
  <c r="H207" i="52"/>
  <c r="H141"/>
  <c r="K169"/>
  <c r="H169"/>
  <c r="H170" s="1"/>
  <c r="E169"/>
  <c r="E170" s="1"/>
  <c r="B169"/>
  <c r="B170" s="1"/>
  <c r="L169"/>
  <c r="I169"/>
  <c r="F169"/>
  <c r="F170" s="1"/>
  <c r="C169"/>
  <c r="C170" s="1"/>
  <c r="M169"/>
  <c r="G169"/>
  <c r="G170" s="1"/>
  <c r="D169"/>
  <c r="D170" s="1"/>
  <c r="A169"/>
  <c r="I48"/>
  <c r="J48" s="1"/>
  <c r="H140"/>
  <c r="H53"/>
  <c r="H140" i="51"/>
  <c r="H141" s="1"/>
  <c r="H53"/>
  <c r="H207"/>
  <c r="F141" i="50"/>
  <c r="I105" i="51"/>
  <c r="T84"/>
  <c r="K169"/>
  <c r="H169"/>
  <c r="H170" s="1"/>
  <c r="E169"/>
  <c r="E170" s="1"/>
  <c r="B169"/>
  <c r="B170" s="1"/>
  <c r="F169"/>
  <c r="F170" s="1"/>
  <c r="A169"/>
  <c r="L169"/>
  <c r="G169"/>
  <c r="G170" s="1"/>
  <c r="C169"/>
  <c r="C170" s="1"/>
  <c r="D169"/>
  <c r="D170" s="1"/>
  <c r="I169"/>
  <c r="M169"/>
  <c r="I48"/>
  <c r="G140" i="50"/>
  <c r="G141" s="1"/>
  <c r="G53"/>
  <c r="H105"/>
  <c r="S84"/>
  <c r="G207"/>
  <c r="H48"/>
  <c r="I104"/>
  <c r="I42"/>
  <c r="F59"/>
  <c r="F64"/>
  <c r="H140" i="49"/>
  <c r="H141" s="1"/>
  <c r="H53"/>
  <c r="H207"/>
  <c r="F141" i="44"/>
  <c r="K169" i="49"/>
  <c r="H169"/>
  <c r="H170" s="1"/>
  <c r="E169"/>
  <c r="E170" s="1"/>
  <c r="B169"/>
  <c r="B170" s="1"/>
  <c r="M169"/>
  <c r="G169"/>
  <c r="G170" s="1"/>
  <c r="D169"/>
  <c r="D170" s="1"/>
  <c r="A169"/>
  <c r="F169"/>
  <c r="F170" s="1"/>
  <c r="I169"/>
  <c r="L169"/>
  <c r="C169"/>
  <c r="C170" s="1"/>
  <c r="I48"/>
  <c r="G59"/>
  <c r="G64"/>
  <c r="H140" i="48"/>
  <c r="H53"/>
  <c r="I48"/>
  <c r="J48" s="1"/>
  <c r="K169"/>
  <c r="H169"/>
  <c r="E169"/>
  <c r="B169"/>
  <c r="B170" s="1"/>
  <c r="L169"/>
  <c r="I169"/>
  <c r="F169"/>
  <c r="C169"/>
  <c r="C170" s="1"/>
  <c r="A169"/>
  <c r="M169"/>
  <c r="D169"/>
  <c r="D170" s="1"/>
  <c r="G169"/>
  <c r="T84"/>
  <c r="G207" i="47"/>
  <c r="F59"/>
  <c r="F64"/>
  <c r="S84"/>
  <c r="I48"/>
  <c r="H48"/>
  <c r="G140"/>
  <c r="R120" s="1"/>
  <c r="G53"/>
  <c r="H105" i="46"/>
  <c r="S84"/>
  <c r="G207"/>
  <c r="H48"/>
  <c r="K169"/>
  <c r="H169"/>
  <c r="H170" s="1"/>
  <c r="E169"/>
  <c r="E170" s="1"/>
  <c r="B169"/>
  <c r="B170" s="1"/>
  <c r="M169"/>
  <c r="G169"/>
  <c r="G170" s="1"/>
  <c r="D169"/>
  <c r="D170" s="1"/>
  <c r="A169"/>
  <c r="F169"/>
  <c r="F170" s="1"/>
  <c r="I169"/>
  <c r="L169"/>
  <c r="C169"/>
  <c r="C170" s="1"/>
  <c r="I48"/>
  <c r="G140"/>
  <c r="G141" s="1"/>
  <c r="G53"/>
  <c r="H48" i="45"/>
  <c r="I104"/>
  <c r="T84" s="1"/>
  <c r="I42"/>
  <c r="F59"/>
  <c r="F64"/>
  <c r="G207" i="44"/>
  <c r="F59"/>
  <c r="F64"/>
  <c r="I48"/>
  <c r="G140"/>
  <c r="G141" s="1"/>
  <c r="G53"/>
  <c r="H140"/>
  <c r="H53"/>
  <c r="H207"/>
  <c r="H105" i="43"/>
  <c r="S84"/>
  <c r="I104"/>
  <c r="I42"/>
  <c r="K169"/>
  <c r="H169"/>
  <c r="H170" s="1"/>
  <c r="E169"/>
  <c r="E170" s="1"/>
  <c r="B169"/>
  <c r="B170" s="1"/>
  <c r="L169"/>
  <c r="I169"/>
  <c r="F169"/>
  <c r="F170" s="1"/>
  <c r="C169"/>
  <c r="C170" s="1"/>
  <c r="A169"/>
  <c r="M169"/>
  <c r="D169"/>
  <c r="D170" s="1"/>
  <c r="G169"/>
  <c r="G170" s="1"/>
  <c r="G140"/>
  <c r="G53"/>
  <c r="H48"/>
  <c r="G207"/>
  <c r="G140" i="42"/>
  <c r="G141" s="1"/>
  <c r="G53"/>
  <c r="I104"/>
  <c r="I42"/>
  <c r="H48"/>
  <c r="G207"/>
  <c r="S84"/>
  <c r="H140" i="41"/>
  <c r="H141" s="1"/>
  <c r="H53"/>
  <c r="I48"/>
  <c r="J48" s="1"/>
  <c r="H207"/>
  <c r="I105"/>
  <c r="T84"/>
  <c r="H140" i="40"/>
  <c r="H141" s="1"/>
  <c r="H53"/>
  <c r="S84" i="100"/>
  <c r="G140" i="40"/>
  <c r="G141" s="1"/>
  <c r="G53"/>
  <c r="G207"/>
  <c r="I104"/>
  <c r="I42"/>
  <c r="H207"/>
  <c r="K169"/>
  <c r="H169"/>
  <c r="H170" s="1"/>
  <c r="E169"/>
  <c r="E170" s="1"/>
  <c r="B169"/>
  <c r="B170" s="1"/>
  <c r="L169"/>
  <c r="I169"/>
  <c r="F169"/>
  <c r="F170" s="1"/>
  <c r="C169"/>
  <c r="C170" s="1"/>
  <c r="A169"/>
  <c r="M169"/>
  <c r="D169"/>
  <c r="D170" s="1"/>
  <c r="G169"/>
  <c r="G170" s="1"/>
  <c r="Q120" i="39"/>
  <c r="I104"/>
  <c r="I42"/>
  <c r="H207"/>
  <c r="F59"/>
  <c r="F64"/>
  <c r="H140"/>
  <c r="H53"/>
  <c r="G140" i="38"/>
  <c r="G141" s="1"/>
  <c r="G53"/>
  <c r="G207"/>
  <c r="I48"/>
  <c r="S84"/>
  <c r="H48"/>
  <c r="H48" i="32"/>
  <c r="I104"/>
  <c r="I42"/>
  <c r="G140"/>
  <c r="G141" s="1"/>
  <c r="G53"/>
  <c r="G207"/>
  <c r="H105"/>
  <c r="S84"/>
  <c r="I48" i="129"/>
  <c r="J48" s="1"/>
  <c r="H140"/>
  <c r="H53"/>
  <c r="H207"/>
  <c r="H141"/>
  <c r="K169" i="128"/>
  <c r="H169"/>
  <c r="H170" s="1"/>
  <c r="E169"/>
  <c r="E170" s="1"/>
  <c r="B169"/>
  <c r="B170" s="1"/>
  <c r="L169"/>
  <c r="I169"/>
  <c r="F169"/>
  <c r="F170" s="1"/>
  <c r="C169"/>
  <c r="C170" s="1"/>
  <c r="M169"/>
  <c r="G169"/>
  <c r="G170" s="1"/>
  <c r="D169"/>
  <c r="D170" s="1"/>
  <c r="A169"/>
  <c r="G141"/>
  <c r="H140"/>
  <c r="S120" s="1"/>
  <c r="H53"/>
  <c r="G59"/>
  <c r="G64"/>
  <c r="H207"/>
  <c r="I48"/>
  <c r="Q120" i="109"/>
  <c r="G207" i="127"/>
  <c r="H105"/>
  <c r="S84"/>
  <c r="G140"/>
  <c r="G141" s="1"/>
  <c r="G53"/>
  <c r="I104"/>
  <c r="I42"/>
  <c r="H48"/>
  <c r="Q120" i="102"/>
  <c r="G59" i="109"/>
  <c r="G64"/>
  <c r="I104"/>
  <c r="I42"/>
  <c r="H105"/>
  <c r="S84"/>
  <c r="G141"/>
  <c r="F59"/>
  <c r="F64"/>
  <c r="H48"/>
  <c r="M169"/>
  <c r="G169"/>
  <c r="G170" s="1"/>
  <c r="D169"/>
  <c r="D170" s="1"/>
  <c r="A169"/>
  <c r="K169"/>
  <c r="H169"/>
  <c r="H170" s="1"/>
  <c r="E169"/>
  <c r="E170" s="1"/>
  <c r="B169"/>
  <c r="B170" s="1"/>
  <c r="L169"/>
  <c r="I169"/>
  <c r="F169"/>
  <c r="F170" s="1"/>
  <c r="C169"/>
  <c r="C170" s="1"/>
  <c r="I48" i="108"/>
  <c r="F59"/>
  <c r="F64"/>
  <c r="H105"/>
  <c r="S84"/>
  <c r="H48"/>
  <c r="G140" i="102"/>
  <c r="R120" s="1"/>
  <c r="G53"/>
  <c r="G207"/>
  <c r="S84"/>
  <c r="H48"/>
  <c r="I104"/>
  <c r="I42"/>
  <c r="F59"/>
  <c r="F64"/>
  <c r="H48" i="101"/>
  <c r="Q120" i="99"/>
  <c r="S84" i="101"/>
  <c r="I104"/>
  <c r="I42"/>
  <c r="F141"/>
  <c r="F59"/>
  <c r="F64"/>
  <c r="I48" i="100"/>
  <c r="H48"/>
  <c r="K169"/>
  <c r="H169"/>
  <c r="H170" s="1"/>
  <c r="E169"/>
  <c r="E170" s="1"/>
  <c r="B169"/>
  <c r="B170" s="1"/>
  <c r="L169"/>
  <c r="I169"/>
  <c r="F169"/>
  <c r="F170" s="1"/>
  <c r="C169"/>
  <c r="C170" s="1"/>
  <c r="M169"/>
  <c r="D169"/>
  <c r="D170" s="1"/>
  <c r="G169"/>
  <c r="G170" s="1"/>
  <c r="A169"/>
  <c r="G59"/>
  <c r="G64"/>
  <c r="F59" i="99"/>
  <c r="F64"/>
  <c r="H105"/>
  <c r="S84"/>
  <c r="G140"/>
  <c r="R120" s="1"/>
  <c r="G53"/>
  <c r="H48"/>
  <c r="I104"/>
  <c r="I42"/>
  <c r="G207"/>
  <c r="K169" i="98"/>
  <c r="H169"/>
  <c r="H170" s="1"/>
  <c r="E169"/>
  <c r="E170" s="1"/>
  <c r="B169"/>
  <c r="B170" s="1"/>
  <c r="M169"/>
  <c r="G169"/>
  <c r="G170" s="1"/>
  <c r="D169"/>
  <c r="D170" s="1"/>
  <c r="A169"/>
  <c r="F169"/>
  <c r="F170" s="1"/>
  <c r="I169"/>
  <c r="L169"/>
  <c r="C169"/>
  <c r="C170" s="1"/>
  <c r="H48"/>
  <c r="G140"/>
  <c r="G141" s="1"/>
  <c r="G53"/>
  <c r="F59"/>
  <c r="F64"/>
  <c r="I104"/>
  <c r="I42"/>
  <c r="H105"/>
  <c r="S84"/>
  <c r="G207"/>
  <c r="Q120"/>
  <c r="F141" i="93"/>
  <c r="G140" i="97"/>
  <c r="G141" s="1"/>
  <c r="G53"/>
  <c r="G207"/>
  <c r="H105"/>
  <c r="S84"/>
  <c r="H48"/>
  <c r="I48"/>
  <c r="H48" i="96"/>
  <c r="K169"/>
  <c r="H169"/>
  <c r="H170" s="1"/>
  <c r="E169"/>
  <c r="E170" s="1"/>
  <c r="B169"/>
  <c r="B170" s="1"/>
  <c r="L169"/>
  <c r="I169"/>
  <c r="F169"/>
  <c r="F170" s="1"/>
  <c r="C169"/>
  <c r="C170" s="1"/>
  <c r="A169"/>
  <c r="G169"/>
  <c r="G170" s="1"/>
  <c r="M169"/>
  <c r="D169"/>
  <c r="D170" s="1"/>
  <c r="H105"/>
  <c r="S84"/>
  <c r="I104"/>
  <c r="I42"/>
  <c r="G140"/>
  <c r="G53"/>
  <c r="G207"/>
  <c r="I105" i="95"/>
  <c r="T84"/>
  <c r="H140"/>
  <c r="H141" s="1"/>
  <c r="H53"/>
  <c r="I48"/>
  <c r="H207"/>
  <c r="I140" i="94"/>
  <c r="I53"/>
  <c r="I207"/>
  <c r="H140"/>
  <c r="H53"/>
  <c r="H207"/>
  <c r="J48"/>
  <c r="H48" i="93"/>
  <c r="G140"/>
  <c r="R120" s="1"/>
  <c r="G53"/>
  <c r="G207"/>
  <c r="I104"/>
  <c r="I42"/>
  <c r="H105"/>
  <c r="S84"/>
  <c r="F59"/>
  <c r="F64"/>
  <c r="I207" i="92"/>
  <c r="H207"/>
  <c r="J48"/>
  <c r="I140"/>
  <c r="I53"/>
  <c r="K169"/>
  <c r="H169"/>
  <c r="H170" s="1"/>
  <c r="E169"/>
  <c r="E170" s="1"/>
  <c r="B169"/>
  <c r="B170" s="1"/>
  <c r="L169"/>
  <c r="I169"/>
  <c r="F169"/>
  <c r="F170" s="1"/>
  <c r="C169"/>
  <c r="C170" s="1"/>
  <c r="M169"/>
  <c r="G169"/>
  <c r="G170" s="1"/>
  <c r="D169"/>
  <c r="D170" s="1"/>
  <c r="A169"/>
  <c r="H140"/>
  <c r="H141" s="1"/>
  <c r="H53"/>
  <c r="Q120" i="91"/>
  <c r="I104"/>
  <c r="I42"/>
  <c r="H48"/>
  <c r="F59"/>
  <c r="F64"/>
  <c r="G140"/>
  <c r="R120" s="1"/>
  <c r="G53"/>
  <c r="G207"/>
  <c r="H140" i="90"/>
  <c r="H141" s="1"/>
  <c r="H53"/>
  <c r="I105"/>
  <c r="T84"/>
  <c r="H207"/>
  <c r="I48"/>
  <c r="J48" s="1"/>
  <c r="H140" i="89"/>
  <c r="H53"/>
  <c r="I105"/>
  <c r="T84"/>
  <c r="H207"/>
  <c r="I48"/>
  <c r="J48" s="1"/>
  <c r="G141" i="88"/>
  <c r="H105" i="80"/>
  <c r="S84"/>
  <c r="H48"/>
  <c r="I104"/>
  <c r="I42"/>
  <c r="F59"/>
  <c r="F64"/>
  <c r="G140"/>
  <c r="R120" s="1"/>
  <c r="G53"/>
  <c r="G207"/>
  <c r="K169"/>
  <c r="H169"/>
  <c r="H170" s="1"/>
  <c r="E169"/>
  <c r="E170" s="1"/>
  <c r="B169"/>
  <c r="B170" s="1"/>
  <c r="L169"/>
  <c r="I169"/>
  <c r="F169"/>
  <c r="F170" s="1"/>
  <c r="C169"/>
  <c r="C170" s="1"/>
  <c r="M169"/>
  <c r="G169"/>
  <c r="G170" s="1"/>
  <c r="D169"/>
  <c r="D170" s="1"/>
  <c r="A169"/>
  <c r="F141"/>
  <c r="G207" i="79"/>
  <c r="I104"/>
  <c r="I42"/>
  <c r="G140"/>
  <c r="G141" s="1"/>
  <c r="G53"/>
  <c r="H48"/>
  <c r="G141" i="87"/>
  <c r="S84" i="79"/>
  <c r="H140" i="88"/>
  <c r="H141" s="1"/>
  <c r="H53"/>
  <c r="I48"/>
  <c r="H207"/>
  <c r="G59"/>
  <c r="G64"/>
  <c r="I48" i="87"/>
  <c r="J48" s="1"/>
  <c r="H140"/>
  <c r="S120" s="1"/>
  <c r="H53"/>
  <c r="H207"/>
  <c r="I105"/>
  <c r="T84"/>
  <c r="G59"/>
  <c r="G64"/>
  <c r="G141" i="82"/>
  <c r="H207" i="86"/>
  <c r="G140"/>
  <c r="G53"/>
  <c r="G207"/>
  <c r="S120" i="84"/>
  <c r="H140" i="86"/>
  <c r="H141" s="1"/>
  <c r="H53"/>
  <c r="R120" i="76"/>
  <c r="I48" i="86"/>
  <c r="H48" i="85"/>
  <c r="I48"/>
  <c r="G207"/>
  <c r="K169"/>
  <c r="H169"/>
  <c r="H170" s="1"/>
  <c r="E169"/>
  <c r="E170" s="1"/>
  <c r="B169"/>
  <c r="B170" s="1"/>
  <c r="L169"/>
  <c r="I169"/>
  <c r="F169"/>
  <c r="F170" s="1"/>
  <c r="C169"/>
  <c r="C170" s="1"/>
  <c r="A169"/>
  <c r="M169"/>
  <c r="D169"/>
  <c r="D170" s="1"/>
  <c r="G169"/>
  <c r="G170" s="1"/>
  <c r="H105"/>
  <c r="S84"/>
  <c r="G140"/>
  <c r="G141" s="1"/>
  <c r="G53"/>
  <c r="H59" i="84"/>
  <c r="H64"/>
  <c r="I59"/>
  <c r="I64"/>
  <c r="K169"/>
  <c r="H169"/>
  <c r="H170" s="1"/>
  <c r="E169"/>
  <c r="E170" s="1"/>
  <c r="B169"/>
  <c r="B170" s="1"/>
  <c r="M169"/>
  <c r="G169"/>
  <c r="G170" s="1"/>
  <c r="D169"/>
  <c r="D170" s="1"/>
  <c r="A169"/>
  <c r="F169"/>
  <c r="F170" s="1"/>
  <c r="I169"/>
  <c r="L169"/>
  <c r="C169"/>
  <c r="C170" s="1"/>
  <c r="H207" i="82"/>
  <c r="I104"/>
  <c r="I42"/>
  <c r="H140"/>
  <c r="H53"/>
  <c r="G59"/>
  <c r="G64"/>
  <c r="I105" i="81"/>
  <c r="T84"/>
  <c r="G59"/>
  <c r="G64"/>
  <c r="H140"/>
  <c r="H141" s="1"/>
  <c r="H53"/>
  <c r="I48"/>
  <c r="J48" s="1"/>
  <c r="H207"/>
  <c r="F141" i="78"/>
  <c r="S84"/>
  <c r="G140"/>
  <c r="G141" s="1"/>
  <c r="G53"/>
  <c r="F59"/>
  <c r="F64"/>
  <c r="S84" i="74"/>
  <c r="G207" i="78"/>
  <c r="I104"/>
  <c r="I42"/>
  <c r="H48"/>
  <c r="G207" i="77"/>
  <c r="F59"/>
  <c r="F64"/>
  <c r="S84"/>
  <c r="G140"/>
  <c r="G141" s="1"/>
  <c r="G53"/>
  <c r="K169"/>
  <c r="H169"/>
  <c r="H170" s="1"/>
  <c r="E169"/>
  <c r="E170" s="1"/>
  <c r="B169"/>
  <c r="B170" s="1"/>
  <c r="F169"/>
  <c r="F170" s="1"/>
  <c r="A169"/>
  <c r="L169"/>
  <c r="G169"/>
  <c r="G170" s="1"/>
  <c r="C169"/>
  <c r="C170" s="1"/>
  <c r="D169"/>
  <c r="D170" s="1"/>
  <c r="M169"/>
  <c r="I169"/>
  <c r="H48"/>
  <c r="I104"/>
  <c r="I42"/>
  <c r="Q120"/>
  <c r="H140" i="76"/>
  <c r="H141" s="1"/>
  <c r="H53"/>
  <c r="I105"/>
  <c r="T84"/>
  <c r="F141" i="71"/>
  <c r="Q120" i="74"/>
  <c r="G59" i="76"/>
  <c r="G64"/>
  <c r="H207"/>
  <c r="I48"/>
  <c r="G207" i="75"/>
  <c r="H140"/>
  <c r="H141" s="1"/>
  <c r="H53"/>
  <c r="I48"/>
  <c r="G140"/>
  <c r="G141" s="1"/>
  <c r="G53"/>
  <c r="H207"/>
  <c r="S84" i="73"/>
  <c r="K169" i="74"/>
  <c r="H169"/>
  <c r="H170" s="1"/>
  <c r="E169"/>
  <c r="E170" s="1"/>
  <c r="B169"/>
  <c r="B170" s="1"/>
  <c r="M169"/>
  <c r="G169"/>
  <c r="G170" s="1"/>
  <c r="D169"/>
  <c r="D170" s="1"/>
  <c r="A169"/>
  <c r="F169"/>
  <c r="F170" s="1"/>
  <c r="L169"/>
  <c r="C169"/>
  <c r="C170" s="1"/>
  <c r="I169"/>
  <c r="H48"/>
  <c r="I104"/>
  <c r="I42"/>
  <c r="G140"/>
  <c r="R120" s="1"/>
  <c r="G53"/>
  <c r="G207"/>
  <c r="F59"/>
  <c r="F64"/>
  <c r="S84" i="70"/>
  <c r="G207" i="73"/>
  <c r="K169"/>
  <c r="H169"/>
  <c r="H170" s="1"/>
  <c r="E169"/>
  <c r="E170" s="1"/>
  <c r="B169"/>
  <c r="B170" s="1"/>
  <c r="L169"/>
  <c r="I169"/>
  <c r="F169"/>
  <c r="F170" s="1"/>
  <c r="C169"/>
  <c r="C170" s="1"/>
  <c r="M169"/>
  <c r="G169"/>
  <c r="G170" s="1"/>
  <c r="D169"/>
  <c r="D170" s="1"/>
  <c r="A169"/>
  <c r="H48"/>
  <c r="F59"/>
  <c r="F64"/>
  <c r="G140"/>
  <c r="G141" s="1"/>
  <c r="G53"/>
  <c r="I104"/>
  <c r="I42"/>
  <c r="S84" i="71"/>
  <c r="H48" i="72"/>
  <c r="F59"/>
  <c r="F64"/>
  <c r="G207"/>
  <c r="H105"/>
  <c r="S84"/>
  <c r="I104"/>
  <c r="I42"/>
  <c r="G140"/>
  <c r="G141" s="1"/>
  <c r="G53"/>
  <c r="G207" i="71"/>
  <c r="H48"/>
  <c r="Q120" i="70"/>
  <c r="G140" i="71"/>
  <c r="R120" s="1"/>
  <c r="G53"/>
  <c r="F59"/>
  <c r="F64"/>
  <c r="I104"/>
  <c r="I42"/>
  <c r="G140" i="70"/>
  <c r="R120" s="1"/>
  <c r="G53"/>
  <c r="G207"/>
  <c r="F59"/>
  <c r="F64"/>
  <c r="H48"/>
  <c r="I104"/>
  <c r="I42"/>
  <c r="H207" i="69"/>
  <c r="I48"/>
  <c r="H140"/>
  <c r="H53"/>
  <c r="I105"/>
  <c r="T84"/>
  <c r="H141" i="68"/>
  <c r="H207"/>
  <c r="K169"/>
  <c r="H169"/>
  <c r="H170" s="1"/>
  <c r="E169"/>
  <c r="E170" s="1"/>
  <c r="B169"/>
  <c r="B170" s="1"/>
  <c r="L169"/>
  <c r="I169"/>
  <c r="F169"/>
  <c r="F170" s="1"/>
  <c r="C169"/>
  <c r="C170" s="1"/>
  <c r="M169"/>
  <c r="G169"/>
  <c r="G170" s="1"/>
  <c r="D169"/>
  <c r="D170" s="1"/>
  <c r="A169"/>
  <c r="I48"/>
  <c r="J48" s="1"/>
  <c r="S84" i="67"/>
  <c r="H140" i="68"/>
  <c r="H53"/>
  <c r="F59" i="67"/>
  <c r="F64"/>
  <c r="G140"/>
  <c r="G141" s="1"/>
  <c r="G53"/>
  <c r="Q120"/>
  <c r="G208"/>
  <c r="H48"/>
  <c r="I104"/>
  <c r="I42"/>
  <c r="B105" i="114"/>
  <c r="C105" s="1"/>
  <c r="A114"/>
  <c r="B106" i="113"/>
  <c r="C106" s="1"/>
  <c r="A115"/>
  <c r="A115" i="7"/>
  <c r="B106"/>
  <c r="A336"/>
  <c r="B327"/>
  <c r="L34" i="107"/>
  <c r="M20" i="106" l="1"/>
  <c r="M20" i="135" s="1"/>
  <c r="M24" i="106"/>
  <c r="M24" i="135" s="1"/>
  <c r="M28" i="106"/>
  <c r="M28" i="135" s="1"/>
  <c r="L22" i="106"/>
  <c r="L22" i="135" s="1"/>
  <c r="L26" i="106"/>
  <c r="L26" i="135" s="1"/>
  <c r="N20" i="106"/>
  <c r="N20" i="135" s="1"/>
  <c r="N24" i="106"/>
  <c r="N24" i="135" s="1"/>
  <c r="N572" i="106"/>
  <c r="N572" i="135" s="1"/>
  <c r="M574" i="106"/>
  <c r="M574" i="135" s="1"/>
  <c r="L576" i="106"/>
  <c r="L576" i="135" s="1"/>
  <c r="N329" i="106"/>
  <c r="N329" i="135" s="1"/>
  <c r="M334" i="106"/>
  <c r="M334" i="135" s="1"/>
  <c r="M329" i="106"/>
  <c r="M329" i="135" s="1"/>
  <c r="N333" i="106"/>
  <c r="N333" i="135" s="1"/>
  <c r="M327" i="106"/>
  <c r="M327" i="135" s="1"/>
  <c r="N331" i="106"/>
  <c r="N331" i="135" s="1"/>
  <c r="M336" i="106"/>
  <c r="M336" i="135" s="1"/>
  <c r="L329" i="106"/>
  <c r="L329" i="135" s="1"/>
  <c r="L332" i="106"/>
  <c r="L332" i="135" s="1"/>
  <c r="L335" i="106"/>
  <c r="L335" i="135" s="1"/>
  <c r="N250" i="106"/>
  <c r="N250" i="135" s="1"/>
  <c r="N253" i="106"/>
  <c r="N253" i="135" s="1"/>
  <c r="N256" i="106"/>
  <c r="N256" i="135" s="1"/>
  <c r="N259" i="106"/>
  <c r="N259" i="135" s="1"/>
  <c r="M252" i="106"/>
  <c r="M252" i="135" s="1"/>
  <c r="M255" i="106"/>
  <c r="M255" i="135" s="1"/>
  <c r="M258" i="106"/>
  <c r="M258" i="135" s="1"/>
  <c r="L251" i="106"/>
  <c r="L251" i="135" s="1"/>
  <c r="L254" i="106"/>
  <c r="L254" i="135" s="1"/>
  <c r="L257" i="106"/>
  <c r="L257" i="135" s="1"/>
  <c r="L105" i="106"/>
  <c r="L109"/>
  <c r="L113"/>
  <c r="N107"/>
  <c r="N111"/>
  <c r="M105"/>
  <c r="M109"/>
  <c r="M113"/>
  <c r="M56"/>
  <c r="M56" i="135" s="1"/>
  <c r="M59" i="106"/>
  <c r="M59" i="135" s="1"/>
  <c r="M62" i="106"/>
  <c r="M62" i="135" s="1"/>
  <c r="M65" i="106"/>
  <c r="M65" i="135" s="1"/>
  <c r="L58" i="106"/>
  <c r="L58" i="135" s="1"/>
  <c r="L61" i="106"/>
  <c r="L61" i="135" s="1"/>
  <c r="L64" i="106"/>
  <c r="L64" i="135" s="1"/>
  <c r="N57" i="106"/>
  <c r="N57" i="135" s="1"/>
  <c r="N60" i="106"/>
  <c r="N60" i="135" s="1"/>
  <c r="N63" i="106"/>
  <c r="N63" i="135" s="1"/>
  <c r="N9" i="106"/>
  <c r="N9" i="135" s="1"/>
  <c r="N15" i="106"/>
  <c r="N15" i="135" s="1"/>
  <c r="M11" i="106"/>
  <c r="M11" i="135" s="1"/>
  <c r="M17" i="106"/>
  <c r="M17" i="135" s="1"/>
  <c r="L13" i="106"/>
  <c r="L13" i="135" s="1"/>
  <c r="L731" i="106"/>
  <c r="L731" i="135" s="1"/>
  <c r="L736" i="106"/>
  <c r="L736" i="135" s="1"/>
  <c r="L732" i="106"/>
  <c r="L732" i="135" s="1"/>
  <c r="L738" i="106"/>
  <c r="L738" i="135" s="1"/>
  <c r="L733" i="106"/>
  <c r="L733" i="135" s="1"/>
  <c r="M735" i="106"/>
  <c r="M735" i="135" s="1"/>
  <c r="M738" i="106"/>
  <c r="M738" i="135" s="1"/>
  <c r="N731" i="106"/>
  <c r="N731" i="135" s="1"/>
  <c r="N734" i="106"/>
  <c r="N734" i="135" s="1"/>
  <c r="N737" i="106"/>
  <c r="N737" i="135" s="1"/>
  <c r="N571" i="106"/>
  <c r="N571" i="135" s="1"/>
  <c r="N574" i="106"/>
  <c r="N574" i="135" s="1"/>
  <c r="N577" i="106"/>
  <c r="N577" i="135" s="1"/>
  <c r="M570" i="106"/>
  <c r="M570" i="135" s="1"/>
  <c r="M573" i="106"/>
  <c r="M573" i="135" s="1"/>
  <c r="M576" i="106"/>
  <c r="M576" i="135" s="1"/>
  <c r="M579" i="106"/>
  <c r="M579" i="135" s="1"/>
  <c r="L572" i="106"/>
  <c r="L572" i="135" s="1"/>
  <c r="L575" i="106"/>
  <c r="L575" i="135" s="1"/>
  <c r="L578" i="106"/>
  <c r="L578" i="135" s="1"/>
  <c r="M328" i="106"/>
  <c r="M328" i="135" s="1"/>
  <c r="N332" i="106"/>
  <c r="N332" i="135" s="1"/>
  <c r="N327" i="106"/>
  <c r="N327" i="135" s="1"/>
  <c r="M332" i="106"/>
  <c r="M332" i="135" s="1"/>
  <c r="N336" i="106"/>
  <c r="N336" i="135" s="1"/>
  <c r="M330" i="106"/>
  <c r="M330" i="135" s="1"/>
  <c r="N334" i="106"/>
  <c r="N334" i="135" s="1"/>
  <c r="L328" i="106"/>
  <c r="L328" i="135" s="1"/>
  <c r="L331" i="106"/>
  <c r="L331" i="135" s="1"/>
  <c r="N252" i="106"/>
  <c r="N252" i="135" s="1"/>
  <c r="N255" i="106"/>
  <c r="N255" i="135" s="1"/>
  <c r="N258" i="106"/>
  <c r="N258" i="135" s="1"/>
  <c r="M251" i="106"/>
  <c r="M251" i="135" s="1"/>
  <c r="M254" i="106"/>
  <c r="M254" i="135" s="1"/>
  <c r="M257" i="106"/>
  <c r="M257" i="135" s="1"/>
  <c r="L250" i="106"/>
  <c r="L250" i="135" s="1"/>
  <c r="L253" i="106"/>
  <c r="L253" i="135" s="1"/>
  <c r="L256" i="106"/>
  <c r="L256" i="135" s="1"/>
  <c r="L107" i="106"/>
  <c r="L111"/>
  <c r="N105"/>
  <c r="N109"/>
  <c r="N113"/>
  <c r="M107"/>
  <c r="M111"/>
  <c r="M58"/>
  <c r="M58" i="135" s="1"/>
  <c r="M61" i="106"/>
  <c r="M61" i="135" s="1"/>
  <c r="M64" i="106"/>
  <c r="M64" i="135" s="1"/>
  <c r="L57" i="106"/>
  <c r="L57" i="135" s="1"/>
  <c r="L60" i="106"/>
  <c r="L60" i="135" s="1"/>
  <c r="L63" i="106"/>
  <c r="L63" i="135" s="1"/>
  <c r="N56" i="106"/>
  <c r="N56" i="135" s="1"/>
  <c r="N59" i="106"/>
  <c r="N59" i="135" s="1"/>
  <c r="N62" i="106"/>
  <c r="N62" i="135" s="1"/>
  <c r="N13" i="106"/>
  <c r="N13" i="135" s="1"/>
  <c r="M9" i="106"/>
  <c r="M9" i="135" s="1"/>
  <c r="M15" i="106"/>
  <c r="M15" i="135" s="1"/>
  <c r="L11" i="106"/>
  <c r="L11" i="135" s="1"/>
  <c r="L17" i="106"/>
  <c r="L17" i="135" s="1"/>
  <c r="L734" i="106"/>
  <c r="L734" i="135" s="1"/>
  <c r="M730" i="106"/>
  <c r="M730" i="135" s="1"/>
  <c r="L735" i="106"/>
  <c r="L735" i="135" s="1"/>
  <c r="M731" i="106"/>
  <c r="M731" i="135" s="1"/>
  <c r="L737" i="106"/>
  <c r="L737" i="135" s="1"/>
  <c r="M737" i="106"/>
  <c r="M737" i="135" s="1"/>
  <c r="N730" i="106"/>
  <c r="N730" i="135" s="1"/>
  <c r="N733" i="106"/>
  <c r="N733" i="135" s="1"/>
  <c r="N736" i="106"/>
  <c r="N736" i="135" s="1"/>
  <c r="N570" i="106"/>
  <c r="N570" i="135" s="1"/>
  <c r="N573" i="106"/>
  <c r="N573" i="135" s="1"/>
  <c r="N576" i="106"/>
  <c r="N576" i="135" s="1"/>
  <c r="N579" i="106"/>
  <c r="N579" i="135" s="1"/>
  <c r="M572" i="106"/>
  <c r="M572" i="135" s="1"/>
  <c r="M575" i="106"/>
  <c r="M575" i="135" s="1"/>
  <c r="M578" i="106"/>
  <c r="M578" i="135" s="1"/>
  <c r="L571" i="106"/>
  <c r="L571" i="135" s="1"/>
  <c r="L574" i="106"/>
  <c r="L574" i="135" s="1"/>
  <c r="N10" i="106"/>
  <c r="N10" i="135" s="1"/>
  <c r="N14" i="106"/>
  <c r="N14" i="135" s="1"/>
  <c r="M8" i="106"/>
  <c r="M8" i="135" s="1"/>
  <c r="M12" i="106"/>
  <c r="M12" i="135" s="1"/>
  <c r="M16" i="106"/>
  <c r="M16" i="135" s="1"/>
  <c r="L10" i="106"/>
  <c r="L10" i="135" s="1"/>
  <c r="L14" i="106"/>
  <c r="L14" i="135" s="1"/>
  <c r="M536" i="106"/>
  <c r="M536" i="135" s="1"/>
  <c r="L309" i="106"/>
  <c r="L309" i="135" s="1"/>
  <c r="L275" i="106"/>
  <c r="L275" i="135" s="1"/>
  <c r="L279" i="106"/>
  <c r="L279" i="135" s="1"/>
  <c r="L283" i="106"/>
  <c r="L283" i="135" s="1"/>
  <c r="N277" i="106"/>
  <c r="N277" i="135" s="1"/>
  <c r="N281" i="106"/>
  <c r="N281" i="135" s="1"/>
  <c r="M275" i="106"/>
  <c r="M275" i="135" s="1"/>
  <c r="M279" i="106"/>
  <c r="M279" i="135" s="1"/>
  <c r="L104" i="106"/>
  <c r="L104" i="135" s="1"/>
  <c r="L108" i="106"/>
  <c r="L112"/>
  <c r="N106"/>
  <c r="N110"/>
  <c r="M104"/>
  <c r="M104" i="135" s="1"/>
  <c r="M108" i="106"/>
  <c r="N8"/>
  <c r="N8" i="135" s="1"/>
  <c r="N12" i="106"/>
  <c r="N12" i="135" s="1"/>
  <c r="N16" i="106"/>
  <c r="N16" i="135" s="1"/>
  <c r="M10" i="106"/>
  <c r="M10" i="135" s="1"/>
  <c r="M14" i="106"/>
  <c r="M14" i="135" s="1"/>
  <c r="L8" i="106"/>
  <c r="L8" i="135" s="1"/>
  <c r="L12" i="106"/>
  <c r="L12" i="135" s="1"/>
  <c r="L535" i="106"/>
  <c r="L535" i="135" s="1"/>
  <c r="N308" i="106"/>
  <c r="N308" i="135" s="1"/>
  <c r="M307" i="106"/>
  <c r="M307" i="135" s="1"/>
  <c r="L306" i="106"/>
  <c r="L306" i="135" s="1"/>
  <c r="L238" i="106"/>
  <c r="L238" i="135" s="1"/>
  <c r="L247" i="106"/>
  <c r="L247" i="135" s="1"/>
  <c r="N246" i="106"/>
  <c r="N246" i="135" s="1"/>
  <c r="M245" i="106"/>
  <c r="M245" i="135" s="1"/>
  <c r="N93" i="106"/>
  <c r="N93" i="135" s="1"/>
  <c r="L37" i="106"/>
  <c r="L37" i="135" s="1"/>
  <c r="N36" i="106"/>
  <c r="N36" i="135" s="1"/>
  <c r="M35" i="106"/>
  <c r="M35" i="135" s="1"/>
  <c r="N792" i="106"/>
  <c r="N792" i="135" s="1"/>
  <c r="L787" i="106"/>
  <c r="L787" i="135" s="1"/>
  <c r="M786" i="106"/>
  <c r="M786" i="135" s="1"/>
  <c r="M795" i="106"/>
  <c r="M795" i="135" s="1"/>
  <c r="N534" i="106"/>
  <c r="N534" i="135" s="1"/>
  <c r="N543" i="106"/>
  <c r="N543" i="135" s="1"/>
  <c r="M542" i="106"/>
  <c r="M542" i="135" s="1"/>
  <c r="L541" i="106"/>
  <c r="L541" i="135" s="1"/>
  <c r="N305" i="106"/>
  <c r="N305" i="135" s="1"/>
  <c r="M304" i="106"/>
  <c r="M304" i="135" s="1"/>
  <c r="L303" i="106"/>
  <c r="L303" i="135" s="1"/>
  <c r="L312" i="106"/>
  <c r="L312" i="135" s="1"/>
  <c r="L244" i="106"/>
  <c r="L244" i="135" s="1"/>
  <c r="N243" i="106"/>
  <c r="N243" i="135" s="1"/>
  <c r="M242" i="106"/>
  <c r="M242" i="135" s="1"/>
  <c r="L94" i="106"/>
  <c r="L94" i="135" s="1"/>
  <c r="L34" i="106"/>
  <c r="L34" i="135" s="1"/>
  <c r="N33" i="106"/>
  <c r="N33" i="135" s="1"/>
  <c r="M32" i="106"/>
  <c r="M32" i="135" s="1"/>
  <c r="M41" i="106"/>
  <c r="M41" i="135" s="1"/>
  <c r="N790" i="106"/>
  <c r="N790" i="135" s="1"/>
  <c r="L793" i="106"/>
  <c r="L793" i="135" s="1"/>
  <c r="M792" i="106"/>
  <c r="M792" i="135" s="1"/>
  <c r="N540" i="106"/>
  <c r="N540" i="135" s="1"/>
  <c r="M539" i="106"/>
  <c r="M539" i="135" s="1"/>
  <c r="L538" i="106"/>
  <c r="L538" i="135" s="1"/>
  <c r="J618" i="111"/>
  <c r="U618" s="1"/>
  <c r="H617"/>
  <c r="S617" s="1"/>
  <c r="F616"/>
  <c r="Q616" s="1"/>
  <c r="K614"/>
  <c r="V614" s="1"/>
  <c r="I613"/>
  <c r="T613" s="1"/>
  <c r="F618"/>
  <c r="Q618" s="1"/>
  <c r="K616"/>
  <c r="V616" s="1"/>
  <c r="I615"/>
  <c r="T615" s="1"/>
  <c r="G614"/>
  <c r="R614" s="1"/>
  <c r="K618"/>
  <c r="V618" s="1"/>
  <c r="E615"/>
  <c r="F617"/>
  <c r="Q617" s="1"/>
  <c r="G613"/>
  <c r="R613" s="1"/>
  <c r="H615"/>
  <c r="S615" s="1"/>
  <c r="K617"/>
  <c r="V617" s="1"/>
  <c r="I616"/>
  <c r="T616" s="1"/>
  <c r="G615"/>
  <c r="R615" s="1"/>
  <c r="E614"/>
  <c r="I618"/>
  <c r="T618" s="1"/>
  <c r="G617"/>
  <c r="R617" s="1"/>
  <c r="E616"/>
  <c r="J614"/>
  <c r="U614" s="1"/>
  <c r="E613"/>
  <c r="G616"/>
  <c r="R616" s="1"/>
  <c r="H618"/>
  <c r="S618" s="1"/>
  <c r="I614"/>
  <c r="T614" s="1"/>
  <c r="F614"/>
  <c r="Q614" s="1"/>
  <c r="G618"/>
  <c r="R618" s="1"/>
  <c r="E617"/>
  <c r="J615"/>
  <c r="U615" s="1"/>
  <c r="H614"/>
  <c r="S614" s="1"/>
  <c r="F613"/>
  <c r="Q613" s="1"/>
  <c r="J617"/>
  <c r="U617" s="1"/>
  <c r="H616"/>
  <c r="S616" s="1"/>
  <c r="F615"/>
  <c r="Q615" s="1"/>
  <c r="H613"/>
  <c r="S613" s="1"/>
  <c r="I617"/>
  <c r="T617" s="1"/>
  <c r="J613"/>
  <c r="U613" s="1"/>
  <c r="K615"/>
  <c r="V615" s="1"/>
  <c r="E618"/>
  <c r="J616"/>
  <c r="U616" s="1"/>
  <c r="G141" i="104"/>
  <c r="G133" i="63"/>
  <c r="T120" i="84"/>
  <c r="I134" i="67"/>
  <c r="T113"/>
  <c r="T119" s="1"/>
  <c r="E384" i="111" s="1" a="1"/>
  <c r="I134" i="70"/>
  <c r="T113"/>
  <c r="T119" s="1"/>
  <c r="E429" i="111" s="1" a="1"/>
  <c r="I134" i="40"/>
  <c r="T113"/>
  <c r="I134" i="53"/>
  <c r="T113"/>
  <c r="T119" s="1"/>
  <c r="E258" i="111" s="1" a="1"/>
  <c r="I134" i="72"/>
  <c r="T113"/>
  <c r="T119" s="1"/>
  <c r="E461" i="111" s="1" a="1"/>
  <c r="I134" i="73"/>
  <c r="T113"/>
  <c r="T119" s="1"/>
  <c r="E478" i="111" s="1" a="1"/>
  <c r="I134" i="74"/>
  <c r="T113"/>
  <c r="T119" s="1"/>
  <c r="E493" i="111" s="1" a="1"/>
  <c r="I134" i="77"/>
  <c r="T113"/>
  <c r="T119" s="1"/>
  <c r="E538" i="111" s="1" a="1"/>
  <c r="I134" i="78"/>
  <c r="T113"/>
  <c r="T119" s="1"/>
  <c r="E553" i="111" s="1" a="1"/>
  <c r="I134" i="91"/>
  <c r="T113"/>
  <c r="T119" s="1"/>
  <c r="E750" i="111" s="1" a="1"/>
  <c r="I134" i="98"/>
  <c r="T113"/>
  <c r="T119" s="1"/>
  <c r="E857" i="111" s="1" a="1"/>
  <c r="I134" i="99"/>
  <c r="T113"/>
  <c r="T119" s="1"/>
  <c r="E872" i="111" s="1" a="1"/>
  <c r="I134" i="102"/>
  <c r="T113"/>
  <c r="T119" s="1"/>
  <c r="E919" i="111" s="1" a="1"/>
  <c r="I134" i="127"/>
  <c r="T113"/>
  <c r="T119" s="1"/>
  <c r="E964" i="111" s="1" a="1"/>
  <c r="I134" i="39"/>
  <c r="T113"/>
  <c r="I134" i="58"/>
  <c r="T113"/>
  <c r="T119" s="1"/>
  <c r="E333" i="111" s="1" a="1"/>
  <c r="I134" i="60"/>
  <c r="T113"/>
  <c r="T119" s="1"/>
  <c r="E364" i="111" s="1" a="1"/>
  <c r="I134" i="71"/>
  <c r="T113"/>
  <c r="T119" s="1"/>
  <c r="E446" i="111" s="1" a="1"/>
  <c r="I134" i="82"/>
  <c r="T113"/>
  <c r="T119" s="1"/>
  <c r="E583" i="111" s="1" a="1"/>
  <c r="I134" i="79"/>
  <c r="T113"/>
  <c r="T119" s="1"/>
  <c r="E690" i="111" s="1" a="1"/>
  <c r="I134" i="80"/>
  <c r="T113"/>
  <c r="T119" s="1"/>
  <c r="E705" i="111" s="1" a="1"/>
  <c r="I134" i="93"/>
  <c r="T113"/>
  <c r="T119" s="1"/>
  <c r="E780" i="111" s="1" a="1"/>
  <c r="I134" i="96"/>
  <c r="T113"/>
  <c r="T119" s="1"/>
  <c r="E825" i="111" s="1" a="1"/>
  <c r="I134" i="101"/>
  <c r="T113"/>
  <c r="T119" s="1"/>
  <c r="E902" i="111" s="1" a="1"/>
  <c r="I134" i="109"/>
  <c r="T113"/>
  <c r="T119" s="1"/>
  <c r="I134" i="32"/>
  <c r="T113"/>
  <c r="T119" s="1"/>
  <c r="I134" i="42"/>
  <c r="T113"/>
  <c r="T119" s="1"/>
  <c r="E91" i="111" s="1" a="1"/>
  <c r="I134" i="43"/>
  <c r="T113"/>
  <c r="T119" s="1"/>
  <c r="I134" i="45"/>
  <c r="T113"/>
  <c r="T119" s="1"/>
  <c r="E136" i="111" s="1" a="1"/>
  <c r="I134" i="50"/>
  <c r="T113"/>
  <c r="T119" s="1"/>
  <c r="E213" i="111" s="1" a="1"/>
  <c r="T119" i="88"/>
  <c r="E675" i="111" s="1" a="1"/>
  <c r="F680" s="1"/>
  <c r="Q680" s="1"/>
  <c r="I105" i="88"/>
  <c r="J48"/>
  <c r="T84" i="44"/>
  <c r="G141" i="41"/>
  <c r="S120" i="39"/>
  <c r="S120" i="44"/>
  <c r="L20" i="135"/>
  <c r="T84" i="46"/>
  <c r="G70" i="39"/>
  <c r="G208" s="1"/>
  <c r="T84" i="128"/>
  <c r="T119" i="38"/>
  <c r="T84" i="85"/>
  <c r="I105" i="47"/>
  <c r="I105" i="86"/>
  <c r="T120" i="94"/>
  <c r="T120" i="92"/>
  <c r="I105" i="44"/>
  <c r="I105" i="75"/>
  <c r="T119" i="85"/>
  <c r="T119" i="86"/>
  <c r="I105" i="59"/>
  <c r="I105" i="97"/>
  <c r="I105" i="38"/>
  <c r="T119" i="49"/>
  <c r="E198" i="111" s="1" a="1"/>
  <c r="G203" s="1"/>
  <c r="R203" s="1"/>
  <c r="T84" i="49"/>
  <c r="T119" i="75"/>
  <c r="T119" i="59"/>
  <c r="T84" i="83"/>
  <c r="I58" i="63"/>
  <c r="I69" s="1"/>
  <c r="I144" s="1"/>
  <c r="J144" s="1"/>
  <c r="J48" i="75"/>
  <c r="I105" i="108"/>
  <c r="T119"/>
  <c r="S120" i="82"/>
  <c r="T119" i="47"/>
  <c r="I55" i="63"/>
  <c r="I58" i="104"/>
  <c r="I69" s="1"/>
  <c r="I56" i="63"/>
  <c r="I67" s="1"/>
  <c r="T119" i="97"/>
  <c r="I105" i="100"/>
  <c r="T119" i="44"/>
  <c r="E121" i="111" s="1" a="1"/>
  <c r="K126" s="1"/>
  <c r="V126" s="1"/>
  <c r="T119" i="46"/>
  <c r="I67" i="32"/>
  <c r="S11" i="105" s="1"/>
  <c r="I54" i="63"/>
  <c r="I65" s="1"/>
  <c r="I140" s="1"/>
  <c r="I55" i="104"/>
  <c r="I66" s="1"/>
  <c r="I149" s="1"/>
  <c r="I56"/>
  <c r="I67" s="1"/>
  <c r="I150" s="1"/>
  <c r="J150" s="1"/>
  <c r="I54"/>
  <c r="I65" s="1"/>
  <c r="I148" s="1"/>
  <c r="J148" s="1"/>
  <c r="I69" i="67"/>
  <c r="S236" i="105" s="1"/>
  <c r="T119" i="100"/>
  <c r="I57" i="63"/>
  <c r="I68" s="1"/>
  <c r="I143" s="1"/>
  <c r="I57" i="104"/>
  <c r="I68" s="1"/>
  <c r="I151" s="1"/>
  <c r="J151" s="1"/>
  <c r="R120" i="55"/>
  <c r="G141"/>
  <c r="G66" i="83"/>
  <c r="G55" i="104"/>
  <c r="G66" s="1"/>
  <c r="G59" i="83"/>
  <c r="R120"/>
  <c r="G141"/>
  <c r="G65" i="48"/>
  <c r="G54" i="63"/>
  <c r="G65" s="1"/>
  <c r="G59" i="48"/>
  <c r="G65" i="55"/>
  <c r="G59"/>
  <c r="G68" i="52"/>
  <c r="G57" i="63"/>
  <c r="G68" s="1"/>
  <c r="G59" i="52"/>
  <c r="R120" i="48"/>
  <c r="L262" i="106" a="1"/>
  <c r="N269" s="1"/>
  <c r="N269" i="135" s="1"/>
  <c r="M92" i="106"/>
  <c r="M92" i="135" s="1"/>
  <c r="M101" i="106"/>
  <c r="M101" i="135" s="1"/>
  <c r="L100" i="106"/>
  <c r="L100" i="135" s="1"/>
  <c r="N99" i="106"/>
  <c r="N99" i="135" s="1"/>
  <c r="M98" i="106"/>
  <c r="M98" i="135" s="1"/>
  <c r="L97" i="106"/>
  <c r="L97" i="135" s="1"/>
  <c r="N96" i="106"/>
  <c r="N96" i="135" s="1"/>
  <c r="N304" i="106"/>
  <c r="N304" i="135" s="1"/>
  <c r="N307" i="106"/>
  <c r="N307" i="135" s="1"/>
  <c r="N310" i="106"/>
  <c r="N310" i="135" s="1"/>
  <c r="M303" i="106"/>
  <c r="M303" i="135" s="1"/>
  <c r="M306" i="106"/>
  <c r="M306" i="135" s="1"/>
  <c r="M309" i="106"/>
  <c r="M309" i="135" s="1"/>
  <c r="M312" i="106"/>
  <c r="M312" i="135" s="1"/>
  <c r="L305" i="106"/>
  <c r="L305" i="135" s="1"/>
  <c r="L308" i="106"/>
  <c r="L308" i="135" s="1"/>
  <c r="L311" i="106"/>
  <c r="L311" i="135" s="1"/>
  <c r="N288" i="106"/>
  <c r="N291"/>
  <c r="N294"/>
  <c r="M287"/>
  <c r="M290"/>
  <c r="M293"/>
  <c r="L286"/>
  <c r="L289"/>
  <c r="L292"/>
  <c r="L295"/>
  <c r="L240"/>
  <c r="L240" i="135" s="1"/>
  <c r="L243" i="106"/>
  <c r="L243" i="135" s="1"/>
  <c r="L246" i="106"/>
  <c r="L246" i="135" s="1"/>
  <c r="N239" i="106"/>
  <c r="N239" i="135" s="1"/>
  <c r="N242" i="106"/>
  <c r="N242" i="135" s="1"/>
  <c r="N245" i="106"/>
  <c r="N245" i="135" s="1"/>
  <c r="M238" i="106"/>
  <c r="M238" i="135" s="1"/>
  <c r="M241" i="106"/>
  <c r="M241" i="135" s="1"/>
  <c r="M244" i="106"/>
  <c r="M244" i="135" s="1"/>
  <c r="M247" i="106"/>
  <c r="M247" i="135" s="1"/>
  <c r="M94" i="106"/>
  <c r="M94" i="135" s="1"/>
  <c r="M97" i="106"/>
  <c r="M97" i="135" s="1"/>
  <c r="M100" i="106"/>
  <c r="M100" i="135" s="1"/>
  <c r="L93" i="106"/>
  <c r="L93" i="135" s="1"/>
  <c r="L96" i="106"/>
  <c r="L96" i="135" s="1"/>
  <c r="L99" i="106"/>
  <c r="L99" i="135" s="1"/>
  <c r="N92" i="106"/>
  <c r="N92" i="135" s="1"/>
  <c r="N95" i="106"/>
  <c r="N95" i="135" s="1"/>
  <c r="N98" i="106"/>
  <c r="N98" i="135" s="1"/>
  <c r="N101" i="106"/>
  <c r="N101" i="135" s="1"/>
  <c r="L33" i="106"/>
  <c r="L33" i="135" s="1"/>
  <c r="L36" i="106"/>
  <c r="L36" i="135" s="1"/>
  <c r="L39" i="106"/>
  <c r="L39" i="135" s="1"/>
  <c r="N32" i="106"/>
  <c r="N32" i="135" s="1"/>
  <c r="N35" i="106"/>
  <c r="N35" i="135" s="1"/>
  <c r="N38" i="106"/>
  <c r="N38" i="135" s="1"/>
  <c r="N41" i="106"/>
  <c r="N41" i="135" s="1"/>
  <c r="M34" i="106"/>
  <c r="M34" i="135" s="1"/>
  <c r="M37" i="106"/>
  <c r="M37" i="135" s="1"/>
  <c r="M40" i="106"/>
  <c r="M40" i="135" s="1"/>
  <c r="N789" i="106"/>
  <c r="N789" i="135" s="1"/>
  <c r="N788" i="106"/>
  <c r="N788" i="135" s="1"/>
  <c r="N787" i="106"/>
  <c r="N787" i="135" s="1"/>
  <c r="L786" i="106"/>
  <c r="L786" i="135" s="1"/>
  <c r="L789" i="106"/>
  <c r="L789" i="135" s="1"/>
  <c r="L792" i="106"/>
  <c r="L792" i="135" s="1"/>
  <c r="L795" i="106"/>
  <c r="L795" i="135" s="1"/>
  <c r="M788" i="106"/>
  <c r="M788" i="135" s="1"/>
  <c r="M791" i="106"/>
  <c r="M791" i="135" s="1"/>
  <c r="M794" i="106"/>
  <c r="M794" i="135" s="1"/>
  <c r="N536" i="106"/>
  <c r="N536" i="135" s="1"/>
  <c r="N539" i="106"/>
  <c r="N539" i="135" s="1"/>
  <c r="N542" i="106"/>
  <c r="N542" i="135" s="1"/>
  <c r="M535" i="106"/>
  <c r="M535" i="135" s="1"/>
  <c r="M538" i="106"/>
  <c r="M538" i="135" s="1"/>
  <c r="M541" i="106"/>
  <c r="M541" i="135" s="1"/>
  <c r="L534" i="106"/>
  <c r="L534" i="135" s="1"/>
  <c r="L537" i="106"/>
  <c r="L537" i="135" s="1"/>
  <c r="L540" i="106"/>
  <c r="L540" i="135" s="1"/>
  <c r="L543" i="106"/>
  <c r="L543" i="135" s="1"/>
  <c r="N303" i="106"/>
  <c r="N303" i="135" s="1"/>
  <c r="N306" i="106"/>
  <c r="N306" i="135" s="1"/>
  <c r="N309" i="106"/>
  <c r="N309" i="135" s="1"/>
  <c r="N312" i="106"/>
  <c r="N312" i="135" s="1"/>
  <c r="M305" i="106"/>
  <c r="M305" i="135" s="1"/>
  <c r="M308" i="106"/>
  <c r="M308" i="135" s="1"/>
  <c r="M311" i="106"/>
  <c r="M311" i="135" s="1"/>
  <c r="L304" i="106"/>
  <c r="L304" i="135" s="1"/>
  <c r="L307" i="106"/>
  <c r="L307" i="135" s="1"/>
  <c r="N287" i="106"/>
  <c r="N290"/>
  <c r="N293"/>
  <c r="M286"/>
  <c r="M289"/>
  <c r="M292"/>
  <c r="M295"/>
  <c r="L288"/>
  <c r="L291"/>
  <c r="L239"/>
  <c r="L239" i="135" s="1"/>
  <c r="L242" i="106"/>
  <c r="L242" i="135" s="1"/>
  <c r="L245" i="106"/>
  <c r="L245" i="135" s="1"/>
  <c r="N238" i="106"/>
  <c r="N238" i="135" s="1"/>
  <c r="N241" i="106"/>
  <c r="N241" i="135" s="1"/>
  <c r="N244" i="106"/>
  <c r="N244" i="135" s="1"/>
  <c r="N247" i="106"/>
  <c r="N247" i="135" s="1"/>
  <c r="M240" i="106"/>
  <c r="M240" i="135" s="1"/>
  <c r="M243" i="106"/>
  <c r="M243" i="135" s="1"/>
  <c r="M93" i="106"/>
  <c r="M93" i="135" s="1"/>
  <c r="M96" i="106"/>
  <c r="M96" i="135" s="1"/>
  <c r="M99" i="106"/>
  <c r="M99" i="135" s="1"/>
  <c r="L92" i="106"/>
  <c r="L95"/>
  <c r="L95" i="135" s="1"/>
  <c r="L98" i="106"/>
  <c r="L98" i="135" s="1"/>
  <c r="L101" i="106"/>
  <c r="L101" i="135" s="1"/>
  <c r="N94" i="106"/>
  <c r="N94" i="135" s="1"/>
  <c r="N97" i="106"/>
  <c r="N97" i="135" s="1"/>
  <c r="L32" i="106"/>
  <c r="L32" i="135" s="1"/>
  <c r="L35" i="106"/>
  <c r="L35" i="135" s="1"/>
  <c r="L38" i="106"/>
  <c r="L38" i="135" s="1"/>
  <c r="L41" i="106"/>
  <c r="L41" i="135" s="1"/>
  <c r="N34" i="106"/>
  <c r="N34" i="135" s="1"/>
  <c r="N37" i="106"/>
  <c r="N37" i="135" s="1"/>
  <c r="N40" i="106"/>
  <c r="N40" i="135" s="1"/>
  <c r="M33" i="106"/>
  <c r="M33" i="135" s="1"/>
  <c r="M36" i="106"/>
  <c r="M36" i="135" s="1"/>
  <c r="N786" i="106"/>
  <c r="N786" i="135" s="1"/>
  <c r="N795" i="106"/>
  <c r="N795" i="135" s="1"/>
  <c r="N794" i="106"/>
  <c r="N794" i="135" s="1"/>
  <c r="N793" i="106"/>
  <c r="N793" i="135" s="1"/>
  <c r="L788" i="106"/>
  <c r="L788" i="135" s="1"/>
  <c r="L791" i="106"/>
  <c r="L791" i="135" s="1"/>
  <c r="L794" i="106"/>
  <c r="L794" i="135" s="1"/>
  <c r="M787" i="106"/>
  <c r="M787" i="135" s="1"/>
  <c r="M790" i="106"/>
  <c r="M790" i="135" s="1"/>
  <c r="N535" i="106"/>
  <c r="N535" i="135" s="1"/>
  <c r="N538" i="106"/>
  <c r="N538" i="135" s="1"/>
  <c r="N541" i="106"/>
  <c r="N541" i="135" s="1"/>
  <c r="M534" i="106"/>
  <c r="M534" i="135" s="1"/>
  <c r="M537" i="106"/>
  <c r="M537" i="135" s="1"/>
  <c r="M540" i="106"/>
  <c r="M540" i="135" s="1"/>
  <c r="M543" i="106"/>
  <c r="M543" i="135" s="1"/>
  <c r="L536" i="106"/>
  <c r="L536" i="135" s="1"/>
  <c r="L539" i="106"/>
  <c r="L539" i="135" s="1"/>
  <c r="S120" i="83"/>
  <c r="I603" i="111"/>
  <c r="T603" s="1"/>
  <c r="F602"/>
  <c r="Q602" s="1"/>
  <c r="I600"/>
  <c r="T600" s="1"/>
  <c r="F599"/>
  <c r="Q599" s="1"/>
  <c r="J603"/>
  <c r="U603" s="1"/>
  <c r="E602"/>
  <c r="J600"/>
  <c r="U600" s="1"/>
  <c r="E599"/>
  <c r="H603"/>
  <c r="S603" s="1"/>
  <c r="H600"/>
  <c r="S600" s="1"/>
  <c r="K603"/>
  <c r="V603" s="1"/>
  <c r="K600"/>
  <c r="V600" s="1"/>
  <c r="G602"/>
  <c r="R602" s="1"/>
  <c r="G599"/>
  <c r="R599" s="1"/>
  <c r="I602"/>
  <c r="T602" s="1"/>
  <c r="F601"/>
  <c r="Q601" s="1"/>
  <c r="I599"/>
  <c r="T599" s="1"/>
  <c r="F598"/>
  <c r="Q598" s="1"/>
  <c r="J602"/>
  <c r="U602" s="1"/>
  <c r="E601"/>
  <c r="J599"/>
  <c r="U599" s="1"/>
  <c r="E598"/>
  <c r="H601"/>
  <c r="S601" s="1"/>
  <c r="H598"/>
  <c r="S598" s="1"/>
  <c r="K601"/>
  <c r="V601" s="1"/>
  <c r="G603"/>
  <c r="R603" s="1"/>
  <c r="G600"/>
  <c r="R600" s="1"/>
  <c r="F603"/>
  <c r="Q603" s="1"/>
  <c r="I601"/>
  <c r="T601" s="1"/>
  <c r="F600"/>
  <c r="Q600" s="1"/>
  <c r="I598"/>
  <c r="T598" s="1"/>
  <c r="E603"/>
  <c r="J601"/>
  <c r="U601" s="1"/>
  <c r="E600"/>
  <c r="J598"/>
  <c r="U598" s="1"/>
  <c r="H602"/>
  <c r="S602" s="1"/>
  <c r="H599"/>
  <c r="S599" s="1"/>
  <c r="K602"/>
  <c r="V602" s="1"/>
  <c r="K599"/>
  <c r="V599" s="1"/>
  <c r="G601"/>
  <c r="R601" s="1"/>
  <c r="G598"/>
  <c r="R598" s="1"/>
  <c r="S120" i="51"/>
  <c r="R120" i="53"/>
  <c r="J48" i="83"/>
  <c r="I53"/>
  <c r="I140"/>
  <c r="I141" s="1"/>
  <c r="H59"/>
  <c r="H64"/>
  <c r="H141"/>
  <c r="T119"/>
  <c r="K598" i="111"/>
  <c r="V598" s="1"/>
  <c r="H141" i="44"/>
  <c r="L704" i="106" a="1"/>
  <c r="M712" s="1"/>
  <c r="M712" i="135" s="1"/>
  <c r="L80" i="106" a="1"/>
  <c r="L87" s="1"/>
  <c r="L87" i="135" s="1"/>
  <c r="L142" i="106" a="1"/>
  <c r="N150" s="1"/>
  <c r="N150" i="135" s="1"/>
  <c r="L425" i="106" a="1"/>
  <c r="M434" s="1"/>
  <c r="M434" i="135" s="1"/>
  <c r="L558" i="106" a="1"/>
  <c r="M567" s="1"/>
  <c r="M567" i="135" s="1"/>
  <c r="L606" i="106" a="1"/>
  <c r="M614" s="1"/>
  <c r="M614" i="135" s="1"/>
  <c r="L44" i="106" a="1"/>
  <c r="L52" s="1"/>
  <c r="L52" i="135" s="1"/>
  <c r="E168" i="111" a="1"/>
  <c r="J172" s="1"/>
  <c r="U172" s="1"/>
  <c r="R120" i="78"/>
  <c r="S120" i="49"/>
  <c r="R120" i="96"/>
  <c r="G141" i="102"/>
  <c r="I141" i="94"/>
  <c r="G141" i="60"/>
  <c r="N225" i="105"/>
  <c r="S120" i="89"/>
  <c r="N97" i="105"/>
  <c r="G87" i="104"/>
  <c r="S120" i="69"/>
  <c r="S120" i="68"/>
  <c r="R120" i="97"/>
  <c r="S120" i="55"/>
  <c r="S120" i="41"/>
  <c r="R120" i="43"/>
  <c r="G141" i="93"/>
  <c r="M226" i="130"/>
  <c r="M609" s="1"/>
  <c r="S120" i="75"/>
  <c r="N606" i="105"/>
  <c r="N512"/>
  <c r="H48" i="104"/>
  <c r="R120" i="86"/>
  <c r="S120" i="95"/>
  <c r="N376" i="105"/>
  <c r="M607"/>
  <c r="N551"/>
  <c r="M19" i="131"/>
  <c r="M607" i="130"/>
  <c r="M46" i="131"/>
  <c r="O205" i="105"/>
  <c r="O169"/>
  <c r="P68"/>
  <c r="O23"/>
  <c r="O549"/>
  <c r="P484"/>
  <c r="O439"/>
  <c r="P394"/>
  <c r="O365"/>
  <c r="O311"/>
  <c r="P255"/>
  <c r="P196"/>
  <c r="P169"/>
  <c r="P142"/>
  <c r="O68"/>
  <c r="P41"/>
  <c r="O569"/>
  <c r="P502"/>
  <c r="O475"/>
  <c r="Q439"/>
  <c r="P365"/>
  <c r="O356"/>
  <c r="P311"/>
  <c r="Q255"/>
  <c r="O178"/>
  <c r="O142"/>
  <c r="O41"/>
  <c r="O605"/>
  <c r="Q569"/>
  <c r="O540"/>
  <c r="Q493"/>
  <c r="O457"/>
  <c r="O412"/>
  <c r="P356"/>
  <c r="P246"/>
  <c r="B141" i="135"/>
  <c r="B108" i="130"/>
  <c r="O196" i="105"/>
  <c r="P124"/>
  <c r="Q86"/>
  <c r="O59"/>
  <c r="Q605"/>
  <c r="P540"/>
  <c r="O466"/>
  <c r="O421"/>
  <c r="O347"/>
  <c r="O302"/>
  <c r="O246"/>
  <c r="P214"/>
  <c r="O187"/>
  <c r="P160"/>
  <c r="O124"/>
  <c r="O95"/>
  <c r="P59"/>
  <c r="O32"/>
  <c r="P605"/>
  <c r="O531"/>
  <c r="P493"/>
  <c r="Q466"/>
  <c r="O430"/>
  <c r="P347"/>
  <c r="O283"/>
  <c r="O255"/>
  <c r="P205"/>
  <c r="P151"/>
  <c r="O133"/>
  <c r="Q32"/>
  <c r="P587"/>
  <c r="O511"/>
  <c r="O493"/>
  <c r="P439"/>
  <c r="P403"/>
  <c r="Q374"/>
  <c r="O320"/>
  <c r="Q246"/>
  <c r="B436" i="135"/>
  <c r="B331" i="130"/>
  <c r="O223" i="105"/>
  <c r="P187"/>
  <c r="O77"/>
  <c r="O50"/>
  <c r="P596"/>
  <c r="O448"/>
  <c r="P412"/>
  <c r="O374"/>
  <c r="P320"/>
  <c r="O214"/>
  <c r="P178"/>
  <c r="O151"/>
  <c r="O86"/>
  <c r="P50"/>
  <c r="P23"/>
  <c r="O596"/>
  <c r="O502"/>
  <c r="Q484"/>
  <c r="Q448"/>
  <c r="O403"/>
  <c r="O329"/>
  <c r="O264"/>
  <c r="Q187"/>
  <c r="O160"/>
  <c r="Q142"/>
  <c r="Q50"/>
  <c r="O587"/>
  <c r="Q549"/>
  <c r="P511"/>
  <c r="O484"/>
  <c r="P421"/>
  <c r="O394"/>
  <c r="G141" i="70"/>
  <c r="C159" i="111"/>
  <c r="C129" i="135"/>
  <c r="C529" i="111"/>
  <c r="C424" i="135"/>
  <c r="N295"/>
  <c r="N294"/>
  <c r="N293"/>
  <c r="N292"/>
  <c r="N291"/>
  <c r="N290"/>
  <c r="N289"/>
  <c r="N288"/>
  <c r="N287"/>
  <c r="N286"/>
  <c r="L295"/>
  <c r="L294"/>
  <c r="L293"/>
  <c r="L292"/>
  <c r="L291"/>
  <c r="L290"/>
  <c r="L289"/>
  <c r="L288"/>
  <c r="L287"/>
  <c r="L286"/>
  <c r="M295"/>
  <c r="M294"/>
  <c r="M293"/>
  <c r="M292"/>
  <c r="M291"/>
  <c r="M290"/>
  <c r="M289"/>
  <c r="M288"/>
  <c r="M287"/>
  <c r="M286"/>
  <c r="I42" i="63"/>
  <c r="E70" i="104"/>
  <c r="E143" s="1"/>
  <c r="G141" i="86"/>
  <c r="H142" i="63"/>
  <c r="H152" i="104"/>
  <c r="E147"/>
  <c r="E153" s="1"/>
  <c r="E134" i="63"/>
  <c r="F64"/>
  <c r="F139" s="1"/>
  <c r="T84" i="111"/>
  <c r="U84"/>
  <c r="S84"/>
  <c r="V84"/>
  <c r="Q84"/>
  <c r="R84"/>
  <c r="S120" i="129"/>
  <c r="R120" i="32"/>
  <c r="V54" i="111"/>
  <c r="S54"/>
  <c r="Q54"/>
  <c r="R54"/>
  <c r="T54"/>
  <c r="U54"/>
  <c r="S120" i="94"/>
  <c r="S120" i="52"/>
  <c r="I573" i="111"/>
  <c r="T573" s="1"/>
  <c r="F573"/>
  <c r="Q573" s="1"/>
  <c r="I572"/>
  <c r="T572" s="1"/>
  <c r="F572"/>
  <c r="Q572" s="1"/>
  <c r="I571"/>
  <c r="T571" s="1"/>
  <c r="F571"/>
  <c r="Q571" s="1"/>
  <c r="I570"/>
  <c r="T570" s="1"/>
  <c r="F570"/>
  <c r="Q570" s="1"/>
  <c r="I569"/>
  <c r="T569" s="1"/>
  <c r="F569"/>
  <c r="Q569" s="1"/>
  <c r="I568"/>
  <c r="T568" s="1"/>
  <c r="F568"/>
  <c r="Q568" s="1"/>
  <c r="H573"/>
  <c r="S573" s="1"/>
  <c r="H572"/>
  <c r="S572" s="1"/>
  <c r="H571"/>
  <c r="S571" s="1"/>
  <c r="H570"/>
  <c r="S570" s="1"/>
  <c r="H569"/>
  <c r="S569" s="1"/>
  <c r="H568"/>
  <c r="S568" s="1"/>
  <c r="K573"/>
  <c r="V573" s="1"/>
  <c r="G573"/>
  <c r="R573" s="1"/>
  <c r="K572"/>
  <c r="V572" s="1"/>
  <c r="G572"/>
  <c r="R572" s="1"/>
  <c r="K571"/>
  <c r="V571" s="1"/>
  <c r="G571"/>
  <c r="R571" s="1"/>
  <c r="K570"/>
  <c r="V570" s="1"/>
  <c r="G570"/>
  <c r="R570" s="1"/>
  <c r="K569"/>
  <c r="V569" s="1"/>
  <c r="G569"/>
  <c r="R569" s="1"/>
  <c r="K568"/>
  <c r="V568" s="1"/>
  <c r="G568"/>
  <c r="R568" s="1"/>
  <c r="J572"/>
  <c r="U572" s="1"/>
  <c r="E571"/>
  <c r="J569"/>
  <c r="U569" s="1"/>
  <c r="E568"/>
  <c r="J573"/>
  <c r="U573" s="1"/>
  <c r="E572"/>
  <c r="J570"/>
  <c r="U570" s="1"/>
  <c r="E569"/>
  <c r="E573"/>
  <c r="J571"/>
  <c r="U571" s="1"/>
  <c r="E570"/>
  <c r="J568"/>
  <c r="U568" s="1"/>
  <c r="I173"/>
  <c r="T173" s="1"/>
  <c r="K173"/>
  <c r="V173" s="1"/>
  <c r="H126"/>
  <c r="S126" s="1"/>
  <c r="H125"/>
  <c r="S125" s="1"/>
  <c r="H124"/>
  <c r="S124" s="1"/>
  <c r="H123"/>
  <c r="S123" s="1"/>
  <c r="H122"/>
  <c r="S122" s="1"/>
  <c r="H121"/>
  <c r="S121" s="1"/>
  <c r="G126"/>
  <c r="R126" s="1"/>
  <c r="J124"/>
  <c r="U124" s="1"/>
  <c r="G123"/>
  <c r="R123" s="1"/>
  <c r="J121"/>
  <c r="U121" s="1"/>
  <c r="I125"/>
  <c r="T125" s="1"/>
  <c r="I122"/>
  <c r="T122" s="1"/>
  <c r="F125"/>
  <c r="Q125" s="1"/>
  <c r="F122"/>
  <c r="Q122" s="1"/>
  <c r="I679"/>
  <c r="T679" s="1"/>
  <c r="F678"/>
  <c r="Q678" s="1"/>
  <c r="I676"/>
  <c r="T676" s="1"/>
  <c r="F675"/>
  <c r="Q675" s="1"/>
  <c r="E680"/>
  <c r="E679"/>
  <c r="E678"/>
  <c r="E677"/>
  <c r="E676"/>
  <c r="E675"/>
  <c r="G678"/>
  <c r="R678" s="1"/>
  <c r="G675"/>
  <c r="R675" s="1"/>
  <c r="J679"/>
  <c r="U679" s="1"/>
  <c r="J675"/>
  <c r="U675" s="1"/>
  <c r="J203"/>
  <c r="U203" s="1"/>
  <c r="J202"/>
  <c r="U202" s="1"/>
  <c r="G202"/>
  <c r="R202" s="1"/>
  <c r="G201"/>
  <c r="R201" s="1"/>
  <c r="J200"/>
  <c r="U200" s="1"/>
  <c r="J199"/>
  <c r="U199" s="1"/>
  <c r="G199"/>
  <c r="R199" s="1"/>
  <c r="G198"/>
  <c r="R198" s="1"/>
  <c r="I203"/>
  <c r="T203" s="1"/>
  <c r="I202"/>
  <c r="T202" s="1"/>
  <c r="F202"/>
  <c r="Q202" s="1"/>
  <c r="F201"/>
  <c r="Q201" s="1"/>
  <c r="I200"/>
  <c r="T200" s="1"/>
  <c r="I199"/>
  <c r="T199" s="1"/>
  <c r="F199"/>
  <c r="Q199" s="1"/>
  <c r="F198"/>
  <c r="Q198" s="1"/>
  <c r="H203"/>
  <c r="S203" s="1"/>
  <c r="H201"/>
  <c r="S201" s="1"/>
  <c r="H200"/>
  <c r="S200" s="1"/>
  <c r="H198"/>
  <c r="S198" s="1"/>
  <c r="K203"/>
  <c r="V203" s="1"/>
  <c r="K201"/>
  <c r="V201" s="1"/>
  <c r="K200"/>
  <c r="V200" s="1"/>
  <c r="K198"/>
  <c r="V198" s="1"/>
  <c r="E203"/>
  <c r="E201"/>
  <c r="E200"/>
  <c r="E198"/>
  <c r="B141" i="106"/>
  <c r="B174" i="111"/>
  <c r="R377"/>
  <c r="T377"/>
  <c r="V850"/>
  <c r="Q850"/>
  <c r="R850"/>
  <c r="V9"/>
  <c r="S9"/>
  <c r="Q9"/>
  <c r="R9"/>
  <c r="V912"/>
  <c r="Q912"/>
  <c r="R912"/>
  <c r="J308"/>
  <c r="U308" s="1"/>
  <c r="G308"/>
  <c r="R308" s="1"/>
  <c r="J307"/>
  <c r="U307" s="1"/>
  <c r="G307"/>
  <c r="R307" s="1"/>
  <c r="J306"/>
  <c r="U306" s="1"/>
  <c r="G306"/>
  <c r="R306" s="1"/>
  <c r="J305"/>
  <c r="U305" s="1"/>
  <c r="G305"/>
  <c r="R305" s="1"/>
  <c r="J304"/>
  <c r="U304" s="1"/>
  <c r="G304"/>
  <c r="R304" s="1"/>
  <c r="J303"/>
  <c r="U303" s="1"/>
  <c r="G303"/>
  <c r="R303" s="1"/>
  <c r="I308"/>
  <c r="T308" s="1"/>
  <c r="F308"/>
  <c r="Q308" s="1"/>
  <c r="I307"/>
  <c r="T307" s="1"/>
  <c r="F307"/>
  <c r="Q307" s="1"/>
  <c r="I306"/>
  <c r="T306" s="1"/>
  <c r="F306"/>
  <c r="Q306" s="1"/>
  <c r="I305"/>
  <c r="T305" s="1"/>
  <c r="F305"/>
  <c r="Q305" s="1"/>
  <c r="I304"/>
  <c r="T304" s="1"/>
  <c r="F304"/>
  <c r="Q304" s="1"/>
  <c r="I303"/>
  <c r="T303" s="1"/>
  <c r="F303"/>
  <c r="Q303" s="1"/>
  <c r="H308"/>
  <c r="S308" s="1"/>
  <c r="H307"/>
  <c r="S307" s="1"/>
  <c r="H306"/>
  <c r="S306" s="1"/>
  <c r="H305"/>
  <c r="S305" s="1"/>
  <c r="H304"/>
  <c r="S304" s="1"/>
  <c r="H303"/>
  <c r="S303" s="1"/>
  <c r="K308"/>
  <c r="V308" s="1"/>
  <c r="K307"/>
  <c r="V307" s="1"/>
  <c r="K306"/>
  <c r="V306" s="1"/>
  <c r="K305"/>
  <c r="V305" s="1"/>
  <c r="K304"/>
  <c r="V304" s="1"/>
  <c r="K303"/>
  <c r="V303" s="1"/>
  <c r="E308"/>
  <c r="E307"/>
  <c r="E306"/>
  <c r="E305"/>
  <c r="E304"/>
  <c r="E303"/>
  <c r="U439"/>
  <c r="R439"/>
  <c r="Q439"/>
  <c r="Q471"/>
  <c r="E288" a="1"/>
  <c r="E76" a="1"/>
  <c r="E840" a="1"/>
  <c r="E399" a="1"/>
  <c r="E273" a="1"/>
  <c r="E645" a="1"/>
  <c r="E31" a="1"/>
  <c r="S119" i="101"/>
  <c r="S119" i="108"/>
  <c r="E934" i="111" a="1"/>
  <c r="S119" i="45"/>
  <c r="Q377" i="111"/>
  <c r="V377"/>
  <c r="S912"/>
  <c r="I800"/>
  <c r="T800" s="1"/>
  <c r="F800"/>
  <c r="Q800" s="1"/>
  <c r="I799"/>
  <c r="T799" s="1"/>
  <c r="F799"/>
  <c r="Q799" s="1"/>
  <c r="I798"/>
  <c r="T798" s="1"/>
  <c r="F798"/>
  <c r="Q798" s="1"/>
  <c r="I797"/>
  <c r="T797" s="1"/>
  <c r="F797"/>
  <c r="Q797" s="1"/>
  <c r="I796"/>
  <c r="T796" s="1"/>
  <c r="F796"/>
  <c r="Q796" s="1"/>
  <c r="I795"/>
  <c r="T795" s="1"/>
  <c r="F795"/>
  <c r="Q795" s="1"/>
  <c r="K800"/>
  <c r="V800" s="1"/>
  <c r="H800"/>
  <c r="S800" s="1"/>
  <c r="E800"/>
  <c r="K799"/>
  <c r="V799" s="1"/>
  <c r="H799"/>
  <c r="S799" s="1"/>
  <c r="E799"/>
  <c r="K798"/>
  <c r="V798" s="1"/>
  <c r="H798"/>
  <c r="S798" s="1"/>
  <c r="E798"/>
  <c r="K797"/>
  <c r="V797" s="1"/>
  <c r="H797"/>
  <c r="S797" s="1"/>
  <c r="E797"/>
  <c r="K796"/>
  <c r="V796" s="1"/>
  <c r="H796"/>
  <c r="S796" s="1"/>
  <c r="E796"/>
  <c r="K795"/>
  <c r="V795" s="1"/>
  <c r="H795"/>
  <c r="S795" s="1"/>
  <c r="E795"/>
  <c r="J800"/>
  <c r="U800" s="1"/>
  <c r="J799"/>
  <c r="U799" s="1"/>
  <c r="J798"/>
  <c r="U798" s="1"/>
  <c r="J797"/>
  <c r="U797" s="1"/>
  <c r="J796"/>
  <c r="U796" s="1"/>
  <c r="J795"/>
  <c r="U795" s="1"/>
  <c r="G800"/>
  <c r="R800" s="1"/>
  <c r="G799"/>
  <c r="R799" s="1"/>
  <c r="G798"/>
  <c r="R798" s="1"/>
  <c r="G797"/>
  <c r="R797" s="1"/>
  <c r="G796"/>
  <c r="R796" s="1"/>
  <c r="G795"/>
  <c r="R795" s="1"/>
  <c r="V439"/>
  <c r="U471"/>
  <c r="R471"/>
  <c r="V471"/>
  <c r="E523" a="1"/>
  <c r="E228" a="1"/>
  <c r="E720" a="1"/>
  <c r="E414" a="1"/>
  <c r="E660" a="1"/>
  <c r="E183" a="1"/>
  <c r="E810" a="1"/>
  <c r="E508" a="1"/>
  <c r="B436" i="106"/>
  <c r="B544" i="111"/>
  <c r="S119" i="100"/>
  <c r="E887" i="111" a="1"/>
  <c r="S119" i="109"/>
  <c r="S119" i="59"/>
  <c r="E348" i="111" a="1"/>
  <c r="U377"/>
  <c r="S377"/>
  <c r="S850"/>
  <c r="T850"/>
  <c r="U850"/>
  <c r="T9"/>
  <c r="U9"/>
  <c r="T912"/>
  <c r="U912"/>
  <c r="I770"/>
  <c r="T770" s="1"/>
  <c r="F770"/>
  <c r="Q770" s="1"/>
  <c r="I769"/>
  <c r="T769" s="1"/>
  <c r="F769"/>
  <c r="Q769" s="1"/>
  <c r="I768"/>
  <c r="T768" s="1"/>
  <c r="F768"/>
  <c r="Q768" s="1"/>
  <c r="I767"/>
  <c r="T767" s="1"/>
  <c r="F767"/>
  <c r="Q767" s="1"/>
  <c r="I766"/>
  <c r="T766" s="1"/>
  <c r="F766"/>
  <c r="Q766" s="1"/>
  <c r="I765"/>
  <c r="T765" s="1"/>
  <c r="F765"/>
  <c r="Q765" s="1"/>
  <c r="K770"/>
  <c r="V770" s="1"/>
  <c r="G770"/>
  <c r="R770" s="1"/>
  <c r="K769"/>
  <c r="V769" s="1"/>
  <c r="G769"/>
  <c r="R769" s="1"/>
  <c r="K768"/>
  <c r="V768" s="1"/>
  <c r="G768"/>
  <c r="R768" s="1"/>
  <c r="K767"/>
  <c r="V767" s="1"/>
  <c r="G767"/>
  <c r="R767" s="1"/>
  <c r="K766"/>
  <c r="V766" s="1"/>
  <c r="G766"/>
  <c r="R766" s="1"/>
  <c r="K765"/>
  <c r="V765" s="1"/>
  <c r="G765"/>
  <c r="R765" s="1"/>
  <c r="J770"/>
  <c r="U770" s="1"/>
  <c r="E770"/>
  <c r="J769"/>
  <c r="U769" s="1"/>
  <c r="E769"/>
  <c r="J768"/>
  <c r="U768" s="1"/>
  <c r="E768"/>
  <c r="J767"/>
  <c r="U767" s="1"/>
  <c r="E767"/>
  <c r="J766"/>
  <c r="U766" s="1"/>
  <c r="E766"/>
  <c r="J765"/>
  <c r="U765" s="1"/>
  <c r="E765"/>
  <c r="H770"/>
  <c r="S770" s="1"/>
  <c r="H767"/>
  <c r="S767" s="1"/>
  <c r="H768"/>
  <c r="S768" s="1"/>
  <c r="H765"/>
  <c r="S765" s="1"/>
  <c r="H766"/>
  <c r="S766" s="1"/>
  <c r="H769"/>
  <c r="S769" s="1"/>
  <c r="S439"/>
  <c r="T439"/>
  <c r="S471"/>
  <c r="T471"/>
  <c r="E151" a="1"/>
  <c r="E994" a="1"/>
  <c r="E630" a="1"/>
  <c r="E243" a="1"/>
  <c r="E318" a="1"/>
  <c r="E735" a="1"/>
  <c r="I170" i="68"/>
  <c r="C315" i="106" a="1"/>
  <c r="I170" i="73"/>
  <c r="C377" i="106" a="1"/>
  <c r="I170" i="74"/>
  <c r="C389" i="106" a="1"/>
  <c r="I170" i="85"/>
  <c r="C498" i="106" a="1"/>
  <c r="I170" i="128"/>
  <c r="C775" i="106" a="1"/>
  <c r="I170" i="46"/>
  <c r="C116" i="106" a="1"/>
  <c r="I170" i="49"/>
  <c r="C154" i="106" a="1"/>
  <c r="I170" i="52"/>
  <c r="C190" i="106" a="1"/>
  <c r="I170" i="53"/>
  <c r="C202" i="106" a="1"/>
  <c r="C99" i="105"/>
  <c r="C129" i="106"/>
  <c r="C322" i="105"/>
  <c r="C424" i="106"/>
  <c r="L725"/>
  <c r="L725" i="135" s="1"/>
  <c r="L724" i="106"/>
  <c r="L724" i="135" s="1"/>
  <c r="L723" i="106"/>
  <c r="L723" i="135" s="1"/>
  <c r="L722" i="106"/>
  <c r="L722" i="135" s="1"/>
  <c r="L721" i="106"/>
  <c r="L721" i="135" s="1"/>
  <c r="L720" i="106"/>
  <c r="L720" i="135" s="1"/>
  <c r="L719" i="106"/>
  <c r="L719" i="135" s="1"/>
  <c r="L718" i="106"/>
  <c r="L718" i="135" s="1"/>
  <c r="L717" i="106"/>
  <c r="L717" i="135" s="1"/>
  <c r="L716" i="106"/>
  <c r="L716" i="135" s="1"/>
  <c r="M725" i="106"/>
  <c r="M725" i="135" s="1"/>
  <c r="M724" i="106"/>
  <c r="M724" i="135" s="1"/>
  <c r="M723" i="106"/>
  <c r="M723" i="135" s="1"/>
  <c r="M722" i="106"/>
  <c r="M722" i="135" s="1"/>
  <c r="M721" i="106"/>
  <c r="M721" i="135" s="1"/>
  <c r="M720" i="106"/>
  <c r="M720" i="135" s="1"/>
  <c r="M719" i="106"/>
  <c r="M719" i="135" s="1"/>
  <c r="M718" i="106"/>
  <c r="M718" i="135" s="1"/>
  <c r="M717" i="106"/>
  <c r="M717" i="135" s="1"/>
  <c r="M716" i="106"/>
  <c r="M716" i="135" s="1"/>
  <c r="N725" i="106"/>
  <c r="N725" i="135" s="1"/>
  <c r="N724" i="106"/>
  <c r="N724" i="135" s="1"/>
  <c r="N723" i="106"/>
  <c r="N723" i="135" s="1"/>
  <c r="N722" i="106"/>
  <c r="N722" i="135" s="1"/>
  <c r="N721" i="106"/>
  <c r="N721" i="135" s="1"/>
  <c r="N720" i="106"/>
  <c r="N720" i="135" s="1"/>
  <c r="N719" i="106"/>
  <c r="N719" i="135" s="1"/>
  <c r="N718" i="106"/>
  <c r="N718" i="135" s="1"/>
  <c r="N717" i="106"/>
  <c r="N717" i="135" s="1"/>
  <c r="N716" i="106"/>
  <c r="N716" i="135" s="1"/>
  <c r="N603" i="106"/>
  <c r="N603" i="135" s="1"/>
  <c r="N602" i="106"/>
  <c r="N602" i="135" s="1"/>
  <c r="N601" i="106"/>
  <c r="N601" i="135" s="1"/>
  <c r="N600" i="106"/>
  <c r="N600" i="135" s="1"/>
  <c r="M603" i="106"/>
  <c r="M603" i="135" s="1"/>
  <c r="L602" i="106"/>
  <c r="L602" i="135" s="1"/>
  <c r="M600" i="106"/>
  <c r="M600" i="135" s="1"/>
  <c r="M599" i="106"/>
  <c r="M599" i="135" s="1"/>
  <c r="M598" i="106"/>
  <c r="M598" i="135" s="1"/>
  <c r="M597" i="106"/>
  <c r="M597" i="135" s="1"/>
  <c r="M596" i="106"/>
  <c r="M596" i="135" s="1"/>
  <c r="M595" i="106"/>
  <c r="M595" i="135" s="1"/>
  <c r="M594" i="106"/>
  <c r="M594" i="135" s="1"/>
  <c r="M602" i="106"/>
  <c r="M602" i="135" s="1"/>
  <c r="L601" i="106"/>
  <c r="L601" i="135" s="1"/>
  <c r="N599" i="106"/>
  <c r="N599" i="135" s="1"/>
  <c r="N598" i="106"/>
  <c r="N598" i="135" s="1"/>
  <c r="N597" i="106"/>
  <c r="N597" i="135" s="1"/>
  <c r="N596" i="106"/>
  <c r="N596" i="135" s="1"/>
  <c r="N595" i="106"/>
  <c r="N595" i="135" s="1"/>
  <c r="N594" i="106"/>
  <c r="N594" i="135" s="1"/>
  <c r="L603" i="106"/>
  <c r="L603" i="135" s="1"/>
  <c r="M601" i="106"/>
  <c r="M601" i="135" s="1"/>
  <c r="L600" i="106"/>
  <c r="L600" i="135" s="1"/>
  <c r="L599" i="106"/>
  <c r="L599" i="135" s="1"/>
  <c r="L598" i="106"/>
  <c r="L598" i="135" s="1"/>
  <c r="L597" i="106"/>
  <c r="L597" i="135" s="1"/>
  <c r="L596" i="106"/>
  <c r="L596" i="135" s="1"/>
  <c r="L595" i="106"/>
  <c r="L595" i="135" s="1"/>
  <c r="L594" i="106"/>
  <c r="L594" i="135" s="1"/>
  <c r="L482" i="106"/>
  <c r="L482" i="135" s="1"/>
  <c r="L481" i="106"/>
  <c r="L481" i="135" s="1"/>
  <c r="L480" i="106"/>
  <c r="L480" i="135" s="1"/>
  <c r="L479" i="106"/>
  <c r="L479" i="135" s="1"/>
  <c r="L478" i="106"/>
  <c r="L478" i="135" s="1"/>
  <c r="L477" i="106"/>
  <c r="L477" i="135" s="1"/>
  <c r="L476" i="106"/>
  <c r="L476" i="135" s="1"/>
  <c r="L475" i="106"/>
  <c r="L475" i="135" s="1"/>
  <c r="L474" i="106"/>
  <c r="L474" i="135" s="1"/>
  <c r="L473" i="106"/>
  <c r="L473" i="135" s="1"/>
  <c r="M482" i="106"/>
  <c r="M482" i="135" s="1"/>
  <c r="M481" i="106"/>
  <c r="M481" i="135" s="1"/>
  <c r="M480" i="106"/>
  <c r="M480" i="135" s="1"/>
  <c r="M479" i="106"/>
  <c r="M479" i="135" s="1"/>
  <c r="M478" i="106"/>
  <c r="M478" i="135" s="1"/>
  <c r="M477" i="106"/>
  <c r="M477" i="135" s="1"/>
  <c r="M476" i="106"/>
  <c r="M476" i="135" s="1"/>
  <c r="M475" i="106"/>
  <c r="M475" i="135" s="1"/>
  <c r="M474" i="106"/>
  <c r="M474" i="135" s="1"/>
  <c r="M473" i="106"/>
  <c r="M473" i="135" s="1"/>
  <c r="N482" i="106"/>
  <c r="N482" i="135" s="1"/>
  <c r="N481" i="106"/>
  <c r="N481" i="135" s="1"/>
  <c r="N478" i="106"/>
  <c r="N478" i="135" s="1"/>
  <c r="N475" i="106"/>
  <c r="N475" i="135" s="1"/>
  <c r="N479" i="106"/>
  <c r="N479" i="135" s="1"/>
  <c r="N476" i="106"/>
  <c r="N476" i="135" s="1"/>
  <c r="N473" i="106"/>
  <c r="N473" i="135" s="1"/>
  <c r="N480" i="106"/>
  <c r="N480" i="135" s="1"/>
  <c r="N477" i="106"/>
  <c r="N477" i="135" s="1"/>
  <c r="N474" i="106"/>
  <c r="N474" i="135" s="1"/>
  <c r="I725" i="106"/>
  <c r="I725" i="135" s="1"/>
  <c r="F725" i="106"/>
  <c r="F725" i="135" s="1"/>
  <c r="C725" i="106"/>
  <c r="C725" i="135" s="1"/>
  <c r="I724" i="106"/>
  <c r="I724" i="135" s="1"/>
  <c r="F724" i="106"/>
  <c r="F724" i="135" s="1"/>
  <c r="C724" i="106"/>
  <c r="C724" i="135" s="1"/>
  <c r="I723" i="106"/>
  <c r="I723" i="135" s="1"/>
  <c r="F723" i="106"/>
  <c r="F723" i="135" s="1"/>
  <c r="C723" i="106"/>
  <c r="C723" i="135" s="1"/>
  <c r="I722" i="106"/>
  <c r="I722" i="135" s="1"/>
  <c r="F722" i="106"/>
  <c r="F722" i="135" s="1"/>
  <c r="C722" i="106"/>
  <c r="C722" i="135" s="1"/>
  <c r="I721" i="106"/>
  <c r="I721" i="135" s="1"/>
  <c r="F721" i="106"/>
  <c r="F721" i="135" s="1"/>
  <c r="C721" i="106"/>
  <c r="C721" i="135" s="1"/>
  <c r="I720" i="106"/>
  <c r="I720" i="135" s="1"/>
  <c r="F720" i="106"/>
  <c r="F720" i="135" s="1"/>
  <c r="C720" i="106"/>
  <c r="C720" i="135" s="1"/>
  <c r="I719" i="106"/>
  <c r="I719" i="135" s="1"/>
  <c r="F719" i="106"/>
  <c r="F719" i="135" s="1"/>
  <c r="C719" i="106"/>
  <c r="C719" i="135" s="1"/>
  <c r="I718" i="106"/>
  <c r="I718" i="135" s="1"/>
  <c r="F718" i="106"/>
  <c r="F718" i="135" s="1"/>
  <c r="C718" i="106"/>
  <c r="C718" i="135" s="1"/>
  <c r="I717" i="106"/>
  <c r="I717" i="135" s="1"/>
  <c r="F717" i="106"/>
  <c r="F717" i="135" s="1"/>
  <c r="C717" i="106"/>
  <c r="C717" i="135" s="1"/>
  <c r="J716" i="106"/>
  <c r="G716"/>
  <c r="D716"/>
  <c r="J725"/>
  <c r="J725" i="135" s="1"/>
  <c r="G725" i="106"/>
  <c r="G725" i="135" s="1"/>
  <c r="D725" i="106"/>
  <c r="D725" i="135" s="1"/>
  <c r="J724" i="106"/>
  <c r="J724" i="135" s="1"/>
  <c r="G724" i="106"/>
  <c r="G724" i="135" s="1"/>
  <c r="D724" i="106"/>
  <c r="D724" i="135" s="1"/>
  <c r="J723" i="106"/>
  <c r="J723" i="135" s="1"/>
  <c r="G723" i="106"/>
  <c r="G723" i="135" s="1"/>
  <c r="D723" i="106"/>
  <c r="D723" i="135" s="1"/>
  <c r="J722" i="106"/>
  <c r="J722" i="135" s="1"/>
  <c r="G722" i="106"/>
  <c r="G722" i="135" s="1"/>
  <c r="D722" i="106"/>
  <c r="D722" i="135" s="1"/>
  <c r="J721" i="106"/>
  <c r="J721" i="135" s="1"/>
  <c r="G721" i="106"/>
  <c r="G721" i="135" s="1"/>
  <c r="D721" i="106"/>
  <c r="D721" i="135" s="1"/>
  <c r="J720" i="106"/>
  <c r="J720" i="135" s="1"/>
  <c r="G720" i="106"/>
  <c r="G720" i="135" s="1"/>
  <c r="D720" i="106"/>
  <c r="D720" i="135" s="1"/>
  <c r="J719" i="106"/>
  <c r="J719" i="135" s="1"/>
  <c r="G719" i="106"/>
  <c r="G719" i="135" s="1"/>
  <c r="D719" i="106"/>
  <c r="D719" i="135" s="1"/>
  <c r="J718" i="106"/>
  <c r="J718" i="135" s="1"/>
  <c r="G718" i="106"/>
  <c r="G718" i="135" s="1"/>
  <c r="D718" i="106"/>
  <c r="D718" i="135" s="1"/>
  <c r="J717" i="106"/>
  <c r="J717" i="135" s="1"/>
  <c r="G717" i="106"/>
  <c r="G717" i="135" s="1"/>
  <c r="D717" i="106"/>
  <c r="D717" i="135" s="1"/>
  <c r="K716" i="106"/>
  <c r="H716"/>
  <c r="E716"/>
  <c r="K725"/>
  <c r="K725" i="135" s="1"/>
  <c r="H725" i="106"/>
  <c r="H725" i="135" s="1"/>
  <c r="E725" i="106"/>
  <c r="E725" i="135" s="1"/>
  <c r="K724" i="106"/>
  <c r="K724" i="135" s="1"/>
  <c r="H724" i="106"/>
  <c r="H724" i="135" s="1"/>
  <c r="E724" i="106"/>
  <c r="E724" i="135" s="1"/>
  <c r="K723" i="106"/>
  <c r="K723" i="135" s="1"/>
  <c r="H723" i="106"/>
  <c r="H723" i="135" s="1"/>
  <c r="E723" i="106"/>
  <c r="E723" i="135" s="1"/>
  <c r="K722" i="106"/>
  <c r="K722" i="135" s="1"/>
  <c r="H722" i="106"/>
  <c r="H722" i="135" s="1"/>
  <c r="E722" i="106"/>
  <c r="E722" i="135" s="1"/>
  <c r="K721" i="106"/>
  <c r="K721" i="135" s="1"/>
  <c r="H721" i="106"/>
  <c r="H721" i="135" s="1"/>
  <c r="E721" i="106"/>
  <c r="E721" i="135" s="1"/>
  <c r="K720" i="106"/>
  <c r="K720" i="135" s="1"/>
  <c r="H720" i="106"/>
  <c r="H720" i="135" s="1"/>
  <c r="E720" i="106"/>
  <c r="E720" i="135" s="1"/>
  <c r="K719" i="106"/>
  <c r="K719" i="135" s="1"/>
  <c r="H719" i="106"/>
  <c r="H719" i="135" s="1"/>
  <c r="E719" i="106"/>
  <c r="E719" i="135" s="1"/>
  <c r="K718" i="106"/>
  <c r="K718" i="135" s="1"/>
  <c r="H718" i="106"/>
  <c r="H718" i="135" s="1"/>
  <c r="E718" i="106"/>
  <c r="E718" i="135" s="1"/>
  <c r="K717" i="106"/>
  <c r="K717" i="135" s="1"/>
  <c r="H717" i="106"/>
  <c r="H717" i="135" s="1"/>
  <c r="E717" i="106"/>
  <c r="E717" i="135" s="1"/>
  <c r="I716" i="106"/>
  <c r="F716"/>
  <c r="C716"/>
  <c r="C716" i="135" s="1"/>
  <c r="K603" i="106"/>
  <c r="K603" i="135" s="1"/>
  <c r="H603" i="106"/>
  <c r="H603" i="135" s="1"/>
  <c r="E603" i="106"/>
  <c r="E603" i="135" s="1"/>
  <c r="K602" i="106"/>
  <c r="K602" i="135" s="1"/>
  <c r="H602" i="106"/>
  <c r="H602" i="135" s="1"/>
  <c r="E602" i="106"/>
  <c r="E602" i="135" s="1"/>
  <c r="K601" i="106"/>
  <c r="K601" i="135" s="1"/>
  <c r="H601" i="106"/>
  <c r="H601" i="135" s="1"/>
  <c r="E601" i="106"/>
  <c r="E601" i="135" s="1"/>
  <c r="K600" i="106"/>
  <c r="K600" i="135" s="1"/>
  <c r="H600" i="106"/>
  <c r="H600" i="135" s="1"/>
  <c r="E600" i="106"/>
  <c r="E600" i="135" s="1"/>
  <c r="I603" i="106"/>
  <c r="I603" i="135" s="1"/>
  <c r="D603" i="106"/>
  <c r="D603" i="135" s="1"/>
  <c r="G602" i="106"/>
  <c r="G602" i="135" s="1"/>
  <c r="C602" i="106"/>
  <c r="C602" i="135" s="1"/>
  <c r="J601" i="106"/>
  <c r="J601" i="135" s="1"/>
  <c r="F601" i="106"/>
  <c r="F601" i="135" s="1"/>
  <c r="I600" i="106"/>
  <c r="I600" i="135" s="1"/>
  <c r="D600" i="106"/>
  <c r="D600" i="135" s="1"/>
  <c r="J599" i="106"/>
  <c r="J599" i="135" s="1"/>
  <c r="G599" i="106"/>
  <c r="G599" i="135" s="1"/>
  <c r="D599" i="106"/>
  <c r="D599" i="135" s="1"/>
  <c r="J598" i="106"/>
  <c r="J598" i="135" s="1"/>
  <c r="G598" i="106"/>
  <c r="G598" i="135" s="1"/>
  <c r="D598" i="106"/>
  <c r="D598" i="135" s="1"/>
  <c r="J597" i="106"/>
  <c r="J597" i="135" s="1"/>
  <c r="G597" i="106"/>
  <c r="G597" i="135" s="1"/>
  <c r="D597" i="106"/>
  <c r="D597" i="135" s="1"/>
  <c r="J596" i="106"/>
  <c r="J596" i="135" s="1"/>
  <c r="G596" i="106"/>
  <c r="G596" i="135" s="1"/>
  <c r="D596" i="106"/>
  <c r="D596" i="135" s="1"/>
  <c r="J595" i="106"/>
  <c r="J595" i="135" s="1"/>
  <c r="G595" i="106"/>
  <c r="G595" i="135" s="1"/>
  <c r="D595" i="106"/>
  <c r="D595" i="135" s="1"/>
  <c r="K594" i="106"/>
  <c r="H594"/>
  <c r="E594"/>
  <c r="J603"/>
  <c r="J603" i="135" s="1"/>
  <c r="F603" i="106"/>
  <c r="F603" i="135" s="1"/>
  <c r="I602" i="106"/>
  <c r="I602" i="135" s="1"/>
  <c r="D602" i="106"/>
  <c r="D602" i="135" s="1"/>
  <c r="G601" i="106"/>
  <c r="G601" i="135" s="1"/>
  <c r="C601" i="106"/>
  <c r="C601" i="135" s="1"/>
  <c r="J600" i="106"/>
  <c r="J600" i="135" s="1"/>
  <c r="F600" i="106"/>
  <c r="F600" i="135" s="1"/>
  <c r="K599" i="106"/>
  <c r="K599" i="135" s="1"/>
  <c r="H599" i="106"/>
  <c r="H599" i="135" s="1"/>
  <c r="E599" i="106"/>
  <c r="E599" i="135" s="1"/>
  <c r="K598" i="106"/>
  <c r="K598" i="135" s="1"/>
  <c r="H598" i="106"/>
  <c r="H598" i="135" s="1"/>
  <c r="E598" i="106"/>
  <c r="E598" i="135" s="1"/>
  <c r="K597" i="106"/>
  <c r="K597" i="135" s="1"/>
  <c r="H597" i="106"/>
  <c r="H597" i="135" s="1"/>
  <c r="E597" i="106"/>
  <c r="E597" i="135" s="1"/>
  <c r="K596" i="106"/>
  <c r="K596" i="135" s="1"/>
  <c r="H596" i="106"/>
  <c r="H596" i="135" s="1"/>
  <c r="E596" i="106"/>
  <c r="E596" i="135" s="1"/>
  <c r="K595" i="106"/>
  <c r="K595" i="135" s="1"/>
  <c r="H595" i="106"/>
  <c r="H595" i="135" s="1"/>
  <c r="E595" i="106"/>
  <c r="E595" i="135" s="1"/>
  <c r="I594" i="106"/>
  <c r="F594"/>
  <c r="C594"/>
  <c r="C594" i="135" s="1"/>
  <c r="G603" i="106"/>
  <c r="G603" i="135" s="1"/>
  <c r="C603" i="106"/>
  <c r="C603" i="135" s="1"/>
  <c r="J602" i="106"/>
  <c r="J602" i="135" s="1"/>
  <c r="F602" i="106"/>
  <c r="F602" i="135" s="1"/>
  <c r="I601" i="106"/>
  <c r="I601" i="135" s="1"/>
  <c r="D601" i="106"/>
  <c r="D601" i="135" s="1"/>
  <c r="G600" i="106"/>
  <c r="G600" i="135" s="1"/>
  <c r="C600" i="106"/>
  <c r="C600" i="135" s="1"/>
  <c r="I599" i="106"/>
  <c r="I599" i="135" s="1"/>
  <c r="F599" i="106"/>
  <c r="F599" i="135" s="1"/>
  <c r="C599" i="106"/>
  <c r="C599" i="135" s="1"/>
  <c r="I598" i="106"/>
  <c r="I598" i="135" s="1"/>
  <c r="F598" i="106"/>
  <c r="F598" i="135" s="1"/>
  <c r="C598" i="106"/>
  <c r="C598" i="135" s="1"/>
  <c r="I597" i="106"/>
  <c r="I597" i="135" s="1"/>
  <c r="F597" i="106"/>
  <c r="F597" i="135" s="1"/>
  <c r="C597" i="106"/>
  <c r="C597" i="135" s="1"/>
  <c r="I596" i="106"/>
  <c r="I596" i="135" s="1"/>
  <c r="F596" i="106"/>
  <c r="F596" i="135" s="1"/>
  <c r="C596" i="106"/>
  <c r="C596" i="135" s="1"/>
  <c r="I595" i="106"/>
  <c r="I595" i="135" s="1"/>
  <c r="F595" i="106"/>
  <c r="F595" i="135" s="1"/>
  <c r="C595" i="106"/>
  <c r="C595" i="135" s="1"/>
  <c r="J594" i="106"/>
  <c r="G594"/>
  <c r="D594"/>
  <c r="I482"/>
  <c r="I482" i="135" s="1"/>
  <c r="F482" i="106"/>
  <c r="F482" i="135" s="1"/>
  <c r="C482" i="106"/>
  <c r="C482" i="135" s="1"/>
  <c r="I481" i="106"/>
  <c r="I481" i="135" s="1"/>
  <c r="F481" i="106"/>
  <c r="F481" i="135" s="1"/>
  <c r="C481" i="106"/>
  <c r="C481" i="135" s="1"/>
  <c r="I480" i="106"/>
  <c r="I480" i="135" s="1"/>
  <c r="F480" i="106"/>
  <c r="F480" i="135" s="1"/>
  <c r="C480" i="106"/>
  <c r="C480" i="135" s="1"/>
  <c r="I479" i="106"/>
  <c r="I479" i="135" s="1"/>
  <c r="F479" i="106"/>
  <c r="F479" i="135" s="1"/>
  <c r="C479" i="106"/>
  <c r="C479" i="135" s="1"/>
  <c r="I478" i="106"/>
  <c r="I478" i="135" s="1"/>
  <c r="F478" i="106"/>
  <c r="F478" i="135" s="1"/>
  <c r="C478" i="106"/>
  <c r="C478" i="135" s="1"/>
  <c r="I477" i="106"/>
  <c r="I477" i="135" s="1"/>
  <c r="F477" i="106"/>
  <c r="F477" i="135" s="1"/>
  <c r="C477" i="106"/>
  <c r="C477" i="135" s="1"/>
  <c r="I476" i="106"/>
  <c r="I476" i="135" s="1"/>
  <c r="F476" i="106"/>
  <c r="F476" i="135" s="1"/>
  <c r="C476" i="106"/>
  <c r="C476" i="135" s="1"/>
  <c r="I475" i="106"/>
  <c r="I475" i="135" s="1"/>
  <c r="F475" i="106"/>
  <c r="F475" i="135" s="1"/>
  <c r="C475" i="106"/>
  <c r="C475" i="135" s="1"/>
  <c r="I474" i="106"/>
  <c r="I474" i="135" s="1"/>
  <c r="F474" i="106"/>
  <c r="F474" i="135" s="1"/>
  <c r="C474" i="106"/>
  <c r="C474" i="135" s="1"/>
  <c r="J473" i="106"/>
  <c r="G473"/>
  <c r="D473"/>
  <c r="J482"/>
  <c r="J482" i="135" s="1"/>
  <c r="G482" i="106"/>
  <c r="G482" i="135" s="1"/>
  <c r="D482" i="106"/>
  <c r="D482" i="135" s="1"/>
  <c r="J481" i="106"/>
  <c r="J481" i="135" s="1"/>
  <c r="G481" i="106"/>
  <c r="G481" i="135" s="1"/>
  <c r="D481" i="106"/>
  <c r="D481" i="135" s="1"/>
  <c r="J480" i="106"/>
  <c r="J480" i="135" s="1"/>
  <c r="G480" i="106"/>
  <c r="G480" i="135" s="1"/>
  <c r="D480" i="106"/>
  <c r="D480" i="135" s="1"/>
  <c r="J479" i="106"/>
  <c r="J479" i="135" s="1"/>
  <c r="G479" i="106"/>
  <c r="G479" i="135" s="1"/>
  <c r="D479" i="106"/>
  <c r="D479" i="135" s="1"/>
  <c r="J478" i="106"/>
  <c r="J478" i="135" s="1"/>
  <c r="G478" i="106"/>
  <c r="G478" i="135" s="1"/>
  <c r="D478" i="106"/>
  <c r="D478" i="135" s="1"/>
  <c r="J477" i="106"/>
  <c r="J477" i="135" s="1"/>
  <c r="G477" i="106"/>
  <c r="G477" i="135" s="1"/>
  <c r="D477" i="106"/>
  <c r="D477" i="135" s="1"/>
  <c r="J476" i="106"/>
  <c r="J476" i="135" s="1"/>
  <c r="G476" i="106"/>
  <c r="G476" i="135" s="1"/>
  <c r="D476" i="106"/>
  <c r="D476" i="135" s="1"/>
  <c r="J475" i="106"/>
  <c r="J475" i="135" s="1"/>
  <c r="G475" i="106"/>
  <c r="G475" i="135" s="1"/>
  <c r="D475" i="106"/>
  <c r="D475" i="135" s="1"/>
  <c r="J474" i="106"/>
  <c r="J474" i="135" s="1"/>
  <c r="G474" i="106"/>
  <c r="G474" i="135" s="1"/>
  <c r="D474" i="106"/>
  <c r="D474" i="135" s="1"/>
  <c r="K473" i="106"/>
  <c r="H473"/>
  <c r="E473"/>
  <c r="K482"/>
  <c r="K482" i="135" s="1"/>
  <c r="H482" i="106"/>
  <c r="H482" i="135" s="1"/>
  <c r="E482" i="106"/>
  <c r="E482" i="135" s="1"/>
  <c r="E481" i="106"/>
  <c r="E481" i="135" s="1"/>
  <c r="H480" i="106"/>
  <c r="H480" i="135" s="1"/>
  <c r="K479" i="106"/>
  <c r="K479" i="135" s="1"/>
  <c r="E478" i="106"/>
  <c r="E478" i="135" s="1"/>
  <c r="H477" i="106"/>
  <c r="H477" i="135" s="1"/>
  <c r="K476" i="106"/>
  <c r="K476" i="135" s="1"/>
  <c r="E475" i="106"/>
  <c r="E475" i="135" s="1"/>
  <c r="H474" i="106"/>
  <c r="H474" i="135" s="1"/>
  <c r="C473" i="106"/>
  <c r="C473" i="135" s="1"/>
  <c r="H481" i="106"/>
  <c r="H481" i="135" s="1"/>
  <c r="K480" i="106"/>
  <c r="K480" i="135" s="1"/>
  <c r="E479" i="106"/>
  <c r="E479" i="135" s="1"/>
  <c r="H478" i="106"/>
  <c r="H478" i="135" s="1"/>
  <c r="K477" i="106"/>
  <c r="K477" i="135" s="1"/>
  <c r="E476" i="106"/>
  <c r="E476" i="135" s="1"/>
  <c r="H475" i="106"/>
  <c r="H475" i="135" s="1"/>
  <c r="K474" i="106"/>
  <c r="K474" i="135" s="1"/>
  <c r="F473" i="106"/>
  <c r="K481"/>
  <c r="K481" i="135" s="1"/>
  <c r="E480" i="106"/>
  <c r="E480" i="135" s="1"/>
  <c r="H479" i="106"/>
  <c r="H479" i="135" s="1"/>
  <c r="K478" i="106"/>
  <c r="K478" i="135" s="1"/>
  <c r="E477" i="106"/>
  <c r="E477" i="135" s="1"/>
  <c r="H476" i="106"/>
  <c r="H476" i="135" s="1"/>
  <c r="K475" i="106"/>
  <c r="K475" i="135" s="1"/>
  <c r="E474" i="106"/>
  <c r="E474" i="135" s="1"/>
  <c r="I473" i="106"/>
  <c r="I348"/>
  <c r="I348" i="135" s="1"/>
  <c r="F348" i="106"/>
  <c r="F348" i="135" s="1"/>
  <c r="C348" i="106"/>
  <c r="C348" i="135" s="1"/>
  <c r="I347" i="106"/>
  <c r="I347" i="135" s="1"/>
  <c r="F347" i="106"/>
  <c r="F347" i="135" s="1"/>
  <c r="C347" i="106"/>
  <c r="C347" i="135" s="1"/>
  <c r="I346" i="106"/>
  <c r="I346" i="135" s="1"/>
  <c r="F346" i="106"/>
  <c r="F346" i="135" s="1"/>
  <c r="C346" i="106"/>
  <c r="C346" i="135" s="1"/>
  <c r="I345" i="106"/>
  <c r="I345" i="135" s="1"/>
  <c r="F345" i="106"/>
  <c r="F345" i="135" s="1"/>
  <c r="C345" i="106"/>
  <c r="C345" i="135" s="1"/>
  <c r="I344" i="106"/>
  <c r="I344" i="135" s="1"/>
  <c r="F344" i="106"/>
  <c r="F344" i="135" s="1"/>
  <c r="C344" i="106"/>
  <c r="C344" i="135" s="1"/>
  <c r="I343" i="106"/>
  <c r="I343" i="135" s="1"/>
  <c r="F343" i="106"/>
  <c r="F343" i="135" s="1"/>
  <c r="C343" i="106"/>
  <c r="C343" i="135" s="1"/>
  <c r="I342" i="106"/>
  <c r="I342" i="135" s="1"/>
  <c r="F342" i="106"/>
  <c r="F342" i="135" s="1"/>
  <c r="C342" i="106"/>
  <c r="C342" i="135" s="1"/>
  <c r="I341" i="106"/>
  <c r="I341" i="135" s="1"/>
  <c r="F341" i="106"/>
  <c r="F341" i="135" s="1"/>
  <c r="C341" i="106"/>
  <c r="C341" i="135" s="1"/>
  <c r="I340" i="106"/>
  <c r="F340"/>
  <c r="F340" i="135" s="1"/>
  <c r="C340" i="106"/>
  <c r="C340" i="135" s="1"/>
  <c r="I339" i="106"/>
  <c r="F339"/>
  <c r="C339"/>
  <c r="C339" i="135" s="1"/>
  <c r="H348" i="106"/>
  <c r="H348" i="135" s="1"/>
  <c r="D348" i="106"/>
  <c r="D348" i="135" s="1"/>
  <c r="H347" i="106"/>
  <c r="H347" i="135" s="1"/>
  <c r="D347" i="106"/>
  <c r="D347" i="135" s="1"/>
  <c r="H346" i="106"/>
  <c r="H346" i="135" s="1"/>
  <c r="D346" i="106"/>
  <c r="D346" i="135" s="1"/>
  <c r="H345" i="106"/>
  <c r="H345" i="135" s="1"/>
  <c r="D345" i="106"/>
  <c r="D345" i="135" s="1"/>
  <c r="H344" i="106"/>
  <c r="H344" i="135" s="1"/>
  <c r="D344" i="106"/>
  <c r="D344" i="135" s="1"/>
  <c r="H343" i="106"/>
  <c r="H343" i="135" s="1"/>
  <c r="D343" i="106"/>
  <c r="D343" i="135" s="1"/>
  <c r="H342" i="106"/>
  <c r="H342" i="135" s="1"/>
  <c r="D342" i="106"/>
  <c r="D342" i="135" s="1"/>
  <c r="H341" i="106"/>
  <c r="H341" i="135" s="1"/>
  <c r="D341" i="106"/>
  <c r="D341" i="135" s="1"/>
  <c r="H340" i="106"/>
  <c r="D340"/>
  <c r="D340" i="135" s="1"/>
  <c r="H339" i="106"/>
  <c r="D339"/>
  <c r="J348"/>
  <c r="J348" i="135" s="1"/>
  <c r="E348" i="106"/>
  <c r="E348" i="135" s="1"/>
  <c r="J347" i="106"/>
  <c r="J347" i="135" s="1"/>
  <c r="E347" i="106"/>
  <c r="E347" i="135" s="1"/>
  <c r="J346" i="106"/>
  <c r="J346" i="135" s="1"/>
  <c r="E346" i="106"/>
  <c r="E346" i="135" s="1"/>
  <c r="J345" i="106"/>
  <c r="J345" i="135" s="1"/>
  <c r="E345" i="106"/>
  <c r="E345" i="135" s="1"/>
  <c r="J344" i="106"/>
  <c r="J344" i="135" s="1"/>
  <c r="E344" i="106"/>
  <c r="E344" i="135" s="1"/>
  <c r="J343" i="106"/>
  <c r="J343" i="135" s="1"/>
  <c r="E343" i="106"/>
  <c r="E343" i="135" s="1"/>
  <c r="J342" i="106"/>
  <c r="J342" i="135" s="1"/>
  <c r="E342" i="106"/>
  <c r="E342" i="135" s="1"/>
  <c r="J341" i="106"/>
  <c r="J341" i="135" s="1"/>
  <c r="E341" i="106"/>
  <c r="E341" i="135" s="1"/>
  <c r="J340" i="106"/>
  <c r="E340"/>
  <c r="E340" i="135" s="1"/>
  <c r="J339" i="106"/>
  <c r="E339"/>
  <c r="K348"/>
  <c r="K348" i="135" s="1"/>
  <c r="G348" i="106"/>
  <c r="G348" i="135" s="1"/>
  <c r="K347" i="106"/>
  <c r="K347" i="135" s="1"/>
  <c r="G347" i="106"/>
  <c r="G347" i="135" s="1"/>
  <c r="K346" i="106"/>
  <c r="K346" i="135" s="1"/>
  <c r="G346" i="106"/>
  <c r="G346" i="135" s="1"/>
  <c r="K345" i="106"/>
  <c r="K345" i="135" s="1"/>
  <c r="G345" i="106"/>
  <c r="G345" i="135" s="1"/>
  <c r="K344" i="106"/>
  <c r="K344" i="135" s="1"/>
  <c r="G344" i="106"/>
  <c r="G344" i="135" s="1"/>
  <c r="K343" i="106"/>
  <c r="K343" i="135" s="1"/>
  <c r="G343" i="106"/>
  <c r="G343" i="135" s="1"/>
  <c r="K342" i="106"/>
  <c r="K342" i="135" s="1"/>
  <c r="G342" i="106"/>
  <c r="G342" i="135" s="1"/>
  <c r="K341" i="106"/>
  <c r="K341" i="135" s="1"/>
  <c r="G341" i="106"/>
  <c r="G341" i="135" s="1"/>
  <c r="K340" i="106"/>
  <c r="G340"/>
  <c r="K339"/>
  <c r="G339"/>
  <c r="L139"/>
  <c r="L139" i="135" s="1"/>
  <c r="L138" i="106"/>
  <c r="L138" i="135" s="1"/>
  <c r="L137" i="106"/>
  <c r="L137" i="135" s="1"/>
  <c r="L136" i="106"/>
  <c r="L136" i="135" s="1"/>
  <c r="L135" i="106"/>
  <c r="L135" i="135" s="1"/>
  <c r="L134" i="106"/>
  <c r="L134" i="135" s="1"/>
  <c r="L133" i="106"/>
  <c r="L133" i="135" s="1"/>
  <c r="L132" i="106"/>
  <c r="L132" i="135" s="1"/>
  <c r="L131" i="106"/>
  <c r="L131" i="135" s="1"/>
  <c r="L130" i="106"/>
  <c r="L130" i="135" s="1"/>
  <c r="M139" i="106"/>
  <c r="M139" i="135" s="1"/>
  <c r="M138" i="106"/>
  <c r="M138" i="135" s="1"/>
  <c r="M137" i="106"/>
  <c r="M137" i="135" s="1"/>
  <c r="M136" i="106"/>
  <c r="M136" i="135" s="1"/>
  <c r="M135" i="106"/>
  <c r="M135" i="135" s="1"/>
  <c r="M134" i="106"/>
  <c r="M134" i="135" s="1"/>
  <c r="M133" i="106"/>
  <c r="M133" i="135" s="1"/>
  <c r="M132" i="106"/>
  <c r="M132" i="135" s="1"/>
  <c r="M131" i="106"/>
  <c r="M131" i="135" s="1"/>
  <c r="M130" i="106"/>
  <c r="M130" i="135" s="1"/>
  <c r="N139" i="106"/>
  <c r="N139" i="135" s="1"/>
  <c r="N138" i="106"/>
  <c r="N138" i="135" s="1"/>
  <c r="N137" i="106"/>
  <c r="N137" i="135" s="1"/>
  <c r="N136" i="106"/>
  <c r="N136" i="135" s="1"/>
  <c r="N135" i="106"/>
  <c r="N135" i="135" s="1"/>
  <c r="N134" i="106"/>
  <c r="N134" i="135" s="1"/>
  <c r="N133" i="106"/>
  <c r="N133" i="135" s="1"/>
  <c r="N132" i="106"/>
  <c r="N132" i="135" s="1"/>
  <c r="N131" i="106"/>
  <c r="N131" i="135" s="1"/>
  <c r="N130" i="106"/>
  <c r="N130" i="135" s="1"/>
  <c r="N701" i="106"/>
  <c r="N701" i="135" s="1"/>
  <c r="N700" i="106"/>
  <c r="N700" i="135" s="1"/>
  <c r="N699" i="106"/>
  <c r="N699" i="135" s="1"/>
  <c r="N698" i="106"/>
  <c r="N698" i="135" s="1"/>
  <c r="N697" i="106"/>
  <c r="N697" i="135" s="1"/>
  <c r="N696" i="106"/>
  <c r="N696" i="135" s="1"/>
  <c r="N695" i="106"/>
  <c r="N695" i="135" s="1"/>
  <c r="N694" i="106"/>
  <c r="N694" i="135" s="1"/>
  <c r="N693" i="106"/>
  <c r="N693" i="135" s="1"/>
  <c r="N692" i="106"/>
  <c r="N692" i="135" s="1"/>
  <c r="L701" i="106"/>
  <c r="L701" i="135" s="1"/>
  <c r="L700" i="106"/>
  <c r="L700" i="135" s="1"/>
  <c r="L699" i="106"/>
  <c r="L699" i="135" s="1"/>
  <c r="L698" i="106"/>
  <c r="L698" i="135" s="1"/>
  <c r="L697" i="106"/>
  <c r="L697" i="135" s="1"/>
  <c r="L696" i="106"/>
  <c r="L696" i="135" s="1"/>
  <c r="L695" i="106"/>
  <c r="L695" i="135" s="1"/>
  <c r="L694" i="106"/>
  <c r="L694" i="135" s="1"/>
  <c r="L693" i="106"/>
  <c r="L693" i="135" s="1"/>
  <c r="L692" i="106"/>
  <c r="L692" i="135" s="1"/>
  <c r="M701" i="106"/>
  <c r="M701" i="135" s="1"/>
  <c r="M700" i="106"/>
  <c r="M700" i="135" s="1"/>
  <c r="M699" i="106"/>
  <c r="M699" i="135" s="1"/>
  <c r="M698" i="106"/>
  <c r="M698" i="135" s="1"/>
  <c r="M697" i="106"/>
  <c r="M697" i="135" s="1"/>
  <c r="M696" i="106"/>
  <c r="M696" i="135" s="1"/>
  <c r="M695" i="106"/>
  <c r="M695" i="135" s="1"/>
  <c r="M694" i="106"/>
  <c r="M694" i="135" s="1"/>
  <c r="M693" i="106"/>
  <c r="M693" i="135" s="1"/>
  <c r="M692" i="106"/>
  <c r="M692" i="135" s="1"/>
  <c r="N591" i="106"/>
  <c r="N591" i="135" s="1"/>
  <c r="N590" i="106"/>
  <c r="N590" i="135" s="1"/>
  <c r="N589" i="106"/>
  <c r="N589" i="135" s="1"/>
  <c r="N588" i="106"/>
  <c r="N588" i="135" s="1"/>
  <c r="N587" i="106"/>
  <c r="N587" i="135" s="1"/>
  <c r="N586" i="106"/>
  <c r="N586" i="135" s="1"/>
  <c r="N585" i="106"/>
  <c r="N585" i="135" s="1"/>
  <c r="N584" i="106"/>
  <c r="N584" i="135" s="1"/>
  <c r="N583" i="106"/>
  <c r="N583" i="135" s="1"/>
  <c r="N582" i="106"/>
  <c r="N582" i="135" s="1"/>
  <c r="L591" i="106"/>
  <c r="L591" i="135" s="1"/>
  <c r="L590" i="106"/>
  <c r="L590" i="135" s="1"/>
  <c r="L589" i="106"/>
  <c r="L589" i="135" s="1"/>
  <c r="L588" i="106"/>
  <c r="L588" i="135" s="1"/>
  <c r="L587" i="106"/>
  <c r="L587" i="135" s="1"/>
  <c r="L586" i="106"/>
  <c r="L586" i="135" s="1"/>
  <c r="L585" i="106"/>
  <c r="L585" i="135" s="1"/>
  <c r="L584" i="106"/>
  <c r="L584" i="135" s="1"/>
  <c r="L583" i="106"/>
  <c r="L583" i="135" s="1"/>
  <c r="L582" i="106"/>
  <c r="L582" i="135" s="1"/>
  <c r="M591" i="106"/>
  <c r="M591" i="135" s="1"/>
  <c r="M590" i="106"/>
  <c r="M590" i="135" s="1"/>
  <c r="M589" i="106"/>
  <c r="M589" i="135" s="1"/>
  <c r="M588" i="106"/>
  <c r="M588" i="135" s="1"/>
  <c r="M587" i="106"/>
  <c r="M587" i="135" s="1"/>
  <c r="M586" i="106"/>
  <c r="M586" i="135" s="1"/>
  <c r="M585" i="106"/>
  <c r="M585" i="135" s="1"/>
  <c r="M584" i="106"/>
  <c r="M584" i="135" s="1"/>
  <c r="M583" i="106"/>
  <c r="M583" i="135" s="1"/>
  <c r="M582" i="106"/>
  <c r="M582" i="135" s="1"/>
  <c r="N422" i="106"/>
  <c r="N422" i="135" s="1"/>
  <c r="N421" i="106"/>
  <c r="N421" i="135" s="1"/>
  <c r="N420" i="106"/>
  <c r="N420" i="135" s="1"/>
  <c r="N419" i="106"/>
  <c r="N419" i="135" s="1"/>
  <c r="N418" i="106"/>
  <c r="N418" i="135" s="1"/>
  <c r="N417" i="106"/>
  <c r="N417" i="135" s="1"/>
  <c r="N416" i="106"/>
  <c r="N416" i="135" s="1"/>
  <c r="N415" i="106"/>
  <c r="N415" i="135" s="1"/>
  <c r="N414" i="106"/>
  <c r="N414" i="135" s="1"/>
  <c r="N413" i="106"/>
  <c r="N413" i="135" s="1"/>
  <c r="L422" i="106"/>
  <c r="L422" i="135" s="1"/>
  <c r="L421" i="106"/>
  <c r="L421" i="135" s="1"/>
  <c r="L420" i="106"/>
  <c r="L420" i="135" s="1"/>
  <c r="L419" i="106"/>
  <c r="L419" i="135" s="1"/>
  <c r="L418" i="106"/>
  <c r="L418" i="135" s="1"/>
  <c r="L417" i="106"/>
  <c r="L417" i="135" s="1"/>
  <c r="L416" i="106"/>
  <c r="L416" i="135" s="1"/>
  <c r="L415" i="106"/>
  <c r="L415" i="135" s="1"/>
  <c r="L414" i="106"/>
  <c r="L414" i="135" s="1"/>
  <c r="L413" i="106"/>
  <c r="L413" i="135" s="1"/>
  <c r="M422" i="106"/>
  <c r="M422" i="135" s="1"/>
  <c r="M421" i="106"/>
  <c r="M421" i="135" s="1"/>
  <c r="M420" i="106"/>
  <c r="M420" i="135" s="1"/>
  <c r="M419" i="106"/>
  <c r="M419" i="135" s="1"/>
  <c r="M418" i="106"/>
  <c r="M418" i="135" s="1"/>
  <c r="M417" i="106"/>
  <c r="M417" i="135" s="1"/>
  <c r="M416" i="106"/>
  <c r="M416" i="135" s="1"/>
  <c r="M415" i="106"/>
  <c r="M415" i="135" s="1"/>
  <c r="M414" i="106"/>
  <c r="M414" i="135" s="1"/>
  <c r="M413" i="106"/>
  <c r="M413" i="135" s="1"/>
  <c r="I175" i="106"/>
  <c r="I175" i="135" s="1"/>
  <c r="F175" i="106"/>
  <c r="F175" i="135" s="1"/>
  <c r="C175" i="106"/>
  <c r="C175" i="135" s="1"/>
  <c r="I174" i="106"/>
  <c r="I174" i="135" s="1"/>
  <c r="F174" i="106"/>
  <c r="F174" i="135" s="1"/>
  <c r="C174" i="106"/>
  <c r="C174" i="135" s="1"/>
  <c r="I173" i="106"/>
  <c r="I173" i="135" s="1"/>
  <c r="F173" i="106"/>
  <c r="F173" i="135" s="1"/>
  <c r="C173" i="106"/>
  <c r="C173" i="135" s="1"/>
  <c r="I172" i="106"/>
  <c r="I172" i="135" s="1"/>
  <c r="F172" i="106"/>
  <c r="F172" i="135" s="1"/>
  <c r="C172" i="106"/>
  <c r="C172" i="135" s="1"/>
  <c r="I171" i="106"/>
  <c r="I171" i="135" s="1"/>
  <c r="F171" i="106"/>
  <c r="F171" i="135" s="1"/>
  <c r="C171" i="106"/>
  <c r="C171" i="135" s="1"/>
  <c r="I170" i="106"/>
  <c r="I170" i="135" s="1"/>
  <c r="F170" i="106"/>
  <c r="F170" i="135" s="1"/>
  <c r="C170" i="106"/>
  <c r="C170" i="135" s="1"/>
  <c r="I169" i="106"/>
  <c r="F169"/>
  <c r="F169" i="135" s="1"/>
  <c r="C169" i="106"/>
  <c r="C169" i="135" s="1"/>
  <c r="I168" i="106"/>
  <c r="I168" i="135" s="1"/>
  <c r="F168" i="106"/>
  <c r="F168" i="135" s="1"/>
  <c r="C168" i="106"/>
  <c r="C168" i="135" s="1"/>
  <c r="I167" i="106"/>
  <c r="I167" i="135" s="1"/>
  <c r="F167" i="106"/>
  <c r="F167" i="135" s="1"/>
  <c r="C167" i="106"/>
  <c r="C167" i="135" s="1"/>
  <c r="J166" i="106"/>
  <c r="G166"/>
  <c r="D166"/>
  <c r="J175"/>
  <c r="J175" i="135" s="1"/>
  <c r="G175" i="106"/>
  <c r="G175" i="135" s="1"/>
  <c r="D175" i="106"/>
  <c r="D175" i="135" s="1"/>
  <c r="J174" i="106"/>
  <c r="J174" i="135" s="1"/>
  <c r="G174" i="106"/>
  <c r="G174" i="135" s="1"/>
  <c r="D174" i="106"/>
  <c r="D174" i="135" s="1"/>
  <c r="J173" i="106"/>
  <c r="J173" i="135" s="1"/>
  <c r="G173" i="106"/>
  <c r="G173" i="135" s="1"/>
  <c r="D173" i="106"/>
  <c r="D173" i="135" s="1"/>
  <c r="J172" i="106"/>
  <c r="J172" i="135" s="1"/>
  <c r="G172" i="106"/>
  <c r="G172" i="135" s="1"/>
  <c r="D172" i="106"/>
  <c r="D172" i="135" s="1"/>
  <c r="J171" i="106"/>
  <c r="J171" i="135" s="1"/>
  <c r="G171" i="106"/>
  <c r="G171" i="135" s="1"/>
  <c r="D171" i="106"/>
  <c r="D171" i="135" s="1"/>
  <c r="J170" i="106"/>
  <c r="J170" i="135" s="1"/>
  <c r="G170" i="106"/>
  <c r="G170" i="135" s="1"/>
  <c r="D170" i="106"/>
  <c r="D170" i="135" s="1"/>
  <c r="J169" i="106"/>
  <c r="G169"/>
  <c r="D169"/>
  <c r="D169" i="135" s="1"/>
  <c r="J168" i="106"/>
  <c r="J168" i="135" s="1"/>
  <c r="G168" i="106"/>
  <c r="G168" i="135" s="1"/>
  <c r="D168" i="106"/>
  <c r="D168" i="135" s="1"/>
  <c r="J167" i="106"/>
  <c r="J167" i="135" s="1"/>
  <c r="G167" i="106"/>
  <c r="G167" i="135" s="1"/>
  <c r="D167" i="106"/>
  <c r="D167" i="135" s="1"/>
  <c r="K166" i="106"/>
  <c r="H166"/>
  <c r="E166"/>
  <c r="K175"/>
  <c r="K175" i="135" s="1"/>
  <c r="H175" i="106"/>
  <c r="H175" i="135" s="1"/>
  <c r="E175" i="106"/>
  <c r="E175" i="135" s="1"/>
  <c r="K174" i="106"/>
  <c r="K174" i="135" s="1"/>
  <c r="H174" i="106"/>
  <c r="H174" i="135" s="1"/>
  <c r="E174" i="106"/>
  <c r="E174" i="135" s="1"/>
  <c r="K173" i="106"/>
  <c r="K173" i="135" s="1"/>
  <c r="H173" i="106"/>
  <c r="H173" i="135" s="1"/>
  <c r="E173" i="106"/>
  <c r="E173" i="135" s="1"/>
  <c r="K172" i="106"/>
  <c r="K172" i="135" s="1"/>
  <c r="H172" i="106"/>
  <c r="H172" i="135" s="1"/>
  <c r="E172" i="106"/>
  <c r="E172" i="135" s="1"/>
  <c r="K171" i="106"/>
  <c r="K171" i="135" s="1"/>
  <c r="H171" i="106"/>
  <c r="H171" i="135" s="1"/>
  <c r="E171" i="106"/>
  <c r="E171" i="135" s="1"/>
  <c r="K170" i="106"/>
  <c r="K170" i="135" s="1"/>
  <c r="H170" i="106"/>
  <c r="H170" i="135" s="1"/>
  <c r="E170" i="106"/>
  <c r="E170" i="135" s="1"/>
  <c r="K169" i="106"/>
  <c r="H169"/>
  <c r="E169"/>
  <c r="E169" i="135" s="1"/>
  <c r="K168" i="106"/>
  <c r="K168" i="135" s="1"/>
  <c r="H168" i="106"/>
  <c r="H168" i="135" s="1"/>
  <c r="E168" i="106"/>
  <c r="E168" i="135" s="1"/>
  <c r="K167" i="106"/>
  <c r="K167" i="135" s="1"/>
  <c r="H167" i="106"/>
  <c r="H167" i="135" s="1"/>
  <c r="E167" i="106"/>
  <c r="E167" i="135" s="1"/>
  <c r="I166" i="106"/>
  <c r="F166"/>
  <c r="C166"/>
  <c r="C166" i="135" s="1"/>
  <c r="J773" i="106"/>
  <c r="J773" i="135" s="1"/>
  <c r="G773" i="106"/>
  <c r="G773" i="135" s="1"/>
  <c r="D773" i="106"/>
  <c r="D773" i="135" s="1"/>
  <c r="J772" i="106"/>
  <c r="J772" i="135" s="1"/>
  <c r="G772" i="106"/>
  <c r="G772" i="135" s="1"/>
  <c r="D772" i="106"/>
  <c r="D772" i="135" s="1"/>
  <c r="J771" i="106"/>
  <c r="J771" i="135" s="1"/>
  <c r="G771" i="106"/>
  <c r="G771" i="135" s="1"/>
  <c r="D771" i="106"/>
  <c r="D771" i="135" s="1"/>
  <c r="J770" i="106"/>
  <c r="J770" i="135" s="1"/>
  <c r="G770" i="106"/>
  <c r="G770" i="135" s="1"/>
  <c r="D770" i="106"/>
  <c r="D770" i="135" s="1"/>
  <c r="J769" i="106"/>
  <c r="J769" i="135" s="1"/>
  <c r="G769" i="106"/>
  <c r="G769" i="135" s="1"/>
  <c r="D769" i="106"/>
  <c r="D769" i="135" s="1"/>
  <c r="J768" i="106"/>
  <c r="J768" i="135" s="1"/>
  <c r="G768" i="106"/>
  <c r="G768" i="135" s="1"/>
  <c r="D768" i="106"/>
  <c r="D768" i="135" s="1"/>
  <c r="J767" i="106"/>
  <c r="J767" i="135" s="1"/>
  <c r="G767" i="106"/>
  <c r="G767" i="135" s="1"/>
  <c r="D767" i="106"/>
  <c r="D767" i="135" s="1"/>
  <c r="J766" i="106"/>
  <c r="J766" i="135" s="1"/>
  <c r="G766" i="106"/>
  <c r="G766" i="135" s="1"/>
  <c r="D766" i="106"/>
  <c r="D766" i="135" s="1"/>
  <c r="J765" i="106"/>
  <c r="J765" i="135" s="1"/>
  <c r="G765" i="106"/>
  <c r="G765" i="135" s="1"/>
  <c r="D765" i="106"/>
  <c r="D765" i="135" s="1"/>
  <c r="J764" i="106"/>
  <c r="G764"/>
  <c r="D764"/>
  <c r="K773"/>
  <c r="K773" i="135" s="1"/>
  <c r="H773" i="106"/>
  <c r="H773" i="135" s="1"/>
  <c r="E773" i="106"/>
  <c r="E773" i="135" s="1"/>
  <c r="K772" i="106"/>
  <c r="K772" i="135" s="1"/>
  <c r="H772" i="106"/>
  <c r="H772" i="135" s="1"/>
  <c r="E772" i="106"/>
  <c r="E772" i="135" s="1"/>
  <c r="K771" i="106"/>
  <c r="K771" i="135" s="1"/>
  <c r="H771" i="106"/>
  <c r="H771" i="135" s="1"/>
  <c r="E771" i="106"/>
  <c r="E771" i="135" s="1"/>
  <c r="K770" i="106"/>
  <c r="K770" i="135" s="1"/>
  <c r="H770" i="106"/>
  <c r="H770" i="135" s="1"/>
  <c r="E770" i="106"/>
  <c r="E770" i="135" s="1"/>
  <c r="K769" i="106"/>
  <c r="K769" i="135" s="1"/>
  <c r="H769" i="106"/>
  <c r="H769" i="135" s="1"/>
  <c r="E769" i="106"/>
  <c r="E769" i="135" s="1"/>
  <c r="K768" i="106"/>
  <c r="K768" i="135" s="1"/>
  <c r="H768" i="106"/>
  <c r="H768" i="135" s="1"/>
  <c r="E768" i="106"/>
  <c r="E768" i="135" s="1"/>
  <c r="K767" i="106"/>
  <c r="K767" i="135" s="1"/>
  <c r="H767" i="106"/>
  <c r="H767" i="135" s="1"/>
  <c r="E767" i="106"/>
  <c r="E767" i="135" s="1"/>
  <c r="K766" i="106"/>
  <c r="K766" i="135" s="1"/>
  <c r="H766" i="106"/>
  <c r="H766" i="135" s="1"/>
  <c r="E766" i="106"/>
  <c r="E766" i="135" s="1"/>
  <c r="K765" i="106"/>
  <c r="K765" i="135" s="1"/>
  <c r="H765" i="106"/>
  <c r="H765" i="135" s="1"/>
  <c r="E765" i="106"/>
  <c r="E765" i="135" s="1"/>
  <c r="K764" i="106"/>
  <c r="H764"/>
  <c r="E764"/>
  <c r="I773"/>
  <c r="I773" i="135" s="1"/>
  <c r="F773" i="106"/>
  <c r="F773" i="135" s="1"/>
  <c r="C773" i="106"/>
  <c r="C773" i="135" s="1"/>
  <c r="I772" i="106"/>
  <c r="I772" i="135" s="1"/>
  <c r="F772" i="106"/>
  <c r="F772" i="135" s="1"/>
  <c r="C772" i="106"/>
  <c r="C772" i="135" s="1"/>
  <c r="I771" i="106"/>
  <c r="I771" i="135" s="1"/>
  <c r="F771" i="106"/>
  <c r="F771" i="135" s="1"/>
  <c r="C771" i="106"/>
  <c r="C771" i="135" s="1"/>
  <c r="I770" i="106"/>
  <c r="I770" i="135" s="1"/>
  <c r="F770" i="106"/>
  <c r="F770" i="135" s="1"/>
  <c r="C770" i="106"/>
  <c r="C770" i="135" s="1"/>
  <c r="I769" i="106"/>
  <c r="I769" i="135" s="1"/>
  <c r="F769" i="106"/>
  <c r="F769" i="135" s="1"/>
  <c r="C769" i="106"/>
  <c r="C769" i="135" s="1"/>
  <c r="I768" i="106"/>
  <c r="I768" i="135" s="1"/>
  <c r="F768" i="106"/>
  <c r="F768" i="135" s="1"/>
  <c r="C768" i="106"/>
  <c r="C768" i="135" s="1"/>
  <c r="I767" i="106"/>
  <c r="I767" i="135" s="1"/>
  <c r="F767" i="106"/>
  <c r="F767" i="135" s="1"/>
  <c r="C767" i="106"/>
  <c r="C767" i="135" s="1"/>
  <c r="I766" i="106"/>
  <c r="I766" i="135" s="1"/>
  <c r="F766" i="106"/>
  <c r="F766" i="135" s="1"/>
  <c r="C766" i="106"/>
  <c r="C766" i="135" s="1"/>
  <c r="I765" i="106"/>
  <c r="I765" i="135" s="1"/>
  <c r="F765" i="106"/>
  <c r="F765" i="135" s="1"/>
  <c r="C765" i="106"/>
  <c r="C765" i="135" s="1"/>
  <c r="I764" i="106"/>
  <c r="F764"/>
  <c r="C764"/>
  <c r="C764" i="135" s="1"/>
  <c r="J639" i="106"/>
  <c r="J639" i="135" s="1"/>
  <c r="G639" i="106"/>
  <c r="G639" i="135" s="1"/>
  <c r="D639" i="106"/>
  <c r="D639" i="135" s="1"/>
  <c r="J638" i="106"/>
  <c r="J638" i="135" s="1"/>
  <c r="G638" i="106"/>
  <c r="G638" i="135" s="1"/>
  <c r="D638" i="106"/>
  <c r="D638" i="135" s="1"/>
  <c r="J637" i="106"/>
  <c r="J637" i="135" s="1"/>
  <c r="G637" i="106"/>
  <c r="G637" i="135" s="1"/>
  <c r="D637" i="106"/>
  <c r="D637" i="135" s="1"/>
  <c r="J636" i="106"/>
  <c r="J636" i="135" s="1"/>
  <c r="G636" i="106"/>
  <c r="G636" i="135" s="1"/>
  <c r="D636" i="106"/>
  <c r="D636" i="135" s="1"/>
  <c r="J635" i="106"/>
  <c r="J635" i="135" s="1"/>
  <c r="G635" i="106"/>
  <c r="G635" i="135" s="1"/>
  <c r="D635" i="106"/>
  <c r="D635" i="135" s="1"/>
  <c r="J634" i="106"/>
  <c r="J634" i="135" s="1"/>
  <c r="G634" i="106"/>
  <c r="G634" i="135" s="1"/>
  <c r="D634" i="106"/>
  <c r="D634" i="135" s="1"/>
  <c r="J633" i="106"/>
  <c r="J633" i="135" s="1"/>
  <c r="G633" i="106"/>
  <c r="G633" i="135" s="1"/>
  <c r="D633" i="106"/>
  <c r="D633" i="135" s="1"/>
  <c r="J632" i="106"/>
  <c r="J632" i="135" s="1"/>
  <c r="G632" i="106"/>
  <c r="G632" i="135" s="1"/>
  <c r="D632" i="106"/>
  <c r="D632" i="135" s="1"/>
  <c r="J631" i="106"/>
  <c r="J631" i="135" s="1"/>
  <c r="G631" i="106"/>
  <c r="G631" i="135" s="1"/>
  <c r="D631" i="106"/>
  <c r="D631" i="135" s="1"/>
  <c r="K630" i="106"/>
  <c r="H630"/>
  <c r="E630"/>
  <c r="K639"/>
  <c r="K639" i="135" s="1"/>
  <c r="H639" i="106"/>
  <c r="H639" i="135" s="1"/>
  <c r="E639" i="106"/>
  <c r="E639" i="135" s="1"/>
  <c r="K638" i="106"/>
  <c r="K638" i="135" s="1"/>
  <c r="H638" i="106"/>
  <c r="H638" i="135" s="1"/>
  <c r="E638" i="106"/>
  <c r="E638" i="135" s="1"/>
  <c r="K637" i="106"/>
  <c r="K637" i="135" s="1"/>
  <c r="H637" i="106"/>
  <c r="H637" i="135" s="1"/>
  <c r="E637" i="106"/>
  <c r="E637" i="135" s="1"/>
  <c r="K636" i="106"/>
  <c r="K636" i="135" s="1"/>
  <c r="H636" i="106"/>
  <c r="H636" i="135" s="1"/>
  <c r="E636" i="106"/>
  <c r="E636" i="135" s="1"/>
  <c r="K635" i="106"/>
  <c r="K635" i="135" s="1"/>
  <c r="H635" i="106"/>
  <c r="H635" i="135" s="1"/>
  <c r="E635" i="106"/>
  <c r="E635" i="135" s="1"/>
  <c r="K634" i="106"/>
  <c r="K634" i="135" s="1"/>
  <c r="H634" i="106"/>
  <c r="H634" i="135" s="1"/>
  <c r="E634" i="106"/>
  <c r="E634" i="135" s="1"/>
  <c r="K633" i="106"/>
  <c r="K633" i="135" s="1"/>
  <c r="H633" i="106"/>
  <c r="H633" i="135" s="1"/>
  <c r="E633" i="106"/>
  <c r="E633" i="135" s="1"/>
  <c r="K632" i="106"/>
  <c r="K632" i="135" s="1"/>
  <c r="H632" i="106"/>
  <c r="H632" i="135" s="1"/>
  <c r="E632" i="106"/>
  <c r="E632" i="135" s="1"/>
  <c r="K631" i="106"/>
  <c r="K631" i="135" s="1"/>
  <c r="H631" i="106"/>
  <c r="H631" i="135" s="1"/>
  <c r="E631" i="106"/>
  <c r="E631" i="135" s="1"/>
  <c r="I630" i="106"/>
  <c r="F630"/>
  <c r="C630"/>
  <c r="C630" i="135" s="1"/>
  <c r="I639" i="106"/>
  <c r="I639" i="135" s="1"/>
  <c r="F639" i="106"/>
  <c r="F639" i="135" s="1"/>
  <c r="C639" i="106"/>
  <c r="C639" i="135" s="1"/>
  <c r="I638" i="106"/>
  <c r="I638" i="135" s="1"/>
  <c r="F638" i="106"/>
  <c r="F638" i="135" s="1"/>
  <c r="C638" i="106"/>
  <c r="C638" i="135" s="1"/>
  <c r="I637" i="106"/>
  <c r="I637" i="135" s="1"/>
  <c r="F637" i="106"/>
  <c r="F637" i="135" s="1"/>
  <c r="C637" i="106"/>
  <c r="C637" i="135" s="1"/>
  <c r="I636" i="106"/>
  <c r="I636" i="135" s="1"/>
  <c r="F636" i="106"/>
  <c r="F636" i="135" s="1"/>
  <c r="C636" i="106"/>
  <c r="C636" i="135" s="1"/>
  <c r="I635" i="106"/>
  <c r="I635" i="135" s="1"/>
  <c r="F635" i="106"/>
  <c r="F635" i="135" s="1"/>
  <c r="C635" i="106"/>
  <c r="C635" i="135" s="1"/>
  <c r="I634" i="106"/>
  <c r="I634" i="135" s="1"/>
  <c r="F634" i="106"/>
  <c r="F634" i="135" s="1"/>
  <c r="C634" i="106"/>
  <c r="C634" i="135" s="1"/>
  <c r="I633" i="106"/>
  <c r="I633" i="135" s="1"/>
  <c r="F633" i="106"/>
  <c r="F633" i="135" s="1"/>
  <c r="C633" i="106"/>
  <c r="C633" i="135" s="1"/>
  <c r="I632" i="106"/>
  <c r="I632" i="135" s="1"/>
  <c r="F632" i="106"/>
  <c r="F632" i="135" s="1"/>
  <c r="C632" i="106"/>
  <c r="C632" i="135" s="1"/>
  <c r="I631" i="106"/>
  <c r="I631" i="135" s="1"/>
  <c r="F631" i="106"/>
  <c r="F631" i="135" s="1"/>
  <c r="C631" i="106"/>
  <c r="C631" i="135" s="1"/>
  <c r="J630" i="106"/>
  <c r="G630"/>
  <c r="D630"/>
  <c r="I446"/>
  <c r="I446" i="135" s="1"/>
  <c r="F446" i="106"/>
  <c r="F446" i="135" s="1"/>
  <c r="C446" i="106"/>
  <c r="C446" i="135" s="1"/>
  <c r="I445" i="106"/>
  <c r="I445" i="135" s="1"/>
  <c r="F445" i="106"/>
  <c r="F445" i="135" s="1"/>
  <c r="C445" i="106"/>
  <c r="C445" i="135" s="1"/>
  <c r="I444" i="106"/>
  <c r="I444" i="135" s="1"/>
  <c r="F444" i="106"/>
  <c r="F444" i="135" s="1"/>
  <c r="C444" i="106"/>
  <c r="C444" i="135" s="1"/>
  <c r="I443" i="106"/>
  <c r="I443" i="135" s="1"/>
  <c r="F443" i="106"/>
  <c r="F443" i="135" s="1"/>
  <c r="C443" i="106"/>
  <c r="C443" i="135" s="1"/>
  <c r="I442" i="106"/>
  <c r="I442" i="135" s="1"/>
  <c r="F442" i="106"/>
  <c r="F442" i="135" s="1"/>
  <c r="C442" i="106"/>
  <c r="C442" i="135" s="1"/>
  <c r="I441" i="106"/>
  <c r="I441" i="135" s="1"/>
  <c r="F441" i="106"/>
  <c r="F441" i="135" s="1"/>
  <c r="C441" i="106"/>
  <c r="C441" i="135" s="1"/>
  <c r="I440" i="106"/>
  <c r="I440" i="135" s="1"/>
  <c r="F440" i="106"/>
  <c r="F440" i="135" s="1"/>
  <c r="C440" i="106"/>
  <c r="C440" i="135" s="1"/>
  <c r="I439" i="106"/>
  <c r="I439" i="135" s="1"/>
  <c r="F439" i="106"/>
  <c r="F439" i="135" s="1"/>
  <c r="C439" i="106"/>
  <c r="C439" i="135" s="1"/>
  <c r="I438" i="106"/>
  <c r="I438" i="135" s="1"/>
  <c r="F438" i="106"/>
  <c r="F438" i="135" s="1"/>
  <c r="C438" i="106"/>
  <c r="C438" i="135" s="1"/>
  <c r="J437" i="106"/>
  <c r="G437"/>
  <c r="D437"/>
  <c r="J446"/>
  <c r="J446" i="135" s="1"/>
  <c r="G446" i="106"/>
  <c r="G446" i="135" s="1"/>
  <c r="D446" i="106"/>
  <c r="D446" i="135" s="1"/>
  <c r="J445" i="106"/>
  <c r="J445" i="135" s="1"/>
  <c r="G445" i="106"/>
  <c r="G445" i="135" s="1"/>
  <c r="D445" i="106"/>
  <c r="D445" i="135" s="1"/>
  <c r="J444" i="106"/>
  <c r="J444" i="135" s="1"/>
  <c r="G444" i="106"/>
  <c r="G444" i="135" s="1"/>
  <c r="D444" i="106"/>
  <c r="D444" i="135" s="1"/>
  <c r="J443" i="106"/>
  <c r="J443" i="135" s="1"/>
  <c r="G443" i="106"/>
  <c r="G443" i="135" s="1"/>
  <c r="D443" i="106"/>
  <c r="D443" i="135" s="1"/>
  <c r="J442" i="106"/>
  <c r="J442" i="135" s="1"/>
  <c r="G442" i="106"/>
  <c r="G442" i="135" s="1"/>
  <c r="D442" i="106"/>
  <c r="D442" i="135" s="1"/>
  <c r="J441" i="106"/>
  <c r="J441" i="135" s="1"/>
  <c r="G441" i="106"/>
  <c r="G441" i="135" s="1"/>
  <c r="D441" i="106"/>
  <c r="D441" i="135" s="1"/>
  <c r="J440" i="106"/>
  <c r="J440" i="135" s="1"/>
  <c r="G440" i="106"/>
  <c r="G440" i="135" s="1"/>
  <c r="D440" i="106"/>
  <c r="D440" i="135" s="1"/>
  <c r="J439" i="106"/>
  <c r="J439" i="135" s="1"/>
  <c r="G439" i="106"/>
  <c r="G439" i="135" s="1"/>
  <c r="D439" i="106"/>
  <c r="D439" i="135" s="1"/>
  <c r="J438" i="106"/>
  <c r="J438" i="135" s="1"/>
  <c r="G438" i="106"/>
  <c r="G438" i="135" s="1"/>
  <c r="D438" i="106"/>
  <c r="D438" i="135" s="1"/>
  <c r="K437" i="106"/>
  <c r="H437"/>
  <c r="E437"/>
  <c r="K446"/>
  <c r="K446" i="135" s="1"/>
  <c r="H446" i="106"/>
  <c r="H446" i="135" s="1"/>
  <c r="E446" i="106"/>
  <c r="E446" i="135" s="1"/>
  <c r="K445" i="106"/>
  <c r="K445" i="135" s="1"/>
  <c r="H445" i="106"/>
  <c r="H445" i="135" s="1"/>
  <c r="E445" i="106"/>
  <c r="E445" i="135" s="1"/>
  <c r="K444" i="106"/>
  <c r="K444" i="135" s="1"/>
  <c r="H444" i="106"/>
  <c r="H444" i="135" s="1"/>
  <c r="E444" i="106"/>
  <c r="E444" i="135" s="1"/>
  <c r="K443" i="106"/>
  <c r="K443" i="135" s="1"/>
  <c r="H443" i="106"/>
  <c r="H443" i="135" s="1"/>
  <c r="E443" i="106"/>
  <c r="E443" i="135" s="1"/>
  <c r="K442" i="106"/>
  <c r="K442" i="135" s="1"/>
  <c r="H442" i="106"/>
  <c r="H442" i="135" s="1"/>
  <c r="E442" i="106"/>
  <c r="E442" i="135" s="1"/>
  <c r="K441" i="106"/>
  <c r="K441" i="135" s="1"/>
  <c r="H441" i="106"/>
  <c r="H441" i="135" s="1"/>
  <c r="E441" i="106"/>
  <c r="E441" i="135" s="1"/>
  <c r="K440" i="106"/>
  <c r="K440" i="135" s="1"/>
  <c r="H440" i="106"/>
  <c r="H440" i="135" s="1"/>
  <c r="E440" i="106"/>
  <c r="E440" i="135" s="1"/>
  <c r="K439" i="106"/>
  <c r="K439" i="135" s="1"/>
  <c r="H439" i="106"/>
  <c r="H439" i="135" s="1"/>
  <c r="E439" i="106"/>
  <c r="E439" i="135" s="1"/>
  <c r="K438" i="106"/>
  <c r="K438" i="135" s="1"/>
  <c r="H438" i="106"/>
  <c r="H438" i="135" s="1"/>
  <c r="E438" i="106"/>
  <c r="E438" i="135" s="1"/>
  <c r="I437" i="106"/>
  <c r="F437"/>
  <c r="C437"/>
  <c r="C437" i="135" s="1"/>
  <c r="I361" i="106"/>
  <c r="I361" i="135" s="1"/>
  <c r="F361" i="106"/>
  <c r="F361" i="135" s="1"/>
  <c r="C361" i="106"/>
  <c r="C361" i="135" s="1"/>
  <c r="I360" i="106"/>
  <c r="I360" i="135" s="1"/>
  <c r="F360" i="106"/>
  <c r="F360" i="135" s="1"/>
  <c r="C360" i="106"/>
  <c r="C360" i="135" s="1"/>
  <c r="I359" i="106"/>
  <c r="I359" i="135" s="1"/>
  <c r="F359" i="106"/>
  <c r="F359" i="135" s="1"/>
  <c r="C359" i="106"/>
  <c r="C359" i="135" s="1"/>
  <c r="I358" i="106"/>
  <c r="I358" i="135" s="1"/>
  <c r="F358" i="106"/>
  <c r="F358" i="135" s="1"/>
  <c r="C358" i="106"/>
  <c r="C358" i="135" s="1"/>
  <c r="I357" i="106"/>
  <c r="I357" i="135" s="1"/>
  <c r="F357" i="106"/>
  <c r="F357" i="135" s="1"/>
  <c r="C357" i="106"/>
  <c r="C357" i="135" s="1"/>
  <c r="I356" i="106"/>
  <c r="I356" i="135" s="1"/>
  <c r="F356" i="106"/>
  <c r="F356" i="135" s="1"/>
  <c r="C356" i="106"/>
  <c r="C356" i="135" s="1"/>
  <c r="I355" i="106"/>
  <c r="I355" i="135" s="1"/>
  <c r="F355" i="106"/>
  <c r="F355" i="135" s="1"/>
  <c r="C355" i="106"/>
  <c r="C355" i="135" s="1"/>
  <c r="I354" i="106"/>
  <c r="I354" i="135" s="1"/>
  <c r="F354" i="106"/>
  <c r="F354" i="135" s="1"/>
  <c r="C354" i="106"/>
  <c r="C354" i="135" s="1"/>
  <c r="I353" i="106"/>
  <c r="I353" i="135" s="1"/>
  <c r="F353" i="106"/>
  <c r="F353" i="135" s="1"/>
  <c r="C353" i="106"/>
  <c r="C353" i="135" s="1"/>
  <c r="J352" i="106"/>
  <c r="G352"/>
  <c r="D352"/>
  <c r="J361"/>
  <c r="J361" i="135" s="1"/>
  <c r="G361" i="106"/>
  <c r="G361" i="135" s="1"/>
  <c r="D361" i="106"/>
  <c r="D361" i="135" s="1"/>
  <c r="J360" i="106"/>
  <c r="J360" i="135" s="1"/>
  <c r="G360" i="106"/>
  <c r="G360" i="135" s="1"/>
  <c r="D360" i="106"/>
  <c r="D360" i="135" s="1"/>
  <c r="J359" i="106"/>
  <c r="J359" i="135" s="1"/>
  <c r="G359" i="106"/>
  <c r="G359" i="135" s="1"/>
  <c r="D359" i="106"/>
  <c r="D359" i="135" s="1"/>
  <c r="J358" i="106"/>
  <c r="J358" i="135" s="1"/>
  <c r="G358" i="106"/>
  <c r="G358" i="135" s="1"/>
  <c r="D358" i="106"/>
  <c r="D358" i="135" s="1"/>
  <c r="J357" i="106"/>
  <c r="J357" i="135" s="1"/>
  <c r="G357" i="106"/>
  <c r="G357" i="135" s="1"/>
  <c r="D357" i="106"/>
  <c r="D357" i="135" s="1"/>
  <c r="J356" i="106"/>
  <c r="J356" i="135" s="1"/>
  <c r="G356" i="106"/>
  <c r="G356" i="135" s="1"/>
  <c r="D356" i="106"/>
  <c r="D356" i="135" s="1"/>
  <c r="J355" i="106"/>
  <c r="J355" i="135" s="1"/>
  <c r="G355" i="106"/>
  <c r="G355" i="135" s="1"/>
  <c r="D355" i="106"/>
  <c r="D355" i="135" s="1"/>
  <c r="E361" i="106"/>
  <c r="E361" i="135" s="1"/>
  <c r="H360" i="106"/>
  <c r="H360" i="135" s="1"/>
  <c r="K359" i="106"/>
  <c r="K359" i="135" s="1"/>
  <c r="E358" i="106"/>
  <c r="E358" i="135" s="1"/>
  <c r="H357" i="106"/>
  <c r="H357" i="135" s="1"/>
  <c r="K356" i="106"/>
  <c r="K356" i="135" s="1"/>
  <c r="E355" i="106"/>
  <c r="E355" i="135" s="1"/>
  <c r="J354" i="106"/>
  <c r="J354" i="135" s="1"/>
  <c r="E354" i="106"/>
  <c r="E354" i="135" s="1"/>
  <c r="H353" i="106"/>
  <c r="H353" i="135" s="1"/>
  <c r="D353" i="106"/>
  <c r="D353" i="135" s="1"/>
  <c r="H352" i="106"/>
  <c r="C352"/>
  <c r="C352" i="135" s="1"/>
  <c r="H361" i="106"/>
  <c r="H361" i="135" s="1"/>
  <c r="K360" i="106"/>
  <c r="K360" i="135" s="1"/>
  <c r="E359" i="106"/>
  <c r="E359" i="135" s="1"/>
  <c r="H358" i="106"/>
  <c r="H358" i="135" s="1"/>
  <c r="K357" i="106"/>
  <c r="K357" i="135" s="1"/>
  <c r="E356" i="106"/>
  <c r="E356" i="135" s="1"/>
  <c r="H355" i="106"/>
  <c r="H355" i="135" s="1"/>
  <c r="K354" i="106"/>
  <c r="K354" i="135" s="1"/>
  <c r="G354" i="106"/>
  <c r="G354" i="135" s="1"/>
  <c r="J353" i="106"/>
  <c r="J353" i="135" s="1"/>
  <c r="E353" i="106"/>
  <c r="E353" i="135" s="1"/>
  <c r="I352" i="106"/>
  <c r="E352"/>
  <c r="K361"/>
  <c r="K361" i="135" s="1"/>
  <c r="E360" i="106"/>
  <c r="E360" i="135" s="1"/>
  <c r="H359" i="106"/>
  <c r="H359" i="135" s="1"/>
  <c r="K358" i="106"/>
  <c r="K358" i="135" s="1"/>
  <c r="E357" i="106"/>
  <c r="E357" i="135" s="1"/>
  <c r="H356" i="106"/>
  <c r="H356" i="135" s="1"/>
  <c r="K355" i="106"/>
  <c r="K355" i="135" s="1"/>
  <c r="H354" i="106"/>
  <c r="H354" i="135" s="1"/>
  <c r="D354" i="106"/>
  <c r="D354" i="135" s="1"/>
  <c r="K353" i="106"/>
  <c r="K353" i="135" s="1"/>
  <c r="G353" i="106"/>
  <c r="G353" i="135" s="1"/>
  <c r="K352" i="106"/>
  <c r="F352"/>
  <c r="I312"/>
  <c r="I312" i="135" s="1"/>
  <c r="F312" i="106"/>
  <c r="F312" i="135" s="1"/>
  <c r="C312" i="106"/>
  <c r="C312" i="135" s="1"/>
  <c r="I311" i="106"/>
  <c r="I311" i="135" s="1"/>
  <c r="F311" i="106"/>
  <c r="F311" i="135" s="1"/>
  <c r="C311" i="106"/>
  <c r="C311" i="135" s="1"/>
  <c r="I310" i="106"/>
  <c r="I310" i="135" s="1"/>
  <c r="F310" i="106"/>
  <c r="F310" i="135" s="1"/>
  <c r="C310" i="106"/>
  <c r="C310" i="135" s="1"/>
  <c r="I309" i="106"/>
  <c r="I309" i="135" s="1"/>
  <c r="F309" i="106"/>
  <c r="F309" i="135" s="1"/>
  <c r="C309" i="106"/>
  <c r="C309" i="135" s="1"/>
  <c r="I308" i="106"/>
  <c r="I308" i="135" s="1"/>
  <c r="F308" i="106"/>
  <c r="F308" i="135" s="1"/>
  <c r="C308" i="106"/>
  <c r="C308" i="135" s="1"/>
  <c r="I307" i="106"/>
  <c r="I307" i="135" s="1"/>
  <c r="F307" i="106"/>
  <c r="F307" i="135" s="1"/>
  <c r="C307" i="106"/>
  <c r="C307" i="135" s="1"/>
  <c r="I306" i="106"/>
  <c r="I306" i="135" s="1"/>
  <c r="F306" i="106"/>
  <c r="F306" i="135" s="1"/>
  <c r="C306" i="106"/>
  <c r="C306" i="135" s="1"/>
  <c r="I305" i="106"/>
  <c r="I305" i="135" s="1"/>
  <c r="F305" i="106"/>
  <c r="F305" i="135" s="1"/>
  <c r="C305" i="106"/>
  <c r="C305" i="135" s="1"/>
  <c r="I304" i="106"/>
  <c r="I304" i="135" s="1"/>
  <c r="F304" i="106"/>
  <c r="F304" i="135" s="1"/>
  <c r="C304" i="106"/>
  <c r="C304" i="135" s="1"/>
  <c r="J303" i="106"/>
  <c r="G303"/>
  <c r="D303"/>
  <c r="J312"/>
  <c r="J312" i="135" s="1"/>
  <c r="G312" i="106"/>
  <c r="G312" i="135" s="1"/>
  <c r="D312" i="106"/>
  <c r="D312" i="135" s="1"/>
  <c r="J311" i="106"/>
  <c r="J311" i="135" s="1"/>
  <c r="G311" i="106"/>
  <c r="G311" i="135" s="1"/>
  <c r="D311" i="106"/>
  <c r="D311" i="135" s="1"/>
  <c r="J310" i="106"/>
  <c r="J310" i="135" s="1"/>
  <c r="G310" i="106"/>
  <c r="G310" i="135" s="1"/>
  <c r="D310" i="106"/>
  <c r="D310" i="135" s="1"/>
  <c r="J309" i="106"/>
  <c r="J309" i="135" s="1"/>
  <c r="G309" i="106"/>
  <c r="G309" i="135" s="1"/>
  <c r="D309" i="106"/>
  <c r="D309" i="135" s="1"/>
  <c r="J308" i="106"/>
  <c r="J308" i="135" s="1"/>
  <c r="G308" i="106"/>
  <c r="G308" i="135" s="1"/>
  <c r="D308" i="106"/>
  <c r="D308" i="135" s="1"/>
  <c r="J307" i="106"/>
  <c r="J307" i="135" s="1"/>
  <c r="G307" i="106"/>
  <c r="G307" i="135" s="1"/>
  <c r="D307" i="106"/>
  <c r="D307" i="135" s="1"/>
  <c r="J306" i="106"/>
  <c r="J306" i="135" s="1"/>
  <c r="G306" i="106"/>
  <c r="G306" i="135" s="1"/>
  <c r="D306" i="106"/>
  <c r="D306" i="135" s="1"/>
  <c r="J305" i="106"/>
  <c r="J305" i="135" s="1"/>
  <c r="G305" i="106"/>
  <c r="G305" i="135" s="1"/>
  <c r="D305" i="106"/>
  <c r="D305" i="135" s="1"/>
  <c r="J304" i="106"/>
  <c r="J304" i="135" s="1"/>
  <c r="G304" i="106"/>
  <c r="G304" i="135" s="1"/>
  <c r="D304" i="106"/>
  <c r="D304" i="135" s="1"/>
  <c r="K303" i="106"/>
  <c r="H303"/>
  <c r="E303"/>
  <c r="K312"/>
  <c r="K312" i="135" s="1"/>
  <c r="H312" i="106"/>
  <c r="H312" i="135" s="1"/>
  <c r="E312" i="106"/>
  <c r="E312" i="135" s="1"/>
  <c r="K311" i="106"/>
  <c r="K311" i="135" s="1"/>
  <c r="H311" i="106"/>
  <c r="H311" i="135" s="1"/>
  <c r="E311" i="106"/>
  <c r="E311" i="135" s="1"/>
  <c r="K310" i="106"/>
  <c r="K310" i="135" s="1"/>
  <c r="H310" i="106"/>
  <c r="H310" i="135" s="1"/>
  <c r="E310" i="106"/>
  <c r="E310" i="135" s="1"/>
  <c r="K309" i="106"/>
  <c r="K309" i="135" s="1"/>
  <c r="H309" i="106"/>
  <c r="H309" i="135" s="1"/>
  <c r="E309" i="106"/>
  <c r="E309" i="135" s="1"/>
  <c r="K308" i="106"/>
  <c r="K308" i="135" s="1"/>
  <c r="H308" i="106"/>
  <c r="H308" i="135" s="1"/>
  <c r="E308" i="106"/>
  <c r="E308" i="135" s="1"/>
  <c r="K307" i="106"/>
  <c r="K307" i="135" s="1"/>
  <c r="H307" i="106"/>
  <c r="H307" i="135" s="1"/>
  <c r="E307" i="106"/>
  <c r="E307" i="135" s="1"/>
  <c r="K306" i="106"/>
  <c r="K306" i="135" s="1"/>
  <c r="H306" i="106"/>
  <c r="H306" i="135" s="1"/>
  <c r="E306" i="106"/>
  <c r="E306" i="135" s="1"/>
  <c r="K305" i="106"/>
  <c r="K305" i="135" s="1"/>
  <c r="H305" i="106"/>
  <c r="H305" i="135" s="1"/>
  <c r="E305" i="106"/>
  <c r="E305" i="135" s="1"/>
  <c r="K304" i="106"/>
  <c r="K304" i="135" s="1"/>
  <c r="H304" i="106"/>
  <c r="H304" i="135" s="1"/>
  <c r="E304" i="106"/>
  <c r="E304" i="135" s="1"/>
  <c r="I303" i="106"/>
  <c r="F303"/>
  <c r="C303"/>
  <c r="C303" i="135" s="1"/>
  <c r="I259" i="106"/>
  <c r="I259" i="135" s="1"/>
  <c r="F259" i="106"/>
  <c r="F259" i="135" s="1"/>
  <c r="C259" i="106"/>
  <c r="C259" i="135" s="1"/>
  <c r="I258" i="106"/>
  <c r="I258" i="135" s="1"/>
  <c r="F258" i="106"/>
  <c r="F258" i="135" s="1"/>
  <c r="C258" i="106"/>
  <c r="C258" i="135" s="1"/>
  <c r="I257" i="106"/>
  <c r="I257" i="135" s="1"/>
  <c r="F257" i="106"/>
  <c r="F257" i="135" s="1"/>
  <c r="C257" i="106"/>
  <c r="C257" i="135" s="1"/>
  <c r="I256" i="106"/>
  <c r="I256" i="135" s="1"/>
  <c r="F256" i="106"/>
  <c r="F256" i="135" s="1"/>
  <c r="C256" i="106"/>
  <c r="C256" i="135" s="1"/>
  <c r="I255" i="106"/>
  <c r="I255" i="135" s="1"/>
  <c r="F255" i="106"/>
  <c r="F255" i="135" s="1"/>
  <c r="C255" i="106"/>
  <c r="C255" i="135" s="1"/>
  <c r="I254" i="106"/>
  <c r="I254" i="135" s="1"/>
  <c r="F254" i="106"/>
  <c r="F254" i="135" s="1"/>
  <c r="C254" i="106"/>
  <c r="C254" i="135" s="1"/>
  <c r="I253" i="106"/>
  <c r="I253" i="135" s="1"/>
  <c r="F253" i="106"/>
  <c r="F253" i="135" s="1"/>
  <c r="C253" i="106"/>
  <c r="C253" i="135" s="1"/>
  <c r="I252" i="106"/>
  <c r="I252" i="135" s="1"/>
  <c r="F252" i="106"/>
  <c r="F252" i="135" s="1"/>
  <c r="C252" i="106"/>
  <c r="C252" i="135" s="1"/>
  <c r="I251" i="106"/>
  <c r="I251" i="135" s="1"/>
  <c r="F251" i="106"/>
  <c r="F251" i="135" s="1"/>
  <c r="C251" i="106"/>
  <c r="C251" i="135" s="1"/>
  <c r="J250" i="106"/>
  <c r="G250"/>
  <c r="D250"/>
  <c r="J259"/>
  <c r="J259" i="135" s="1"/>
  <c r="G259" i="106"/>
  <c r="G259" i="135" s="1"/>
  <c r="D259" i="106"/>
  <c r="D259" i="135" s="1"/>
  <c r="J258" i="106"/>
  <c r="J258" i="135" s="1"/>
  <c r="G258" i="106"/>
  <c r="G258" i="135" s="1"/>
  <c r="D258" i="106"/>
  <c r="D258" i="135" s="1"/>
  <c r="J257" i="106"/>
  <c r="J257" i="135" s="1"/>
  <c r="G257" i="106"/>
  <c r="G257" i="135" s="1"/>
  <c r="D257" i="106"/>
  <c r="D257" i="135" s="1"/>
  <c r="J256" i="106"/>
  <c r="J256" i="135" s="1"/>
  <c r="G256" i="106"/>
  <c r="G256" i="135" s="1"/>
  <c r="D256" i="106"/>
  <c r="D256" i="135" s="1"/>
  <c r="J255" i="106"/>
  <c r="J255" i="135" s="1"/>
  <c r="G255" i="106"/>
  <c r="G255" i="135" s="1"/>
  <c r="D255" i="106"/>
  <c r="D255" i="135" s="1"/>
  <c r="J254" i="106"/>
  <c r="J254" i="135" s="1"/>
  <c r="G254" i="106"/>
  <c r="G254" i="135" s="1"/>
  <c r="D254" i="106"/>
  <c r="D254" i="135" s="1"/>
  <c r="J253" i="106"/>
  <c r="J253" i="135" s="1"/>
  <c r="G253" i="106"/>
  <c r="G253" i="135" s="1"/>
  <c r="D253" i="106"/>
  <c r="D253" i="135" s="1"/>
  <c r="J252" i="106"/>
  <c r="J252" i="135" s="1"/>
  <c r="G252" i="106"/>
  <c r="G252" i="135" s="1"/>
  <c r="D252" i="106"/>
  <c r="D252" i="135" s="1"/>
  <c r="J251" i="106"/>
  <c r="J251" i="135" s="1"/>
  <c r="G251" i="106"/>
  <c r="G251" i="135" s="1"/>
  <c r="D251" i="106"/>
  <c r="D251" i="135" s="1"/>
  <c r="K250" i="106"/>
  <c r="H250"/>
  <c r="E250"/>
  <c r="K259"/>
  <c r="K259" i="135" s="1"/>
  <c r="H259" i="106"/>
  <c r="H259" i="135" s="1"/>
  <c r="E259" i="106"/>
  <c r="E259" i="135" s="1"/>
  <c r="K258" i="106"/>
  <c r="K258" i="135" s="1"/>
  <c r="H258" i="106"/>
  <c r="H258" i="135" s="1"/>
  <c r="E258" i="106"/>
  <c r="E258" i="135" s="1"/>
  <c r="K257" i="106"/>
  <c r="K257" i="135" s="1"/>
  <c r="H257" i="106"/>
  <c r="H257" i="135" s="1"/>
  <c r="E257" i="106"/>
  <c r="E257" i="135" s="1"/>
  <c r="K256" i="106"/>
  <c r="K256" i="135" s="1"/>
  <c r="H256" i="106"/>
  <c r="H256" i="135" s="1"/>
  <c r="E256" i="106"/>
  <c r="E256" i="135" s="1"/>
  <c r="K255" i="106"/>
  <c r="K255" i="135" s="1"/>
  <c r="H255" i="106"/>
  <c r="H255" i="135" s="1"/>
  <c r="E255" i="106"/>
  <c r="E255" i="135" s="1"/>
  <c r="K254" i="106"/>
  <c r="K254" i="135" s="1"/>
  <c r="H254" i="106"/>
  <c r="H254" i="135" s="1"/>
  <c r="E254" i="106"/>
  <c r="E254" i="135" s="1"/>
  <c r="K253" i="106"/>
  <c r="K253" i="135" s="1"/>
  <c r="H253" i="106"/>
  <c r="H253" i="135" s="1"/>
  <c r="E253" i="106"/>
  <c r="E253" i="135" s="1"/>
  <c r="K252" i="106"/>
  <c r="K252" i="135" s="1"/>
  <c r="H252" i="106"/>
  <c r="H252" i="135" s="1"/>
  <c r="E252" i="106"/>
  <c r="E252" i="135" s="1"/>
  <c r="K251" i="106"/>
  <c r="K251" i="135" s="1"/>
  <c r="H251" i="106"/>
  <c r="H251" i="135" s="1"/>
  <c r="E251" i="106"/>
  <c r="E251" i="135" s="1"/>
  <c r="I250" i="106"/>
  <c r="F250"/>
  <c r="C250"/>
  <c r="C250" i="135" s="1"/>
  <c r="J113" i="106"/>
  <c r="G113"/>
  <c r="D113"/>
  <c r="J112"/>
  <c r="G112"/>
  <c r="D112"/>
  <c r="J111"/>
  <c r="G111"/>
  <c r="D111"/>
  <c r="J110"/>
  <c r="G110"/>
  <c r="D110"/>
  <c r="J109"/>
  <c r="G109"/>
  <c r="D109"/>
  <c r="J108"/>
  <c r="G108"/>
  <c r="D108"/>
  <c r="J107"/>
  <c r="G107"/>
  <c r="D107"/>
  <c r="J106"/>
  <c r="G106"/>
  <c r="D106"/>
  <c r="J105"/>
  <c r="G105"/>
  <c r="D105"/>
  <c r="K104"/>
  <c r="H104"/>
  <c r="E104"/>
  <c r="K113"/>
  <c r="H113"/>
  <c r="E113"/>
  <c r="K112"/>
  <c r="H112"/>
  <c r="E112"/>
  <c r="K111"/>
  <c r="H111"/>
  <c r="E111"/>
  <c r="K110"/>
  <c r="H110"/>
  <c r="E110"/>
  <c r="K109"/>
  <c r="H109"/>
  <c r="E109"/>
  <c r="K108"/>
  <c r="H108"/>
  <c r="E108"/>
  <c r="K107"/>
  <c r="H107"/>
  <c r="E107"/>
  <c r="K106"/>
  <c r="H106"/>
  <c r="E106"/>
  <c r="K105"/>
  <c r="H105"/>
  <c r="E105"/>
  <c r="I104"/>
  <c r="F104"/>
  <c r="C104"/>
  <c r="C104" i="135" s="1"/>
  <c r="I113" i="106"/>
  <c r="F113"/>
  <c r="C113"/>
  <c r="I112"/>
  <c r="F112"/>
  <c r="C112"/>
  <c r="I111"/>
  <c r="F111"/>
  <c r="C111"/>
  <c r="I110"/>
  <c r="F110"/>
  <c r="C110"/>
  <c r="I109"/>
  <c r="F109"/>
  <c r="C109"/>
  <c r="I108"/>
  <c r="F108"/>
  <c r="C108"/>
  <c r="I107"/>
  <c r="F107"/>
  <c r="C107"/>
  <c r="I106"/>
  <c r="F106"/>
  <c r="C106"/>
  <c r="I105"/>
  <c r="F105"/>
  <c r="C105"/>
  <c r="J104"/>
  <c r="G104"/>
  <c r="D104"/>
  <c r="J41"/>
  <c r="J41" i="135" s="1"/>
  <c r="G41" i="106"/>
  <c r="G41" i="135" s="1"/>
  <c r="D41" i="106"/>
  <c r="D41" i="135" s="1"/>
  <c r="J40" i="106"/>
  <c r="J40" i="135" s="1"/>
  <c r="G40" i="106"/>
  <c r="G40" i="135" s="1"/>
  <c r="D40" i="106"/>
  <c r="D40" i="135" s="1"/>
  <c r="J39" i="106"/>
  <c r="J39" i="135" s="1"/>
  <c r="G39" i="106"/>
  <c r="G39" i="135" s="1"/>
  <c r="D39" i="106"/>
  <c r="D39" i="135" s="1"/>
  <c r="J38" i="106"/>
  <c r="J38" i="135" s="1"/>
  <c r="G38" i="106"/>
  <c r="G38" i="135" s="1"/>
  <c r="D38" i="106"/>
  <c r="D38" i="135" s="1"/>
  <c r="J37" i="106"/>
  <c r="J37" i="135" s="1"/>
  <c r="G37" i="106"/>
  <c r="G37" i="135" s="1"/>
  <c r="D37" i="106"/>
  <c r="D37" i="135" s="1"/>
  <c r="J36" i="106"/>
  <c r="J36" i="135" s="1"/>
  <c r="G36" i="106"/>
  <c r="G36" i="135" s="1"/>
  <c r="D36" i="106"/>
  <c r="D36" i="135" s="1"/>
  <c r="J35" i="106"/>
  <c r="J35" i="135" s="1"/>
  <c r="G35" i="106"/>
  <c r="G35" i="135" s="1"/>
  <c r="D35" i="106"/>
  <c r="D35" i="135" s="1"/>
  <c r="J34" i="106"/>
  <c r="J34" i="135" s="1"/>
  <c r="G34" i="106"/>
  <c r="G34" i="135" s="1"/>
  <c r="D34" i="106"/>
  <c r="D34" i="135" s="1"/>
  <c r="J33" i="106"/>
  <c r="J33" i="135" s="1"/>
  <c r="G33" i="106"/>
  <c r="G33" i="135" s="1"/>
  <c r="D33" i="106"/>
  <c r="D33" i="135" s="1"/>
  <c r="K32" i="106"/>
  <c r="H32"/>
  <c r="E32"/>
  <c r="K41"/>
  <c r="K41" i="135" s="1"/>
  <c r="H41" i="106"/>
  <c r="H41" i="135" s="1"/>
  <c r="E41" i="106"/>
  <c r="E41" i="135" s="1"/>
  <c r="K40" i="106"/>
  <c r="K40" i="135" s="1"/>
  <c r="H40" i="106"/>
  <c r="H40" i="135" s="1"/>
  <c r="E40" i="106"/>
  <c r="E40" i="135" s="1"/>
  <c r="K39" i="106"/>
  <c r="K39" i="135" s="1"/>
  <c r="H39" i="106"/>
  <c r="H39" i="135" s="1"/>
  <c r="E39" i="106"/>
  <c r="E39" i="135" s="1"/>
  <c r="K38" i="106"/>
  <c r="K38" i="135" s="1"/>
  <c r="H38" i="106"/>
  <c r="H38" i="135" s="1"/>
  <c r="E38" i="106"/>
  <c r="E38" i="135" s="1"/>
  <c r="K37" i="106"/>
  <c r="K37" i="135" s="1"/>
  <c r="H37" i="106"/>
  <c r="H37" i="135" s="1"/>
  <c r="E37" i="106"/>
  <c r="E37" i="135" s="1"/>
  <c r="K36" i="106"/>
  <c r="K36" i="135" s="1"/>
  <c r="H36" i="106"/>
  <c r="H36" i="135" s="1"/>
  <c r="E36" i="106"/>
  <c r="E36" i="135" s="1"/>
  <c r="K35" i="106"/>
  <c r="K35" i="135" s="1"/>
  <c r="H35" i="106"/>
  <c r="H35" i="135" s="1"/>
  <c r="E35" i="106"/>
  <c r="E35" i="135" s="1"/>
  <c r="K34" i="106"/>
  <c r="K34" i="135" s="1"/>
  <c r="H34" i="106"/>
  <c r="H34" i="135" s="1"/>
  <c r="E34" i="106"/>
  <c r="E34" i="135" s="1"/>
  <c r="K33" i="106"/>
  <c r="K33" i="135" s="1"/>
  <c r="H33" i="106"/>
  <c r="H33" i="135" s="1"/>
  <c r="E33" i="106"/>
  <c r="E33" i="135" s="1"/>
  <c r="I32" i="106"/>
  <c r="F32"/>
  <c r="C32"/>
  <c r="C32" i="135" s="1"/>
  <c r="I41" i="106"/>
  <c r="I41" i="135" s="1"/>
  <c r="F41" i="106"/>
  <c r="F41" i="135" s="1"/>
  <c r="C41" i="106"/>
  <c r="C41" i="135" s="1"/>
  <c r="I40" i="106"/>
  <c r="I40" i="135" s="1"/>
  <c r="F40" i="106"/>
  <c r="F40" i="135" s="1"/>
  <c r="C40" i="106"/>
  <c r="C40" i="135" s="1"/>
  <c r="I39" i="106"/>
  <c r="I39" i="135" s="1"/>
  <c r="F39" i="106"/>
  <c r="F39" i="135" s="1"/>
  <c r="C39" i="106"/>
  <c r="C39" i="135" s="1"/>
  <c r="I38" i="106"/>
  <c r="I38" i="135" s="1"/>
  <c r="F38" i="106"/>
  <c r="F38" i="135" s="1"/>
  <c r="C38" i="106"/>
  <c r="C38" i="135" s="1"/>
  <c r="I37" i="106"/>
  <c r="I37" i="135" s="1"/>
  <c r="F37" i="106"/>
  <c r="F37" i="135" s="1"/>
  <c r="C37" i="106"/>
  <c r="C37" i="135" s="1"/>
  <c r="I36" i="106"/>
  <c r="I36" i="135" s="1"/>
  <c r="F36" i="106"/>
  <c r="F36" i="135" s="1"/>
  <c r="C36" i="106"/>
  <c r="C36" i="135" s="1"/>
  <c r="I35" i="106"/>
  <c r="I35" i="135" s="1"/>
  <c r="F35" i="106"/>
  <c r="F35" i="135" s="1"/>
  <c r="C35" i="106"/>
  <c r="C35" i="135" s="1"/>
  <c r="I34" i="106"/>
  <c r="I34" i="135" s="1"/>
  <c r="F34" i="106"/>
  <c r="F34" i="135" s="1"/>
  <c r="C34" i="106"/>
  <c r="C34" i="135" s="1"/>
  <c r="I33" i="106"/>
  <c r="I33" i="135" s="1"/>
  <c r="F33" i="106"/>
  <c r="F33" i="135" s="1"/>
  <c r="C33" i="106"/>
  <c r="C33" i="135" s="1"/>
  <c r="J32" i="106"/>
  <c r="G32"/>
  <c r="D32"/>
  <c r="I795"/>
  <c r="I795" i="135" s="1"/>
  <c r="F795" i="106"/>
  <c r="F795" i="135" s="1"/>
  <c r="C795" i="106"/>
  <c r="C795" i="135" s="1"/>
  <c r="I794" i="106"/>
  <c r="I794" i="135" s="1"/>
  <c r="F794" i="106"/>
  <c r="F794" i="135" s="1"/>
  <c r="C794" i="106"/>
  <c r="C794" i="135" s="1"/>
  <c r="I793" i="106"/>
  <c r="I793" i="135" s="1"/>
  <c r="F793" i="106"/>
  <c r="F793" i="135" s="1"/>
  <c r="C793" i="106"/>
  <c r="C793" i="135" s="1"/>
  <c r="I792" i="106"/>
  <c r="I792" i="135" s="1"/>
  <c r="F792" i="106"/>
  <c r="F792" i="135" s="1"/>
  <c r="C792" i="106"/>
  <c r="C792" i="135" s="1"/>
  <c r="I791" i="106"/>
  <c r="I791" i="135" s="1"/>
  <c r="F791" i="106"/>
  <c r="F791" i="135" s="1"/>
  <c r="C791" i="106"/>
  <c r="C791" i="135" s="1"/>
  <c r="I790" i="106"/>
  <c r="I790" i="135" s="1"/>
  <c r="F790" i="106"/>
  <c r="F790" i="135" s="1"/>
  <c r="C790" i="106"/>
  <c r="C790" i="135" s="1"/>
  <c r="I789" i="106"/>
  <c r="I789" i="135" s="1"/>
  <c r="F789" i="106"/>
  <c r="F789" i="135" s="1"/>
  <c r="C789" i="106"/>
  <c r="C789" i="135" s="1"/>
  <c r="I788" i="106"/>
  <c r="I788" i="135" s="1"/>
  <c r="F788" i="106"/>
  <c r="F788" i="135" s="1"/>
  <c r="C788" i="106"/>
  <c r="C788" i="135" s="1"/>
  <c r="I787" i="106"/>
  <c r="I787" i="135" s="1"/>
  <c r="F787" i="106"/>
  <c r="F787" i="135" s="1"/>
  <c r="C787" i="106"/>
  <c r="C787" i="135" s="1"/>
  <c r="I786" i="106"/>
  <c r="F786"/>
  <c r="C786"/>
  <c r="C786" i="135" s="1"/>
  <c r="J795" i="106"/>
  <c r="J795" i="135" s="1"/>
  <c r="G795" i="106"/>
  <c r="G795" i="135" s="1"/>
  <c r="D795" i="106"/>
  <c r="D795" i="135" s="1"/>
  <c r="J794" i="106"/>
  <c r="J794" i="135" s="1"/>
  <c r="G794" i="106"/>
  <c r="G794" i="135" s="1"/>
  <c r="D794" i="106"/>
  <c r="D794" i="135" s="1"/>
  <c r="J793" i="106"/>
  <c r="J793" i="135" s="1"/>
  <c r="G793" i="106"/>
  <c r="G793" i="135" s="1"/>
  <c r="D793" i="106"/>
  <c r="D793" i="135" s="1"/>
  <c r="J792" i="106"/>
  <c r="J792" i="135" s="1"/>
  <c r="G792" i="106"/>
  <c r="G792" i="135" s="1"/>
  <c r="D792" i="106"/>
  <c r="D792" i="135" s="1"/>
  <c r="J791" i="106"/>
  <c r="J791" i="135" s="1"/>
  <c r="G791" i="106"/>
  <c r="G791" i="135" s="1"/>
  <c r="D791" i="106"/>
  <c r="D791" i="135" s="1"/>
  <c r="J790" i="106"/>
  <c r="J790" i="135" s="1"/>
  <c r="G790" i="106"/>
  <c r="G790" i="135" s="1"/>
  <c r="D790" i="106"/>
  <c r="D790" i="135" s="1"/>
  <c r="J789" i="106"/>
  <c r="J789" i="135" s="1"/>
  <c r="G789" i="106"/>
  <c r="G789" i="135" s="1"/>
  <c r="D789" i="106"/>
  <c r="D789" i="135" s="1"/>
  <c r="J788" i="106"/>
  <c r="J788" i="135" s="1"/>
  <c r="G788" i="106"/>
  <c r="G788" i="135" s="1"/>
  <c r="D788" i="106"/>
  <c r="D788" i="135" s="1"/>
  <c r="J787" i="106"/>
  <c r="J787" i="135" s="1"/>
  <c r="G787" i="106"/>
  <c r="G787" i="135" s="1"/>
  <c r="D787" i="106"/>
  <c r="D787" i="135" s="1"/>
  <c r="J786" i="106"/>
  <c r="G786"/>
  <c r="D786"/>
  <c r="K795"/>
  <c r="K795" i="135" s="1"/>
  <c r="H795" i="106"/>
  <c r="H795" i="135" s="1"/>
  <c r="E795" i="106"/>
  <c r="E795" i="135" s="1"/>
  <c r="K794" i="106"/>
  <c r="K794" i="135" s="1"/>
  <c r="H794" i="106"/>
  <c r="H794" i="135" s="1"/>
  <c r="E794" i="106"/>
  <c r="E794" i="135" s="1"/>
  <c r="K793" i="106"/>
  <c r="K793" i="135" s="1"/>
  <c r="H793" i="106"/>
  <c r="H793" i="135" s="1"/>
  <c r="E793" i="106"/>
  <c r="E793" i="135" s="1"/>
  <c r="K792" i="106"/>
  <c r="K792" i="135" s="1"/>
  <c r="H792" i="106"/>
  <c r="H792" i="135" s="1"/>
  <c r="E792" i="106"/>
  <c r="E792" i="135" s="1"/>
  <c r="K791" i="106"/>
  <c r="K791" i="135" s="1"/>
  <c r="H791" i="106"/>
  <c r="H791" i="135" s="1"/>
  <c r="E791" i="106"/>
  <c r="E791" i="135" s="1"/>
  <c r="K790" i="106"/>
  <c r="K790" i="135" s="1"/>
  <c r="H790" i="106"/>
  <c r="H790" i="135" s="1"/>
  <c r="E790" i="106"/>
  <c r="E790" i="135" s="1"/>
  <c r="K789" i="106"/>
  <c r="K789" i="135" s="1"/>
  <c r="H789" i="106"/>
  <c r="H789" i="135" s="1"/>
  <c r="E789" i="106"/>
  <c r="E789" i="135" s="1"/>
  <c r="K788" i="106"/>
  <c r="K788" i="135" s="1"/>
  <c r="H788" i="106"/>
  <c r="H788" i="135" s="1"/>
  <c r="E788" i="106"/>
  <c r="E788" i="135" s="1"/>
  <c r="K787" i="106"/>
  <c r="K787" i="135" s="1"/>
  <c r="H787" i="106"/>
  <c r="H787" i="135" s="1"/>
  <c r="E787" i="106"/>
  <c r="E787" i="135" s="1"/>
  <c r="K786" i="106"/>
  <c r="H786"/>
  <c r="E786"/>
  <c r="I579"/>
  <c r="I579" i="135" s="1"/>
  <c r="F579" i="106"/>
  <c r="F579" i="135" s="1"/>
  <c r="C579" i="106"/>
  <c r="C579" i="135" s="1"/>
  <c r="I578" i="106"/>
  <c r="I578" i="135" s="1"/>
  <c r="F578" i="106"/>
  <c r="F578" i="135" s="1"/>
  <c r="C578" i="106"/>
  <c r="C578" i="135" s="1"/>
  <c r="I577" i="106"/>
  <c r="I577" i="135" s="1"/>
  <c r="F577" i="106"/>
  <c r="F577" i="135" s="1"/>
  <c r="C577" i="106"/>
  <c r="C577" i="135" s="1"/>
  <c r="I576" i="106"/>
  <c r="I576" i="135" s="1"/>
  <c r="F576" i="106"/>
  <c r="F576" i="135" s="1"/>
  <c r="C576" i="106"/>
  <c r="C576" i="135" s="1"/>
  <c r="I575" i="106"/>
  <c r="I575" i="135" s="1"/>
  <c r="F575" i="106"/>
  <c r="F575" i="135" s="1"/>
  <c r="C575" i="106"/>
  <c r="C575" i="135" s="1"/>
  <c r="I574" i="106"/>
  <c r="I574" i="135" s="1"/>
  <c r="F574" i="106"/>
  <c r="F574" i="135" s="1"/>
  <c r="C574" i="106"/>
  <c r="C574" i="135" s="1"/>
  <c r="I573" i="106"/>
  <c r="I573" i="135" s="1"/>
  <c r="F573" i="106"/>
  <c r="F573" i="135" s="1"/>
  <c r="C573" i="106"/>
  <c r="C573" i="135" s="1"/>
  <c r="I572" i="106"/>
  <c r="I572" i="135" s="1"/>
  <c r="F572" i="106"/>
  <c r="F572" i="135" s="1"/>
  <c r="C572" i="106"/>
  <c r="C572" i="135" s="1"/>
  <c r="I571" i="106"/>
  <c r="I571" i="135" s="1"/>
  <c r="F571" i="106"/>
  <c r="F571" i="135" s="1"/>
  <c r="C571" i="106"/>
  <c r="C571" i="135" s="1"/>
  <c r="J570" i="106"/>
  <c r="G570"/>
  <c r="D570"/>
  <c r="J579"/>
  <c r="J579" i="135" s="1"/>
  <c r="G579" i="106"/>
  <c r="G579" i="135" s="1"/>
  <c r="D579" i="106"/>
  <c r="D579" i="135" s="1"/>
  <c r="J578" i="106"/>
  <c r="J578" i="135" s="1"/>
  <c r="G578" i="106"/>
  <c r="G578" i="135" s="1"/>
  <c r="D578" i="106"/>
  <c r="D578" i="135" s="1"/>
  <c r="J577" i="106"/>
  <c r="J577" i="135" s="1"/>
  <c r="G577" i="106"/>
  <c r="G577" i="135" s="1"/>
  <c r="D577" i="106"/>
  <c r="D577" i="135" s="1"/>
  <c r="J576" i="106"/>
  <c r="J576" i="135" s="1"/>
  <c r="G576" i="106"/>
  <c r="G576" i="135" s="1"/>
  <c r="D576" i="106"/>
  <c r="D576" i="135" s="1"/>
  <c r="J575" i="106"/>
  <c r="J575" i="135" s="1"/>
  <c r="G575" i="106"/>
  <c r="G575" i="135" s="1"/>
  <c r="D575" i="106"/>
  <c r="D575" i="135" s="1"/>
  <c r="J574" i="106"/>
  <c r="J574" i="135" s="1"/>
  <c r="G574" i="106"/>
  <c r="G574" i="135" s="1"/>
  <c r="D574" i="106"/>
  <c r="D574" i="135" s="1"/>
  <c r="J573" i="106"/>
  <c r="J573" i="135" s="1"/>
  <c r="G573" i="106"/>
  <c r="G573" i="135" s="1"/>
  <c r="D573" i="106"/>
  <c r="D573" i="135" s="1"/>
  <c r="J572" i="106"/>
  <c r="J572" i="135" s="1"/>
  <c r="G572" i="106"/>
  <c r="G572" i="135" s="1"/>
  <c r="D572" i="106"/>
  <c r="D572" i="135" s="1"/>
  <c r="J571" i="106"/>
  <c r="J571" i="135" s="1"/>
  <c r="G571" i="106"/>
  <c r="G571" i="135" s="1"/>
  <c r="D571" i="106"/>
  <c r="D571" i="135" s="1"/>
  <c r="K570" i="106"/>
  <c r="H570"/>
  <c r="E570"/>
  <c r="K579"/>
  <c r="K579" i="135" s="1"/>
  <c r="H579" i="106"/>
  <c r="H579" i="135" s="1"/>
  <c r="E579" i="106"/>
  <c r="E579" i="135" s="1"/>
  <c r="K578" i="106"/>
  <c r="K578" i="135" s="1"/>
  <c r="H578" i="106"/>
  <c r="H578" i="135" s="1"/>
  <c r="E578" i="106"/>
  <c r="E578" i="135" s="1"/>
  <c r="K577" i="106"/>
  <c r="K577" i="135" s="1"/>
  <c r="H577" i="106"/>
  <c r="H577" i="135" s="1"/>
  <c r="E577" i="106"/>
  <c r="E577" i="135" s="1"/>
  <c r="K576" i="106"/>
  <c r="K576" i="135" s="1"/>
  <c r="H576" i="106"/>
  <c r="H576" i="135" s="1"/>
  <c r="E576" i="106"/>
  <c r="E576" i="135" s="1"/>
  <c r="K575" i="106"/>
  <c r="K575" i="135" s="1"/>
  <c r="H575" i="106"/>
  <c r="H575" i="135" s="1"/>
  <c r="E575" i="106"/>
  <c r="E575" i="135" s="1"/>
  <c r="K574" i="106"/>
  <c r="K574" i="135" s="1"/>
  <c r="H574" i="106"/>
  <c r="H574" i="135" s="1"/>
  <c r="E574" i="106"/>
  <c r="E574" i="135" s="1"/>
  <c r="K573" i="106"/>
  <c r="K573" i="135" s="1"/>
  <c r="H573" i="106"/>
  <c r="H573" i="135" s="1"/>
  <c r="E573" i="106"/>
  <c r="E573" i="135" s="1"/>
  <c r="K572" i="106"/>
  <c r="K572" i="135" s="1"/>
  <c r="H572" i="106"/>
  <c r="H572" i="135" s="1"/>
  <c r="E572" i="106"/>
  <c r="E572" i="135" s="1"/>
  <c r="K571" i="106"/>
  <c r="K571" i="135" s="1"/>
  <c r="H571" i="106"/>
  <c r="H571" i="135" s="1"/>
  <c r="E571" i="106"/>
  <c r="E571" i="135" s="1"/>
  <c r="I570" i="106"/>
  <c r="F570"/>
  <c r="C570"/>
  <c r="C570" i="135" s="1"/>
  <c r="L315" i="106" a="1"/>
  <c r="L377" a="1"/>
  <c r="L654" a="1"/>
  <c r="L775" a="1"/>
  <c r="L178" a="1"/>
  <c r="L190" a="1"/>
  <c r="L202" a="1"/>
  <c r="M430"/>
  <c r="M430" i="135" s="1"/>
  <c r="M426" i="106"/>
  <c r="M426" i="135" s="1"/>
  <c r="N431" i="106"/>
  <c r="N431" i="135" s="1"/>
  <c r="N427" i="106"/>
  <c r="N427" i="135" s="1"/>
  <c r="L432" i="106"/>
  <c r="L432" i="135" s="1"/>
  <c r="L428" i="106"/>
  <c r="L428" i="135" s="1"/>
  <c r="I170" i="84"/>
  <c r="C484" i="106" a="1"/>
  <c r="L498" a="1"/>
  <c r="M563"/>
  <c r="M563" i="135" s="1"/>
  <c r="N558" i="106"/>
  <c r="N558" i="135" s="1"/>
  <c r="I170" i="80"/>
  <c r="C558" i="106" a="1"/>
  <c r="M615"/>
  <c r="M615" i="135" s="1"/>
  <c r="M610" i="106"/>
  <c r="M610" i="135" s="1"/>
  <c r="M606" i="106"/>
  <c r="M606" i="135" s="1"/>
  <c r="N608" i="106"/>
  <c r="N608" i="135" s="1"/>
  <c r="L612" i="106"/>
  <c r="L612" i="135" s="1"/>
  <c r="N615" i="106"/>
  <c r="N615" i="135" s="1"/>
  <c r="N609" i="106"/>
  <c r="N609" i="135" s="1"/>
  <c r="I170" i="92"/>
  <c r="C606" i="106" a="1"/>
  <c r="I170" i="96"/>
  <c r="C654" i="106" a="1"/>
  <c r="I170" i="98"/>
  <c r="C680" i="106" a="1"/>
  <c r="M710"/>
  <c r="M710" i="135" s="1"/>
  <c r="M705" i="106"/>
  <c r="M705" i="135" s="1"/>
  <c r="N711" i="106"/>
  <c r="N711" i="135" s="1"/>
  <c r="N706" i="106"/>
  <c r="N706" i="135" s="1"/>
  <c r="L712" i="106"/>
  <c r="L712" i="135" s="1"/>
  <c r="L707" i="106"/>
  <c r="L707" i="135" s="1"/>
  <c r="I170" i="100"/>
  <c r="C704" i="106" a="1"/>
  <c r="I170" i="40"/>
  <c r="C44" i="106" a="1"/>
  <c r="I170" i="43"/>
  <c r="C80" i="106" a="1"/>
  <c r="I170" i="58"/>
  <c r="C262" i="106" a="1"/>
  <c r="N235"/>
  <c r="N235" i="135" s="1"/>
  <c r="N234" i="106"/>
  <c r="N234" i="135" s="1"/>
  <c r="N233" i="106"/>
  <c r="N233" i="135" s="1"/>
  <c r="N232" i="106"/>
  <c r="N232" i="135" s="1"/>
  <c r="N231" i="106"/>
  <c r="N231" i="135" s="1"/>
  <c r="N230" i="106"/>
  <c r="N230" i="135" s="1"/>
  <c r="N229" i="106"/>
  <c r="N229" i="135" s="1"/>
  <c r="N228" i="106"/>
  <c r="N228" i="135" s="1"/>
  <c r="N227" i="106"/>
  <c r="N227" i="135" s="1"/>
  <c r="N226" i="106"/>
  <c r="N226" i="135" s="1"/>
  <c r="L235" i="106"/>
  <c r="L235" i="135" s="1"/>
  <c r="L234" i="106"/>
  <c r="L234" i="135" s="1"/>
  <c r="L233" i="106"/>
  <c r="L233" i="135" s="1"/>
  <c r="L232" i="106"/>
  <c r="L232" i="135" s="1"/>
  <c r="L231" i="106"/>
  <c r="L231" i="135" s="1"/>
  <c r="L230" i="106"/>
  <c r="L230" i="135" s="1"/>
  <c r="L229" i="106"/>
  <c r="L229" i="135" s="1"/>
  <c r="L228" i="106"/>
  <c r="L228" i="135" s="1"/>
  <c r="L227" i="106"/>
  <c r="L227" i="135" s="1"/>
  <c r="L226" i="106"/>
  <c r="L226" i="135" s="1"/>
  <c r="M235" i="106"/>
  <c r="M235" i="135" s="1"/>
  <c r="M234" i="106"/>
  <c r="M234" i="135" s="1"/>
  <c r="M233" i="106"/>
  <c r="M233" i="135" s="1"/>
  <c r="M232" i="106"/>
  <c r="M232" i="135" s="1"/>
  <c r="M231" i="106"/>
  <c r="M231" i="135" s="1"/>
  <c r="M230" i="106"/>
  <c r="M230" i="135" s="1"/>
  <c r="M229" i="106"/>
  <c r="M229" i="135" s="1"/>
  <c r="M228" i="106"/>
  <c r="M228" i="135" s="1"/>
  <c r="M227" i="106"/>
  <c r="M227" i="135" s="1"/>
  <c r="M226" i="106"/>
  <c r="M226" i="135" s="1"/>
  <c r="N627" i="106"/>
  <c r="N627" i="135" s="1"/>
  <c r="N626" i="106"/>
  <c r="N626" i="135" s="1"/>
  <c r="N625" i="106"/>
  <c r="N625" i="135" s="1"/>
  <c r="N624" i="106"/>
  <c r="N624" i="135" s="1"/>
  <c r="N623" i="106"/>
  <c r="N623" i="135" s="1"/>
  <c r="N622" i="106"/>
  <c r="N622" i="135" s="1"/>
  <c r="N621" i="106"/>
  <c r="N621" i="135" s="1"/>
  <c r="N620" i="106"/>
  <c r="N620" i="135" s="1"/>
  <c r="N619" i="106"/>
  <c r="N619" i="135" s="1"/>
  <c r="N618" i="106"/>
  <c r="N618" i="135" s="1"/>
  <c r="L627" i="106"/>
  <c r="L627" i="135" s="1"/>
  <c r="L626" i="106"/>
  <c r="L626" i="135" s="1"/>
  <c r="L625" i="106"/>
  <c r="L625" i="135" s="1"/>
  <c r="L624" i="106"/>
  <c r="L624" i="135" s="1"/>
  <c r="L623" i="106"/>
  <c r="L623" i="135" s="1"/>
  <c r="L622" i="106"/>
  <c r="L622" i="135" s="1"/>
  <c r="L621" i="106"/>
  <c r="L621" i="135" s="1"/>
  <c r="L620" i="106"/>
  <c r="L620" i="135" s="1"/>
  <c r="L619" i="106"/>
  <c r="L619" i="135" s="1"/>
  <c r="L618" i="106"/>
  <c r="L618" i="135" s="1"/>
  <c r="M627" i="106"/>
  <c r="M627" i="135" s="1"/>
  <c r="M626" i="106"/>
  <c r="M626" i="135" s="1"/>
  <c r="M625" i="106"/>
  <c r="M625" i="135" s="1"/>
  <c r="M624" i="106"/>
  <c r="M624" i="135" s="1"/>
  <c r="M623" i="106"/>
  <c r="M623" i="135" s="1"/>
  <c r="M622" i="106"/>
  <c r="M622" i="135" s="1"/>
  <c r="M621" i="106"/>
  <c r="M621" i="135" s="1"/>
  <c r="M620" i="106"/>
  <c r="M620" i="135" s="1"/>
  <c r="M619" i="106"/>
  <c r="M619" i="135" s="1"/>
  <c r="M618" i="106"/>
  <c r="M618" i="135" s="1"/>
  <c r="M531" i="106"/>
  <c r="M531" i="135" s="1"/>
  <c r="M530" i="106"/>
  <c r="M530" i="135" s="1"/>
  <c r="M529" i="106"/>
  <c r="M529" i="135" s="1"/>
  <c r="M528" i="106"/>
  <c r="M528" i="135" s="1"/>
  <c r="M527" i="106"/>
  <c r="M527" i="135" s="1"/>
  <c r="M526" i="106"/>
  <c r="M526" i="135" s="1"/>
  <c r="M525" i="106"/>
  <c r="M525" i="135" s="1"/>
  <c r="M524" i="106"/>
  <c r="M524" i="135" s="1"/>
  <c r="M523" i="106"/>
  <c r="M523" i="135" s="1"/>
  <c r="M522" i="106"/>
  <c r="M522" i="135" s="1"/>
  <c r="N531" i="106"/>
  <c r="N531" i="135" s="1"/>
  <c r="N530" i="106"/>
  <c r="N530" i="135" s="1"/>
  <c r="N529" i="106"/>
  <c r="N529" i="135" s="1"/>
  <c r="N528" i="106"/>
  <c r="N528" i="135" s="1"/>
  <c r="N527" i="106"/>
  <c r="N527" i="135" s="1"/>
  <c r="N526" i="106"/>
  <c r="N526" i="135" s="1"/>
  <c r="N525" i="106"/>
  <c r="N525" i="135" s="1"/>
  <c r="N524" i="106"/>
  <c r="N524" i="135" s="1"/>
  <c r="N523" i="106"/>
  <c r="N523" i="135" s="1"/>
  <c r="N522" i="106"/>
  <c r="N522" i="135" s="1"/>
  <c r="L531" i="106"/>
  <c r="L531" i="135" s="1"/>
  <c r="L530" i="106"/>
  <c r="L530" i="135" s="1"/>
  <c r="L529" i="106"/>
  <c r="L529" i="135" s="1"/>
  <c r="L528" i="106"/>
  <c r="L528" i="135" s="1"/>
  <c r="L527" i="106"/>
  <c r="L527" i="135" s="1"/>
  <c r="L526" i="106"/>
  <c r="L526" i="135" s="1"/>
  <c r="L525" i="106"/>
  <c r="L525" i="135" s="1"/>
  <c r="L524" i="106"/>
  <c r="L524" i="135" s="1"/>
  <c r="L523" i="106"/>
  <c r="L523" i="135" s="1"/>
  <c r="L522" i="106"/>
  <c r="L522" i="135" s="1"/>
  <c r="M373" i="106"/>
  <c r="M373" i="135" s="1"/>
  <c r="M372" i="106"/>
  <c r="M372" i="135" s="1"/>
  <c r="M371" i="106"/>
  <c r="M371" i="135" s="1"/>
  <c r="M370" i="106"/>
  <c r="M370" i="135" s="1"/>
  <c r="M369" i="106"/>
  <c r="M369" i="135" s="1"/>
  <c r="M368" i="106"/>
  <c r="M368" i="135" s="1"/>
  <c r="M367" i="106"/>
  <c r="M367" i="135" s="1"/>
  <c r="M366" i="106"/>
  <c r="M366" i="135" s="1"/>
  <c r="M365" i="106"/>
  <c r="M365" i="135" s="1"/>
  <c r="M364" i="106"/>
  <c r="M364" i="135" s="1"/>
  <c r="N373" i="106"/>
  <c r="N373" i="135" s="1"/>
  <c r="N372" i="106"/>
  <c r="N372" i="135" s="1"/>
  <c r="N371" i="106"/>
  <c r="N371" i="135" s="1"/>
  <c r="N370" i="106"/>
  <c r="N370" i="135" s="1"/>
  <c r="N369" i="106"/>
  <c r="N369" i="135" s="1"/>
  <c r="N368" i="106"/>
  <c r="N368" i="135" s="1"/>
  <c r="N367" i="106"/>
  <c r="N367" i="135" s="1"/>
  <c r="N366" i="106"/>
  <c r="N366" i="135" s="1"/>
  <c r="N365" i="106"/>
  <c r="N365" i="135" s="1"/>
  <c r="N364" i="106"/>
  <c r="N364" i="135" s="1"/>
  <c r="L372" i="106"/>
  <c r="L372" i="135" s="1"/>
  <c r="L369" i="106"/>
  <c r="L369" i="135" s="1"/>
  <c r="L366" i="106"/>
  <c r="L366" i="135" s="1"/>
  <c r="L373" i="106"/>
  <c r="L373" i="135" s="1"/>
  <c r="L370" i="106"/>
  <c r="L370" i="135" s="1"/>
  <c r="L367" i="106"/>
  <c r="L367" i="135" s="1"/>
  <c r="L364" i="106"/>
  <c r="L364" i="135" s="1"/>
  <c r="L371" i="106"/>
  <c r="L371" i="135" s="1"/>
  <c r="L368" i="106"/>
  <c r="L368" i="135" s="1"/>
  <c r="L365" i="106"/>
  <c r="L365" i="135" s="1"/>
  <c r="J675" i="106"/>
  <c r="J675" i="135" s="1"/>
  <c r="G675" i="106"/>
  <c r="G675" i="135" s="1"/>
  <c r="D675" i="106"/>
  <c r="D675" i="135" s="1"/>
  <c r="J674" i="106"/>
  <c r="J674" i="135" s="1"/>
  <c r="G674" i="106"/>
  <c r="G674" i="135" s="1"/>
  <c r="D674" i="106"/>
  <c r="D674" i="135" s="1"/>
  <c r="J673" i="106"/>
  <c r="J673" i="135" s="1"/>
  <c r="G673" i="106"/>
  <c r="G673" i="135" s="1"/>
  <c r="D673" i="106"/>
  <c r="D673" i="135" s="1"/>
  <c r="J672" i="106"/>
  <c r="J672" i="135" s="1"/>
  <c r="G672" i="106"/>
  <c r="G672" i="135" s="1"/>
  <c r="D672" i="106"/>
  <c r="D672" i="135" s="1"/>
  <c r="J671" i="106"/>
  <c r="J671" i="135" s="1"/>
  <c r="G671" i="106"/>
  <c r="G671" i="135" s="1"/>
  <c r="D671" i="106"/>
  <c r="D671" i="135" s="1"/>
  <c r="J670" i="106"/>
  <c r="J670" i="135" s="1"/>
  <c r="G670" i="106"/>
  <c r="G670" i="135" s="1"/>
  <c r="D670" i="106"/>
  <c r="D670" i="135" s="1"/>
  <c r="J669" i="106"/>
  <c r="J669" i="135" s="1"/>
  <c r="G669" i="106"/>
  <c r="G669" i="135" s="1"/>
  <c r="D669" i="106"/>
  <c r="D669" i="135" s="1"/>
  <c r="K675" i="106"/>
  <c r="K675" i="135" s="1"/>
  <c r="H675" i="106"/>
  <c r="H675" i="135" s="1"/>
  <c r="E675" i="106"/>
  <c r="E675" i="135" s="1"/>
  <c r="K674" i="106"/>
  <c r="K674" i="135" s="1"/>
  <c r="H674" i="106"/>
  <c r="H674" i="135" s="1"/>
  <c r="E674" i="106"/>
  <c r="E674" i="135" s="1"/>
  <c r="K673" i="106"/>
  <c r="K673" i="135" s="1"/>
  <c r="H673" i="106"/>
  <c r="H673" i="135" s="1"/>
  <c r="E673" i="106"/>
  <c r="E673" i="135" s="1"/>
  <c r="K672" i="106"/>
  <c r="K672" i="135" s="1"/>
  <c r="H672" i="106"/>
  <c r="H672" i="135" s="1"/>
  <c r="E672" i="106"/>
  <c r="E672" i="135" s="1"/>
  <c r="K671" i="106"/>
  <c r="K671" i="135" s="1"/>
  <c r="H671" i="106"/>
  <c r="H671" i="135" s="1"/>
  <c r="E671" i="106"/>
  <c r="E671" i="135" s="1"/>
  <c r="K670" i="106"/>
  <c r="K670" i="135" s="1"/>
  <c r="H670" i="106"/>
  <c r="H670" i="135" s="1"/>
  <c r="E670" i="106"/>
  <c r="E670" i="135" s="1"/>
  <c r="K669" i="106"/>
  <c r="K669" i="135" s="1"/>
  <c r="H669" i="106"/>
  <c r="H669" i="135" s="1"/>
  <c r="E669" i="106"/>
  <c r="E669" i="135" s="1"/>
  <c r="K668" i="106"/>
  <c r="K668" i="135" s="1"/>
  <c r="H668" i="106"/>
  <c r="H668" i="135" s="1"/>
  <c r="E668" i="106"/>
  <c r="E668" i="135" s="1"/>
  <c r="K667" i="106"/>
  <c r="K667" i="135" s="1"/>
  <c r="H667" i="106"/>
  <c r="H667" i="135" s="1"/>
  <c r="E667" i="106"/>
  <c r="E667" i="135" s="1"/>
  <c r="I675" i="106"/>
  <c r="I675" i="135" s="1"/>
  <c r="I674" i="106"/>
  <c r="I674" i="135" s="1"/>
  <c r="I673" i="106"/>
  <c r="I673" i="135" s="1"/>
  <c r="I672" i="106"/>
  <c r="I672" i="135" s="1"/>
  <c r="I671" i="106"/>
  <c r="I671" i="135" s="1"/>
  <c r="I670" i="106"/>
  <c r="I670" i="135" s="1"/>
  <c r="I669" i="106"/>
  <c r="I669" i="135" s="1"/>
  <c r="J668" i="106"/>
  <c r="J668" i="135" s="1"/>
  <c r="F668" i="106"/>
  <c r="F668" i="135" s="1"/>
  <c r="J667" i="106"/>
  <c r="J667" i="135" s="1"/>
  <c r="F667" i="106"/>
  <c r="F667" i="135" s="1"/>
  <c r="K666" i="106"/>
  <c r="H666"/>
  <c r="E666"/>
  <c r="C675"/>
  <c r="C675" i="135" s="1"/>
  <c r="C674" i="106"/>
  <c r="C674" i="135" s="1"/>
  <c r="C673" i="106"/>
  <c r="C673" i="135" s="1"/>
  <c r="C672" i="106"/>
  <c r="C672" i="135" s="1"/>
  <c r="C671" i="106"/>
  <c r="C671" i="135" s="1"/>
  <c r="C670" i="106"/>
  <c r="C670" i="135" s="1"/>
  <c r="C669" i="106"/>
  <c r="C669" i="135" s="1"/>
  <c r="G668" i="106"/>
  <c r="G668" i="135" s="1"/>
  <c r="C668" i="106"/>
  <c r="C668" i="135" s="1"/>
  <c r="G667" i="106"/>
  <c r="G667" i="135" s="1"/>
  <c r="C667" i="106"/>
  <c r="C667" i="135" s="1"/>
  <c r="I666" i="106"/>
  <c r="F666"/>
  <c r="C666"/>
  <c r="C666" i="135" s="1"/>
  <c r="F675" i="106"/>
  <c r="F675" i="135" s="1"/>
  <c r="F674" i="106"/>
  <c r="F674" i="135" s="1"/>
  <c r="F673" i="106"/>
  <c r="F673" i="135" s="1"/>
  <c r="F672" i="106"/>
  <c r="F672" i="135" s="1"/>
  <c r="F671" i="106"/>
  <c r="F671" i="135" s="1"/>
  <c r="F670" i="106"/>
  <c r="F670" i="135" s="1"/>
  <c r="F669" i="106"/>
  <c r="F669" i="135" s="1"/>
  <c r="I668" i="106"/>
  <c r="I668" i="135" s="1"/>
  <c r="D668" i="106"/>
  <c r="D668" i="135" s="1"/>
  <c r="I667" i="106"/>
  <c r="I667" i="135" s="1"/>
  <c r="D667" i="106"/>
  <c r="D667" i="135" s="1"/>
  <c r="J666" i="106"/>
  <c r="G666"/>
  <c r="D666"/>
  <c r="K555"/>
  <c r="K555" i="135" s="1"/>
  <c r="H555" i="106"/>
  <c r="H555" i="135" s="1"/>
  <c r="E555" i="106"/>
  <c r="E555" i="135" s="1"/>
  <c r="K554" i="106"/>
  <c r="K554" i="135" s="1"/>
  <c r="H554" i="106"/>
  <c r="H554" i="135" s="1"/>
  <c r="E554" i="106"/>
  <c r="E554" i="135" s="1"/>
  <c r="K553" i="106"/>
  <c r="K553" i="135" s="1"/>
  <c r="H553" i="106"/>
  <c r="H553" i="135" s="1"/>
  <c r="E553" i="106"/>
  <c r="E553" i="135" s="1"/>
  <c r="K552" i="106"/>
  <c r="K552" i="135" s="1"/>
  <c r="H552" i="106"/>
  <c r="H552" i="135" s="1"/>
  <c r="E552" i="106"/>
  <c r="E552" i="135" s="1"/>
  <c r="K551" i="106"/>
  <c r="K551" i="135" s="1"/>
  <c r="H551" i="106"/>
  <c r="H551" i="135" s="1"/>
  <c r="E551" i="106"/>
  <c r="E551" i="135" s="1"/>
  <c r="K550" i="106"/>
  <c r="K550" i="135" s="1"/>
  <c r="H550" i="106"/>
  <c r="H550" i="135" s="1"/>
  <c r="E550" i="106"/>
  <c r="E550" i="135" s="1"/>
  <c r="K549" i="106"/>
  <c r="K549" i="135" s="1"/>
  <c r="H549" i="106"/>
  <c r="H549" i="135" s="1"/>
  <c r="E549" i="106"/>
  <c r="E549" i="135" s="1"/>
  <c r="K548" i="106"/>
  <c r="K548" i="135" s="1"/>
  <c r="H548" i="106"/>
  <c r="H548" i="135" s="1"/>
  <c r="E548" i="106"/>
  <c r="E548" i="135" s="1"/>
  <c r="K547" i="106"/>
  <c r="K547" i="135" s="1"/>
  <c r="H547" i="106"/>
  <c r="H547" i="135" s="1"/>
  <c r="E547" i="106"/>
  <c r="E547" i="135" s="1"/>
  <c r="I546" i="106"/>
  <c r="F546"/>
  <c r="C546"/>
  <c r="C546" i="135" s="1"/>
  <c r="I555" i="106"/>
  <c r="I555" i="135" s="1"/>
  <c r="F555" i="106"/>
  <c r="F555" i="135" s="1"/>
  <c r="C555" i="106"/>
  <c r="C555" i="135" s="1"/>
  <c r="I554" i="106"/>
  <c r="I554" i="135" s="1"/>
  <c r="F554" i="106"/>
  <c r="F554" i="135" s="1"/>
  <c r="C554" i="106"/>
  <c r="C554" i="135" s="1"/>
  <c r="I553" i="106"/>
  <c r="I553" i="135" s="1"/>
  <c r="F553" i="106"/>
  <c r="F553" i="135" s="1"/>
  <c r="C553" i="106"/>
  <c r="C553" i="135" s="1"/>
  <c r="I552" i="106"/>
  <c r="I552" i="135" s="1"/>
  <c r="F552" i="106"/>
  <c r="F552" i="135" s="1"/>
  <c r="C552" i="106"/>
  <c r="C552" i="135" s="1"/>
  <c r="I551" i="106"/>
  <c r="I551" i="135" s="1"/>
  <c r="F551" i="106"/>
  <c r="F551" i="135" s="1"/>
  <c r="C551" i="106"/>
  <c r="C551" i="135" s="1"/>
  <c r="I550" i="106"/>
  <c r="I550" i="135" s="1"/>
  <c r="F550" i="106"/>
  <c r="F550" i="135" s="1"/>
  <c r="C550" i="106"/>
  <c r="C550" i="135" s="1"/>
  <c r="I549" i="106"/>
  <c r="I549" i="135" s="1"/>
  <c r="F549" i="106"/>
  <c r="F549" i="135" s="1"/>
  <c r="C549" i="106"/>
  <c r="C549" i="135" s="1"/>
  <c r="I548" i="106"/>
  <c r="I548" i="135" s="1"/>
  <c r="F548" i="106"/>
  <c r="F548" i="135" s="1"/>
  <c r="C548" i="106"/>
  <c r="C548" i="135" s="1"/>
  <c r="I547" i="106"/>
  <c r="I547" i="135" s="1"/>
  <c r="F547" i="106"/>
  <c r="F547" i="135" s="1"/>
  <c r="C547" i="106"/>
  <c r="C547" i="135" s="1"/>
  <c r="J546" i="106"/>
  <c r="G546"/>
  <c r="D546"/>
  <c r="J555"/>
  <c r="J555" i="135" s="1"/>
  <c r="G555" i="106"/>
  <c r="G555" i="135" s="1"/>
  <c r="D555" i="106"/>
  <c r="D555" i="135" s="1"/>
  <c r="J554" i="106"/>
  <c r="J554" i="135" s="1"/>
  <c r="G554" i="106"/>
  <c r="G554" i="135" s="1"/>
  <c r="D554" i="106"/>
  <c r="D554" i="135" s="1"/>
  <c r="J553" i="106"/>
  <c r="J553" i="135" s="1"/>
  <c r="G553" i="106"/>
  <c r="G553" i="135" s="1"/>
  <c r="D553" i="106"/>
  <c r="D553" i="135" s="1"/>
  <c r="J552" i="106"/>
  <c r="J552" i="135" s="1"/>
  <c r="G552" i="106"/>
  <c r="G552" i="135" s="1"/>
  <c r="D552" i="106"/>
  <c r="D552" i="135" s="1"/>
  <c r="J551" i="106"/>
  <c r="J551" i="135" s="1"/>
  <c r="G551" i="106"/>
  <c r="G551" i="135" s="1"/>
  <c r="D551" i="106"/>
  <c r="D551" i="135" s="1"/>
  <c r="J550" i="106"/>
  <c r="J550" i="135" s="1"/>
  <c r="G550" i="106"/>
  <c r="G550" i="135" s="1"/>
  <c r="D550" i="106"/>
  <c r="D550" i="135" s="1"/>
  <c r="J549" i="106"/>
  <c r="J549" i="135" s="1"/>
  <c r="G549" i="106"/>
  <c r="G549" i="135" s="1"/>
  <c r="D549" i="106"/>
  <c r="D549" i="135" s="1"/>
  <c r="J548" i="106"/>
  <c r="J548" i="135" s="1"/>
  <c r="G548" i="106"/>
  <c r="G548" i="135" s="1"/>
  <c r="D548" i="106"/>
  <c r="D548" i="135" s="1"/>
  <c r="J547" i="106"/>
  <c r="J547" i="135" s="1"/>
  <c r="G547" i="106"/>
  <c r="G547" i="135" s="1"/>
  <c r="D547" i="106"/>
  <c r="D547" i="135" s="1"/>
  <c r="K546" i="106"/>
  <c r="H546"/>
  <c r="E546"/>
  <c r="K458"/>
  <c r="K458" i="135" s="1"/>
  <c r="H458" i="106"/>
  <c r="H458" i="135" s="1"/>
  <c r="E458" i="106"/>
  <c r="E458" i="135" s="1"/>
  <c r="K457" i="106"/>
  <c r="K457" i="135" s="1"/>
  <c r="H457" i="106"/>
  <c r="H457" i="135" s="1"/>
  <c r="E457" i="106"/>
  <c r="E457" i="135" s="1"/>
  <c r="K456" i="106"/>
  <c r="K456" i="135" s="1"/>
  <c r="H456" i="106"/>
  <c r="H456" i="135" s="1"/>
  <c r="E456" i="106"/>
  <c r="E456" i="135" s="1"/>
  <c r="K455" i="106"/>
  <c r="K455" i="135" s="1"/>
  <c r="H455" i="106"/>
  <c r="H455" i="135" s="1"/>
  <c r="E455" i="106"/>
  <c r="E455" i="135" s="1"/>
  <c r="K454" i="106"/>
  <c r="K454" i="135" s="1"/>
  <c r="H454" i="106"/>
  <c r="H454" i="135" s="1"/>
  <c r="E454" i="106"/>
  <c r="E454" i="135" s="1"/>
  <c r="K453" i="106"/>
  <c r="K453" i="135" s="1"/>
  <c r="H453" i="106"/>
  <c r="H453" i="135" s="1"/>
  <c r="E453" i="106"/>
  <c r="E453" i="135" s="1"/>
  <c r="K452" i="106"/>
  <c r="K452" i="135" s="1"/>
  <c r="H452" i="106"/>
  <c r="H452" i="135" s="1"/>
  <c r="E452" i="106"/>
  <c r="E452" i="135" s="1"/>
  <c r="K451" i="106"/>
  <c r="K451" i="135" s="1"/>
  <c r="H451" i="106"/>
  <c r="H451" i="135" s="1"/>
  <c r="E451" i="106"/>
  <c r="E451" i="135" s="1"/>
  <c r="K450" i="106"/>
  <c r="K450" i="135" s="1"/>
  <c r="H450" i="106"/>
  <c r="H450" i="135" s="1"/>
  <c r="E450" i="106"/>
  <c r="E450" i="135" s="1"/>
  <c r="I449" i="106"/>
  <c r="F449"/>
  <c r="C449"/>
  <c r="C449" i="135" s="1"/>
  <c r="I458" i="106"/>
  <c r="I458" i="135" s="1"/>
  <c r="F458" i="106"/>
  <c r="F458" i="135" s="1"/>
  <c r="C458" i="106"/>
  <c r="C458" i="135" s="1"/>
  <c r="I457" i="106"/>
  <c r="I457" i="135" s="1"/>
  <c r="F457" i="106"/>
  <c r="F457" i="135" s="1"/>
  <c r="C457" i="106"/>
  <c r="C457" i="135" s="1"/>
  <c r="I456" i="106"/>
  <c r="I456" i="135" s="1"/>
  <c r="F456" i="106"/>
  <c r="F456" i="135" s="1"/>
  <c r="C456" i="106"/>
  <c r="C456" i="135" s="1"/>
  <c r="I455" i="106"/>
  <c r="I455" i="135" s="1"/>
  <c r="F455" i="106"/>
  <c r="F455" i="135" s="1"/>
  <c r="C455" i="106"/>
  <c r="C455" i="135" s="1"/>
  <c r="I454" i="106"/>
  <c r="I454" i="135" s="1"/>
  <c r="F454" i="106"/>
  <c r="F454" i="135" s="1"/>
  <c r="C454" i="106"/>
  <c r="C454" i="135" s="1"/>
  <c r="I453" i="106"/>
  <c r="I453" i="135" s="1"/>
  <c r="F453" i="106"/>
  <c r="F453" i="135" s="1"/>
  <c r="C453" i="106"/>
  <c r="C453" i="135" s="1"/>
  <c r="I452" i="106"/>
  <c r="I452" i="135" s="1"/>
  <c r="F452" i="106"/>
  <c r="F452" i="135" s="1"/>
  <c r="C452" i="106"/>
  <c r="C452" i="135" s="1"/>
  <c r="I451" i="106"/>
  <c r="I451" i="135" s="1"/>
  <c r="F451" i="106"/>
  <c r="F451" i="135" s="1"/>
  <c r="C451" i="106"/>
  <c r="C451" i="135" s="1"/>
  <c r="I450" i="106"/>
  <c r="I450" i="135" s="1"/>
  <c r="F450" i="106"/>
  <c r="F450" i="135" s="1"/>
  <c r="C450" i="106"/>
  <c r="C450" i="135" s="1"/>
  <c r="J449" i="106"/>
  <c r="G449"/>
  <c r="D449"/>
  <c r="J458"/>
  <c r="J458" i="135" s="1"/>
  <c r="G458" i="106"/>
  <c r="G458" i="135" s="1"/>
  <c r="D458" i="106"/>
  <c r="D458" i="135" s="1"/>
  <c r="J457" i="106"/>
  <c r="J457" i="135" s="1"/>
  <c r="G457" i="106"/>
  <c r="G457" i="135" s="1"/>
  <c r="D457" i="106"/>
  <c r="D457" i="135" s="1"/>
  <c r="J456" i="106"/>
  <c r="J456" i="135" s="1"/>
  <c r="G456" i="106"/>
  <c r="G456" i="135" s="1"/>
  <c r="D456" i="106"/>
  <c r="D456" i="135" s="1"/>
  <c r="J455" i="106"/>
  <c r="J455" i="135" s="1"/>
  <c r="G455" i="106"/>
  <c r="G455" i="135" s="1"/>
  <c r="D455" i="106"/>
  <c r="D455" i="135" s="1"/>
  <c r="J454" i="106"/>
  <c r="J454" i="135" s="1"/>
  <c r="G454" i="106"/>
  <c r="G454" i="135" s="1"/>
  <c r="D454" i="106"/>
  <c r="D454" i="135" s="1"/>
  <c r="J453" i="106"/>
  <c r="J453" i="135" s="1"/>
  <c r="G453" i="106"/>
  <c r="G453" i="135" s="1"/>
  <c r="D453" i="106"/>
  <c r="D453" i="135" s="1"/>
  <c r="J452" i="106"/>
  <c r="J452" i="135" s="1"/>
  <c r="G452" i="106"/>
  <c r="G452" i="135" s="1"/>
  <c r="D452" i="106"/>
  <c r="D452" i="135" s="1"/>
  <c r="J451" i="106"/>
  <c r="J451" i="135" s="1"/>
  <c r="G451" i="106"/>
  <c r="G451" i="135" s="1"/>
  <c r="D451" i="106"/>
  <c r="D451" i="135" s="1"/>
  <c r="J450" i="106"/>
  <c r="J450" i="135" s="1"/>
  <c r="G450" i="106"/>
  <c r="G450" i="135" s="1"/>
  <c r="D450" i="106"/>
  <c r="D450" i="135" s="1"/>
  <c r="K449" i="106"/>
  <c r="H449"/>
  <c r="E449"/>
  <c r="L175"/>
  <c r="L175" i="135" s="1"/>
  <c r="L174" i="106"/>
  <c r="L174" i="135" s="1"/>
  <c r="L173" i="106"/>
  <c r="L173" i="135" s="1"/>
  <c r="L172" i="106"/>
  <c r="L172" i="135" s="1"/>
  <c r="L171" i="106"/>
  <c r="L171" i="135" s="1"/>
  <c r="L170" i="106"/>
  <c r="L170" i="135" s="1"/>
  <c r="L169" i="106"/>
  <c r="L169" i="135" s="1"/>
  <c r="L168" i="106"/>
  <c r="L168" i="135" s="1"/>
  <c r="L167" i="106"/>
  <c r="L167" i="135" s="1"/>
  <c r="L166" i="106"/>
  <c r="L166" i="135" s="1"/>
  <c r="M175" i="106"/>
  <c r="M175" i="135" s="1"/>
  <c r="M174" i="106"/>
  <c r="M174" i="135" s="1"/>
  <c r="M173" i="106"/>
  <c r="M173" i="135" s="1"/>
  <c r="M172" i="106"/>
  <c r="M172" i="135" s="1"/>
  <c r="M171" i="106"/>
  <c r="M171" i="135" s="1"/>
  <c r="M170" i="106"/>
  <c r="M170" i="135" s="1"/>
  <c r="M169" i="106"/>
  <c r="M169" i="135" s="1"/>
  <c r="M168" i="106"/>
  <c r="M168" i="135" s="1"/>
  <c r="M167" i="106"/>
  <c r="M167" i="135" s="1"/>
  <c r="M166" i="106"/>
  <c r="M166" i="135" s="1"/>
  <c r="N175" i="106"/>
  <c r="N175" i="135" s="1"/>
  <c r="N174" i="106"/>
  <c r="N174" i="135" s="1"/>
  <c r="N173" i="106"/>
  <c r="N173" i="135" s="1"/>
  <c r="N172" i="106"/>
  <c r="N172" i="135" s="1"/>
  <c r="N171" i="106"/>
  <c r="N171" i="135" s="1"/>
  <c r="N170" i="106"/>
  <c r="N170" i="135" s="1"/>
  <c r="N169" i="106"/>
  <c r="N169" i="135" s="1"/>
  <c r="N168" i="106"/>
  <c r="N168" i="135" s="1"/>
  <c r="N167" i="106"/>
  <c r="N167" i="135" s="1"/>
  <c r="N166" i="106"/>
  <c r="N166" i="135" s="1"/>
  <c r="N773" i="106"/>
  <c r="N773" i="135" s="1"/>
  <c r="N772" i="106"/>
  <c r="N772" i="135" s="1"/>
  <c r="N771" i="106"/>
  <c r="N771" i="135" s="1"/>
  <c r="N770" i="106"/>
  <c r="N770" i="135" s="1"/>
  <c r="N769" i="106"/>
  <c r="N769" i="135" s="1"/>
  <c r="N768" i="106"/>
  <c r="N768" i="135" s="1"/>
  <c r="N767" i="106"/>
  <c r="N767" i="135" s="1"/>
  <c r="N766" i="106"/>
  <c r="N766" i="135" s="1"/>
  <c r="N765" i="106"/>
  <c r="N765" i="135" s="1"/>
  <c r="N764" i="106"/>
  <c r="N764" i="135" s="1"/>
  <c r="M773" i="106"/>
  <c r="M773" i="135" s="1"/>
  <c r="M772" i="106"/>
  <c r="M772" i="135" s="1"/>
  <c r="M771" i="106"/>
  <c r="M771" i="135" s="1"/>
  <c r="M770" i="106"/>
  <c r="M770" i="135" s="1"/>
  <c r="M769" i="106"/>
  <c r="M769" i="135" s="1"/>
  <c r="M768" i="106"/>
  <c r="M768" i="135" s="1"/>
  <c r="M767" i="106"/>
  <c r="M767" i="135" s="1"/>
  <c r="M766" i="106"/>
  <c r="M766" i="135" s="1"/>
  <c r="M765" i="106"/>
  <c r="M765" i="135" s="1"/>
  <c r="M764" i="106"/>
  <c r="M764" i="135" s="1"/>
  <c r="L772" i="106"/>
  <c r="L772" i="135" s="1"/>
  <c r="L769" i="106"/>
  <c r="L769" i="135" s="1"/>
  <c r="L766" i="106"/>
  <c r="L766" i="135" s="1"/>
  <c r="L773" i="106"/>
  <c r="L773" i="135" s="1"/>
  <c r="L770" i="106"/>
  <c r="L770" i="135" s="1"/>
  <c r="L767" i="106"/>
  <c r="L767" i="135" s="1"/>
  <c r="L764" i="106"/>
  <c r="L764" i="135" s="1"/>
  <c r="L771" i="106"/>
  <c r="L771" i="135" s="1"/>
  <c r="L768" i="106"/>
  <c r="L768" i="135" s="1"/>
  <c r="L765" i="106"/>
  <c r="L765" i="135" s="1"/>
  <c r="M639" i="106"/>
  <c r="M639" i="135" s="1"/>
  <c r="M638" i="106"/>
  <c r="M638" i="135" s="1"/>
  <c r="M637" i="106"/>
  <c r="M637" i="135" s="1"/>
  <c r="M636" i="106"/>
  <c r="M636" i="135" s="1"/>
  <c r="M635" i="106"/>
  <c r="M635" i="135" s="1"/>
  <c r="M634" i="106"/>
  <c r="M634" i="135" s="1"/>
  <c r="M633" i="106"/>
  <c r="M633" i="135" s="1"/>
  <c r="M632" i="106"/>
  <c r="M632" i="135" s="1"/>
  <c r="M631" i="106"/>
  <c r="M631" i="135" s="1"/>
  <c r="M630" i="106"/>
  <c r="M630" i="135" s="1"/>
  <c r="N639" i="106"/>
  <c r="N639" i="135" s="1"/>
  <c r="N638" i="106"/>
  <c r="N638" i="135" s="1"/>
  <c r="N637" i="106"/>
  <c r="N637" i="135" s="1"/>
  <c r="N636" i="106"/>
  <c r="N636" i="135" s="1"/>
  <c r="N635" i="106"/>
  <c r="N635" i="135" s="1"/>
  <c r="N634" i="106"/>
  <c r="N634" i="135" s="1"/>
  <c r="N633" i="106"/>
  <c r="N633" i="135" s="1"/>
  <c r="N632" i="106"/>
  <c r="N632" i="135" s="1"/>
  <c r="N631" i="106"/>
  <c r="N631" i="135" s="1"/>
  <c r="N630" i="106"/>
  <c r="N630" i="135" s="1"/>
  <c r="L639" i="106"/>
  <c r="L639" i="135" s="1"/>
  <c r="L638" i="106"/>
  <c r="L638" i="135" s="1"/>
  <c r="L637" i="106"/>
  <c r="L637" i="135" s="1"/>
  <c r="L636" i="106"/>
  <c r="L636" i="135" s="1"/>
  <c r="L635" i="106"/>
  <c r="L635" i="135" s="1"/>
  <c r="L634" i="106"/>
  <c r="L634" i="135" s="1"/>
  <c r="L633" i="106"/>
  <c r="L633" i="135" s="1"/>
  <c r="L632" i="106"/>
  <c r="L632" i="135" s="1"/>
  <c r="L631" i="106"/>
  <c r="L631" i="135" s="1"/>
  <c r="L630" i="106"/>
  <c r="L630" i="135" s="1"/>
  <c r="L446" i="106"/>
  <c r="L446" i="135" s="1"/>
  <c r="L445" i="106"/>
  <c r="L445" i="135" s="1"/>
  <c r="L444" i="106"/>
  <c r="L444" i="135" s="1"/>
  <c r="L443" i="106"/>
  <c r="L443" i="135" s="1"/>
  <c r="L442" i="106"/>
  <c r="L442" i="135" s="1"/>
  <c r="L441" i="106"/>
  <c r="L441" i="135" s="1"/>
  <c r="L440" i="106"/>
  <c r="L440" i="135" s="1"/>
  <c r="L439" i="106"/>
  <c r="L439" i="135" s="1"/>
  <c r="L438" i="106"/>
  <c r="L438" i="135" s="1"/>
  <c r="L437" i="106"/>
  <c r="L437" i="135" s="1"/>
  <c r="M446" i="106"/>
  <c r="M446" i="135" s="1"/>
  <c r="M445" i="106"/>
  <c r="M445" i="135" s="1"/>
  <c r="M444" i="106"/>
  <c r="M444" i="135" s="1"/>
  <c r="M443" i="106"/>
  <c r="M443" i="135" s="1"/>
  <c r="M442" i="106"/>
  <c r="M442" i="135" s="1"/>
  <c r="M441" i="106"/>
  <c r="M441" i="135" s="1"/>
  <c r="M440" i="106"/>
  <c r="M440" i="135" s="1"/>
  <c r="M439" i="106"/>
  <c r="M439" i="135" s="1"/>
  <c r="M438" i="106"/>
  <c r="M438" i="135" s="1"/>
  <c r="M437" i="106"/>
  <c r="M437" i="135" s="1"/>
  <c r="N446" i="106"/>
  <c r="N446" i="135" s="1"/>
  <c r="N445" i="106"/>
  <c r="N445" i="135" s="1"/>
  <c r="N444" i="106"/>
  <c r="N444" i="135" s="1"/>
  <c r="N443" i="106"/>
  <c r="N443" i="135" s="1"/>
  <c r="N442" i="106"/>
  <c r="N442" i="135" s="1"/>
  <c r="N441" i="106"/>
  <c r="N441" i="135" s="1"/>
  <c r="N440" i="106"/>
  <c r="N440" i="135" s="1"/>
  <c r="N439" i="106"/>
  <c r="N439" i="135" s="1"/>
  <c r="N438" i="106"/>
  <c r="N438" i="135" s="1"/>
  <c r="N437" i="106"/>
  <c r="N437" i="135" s="1"/>
  <c r="L361" i="106"/>
  <c r="L361" i="135" s="1"/>
  <c r="L360" i="106"/>
  <c r="L360" i="135" s="1"/>
  <c r="L359" i="106"/>
  <c r="L359" i="135" s="1"/>
  <c r="L358" i="106"/>
  <c r="L358" i="135" s="1"/>
  <c r="L357" i="106"/>
  <c r="L357" i="135" s="1"/>
  <c r="L356" i="106"/>
  <c r="L356" i="135" s="1"/>
  <c r="L355" i="106"/>
  <c r="L355" i="135" s="1"/>
  <c r="L354" i="106"/>
  <c r="L354" i="135" s="1"/>
  <c r="L353" i="106"/>
  <c r="L353" i="135" s="1"/>
  <c r="L352" i="106"/>
  <c r="L352" i="135" s="1"/>
  <c r="M361" i="106"/>
  <c r="M361" i="135" s="1"/>
  <c r="M360" i="106"/>
  <c r="M360" i="135" s="1"/>
  <c r="M359" i="106"/>
  <c r="M359" i="135" s="1"/>
  <c r="M358" i="106"/>
  <c r="M358" i="135" s="1"/>
  <c r="M357" i="106"/>
  <c r="M357" i="135" s="1"/>
  <c r="M356" i="106"/>
  <c r="M356" i="135" s="1"/>
  <c r="M355" i="106"/>
  <c r="M355" i="135" s="1"/>
  <c r="M354" i="106"/>
  <c r="M354" i="135" s="1"/>
  <c r="N361" i="106"/>
  <c r="N361" i="135" s="1"/>
  <c r="N358" i="106"/>
  <c r="N358" i="135" s="1"/>
  <c r="N355" i="106"/>
  <c r="N355" i="135" s="1"/>
  <c r="M353" i="106"/>
  <c r="M353" i="135" s="1"/>
  <c r="N359" i="106"/>
  <c r="N359" i="135" s="1"/>
  <c r="N356" i="106"/>
  <c r="N356" i="135" s="1"/>
  <c r="N353" i="106"/>
  <c r="N353" i="135" s="1"/>
  <c r="M352" i="106"/>
  <c r="M352" i="135" s="1"/>
  <c r="N360" i="106"/>
  <c r="N360" i="135" s="1"/>
  <c r="N357" i="106"/>
  <c r="N357" i="135" s="1"/>
  <c r="N354" i="106"/>
  <c r="N354" i="135" s="1"/>
  <c r="N352" i="106"/>
  <c r="N352" i="135" s="1"/>
  <c r="I139" i="106"/>
  <c r="I139" i="135" s="1"/>
  <c r="F139" i="106"/>
  <c r="F139" i="135" s="1"/>
  <c r="C139" i="106"/>
  <c r="C139" i="135" s="1"/>
  <c r="I138" i="106"/>
  <c r="I138" i="135" s="1"/>
  <c r="F138" i="106"/>
  <c r="F138" i="135" s="1"/>
  <c r="C138" i="106"/>
  <c r="C138" i="135" s="1"/>
  <c r="I137" i="106"/>
  <c r="I137" i="135" s="1"/>
  <c r="F137" i="106"/>
  <c r="F137" i="135" s="1"/>
  <c r="C137" i="106"/>
  <c r="C137" i="135" s="1"/>
  <c r="I136" i="106"/>
  <c r="I136" i="135" s="1"/>
  <c r="F136" i="106"/>
  <c r="F136" i="135" s="1"/>
  <c r="C136" i="106"/>
  <c r="C136" i="135" s="1"/>
  <c r="I135" i="106"/>
  <c r="I135" i="135" s="1"/>
  <c r="F135" i="106"/>
  <c r="F135" i="135" s="1"/>
  <c r="C135" i="106"/>
  <c r="C135" i="135" s="1"/>
  <c r="I134" i="106"/>
  <c r="I134" i="135" s="1"/>
  <c r="F134" i="106"/>
  <c r="F134" i="135" s="1"/>
  <c r="C134" i="106"/>
  <c r="C134" i="135" s="1"/>
  <c r="I133" i="106"/>
  <c r="I133" i="135" s="1"/>
  <c r="F133" i="106"/>
  <c r="F133" i="135" s="1"/>
  <c r="C133" i="106"/>
  <c r="C133" i="135" s="1"/>
  <c r="I132" i="106"/>
  <c r="I132" i="135" s="1"/>
  <c r="F132" i="106"/>
  <c r="F132" i="135" s="1"/>
  <c r="C132" i="106"/>
  <c r="C132" i="135" s="1"/>
  <c r="I131" i="106"/>
  <c r="I131" i="135" s="1"/>
  <c r="F131" i="106"/>
  <c r="F131" i="135" s="1"/>
  <c r="C131" i="106"/>
  <c r="C131" i="135" s="1"/>
  <c r="J130" i="106"/>
  <c r="G130"/>
  <c r="D130"/>
  <c r="J139"/>
  <c r="J139" i="135" s="1"/>
  <c r="G139" i="106"/>
  <c r="G139" i="135" s="1"/>
  <c r="D139" i="106"/>
  <c r="D139" i="135" s="1"/>
  <c r="J138" i="106"/>
  <c r="J138" i="135" s="1"/>
  <c r="G138" i="106"/>
  <c r="G138" i="135" s="1"/>
  <c r="D138" i="106"/>
  <c r="D138" i="135" s="1"/>
  <c r="J137" i="106"/>
  <c r="J137" i="135" s="1"/>
  <c r="G137" i="106"/>
  <c r="G137" i="135" s="1"/>
  <c r="D137" i="106"/>
  <c r="D137" i="135" s="1"/>
  <c r="J136" i="106"/>
  <c r="J136" i="135" s="1"/>
  <c r="G136" i="106"/>
  <c r="G136" i="135" s="1"/>
  <c r="D136" i="106"/>
  <c r="D136" i="135" s="1"/>
  <c r="J135" i="106"/>
  <c r="J135" i="135" s="1"/>
  <c r="G135" i="106"/>
  <c r="G135" i="135" s="1"/>
  <c r="D135" i="106"/>
  <c r="D135" i="135" s="1"/>
  <c r="J134" i="106"/>
  <c r="J134" i="135" s="1"/>
  <c r="G134" i="106"/>
  <c r="G134" i="135" s="1"/>
  <c r="D134" i="106"/>
  <c r="D134" i="135" s="1"/>
  <c r="J133" i="106"/>
  <c r="J133" i="135" s="1"/>
  <c r="G133" i="106"/>
  <c r="G133" i="135" s="1"/>
  <c r="D133" i="106"/>
  <c r="D133" i="135" s="1"/>
  <c r="J132" i="106"/>
  <c r="J132" i="135" s="1"/>
  <c r="G132" i="106"/>
  <c r="G132" i="135" s="1"/>
  <c r="D132" i="106"/>
  <c r="D132" i="135" s="1"/>
  <c r="J131" i="106"/>
  <c r="J131" i="135" s="1"/>
  <c r="G131" i="106"/>
  <c r="G131" i="135" s="1"/>
  <c r="D131" i="106"/>
  <c r="D131" i="135" s="1"/>
  <c r="K130" i="106"/>
  <c r="H130"/>
  <c r="E130"/>
  <c r="K139"/>
  <c r="K139" i="135" s="1"/>
  <c r="H139" i="106"/>
  <c r="H139" i="135" s="1"/>
  <c r="E139" i="106"/>
  <c r="E139" i="135" s="1"/>
  <c r="K138" i="106"/>
  <c r="K138" i="135" s="1"/>
  <c r="H138" i="106"/>
  <c r="H138" i="135" s="1"/>
  <c r="E138" i="106"/>
  <c r="E138" i="135" s="1"/>
  <c r="K137" i="106"/>
  <c r="K137" i="135" s="1"/>
  <c r="H137" i="106"/>
  <c r="H137" i="135" s="1"/>
  <c r="E137" i="106"/>
  <c r="E137" i="135" s="1"/>
  <c r="K136" i="106"/>
  <c r="K136" i="135" s="1"/>
  <c r="H136" i="106"/>
  <c r="H136" i="135" s="1"/>
  <c r="E136" i="106"/>
  <c r="E136" i="135" s="1"/>
  <c r="K135" i="106"/>
  <c r="K135" i="135" s="1"/>
  <c r="H135" i="106"/>
  <c r="H135" i="135" s="1"/>
  <c r="E135" i="106"/>
  <c r="E135" i="135" s="1"/>
  <c r="K134" i="106"/>
  <c r="K134" i="135" s="1"/>
  <c r="H134" i="106"/>
  <c r="H134" i="135" s="1"/>
  <c r="E134" i="106"/>
  <c r="E134" i="135" s="1"/>
  <c r="K133" i="106"/>
  <c r="K133" i="135" s="1"/>
  <c r="H133" i="106"/>
  <c r="H133" i="135" s="1"/>
  <c r="E133" i="106"/>
  <c r="E133" i="135" s="1"/>
  <c r="K132" i="106"/>
  <c r="K132" i="135" s="1"/>
  <c r="H132" i="106"/>
  <c r="H132" i="135" s="1"/>
  <c r="E132" i="106"/>
  <c r="E132" i="135" s="1"/>
  <c r="K131" i="106"/>
  <c r="K131" i="135" s="1"/>
  <c r="H131" i="106"/>
  <c r="H131" i="135" s="1"/>
  <c r="E131" i="106"/>
  <c r="E131" i="135" s="1"/>
  <c r="I130" i="106"/>
  <c r="F130"/>
  <c r="C130"/>
  <c r="C130" i="135" s="1"/>
  <c r="K701" i="106"/>
  <c r="K701" i="135" s="1"/>
  <c r="H701" i="106"/>
  <c r="H701" i="135" s="1"/>
  <c r="E701" i="106"/>
  <c r="E701" i="135" s="1"/>
  <c r="K700" i="106"/>
  <c r="K700" i="135" s="1"/>
  <c r="H700" i="106"/>
  <c r="H700" i="135" s="1"/>
  <c r="E700" i="106"/>
  <c r="E700" i="135" s="1"/>
  <c r="K699" i="106"/>
  <c r="K699" i="135" s="1"/>
  <c r="H699" i="106"/>
  <c r="H699" i="135" s="1"/>
  <c r="E699" i="106"/>
  <c r="E699" i="135" s="1"/>
  <c r="K698" i="106"/>
  <c r="K698" i="135" s="1"/>
  <c r="H698" i="106"/>
  <c r="H698" i="135" s="1"/>
  <c r="E698" i="106"/>
  <c r="E698" i="135" s="1"/>
  <c r="K697" i="106"/>
  <c r="K697" i="135" s="1"/>
  <c r="H697" i="106"/>
  <c r="H697" i="135" s="1"/>
  <c r="E697" i="106"/>
  <c r="E697" i="135" s="1"/>
  <c r="K696" i="106"/>
  <c r="K696" i="135" s="1"/>
  <c r="H696" i="106"/>
  <c r="H696" i="135" s="1"/>
  <c r="E696" i="106"/>
  <c r="E696" i="135" s="1"/>
  <c r="K695" i="106"/>
  <c r="K695" i="135" s="1"/>
  <c r="H695" i="106"/>
  <c r="H695" i="135" s="1"/>
  <c r="E695" i="106"/>
  <c r="E695" i="135" s="1"/>
  <c r="K694" i="106"/>
  <c r="K694" i="135" s="1"/>
  <c r="H694" i="106"/>
  <c r="H694" i="135" s="1"/>
  <c r="E694" i="106"/>
  <c r="E694" i="135" s="1"/>
  <c r="K693" i="106"/>
  <c r="K693" i="135" s="1"/>
  <c r="H693" i="106"/>
  <c r="H693" i="135" s="1"/>
  <c r="E693" i="106"/>
  <c r="E693" i="135" s="1"/>
  <c r="I692" i="106"/>
  <c r="F692"/>
  <c r="C692"/>
  <c r="C692" i="135" s="1"/>
  <c r="I701" i="106"/>
  <c r="I701" i="135" s="1"/>
  <c r="F701" i="106"/>
  <c r="F701" i="135" s="1"/>
  <c r="C701" i="106"/>
  <c r="C701" i="135" s="1"/>
  <c r="I700" i="106"/>
  <c r="I700" i="135" s="1"/>
  <c r="F700" i="106"/>
  <c r="F700" i="135" s="1"/>
  <c r="C700" i="106"/>
  <c r="C700" i="135" s="1"/>
  <c r="I699" i="106"/>
  <c r="I699" i="135" s="1"/>
  <c r="F699" i="106"/>
  <c r="F699" i="135" s="1"/>
  <c r="C699" i="106"/>
  <c r="C699" i="135" s="1"/>
  <c r="I698" i="106"/>
  <c r="I698" i="135" s="1"/>
  <c r="F698" i="106"/>
  <c r="F698" i="135" s="1"/>
  <c r="C698" i="106"/>
  <c r="C698" i="135" s="1"/>
  <c r="I697" i="106"/>
  <c r="I697" i="135" s="1"/>
  <c r="F697" i="106"/>
  <c r="F697" i="135" s="1"/>
  <c r="C697" i="106"/>
  <c r="C697" i="135" s="1"/>
  <c r="I696" i="106"/>
  <c r="I696" i="135" s="1"/>
  <c r="F696" i="106"/>
  <c r="F696" i="135" s="1"/>
  <c r="C696" i="106"/>
  <c r="C696" i="135" s="1"/>
  <c r="I695" i="106"/>
  <c r="I695" i="135" s="1"/>
  <c r="F695" i="106"/>
  <c r="F695" i="135" s="1"/>
  <c r="C695" i="106"/>
  <c r="C695" i="135" s="1"/>
  <c r="I694" i="106"/>
  <c r="I694" i="135" s="1"/>
  <c r="F694" i="106"/>
  <c r="F694" i="135" s="1"/>
  <c r="C694" i="106"/>
  <c r="C694" i="135" s="1"/>
  <c r="I693" i="106"/>
  <c r="I693" i="135" s="1"/>
  <c r="F693" i="106"/>
  <c r="F693" i="135" s="1"/>
  <c r="C693" i="106"/>
  <c r="C693" i="135" s="1"/>
  <c r="J692" i="106"/>
  <c r="G692"/>
  <c r="D692"/>
  <c r="J701"/>
  <c r="J701" i="135" s="1"/>
  <c r="G701" i="106"/>
  <c r="G701" i="135" s="1"/>
  <c r="D701" i="106"/>
  <c r="D701" i="135" s="1"/>
  <c r="J700" i="106"/>
  <c r="J700" i="135" s="1"/>
  <c r="G700" i="106"/>
  <c r="G700" i="135" s="1"/>
  <c r="D700" i="106"/>
  <c r="D700" i="135" s="1"/>
  <c r="J699" i="106"/>
  <c r="J699" i="135" s="1"/>
  <c r="G699" i="106"/>
  <c r="G699" i="135" s="1"/>
  <c r="D699" i="106"/>
  <c r="D699" i="135" s="1"/>
  <c r="J698" i="106"/>
  <c r="J698" i="135" s="1"/>
  <c r="G698" i="106"/>
  <c r="G698" i="135" s="1"/>
  <c r="D698" i="106"/>
  <c r="D698" i="135" s="1"/>
  <c r="J697" i="106"/>
  <c r="J697" i="135" s="1"/>
  <c r="G697" i="106"/>
  <c r="G697" i="135" s="1"/>
  <c r="D697" i="106"/>
  <c r="D697" i="135" s="1"/>
  <c r="J696" i="106"/>
  <c r="J696" i="135" s="1"/>
  <c r="G696" i="106"/>
  <c r="G696" i="135" s="1"/>
  <c r="D696" i="106"/>
  <c r="D696" i="135" s="1"/>
  <c r="J695" i="106"/>
  <c r="J695" i="135" s="1"/>
  <c r="G695" i="106"/>
  <c r="G695" i="135" s="1"/>
  <c r="D695" i="106"/>
  <c r="D695" i="135" s="1"/>
  <c r="J694" i="106"/>
  <c r="J694" i="135" s="1"/>
  <c r="G694" i="106"/>
  <c r="G694" i="135" s="1"/>
  <c r="D694" i="106"/>
  <c r="D694" i="135" s="1"/>
  <c r="J693" i="106"/>
  <c r="J693" i="135" s="1"/>
  <c r="G693" i="106"/>
  <c r="G693" i="135" s="1"/>
  <c r="D693" i="106"/>
  <c r="D693" i="135" s="1"/>
  <c r="K692" i="106"/>
  <c r="H692"/>
  <c r="E692"/>
  <c r="K591"/>
  <c r="K591" i="135" s="1"/>
  <c r="H591" i="106"/>
  <c r="H591" i="135" s="1"/>
  <c r="E591" i="106"/>
  <c r="E591" i="135" s="1"/>
  <c r="K590" i="106"/>
  <c r="K590" i="135" s="1"/>
  <c r="H590" i="106"/>
  <c r="H590" i="135" s="1"/>
  <c r="E590" i="106"/>
  <c r="E590" i="135" s="1"/>
  <c r="K589" i="106"/>
  <c r="K589" i="135" s="1"/>
  <c r="H589" i="106"/>
  <c r="H589" i="135" s="1"/>
  <c r="E589" i="106"/>
  <c r="E589" i="135" s="1"/>
  <c r="K588" i="106"/>
  <c r="K588" i="135" s="1"/>
  <c r="H588" i="106"/>
  <c r="H588" i="135" s="1"/>
  <c r="E588" i="106"/>
  <c r="E588" i="135" s="1"/>
  <c r="K587" i="106"/>
  <c r="K587" i="135" s="1"/>
  <c r="H587" i="106"/>
  <c r="H587" i="135" s="1"/>
  <c r="E587" i="106"/>
  <c r="E587" i="135" s="1"/>
  <c r="K586" i="106"/>
  <c r="K586" i="135" s="1"/>
  <c r="H586" i="106"/>
  <c r="H586" i="135" s="1"/>
  <c r="E586" i="106"/>
  <c r="E586" i="135" s="1"/>
  <c r="K585" i="106"/>
  <c r="K585" i="135" s="1"/>
  <c r="H585" i="106"/>
  <c r="H585" i="135" s="1"/>
  <c r="E585" i="106"/>
  <c r="E585" i="135" s="1"/>
  <c r="K584" i="106"/>
  <c r="K584" i="135" s="1"/>
  <c r="H584" i="106"/>
  <c r="H584" i="135" s="1"/>
  <c r="E584" i="106"/>
  <c r="E584" i="135" s="1"/>
  <c r="K583" i="106"/>
  <c r="K583" i="135" s="1"/>
  <c r="H583" i="106"/>
  <c r="H583" i="135" s="1"/>
  <c r="E583" i="106"/>
  <c r="E583" i="135" s="1"/>
  <c r="I582" i="106"/>
  <c r="F582"/>
  <c r="C582"/>
  <c r="C582" i="135" s="1"/>
  <c r="I591" i="106"/>
  <c r="I591" i="135" s="1"/>
  <c r="F591" i="106"/>
  <c r="F591" i="135" s="1"/>
  <c r="C591" i="106"/>
  <c r="C591" i="135" s="1"/>
  <c r="I590" i="106"/>
  <c r="I590" i="135" s="1"/>
  <c r="F590" i="106"/>
  <c r="F590" i="135" s="1"/>
  <c r="C590" i="106"/>
  <c r="C590" i="135" s="1"/>
  <c r="I589" i="106"/>
  <c r="I589" i="135" s="1"/>
  <c r="F589" i="106"/>
  <c r="F589" i="135" s="1"/>
  <c r="C589" i="106"/>
  <c r="C589" i="135" s="1"/>
  <c r="I588" i="106"/>
  <c r="I588" i="135" s="1"/>
  <c r="F588" i="106"/>
  <c r="F588" i="135" s="1"/>
  <c r="C588" i="106"/>
  <c r="C588" i="135" s="1"/>
  <c r="I587" i="106"/>
  <c r="I587" i="135" s="1"/>
  <c r="F587" i="106"/>
  <c r="F587" i="135" s="1"/>
  <c r="C587" i="106"/>
  <c r="C587" i="135" s="1"/>
  <c r="I586" i="106"/>
  <c r="I586" i="135" s="1"/>
  <c r="F586" i="106"/>
  <c r="F586" i="135" s="1"/>
  <c r="C586" i="106"/>
  <c r="C586" i="135" s="1"/>
  <c r="I585" i="106"/>
  <c r="I585" i="135" s="1"/>
  <c r="F585" i="106"/>
  <c r="F585" i="135" s="1"/>
  <c r="C585" i="106"/>
  <c r="C585" i="135" s="1"/>
  <c r="I584" i="106"/>
  <c r="I584" i="135" s="1"/>
  <c r="F584" i="106"/>
  <c r="F584" i="135" s="1"/>
  <c r="C584" i="106"/>
  <c r="C584" i="135" s="1"/>
  <c r="I583" i="106"/>
  <c r="I583" i="135" s="1"/>
  <c r="F583" i="106"/>
  <c r="F583" i="135" s="1"/>
  <c r="C583" i="106"/>
  <c r="C583" i="135" s="1"/>
  <c r="J582" i="106"/>
  <c r="G582"/>
  <c r="D582"/>
  <c r="J591"/>
  <c r="J591" i="135" s="1"/>
  <c r="G591" i="106"/>
  <c r="G591" i="135" s="1"/>
  <c r="D591" i="106"/>
  <c r="D591" i="135" s="1"/>
  <c r="J590" i="106"/>
  <c r="J590" i="135" s="1"/>
  <c r="G590" i="106"/>
  <c r="G590" i="135" s="1"/>
  <c r="D590" i="106"/>
  <c r="D590" i="135" s="1"/>
  <c r="J589" i="106"/>
  <c r="J589" i="135" s="1"/>
  <c r="G589" i="106"/>
  <c r="G589" i="135" s="1"/>
  <c r="D589" i="106"/>
  <c r="D589" i="135" s="1"/>
  <c r="J588" i="106"/>
  <c r="J588" i="135" s="1"/>
  <c r="G588" i="106"/>
  <c r="G588" i="135" s="1"/>
  <c r="D588" i="106"/>
  <c r="D588" i="135" s="1"/>
  <c r="J587" i="106"/>
  <c r="J587" i="135" s="1"/>
  <c r="G587" i="106"/>
  <c r="G587" i="135" s="1"/>
  <c r="D587" i="106"/>
  <c r="D587" i="135" s="1"/>
  <c r="J586" i="106"/>
  <c r="J586" i="135" s="1"/>
  <c r="G586" i="106"/>
  <c r="G586" i="135" s="1"/>
  <c r="D586" i="106"/>
  <c r="D586" i="135" s="1"/>
  <c r="J585" i="106"/>
  <c r="J585" i="135" s="1"/>
  <c r="G585" i="106"/>
  <c r="G585" i="135" s="1"/>
  <c r="D585" i="106"/>
  <c r="D585" i="135" s="1"/>
  <c r="J584" i="106"/>
  <c r="J584" i="135" s="1"/>
  <c r="G584" i="106"/>
  <c r="G584" i="135" s="1"/>
  <c r="D584" i="106"/>
  <c r="D584" i="135" s="1"/>
  <c r="J583" i="106"/>
  <c r="J583" i="135" s="1"/>
  <c r="G583" i="106"/>
  <c r="G583" i="135" s="1"/>
  <c r="D583" i="106"/>
  <c r="D583" i="135" s="1"/>
  <c r="K582" i="106"/>
  <c r="H582"/>
  <c r="E582"/>
  <c r="K422"/>
  <c r="K422" i="135" s="1"/>
  <c r="H422" i="106"/>
  <c r="H422" i="135" s="1"/>
  <c r="E422" i="106"/>
  <c r="E422" i="135" s="1"/>
  <c r="K421" i="106"/>
  <c r="K421" i="135" s="1"/>
  <c r="H421" i="106"/>
  <c r="H421" i="135" s="1"/>
  <c r="E421" i="106"/>
  <c r="E421" i="135" s="1"/>
  <c r="K420" i="106"/>
  <c r="K420" i="135" s="1"/>
  <c r="H420" i="106"/>
  <c r="H420" i="135" s="1"/>
  <c r="E420" i="106"/>
  <c r="E420" i="135" s="1"/>
  <c r="K419" i="106"/>
  <c r="K419" i="135" s="1"/>
  <c r="H419" i="106"/>
  <c r="H419" i="135" s="1"/>
  <c r="E419" i="106"/>
  <c r="E419" i="135" s="1"/>
  <c r="K418" i="106"/>
  <c r="K418" i="135" s="1"/>
  <c r="H418" i="106"/>
  <c r="H418" i="135" s="1"/>
  <c r="E418" i="106"/>
  <c r="E418" i="135" s="1"/>
  <c r="K417" i="106"/>
  <c r="K417" i="135" s="1"/>
  <c r="H417" i="106"/>
  <c r="H417" i="135" s="1"/>
  <c r="E417" i="106"/>
  <c r="E417" i="135" s="1"/>
  <c r="K416" i="106"/>
  <c r="K416" i="135" s="1"/>
  <c r="H416" i="106"/>
  <c r="H416" i="135" s="1"/>
  <c r="E416" i="106"/>
  <c r="E416" i="135" s="1"/>
  <c r="K415" i="106"/>
  <c r="K415" i="135" s="1"/>
  <c r="H415" i="106"/>
  <c r="H415" i="135" s="1"/>
  <c r="E415" i="106"/>
  <c r="E415" i="135" s="1"/>
  <c r="K414" i="106"/>
  <c r="K414" i="135" s="1"/>
  <c r="H414" i="106"/>
  <c r="H414" i="135" s="1"/>
  <c r="E414" i="106"/>
  <c r="E414" i="135" s="1"/>
  <c r="I413" i="106"/>
  <c r="F413"/>
  <c r="C413"/>
  <c r="C413" i="135" s="1"/>
  <c r="I422" i="106"/>
  <c r="I422" i="135" s="1"/>
  <c r="F422" i="106"/>
  <c r="F422" i="135" s="1"/>
  <c r="C422" i="106"/>
  <c r="C422" i="135" s="1"/>
  <c r="I421" i="106"/>
  <c r="I421" i="135" s="1"/>
  <c r="F421" i="106"/>
  <c r="F421" i="135" s="1"/>
  <c r="C421" i="106"/>
  <c r="C421" i="135" s="1"/>
  <c r="I420" i="106"/>
  <c r="I420" i="135" s="1"/>
  <c r="F420" i="106"/>
  <c r="F420" i="135" s="1"/>
  <c r="C420" i="106"/>
  <c r="C420" i="135" s="1"/>
  <c r="I419" i="106"/>
  <c r="I419" i="135" s="1"/>
  <c r="F419" i="106"/>
  <c r="F419" i="135" s="1"/>
  <c r="C419" i="106"/>
  <c r="C419" i="135" s="1"/>
  <c r="I418" i="106"/>
  <c r="I418" i="135" s="1"/>
  <c r="F418" i="106"/>
  <c r="F418" i="135" s="1"/>
  <c r="C418" i="106"/>
  <c r="C418" i="135" s="1"/>
  <c r="I417" i="106"/>
  <c r="I417" i="135" s="1"/>
  <c r="F417" i="106"/>
  <c r="F417" i="135" s="1"/>
  <c r="C417" i="106"/>
  <c r="C417" i="135" s="1"/>
  <c r="I416" i="106"/>
  <c r="I416" i="135" s="1"/>
  <c r="F416" i="106"/>
  <c r="F416" i="135" s="1"/>
  <c r="C416" i="106"/>
  <c r="C416" i="135" s="1"/>
  <c r="I415" i="106"/>
  <c r="I415" i="135" s="1"/>
  <c r="F415" i="106"/>
  <c r="F415" i="135" s="1"/>
  <c r="C415" i="106"/>
  <c r="C415" i="135" s="1"/>
  <c r="I414" i="106"/>
  <c r="I414" i="135" s="1"/>
  <c r="F414" i="106"/>
  <c r="F414" i="135" s="1"/>
  <c r="C414" i="106"/>
  <c r="C414" i="135" s="1"/>
  <c r="J413" i="106"/>
  <c r="G413"/>
  <c r="D413"/>
  <c r="J422"/>
  <c r="J422" i="135" s="1"/>
  <c r="G422" i="106"/>
  <c r="G422" i="135" s="1"/>
  <c r="D422" i="106"/>
  <c r="D422" i="135" s="1"/>
  <c r="J421" i="106"/>
  <c r="J421" i="135" s="1"/>
  <c r="G421" i="106"/>
  <c r="G421" i="135" s="1"/>
  <c r="D421" i="106"/>
  <c r="D421" i="135" s="1"/>
  <c r="J420" i="106"/>
  <c r="J420" i="135" s="1"/>
  <c r="G420" i="106"/>
  <c r="G420" i="135" s="1"/>
  <c r="D420" i="106"/>
  <c r="D420" i="135" s="1"/>
  <c r="J419" i="106"/>
  <c r="J419" i="135" s="1"/>
  <c r="G419" i="106"/>
  <c r="G419" i="135" s="1"/>
  <c r="D419" i="106"/>
  <c r="D419" i="135" s="1"/>
  <c r="J418" i="106"/>
  <c r="J418" i="135" s="1"/>
  <c r="G418" i="106"/>
  <c r="G418" i="135" s="1"/>
  <c r="D418" i="106"/>
  <c r="D418" i="135" s="1"/>
  <c r="J417" i="106"/>
  <c r="J417" i="135" s="1"/>
  <c r="G417" i="106"/>
  <c r="G417" i="135" s="1"/>
  <c r="D417" i="106"/>
  <c r="D417" i="135" s="1"/>
  <c r="J416" i="106"/>
  <c r="J416" i="135" s="1"/>
  <c r="G416" i="106"/>
  <c r="G416" i="135" s="1"/>
  <c r="D416" i="106"/>
  <c r="D416" i="135" s="1"/>
  <c r="J415" i="106"/>
  <c r="J415" i="135" s="1"/>
  <c r="G415" i="106"/>
  <c r="G415" i="135" s="1"/>
  <c r="D415" i="106"/>
  <c r="D415" i="135" s="1"/>
  <c r="J414" i="106"/>
  <c r="J414" i="135" s="1"/>
  <c r="G414" i="106"/>
  <c r="G414" i="135" s="1"/>
  <c r="D414" i="106"/>
  <c r="D414" i="135" s="1"/>
  <c r="K413" i="106"/>
  <c r="H413"/>
  <c r="E413"/>
  <c r="J470"/>
  <c r="J470" i="135" s="1"/>
  <c r="G470" i="106"/>
  <c r="G470" i="135" s="1"/>
  <c r="D470" i="106"/>
  <c r="D470" i="135" s="1"/>
  <c r="J469" i="106"/>
  <c r="J469" i="135" s="1"/>
  <c r="G469" i="106"/>
  <c r="G469" i="135" s="1"/>
  <c r="D469" i="106"/>
  <c r="D469" i="135" s="1"/>
  <c r="J468" i="106"/>
  <c r="J468" i="135" s="1"/>
  <c r="G468" i="106"/>
  <c r="G468" i="135" s="1"/>
  <c r="D468" i="106"/>
  <c r="D468" i="135" s="1"/>
  <c r="J467" i="106"/>
  <c r="J467" i="135" s="1"/>
  <c r="G467" i="106"/>
  <c r="G467" i="135" s="1"/>
  <c r="D467" i="106"/>
  <c r="D467" i="135" s="1"/>
  <c r="J466" i="106"/>
  <c r="J466" i="135" s="1"/>
  <c r="G466" i="106"/>
  <c r="G466" i="135" s="1"/>
  <c r="D466" i="106"/>
  <c r="D466" i="135" s="1"/>
  <c r="J465" i="106"/>
  <c r="J465" i="135" s="1"/>
  <c r="G465" i="106"/>
  <c r="G465" i="135" s="1"/>
  <c r="D465" i="106"/>
  <c r="D465" i="135" s="1"/>
  <c r="J464" i="106"/>
  <c r="J464" i="135" s="1"/>
  <c r="G464" i="106"/>
  <c r="G464" i="135" s="1"/>
  <c r="D464" i="106"/>
  <c r="D464" i="135" s="1"/>
  <c r="J463" i="106"/>
  <c r="J463" i="135" s="1"/>
  <c r="H470" i="106"/>
  <c r="H470" i="135" s="1"/>
  <c r="C470" i="106"/>
  <c r="C470" i="135" s="1"/>
  <c r="K469" i="106"/>
  <c r="K469" i="135" s="1"/>
  <c r="F469" i="106"/>
  <c r="F469" i="135" s="1"/>
  <c r="I468" i="106"/>
  <c r="I468" i="135" s="1"/>
  <c r="E468" i="106"/>
  <c r="E468" i="135" s="1"/>
  <c r="H467" i="106"/>
  <c r="H467" i="135" s="1"/>
  <c r="C467" i="106"/>
  <c r="C467" i="135" s="1"/>
  <c r="K466" i="106"/>
  <c r="K466" i="135" s="1"/>
  <c r="F466" i="106"/>
  <c r="F466" i="135" s="1"/>
  <c r="I465" i="106"/>
  <c r="I465" i="135" s="1"/>
  <c r="E465" i="106"/>
  <c r="E465" i="135" s="1"/>
  <c r="H464" i="106"/>
  <c r="H464" i="135" s="1"/>
  <c r="C464" i="106"/>
  <c r="C464" i="135" s="1"/>
  <c r="K463" i="106"/>
  <c r="K463" i="135" s="1"/>
  <c r="G463" i="106"/>
  <c r="G463" i="135" s="1"/>
  <c r="D463" i="106"/>
  <c r="D463" i="135" s="1"/>
  <c r="J462" i="106"/>
  <c r="J462" i="135" s="1"/>
  <c r="G462" i="106"/>
  <c r="G462" i="135" s="1"/>
  <c r="D462" i="106"/>
  <c r="D462" i="135" s="1"/>
  <c r="K461" i="106"/>
  <c r="H461"/>
  <c r="E461"/>
  <c r="I470"/>
  <c r="I470" i="135" s="1"/>
  <c r="E470" i="106"/>
  <c r="E470" i="135" s="1"/>
  <c r="H469" i="106"/>
  <c r="H469" i="135" s="1"/>
  <c r="C469" i="106"/>
  <c r="C469" i="135" s="1"/>
  <c r="K468" i="106"/>
  <c r="K468" i="135" s="1"/>
  <c r="F468" i="106"/>
  <c r="F468" i="135" s="1"/>
  <c r="I467" i="106"/>
  <c r="I467" i="135" s="1"/>
  <c r="E467" i="106"/>
  <c r="E467" i="135" s="1"/>
  <c r="H466" i="106"/>
  <c r="H466" i="135" s="1"/>
  <c r="C466" i="106"/>
  <c r="C466" i="135" s="1"/>
  <c r="K465" i="106"/>
  <c r="K465" i="135" s="1"/>
  <c r="F465" i="106"/>
  <c r="F465" i="135" s="1"/>
  <c r="I464" i="106"/>
  <c r="I464" i="135" s="1"/>
  <c r="E464" i="106"/>
  <c r="E464" i="135" s="1"/>
  <c r="H463" i="106"/>
  <c r="H463" i="135" s="1"/>
  <c r="E463" i="106"/>
  <c r="E463" i="135" s="1"/>
  <c r="K462" i="106"/>
  <c r="K462" i="135" s="1"/>
  <c r="H462" i="106"/>
  <c r="H462" i="135" s="1"/>
  <c r="E462" i="106"/>
  <c r="E462" i="135" s="1"/>
  <c r="I461" i="106"/>
  <c r="F461"/>
  <c r="C461"/>
  <c r="C461" i="135" s="1"/>
  <c r="K470" i="106"/>
  <c r="K470" i="135" s="1"/>
  <c r="F470" i="106"/>
  <c r="F470" i="135" s="1"/>
  <c r="I469" i="106"/>
  <c r="I469" i="135" s="1"/>
  <c r="E469" i="106"/>
  <c r="E469" i="135" s="1"/>
  <c r="H468" i="106"/>
  <c r="H468" i="135" s="1"/>
  <c r="C468" i="106"/>
  <c r="C468" i="135" s="1"/>
  <c r="K467" i="106"/>
  <c r="K467" i="135" s="1"/>
  <c r="F467" i="106"/>
  <c r="F467" i="135" s="1"/>
  <c r="I466" i="106"/>
  <c r="I466" i="135" s="1"/>
  <c r="E466" i="106"/>
  <c r="E466" i="135" s="1"/>
  <c r="H465" i="106"/>
  <c r="H465" i="135" s="1"/>
  <c r="C465" i="106"/>
  <c r="C465" i="135" s="1"/>
  <c r="K464" i="106"/>
  <c r="K464" i="135" s="1"/>
  <c r="F464" i="106"/>
  <c r="F464" i="135" s="1"/>
  <c r="I463" i="106"/>
  <c r="I463" i="135" s="1"/>
  <c r="F463" i="106"/>
  <c r="F463" i="135" s="1"/>
  <c r="C463" i="106"/>
  <c r="C463" i="135" s="1"/>
  <c r="I462" i="106"/>
  <c r="I462" i="135" s="1"/>
  <c r="F462" i="106"/>
  <c r="F462" i="135" s="1"/>
  <c r="C462" i="106"/>
  <c r="C462" i="135" s="1"/>
  <c r="J461" i="106"/>
  <c r="G461"/>
  <c r="D461"/>
  <c r="I295"/>
  <c r="I295" i="135" s="1"/>
  <c r="F295" i="106"/>
  <c r="F295" i="135" s="1"/>
  <c r="C295" i="106"/>
  <c r="C295" i="135" s="1"/>
  <c r="I294" i="106"/>
  <c r="I294" i="135" s="1"/>
  <c r="F294" i="106"/>
  <c r="F294" i="135" s="1"/>
  <c r="C294" i="106"/>
  <c r="C294" i="135" s="1"/>
  <c r="I293" i="106"/>
  <c r="I293" i="135" s="1"/>
  <c r="F293" i="106"/>
  <c r="F293" i="135" s="1"/>
  <c r="C293" i="106"/>
  <c r="C293" i="135" s="1"/>
  <c r="I292" i="106"/>
  <c r="I292" i="135" s="1"/>
  <c r="F292" i="106"/>
  <c r="F292" i="135" s="1"/>
  <c r="C292" i="106"/>
  <c r="C292" i="135" s="1"/>
  <c r="I291" i="106"/>
  <c r="I291" i="135" s="1"/>
  <c r="F291" i="106"/>
  <c r="F291" i="135" s="1"/>
  <c r="C291" i="106"/>
  <c r="C291" i="135" s="1"/>
  <c r="I290" i="106"/>
  <c r="I290" i="135" s="1"/>
  <c r="F290" i="106"/>
  <c r="F290" i="135" s="1"/>
  <c r="C290" i="106"/>
  <c r="C290" i="135" s="1"/>
  <c r="I289" i="106"/>
  <c r="F289"/>
  <c r="F289" i="135" s="1"/>
  <c r="C289" i="106"/>
  <c r="C289" i="135" s="1"/>
  <c r="I288" i="106"/>
  <c r="I288" i="135" s="1"/>
  <c r="F288" i="106"/>
  <c r="F288" i="135" s="1"/>
  <c r="C288" i="106"/>
  <c r="C288" i="135" s="1"/>
  <c r="I287" i="106"/>
  <c r="I287" i="135" s="1"/>
  <c r="F287" i="106"/>
  <c r="F287" i="135" s="1"/>
  <c r="C287" i="106"/>
  <c r="C287" i="135" s="1"/>
  <c r="J286" i="106"/>
  <c r="G286"/>
  <c r="D286"/>
  <c r="J295"/>
  <c r="J295" i="135" s="1"/>
  <c r="G295" i="106"/>
  <c r="G295" i="135" s="1"/>
  <c r="D295" i="106"/>
  <c r="D295" i="135" s="1"/>
  <c r="J294" i="106"/>
  <c r="J294" i="135" s="1"/>
  <c r="G294" i="106"/>
  <c r="G294" i="135" s="1"/>
  <c r="D294" i="106"/>
  <c r="D294" i="135" s="1"/>
  <c r="J293" i="106"/>
  <c r="J293" i="135" s="1"/>
  <c r="G293" i="106"/>
  <c r="G293" i="135" s="1"/>
  <c r="D293" i="106"/>
  <c r="D293" i="135" s="1"/>
  <c r="J292" i="106"/>
  <c r="J292" i="135" s="1"/>
  <c r="G292" i="106"/>
  <c r="G292" i="135" s="1"/>
  <c r="D292" i="106"/>
  <c r="D292" i="135" s="1"/>
  <c r="J291" i="106"/>
  <c r="J291" i="135" s="1"/>
  <c r="G291" i="106"/>
  <c r="G291" i="135" s="1"/>
  <c r="D291" i="106"/>
  <c r="D291" i="135" s="1"/>
  <c r="J290" i="106"/>
  <c r="J290" i="135" s="1"/>
  <c r="G290" i="106"/>
  <c r="G290" i="135" s="1"/>
  <c r="D290" i="106"/>
  <c r="D290" i="135" s="1"/>
  <c r="J289" i="106"/>
  <c r="G289"/>
  <c r="D289"/>
  <c r="D289" i="135" s="1"/>
  <c r="J288" i="106"/>
  <c r="J288" i="135" s="1"/>
  <c r="G288" i="106"/>
  <c r="G288" i="135" s="1"/>
  <c r="D288" i="106"/>
  <c r="D288" i="135" s="1"/>
  <c r="J287" i="106"/>
  <c r="J287" i="135" s="1"/>
  <c r="G287" i="106"/>
  <c r="G287" i="135" s="1"/>
  <c r="D287" i="106"/>
  <c r="D287" i="135" s="1"/>
  <c r="K286" i="106"/>
  <c r="H286"/>
  <c r="E286"/>
  <c r="K295"/>
  <c r="K295" i="135" s="1"/>
  <c r="H295" i="106"/>
  <c r="H295" i="135" s="1"/>
  <c r="E295" i="106"/>
  <c r="E295" i="135" s="1"/>
  <c r="K294" i="106"/>
  <c r="K294" i="135" s="1"/>
  <c r="H294" i="106"/>
  <c r="H294" i="135" s="1"/>
  <c r="E294" i="106"/>
  <c r="E294" i="135" s="1"/>
  <c r="K293" i="106"/>
  <c r="K293" i="135" s="1"/>
  <c r="H293" i="106"/>
  <c r="H293" i="135" s="1"/>
  <c r="E293" i="106"/>
  <c r="E293" i="135" s="1"/>
  <c r="K292" i="106"/>
  <c r="K292" i="135" s="1"/>
  <c r="H292" i="106"/>
  <c r="H292" i="135" s="1"/>
  <c r="E292" i="106"/>
  <c r="E292" i="135" s="1"/>
  <c r="K291" i="106"/>
  <c r="K291" i="135" s="1"/>
  <c r="H291" i="106"/>
  <c r="H291" i="135" s="1"/>
  <c r="E291" i="106"/>
  <c r="E291" i="135" s="1"/>
  <c r="K290" i="106"/>
  <c r="K290" i="135" s="1"/>
  <c r="H290" i="106"/>
  <c r="H290" i="135" s="1"/>
  <c r="E290" i="106"/>
  <c r="E290" i="135" s="1"/>
  <c r="K289" i="106"/>
  <c r="H289"/>
  <c r="E289"/>
  <c r="E289" i="135" s="1"/>
  <c r="K288" i="106"/>
  <c r="K288" i="135" s="1"/>
  <c r="H288" i="106"/>
  <c r="H288" i="135" s="1"/>
  <c r="E288" i="106"/>
  <c r="E288" i="135" s="1"/>
  <c r="K287" i="106"/>
  <c r="K287" i="135" s="1"/>
  <c r="H287" i="106"/>
  <c r="H287" i="135" s="1"/>
  <c r="E287" i="106"/>
  <c r="E287" i="135" s="1"/>
  <c r="I286" i="106"/>
  <c r="F286"/>
  <c r="C286"/>
  <c r="C286" i="135" s="1"/>
  <c r="J247" i="106"/>
  <c r="J247" i="135" s="1"/>
  <c r="G247" i="106"/>
  <c r="G247" i="135" s="1"/>
  <c r="D247" i="106"/>
  <c r="D247" i="135" s="1"/>
  <c r="J246" i="106"/>
  <c r="J246" i="135" s="1"/>
  <c r="G246" i="106"/>
  <c r="G246" i="135" s="1"/>
  <c r="D246" i="106"/>
  <c r="D246" i="135" s="1"/>
  <c r="J245" i="106"/>
  <c r="J245" i="135" s="1"/>
  <c r="G245" i="106"/>
  <c r="G245" i="135" s="1"/>
  <c r="D245" i="106"/>
  <c r="D245" i="135" s="1"/>
  <c r="J244" i="106"/>
  <c r="J244" i="135" s="1"/>
  <c r="G244" i="106"/>
  <c r="G244" i="135" s="1"/>
  <c r="D244" i="106"/>
  <c r="D244" i="135" s="1"/>
  <c r="J243" i="106"/>
  <c r="J243" i="135" s="1"/>
  <c r="G243" i="106"/>
  <c r="G243" i="135" s="1"/>
  <c r="D243" i="106"/>
  <c r="D243" i="135" s="1"/>
  <c r="J242" i="106"/>
  <c r="J242" i="135" s="1"/>
  <c r="G242" i="106"/>
  <c r="G242" i="135" s="1"/>
  <c r="D242" i="106"/>
  <c r="D242" i="135" s="1"/>
  <c r="J241" i="106"/>
  <c r="J241" i="135" s="1"/>
  <c r="G241" i="106"/>
  <c r="G241" i="135" s="1"/>
  <c r="D241" i="106"/>
  <c r="D241" i="135" s="1"/>
  <c r="J240" i="106"/>
  <c r="J240" i="135" s="1"/>
  <c r="G240" i="106"/>
  <c r="G240" i="135" s="1"/>
  <c r="D240" i="106"/>
  <c r="D240" i="135" s="1"/>
  <c r="J239" i="106"/>
  <c r="J239" i="135" s="1"/>
  <c r="G239" i="106"/>
  <c r="G239" i="135" s="1"/>
  <c r="D239" i="106"/>
  <c r="D239" i="135" s="1"/>
  <c r="K238" i="106"/>
  <c r="H238"/>
  <c r="E238"/>
  <c r="K247"/>
  <c r="K247" i="135" s="1"/>
  <c r="H247" i="106"/>
  <c r="H247" i="135" s="1"/>
  <c r="E247" i="106"/>
  <c r="E247" i="135" s="1"/>
  <c r="K246" i="106"/>
  <c r="K246" i="135" s="1"/>
  <c r="H246" i="106"/>
  <c r="H246" i="135" s="1"/>
  <c r="E246" i="106"/>
  <c r="E246" i="135" s="1"/>
  <c r="K245" i="106"/>
  <c r="K245" i="135" s="1"/>
  <c r="H245" i="106"/>
  <c r="H245" i="135" s="1"/>
  <c r="E245" i="106"/>
  <c r="E245" i="135" s="1"/>
  <c r="K244" i="106"/>
  <c r="K244" i="135" s="1"/>
  <c r="H244" i="106"/>
  <c r="H244" i="135" s="1"/>
  <c r="E244" i="106"/>
  <c r="E244" i="135" s="1"/>
  <c r="K243" i="106"/>
  <c r="K243" i="135" s="1"/>
  <c r="H243" i="106"/>
  <c r="H243" i="135" s="1"/>
  <c r="E243" i="106"/>
  <c r="E243" i="135" s="1"/>
  <c r="K242" i="106"/>
  <c r="K242" i="135" s="1"/>
  <c r="H242" i="106"/>
  <c r="H242" i="135" s="1"/>
  <c r="E242" i="106"/>
  <c r="E242" i="135" s="1"/>
  <c r="K241" i="106"/>
  <c r="K241" i="135" s="1"/>
  <c r="H241" i="106"/>
  <c r="H241" i="135" s="1"/>
  <c r="E241" i="106"/>
  <c r="E241" i="135" s="1"/>
  <c r="K240" i="106"/>
  <c r="K240" i="135" s="1"/>
  <c r="H240" i="106"/>
  <c r="H240" i="135" s="1"/>
  <c r="E240" i="106"/>
  <c r="E240" i="135" s="1"/>
  <c r="K239" i="106"/>
  <c r="K239" i="135" s="1"/>
  <c r="H239" i="106"/>
  <c r="H239" i="135" s="1"/>
  <c r="E239" i="106"/>
  <c r="E239" i="135" s="1"/>
  <c r="I238" i="106"/>
  <c r="F238"/>
  <c r="C238"/>
  <c r="C238" i="135" s="1"/>
  <c r="I247" i="106"/>
  <c r="I247" i="135" s="1"/>
  <c r="F247" i="106"/>
  <c r="F247" i="135" s="1"/>
  <c r="C247" i="106"/>
  <c r="C247" i="135" s="1"/>
  <c r="I246" i="106"/>
  <c r="I246" i="135" s="1"/>
  <c r="F246" i="106"/>
  <c r="F246" i="135" s="1"/>
  <c r="C246" i="106"/>
  <c r="C246" i="135" s="1"/>
  <c r="I245" i="106"/>
  <c r="I245" i="135" s="1"/>
  <c r="F245" i="106"/>
  <c r="F245" i="135" s="1"/>
  <c r="C245" i="106"/>
  <c r="C245" i="135" s="1"/>
  <c r="I244" i="106"/>
  <c r="I244" i="135" s="1"/>
  <c r="F244" i="106"/>
  <c r="F244" i="135" s="1"/>
  <c r="C244" i="106"/>
  <c r="C244" i="135" s="1"/>
  <c r="I243" i="106"/>
  <c r="I243" i="135" s="1"/>
  <c r="F243" i="106"/>
  <c r="F243" i="135" s="1"/>
  <c r="C243" i="106"/>
  <c r="C243" i="135" s="1"/>
  <c r="I242" i="106"/>
  <c r="I242" i="135" s="1"/>
  <c r="F242" i="106"/>
  <c r="F242" i="135" s="1"/>
  <c r="C242" i="106"/>
  <c r="C242" i="135" s="1"/>
  <c r="I241" i="106"/>
  <c r="I241" i="135" s="1"/>
  <c r="F241" i="106"/>
  <c r="F241" i="135" s="1"/>
  <c r="C241" i="106"/>
  <c r="C241" i="135" s="1"/>
  <c r="I240" i="106"/>
  <c r="I240" i="135" s="1"/>
  <c r="F240" i="106"/>
  <c r="F240" i="135" s="1"/>
  <c r="C240" i="106"/>
  <c r="C240" i="135" s="1"/>
  <c r="I239" i="106"/>
  <c r="I239" i="135" s="1"/>
  <c r="F239" i="106"/>
  <c r="F239" i="135" s="1"/>
  <c r="C239" i="106"/>
  <c r="C239" i="135" s="1"/>
  <c r="J238" i="106"/>
  <c r="G238"/>
  <c r="D238"/>
  <c r="K101"/>
  <c r="K101" i="135" s="1"/>
  <c r="H101" i="106"/>
  <c r="H101" i="135" s="1"/>
  <c r="E101" i="106"/>
  <c r="E101" i="135" s="1"/>
  <c r="K100" i="106"/>
  <c r="K100" i="135" s="1"/>
  <c r="H100" i="106"/>
  <c r="H100" i="135" s="1"/>
  <c r="E100" i="106"/>
  <c r="E100" i="135" s="1"/>
  <c r="K99" i="106"/>
  <c r="K99" i="135" s="1"/>
  <c r="H99" i="106"/>
  <c r="H99" i="135" s="1"/>
  <c r="E99" i="106"/>
  <c r="E99" i="135" s="1"/>
  <c r="K98" i="106"/>
  <c r="K98" i="135" s="1"/>
  <c r="H98" i="106"/>
  <c r="H98" i="135" s="1"/>
  <c r="E98" i="106"/>
  <c r="E98" i="135" s="1"/>
  <c r="K97" i="106"/>
  <c r="K97" i="135" s="1"/>
  <c r="H97" i="106"/>
  <c r="H97" i="135" s="1"/>
  <c r="E97" i="106"/>
  <c r="E97" i="135" s="1"/>
  <c r="K96" i="106"/>
  <c r="K96" i="135" s="1"/>
  <c r="H96" i="106"/>
  <c r="H96" i="135" s="1"/>
  <c r="E96" i="106"/>
  <c r="E96" i="135" s="1"/>
  <c r="K95" i="106"/>
  <c r="K95" i="135" s="1"/>
  <c r="H95" i="106"/>
  <c r="H95" i="135" s="1"/>
  <c r="E95" i="106"/>
  <c r="E95" i="135" s="1"/>
  <c r="K94" i="106"/>
  <c r="K94" i="135" s="1"/>
  <c r="H94" i="106"/>
  <c r="H94" i="135" s="1"/>
  <c r="E94" i="106"/>
  <c r="E94" i="135" s="1"/>
  <c r="K93" i="106"/>
  <c r="K93" i="135" s="1"/>
  <c r="H93" i="106"/>
  <c r="H93" i="135" s="1"/>
  <c r="E93" i="106"/>
  <c r="E93" i="135" s="1"/>
  <c r="I92" i="106"/>
  <c r="F92"/>
  <c r="C92"/>
  <c r="C92" i="135" s="1"/>
  <c r="I101" i="106"/>
  <c r="I101" i="135" s="1"/>
  <c r="F101" i="106"/>
  <c r="F101" i="135" s="1"/>
  <c r="C101" i="106"/>
  <c r="C101" i="135" s="1"/>
  <c r="I100" i="106"/>
  <c r="I100" i="135" s="1"/>
  <c r="F100" i="106"/>
  <c r="F100" i="135" s="1"/>
  <c r="C100" i="106"/>
  <c r="C100" i="135" s="1"/>
  <c r="I99" i="106"/>
  <c r="I99" i="135" s="1"/>
  <c r="F99" i="106"/>
  <c r="F99" i="135" s="1"/>
  <c r="C99" i="106"/>
  <c r="C99" i="135" s="1"/>
  <c r="I98" i="106"/>
  <c r="I98" i="135" s="1"/>
  <c r="F98" i="106"/>
  <c r="F98" i="135" s="1"/>
  <c r="C98" i="106"/>
  <c r="C98" i="135" s="1"/>
  <c r="I97" i="106"/>
  <c r="I97" i="135" s="1"/>
  <c r="F97" i="106"/>
  <c r="F97" i="135" s="1"/>
  <c r="C97" i="106"/>
  <c r="C97" i="135" s="1"/>
  <c r="I96" i="106"/>
  <c r="I96" i="135" s="1"/>
  <c r="F96" i="106"/>
  <c r="F96" i="135" s="1"/>
  <c r="C96" i="106"/>
  <c r="C96" i="135" s="1"/>
  <c r="I95" i="106"/>
  <c r="I95" i="135" s="1"/>
  <c r="F95" i="106"/>
  <c r="F95" i="135" s="1"/>
  <c r="C95" i="106"/>
  <c r="C95" i="135" s="1"/>
  <c r="I94" i="106"/>
  <c r="I94" i="135" s="1"/>
  <c r="F94" i="106"/>
  <c r="F94" i="135" s="1"/>
  <c r="C94" i="106"/>
  <c r="C94" i="135" s="1"/>
  <c r="I93" i="106"/>
  <c r="I93" i="135" s="1"/>
  <c r="F93" i="106"/>
  <c r="F93" i="135" s="1"/>
  <c r="C93" i="106"/>
  <c r="C93" i="135" s="1"/>
  <c r="J92" i="106"/>
  <c r="G92"/>
  <c r="D92"/>
  <c r="J101"/>
  <c r="J101" i="135" s="1"/>
  <c r="G101" i="106"/>
  <c r="G101" i="135" s="1"/>
  <c r="D101" i="106"/>
  <c r="D101" i="135" s="1"/>
  <c r="J100" i="106"/>
  <c r="J100" i="135" s="1"/>
  <c r="G100" i="106"/>
  <c r="G100" i="135" s="1"/>
  <c r="D100" i="106"/>
  <c r="D100" i="135" s="1"/>
  <c r="J99" i="106"/>
  <c r="J99" i="135" s="1"/>
  <c r="G99" i="106"/>
  <c r="G99" i="135" s="1"/>
  <c r="D99" i="106"/>
  <c r="D99" i="135" s="1"/>
  <c r="J98" i="106"/>
  <c r="J98" i="135" s="1"/>
  <c r="G98" i="106"/>
  <c r="G98" i="135" s="1"/>
  <c r="D98" i="106"/>
  <c r="D98" i="135" s="1"/>
  <c r="J97" i="106"/>
  <c r="J97" i="135" s="1"/>
  <c r="G97" i="106"/>
  <c r="G97" i="135" s="1"/>
  <c r="D97" i="106"/>
  <c r="D97" i="135" s="1"/>
  <c r="J96" i="106"/>
  <c r="J96" i="135" s="1"/>
  <c r="G96" i="106"/>
  <c r="G96" i="135" s="1"/>
  <c r="D96" i="106"/>
  <c r="D96" i="135" s="1"/>
  <c r="J95" i="106"/>
  <c r="J95" i="135" s="1"/>
  <c r="G95" i="106"/>
  <c r="G95" i="135" s="1"/>
  <c r="D95" i="106"/>
  <c r="D95" i="135" s="1"/>
  <c r="J94" i="106"/>
  <c r="J94" i="135" s="1"/>
  <c r="G94" i="106"/>
  <c r="G94" i="135" s="1"/>
  <c r="D94" i="106"/>
  <c r="D94" i="135" s="1"/>
  <c r="J93" i="106"/>
  <c r="J93" i="135" s="1"/>
  <c r="G93" i="106"/>
  <c r="G93" i="135" s="1"/>
  <c r="D93" i="106"/>
  <c r="D93" i="135" s="1"/>
  <c r="K92" i="106"/>
  <c r="H92"/>
  <c r="E92"/>
  <c r="K29"/>
  <c r="K29" i="135" s="1"/>
  <c r="H29" i="106"/>
  <c r="H29" i="135" s="1"/>
  <c r="E29" i="106"/>
  <c r="E29" i="135" s="1"/>
  <c r="K28" i="106"/>
  <c r="K28" i="135" s="1"/>
  <c r="H28" i="106"/>
  <c r="H28" i="135" s="1"/>
  <c r="E28" i="106"/>
  <c r="E28" i="135" s="1"/>
  <c r="K27" i="106"/>
  <c r="K27" i="135" s="1"/>
  <c r="H27" i="106"/>
  <c r="H27" i="135" s="1"/>
  <c r="E27" i="106"/>
  <c r="E27" i="135" s="1"/>
  <c r="K26" i="106"/>
  <c r="K26" i="135" s="1"/>
  <c r="H26" i="106"/>
  <c r="H26" i="135" s="1"/>
  <c r="E26" i="106"/>
  <c r="E26" i="135" s="1"/>
  <c r="K25" i="106"/>
  <c r="K25" i="135" s="1"/>
  <c r="H25" i="106"/>
  <c r="H25" i="135" s="1"/>
  <c r="E25" i="106"/>
  <c r="E25" i="135" s="1"/>
  <c r="K24" i="106"/>
  <c r="K24" i="135" s="1"/>
  <c r="H24" i="106"/>
  <c r="H24" i="135" s="1"/>
  <c r="E24" i="106"/>
  <c r="E24" i="135" s="1"/>
  <c r="K23" i="106"/>
  <c r="K23" i="135" s="1"/>
  <c r="H23" i="106"/>
  <c r="H23" i="135" s="1"/>
  <c r="E23" i="106"/>
  <c r="E23" i="135" s="1"/>
  <c r="K22" i="106"/>
  <c r="K22" i="135" s="1"/>
  <c r="H22" i="106"/>
  <c r="H22" i="135" s="1"/>
  <c r="E22" i="106"/>
  <c r="E22" i="135" s="1"/>
  <c r="K21" i="106"/>
  <c r="K21" i="135" s="1"/>
  <c r="H21" i="106"/>
  <c r="H21" i="135" s="1"/>
  <c r="E21" i="106"/>
  <c r="E21" i="135" s="1"/>
  <c r="I20" i="106"/>
  <c r="F20"/>
  <c r="C20"/>
  <c r="C20" i="135" s="1"/>
  <c r="I29" i="106"/>
  <c r="I29" i="135" s="1"/>
  <c r="F29" i="106"/>
  <c r="F29" i="135" s="1"/>
  <c r="C29" i="106"/>
  <c r="C29" i="135" s="1"/>
  <c r="I28" i="106"/>
  <c r="I28" i="135" s="1"/>
  <c r="F28" i="106"/>
  <c r="F28" i="135" s="1"/>
  <c r="C28" i="106"/>
  <c r="C28" i="135" s="1"/>
  <c r="I27" i="106"/>
  <c r="I27" i="135" s="1"/>
  <c r="F27" i="106"/>
  <c r="F27" i="135" s="1"/>
  <c r="C27" i="106"/>
  <c r="C27" i="135" s="1"/>
  <c r="I26" i="106"/>
  <c r="I26" i="135" s="1"/>
  <c r="F26" i="106"/>
  <c r="F26" i="135" s="1"/>
  <c r="C26" i="106"/>
  <c r="C26" i="135" s="1"/>
  <c r="I25" i="106"/>
  <c r="I25" i="135" s="1"/>
  <c r="F25" i="106"/>
  <c r="F25" i="135" s="1"/>
  <c r="C25" i="106"/>
  <c r="C25" i="135" s="1"/>
  <c r="I24" i="106"/>
  <c r="I24" i="135" s="1"/>
  <c r="F24" i="106"/>
  <c r="F24" i="135" s="1"/>
  <c r="C24" i="106"/>
  <c r="C24" i="135" s="1"/>
  <c r="I23" i="106"/>
  <c r="I23" i="135" s="1"/>
  <c r="F23" i="106"/>
  <c r="F23" i="135" s="1"/>
  <c r="C23" i="106"/>
  <c r="C23" i="135" s="1"/>
  <c r="I22" i="106"/>
  <c r="I22" i="135" s="1"/>
  <c r="F22" i="106"/>
  <c r="F22" i="135" s="1"/>
  <c r="C22" i="106"/>
  <c r="C22" i="135" s="1"/>
  <c r="I21" i="106"/>
  <c r="I21" i="135" s="1"/>
  <c r="F21" i="106"/>
  <c r="F21" i="135" s="1"/>
  <c r="C21" i="106"/>
  <c r="C21" i="135" s="1"/>
  <c r="J20" i="106"/>
  <c r="G20"/>
  <c r="D20"/>
  <c r="J29"/>
  <c r="J29" i="135" s="1"/>
  <c r="G29" i="106"/>
  <c r="G29" i="135" s="1"/>
  <c r="D29" i="106"/>
  <c r="D29" i="135" s="1"/>
  <c r="J28" i="106"/>
  <c r="J28" i="135" s="1"/>
  <c r="G28" i="106"/>
  <c r="G28" i="135" s="1"/>
  <c r="D28" i="106"/>
  <c r="D28" i="135" s="1"/>
  <c r="J27" i="106"/>
  <c r="J27" i="135" s="1"/>
  <c r="G27" i="106"/>
  <c r="G27" i="135" s="1"/>
  <c r="D27" i="106"/>
  <c r="D27" i="135" s="1"/>
  <c r="J26" i="106"/>
  <c r="J26" i="135" s="1"/>
  <c r="G26" i="106"/>
  <c r="G26" i="135" s="1"/>
  <c r="D26" i="106"/>
  <c r="D26" i="135" s="1"/>
  <c r="J25" i="106"/>
  <c r="J25" i="135" s="1"/>
  <c r="G25" i="106"/>
  <c r="G25" i="135" s="1"/>
  <c r="D25" i="106"/>
  <c r="D25" i="135" s="1"/>
  <c r="J24" i="106"/>
  <c r="J24" i="135" s="1"/>
  <c r="G24" i="106"/>
  <c r="G24" i="135" s="1"/>
  <c r="D24" i="106"/>
  <c r="D24" i="135" s="1"/>
  <c r="J23" i="106"/>
  <c r="J23" i="135" s="1"/>
  <c r="G23" i="106"/>
  <c r="G23" i="135" s="1"/>
  <c r="D23" i="106"/>
  <c r="D23" i="135" s="1"/>
  <c r="J22" i="106"/>
  <c r="J22" i="135" s="1"/>
  <c r="G22" i="106"/>
  <c r="G22" i="135" s="1"/>
  <c r="D22" i="106"/>
  <c r="D22" i="135" s="1"/>
  <c r="J21" i="106"/>
  <c r="J21" i="135" s="1"/>
  <c r="G21" i="106"/>
  <c r="G21" i="135" s="1"/>
  <c r="D21" i="106"/>
  <c r="D21" i="135" s="1"/>
  <c r="K20" i="106"/>
  <c r="H20"/>
  <c r="E20"/>
  <c r="K751"/>
  <c r="K751" i="135" s="1"/>
  <c r="H751" i="106"/>
  <c r="H751" i="135" s="1"/>
  <c r="E751" i="106"/>
  <c r="E751" i="135" s="1"/>
  <c r="K750" i="106"/>
  <c r="K750" i="135" s="1"/>
  <c r="H750" i="106"/>
  <c r="H750" i="135" s="1"/>
  <c r="E750" i="106"/>
  <c r="E750" i="135" s="1"/>
  <c r="K749" i="106"/>
  <c r="K749" i="135" s="1"/>
  <c r="H749" i="106"/>
  <c r="H749" i="135" s="1"/>
  <c r="E749" i="106"/>
  <c r="E749" i="135" s="1"/>
  <c r="K748" i="106"/>
  <c r="K748" i="135" s="1"/>
  <c r="H748" i="106"/>
  <c r="H748" i="135" s="1"/>
  <c r="E748" i="106"/>
  <c r="E748" i="135" s="1"/>
  <c r="K747" i="106"/>
  <c r="K747" i="135" s="1"/>
  <c r="H747" i="106"/>
  <c r="H747" i="135" s="1"/>
  <c r="E747" i="106"/>
  <c r="E747" i="135" s="1"/>
  <c r="K746" i="106"/>
  <c r="K746" i="135" s="1"/>
  <c r="H746" i="106"/>
  <c r="H746" i="135" s="1"/>
  <c r="E746" i="106"/>
  <c r="E746" i="135" s="1"/>
  <c r="K745" i="106"/>
  <c r="K745" i="135" s="1"/>
  <c r="H745" i="106"/>
  <c r="H745" i="135" s="1"/>
  <c r="E745" i="106"/>
  <c r="E745" i="135" s="1"/>
  <c r="K744" i="106"/>
  <c r="K744" i="135" s="1"/>
  <c r="H744" i="106"/>
  <c r="H744" i="135" s="1"/>
  <c r="E744" i="106"/>
  <c r="E744" i="135" s="1"/>
  <c r="K743" i="106"/>
  <c r="K743" i="135" s="1"/>
  <c r="H743" i="106"/>
  <c r="H743" i="135" s="1"/>
  <c r="E743" i="106"/>
  <c r="E743" i="135" s="1"/>
  <c r="K742" i="106"/>
  <c r="H742"/>
  <c r="E742"/>
  <c r="J751"/>
  <c r="J751" i="135" s="1"/>
  <c r="G751" i="106"/>
  <c r="G751" i="135" s="1"/>
  <c r="D751" i="106"/>
  <c r="D751" i="135" s="1"/>
  <c r="J750" i="106"/>
  <c r="J750" i="135" s="1"/>
  <c r="G750" i="106"/>
  <c r="G750" i="135" s="1"/>
  <c r="D750" i="106"/>
  <c r="D750" i="135" s="1"/>
  <c r="J749" i="106"/>
  <c r="J749" i="135" s="1"/>
  <c r="G749" i="106"/>
  <c r="G749" i="135" s="1"/>
  <c r="D749" i="106"/>
  <c r="D749" i="135" s="1"/>
  <c r="J748" i="106"/>
  <c r="J748" i="135" s="1"/>
  <c r="G748" i="106"/>
  <c r="G748" i="135" s="1"/>
  <c r="D748" i="106"/>
  <c r="D748" i="135" s="1"/>
  <c r="J747" i="106"/>
  <c r="J747" i="135" s="1"/>
  <c r="G747" i="106"/>
  <c r="G747" i="135" s="1"/>
  <c r="D747" i="106"/>
  <c r="D747" i="135" s="1"/>
  <c r="J746" i="106"/>
  <c r="J746" i="135" s="1"/>
  <c r="G746" i="106"/>
  <c r="G746" i="135" s="1"/>
  <c r="D746" i="106"/>
  <c r="D746" i="135" s="1"/>
  <c r="J745" i="106"/>
  <c r="J745" i="135" s="1"/>
  <c r="G745" i="106"/>
  <c r="G745" i="135" s="1"/>
  <c r="D745" i="106"/>
  <c r="D745" i="135" s="1"/>
  <c r="J744" i="106"/>
  <c r="J744" i="135" s="1"/>
  <c r="G744" i="106"/>
  <c r="G744" i="135" s="1"/>
  <c r="D744" i="106"/>
  <c r="D744" i="135" s="1"/>
  <c r="J743" i="106"/>
  <c r="J743" i="135" s="1"/>
  <c r="G743" i="106"/>
  <c r="G743" i="135" s="1"/>
  <c r="D743" i="106"/>
  <c r="D743" i="135" s="1"/>
  <c r="J742" i="106"/>
  <c r="G742"/>
  <c r="D742"/>
  <c r="C751"/>
  <c r="C751" i="135" s="1"/>
  <c r="C750" i="106"/>
  <c r="C750" i="135" s="1"/>
  <c r="C749" i="106"/>
  <c r="C749" i="135" s="1"/>
  <c r="C748" i="106"/>
  <c r="C748" i="135" s="1"/>
  <c r="C747" i="106"/>
  <c r="C747" i="135" s="1"/>
  <c r="C746" i="106"/>
  <c r="C746" i="135" s="1"/>
  <c r="C745" i="106"/>
  <c r="C745" i="135" s="1"/>
  <c r="C744" i="106"/>
  <c r="C744" i="135" s="1"/>
  <c r="C743" i="106"/>
  <c r="C743" i="135" s="1"/>
  <c r="C742" i="106"/>
  <c r="C742" i="135" s="1"/>
  <c r="F751" i="106"/>
  <c r="F751" i="135" s="1"/>
  <c r="F750" i="106"/>
  <c r="F750" i="135" s="1"/>
  <c r="F749" i="106"/>
  <c r="F749" i="135" s="1"/>
  <c r="F748" i="106"/>
  <c r="F748" i="135" s="1"/>
  <c r="F747" i="106"/>
  <c r="F747" i="135" s="1"/>
  <c r="F746" i="106"/>
  <c r="F746" i="135" s="1"/>
  <c r="F745" i="106"/>
  <c r="F745" i="135" s="1"/>
  <c r="F744" i="106"/>
  <c r="F744" i="135" s="1"/>
  <c r="F743" i="106"/>
  <c r="F743" i="135" s="1"/>
  <c r="F742" i="106"/>
  <c r="I751"/>
  <c r="I751" i="135" s="1"/>
  <c r="I750" i="106"/>
  <c r="I750" i="135" s="1"/>
  <c r="I749" i="106"/>
  <c r="I749" i="135" s="1"/>
  <c r="I748" i="106"/>
  <c r="I748" i="135" s="1"/>
  <c r="I747" i="106"/>
  <c r="I747" i="135" s="1"/>
  <c r="I746" i="106"/>
  <c r="I746" i="135" s="1"/>
  <c r="I745" i="106"/>
  <c r="I745" i="135" s="1"/>
  <c r="I744" i="106"/>
  <c r="I744" i="135" s="1"/>
  <c r="I743" i="106"/>
  <c r="I743" i="135" s="1"/>
  <c r="I742" i="106"/>
  <c r="I543"/>
  <c r="I543" i="135" s="1"/>
  <c r="F543" i="106"/>
  <c r="F543" i="135" s="1"/>
  <c r="C543" i="106"/>
  <c r="C543" i="135" s="1"/>
  <c r="I542" i="106"/>
  <c r="I542" i="135" s="1"/>
  <c r="F542" i="106"/>
  <c r="F542" i="135" s="1"/>
  <c r="C542" i="106"/>
  <c r="C542" i="135" s="1"/>
  <c r="I541" i="106"/>
  <c r="I541" i="135" s="1"/>
  <c r="F541" i="106"/>
  <c r="F541" i="135" s="1"/>
  <c r="C541" i="106"/>
  <c r="C541" i="135" s="1"/>
  <c r="I540" i="106"/>
  <c r="I540" i="135" s="1"/>
  <c r="F540" i="106"/>
  <c r="F540" i="135" s="1"/>
  <c r="C540" i="106"/>
  <c r="C540" i="135" s="1"/>
  <c r="I539" i="106"/>
  <c r="I539" i="135" s="1"/>
  <c r="F539" i="106"/>
  <c r="F539" i="135" s="1"/>
  <c r="C539" i="106"/>
  <c r="C539" i="135" s="1"/>
  <c r="I538" i="106"/>
  <c r="I538" i="135" s="1"/>
  <c r="F538" i="106"/>
  <c r="F538" i="135" s="1"/>
  <c r="C538" i="106"/>
  <c r="C538" i="135" s="1"/>
  <c r="I537" i="106"/>
  <c r="I537" i="135" s="1"/>
  <c r="F537" i="106"/>
  <c r="F537" i="135" s="1"/>
  <c r="C537" i="106"/>
  <c r="C537" i="135" s="1"/>
  <c r="I536" i="106"/>
  <c r="I536" i="135" s="1"/>
  <c r="F536" i="106"/>
  <c r="F536" i="135" s="1"/>
  <c r="C536" i="106"/>
  <c r="C536" i="135" s="1"/>
  <c r="I535" i="106"/>
  <c r="I535" i="135" s="1"/>
  <c r="F535" i="106"/>
  <c r="F535" i="135" s="1"/>
  <c r="C535" i="106"/>
  <c r="C535" i="135" s="1"/>
  <c r="J534" i="106"/>
  <c r="G534"/>
  <c r="D534"/>
  <c r="J543"/>
  <c r="J543" i="135" s="1"/>
  <c r="G543" i="106"/>
  <c r="G543" i="135" s="1"/>
  <c r="D543" i="106"/>
  <c r="D543" i="135" s="1"/>
  <c r="J542" i="106"/>
  <c r="J542" i="135" s="1"/>
  <c r="G542" i="106"/>
  <c r="G542" i="135" s="1"/>
  <c r="D542" i="106"/>
  <c r="D542" i="135" s="1"/>
  <c r="J541" i="106"/>
  <c r="J541" i="135" s="1"/>
  <c r="G541" i="106"/>
  <c r="G541" i="135" s="1"/>
  <c r="D541" i="106"/>
  <c r="D541" i="135" s="1"/>
  <c r="J540" i="106"/>
  <c r="J540" i="135" s="1"/>
  <c r="G540" i="106"/>
  <c r="G540" i="135" s="1"/>
  <c r="D540" i="106"/>
  <c r="D540" i="135" s="1"/>
  <c r="J539" i="106"/>
  <c r="J539" i="135" s="1"/>
  <c r="G539" i="106"/>
  <c r="G539" i="135" s="1"/>
  <c r="D539" i="106"/>
  <c r="D539" i="135" s="1"/>
  <c r="J538" i="106"/>
  <c r="J538" i="135" s="1"/>
  <c r="G538" i="106"/>
  <c r="G538" i="135" s="1"/>
  <c r="D538" i="106"/>
  <c r="D538" i="135" s="1"/>
  <c r="J537" i="106"/>
  <c r="J537" i="135" s="1"/>
  <c r="G537" i="106"/>
  <c r="G537" i="135" s="1"/>
  <c r="D537" i="106"/>
  <c r="D537" i="135" s="1"/>
  <c r="J536" i="106"/>
  <c r="J536" i="135" s="1"/>
  <c r="G536" i="106"/>
  <c r="G536" i="135" s="1"/>
  <c r="D536" i="106"/>
  <c r="D536" i="135" s="1"/>
  <c r="J535" i="106"/>
  <c r="J535" i="135" s="1"/>
  <c r="G535" i="106"/>
  <c r="G535" i="135" s="1"/>
  <c r="D535" i="106"/>
  <c r="D535" i="135" s="1"/>
  <c r="K534" i="106"/>
  <c r="H534"/>
  <c r="E534"/>
  <c r="K543"/>
  <c r="K543" i="135" s="1"/>
  <c r="H543" i="106"/>
  <c r="H543" i="135" s="1"/>
  <c r="E543" i="106"/>
  <c r="E543" i="135" s="1"/>
  <c r="K542" i="106"/>
  <c r="K542" i="135" s="1"/>
  <c r="H542" i="106"/>
  <c r="H542" i="135" s="1"/>
  <c r="E542" i="106"/>
  <c r="E542" i="135" s="1"/>
  <c r="K541" i="106"/>
  <c r="K541" i="135" s="1"/>
  <c r="H541" i="106"/>
  <c r="H541" i="135" s="1"/>
  <c r="E541" i="106"/>
  <c r="E541" i="135" s="1"/>
  <c r="K540" i="106"/>
  <c r="K540" i="135" s="1"/>
  <c r="H540" i="106"/>
  <c r="H540" i="135" s="1"/>
  <c r="E540" i="106"/>
  <c r="E540" i="135" s="1"/>
  <c r="K539" i="106"/>
  <c r="K539" i="135" s="1"/>
  <c r="H539" i="106"/>
  <c r="H539" i="135" s="1"/>
  <c r="E539" i="106"/>
  <c r="E539" i="135" s="1"/>
  <c r="K538" i="106"/>
  <c r="K538" i="135" s="1"/>
  <c r="H538" i="106"/>
  <c r="H538" i="135" s="1"/>
  <c r="E538" i="106"/>
  <c r="E538" i="135" s="1"/>
  <c r="K537" i="106"/>
  <c r="K537" i="135" s="1"/>
  <c r="H537" i="106"/>
  <c r="H537" i="135" s="1"/>
  <c r="E537" i="106"/>
  <c r="E537" i="135" s="1"/>
  <c r="K536" i="106"/>
  <c r="K536" i="135" s="1"/>
  <c r="H536" i="106"/>
  <c r="H536" i="135" s="1"/>
  <c r="E536" i="106"/>
  <c r="E536" i="135" s="1"/>
  <c r="K535" i="106"/>
  <c r="K535" i="135" s="1"/>
  <c r="H535" i="106"/>
  <c r="H535" i="135" s="1"/>
  <c r="E535" i="106"/>
  <c r="E535" i="135" s="1"/>
  <c r="I534" i="106"/>
  <c r="F534"/>
  <c r="C534"/>
  <c r="C534" i="135" s="1"/>
  <c r="L116" i="106" a="1"/>
  <c r="L154" a="1"/>
  <c r="I170" i="77"/>
  <c r="C425" i="106" a="1"/>
  <c r="L680" a="1"/>
  <c r="I170" i="109"/>
  <c r="C753" i="106" a="1"/>
  <c r="L753" a="1"/>
  <c r="L53"/>
  <c r="L53" i="135" s="1"/>
  <c r="L48" i="106"/>
  <c r="L48" i="135" s="1"/>
  <c r="L44" i="106"/>
  <c r="L44" i="135" s="1"/>
  <c r="M49" i="106"/>
  <c r="M49" i="135" s="1"/>
  <c r="M45" i="106"/>
  <c r="M45" i="135" s="1"/>
  <c r="N50" i="106"/>
  <c r="N50" i="135" s="1"/>
  <c r="N46" i="106"/>
  <c r="N46" i="135" s="1"/>
  <c r="L83" i="106"/>
  <c r="L83" i="135" s="1"/>
  <c r="N88" i="106"/>
  <c r="N88" i="135" s="1"/>
  <c r="N151" i="106"/>
  <c r="N151" i="135" s="1"/>
  <c r="N146" i="106"/>
  <c r="N146" i="135" s="1"/>
  <c r="N142" i="106"/>
  <c r="N142" i="135" s="1"/>
  <c r="L147" i="106"/>
  <c r="L147" i="135" s="1"/>
  <c r="L143" i="106"/>
  <c r="L143" i="135" s="1"/>
  <c r="M148" i="106"/>
  <c r="M148" i="135" s="1"/>
  <c r="M144" i="106"/>
  <c r="M144" i="135" s="1"/>
  <c r="I170" i="51"/>
  <c r="C178" i="106" a="1"/>
  <c r="N268"/>
  <c r="N268" i="135" s="1"/>
  <c r="L269" i="106"/>
  <c r="L269" i="135" s="1"/>
  <c r="M270" i="106"/>
  <c r="M270" i="135" s="1"/>
  <c r="L675" i="106"/>
  <c r="L675" i="135" s="1"/>
  <c r="L674" i="106"/>
  <c r="L674" i="135" s="1"/>
  <c r="L673" i="106"/>
  <c r="L673" i="135" s="1"/>
  <c r="L672" i="106"/>
  <c r="L672" i="135" s="1"/>
  <c r="L671" i="106"/>
  <c r="L671" i="135" s="1"/>
  <c r="L670" i="106"/>
  <c r="L670" i="135" s="1"/>
  <c r="L669" i="106"/>
  <c r="L669" i="135" s="1"/>
  <c r="L668" i="106"/>
  <c r="L668" i="135" s="1"/>
  <c r="L667" i="106"/>
  <c r="L667" i="135" s="1"/>
  <c r="L666" i="106"/>
  <c r="L666" i="135" s="1"/>
  <c r="M675" i="106"/>
  <c r="M675" i="135" s="1"/>
  <c r="M674" i="106"/>
  <c r="M674" i="135" s="1"/>
  <c r="M673" i="106"/>
  <c r="M673" i="135" s="1"/>
  <c r="M672" i="106"/>
  <c r="M672" i="135" s="1"/>
  <c r="M671" i="106"/>
  <c r="M671" i="135" s="1"/>
  <c r="M670" i="106"/>
  <c r="M670" i="135" s="1"/>
  <c r="M669" i="106"/>
  <c r="M669" i="135" s="1"/>
  <c r="M668" i="106"/>
  <c r="M668" i="135" s="1"/>
  <c r="M667" i="106"/>
  <c r="M667" i="135" s="1"/>
  <c r="M666" i="106"/>
  <c r="M666" i="135" s="1"/>
  <c r="N675" i="106"/>
  <c r="N675" i="135" s="1"/>
  <c r="N674" i="106"/>
  <c r="N674" i="135" s="1"/>
  <c r="N673" i="106"/>
  <c r="N673" i="135" s="1"/>
  <c r="N672" i="106"/>
  <c r="N672" i="135" s="1"/>
  <c r="N671" i="106"/>
  <c r="N671" i="135" s="1"/>
  <c r="N670" i="106"/>
  <c r="N670" i="135" s="1"/>
  <c r="N669" i="106"/>
  <c r="N669" i="135" s="1"/>
  <c r="N668" i="106"/>
  <c r="N668" i="135" s="1"/>
  <c r="N667" i="106"/>
  <c r="N667" i="135" s="1"/>
  <c r="N666" i="106"/>
  <c r="N666" i="135" s="1"/>
  <c r="N555" i="106"/>
  <c r="N555" i="135" s="1"/>
  <c r="N554" i="106"/>
  <c r="N554" i="135" s="1"/>
  <c r="N553" i="106"/>
  <c r="N553" i="135" s="1"/>
  <c r="N552" i="106"/>
  <c r="N552" i="135" s="1"/>
  <c r="N551" i="106"/>
  <c r="N551" i="135" s="1"/>
  <c r="N550" i="106"/>
  <c r="N550" i="135" s="1"/>
  <c r="N549" i="106"/>
  <c r="N549" i="135" s="1"/>
  <c r="N548" i="106"/>
  <c r="N548" i="135" s="1"/>
  <c r="N547" i="106"/>
  <c r="N547" i="135" s="1"/>
  <c r="N546" i="106"/>
  <c r="N546" i="135" s="1"/>
  <c r="L555" i="106"/>
  <c r="L555" i="135" s="1"/>
  <c r="L554" i="106"/>
  <c r="L554" i="135" s="1"/>
  <c r="L553" i="106"/>
  <c r="L553" i="135" s="1"/>
  <c r="L552" i="106"/>
  <c r="L552" i="135" s="1"/>
  <c r="L551" i="106"/>
  <c r="L551" i="135" s="1"/>
  <c r="L550" i="106"/>
  <c r="L550" i="135" s="1"/>
  <c r="L549" i="106"/>
  <c r="L549" i="135" s="1"/>
  <c r="L548" i="106"/>
  <c r="L548" i="135" s="1"/>
  <c r="L547" i="106"/>
  <c r="L547" i="135" s="1"/>
  <c r="L546" i="106"/>
  <c r="L546" i="135" s="1"/>
  <c r="M555" i="106"/>
  <c r="M555" i="135" s="1"/>
  <c r="M554" i="106"/>
  <c r="M554" i="135" s="1"/>
  <c r="M553" i="106"/>
  <c r="M553" i="135" s="1"/>
  <c r="M552" i="106"/>
  <c r="M552" i="135" s="1"/>
  <c r="M551" i="106"/>
  <c r="M551" i="135" s="1"/>
  <c r="M550" i="106"/>
  <c r="M550" i="135" s="1"/>
  <c r="M549" i="106"/>
  <c r="M549" i="135" s="1"/>
  <c r="M548" i="106"/>
  <c r="M548" i="135" s="1"/>
  <c r="M547" i="106"/>
  <c r="M547" i="135" s="1"/>
  <c r="M546" i="106"/>
  <c r="M546" i="135" s="1"/>
  <c r="N458" i="106"/>
  <c r="N458" i="135" s="1"/>
  <c r="N457" i="106"/>
  <c r="N457" i="135" s="1"/>
  <c r="N456" i="106"/>
  <c r="N456" i="135" s="1"/>
  <c r="N455" i="106"/>
  <c r="N455" i="135" s="1"/>
  <c r="N454" i="106"/>
  <c r="N454" i="135" s="1"/>
  <c r="N453" i="106"/>
  <c r="N453" i="135" s="1"/>
  <c r="N452" i="106"/>
  <c r="N452" i="135" s="1"/>
  <c r="N451" i="106"/>
  <c r="N451" i="135" s="1"/>
  <c r="N450" i="106"/>
  <c r="N450" i="135" s="1"/>
  <c r="N449" i="106"/>
  <c r="N449" i="135" s="1"/>
  <c r="L458" i="106"/>
  <c r="L458" i="135" s="1"/>
  <c r="L457" i="106"/>
  <c r="L457" i="135" s="1"/>
  <c r="L456" i="106"/>
  <c r="L456" i="135" s="1"/>
  <c r="L455" i="106"/>
  <c r="L455" i="135" s="1"/>
  <c r="L454" i="106"/>
  <c r="L454" i="135" s="1"/>
  <c r="L453" i="106"/>
  <c r="L453" i="135" s="1"/>
  <c r="L452" i="106"/>
  <c r="L452" i="135" s="1"/>
  <c r="L451" i="106"/>
  <c r="L451" i="135" s="1"/>
  <c r="L450" i="106"/>
  <c r="L450" i="135" s="1"/>
  <c r="L449" i="106"/>
  <c r="L449" i="135" s="1"/>
  <c r="M458" i="106"/>
  <c r="M458" i="135" s="1"/>
  <c r="M457" i="106"/>
  <c r="M457" i="135" s="1"/>
  <c r="M456" i="106"/>
  <c r="M456" i="135" s="1"/>
  <c r="M455" i="106"/>
  <c r="M455" i="135" s="1"/>
  <c r="M454" i="106"/>
  <c r="M454" i="135" s="1"/>
  <c r="M453" i="106"/>
  <c r="M453" i="135" s="1"/>
  <c r="M452" i="106"/>
  <c r="M452" i="135" s="1"/>
  <c r="M451" i="106"/>
  <c r="M451" i="135" s="1"/>
  <c r="M450" i="106"/>
  <c r="M450" i="135" s="1"/>
  <c r="M449" i="106"/>
  <c r="M449" i="135" s="1"/>
  <c r="K235" i="106"/>
  <c r="K235" i="135" s="1"/>
  <c r="H235" i="106"/>
  <c r="H235" i="135" s="1"/>
  <c r="E235" i="106"/>
  <c r="E235" i="135" s="1"/>
  <c r="K234" i="106"/>
  <c r="K234" i="135" s="1"/>
  <c r="H234" i="106"/>
  <c r="H234" i="135" s="1"/>
  <c r="E234" i="106"/>
  <c r="E234" i="135" s="1"/>
  <c r="K233" i="106"/>
  <c r="K233" i="135" s="1"/>
  <c r="H233" i="106"/>
  <c r="H233" i="135" s="1"/>
  <c r="E233" i="106"/>
  <c r="E233" i="135" s="1"/>
  <c r="K232" i="106"/>
  <c r="K232" i="135" s="1"/>
  <c r="H232" i="106"/>
  <c r="H232" i="135" s="1"/>
  <c r="E232" i="106"/>
  <c r="E232" i="135" s="1"/>
  <c r="K231" i="106"/>
  <c r="K231" i="135" s="1"/>
  <c r="H231" i="106"/>
  <c r="H231" i="135" s="1"/>
  <c r="E231" i="106"/>
  <c r="E231" i="135" s="1"/>
  <c r="K230" i="106"/>
  <c r="K230" i="135" s="1"/>
  <c r="H230" i="106"/>
  <c r="H230" i="135" s="1"/>
  <c r="E230" i="106"/>
  <c r="E230" i="135" s="1"/>
  <c r="K229" i="106"/>
  <c r="K229" i="135" s="1"/>
  <c r="H229" i="106"/>
  <c r="H229" i="135" s="1"/>
  <c r="E229" i="106"/>
  <c r="E229" i="135" s="1"/>
  <c r="K228" i="106"/>
  <c r="K228" i="135" s="1"/>
  <c r="H228" i="106"/>
  <c r="H228" i="135" s="1"/>
  <c r="E228" i="106"/>
  <c r="E228" i="135" s="1"/>
  <c r="K227" i="106"/>
  <c r="K227" i="135" s="1"/>
  <c r="H227" i="106"/>
  <c r="H227" i="135" s="1"/>
  <c r="E227" i="106"/>
  <c r="E227" i="135" s="1"/>
  <c r="I226" i="106"/>
  <c r="F226"/>
  <c r="C226"/>
  <c r="C226" i="135" s="1"/>
  <c r="I235" i="106"/>
  <c r="I235" i="135" s="1"/>
  <c r="F235" i="106"/>
  <c r="F235" i="135" s="1"/>
  <c r="C235" i="106"/>
  <c r="C235" i="135" s="1"/>
  <c r="I234" i="106"/>
  <c r="I234" i="135" s="1"/>
  <c r="F234" i="106"/>
  <c r="F234" i="135" s="1"/>
  <c r="C234" i="106"/>
  <c r="C234" i="135" s="1"/>
  <c r="I233" i="106"/>
  <c r="I233" i="135" s="1"/>
  <c r="F233" i="106"/>
  <c r="F233" i="135" s="1"/>
  <c r="C233" i="106"/>
  <c r="C233" i="135" s="1"/>
  <c r="I232" i="106"/>
  <c r="I232" i="135" s="1"/>
  <c r="F232" i="106"/>
  <c r="F232" i="135" s="1"/>
  <c r="C232" i="106"/>
  <c r="C232" i="135" s="1"/>
  <c r="I231" i="106"/>
  <c r="I231" i="135" s="1"/>
  <c r="F231" i="106"/>
  <c r="F231" i="135" s="1"/>
  <c r="C231" i="106"/>
  <c r="C231" i="135" s="1"/>
  <c r="I230" i="106"/>
  <c r="I230" i="135" s="1"/>
  <c r="F230" i="106"/>
  <c r="F230" i="135" s="1"/>
  <c r="C230" i="106"/>
  <c r="C230" i="135" s="1"/>
  <c r="I229" i="106"/>
  <c r="I229" i="135" s="1"/>
  <c r="F229" i="106"/>
  <c r="F229" i="135" s="1"/>
  <c r="C229" i="106"/>
  <c r="C229" i="135" s="1"/>
  <c r="I228" i="106"/>
  <c r="I228" i="135" s="1"/>
  <c r="F228" i="106"/>
  <c r="F228" i="135" s="1"/>
  <c r="C228" i="106"/>
  <c r="C228" i="135" s="1"/>
  <c r="I227" i="106"/>
  <c r="I227" i="135" s="1"/>
  <c r="F227" i="106"/>
  <c r="F227" i="135" s="1"/>
  <c r="C227" i="106"/>
  <c r="C227" i="135" s="1"/>
  <c r="J226" i="106"/>
  <c r="G226"/>
  <c r="D226"/>
  <c r="J235"/>
  <c r="J235" i="135" s="1"/>
  <c r="G235" i="106"/>
  <c r="G235" i="135" s="1"/>
  <c r="D235" i="106"/>
  <c r="D235" i="135" s="1"/>
  <c r="J234" i="106"/>
  <c r="J234" i="135" s="1"/>
  <c r="G234" i="106"/>
  <c r="G234" i="135" s="1"/>
  <c r="D234" i="106"/>
  <c r="D234" i="135" s="1"/>
  <c r="J233" i="106"/>
  <c r="J233" i="135" s="1"/>
  <c r="G233" i="106"/>
  <c r="G233" i="135" s="1"/>
  <c r="D233" i="106"/>
  <c r="D233" i="135" s="1"/>
  <c r="J232" i="106"/>
  <c r="J232" i="135" s="1"/>
  <c r="G232" i="106"/>
  <c r="G232" i="135" s="1"/>
  <c r="D232" i="106"/>
  <c r="D232" i="135" s="1"/>
  <c r="J231" i="106"/>
  <c r="J231" i="135" s="1"/>
  <c r="G231" i="106"/>
  <c r="G231" i="135" s="1"/>
  <c r="D231" i="106"/>
  <c r="D231" i="135" s="1"/>
  <c r="J230" i="106"/>
  <c r="J230" i="135" s="1"/>
  <c r="G230" i="106"/>
  <c r="G230" i="135" s="1"/>
  <c r="D230" i="106"/>
  <c r="D230" i="135" s="1"/>
  <c r="J229" i="106"/>
  <c r="J229" i="135" s="1"/>
  <c r="G229" i="106"/>
  <c r="G229" i="135" s="1"/>
  <c r="D229" i="106"/>
  <c r="D229" i="135" s="1"/>
  <c r="J228" i="106"/>
  <c r="J228" i="135" s="1"/>
  <c r="G228" i="106"/>
  <c r="G228" i="135" s="1"/>
  <c r="D228" i="106"/>
  <c r="D228" i="135" s="1"/>
  <c r="J227" i="106"/>
  <c r="J227" i="135" s="1"/>
  <c r="G227" i="106"/>
  <c r="G227" i="135" s="1"/>
  <c r="D227" i="106"/>
  <c r="D227" i="135" s="1"/>
  <c r="K226" i="106"/>
  <c r="H226"/>
  <c r="E226"/>
  <c r="K627"/>
  <c r="K627" i="135" s="1"/>
  <c r="H627" i="106"/>
  <c r="H627" i="135" s="1"/>
  <c r="E627" i="106"/>
  <c r="E627" i="135" s="1"/>
  <c r="K626" i="106"/>
  <c r="K626" i="135" s="1"/>
  <c r="H626" i="106"/>
  <c r="H626" i="135" s="1"/>
  <c r="E626" i="106"/>
  <c r="E626" i="135" s="1"/>
  <c r="K625" i="106"/>
  <c r="K625" i="135" s="1"/>
  <c r="H625" i="106"/>
  <c r="H625" i="135" s="1"/>
  <c r="E625" i="106"/>
  <c r="E625" i="135" s="1"/>
  <c r="K624" i="106"/>
  <c r="K624" i="135" s="1"/>
  <c r="H624" i="106"/>
  <c r="H624" i="135" s="1"/>
  <c r="E624" i="106"/>
  <c r="E624" i="135" s="1"/>
  <c r="K623" i="106"/>
  <c r="K623" i="135" s="1"/>
  <c r="H623" i="106"/>
  <c r="H623" i="135" s="1"/>
  <c r="E623" i="106"/>
  <c r="E623" i="135" s="1"/>
  <c r="K622" i="106"/>
  <c r="K622" i="135" s="1"/>
  <c r="H622" i="106"/>
  <c r="H622" i="135" s="1"/>
  <c r="E622" i="106"/>
  <c r="E622" i="135" s="1"/>
  <c r="K621" i="106"/>
  <c r="K621" i="135" s="1"/>
  <c r="H621" i="106"/>
  <c r="H621" i="135" s="1"/>
  <c r="E621" i="106"/>
  <c r="E621" i="135" s="1"/>
  <c r="K620" i="106"/>
  <c r="K620" i="135" s="1"/>
  <c r="H620" i="106"/>
  <c r="H620" i="135" s="1"/>
  <c r="E620" i="106"/>
  <c r="E620" i="135" s="1"/>
  <c r="K619" i="106"/>
  <c r="K619" i="135" s="1"/>
  <c r="H619" i="106"/>
  <c r="H619" i="135" s="1"/>
  <c r="E619" i="106"/>
  <c r="E619" i="135" s="1"/>
  <c r="I627" i="106"/>
  <c r="I627" i="135" s="1"/>
  <c r="F627" i="106"/>
  <c r="F627" i="135" s="1"/>
  <c r="C627" i="106"/>
  <c r="C627" i="135" s="1"/>
  <c r="I626" i="106"/>
  <c r="I626" i="135" s="1"/>
  <c r="F626" i="106"/>
  <c r="F626" i="135" s="1"/>
  <c r="C626" i="106"/>
  <c r="C626" i="135" s="1"/>
  <c r="I625" i="106"/>
  <c r="I625" i="135" s="1"/>
  <c r="F625" i="106"/>
  <c r="F625" i="135" s="1"/>
  <c r="C625" i="106"/>
  <c r="C625" i="135" s="1"/>
  <c r="I624" i="106"/>
  <c r="I624" i="135" s="1"/>
  <c r="F624" i="106"/>
  <c r="F624" i="135" s="1"/>
  <c r="C624" i="106"/>
  <c r="C624" i="135" s="1"/>
  <c r="I623" i="106"/>
  <c r="I623" i="135" s="1"/>
  <c r="F623" i="106"/>
  <c r="F623" i="135" s="1"/>
  <c r="C623" i="106"/>
  <c r="C623" i="135" s="1"/>
  <c r="I622" i="106"/>
  <c r="I622" i="135" s="1"/>
  <c r="F622" i="106"/>
  <c r="F622" i="135" s="1"/>
  <c r="C622" i="106"/>
  <c r="C622" i="135" s="1"/>
  <c r="I621" i="106"/>
  <c r="I621" i="135" s="1"/>
  <c r="F621" i="106"/>
  <c r="F621" i="135" s="1"/>
  <c r="C621" i="106"/>
  <c r="C621" i="135" s="1"/>
  <c r="I620" i="106"/>
  <c r="I620" i="135" s="1"/>
  <c r="F620" i="106"/>
  <c r="F620" i="135" s="1"/>
  <c r="C620" i="106"/>
  <c r="C620" i="135" s="1"/>
  <c r="I619" i="106"/>
  <c r="I619" i="135" s="1"/>
  <c r="F619" i="106"/>
  <c r="F619" i="135" s="1"/>
  <c r="C619" i="106"/>
  <c r="C619" i="135" s="1"/>
  <c r="J618" i="106"/>
  <c r="G618"/>
  <c r="D618"/>
  <c r="J627"/>
  <c r="J627" i="135" s="1"/>
  <c r="G627" i="106"/>
  <c r="G627" i="135" s="1"/>
  <c r="D627" i="106"/>
  <c r="D627" i="135" s="1"/>
  <c r="J626" i="106"/>
  <c r="J626" i="135" s="1"/>
  <c r="G626" i="106"/>
  <c r="G626" i="135" s="1"/>
  <c r="D626" i="106"/>
  <c r="D626" i="135" s="1"/>
  <c r="J625" i="106"/>
  <c r="J625" i="135" s="1"/>
  <c r="G625" i="106"/>
  <c r="G625" i="135" s="1"/>
  <c r="D625" i="106"/>
  <c r="D625" i="135" s="1"/>
  <c r="J624" i="106"/>
  <c r="J624" i="135" s="1"/>
  <c r="G624" i="106"/>
  <c r="G624" i="135" s="1"/>
  <c r="D624" i="106"/>
  <c r="D624" i="135" s="1"/>
  <c r="J623" i="106"/>
  <c r="J623" i="135" s="1"/>
  <c r="G623" i="106"/>
  <c r="G623" i="135" s="1"/>
  <c r="D623" i="106"/>
  <c r="D623" i="135" s="1"/>
  <c r="J622" i="106"/>
  <c r="J622" i="135" s="1"/>
  <c r="G622" i="106"/>
  <c r="G622" i="135" s="1"/>
  <c r="D622" i="106"/>
  <c r="D622" i="135" s="1"/>
  <c r="J621" i="106"/>
  <c r="J621" i="135" s="1"/>
  <c r="G621" i="106"/>
  <c r="G621" i="135" s="1"/>
  <c r="D621" i="106"/>
  <c r="D621" i="135" s="1"/>
  <c r="J620" i="106"/>
  <c r="J620" i="135" s="1"/>
  <c r="G620" i="106"/>
  <c r="G620" i="135" s="1"/>
  <c r="D620" i="106"/>
  <c r="D620" i="135" s="1"/>
  <c r="J619" i="106"/>
  <c r="J619" i="135" s="1"/>
  <c r="G619" i="106"/>
  <c r="G619" i="135" s="1"/>
  <c r="D619" i="106"/>
  <c r="D619" i="135" s="1"/>
  <c r="K618" i="106"/>
  <c r="H618"/>
  <c r="E618"/>
  <c r="I618"/>
  <c r="C618"/>
  <c r="C618" i="135" s="1"/>
  <c r="F618" i="106"/>
  <c r="J531"/>
  <c r="J531" i="135" s="1"/>
  <c r="G531" i="106"/>
  <c r="G531" i="135" s="1"/>
  <c r="D531" i="106"/>
  <c r="D531" i="135" s="1"/>
  <c r="J530" i="106"/>
  <c r="J530" i="135" s="1"/>
  <c r="G530" i="106"/>
  <c r="G530" i="135" s="1"/>
  <c r="D530" i="106"/>
  <c r="D530" i="135" s="1"/>
  <c r="J529" i="106"/>
  <c r="J529" i="135" s="1"/>
  <c r="G529" i="106"/>
  <c r="G529" i="135" s="1"/>
  <c r="D529" i="106"/>
  <c r="D529" i="135" s="1"/>
  <c r="J528" i="106"/>
  <c r="J528" i="135" s="1"/>
  <c r="G528" i="106"/>
  <c r="G528" i="135" s="1"/>
  <c r="D528" i="106"/>
  <c r="D528" i="135" s="1"/>
  <c r="J527" i="106"/>
  <c r="J527" i="135" s="1"/>
  <c r="G527" i="106"/>
  <c r="G527" i="135" s="1"/>
  <c r="D527" i="106"/>
  <c r="D527" i="135" s="1"/>
  <c r="J526" i="106"/>
  <c r="J526" i="135" s="1"/>
  <c r="G526" i="106"/>
  <c r="G526" i="135" s="1"/>
  <c r="D526" i="106"/>
  <c r="D526" i="135" s="1"/>
  <c r="J525" i="106"/>
  <c r="J525" i="135" s="1"/>
  <c r="G525" i="106"/>
  <c r="G525" i="135" s="1"/>
  <c r="D525" i="106"/>
  <c r="D525" i="135" s="1"/>
  <c r="J524" i="106"/>
  <c r="J524" i="135" s="1"/>
  <c r="G524" i="106"/>
  <c r="G524" i="135" s="1"/>
  <c r="D524" i="106"/>
  <c r="D524" i="135" s="1"/>
  <c r="J523" i="106"/>
  <c r="J523" i="135" s="1"/>
  <c r="G523" i="106"/>
  <c r="G523" i="135" s="1"/>
  <c r="D523" i="106"/>
  <c r="D523" i="135" s="1"/>
  <c r="K522" i="106"/>
  <c r="H522"/>
  <c r="E522"/>
  <c r="K531"/>
  <c r="K531" i="135" s="1"/>
  <c r="H531" i="106"/>
  <c r="H531" i="135" s="1"/>
  <c r="E531" i="106"/>
  <c r="E531" i="135" s="1"/>
  <c r="K530" i="106"/>
  <c r="K530" i="135" s="1"/>
  <c r="H530" i="106"/>
  <c r="H530" i="135" s="1"/>
  <c r="E530" i="106"/>
  <c r="E530" i="135" s="1"/>
  <c r="K529" i="106"/>
  <c r="K529" i="135" s="1"/>
  <c r="H529" i="106"/>
  <c r="H529" i="135" s="1"/>
  <c r="E529" i="106"/>
  <c r="E529" i="135" s="1"/>
  <c r="K528" i="106"/>
  <c r="K528" i="135" s="1"/>
  <c r="H528" i="106"/>
  <c r="H528" i="135" s="1"/>
  <c r="E528" i="106"/>
  <c r="E528" i="135" s="1"/>
  <c r="K527" i="106"/>
  <c r="K527" i="135" s="1"/>
  <c r="H527" i="106"/>
  <c r="H527" i="135" s="1"/>
  <c r="E527" i="106"/>
  <c r="E527" i="135" s="1"/>
  <c r="K526" i="106"/>
  <c r="K526" i="135" s="1"/>
  <c r="H526" i="106"/>
  <c r="H526" i="135" s="1"/>
  <c r="E526" i="106"/>
  <c r="E526" i="135" s="1"/>
  <c r="K525" i="106"/>
  <c r="K525" i="135" s="1"/>
  <c r="H525" i="106"/>
  <c r="H525" i="135" s="1"/>
  <c r="E525" i="106"/>
  <c r="E525" i="135" s="1"/>
  <c r="K524" i="106"/>
  <c r="K524" i="135" s="1"/>
  <c r="H524" i="106"/>
  <c r="H524" i="135" s="1"/>
  <c r="E524" i="106"/>
  <c r="E524" i="135" s="1"/>
  <c r="K523" i="106"/>
  <c r="K523" i="135" s="1"/>
  <c r="H523" i="106"/>
  <c r="H523" i="135" s="1"/>
  <c r="E523" i="106"/>
  <c r="E523" i="135" s="1"/>
  <c r="I522" i="106"/>
  <c r="F522"/>
  <c r="C522"/>
  <c r="C522" i="135" s="1"/>
  <c r="I531" i="106"/>
  <c r="I531" i="135" s="1"/>
  <c r="F531" i="106"/>
  <c r="F531" i="135" s="1"/>
  <c r="C531" i="106"/>
  <c r="C531" i="135" s="1"/>
  <c r="I530" i="106"/>
  <c r="I530" i="135" s="1"/>
  <c r="F530" i="106"/>
  <c r="F530" i="135" s="1"/>
  <c r="C530" i="106"/>
  <c r="C530" i="135" s="1"/>
  <c r="I529" i="106"/>
  <c r="I529" i="135" s="1"/>
  <c r="F529" i="106"/>
  <c r="F529" i="135" s="1"/>
  <c r="C529" i="106"/>
  <c r="C529" i="135" s="1"/>
  <c r="I528" i="106"/>
  <c r="I528" i="135" s="1"/>
  <c r="F528" i="106"/>
  <c r="F528" i="135" s="1"/>
  <c r="C528" i="106"/>
  <c r="C528" i="135" s="1"/>
  <c r="I527" i="106"/>
  <c r="I527" i="135" s="1"/>
  <c r="F527" i="106"/>
  <c r="F527" i="135" s="1"/>
  <c r="C527" i="106"/>
  <c r="C527" i="135" s="1"/>
  <c r="I526" i="106"/>
  <c r="I526" i="135" s="1"/>
  <c r="F526" i="106"/>
  <c r="F526" i="135" s="1"/>
  <c r="C526" i="106"/>
  <c r="C526" i="135" s="1"/>
  <c r="I525" i="106"/>
  <c r="I525" i="135" s="1"/>
  <c r="F525" i="106"/>
  <c r="F525" i="135" s="1"/>
  <c r="C525" i="106"/>
  <c r="C525" i="135" s="1"/>
  <c r="I524" i="106"/>
  <c r="I524" i="135" s="1"/>
  <c r="F524" i="106"/>
  <c r="F524" i="135" s="1"/>
  <c r="C524" i="106"/>
  <c r="C524" i="135" s="1"/>
  <c r="I523" i="106"/>
  <c r="I523" i="135" s="1"/>
  <c r="F523" i="106"/>
  <c r="F523" i="135" s="1"/>
  <c r="C523" i="106"/>
  <c r="C523" i="135" s="1"/>
  <c r="J522" i="106"/>
  <c r="G522"/>
  <c r="D522"/>
  <c r="K373"/>
  <c r="K373" i="135" s="1"/>
  <c r="H373" i="106"/>
  <c r="H373" i="135" s="1"/>
  <c r="E373" i="106"/>
  <c r="E373" i="135" s="1"/>
  <c r="K372" i="106"/>
  <c r="K372" i="135" s="1"/>
  <c r="H372" i="106"/>
  <c r="H372" i="135" s="1"/>
  <c r="E372" i="106"/>
  <c r="E372" i="135" s="1"/>
  <c r="K371" i="106"/>
  <c r="K371" i="135" s="1"/>
  <c r="H371" i="106"/>
  <c r="H371" i="135" s="1"/>
  <c r="E371" i="106"/>
  <c r="E371" i="135" s="1"/>
  <c r="K370" i="106"/>
  <c r="K370" i="135" s="1"/>
  <c r="H370" i="106"/>
  <c r="H370" i="135" s="1"/>
  <c r="E370" i="106"/>
  <c r="E370" i="135" s="1"/>
  <c r="K369" i="106"/>
  <c r="K369" i="135" s="1"/>
  <c r="H369" i="106"/>
  <c r="H369" i="135" s="1"/>
  <c r="E369" i="106"/>
  <c r="E369" i="135" s="1"/>
  <c r="K368" i="106"/>
  <c r="K368" i="135" s="1"/>
  <c r="H368" i="106"/>
  <c r="H368" i="135" s="1"/>
  <c r="E368" i="106"/>
  <c r="E368" i="135" s="1"/>
  <c r="K367" i="106"/>
  <c r="K367" i="135" s="1"/>
  <c r="H367" i="106"/>
  <c r="H367" i="135" s="1"/>
  <c r="E367" i="106"/>
  <c r="E367" i="135" s="1"/>
  <c r="K366" i="106"/>
  <c r="K366" i="135" s="1"/>
  <c r="H366" i="106"/>
  <c r="H366" i="135" s="1"/>
  <c r="E366" i="106"/>
  <c r="E366" i="135" s="1"/>
  <c r="K365" i="106"/>
  <c r="K365" i="135" s="1"/>
  <c r="H365" i="106"/>
  <c r="H365" i="135" s="1"/>
  <c r="E365" i="106"/>
  <c r="E365" i="135" s="1"/>
  <c r="K364" i="106"/>
  <c r="H364"/>
  <c r="E364"/>
  <c r="I373"/>
  <c r="I373" i="135" s="1"/>
  <c r="F373" i="106"/>
  <c r="F373" i="135" s="1"/>
  <c r="C373" i="106"/>
  <c r="C373" i="135" s="1"/>
  <c r="I372" i="106"/>
  <c r="I372" i="135" s="1"/>
  <c r="F372" i="106"/>
  <c r="F372" i="135" s="1"/>
  <c r="C372" i="106"/>
  <c r="C372" i="135" s="1"/>
  <c r="I371" i="106"/>
  <c r="I371" i="135" s="1"/>
  <c r="F371" i="106"/>
  <c r="C371"/>
  <c r="C371" i="135" s="1"/>
  <c r="I370" i="106"/>
  <c r="I370" i="135" s="1"/>
  <c r="F370" i="106"/>
  <c r="F370" i="135" s="1"/>
  <c r="C370" i="106"/>
  <c r="C370" i="135" s="1"/>
  <c r="I369" i="106"/>
  <c r="I369" i="135" s="1"/>
  <c r="F369" i="106"/>
  <c r="F369" i="135" s="1"/>
  <c r="C369" i="106"/>
  <c r="C369" i="135" s="1"/>
  <c r="I368" i="106"/>
  <c r="I368" i="135" s="1"/>
  <c r="F368" i="106"/>
  <c r="F368" i="135" s="1"/>
  <c r="C368" i="106"/>
  <c r="C368" i="135" s="1"/>
  <c r="I367" i="106"/>
  <c r="I367" i="135" s="1"/>
  <c r="F367" i="106"/>
  <c r="F367" i="135" s="1"/>
  <c r="C367" i="106"/>
  <c r="C367" i="135" s="1"/>
  <c r="I366" i="106"/>
  <c r="I366" i="135" s="1"/>
  <c r="F366" i="106"/>
  <c r="F366" i="135" s="1"/>
  <c r="C366" i="106"/>
  <c r="C366" i="135" s="1"/>
  <c r="I365" i="106"/>
  <c r="I365" i="135" s="1"/>
  <c r="F365" i="106"/>
  <c r="F365" i="135" s="1"/>
  <c r="C365" i="106"/>
  <c r="C365" i="135" s="1"/>
  <c r="I364" i="106"/>
  <c r="F364"/>
  <c r="C364"/>
  <c r="C364" i="135" s="1"/>
  <c r="J373" i="106"/>
  <c r="J373" i="135" s="1"/>
  <c r="G373" i="106"/>
  <c r="G373" i="135" s="1"/>
  <c r="D373" i="106"/>
  <c r="D373" i="135" s="1"/>
  <c r="J372" i="106"/>
  <c r="J372" i="135" s="1"/>
  <c r="G372" i="106"/>
  <c r="G372" i="135" s="1"/>
  <c r="D372" i="106"/>
  <c r="D372" i="135" s="1"/>
  <c r="J371" i="106"/>
  <c r="J371" i="135" s="1"/>
  <c r="G371" i="106"/>
  <c r="G371" i="135" s="1"/>
  <c r="D371" i="106"/>
  <c r="D371" i="135" s="1"/>
  <c r="J370" i="106"/>
  <c r="J370" i="135" s="1"/>
  <c r="G370" i="106"/>
  <c r="G370" i="135" s="1"/>
  <c r="D370" i="106"/>
  <c r="D370" i="135" s="1"/>
  <c r="J369" i="106"/>
  <c r="J369" i="135" s="1"/>
  <c r="G369" i="106"/>
  <c r="G369" i="135" s="1"/>
  <c r="D369" i="106"/>
  <c r="D369" i="135" s="1"/>
  <c r="J368" i="106"/>
  <c r="J368" i="135" s="1"/>
  <c r="G368" i="106"/>
  <c r="G368" i="135" s="1"/>
  <c r="D368" i="106"/>
  <c r="D368" i="135" s="1"/>
  <c r="J367" i="106"/>
  <c r="J367" i="135" s="1"/>
  <c r="G367" i="106"/>
  <c r="G367" i="135" s="1"/>
  <c r="D367" i="106"/>
  <c r="D367" i="135" s="1"/>
  <c r="J366" i="106"/>
  <c r="J366" i="135" s="1"/>
  <c r="G366" i="106"/>
  <c r="G366" i="135" s="1"/>
  <c r="D366" i="106"/>
  <c r="D366" i="135" s="1"/>
  <c r="J365" i="106"/>
  <c r="J365" i="135" s="1"/>
  <c r="G365" i="106"/>
  <c r="G365" i="135" s="1"/>
  <c r="D365" i="106"/>
  <c r="D365" i="135" s="1"/>
  <c r="J364" i="106"/>
  <c r="G364"/>
  <c r="D364"/>
  <c r="M77"/>
  <c r="M77" i="135" s="1"/>
  <c r="M76" i="106"/>
  <c r="M76" i="135" s="1"/>
  <c r="M75" i="106"/>
  <c r="M75" i="135" s="1"/>
  <c r="M74" i="106"/>
  <c r="M74" i="135" s="1"/>
  <c r="M73" i="106"/>
  <c r="M73" i="135" s="1"/>
  <c r="M72" i="106"/>
  <c r="M72" i="135" s="1"/>
  <c r="M71" i="106"/>
  <c r="M71" i="135" s="1"/>
  <c r="M70" i="106"/>
  <c r="M70" i="135" s="1"/>
  <c r="M69" i="106"/>
  <c r="M69" i="135" s="1"/>
  <c r="M68" i="106"/>
  <c r="M68" i="135" s="1"/>
  <c r="N77" i="106"/>
  <c r="N77" i="135" s="1"/>
  <c r="N76" i="106"/>
  <c r="N76" i="135" s="1"/>
  <c r="N75" i="106"/>
  <c r="N75" i="135" s="1"/>
  <c r="N74" i="106"/>
  <c r="N74" i="135" s="1"/>
  <c r="N73" i="106"/>
  <c r="N73" i="135" s="1"/>
  <c r="N72" i="106"/>
  <c r="N72" i="135" s="1"/>
  <c r="N71" i="106"/>
  <c r="N71" i="135" s="1"/>
  <c r="N70" i="106"/>
  <c r="N70" i="135" s="1"/>
  <c r="N69" i="106"/>
  <c r="N69" i="135" s="1"/>
  <c r="N68" i="106"/>
  <c r="N68" i="135" s="1"/>
  <c r="L77" i="106"/>
  <c r="L77" i="135" s="1"/>
  <c r="L76" i="106"/>
  <c r="L76" i="135" s="1"/>
  <c r="L75" i="106"/>
  <c r="L75" i="135" s="1"/>
  <c r="L74" i="106"/>
  <c r="L74" i="135" s="1"/>
  <c r="L73" i="106"/>
  <c r="L73" i="135" s="1"/>
  <c r="L72" i="106"/>
  <c r="L72" i="135" s="1"/>
  <c r="L71" i="106"/>
  <c r="L71" i="135" s="1"/>
  <c r="L70" i="106"/>
  <c r="L70" i="135" s="1"/>
  <c r="L69" i="106"/>
  <c r="L69" i="135" s="1"/>
  <c r="L68" i="106"/>
  <c r="L68" i="135" s="1"/>
  <c r="L651" i="106"/>
  <c r="L651" i="135" s="1"/>
  <c r="L650" i="106"/>
  <c r="L650" i="135" s="1"/>
  <c r="L649" i="106"/>
  <c r="L649" i="135" s="1"/>
  <c r="L648" i="106"/>
  <c r="L648" i="135" s="1"/>
  <c r="L647" i="106"/>
  <c r="L647" i="135" s="1"/>
  <c r="L646" i="106"/>
  <c r="L646" i="135" s="1"/>
  <c r="L645" i="106"/>
  <c r="L645" i="135" s="1"/>
  <c r="L644" i="106"/>
  <c r="L644" i="135" s="1"/>
  <c r="L643" i="106"/>
  <c r="L643" i="135" s="1"/>
  <c r="L642" i="106"/>
  <c r="L642" i="135" s="1"/>
  <c r="M651" i="106"/>
  <c r="M651" i="135" s="1"/>
  <c r="M650" i="106"/>
  <c r="M650" i="135" s="1"/>
  <c r="M649" i="106"/>
  <c r="M649" i="135" s="1"/>
  <c r="M648" i="106"/>
  <c r="M648" i="135" s="1"/>
  <c r="M647" i="106"/>
  <c r="M647" i="135" s="1"/>
  <c r="M646" i="106"/>
  <c r="M646" i="135" s="1"/>
  <c r="M645" i="106"/>
  <c r="M645" i="135" s="1"/>
  <c r="M644" i="106"/>
  <c r="M644" i="135" s="1"/>
  <c r="M643" i="106"/>
  <c r="M643" i="135" s="1"/>
  <c r="M642" i="106"/>
  <c r="M642" i="135" s="1"/>
  <c r="N651" i="106"/>
  <c r="N651" i="135" s="1"/>
  <c r="N650" i="106"/>
  <c r="N650" i="135" s="1"/>
  <c r="N649" i="106"/>
  <c r="N649" i="135" s="1"/>
  <c r="N648" i="106"/>
  <c r="N648" i="135" s="1"/>
  <c r="N647" i="106"/>
  <c r="N647" i="135" s="1"/>
  <c r="N646" i="106"/>
  <c r="N646" i="135" s="1"/>
  <c r="N645" i="106"/>
  <c r="N645" i="135" s="1"/>
  <c r="N644" i="106"/>
  <c r="N644" i="135" s="1"/>
  <c r="N643" i="106"/>
  <c r="N643" i="135" s="1"/>
  <c r="N642" i="106"/>
  <c r="N642" i="135" s="1"/>
  <c r="N519" i="106"/>
  <c r="N519" i="135" s="1"/>
  <c r="N518" i="106"/>
  <c r="N518" i="135" s="1"/>
  <c r="N517" i="106"/>
  <c r="N517" i="135" s="1"/>
  <c r="N516" i="106"/>
  <c r="N516" i="135" s="1"/>
  <c r="N515" i="106"/>
  <c r="N515" i="135" s="1"/>
  <c r="N514" i="106"/>
  <c r="N514" i="135" s="1"/>
  <c r="N513" i="106"/>
  <c r="N513" i="135" s="1"/>
  <c r="N512" i="106"/>
  <c r="N512" i="135" s="1"/>
  <c r="N511" i="106"/>
  <c r="N511" i="135" s="1"/>
  <c r="N510" i="106"/>
  <c r="N510" i="135" s="1"/>
  <c r="L519" i="106"/>
  <c r="L519" i="135" s="1"/>
  <c r="L518" i="106"/>
  <c r="L518" i="135" s="1"/>
  <c r="L517" i="106"/>
  <c r="L517" i="135" s="1"/>
  <c r="L516" i="106"/>
  <c r="L516" i="135" s="1"/>
  <c r="L515" i="106"/>
  <c r="L515" i="135" s="1"/>
  <c r="L514" i="106"/>
  <c r="L514" i="135" s="1"/>
  <c r="L513" i="106"/>
  <c r="L513" i="135" s="1"/>
  <c r="L512" i="106"/>
  <c r="L512" i="135" s="1"/>
  <c r="L511" i="106"/>
  <c r="L511" i="135" s="1"/>
  <c r="L510" i="106"/>
  <c r="L510" i="135" s="1"/>
  <c r="M519" i="106"/>
  <c r="M519" i="135" s="1"/>
  <c r="M518" i="106"/>
  <c r="M518" i="135" s="1"/>
  <c r="M517" i="106"/>
  <c r="M517" i="135" s="1"/>
  <c r="M516" i="106"/>
  <c r="M516" i="135" s="1"/>
  <c r="M515" i="106"/>
  <c r="M515" i="135" s="1"/>
  <c r="M514" i="106"/>
  <c r="M514" i="135" s="1"/>
  <c r="M513" i="106"/>
  <c r="M513" i="135" s="1"/>
  <c r="M512" i="106"/>
  <c r="M512" i="135" s="1"/>
  <c r="M511" i="106"/>
  <c r="M511" i="135" s="1"/>
  <c r="M510" i="106"/>
  <c r="M510" i="135" s="1"/>
  <c r="L410" i="106"/>
  <c r="L410" i="135" s="1"/>
  <c r="L409" i="106"/>
  <c r="L409" i="135" s="1"/>
  <c r="L408" i="106"/>
  <c r="L408" i="135" s="1"/>
  <c r="L407" i="106"/>
  <c r="L407" i="135" s="1"/>
  <c r="L406" i="106"/>
  <c r="L406" i="135" s="1"/>
  <c r="L405" i="106"/>
  <c r="L405" i="135" s="1"/>
  <c r="L404" i="106"/>
  <c r="L404" i="135" s="1"/>
  <c r="L403" i="106"/>
  <c r="L403" i="135" s="1"/>
  <c r="L402" i="106"/>
  <c r="L402" i="135" s="1"/>
  <c r="L401" i="106"/>
  <c r="L401" i="135" s="1"/>
  <c r="M410" i="106"/>
  <c r="M410" i="135" s="1"/>
  <c r="M409" i="106"/>
  <c r="M409" i="135" s="1"/>
  <c r="M408" i="106"/>
  <c r="M408" i="135" s="1"/>
  <c r="M407" i="106"/>
  <c r="M407" i="135" s="1"/>
  <c r="M406" i="106"/>
  <c r="M406" i="135" s="1"/>
  <c r="M405" i="106"/>
  <c r="M405" i="135" s="1"/>
  <c r="M404" i="106"/>
  <c r="M404" i="135" s="1"/>
  <c r="M403" i="106"/>
  <c r="M403" i="135" s="1"/>
  <c r="M402" i="106"/>
  <c r="M402" i="135" s="1"/>
  <c r="M401" i="106"/>
  <c r="M401" i="135" s="1"/>
  <c r="N410" i="106"/>
  <c r="N410" i="135" s="1"/>
  <c r="N409" i="106"/>
  <c r="N409" i="135" s="1"/>
  <c r="N408" i="106"/>
  <c r="N408" i="135" s="1"/>
  <c r="N407" i="106"/>
  <c r="N407" i="135" s="1"/>
  <c r="N406" i="106"/>
  <c r="N406" i="135" s="1"/>
  <c r="N405" i="106"/>
  <c r="N405" i="135" s="1"/>
  <c r="N404" i="106"/>
  <c r="N404" i="135" s="1"/>
  <c r="N403" i="106"/>
  <c r="N403" i="135" s="1"/>
  <c r="N402" i="106"/>
  <c r="N402" i="135" s="1"/>
  <c r="N401" i="106"/>
  <c r="N401" i="135" s="1"/>
  <c r="J77" i="106"/>
  <c r="J77" i="135" s="1"/>
  <c r="G77" i="106"/>
  <c r="G77" i="135" s="1"/>
  <c r="D77" i="106"/>
  <c r="D77" i="135" s="1"/>
  <c r="J76" i="106"/>
  <c r="J76" i="135" s="1"/>
  <c r="G76" i="106"/>
  <c r="G76" i="135" s="1"/>
  <c r="D76" i="106"/>
  <c r="D76" i="135" s="1"/>
  <c r="J75" i="106"/>
  <c r="J75" i="135" s="1"/>
  <c r="G75" i="106"/>
  <c r="G75" i="135" s="1"/>
  <c r="D75" i="106"/>
  <c r="D75" i="135" s="1"/>
  <c r="J74" i="106"/>
  <c r="J74" i="135" s="1"/>
  <c r="G74" i="106"/>
  <c r="G74" i="135" s="1"/>
  <c r="D74" i="106"/>
  <c r="D74" i="135" s="1"/>
  <c r="J73" i="106"/>
  <c r="J73" i="135" s="1"/>
  <c r="G73" i="106"/>
  <c r="G73" i="135" s="1"/>
  <c r="D73" i="106"/>
  <c r="D73" i="135" s="1"/>
  <c r="J72" i="106"/>
  <c r="J72" i="135" s="1"/>
  <c r="G72" i="106"/>
  <c r="G72" i="135" s="1"/>
  <c r="D72" i="106"/>
  <c r="D72" i="135" s="1"/>
  <c r="J71" i="106"/>
  <c r="J71" i="135" s="1"/>
  <c r="G71" i="106"/>
  <c r="G71" i="135" s="1"/>
  <c r="D71" i="106"/>
  <c r="D71" i="135" s="1"/>
  <c r="J70" i="106"/>
  <c r="J70" i="135" s="1"/>
  <c r="G70" i="106"/>
  <c r="G70" i="135" s="1"/>
  <c r="D70" i="106"/>
  <c r="D70" i="135" s="1"/>
  <c r="J69" i="106"/>
  <c r="J69" i="135" s="1"/>
  <c r="G69" i="106"/>
  <c r="G69" i="135" s="1"/>
  <c r="D69" i="106"/>
  <c r="D69" i="135" s="1"/>
  <c r="K68" i="106"/>
  <c r="H68"/>
  <c r="E68"/>
  <c r="K77"/>
  <c r="K77" i="135" s="1"/>
  <c r="H77" i="106"/>
  <c r="H77" i="135" s="1"/>
  <c r="E77" i="106"/>
  <c r="E77" i="135" s="1"/>
  <c r="K76" i="106"/>
  <c r="K76" i="135" s="1"/>
  <c r="H76" i="106"/>
  <c r="H76" i="135" s="1"/>
  <c r="E76" i="106"/>
  <c r="E76" i="135" s="1"/>
  <c r="K75" i="106"/>
  <c r="K75" i="135" s="1"/>
  <c r="H75" i="106"/>
  <c r="H75" i="135" s="1"/>
  <c r="E75" i="106"/>
  <c r="E75" i="135" s="1"/>
  <c r="K74" i="106"/>
  <c r="K74" i="135" s="1"/>
  <c r="H74" i="106"/>
  <c r="H74" i="135" s="1"/>
  <c r="E74" i="106"/>
  <c r="E74" i="135" s="1"/>
  <c r="K73" i="106"/>
  <c r="K73" i="135" s="1"/>
  <c r="H73" i="106"/>
  <c r="H73" i="135" s="1"/>
  <c r="E73" i="106"/>
  <c r="E73" i="135" s="1"/>
  <c r="K72" i="106"/>
  <c r="K72" i="135" s="1"/>
  <c r="H72" i="106"/>
  <c r="H72" i="135" s="1"/>
  <c r="E72" i="106"/>
  <c r="E72" i="135" s="1"/>
  <c r="K71" i="106"/>
  <c r="K71" i="135" s="1"/>
  <c r="H71" i="106"/>
  <c r="H71" i="135" s="1"/>
  <c r="E71" i="106"/>
  <c r="E71" i="135" s="1"/>
  <c r="K70" i="106"/>
  <c r="K70" i="135" s="1"/>
  <c r="H70" i="106"/>
  <c r="H70" i="135" s="1"/>
  <c r="E70" i="106"/>
  <c r="E70" i="135" s="1"/>
  <c r="K69" i="106"/>
  <c r="K69" i="135" s="1"/>
  <c r="H69" i="106"/>
  <c r="H69" i="135" s="1"/>
  <c r="E69" i="106"/>
  <c r="E69" i="135" s="1"/>
  <c r="I68" i="106"/>
  <c r="F68"/>
  <c r="C68"/>
  <c r="C68" i="135" s="1"/>
  <c r="I77" i="106"/>
  <c r="I77" i="135" s="1"/>
  <c r="F77" i="106"/>
  <c r="F77" i="135" s="1"/>
  <c r="C77" i="106"/>
  <c r="C77" i="135" s="1"/>
  <c r="I76" i="106"/>
  <c r="I76" i="135" s="1"/>
  <c r="F76" i="106"/>
  <c r="F76" i="135" s="1"/>
  <c r="C76" i="106"/>
  <c r="C76" i="135" s="1"/>
  <c r="I75" i="106"/>
  <c r="I75" i="135" s="1"/>
  <c r="F75" i="106"/>
  <c r="F75" i="135" s="1"/>
  <c r="C75" i="106"/>
  <c r="C75" i="135" s="1"/>
  <c r="I74" i="106"/>
  <c r="I74" i="135" s="1"/>
  <c r="F74" i="106"/>
  <c r="F74" i="135" s="1"/>
  <c r="C74" i="106"/>
  <c r="C74" i="135" s="1"/>
  <c r="I73" i="106"/>
  <c r="I73" i="135" s="1"/>
  <c r="F73" i="106"/>
  <c r="F73" i="135" s="1"/>
  <c r="C73" i="106"/>
  <c r="C73" i="135" s="1"/>
  <c r="I72" i="106"/>
  <c r="I72" i="135" s="1"/>
  <c r="F72" i="106"/>
  <c r="F72" i="135" s="1"/>
  <c r="C72" i="106"/>
  <c r="C72" i="135" s="1"/>
  <c r="I71" i="106"/>
  <c r="I71" i="135" s="1"/>
  <c r="F71" i="106"/>
  <c r="F71" i="135" s="1"/>
  <c r="C71" i="106"/>
  <c r="C71" i="135" s="1"/>
  <c r="I70" i="106"/>
  <c r="I70" i="135" s="1"/>
  <c r="F70" i="106"/>
  <c r="F70" i="135" s="1"/>
  <c r="C70" i="106"/>
  <c r="C70" i="135" s="1"/>
  <c r="I69" i="106"/>
  <c r="I69" i="135" s="1"/>
  <c r="F69" i="106"/>
  <c r="F69" i="135" s="1"/>
  <c r="C69" i="106"/>
  <c r="C69" i="135" s="1"/>
  <c r="J68" i="106"/>
  <c r="G68"/>
  <c r="D68"/>
  <c r="I651"/>
  <c r="I651" i="135" s="1"/>
  <c r="F651" i="106"/>
  <c r="F651" i="135" s="1"/>
  <c r="C651" i="106"/>
  <c r="C651" i="135" s="1"/>
  <c r="I650" i="106"/>
  <c r="I650" i="135" s="1"/>
  <c r="F650" i="106"/>
  <c r="F650" i="135" s="1"/>
  <c r="C650" i="106"/>
  <c r="C650" i="135" s="1"/>
  <c r="I649" i="106"/>
  <c r="I649" i="135" s="1"/>
  <c r="F649" i="106"/>
  <c r="F649" i="135" s="1"/>
  <c r="C649" i="106"/>
  <c r="C649" i="135" s="1"/>
  <c r="I648" i="106"/>
  <c r="I648" i="135" s="1"/>
  <c r="F648" i="106"/>
  <c r="F648" i="135" s="1"/>
  <c r="C648" i="106"/>
  <c r="C648" i="135" s="1"/>
  <c r="I647" i="106"/>
  <c r="I647" i="135" s="1"/>
  <c r="F647" i="106"/>
  <c r="F647" i="135" s="1"/>
  <c r="C647" i="106"/>
  <c r="C647" i="135" s="1"/>
  <c r="I646" i="106"/>
  <c r="I646" i="135" s="1"/>
  <c r="F646" i="106"/>
  <c r="F646" i="135" s="1"/>
  <c r="C646" i="106"/>
  <c r="C646" i="135" s="1"/>
  <c r="I645" i="106"/>
  <c r="I645" i="135" s="1"/>
  <c r="F645" i="106"/>
  <c r="F645" i="135" s="1"/>
  <c r="C645" i="106"/>
  <c r="C645" i="135" s="1"/>
  <c r="I644" i="106"/>
  <c r="I644" i="135" s="1"/>
  <c r="F644" i="106"/>
  <c r="F644" i="135" s="1"/>
  <c r="C644" i="106"/>
  <c r="C644" i="135" s="1"/>
  <c r="I643" i="106"/>
  <c r="I643" i="135" s="1"/>
  <c r="F643" i="106"/>
  <c r="F643" i="135" s="1"/>
  <c r="C643" i="106"/>
  <c r="C643" i="135" s="1"/>
  <c r="J642" i="106"/>
  <c r="G642"/>
  <c r="D642"/>
  <c r="J651"/>
  <c r="J651" i="135" s="1"/>
  <c r="G651" i="106"/>
  <c r="G651" i="135" s="1"/>
  <c r="D651" i="106"/>
  <c r="D651" i="135" s="1"/>
  <c r="J650" i="106"/>
  <c r="J650" i="135" s="1"/>
  <c r="G650" i="106"/>
  <c r="G650" i="135" s="1"/>
  <c r="D650" i="106"/>
  <c r="D650" i="135" s="1"/>
  <c r="J649" i="106"/>
  <c r="J649" i="135" s="1"/>
  <c r="G649" i="106"/>
  <c r="G649" i="135" s="1"/>
  <c r="D649" i="106"/>
  <c r="D649" i="135" s="1"/>
  <c r="J648" i="106"/>
  <c r="J648" i="135" s="1"/>
  <c r="G648" i="106"/>
  <c r="G648" i="135" s="1"/>
  <c r="D648" i="106"/>
  <c r="D648" i="135" s="1"/>
  <c r="J647" i="106"/>
  <c r="J647" i="135" s="1"/>
  <c r="G647" i="106"/>
  <c r="G647" i="135" s="1"/>
  <c r="D647" i="106"/>
  <c r="D647" i="135" s="1"/>
  <c r="J646" i="106"/>
  <c r="J646" i="135" s="1"/>
  <c r="G646" i="106"/>
  <c r="G646" i="135" s="1"/>
  <c r="D646" i="106"/>
  <c r="D646" i="135" s="1"/>
  <c r="J645" i="106"/>
  <c r="J645" i="135" s="1"/>
  <c r="G645" i="106"/>
  <c r="G645" i="135" s="1"/>
  <c r="D645" i="106"/>
  <c r="D645" i="135" s="1"/>
  <c r="J644" i="106"/>
  <c r="J644" i="135" s="1"/>
  <c r="G644" i="106"/>
  <c r="G644" i="135" s="1"/>
  <c r="D644" i="106"/>
  <c r="D644" i="135" s="1"/>
  <c r="J643" i="106"/>
  <c r="J643" i="135" s="1"/>
  <c r="G643" i="106"/>
  <c r="G643" i="135" s="1"/>
  <c r="D643" i="106"/>
  <c r="D643" i="135" s="1"/>
  <c r="K642" i="106"/>
  <c r="H642"/>
  <c r="E642"/>
  <c r="K651"/>
  <c r="K651" i="135" s="1"/>
  <c r="H651" i="106"/>
  <c r="H651" i="135" s="1"/>
  <c r="E651" i="106"/>
  <c r="E651" i="135" s="1"/>
  <c r="K650" i="106"/>
  <c r="K650" i="135" s="1"/>
  <c r="H650" i="106"/>
  <c r="H650" i="135" s="1"/>
  <c r="E650" i="106"/>
  <c r="E650" i="135" s="1"/>
  <c r="K649" i="106"/>
  <c r="K649" i="135" s="1"/>
  <c r="H649" i="106"/>
  <c r="H649" i="135" s="1"/>
  <c r="E649" i="106"/>
  <c r="E649" i="135" s="1"/>
  <c r="K648" i="106"/>
  <c r="K648" i="135" s="1"/>
  <c r="H648" i="106"/>
  <c r="H648" i="135" s="1"/>
  <c r="E648" i="106"/>
  <c r="E648" i="135" s="1"/>
  <c r="K647" i="106"/>
  <c r="K647" i="135" s="1"/>
  <c r="H647" i="106"/>
  <c r="H647" i="135" s="1"/>
  <c r="E647" i="106"/>
  <c r="E647" i="135" s="1"/>
  <c r="K646" i="106"/>
  <c r="K646" i="135" s="1"/>
  <c r="H646" i="106"/>
  <c r="H646" i="135" s="1"/>
  <c r="E646" i="106"/>
  <c r="E646" i="135" s="1"/>
  <c r="K645" i="106"/>
  <c r="K645" i="135" s="1"/>
  <c r="H645" i="106"/>
  <c r="H645" i="135" s="1"/>
  <c r="E645" i="106"/>
  <c r="E645" i="135" s="1"/>
  <c r="K644" i="106"/>
  <c r="K644" i="135" s="1"/>
  <c r="H644" i="106"/>
  <c r="H644" i="135" s="1"/>
  <c r="E644" i="106"/>
  <c r="E644" i="135" s="1"/>
  <c r="K643" i="106"/>
  <c r="K643" i="135" s="1"/>
  <c r="H643" i="106"/>
  <c r="H643" i="135" s="1"/>
  <c r="E643" i="106"/>
  <c r="E643" i="135" s="1"/>
  <c r="I642" i="106"/>
  <c r="F642"/>
  <c r="C642"/>
  <c r="C642" i="135" s="1"/>
  <c r="K519" i="106"/>
  <c r="K519" i="135" s="1"/>
  <c r="H519" i="106"/>
  <c r="H519" i="135" s="1"/>
  <c r="E519" i="106"/>
  <c r="E519" i="135" s="1"/>
  <c r="K518" i="106"/>
  <c r="K518" i="135" s="1"/>
  <c r="H518" i="106"/>
  <c r="H518" i="135" s="1"/>
  <c r="E518" i="106"/>
  <c r="E518" i="135" s="1"/>
  <c r="K517" i="106"/>
  <c r="K517" i="135" s="1"/>
  <c r="H517" i="106"/>
  <c r="H517" i="135" s="1"/>
  <c r="E517" i="106"/>
  <c r="E517" i="135" s="1"/>
  <c r="K516" i="106"/>
  <c r="K516" i="135" s="1"/>
  <c r="H516" i="106"/>
  <c r="H516" i="135" s="1"/>
  <c r="E516" i="106"/>
  <c r="E516" i="135" s="1"/>
  <c r="K515" i="106"/>
  <c r="K515" i="135" s="1"/>
  <c r="H515" i="106"/>
  <c r="H515" i="135" s="1"/>
  <c r="E515" i="106"/>
  <c r="E515" i="135" s="1"/>
  <c r="K514" i="106"/>
  <c r="K514" i="135" s="1"/>
  <c r="H514" i="106"/>
  <c r="H514" i="135" s="1"/>
  <c r="E514" i="106"/>
  <c r="E514" i="135" s="1"/>
  <c r="K513" i="106"/>
  <c r="K513" i="135" s="1"/>
  <c r="H513" i="106"/>
  <c r="H513" i="135" s="1"/>
  <c r="E513" i="106"/>
  <c r="E513" i="135" s="1"/>
  <c r="K512" i="106"/>
  <c r="K512" i="135" s="1"/>
  <c r="H512" i="106"/>
  <c r="H512" i="135" s="1"/>
  <c r="E512" i="106"/>
  <c r="E512" i="135" s="1"/>
  <c r="K511" i="106"/>
  <c r="K511" i="135" s="1"/>
  <c r="H511" i="106"/>
  <c r="H511" i="135" s="1"/>
  <c r="E511" i="106"/>
  <c r="E511" i="135" s="1"/>
  <c r="I510" i="106"/>
  <c r="F510"/>
  <c r="C510"/>
  <c r="C510" i="135" s="1"/>
  <c r="I519" i="106"/>
  <c r="I519" i="135" s="1"/>
  <c r="F519" i="106"/>
  <c r="F519" i="135" s="1"/>
  <c r="C519" i="106"/>
  <c r="C519" i="135" s="1"/>
  <c r="I518" i="106"/>
  <c r="I518" i="135" s="1"/>
  <c r="F518" i="106"/>
  <c r="F518" i="135" s="1"/>
  <c r="C518" i="106"/>
  <c r="C518" i="135" s="1"/>
  <c r="I517" i="106"/>
  <c r="I517" i="135" s="1"/>
  <c r="F517" i="106"/>
  <c r="F517" i="135" s="1"/>
  <c r="C517" i="106"/>
  <c r="C517" i="135" s="1"/>
  <c r="I516" i="106"/>
  <c r="I516" i="135" s="1"/>
  <c r="F516" i="106"/>
  <c r="F516" i="135" s="1"/>
  <c r="C516" i="106"/>
  <c r="C516" i="135" s="1"/>
  <c r="I515" i="106"/>
  <c r="I515" i="135" s="1"/>
  <c r="F515" i="106"/>
  <c r="F515" i="135" s="1"/>
  <c r="C515" i="106"/>
  <c r="C515" i="135" s="1"/>
  <c r="I514" i="106"/>
  <c r="I514" i="135" s="1"/>
  <c r="F514" i="106"/>
  <c r="F514" i="135" s="1"/>
  <c r="C514" i="106"/>
  <c r="C514" i="135" s="1"/>
  <c r="I513" i="106"/>
  <c r="I513" i="135" s="1"/>
  <c r="F513" i="106"/>
  <c r="F513" i="135" s="1"/>
  <c r="C513" i="106"/>
  <c r="C513" i="135" s="1"/>
  <c r="I512" i="106"/>
  <c r="I512" i="135" s="1"/>
  <c r="F512" i="106"/>
  <c r="F512" i="135" s="1"/>
  <c r="C512" i="106"/>
  <c r="C512" i="135" s="1"/>
  <c r="I511" i="106"/>
  <c r="I511" i="135" s="1"/>
  <c r="F511" i="106"/>
  <c r="F511" i="135" s="1"/>
  <c r="C511" i="106"/>
  <c r="C511" i="135" s="1"/>
  <c r="J510" i="106"/>
  <c r="G510"/>
  <c r="D510"/>
  <c r="J519"/>
  <c r="J519" i="135" s="1"/>
  <c r="G519" i="106"/>
  <c r="G519" i="135" s="1"/>
  <c r="D519" i="106"/>
  <c r="D519" i="135" s="1"/>
  <c r="J518" i="106"/>
  <c r="J518" i="135" s="1"/>
  <c r="G518" i="106"/>
  <c r="G518" i="135" s="1"/>
  <c r="D518" i="106"/>
  <c r="D518" i="135" s="1"/>
  <c r="J517" i="106"/>
  <c r="J517" i="135" s="1"/>
  <c r="G517" i="106"/>
  <c r="G517" i="135" s="1"/>
  <c r="D517" i="106"/>
  <c r="D517" i="135" s="1"/>
  <c r="J516" i="106"/>
  <c r="J516" i="135" s="1"/>
  <c r="G516" i="106"/>
  <c r="G516" i="135" s="1"/>
  <c r="D516" i="106"/>
  <c r="D516" i="135" s="1"/>
  <c r="J515" i="106"/>
  <c r="J515" i="135" s="1"/>
  <c r="G515" i="106"/>
  <c r="G515" i="135" s="1"/>
  <c r="D515" i="106"/>
  <c r="D515" i="135" s="1"/>
  <c r="J514" i="106"/>
  <c r="J514" i="135" s="1"/>
  <c r="G514" i="106"/>
  <c r="G514" i="135" s="1"/>
  <c r="D514" i="106"/>
  <c r="D514" i="135" s="1"/>
  <c r="J513" i="106"/>
  <c r="J513" i="135" s="1"/>
  <c r="G513" i="106"/>
  <c r="G513" i="135" s="1"/>
  <c r="D513" i="106"/>
  <c r="D513" i="135" s="1"/>
  <c r="J512" i="106"/>
  <c r="J512" i="135" s="1"/>
  <c r="G512" i="106"/>
  <c r="G512" i="135" s="1"/>
  <c r="D512" i="106"/>
  <c r="D512" i="135" s="1"/>
  <c r="J511" i="106"/>
  <c r="J511" i="135" s="1"/>
  <c r="G511" i="106"/>
  <c r="G511" i="135" s="1"/>
  <c r="D511" i="106"/>
  <c r="D511" i="135" s="1"/>
  <c r="K510" i="106"/>
  <c r="H510"/>
  <c r="E510"/>
  <c r="I410"/>
  <c r="I410" i="135" s="1"/>
  <c r="F410" i="106"/>
  <c r="F410" i="135" s="1"/>
  <c r="C410" i="106"/>
  <c r="C410" i="135" s="1"/>
  <c r="I409" i="106"/>
  <c r="I409" i="135" s="1"/>
  <c r="F409" i="106"/>
  <c r="F409" i="135" s="1"/>
  <c r="C409" i="106"/>
  <c r="C409" i="135" s="1"/>
  <c r="I408" i="106"/>
  <c r="I408" i="135" s="1"/>
  <c r="F408" i="106"/>
  <c r="F408" i="135" s="1"/>
  <c r="C408" i="106"/>
  <c r="C408" i="135" s="1"/>
  <c r="I407" i="106"/>
  <c r="I407" i="135" s="1"/>
  <c r="F407" i="106"/>
  <c r="F407" i="135" s="1"/>
  <c r="C407" i="106"/>
  <c r="C407" i="135" s="1"/>
  <c r="I406" i="106"/>
  <c r="I406" i="135" s="1"/>
  <c r="F406" i="106"/>
  <c r="F406" i="135" s="1"/>
  <c r="C406" i="106"/>
  <c r="C406" i="135" s="1"/>
  <c r="I405" i="106"/>
  <c r="I405" i="135" s="1"/>
  <c r="F405" i="106"/>
  <c r="F405" i="135" s="1"/>
  <c r="C405" i="106"/>
  <c r="C405" i="135" s="1"/>
  <c r="I404" i="106"/>
  <c r="I404" i="135" s="1"/>
  <c r="F404" i="106"/>
  <c r="F404" i="135" s="1"/>
  <c r="C404" i="106"/>
  <c r="C404" i="135" s="1"/>
  <c r="I403" i="106"/>
  <c r="I403" i="135" s="1"/>
  <c r="F403" i="106"/>
  <c r="F403" i="135" s="1"/>
  <c r="C403" i="106"/>
  <c r="C403" i="135" s="1"/>
  <c r="I402" i="106"/>
  <c r="I402" i="135" s="1"/>
  <c r="F402" i="106"/>
  <c r="F402" i="135" s="1"/>
  <c r="C402" i="106"/>
  <c r="C402" i="135" s="1"/>
  <c r="J401" i="106"/>
  <c r="G401"/>
  <c r="D401"/>
  <c r="J410"/>
  <c r="J410" i="135" s="1"/>
  <c r="G410" i="106"/>
  <c r="G410" i="135" s="1"/>
  <c r="D410" i="106"/>
  <c r="D410" i="135" s="1"/>
  <c r="J409" i="106"/>
  <c r="J409" i="135" s="1"/>
  <c r="G409" i="106"/>
  <c r="G409" i="135" s="1"/>
  <c r="D409" i="106"/>
  <c r="D409" i="135" s="1"/>
  <c r="J408" i="106"/>
  <c r="J408" i="135" s="1"/>
  <c r="G408" i="106"/>
  <c r="G408" i="135" s="1"/>
  <c r="D408" i="106"/>
  <c r="D408" i="135" s="1"/>
  <c r="J407" i="106"/>
  <c r="J407" i="135" s="1"/>
  <c r="G407" i="106"/>
  <c r="G407" i="135" s="1"/>
  <c r="D407" i="106"/>
  <c r="D407" i="135" s="1"/>
  <c r="J406" i="106"/>
  <c r="J406" i="135" s="1"/>
  <c r="G406" i="106"/>
  <c r="G406" i="135" s="1"/>
  <c r="D406" i="106"/>
  <c r="D406" i="135" s="1"/>
  <c r="J405" i="106"/>
  <c r="J405" i="135" s="1"/>
  <c r="G405" i="106"/>
  <c r="G405" i="135" s="1"/>
  <c r="D405" i="106"/>
  <c r="D405" i="135" s="1"/>
  <c r="J404" i="106"/>
  <c r="J404" i="135" s="1"/>
  <c r="G404" i="106"/>
  <c r="G404" i="135" s="1"/>
  <c r="D404" i="106"/>
  <c r="D404" i="135" s="1"/>
  <c r="J403" i="106"/>
  <c r="J403" i="135" s="1"/>
  <c r="G403" i="106"/>
  <c r="G403" i="135" s="1"/>
  <c r="D403" i="106"/>
  <c r="D403" i="135" s="1"/>
  <c r="J402" i="106"/>
  <c r="J402" i="135" s="1"/>
  <c r="G402" i="106"/>
  <c r="G402" i="135" s="1"/>
  <c r="D402" i="106"/>
  <c r="D402" i="135" s="1"/>
  <c r="K401" i="106"/>
  <c r="H401"/>
  <c r="E401"/>
  <c r="K410"/>
  <c r="K410" i="135" s="1"/>
  <c r="H410" i="106"/>
  <c r="H410" i="135" s="1"/>
  <c r="E410" i="106"/>
  <c r="E410" i="135" s="1"/>
  <c r="K409" i="106"/>
  <c r="K409" i="135" s="1"/>
  <c r="H409" i="106"/>
  <c r="H409" i="135" s="1"/>
  <c r="E409" i="106"/>
  <c r="E409" i="135" s="1"/>
  <c r="K408" i="106"/>
  <c r="K408" i="135" s="1"/>
  <c r="H408" i="106"/>
  <c r="H408" i="135" s="1"/>
  <c r="E408" i="106"/>
  <c r="E408" i="135" s="1"/>
  <c r="K407" i="106"/>
  <c r="K407" i="135" s="1"/>
  <c r="H407" i="106"/>
  <c r="H407" i="135" s="1"/>
  <c r="E407" i="106"/>
  <c r="E407" i="135" s="1"/>
  <c r="K406" i="106"/>
  <c r="K406" i="135" s="1"/>
  <c r="H406" i="106"/>
  <c r="H406" i="135" s="1"/>
  <c r="E406" i="106"/>
  <c r="E406" i="135" s="1"/>
  <c r="K405" i="106"/>
  <c r="K405" i="135" s="1"/>
  <c r="H405" i="106"/>
  <c r="H405" i="135" s="1"/>
  <c r="E405" i="106"/>
  <c r="E405" i="135" s="1"/>
  <c r="K404" i="106"/>
  <c r="K404" i="135" s="1"/>
  <c r="H404" i="106"/>
  <c r="H404" i="135" s="1"/>
  <c r="E404" i="106"/>
  <c r="E404" i="135" s="1"/>
  <c r="K403" i="106"/>
  <c r="K403" i="135" s="1"/>
  <c r="H403" i="106"/>
  <c r="H403" i="135" s="1"/>
  <c r="E403" i="106"/>
  <c r="E403" i="135" s="1"/>
  <c r="K402" i="106"/>
  <c r="K402" i="135" s="1"/>
  <c r="H402" i="106"/>
  <c r="H402" i="135" s="1"/>
  <c r="E402" i="106"/>
  <c r="E402" i="135" s="1"/>
  <c r="I401" i="106"/>
  <c r="F401"/>
  <c r="C401"/>
  <c r="C401" i="135" s="1"/>
  <c r="I336" i="106"/>
  <c r="I336" i="135" s="1"/>
  <c r="F336" i="106"/>
  <c r="F336" i="135" s="1"/>
  <c r="C336" i="106"/>
  <c r="C336" i="135" s="1"/>
  <c r="I335" i="106"/>
  <c r="I335" i="135" s="1"/>
  <c r="F335" i="106"/>
  <c r="F335" i="135" s="1"/>
  <c r="C335" i="106"/>
  <c r="C335" i="135" s="1"/>
  <c r="I334" i="106"/>
  <c r="I334" i="135" s="1"/>
  <c r="F334" i="106"/>
  <c r="F334" i="135" s="1"/>
  <c r="C334" i="106"/>
  <c r="C334" i="135" s="1"/>
  <c r="I333" i="106"/>
  <c r="I333" i="135" s="1"/>
  <c r="F333" i="106"/>
  <c r="F333" i="135" s="1"/>
  <c r="C333" i="106"/>
  <c r="C333" i="135" s="1"/>
  <c r="I332" i="106"/>
  <c r="I332" i="135" s="1"/>
  <c r="F332" i="106"/>
  <c r="F332" i="135" s="1"/>
  <c r="C332" i="106"/>
  <c r="C332" i="135" s="1"/>
  <c r="I331" i="106"/>
  <c r="I331" i="135" s="1"/>
  <c r="F331" i="106"/>
  <c r="F331" i="135" s="1"/>
  <c r="C331" i="106"/>
  <c r="C331" i="135" s="1"/>
  <c r="I330" i="106"/>
  <c r="I330" i="135" s="1"/>
  <c r="F330" i="106"/>
  <c r="F330" i="135" s="1"/>
  <c r="C330" i="106"/>
  <c r="C330" i="135" s="1"/>
  <c r="I329" i="106"/>
  <c r="I329" i="135" s="1"/>
  <c r="F329" i="106"/>
  <c r="F329" i="135" s="1"/>
  <c r="C329" i="106"/>
  <c r="C329" i="135" s="1"/>
  <c r="I328" i="106"/>
  <c r="I328" i="135" s="1"/>
  <c r="F328" i="106"/>
  <c r="F328" i="135" s="1"/>
  <c r="C328" i="106"/>
  <c r="C328" i="135" s="1"/>
  <c r="J327" i="106"/>
  <c r="G327"/>
  <c r="D327"/>
  <c r="H336"/>
  <c r="H336" i="135" s="1"/>
  <c r="D336" i="106"/>
  <c r="D336" i="135" s="1"/>
  <c r="K335" i="106"/>
  <c r="K335" i="135" s="1"/>
  <c r="G335" i="106"/>
  <c r="G335" i="135" s="1"/>
  <c r="J334" i="106"/>
  <c r="J334" i="135" s="1"/>
  <c r="E334" i="106"/>
  <c r="E334" i="135" s="1"/>
  <c r="H333" i="106"/>
  <c r="H333" i="135" s="1"/>
  <c r="D333" i="106"/>
  <c r="D333" i="135" s="1"/>
  <c r="K332" i="106"/>
  <c r="K332" i="135" s="1"/>
  <c r="G332" i="106"/>
  <c r="G332" i="135" s="1"/>
  <c r="J331" i="106"/>
  <c r="J331" i="135" s="1"/>
  <c r="E331" i="106"/>
  <c r="E331" i="135" s="1"/>
  <c r="H330" i="106"/>
  <c r="H330" i="135" s="1"/>
  <c r="D330" i="106"/>
  <c r="D330" i="135" s="1"/>
  <c r="K329" i="106"/>
  <c r="K329" i="135" s="1"/>
  <c r="G329" i="106"/>
  <c r="G329" i="135" s="1"/>
  <c r="J328" i="106"/>
  <c r="J328" i="135" s="1"/>
  <c r="E328" i="106"/>
  <c r="E328" i="135" s="1"/>
  <c r="I327" i="106"/>
  <c r="E327"/>
  <c r="J336"/>
  <c r="J336" i="135" s="1"/>
  <c r="E336" i="106"/>
  <c r="E336" i="135" s="1"/>
  <c r="H335" i="106"/>
  <c r="H335" i="135" s="1"/>
  <c r="D335" i="106"/>
  <c r="D335" i="135" s="1"/>
  <c r="K334" i="106"/>
  <c r="K334" i="135" s="1"/>
  <c r="G334" i="106"/>
  <c r="G334" i="135" s="1"/>
  <c r="J333" i="106"/>
  <c r="J333" i="135" s="1"/>
  <c r="E333" i="106"/>
  <c r="E333" i="135" s="1"/>
  <c r="H332" i="106"/>
  <c r="H332" i="135" s="1"/>
  <c r="D332" i="106"/>
  <c r="D332" i="135" s="1"/>
  <c r="K331" i="106"/>
  <c r="K331" i="135" s="1"/>
  <c r="G331" i="106"/>
  <c r="G331" i="135" s="1"/>
  <c r="J330" i="106"/>
  <c r="J330" i="135" s="1"/>
  <c r="E330" i="106"/>
  <c r="E330" i="135" s="1"/>
  <c r="H329" i="106"/>
  <c r="H329" i="135" s="1"/>
  <c r="D329" i="106"/>
  <c r="D329" i="135" s="1"/>
  <c r="K328" i="106"/>
  <c r="K328" i="135" s="1"/>
  <c r="G328" i="106"/>
  <c r="G328" i="135" s="1"/>
  <c r="K327" i="106"/>
  <c r="F327"/>
  <c r="K336"/>
  <c r="K336" i="135" s="1"/>
  <c r="G336" i="106"/>
  <c r="G336" i="135" s="1"/>
  <c r="J335" i="106"/>
  <c r="J335" i="135" s="1"/>
  <c r="E335" i="106"/>
  <c r="E335" i="135" s="1"/>
  <c r="H334" i="106"/>
  <c r="H334" i="135" s="1"/>
  <c r="D334" i="106"/>
  <c r="D334" i="135" s="1"/>
  <c r="K333" i="106"/>
  <c r="K333" i="135" s="1"/>
  <c r="G333" i="106"/>
  <c r="G333" i="135" s="1"/>
  <c r="J332" i="106"/>
  <c r="J332" i="135" s="1"/>
  <c r="E332" i="106"/>
  <c r="E332" i="135" s="1"/>
  <c r="H331" i="106"/>
  <c r="H331" i="135" s="1"/>
  <c r="D331" i="106"/>
  <c r="D331" i="135" s="1"/>
  <c r="K330" i="106"/>
  <c r="K330" i="135" s="1"/>
  <c r="G330" i="106"/>
  <c r="G330" i="135" s="1"/>
  <c r="J329" i="106"/>
  <c r="J329" i="135" s="1"/>
  <c r="E329" i="106"/>
  <c r="E329" i="135" s="1"/>
  <c r="H328" i="106"/>
  <c r="H328" i="135" s="1"/>
  <c r="D328" i="106"/>
  <c r="D328" i="135" s="1"/>
  <c r="H327" i="106"/>
  <c r="C327"/>
  <c r="C327" i="135" s="1"/>
  <c r="J283" i="106"/>
  <c r="J283" i="135" s="1"/>
  <c r="G283" i="106"/>
  <c r="G283" i="135" s="1"/>
  <c r="D283" i="106"/>
  <c r="D283" i="135" s="1"/>
  <c r="J282" i="106"/>
  <c r="J282" i="135" s="1"/>
  <c r="G282" i="106"/>
  <c r="G282" i="135" s="1"/>
  <c r="D282" i="106"/>
  <c r="D282" i="135" s="1"/>
  <c r="J281" i="106"/>
  <c r="J281" i="135" s="1"/>
  <c r="G281" i="106"/>
  <c r="G281" i="135" s="1"/>
  <c r="D281" i="106"/>
  <c r="D281" i="135" s="1"/>
  <c r="J280" i="106"/>
  <c r="J280" i="135" s="1"/>
  <c r="G280" i="106"/>
  <c r="G280" i="135" s="1"/>
  <c r="D280" i="106"/>
  <c r="D280" i="135" s="1"/>
  <c r="J279" i="106"/>
  <c r="J279" i="135" s="1"/>
  <c r="G279" i="106"/>
  <c r="G279" i="135" s="1"/>
  <c r="D279" i="106"/>
  <c r="D279" i="135" s="1"/>
  <c r="J278" i="106"/>
  <c r="J278" i="135" s="1"/>
  <c r="G278" i="106"/>
  <c r="G278" i="135" s="1"/>
  <c r="D278" i="106"/>
  <c r="D278" i="135" s="1"/>
  <c r="J277" i="106"/>
  <c r="J277" i="135" s="1"/>
  <c r="G277" i="106"/>
  <c r="G277" i="135" s="1"/>
  <c r="D277" i="106"/>
  <c r="D277" i="135" s="1"/>
  <c r="J276" i="106"/>
  <c r="J276" i="135" s="1"/>
  <c r="G276" i="106"/>
  <c r="G276" i="135" s="1"/>
  <c r="D276" i="106"/>
  <c r="D276" i="135" s="1"/>
  <c r="J275" i="106"/>
  <c r="J275" i="135" s="1"/>
  <c r="G275" i="106"/>
  <c r="G275" i="135" s="1"/>
  <c r="D275" i="106"/>
  <c r="D275" i="135" s="1"/>
  <c r="K274" i="106"/>
  <c r="H274"/>
  <c r="E274"/>
  <c r="K283"/>
  <c r="K283" i="135" s="1"/>
  <c r="H283" i="106"/>
  <c r="H283" i="135" s="1"/>
  <c r="E283" i="106"/>
  <c r="E283" i="135" s="1"/>
  <c r="K282" i="106"/>
  <c r="K282" i="135" s="1"/>
  <c r="H282" i="106"/>
  <c r="H282" i="135" s="1"/>
  <c r="E282" i="106"/>
  <c r="E282" i="135" s="1"/>
  <c r="K281" i="106"/>
  <c r="K281" i="135" s="1"/>
  <c r="H281" i="106"/>
  <c r="H281" i="135" s="1"/>
  <c r="E281" i="106"/>
  <c r="E281" i="135" s="1"/>
  <c r="K280" i="106"/>
  <c r="K280" i="135" s="1"/>
  <c r="H280" i="106"/>
  <c r="H280" i="135" s="1"/>
  <c r="E280" i="106"/>
  <c r="E280" i="135" s="1"/>
  <c r="K279" i="106"/>
  <c r="K279" i="135" s="1"/>
  <c r="H279" i="106"/>
  <c r="H279" i="135" s="1"/>
  <c r="E279" i="106"/>
  <c r="E279" i="135" s="1"/>
  <c r="K278" i="106"/>
  <c r="K278" i="135" s="1"/>
  <c r="H278" i="106"/>
  <c r="H278" i="135" s="1"/>
  <c r="E278" i="106"/>
  <c r="E278" i="135" s="1"/>
  <c r="K277" i="106"/>
  <c r="K277" i="135" s="1"/>
  <c r="H277" i="106"/>
  <c r="H277" i="135" s="1"/>
  <c r="E277" i="106"/>
  <c r="E277" i="135" s="1"/>
  <c r="K276" i="106"/>
  <c r="K276" i="135" s="1"/>
  <c r="H276" i="106"/>
  <c r="H276" i="135" s="1"/>
  <c r="E276" i="106"/>
  <c r="E276" i="135" s="1"/>
  <c r="K275" i="106"/>
  <c r="K275" i="135" s="1"/>
  <c r="H275" i="106"/>
  <c r="H275" i="135" s="1"/>
  <c r="E275" i="106"/>
  <c r="E275" i="135" s="1"/>
  <c r="I274" i="106"/>
  <c r="F274"/>
  <c r="C274"/>
  <c r="C274" i="135" s="1"/>
  <c r="I283" i="106"/>
  <c r="I283" i="135" s="1"/>
  <c r="F283" i="106"/>
  <c r="F283" i="135" s="1"/>
  <c r="C283" i="106"/>
  <c r="C283" i="135" s="1"/>
  <c r="I282" i="106"/>
  <c r="I282" i="135" s="1"/>
  <c r="F282" i="106"/>
  <c r="F282" i="135" s="1"/>
  <c r="C282" i="106"/>
  <c r="C282" i="135" s="1"/>
  <c r="I281" i="106"/>
  <c r="I281" i="135" s="1"/>
  <c r="F281" i="106"/>
  <c r="F281" i="135" s="1"/>
  <c r="C281" i="106"/>
  <c r="C281" i="135" s="1"/>
  <c r="I280" i="106"/>
  <c r="I280" i="135" s="1"/>
  <c r="F280" i="106"/>
  <c r="F280" i="135" s="1"/>
  <c r="C280" i="106"/>
  <c r="C280" i="135" s="1"/>
  <c r="I279" i="106"/>
  <c r="I279" i="135" s="1"/>
  <c r="F279" i="106"/>
  <c r="F279" i="135" s="1"/>
  <c r="C279" i="106"/>
  <c r="C279" i="135" s="1"/>
  <c r="I278" i="106"/>
  <c r="I278" i="135" s="1"/>
  <c r="F278" i="106"/>
  <c r="F278" i="135" s="1"/>
  <c r="C278" i="106"/>
  <c r="C278" i="135" s="1"/>
  <c r="I277" i="106"/>
  <c r="I277" i="135" s="1"/>
  <c r="F277" i="106"/>
  <c r="F277" i="135" s="1"/>
  <c r="C277" i="106"/>
  <c r="C277" i="135" s="1"/>
  <c r="I276" i="106"/>
  <c r="I276" i="135" s="1"/>
  <c r="F276" i="106"/>
  <c r="F276" i="135" s="1"/>
  <c r="C276" i="106"/>
  <c r="C276" i="135" s="1"/>
  <c r="I275" i="106"/>
  <c r="I275" i="135" s="1"/>
  <c r="F275" i="106"/>
  <c r="F275" i="135" s="1"/>
  <c r="C275" i="106"/>
  <c r="C275" i="135" s="1"/>
  <c r="J274" i="106"/>
  <c r="G274"/>
  <c r="D274"/>
  <c r="I223"/>
  <c r="I223" i="135" s="1"/>
  <c r="F223" i="106"/>
  <c r="F223" i="135" s="1"/>
  <c r="C223" i="106"/>
  <c r="C223" i="135" s="1"/>
  <c r="I222" i="106"/>
  <c r="I222" i="135" s="1"/>
  <c r="F222" i="106"/>
  <c r="F222" i="135" s="1"/>
  <c r="C222" i="106"/>
  <c r="C222" i="135" s="1"/>
  <c r="I221" i="106"/>
  <c r="I221" i="135" s="1"/>
  <c r="F221" i="106"/>
  <c r="F221" i="135" s="1"/>
  <c r="C221" i="106"/>
  <c r="C221" i="135" s="1"/>
  <c r="I220" i="106"/>
  <c r="I220" i="135" s="1"/>
  <c r="F220" i="106"/>
  <c r="F220" i="135" s="1"/>
  <c r="C220" i="106"/>
  <c r="C220" i="135" s="1"/>
  <c r="I219" i="106"/>
  <c r="I219" i="135" s="1"/>
  <c r="F219" i="106"/>
  <c r="F219" i="135" s="1"/>
  <c r="C219" i="106"/>
  <c r="C219" i="135" s="1"/>
  <c r="I218" i="106"/>
  <c r="I218" i="135" s="1"/>
  <c r="F218" i="106"/>
  <c r="F218" i="135" s="1"/>
  <c r="C218" i="106"/>
  <c r="C218" i="135" s="1"/>
  <c r="I217" i="106"/>
  <c r="I217" i="135" s="1"/>
  <c r="F217" i="106"/>
  <c r="F217" i="135" s="1"/>
  <c r="C217" i="106"/>
  <c r="C217" i="135" s="1"/>
  <c r="I216" i="106"/>
  <c r="I216" i="135" s="1"/>
  <c r="F216" i="106"/>
  <c r="F216" i="135" s="1"/>
  <c r="C216" i="106"/>
  <c r="C216" i="135" s="1"/>
  <c r="I215" i="106"/>
  <c r="I215" i="135" s="1"/>
  <c r="F215" i="106"/>
  <c r="F215" i="135" s="1"/>
  <c r="C215" i="106"/>
  <c r="C215" i="135" s="1"/>
  <c r="J214" i="106"/>
  <c r="G214"/>
  <c r="D214"/>
  <c r="J223"/>
  <c r="J223" i="135" s="1"/>
  <c r="G223" i="106"/>
  <c r="G223" i="135" s="1"/>
  <c r="D223" i="106"/>
  <c r="D223" i="135" s="1"/>
  <c r="J222" i="106"/>
  <c r="J222" i="135" s="1"/>
  <c r="G222" i="106"/>
  <c r="G222" i="135" s="1"/>
  <c r="D222" i="106"/>
  <c r="D222" i="135" s="1"/>
  <c r="J221" i="106"/>
  <c r="J221" i="135" s="1"/>
  <c r="G221" i="106"/>
  <c r="G221" i="135" s="1"/>
  <c r="D221" i="106"/>
  <c r="D221" i="135" s="1"/>
  <c r="J220" i="106"/>
  <c r="J220" i="135" s="1"/>
  <c r="G220" i="106"/>
  <c r="G220" i="135" s="1"/>
  <c r="D220" i="106"/>
  <c r="D220" i="135" s="1"/>
  <c r="J219" i="106"/>
  <c r="J219" i="135" s="1"/>
  <c r="G219" i="106"/>
  <c r="G219" i="135" s="1"/>
  <c r="D219" i="106"/>
  <c r="D219" i="135" s="1"/>
  <c r="J218" i="106"/>
  <c r="J218" i="135" s="1"/>
  <c r="G218" i="106"/>
  <c r="G218" i="135" s="1"/>
  <c r="D218" i="106"/>
  <c r="D218" i="135" s="1"/>
  <c r="J217" i="106"/>
  <c r="J217" i="135" s="1"/>
  <c r="G217" i="106"/>
  <c r="G217" i="135" s="1"/>
  <c r="D217" i="106"/>
  <c r="D217" i="135" s="1"/>
  <c r="J216" i="106"/>
  <c r="J216" i="135" s="1"/>
  <c r="G216" i="106"/>
  <c r="G216" i="135" s="1"/>
  <c r="D216" i="106"/>
  <c r="D216" i="135" s="1"/>
  <c r="J215" i="106"/>
  <c r="J215" i="135" s="1"/>
  <c r="G215" i="106"/>
  <c r="G215" i="135" s="1"/>
  <c r="D215" i="106"/>
  <c r="D215" i="135" s="1"/>
  <c r="K214" i="106"/>
  <c r="H214"/>
  <c r="E214"/>
  <c r="K223"/>
  <c r="K223" i="135" s="1"/>
  <c r="H223" i="106"/>
  <c r="H223" i="135" s="1"/>
  <c r="E223" i="106"/>
  <c r="E223" i="135" s="1"/>
  <c r="K222" i="106"/>
  <c r="K222" i="135" s="1"/>
  <c r="H222" i="106"/>
  <c r="H222" i="135" s="1"/>
  <c r="E222" i="106"/>
  <c r="E222" i="135" s="1"/>
  <c r="K221" i="106"/>
  <c r="K221" i="135" s="1"/>
  <c r="H221" i="106"/>
  <c r="H221" i="135" s="1"/>
  <c r="E221" i="106"/>
  <c r="E221" i="135" s="1"/>
  <c r="K220" i="106"/>
  <c r="K220" i="135" s="1"/>
  <c r="H220" i="106"/>
  <c r="H220" i="135" s="1"/>
  <c r="E220" i="106"/>
  <c r="E220" i="135" s="1"/>
  <c r="K219" i="106"/>
  <c r="K219" i="135" s="1"/>
  <c r="H219" i="106"/>
  <c r="H219" i="135" s="1"/>
  <c r="E219" i="106"/>
  <c r="E219" i="135" s="1"/>
  <c r="K218" i="106"/>
  <c r="K218" i="135" s="1"/>
  <c r="H218" i="106"/>
  <c r="H218" i="135" s="1"/>
  <c r="E218" i="106"/>
  <c r="E218" i="135" s="1"/>
  <c r="K217" i="106"/>
  <c r="K217" i="135" s="1"/>
  <c r="H217" i="106"/>
  <c r="H217" i="135" s="1"/>
  <c r="E217" i="106"/>
  <c r="E217" i="135" s="1"/>
  <c r="K216" i="106"/>
  <c r="K216" i="135" s="1"/>
  <c r="H216" i="106"/>
  <c r="H216" i="135" s="1"/>
  <c r="E216" i="106"/>
  <c r="E216" i="135" s="1"/>
  <c r="K215" i="106"/>
  <c r="K215" i="135" s="1"/>
  <c r="H215" i="106"/>
  <c r="H215" i="135" s="1"/>
  <c r="E215" i="106"/>
  <c r="E215" i="135" s="1"/>
  <c r="I214" i="106"/>
  <c r="F214"/>
  <c r="C214"/>
  <c r="C214" i="135" s="1"/>
  <c r="K65" i="106"/>
  <c r="K65" i="135" s="1"/>
  <c r="H65" i="106"/>
  <c r="H65" i="135" s="1"/>
  <c r="E65" i="106"/>
  <c r="E65" i="135" s="1"/>
  <c r="K64" i="106"/>
  <c r="K64" i="135" s="1"/>
  <c r="H64" i="106"/>
  <c r="H64" i="135" s="1"/>
  <c r="E64" i="106"/>
  <c r="E64" i="135" s="1"/>
  <c r="K63" i="106"/>
  <c r="K63" i="135" s="1"/>
  <c r="H63" i="106"/>
  <c r="H63" i="135" s="1"/>
  <c r="E63" i="106"/>
  <c r="E63" i="135" s="1"/>
  <c r="K62" i="106"/>
  <c r="K62" i="135" s="1"/>
  <c r="H62" i="106"/>
  <c r="H62" i="135" s="1"/>
  <c r="E62" i="106"/>
  <c r="E62" i="135" s="1"/>
  <c r="K61" i="106"/>
  <c r="K61" i="135" s="1"/>
  <c r="H61" i="106"/>
  <c r="H61" i="135" s="1"/>
  <c r="E61" i="106"/>
  <c r="E61" i="135" s="1"/>
  <c r="K60" i="106"/>
  <c r="K60" i="135" s="1"/>
  <c r="H60" i="106"/>
  <c r="H60" i="135" s="1"/>
  <c r="E60" i="106"/>
  <c r="E60" i="135" s="1"/>
  <c r="K59" i="106"/>
  <c r="K59" i="135" s="1"/>
  <c r="H59" i="106"/>
  <c r="H59" i="135" s="1"/>
  <c r="E59" i="106"/>
  <c r="E59" i="135" s="1"/>
  <c r="K58" i="106"/>
  <c r="K58" i="135" s="1"/>
  <c r="H58" i="106"/>
  <c r="H58" i="135" s="1"/>
  <c r="E58" i="106"/>
  <c r="E58" i="135" s="1"/>
  <c r="K57" i="106"/>
  <c r="K57" i="135" s="1"/>
  <c r="H57" i="106"/>
  <c r="H57" i="135" s="1"/>
  <c r="E57" i="106"/>
  <c r="E57" i="135" s="1"/>
  <c r="I56" i="106"/>
  <c r="F56"/>
  <c r="C56"/>
  <c r="C56" i="135" s="1"/>
  <c r="I65" i="106"/>
  <c r="I65" i="135" s="1"/>
  <c r="F65" i="106"/>
  <c r="F65" i="135" s="1"/>
  <c r="C65" i="106"/>
  <c r="C65" i="135" s="1"/>
  <c r="I64" i="106"/>
  <c r="I64" i="135" s="1"/>
  <c r="F64" i="106"/>
  <c r="F64" i="135" s="1"/>
  <c r="C64" i="106"/>
  <c r="C64" i="135" s="1"/>
  <c r="I63" i="106"/>
  <c r="I63" i="135" s="1"/>
  <c r="F63" i="106"/>
  <c r="F63" i="135" s="1"/>
  <c r="C63" i="106"/>
  <c r="C63" i="135" s="1"/>
  <c r="I62" i="106"/>
  <c r="I62" i="135" s="1"/>
  <c r="F62" i="106"/>
  <c r="F62" i="135" s="1"/>
  <c r="C62" i="106"/>
  <c r="C62" i="135" s="1"/>
  <c r="I61" i="106"/>
  <c r="I61" i="135" s="1"/>
  <c r="F61" i="106"/>
  <c r="F61" i="135" s="1"/>
  <c r="C61" i="106"/>
  <c r="C61" i="135" s="1"/>
  <c r="I60" i="106"/>
  <c r="I60" i="135" s="1"/>
  <c r="F60" i="106"/>
  <c r="F60" i="135" s="1"/>
  <c r="C60" i="106"/>
  <c r="C60" i="135" s="1"/>
  <c r="I59" i="106"/>
  <c r="I59" i="135" s="1"/>
  <c r="F59" i="106"/>
  <c r="F59" i="135" s="1"/>
  <c r="C59" i="106"/>
  <c r="C59" i="135" s="1"/>
  <c r="I58" i="106"/>
  <c r="I58" i="135" s="1"/>
  <c r="F58" i="106"/>
  <c r="F58" i="135" s="1"/>
  <c r="C58" i="106"/>
  <c r="C58" i="135" s="1"/>
  <c r="I57" i="106"/>
  <c r="I57" i="135" s="1"/>
  <c r="F57" i="106"/>
  <c r="F57" i="135" s="1"/>
  <c r="C57" i="106"/>
  <c r="C57" i="135" s="1"/>
  <c r="J56" i="106"/>
  <c r="G56"/>
  <c r="D56"/>
  <c r="J65"/>
  <c r="J65" i="135" s="1"/>
  <c r="G65" i="106"/>
  <c r="G65" i="135" s="1"/>
  <c r="D65" i="106"/>
  <c r="D65" i="135" s="1"/>
  <c r="J64" i="106"/>
  <c r="J64" i="135" s="1"/>
  <c r="G64" i="106"/>
  <c r="G64" i="135" s="1"/>
  <c r="D64" i="106"/>
  <c r="D64" i="135" s="1"/>
  <c r="J63" i="106"/>
  <c r="J63" i="135" s="1"/>
  <c r="G63" i="106"/>
  <c r="G63" i="135" s="1"/>
  <c r="D63" i="106"/>
  <c r="D63" i="135" s="1"/>
  <c r="J62" i="106"/>
  <c r="J62" i="135" s="1"/>
  <c r="G62" i="106"/>
  <c r="G62" i="135" s="1"/>
  <c r="D62" i="106"/>
  <c r="D62" i="135" s="1"/>
  <c r="J61" i="106"/>
  <c r="J61" i="135" s="1"/>
  <c r="G61" i="106"/>
  <c r="G61" i="135" s="1"/>
  <c r="D61" i="106"/>
  <c r="D61" i="135" s="1"/>
  <c r="J60" i="106"/>
  <c r="J60" i="135" s="1"/>
  <c r="G60" i="106"/>
  <c r="G60" i="135" s="1"/>
  <c r="D60" i="106"/>
  <c r="D60" i="135" s="1"/>
  <c r="J59" i="106"/>
  <c r="J59" i="135" s="1"/>
  <c r="G59" i="106"/>
  <c r="G59" i="135" s="1"/>
  <c r="D59" i="106"/>
  <c r="D59" i="135" s="1"/>
  <c r="J58" i="106"/>
  <c r="J58" i="135" s="1"/>
  <c r="G58" i="106"/>
  <c r="G58" i="135" s="1"/>
  <c r="D58" i="106"/>
  <c r="D58" i="135" s="1"/>
  <c r="J57" i="106"/>
  <c r="J57" i="135" s="1"/>
  <c r="G57" i="106"/>
  <c r="G57" i="135" s="1"/>
  <c r="D57" i="106"/>
  <c r="D57" i="135" s="1"/>
  <c r="K56" i="106"/>
  <c r="H56"/>
  <c r="E56"/>
  <c r="I17"/>
  <c r="I17" i="135" s="1"/>
  <c r="F17" i="106"/>
  <c r="F17" i="135" s="1"/>
  <c r="C17" i="106"/>
  <c r="C17" i="135" s="1"/>
  <c r="I16" i="106"/>
  <c r="I16" i="135" s="1"/>
  <c r="F16" i="106"/>
  <c r="F16" i="135" s="1"/>
  <c r="C16" i="106"/>
  <c r="C16" i="135" s="1"/>
  <c r="I15" i="106"/>
  <c r="I15" i="135" s="1"/>
  <c r="F15" i="106"/>
  <c r="F15" i="135" s="1"/>
  <c r="C15" i="106"/>
  <c r="C15" i="135" s="1"/>
  <c r="I14" i="106"/>
  <c r="I14" i="135" s="1"/>
  <c r="F14" i="106"/>
  <c r="F14" i="135" s="1"/>
  <c r="C14" i="106"/>
  <c r="C14" i="135" s="1"/>
  <c r="I13" i="106"/>
  <c r="I13" i="135" s="1"/>
  <c r="F13" i="106"/>
  <c r="F13" i="135" s="1"/>
  <c r="C13" i="106"/>
  <c r="C13" i="135" s="1"/>
  <c r="I12" i="106"/>
  <c r="I12" i="135" s="1"/>
  <c r="F12" i="106"/>
  <c r="F12" i="135" s="1"/>
  <c r="C12" i="106"/>
  <c r="C12" i="135" s="1"/>
  <c r="I11" i="106"/>
  <c r="I11" i="135" s="1"/>
  <c r="F11" i="106"/>
  <c r="F11" i="135" s="1"/>
  <c r="C11" i="106"/>
  <c r="C11" i="135" s="1"/>
  <c r="I10" i="106"/>
  <c r="I10" i="135" s="1"/>
  <c r="F10" i="106"/>
  <c r="F10" i="135" s="1"/>
  <c r="C10" i="106"/>
  <c r="C10" i="135" s="1"/>
  <c r="I9" i="106"/>
  <c r="I9" i="135" s="1"/>
  <c r="F9" i="106"/>
  <c r="F9" i="135" s="1"/>
  <c r="C9" i="106"/>
  <c r="C9" i="135" s="1"/>
  <c r="J8" i="106"/>
  <c r="G8"/>
  <c r="D8"/>
  <c r="J17"/>
  <c r="J17" i="135" s="1"/>
  <c r="G17" i="106"/>
  <c r="G17" i="135" s="1"/>
  <c r="D17" i="106"/>
  <c r="D17" i="135" s="1"/>
  <c r="J16" i="106"/>
  <c r="J16" i="135" s="1"/>
  <c r="G16" i="106"/>
  <c r="G16" i="135" s="1"/>
  <c r="D16" i="106"/>
  <c r="D16" i="135" s="1"/>
  <c r="J15" i="106"/>
  <c r="J15" i="135" s="1"/>
  <c r="G15" i="106"/>
  <c r="G15" i="135" s="1"/>
  <c r="D15" i="106"/>
  <c r="D15" i="135" s="1"/>
  <c r="J14" i="106"/>
  <c r="J14" i="135" s="1"/>
  <c r="G14" i="106"/>
  <c r="G14" i="135" s="1"/>
  <c r="D14" i="106"/>
  <c r="D14" i="135" s="1"/>
  <c r="J13" i="106"/>
  <c r="J13" i="135" s="1"/>
  <c r="G13" i="106"/>
  <c r="G13" i="135" s="1"/>
  <c r="D13" i="106"/>
  <c r="D13" i="135" s="1"/>
  <c r="J12" i="106"/>
  <c r="J12" i="135" s="1"/>
  <c r="G12" i="106"/>
  <c r="G12" i="135" s="1"/>
  <c r="D12" i="106"/>
  <c r="D12" i="135" s="1"/>
  <c r="J11" i="106"/>
  <c r="J11" i="135" s="1"/>
  <c r="G11" i="106"/>
  <c r="G11" i="135" s="1"/>
  <c r="D11" i="106"/>
  <c r="D11" i="135" s="1"/>
  <c r="J10" i="106"/>
  <c r="J10" i="135" s="1"/>
  <c r="G10" i="106"/>
  <c r="G10" i="135" s="1"/>
  <c r="D10" i="106"/>
  <c r="D10" i="135" s="1"/>
  <c r="J9" i="106"/>
  <c r="J9" i="135" s="1"/>
  <c r="G9" i="106"/>
  <c r="G9" i="135" s="1"/>
  <c r="D9" i="106"/>
  <c r="K8"/>
  <c r="H8"/>
  <c r="E8"/>
  <c r="K17"/>
  <c r="K17" i="135" s="1"/>
  <c r="H17" i="106"/>
  <c r="H17" i="135" s="1"/>
  <c r="E17" i="106"/>
  <c r="E17" i="135" s="1"/>
  <c r="K16" i="106"/>
  <c r="K16" i="135" s="1"/>
  <c r="H16" i="106"/>
  <c r="H16" i="135" s="1"/>
  <c r="E16" i="106"/>
  <c r="E16" i="135" s="1"/>
  <c r="K15" i="106"/>
  <c r="K15" i="135" s="1"/>
  <c r="H15" i="106"/>
  <c r="H15" i="135" s="1"/>
  <c r="E15" i="106"/>
  <c r="E15" i="135" s="1"/>
  <c r="K14" i="106"/>
  <c r="K14" i="135" s="1"/>
  <c r="H14" i="106"/>
  <c r="H14" i="135" s="1"/>
  <c r="E14" i="106"/>
  <c r="E14" i="135" s="1"/>
  <c r="K13" i="106"/>
  <c r="K13" i="135" s="1"/>
  <c r="H13" i="106"/>
  <c r="H13" i="135" s="1"/>
  <c r="E13" i="106"/>
  <c r="E13" i="135" s="1"/>
  <c r="K12" i="106"/>
  <c r="K12" i="135" s="1"/>
  <c r="H12" i="106"/>
  <c r="H12" i="135" s="1"/>
  <c r="E12" i="106"/>
  <c r="E12" i="135" s="1"/>
  <c r="K11" i="106"/>
  <c r="K11" i="135" s="1"/>
  <c r="H11" i="106"/>
  <c r="H11" i="135" s="1"/>
  <c r="E11" i="106"/>
  <c r="E11" i="135" s="1"/>
  <c r="K10" i="106"/>
  <c r="K10" i="135" s="1"/>
  <c r="H10" i="106"/>
  <c r="H10" i="135" s="1"/>
  <c r="E10" i="106"/>
  <c r="E10" i="135" s="1"/>
  <c r="K9" i="106"/>
  <c r="K9" i="135" s="1"/>
  <c r="H9" i="106"/>
  <c r="H9" i="135" s="1"/>
  <c r="E9" i="106"/>
  <c r="E9" i="135" s="1"/>
  <c r="I8" i="106"/>
  <c r="F8"/>
  <c r="C8"/>
  <c r="C8" i="135" s="1"/>
  <c r="K739" i="106"/>
  <c r="K739" i="135" s="1"/>
  <c r="H739" i="106"/>
  <c r="H739" i="135" s="1"/>
  <c r="E739" i="106"/>
  <c r="E739" i="135" s="1"/>
  <c r="K738" i="106"/>
  <c r="K738" i="135" s="1"/>
  <c r="H738" i="106"/>
  <c r="H738" i="135" s="1"/>
  <c r="E738" i="106"/>
  <c r="E738" i="135" s="1"/>
  <c r="K737" i="106"/>
  <c r="K737" i="135" s="1"/>
  <c r="H737" i="106"/>
  <c r="H737" i="135" s="1"/>
  <c r="E737" i="106"/>
  <c r="E737" i="135" s="1"/>
  <c r="K736" i="106"/>
  <c r="K736" i="135" s="1"/>
  <c r="H736" i="106"/>
  <c r="H736" i="135" s="1"/>
  <c r="E736" i="106"/>
  <c r="E736" i="135" s="1"/>
  <c r="K735" i="106"/>
  <c r="K735" i="135" s="1"/>
  <c r="H735" i="106"/>
  <c r="H735" i="135" s="1"/>
  <c r="E735" i="106"/>
  <c r="E735" i="135" s="1"/>
  <c r="K734" i="106"/>
  <c r="K734" i="135" s="1"/>
  <c r="H734" i="106"/>
  <c r="H734" i="135" s="1"/>
  <c r="E734" i="106"/>
  <c r="E734" i="135" s="1"/>
  <c r="K733" i="106"/>
  <c r="K733" i="135" s="1"/>
  <c r="H733" i="106"/>
  <c r="H733" i="135" s="1"/>
  <c r="E733" i="106"/>
  <c r="E733" i="135" s="1"/>
  <c r="K732" i="106"/>
  <c r="K732" i="135" s="1"/>
  <c r="H732" i="106"/>
  <c r="H732" i="135" s="1"/>
  <c r="E732" i="106"/>
  <c r="E732" i="135" s="1"/>
  <c r="K731" i="106"/>
  <c r="K731" i="135" s="1"/>
  <c r="H731" i="106"/>
  <c r="H731" i="135" s="1"/>
  <c r="E731" i="106"/>
  <c r="E731" i="135" s="1"/>
  <c r="I730" i="106"/>
  <c r="J739"/>
  <c r="J739" i="135" s="1"/>
  <c r="G739" i="106"/>
  <c r="G739" i="135" s="1"/>
  <c r="D739" i="106"/>
  <c r="D739" i="135" s="1"/>
  <c r="J738" i="106"/>
  <c r="J738" i="135" s="1"/>
  <c r="G738" i="106"/>
  <c r="G738" i="135" s="1"/>
  <c r="D738" i="106"/>
  <c r="D738" i="135" s="1"/>
  <c r="J737" i="106"/>
  <c r="J737" i="135" s="1"/>
  <c r="G737" i="106"/>
  <c r="G737" i="135" s="1"/>
  <c r="D737" i="106"/>
  <c r="D737" i="135" s="1"/>
  <c r="J736" i="106"/>
  <c r="J736" i="135" s="1"/>
  <c r="G736" i="106"/>
  <c r="G736" i="135" s="1"/>
  <c r="D736" i="106"/>
  <c r="D736" i="135" s="1"/>
  <c r="J735" i="106"/>
  <c r="J735" i="135" s="1"/>
  <c r="G735" i="106"/>
  <c r="G735" i="135" s="1"/>
  <c r="D735" i="106"/>
  <c r="D735" i="135" s="1"/>
  <c r="F739" i="106"/>
  <c r="F739" i="135" s="1"/>
  <c r="I738" i="106"/>
  <c r="I738" i="135" s="1"/>
  <c r="C737" i="106"/>
  <c r="C737" i="135" s="1"/>
  <c r="F736" i="106"/>
  <c r="F736" i="135" s="1"/>
  <c r="I735" i="106"/>
  <c r="I735" i="135" s="1"/>
  <c r="I734" i="106"/>
  <c r="I734" i="135" s="1"/>
  <c r="D734" i="106"/>
  <c r="D734" i="135" s="1"/>
  <c r="G733" i="106"/>
  <c r="G733" i="135" s="1"/>
  <c r="C733" i="106"/>
  <c r="C733" i="135" s="1"/>
  <c r="J732" i="106"/>
  <c r="J732" i="135" s="1"/>
  <c r="F732" i="106"/>
  <c r="F732" i="135" s="1"/>
  <c r="I731" i="106"/>
  <c r="I731" i="135" s="1"/>
  <c r="D731" i="106"/>
  <c r="D731" i="135" s="1"/>
  <c r="H730" i="106"/>
  <c r="E730"/>
  <c r="I739"/>
  <c r="I739" i="135" s="1"/>
  <c r="C738" i="106"/>
  <c r="C738" i="135" s="1"/>
  <c r="F737" i="106"/>
  <c r="F737" i="135" s="1"/>
  <c r="I736" i="106"/>
  <c r="I736" i="135" s="1"/>
  <c r="C735" i="106"/>
  <c r="C735" i="135" s="1"/>
  <c r="J734" i="106"/>
  <c r="J734" i="135" s="1"/>
  <c r="F734" i="106"/>
  <c r="F734" i="135" s="1"/>
  <c r="I733" i="106"/>
  <c r="I733" i="135" s="1"/>
  <c r="D733" i="106"/>
  <c r="D733" i="135" s="1"/>
  <c r="G732" i="106"/>
  <c r="G732" i="135" s="1"/>
  <c r="C732" i="106"/>
  <c r="C732" i="135" s="1"/>
  <c r="J731" i="106"/>
  <c r="J731" i="135" s="1"/>
  <c r="F731" i="106"/>
  <c r="F731" i="135" s="1"/>
  <c r="J730" i="106"/>
  <c r="F730"/>
  <c r="C730"/>
  <c r="C730" i="135" s="1"/>
  <c r="C739" i="106"/>
  <c r="C739" i="135" s="1"/>
  <c r="F738" i="106"/>
  <c r="F738" i="135" s="1"/>
  <c r="I737" i="106"/>
  <c r="I737" i="135" s="1"/>
  <c r="C736" i="106"/>
  <c r="C736" i="135" s="1"/>
  <c r="F735" i="106"/>
  <c r="F735" i="135" s="1"/>
  <c r="G734" i="106"/>
  <c r="G734" i="135" s="1"/>
  <c r="C734" i="106"/>
  <c r="C734" i="135" s="1"/>
  <c r="J733" i="106"/>
  <c r="J733" i="135" s="1"/>
  <c r="F733" i="106"/>
  <c r="F733" i="135" s="1"/>
  <c r="I732" i="106"/>
  <c r="I732" i="135" s="1"/>
  <c r="D732" i="106"/>
  <c r="D732" i="135" s="1"/>
  <c r="G731" i="106"/>
  <c r="G731" i="135" s="1"/>
  <c r="C731" i="106"/>
  <c r="C731" i="135" s="1"/>
  <c r="K730" i="106"/>
  <c r="G730"/>
  <c r="D730"/>
  <c r="I42" i="104"/>
  <c r="L389" i="106" a="1"/>
  <c r="L484" a="1"/>
  <c r="E139" i="63"/>
  <c r="F59" i="104"/>
  <c r="F64"/>
  <c r="F147" s="1"/>
  <c r="S232" i="105"/>
  <c r="S233"/>
  <c r="G53" i="104"/>
  <c r="G53" i="63"/>
  <c r="F59"/>
  <c r="E209" i="67"/>
  <c r="S235" i="105"/>
  <c r="S234"/>
  <c r="D145" i="63"/>
  <c r="H48"/>
  <c r="S9" i="105"/>
  <c r="S13"/>
  <c r="R120" i="58"/>
  <c r="S12" i="105"/>
  <c r="S10"/>
  <c r="E208" i="32"/>
  <c r="F208"/>
  <c r="F70" i="71"/>
  <c r="F208" s="1"/>
  <c r="P268" i="105"/>
  <c r="G70" i="81"/>
  <c r="G208" s="1"/>
  <c r="Q341" i="105"/>
  <c r="H70" i="84"/>
  <c r="H208" s="1"/>
  <c r="R368" i="105"/>
  <c r="F70" i="80"/>
  <c r="F208" s="1"/>
  <c r="P424" i="105"/>
  <c r="F70" i="39"/>
  <c r="F208" s="1"/>
  <c r="P26" i="105"/>
  <c r="F70" i="45"/>
  <c r="F208" s="1"/>
  <c r="P80" i="105"/>
  <c r="F70" i="60"/>
  <c r="F208" s="1"/>
  <c r="P217" i="105"/>
  <c r="O560"/>
  <c r="C106" i="7"/>
  <c r="C108" i="130" s="1"/>
  <c r="B108" i="105"/>
  <c r="F70" i="78"/>
  <c r="F208" s="1"/>
  <c r="P332" i="105"/>
  <c r="G70" i="88"/>
  <c r="G208" s="1"/>
  <c r="Q406" i="105"/>
  <c r="F70" i="91"/>
  <c r="F208" s="1"/>
  <c r="P451" i="105"/>
  <c r="F70" i="93"/>
  <c r="F208" s="1"/>
  <c r="P469" i="105"/>
  <c r="F70" i="47"/>
  <c r="F208" s="1"/>
  <c r="P100" i="105"/>
  <c r="G70" i="57"/>
  <c r="G208" s="1"/>
  <c r="Q190" i="105"/>
  <c r="O522"/>
  <c r="O293"/>
  <c r="P14"/>
  <c r="O274"/>
  <c r="O284" s="1"/>
  <c r="O237"/>
  <c r="N265"/>
  <c r="C327" i="7"/>
  <c r="C331" i="130" s="1"/>
  <c r="B331" i="105"/>
  <c r="F70" i="74"/>
  <c r="F208" s="1"/>
  <c r="P296" i="105"/>
  <c r="G70" i="76"/>
  <c r="G208" s="1"/>
  <c r="Q314" i="105"/>
  <c r="F70" i="98"/>
  <c r="F208" s="1"/>
  <c r="P516" i="105"/>
  <c r="F70" i="102"/>
  <c r="F208" s="1"/>
  <c r="P554" i="105"/>
  <c r="F70" i="109"/>
  <c r="F208" s="1"/>
  <c r="P572" i="105"/>
  <c r="G70" i="128"/>
  <c r="G208" s="1"/>
  <c r="Q590" i="105"/>
  <c r="G70" i="59"/>
  <c r="G208" s="1"/>
  <c r="Q208" i="105"/>
  <c r="P385"/>
  <c r="O106"/>
  <c r="O14"/>
  <c r="F70" i="67"/>
  <c r="P231" i="105"/>
  <c r="F70" i="73"/>
  <c r="F208" s="1"/>
  <c r="P287" i="105"/>
  <c r="F70" i="77"/>
  <c r="F208" s="1"/>
  <c r="P323" i="105"/>
  <c r="G70" i="87"/>
  <c r="G208" s="1"/>
  <c r="Q397" i="105"/>
  <c r="F70" i="99"/>
  <c r="F208" s="1"/>
  <c r="P525" i="105"/>
  <c r="F70" i="101"/>
  <c r="F208" s="1"/>
  <c r="P543" i="105"/>
  <c r="F70" i="70"/>
  <c r="F208" s="1"/>
  <c r="P258" i="105"/>
  <c r="F70" i="72"/>
  <c r="F208" s="1"/>
  <c r="P277" i="105"/>
  <c r="G70" i="82"/>
  <c r="G208" s="1"/>
  <c r="Q350" i="105"/>
  <c r="I70" i="84"/>
  <c r="I208" s="1"/>
  <c r="S368" i="105"/>
  <c r="G70" i="100"/>
  <c r="G208" s="1"/>
  <c r="Q534" i="105"/>
  <c r="F70" i="108"/>
  <c r="F208" s="1"/>
  <c r="P563" i="105"/>
  <c r="G70" i="109"/>
  <c r="G208" s="1"/>
  <c r="Q572" i="105"/>
  <c r="F70" i="44"/>
  <c r="F208" s="1"/>
  <c r="P71" i="105"/>
  <c r="G70" i="49"/>
  <c r="G208" s="1"/>
  <c r="Q118" i="105"/>
  <c r="F70" i="50"/>
  <c r="F208" s="1"/>
  <c r="P127" i="105"/>
  <c r="G70" i="54"/>
  <c r="G208" s="1"/>
  <c r="Q163" i="105"/>
  <c r="O385"/>
  <c r="M226"/>
  <c r="M609" s="1"/>
  <c r="T120" i="56"/>
  <c r="S120"/>
  <c r="G59" i="60"/>
  <c r="G64"/>
  <c r="I105"/>
  <c r="T84"/>
  <c r="H140"/>
  <c r="S120" s="1"/>
  <c r="H53"/>
  <c r="H207"/>
  <c r="I48"/>
  <c r="I53" i="59"/>
  <c r="I140"/>
  <c r="H140"/>
  <c r="H141" s="1"/>
  <c r="H53"/>
  <c r="H207"/>
  <c r="I207"/>
  <c r="J48"/>
  <c r="I105" i="58"/>
  <c r="T84"/>
  <c r="G59"/>
  <c r="G64"/>
  <c r="H140"/>
  <c r="H141" s="1"/>
  <c r="H53"/>
  <c r="H207"/>
  <c r="I48"/>
  <c r="H141" i="57"/>
  <c r="H59"/>
  <c r="H64"/>
  <c r="I140"/>
  <c r="T120" s="1"/>
  <c r="I53"/>
  <c r="I207"/>
  <c r="I59" i="56"/>
  <c r="I64"/>
  <c r="H141" i="55"/>
  <c r="H59" i="56"/>
  <c r="H64"/>
  <c r="I140" i="55"/>
  <c r="T120" s="1"/>
  <c r="I53"/>
  <c r="I207"/>
  <c r="J48"/>
  <c r="H59"/>
  <c r="H64"/>
  <c r="H59" i="54"/>
  <c r="H64"/>
  <c r="I140"/>
  <c r="T120" s="1"/>
  <c r="I53"/>
  <c r="S120"/>
  <c r="I207"/>
  <c r="J48"/>
  <c r="H53" i="53"/>
  <c r="H140"/>
  <c r="S120" s="1"/>
  <c r="G59"/>
  <c r="G64"/>
  <c r="I48"/>
  <c r="J48" s="1"/>
  <c r="I105"/>
  <c r="T84"/>
  <c r="H207"/>
  <c r="H59" i="52"/>
  <c r="H64"/>
  <c r="I140"/>
  <c r="T120" s="1"/>
  <c r="I53"/>
  <c r="I207"/>
  <c r="I141"/>
  <c r="I53" i="51"/>
  <c r="I140"/>
  <c r="I141" s="1"/>
  <c r="H59"/>
  <c r="H64"/>
  <c r="R120" i="50"/>
  <c r="I207" i="51"/>
  <c r="S120" i="48"/>
  <c r="J48" i="51"/>
  <c r="H207" i="50"/>
  <c r="I105"/>
  <c r="T84"/>
  <c r="G59"/>
  <c r="G64"/>
  <c r="I48"/>
  <c r="H140"/>
  <c r="S120" s="1"/>
  <c r="H53"/>
  <c r="I207" i="49"/>
  <c r="J48"/>
  <c r="I53"/>
  <c r="I140"/>
  <c r="H59"/>
  <c r="H64"/>
  <c r="H59" i="48"/>
  <c r="H64"/>
  <c r="I140"/>
  <c r="T120" s="1"/>
  <c r="I53"/>
  <c r="H140" i="47"/>
  <c r="H141" s="1"/>
  <c r="H53"/>
  <c r="I207"/>
  <c r="R120" i="42"/>
  <c r="G141" i="47"/>
  <c r="H207"/>
  <c r="G59"/>
  <c r="G64"/>
  <c r="I140"/>
  <c r="I141" s="1"/>
  <c r="I53"/>
  <c r="J48"/>
  <c r="G59" i="46"/>
  <c r="G64"/>
  <c r="R120"/>
  <c r="I140"/>
  <c r="I53"/>
  <c r="I207"/>
  <c r="H140"/>
  <c r="S120" s="1"/>
  <c r="H53"/>
  <c r="H207"/>
  <c r="J48"/>
  <c r="H207" i="45"/>
  <c r="H141"/>
  <c r="S120" i="40"/>
  <c r="I48" i="45"/>
  <c r="J48" s="1"/>
  <c r="H140"/>
  <c r="H53"/>
  <c r="G141" i="43"/>
  <c r="R120" i="40"/>
  <c r="H59" i="44"/>
  <c r="H64"/>
  <c r="I207"/>
  <c r="J48"/>
  <c r="R120"/>
  <c r="G59"/>
  <c r="G64"/>
  <c r="I140"/>
  <c r="I141" s="1"/>
  <c r="I53"/>
  <c r="G59" i="43"/>
  <c r="G64"/>
  <c r="I105"/>
  <c r="T84"/>
  <c r="H140"/>
  <c r="S120" s="1"/>
  <c r="H53"/>
  <c r="H207"/>
  <c r="I48"/>
  <c r="I105" i="42"/>
  <c r="T84"/>
  <c r="I48"/>
  <c r="H140"/>
  <c r="S120" s="1"/>
  <c r="H53"/>
  <c r="H207"/>
  <c r="G59"/>
  <c r="G64"/>
  <c r="R120" i="127"/>
  <c r="H59" i="41"/>
  <c r="H64"/>
  <c r="I140"/>
  <c r="T120" s="1"/>
  <c r="I53"/>
  <c r="I207"/>
  <c r="H59" i="40"/>
  <c r="H64"/>
  <c r="I105"/>
  <c r="T84"/>
  <c r="R120" i="38"/>
  <c r="I48" i="40"/>
  <c r="G59"/>
  <c r="G64"/>
  <c r="I105" i="39"/>
  <c r="T84"/>
  <c r="H141"/>
  <c r="H59"/>
  <c r="H64"/>
  <c r="I48"/>
  <c r="H207" i="38"/>
  <c r="I140"/>
  <c r="I53"/>
  <c r="I207"/>
  <c r="G59"/>
  <c r="G64"/>
  <c r="H140"/>
  <c r="H141" s="1"/>
  <c r="H53"/>
  <c r="J48"/>
  <c r="G59" i="32"/>
  <c r="G64"/>
  <c r="I48"/>
  <c r="H140"/>
  <c r="H141" s="1"/>
  <c r="H53"/>
  <c r="H207"/>
  <c r="I105"/>
  <c r="T84"/>
  <c r="I207" i="129"/>
  <c r="I141"/>
  <c r="H59"/>
  <c r="H64"/>
  <c r="I140"/>
  <c r="T120" s="1"/>
  <c r="I53"/>
  <c r="H141" i="128"/>
  <c r="I207"/>
  <c r="J48"/>
  <c r="I140"/>
  <c r="T120" s="1"/>
  <c r="I53"/>
  <c r="H59"/>
  <c r="H64"/>
  <c r="I48" i="127"/>
  <c r="H140"/>
  <c r="S120" s="1"/>
  <c r="H53"/>
  <c r="H207"/>
  <c r="G59"/>
  <c r="G64"/>
  <c r="I105"/>
  <c r="T84"/>
  <c r="H140" i="109"/>
  <c r="H141" s="1"/>
  <c r="H53"/>
  <c r="I105"/>
  <c r="T84"/>
  <c r="H207"/>
  <c r="I48"/>
  <c r="G141" i="96"/>
  <c r="H207" i="108"/>
  <c r="J48"/>
  <c r="I140"/>
  <c r="I141" s="1"/>
  <c r="I53"/>
  <c r="I207"/>
  <c r="H140"/>
  <c r="H141" s="1"/>
  <c r="H53"/>
  <c r="I48" i="102"/>
  <c r="J48" s="1"/>
  <c r="H140"/>
  <c r="H141" s="1"/>
  <c r="H53"/>
  <c r="S120" i="90"/>
  <c r="I105" i="102"/>
  <c r="T84"/>
  <c r="H207"/>
  <c r="G59"/>
  <c r="G64"/>
  <c r="I105" i="101"/>
  <c r="T84"/>
  <c r="H140"/>
  <c r="H141" s="1"/>
  <c r="H53"/>
  <c r="H207"/>
  <c r="R120" i="98"/>
  <c r="I48" i="101"/>
  <c r="G141" i="99"/>
  <c r="H140" i="100"/>
  <c r="H141" s="1"/>
  <c r="H53"/>
  <c r="I207"/>
  <c r="H207"/>
  <c r="J48"/>
  <c r="I140"/>
  <c r="I53"/>
  <c r="H140" i="99"/>
  <c r="H141" s="1"/>
  <c r="H53"/>
  <c r="H207"/>
  <c r="I105"/>
  <c r="T84"/>
  <c r="I48"/>
  <c r="G59"/>
  <c r="G64"/>
  <c r="I105" i="98"/>
  <c r="T84"/>
  <c r="G59"/>
  <c r="G64"/>
  <c r="I48"/>
  <c r="H140"/>
  <c r="H141" s="1"/>
  <c r="H53"/>
  <c r="H207"/>
  <c r="I140" i="97"/>
  <c r="I141" s="1"/>
  <c r="I53"/>
  <c r="H207"/>
  <c r="I207"/>
  <c r="H140"/>
  <c r="H141" s="1"/>
  <c r="H53"/>
  <c r="G59"/>
  <c r="G64"/>
  <c r="J48"/>
  <c r="H140" i="96"/>
  <c r="S120" s="1"/>
  <c r="H53"/>
  <c r="G59"/>
  <c r="G64"/>
  <c r="I105"/>
  <c r="T84"/>
  <c r="I48"/>
  <c r="H207"/>
  <c r="S120" i="88"/>
  <c r="H141" i="94"/>
  <c r="H59" i="95"/>
  <c r="H64"/>
  <c r="I140"/>
  <c r="T120" s="1"/>
  <c r="I53"/>
  <c r="I207"/>
  <c r="J48"/>
  <c r="H59" i="94"/>
  <c r="H64"/>
  <c r="I59"/>
  <c r="I64"/>
  <c r="I48" i="93"/>
  <c r="J48" s="1"/>
  <c r="I141" i="92"/>
  <c r="G59" i="93"/>
  <c r="G64"/>
  <c r="H140"/>
  <c r="S120" s="1"/>
  <c r="H53"/>
  <c r="S120" i="92"/>
  <c r="I105" i="93"/>
  <c r="T84"/>
  <c r="H207"/>
  <c r="H141" i="89"/>
  <c r="G141" i="91"/>
  <c r="H59" i="92"/>
  <c r="H64"/>
  <c r="I59"/>
  <c r="I64"/>
  <c r="G59" i="91"/>
  <c r="G64"/>
  <c r="I48"/>
  <c r="H140"/>
  <c r="S120" s="1"/>
  <c r="H53"/>
  <c r="H207"/>
  <c r="I105"/>
  <c r="T84"/>
  <c r="G141" i="80"/>
  <c r="I140" i="90"/>
  <c r="T120" s="1"/>
  <c r="I53"/>
  <c r="I207"/>
  <c r="J48" i="85"/>
  <c r="H59" i="90"/>
  <c r="H64"/>
  <c r="I140" i="89"/>
  <c r="I141" s="1"/>
  <c r="I53"/>
  <c r="I207"/>
  <c r="H59"/>
  <c r="H64"/>
  <c r="G59" i="80"/>
  <c r="G64"/>
  <c r="I105"/>
  <c r="T84"/>
  <c r="H207"/>
  <c r="I48"/>
  <c r="J48" s="1"/>
  <c r="H140"/>
  <c r="H141" s="1"/>
  <c r="H53"/>
  <c r="R120" i="79"/>
  <c r="H140"/>
  <c r="S120" s="1"/>
  <c r="H53"/>
  <c r="H207"/>
  <c r="I48"/>
  <c r="J48" s="1"/>
  <c r="G59"/>
  <c r="G64"/>
  <c r="I105"/>
  <c r="T84"/>
  <c r="S120" i="86"/>
  <c r="I140" i="88"/>
  <c r="I141" s="1"/>
  <c r="I53"/>
  <c r="I207"/>
  <c r="H59"/>
  <c r="H64"/>
  <c r="H59" i="87"/>
  <c r="H64"/>
  <c r="I140"/>
  <c r="T120" s="1"/>
  <c r="I53"/>
  <c r="I207"/>
  <c r="H141"/>
  <c r="I140" i="86"/>
  <c r="I141" s="1"/>
  <c r="I53"/>
  <c r="I207"/>
  <c r="G59"/>
  <c r="G64"/>
  <c r="J48"/>
  <c r="H59"/>
  <c r="H64"/>
  <c r="G59" i="85"/>
  <c r="G64"/>
  <c r="H140"/>
  <c r="S120" s="1"/>
  <c r="H53"/>
  <c r="J59" i="84"/>
  <c r="R120" i="85"/>
  <c r="I140"/>
  <c r="I53"/>
  <c r="I207"/>
  <c r="H207"/>
  <c r="H141" i="82"/>
  <c r="I48"/>
  <c r="H59"/>
  <c r="H64"/>
  <c r="I105"/>
  <c r="T84"/>
  <c r="I207" i="81"/>
  <c r="H59"/>
  <c r="H64"/>
  <c r="R120" i="77"/>
  <c r="S120" i="81"/>
  <c r="I140"/>
  <c r="I141" s="1"/>
  <c r="I53"/>
  <c r="H207" i="78"/>
  <c r="I105"/>
  <c r="T84"/>
  <c r="G59"/>
  <c r="G64"/>
  <c r="I48"/>
  <c r="H53"/>
  <c r="H140"/>
  <c r="H141" s="1"/>
  <c r="G59" i="77"/>
  <c r="G64"/>
  <c r="I105"/>
  <c r="T84"/>
  <c r="I48"/>
  <c r="H140"/>
  <c r="H141" s="1"/>
  <c r="H53"/>
  <c r="H207"/>
  <c r="I140" i="76"/>
  <c r="T120" s="1"/>
  <c r="I53"/>
  <c r="I207"/>
  <c r="H59"/>
  <c r="H64"/>
  <c r="R120" i="75"/>
  <c r="S120" i="76"/>
  <c r="J48"/>
  <c r="G59" i="75"/>
  <c r="G64"/>
  <c r="I207"/>
  <c r="I140"/>
  <c r="I53"/>
  <c r="H59"/>
  <c r="H64"/>
  <c r="H140" i="74"/>
  <c r="S120" s="1"/>
  <c r="H53"/>
  <c r="H207"/>
  <c r="R120" i="73"/>
  <c r="G141" i="74"/>
  <c r="I105"/>
  <c r="T84"/>
  <c r="G59"/>
  <c r="G64"/>
  <c r="I48"/>
  <c r="G59" i="73"/>
  <c r="G64"/>
  <c r="I105"/>
  <c r="T84"/>
  <c r="H140"/>
  <c r="S120" s="1"/>
  <c r="H53"/>
  <c r="I48"/>
  <c r="H207"/>
  <c r="I48" i="72"/>
  <c r="H207"/>
  <c r="R120"/>
  <c r="G59"/>
  <c r="G64"/>
  <c r="I105"/>
  <c r="T84"/>
  <c r="H140"/>
  <c r="S120" s="1"/>
  <c r="H53"/>
  <c r="I105" i="71"/>
  <c r="T84"/>
  <c r="G141"/>
  <c r="I48"/>
  <c r="G59"/>
  <c r="G64"/>
  <c r="H140"/>
  <c r="S120" s="1"/>
  <c r="H53"/>
  <c r="H207"/>
  <c r="I105" i="70"/>
  <c r="T84"/>
  <c r="H207"/>
  <c r="I48"/>
  <c r="H140"/>
  <c r="S120" s="1"/>
  <c r="H53"/>
  <c r="G59"/>
  <c r="G64"/>
  <c r="R120" i="67"/>
  <c r="H141" i="69"/>
  <c r="H59"/>
  <c r="H64"/>
  <c r="I140"/>
  <c r="T120" s="1"/>
  <c r="I53"/>
  <c r="I207"/>
  <c r="J48"/>
  <c r="H59" i="68"/>
  <c r="H64"/>
  <c r="I140"/>
  <c r="T120" s="1"/>
  <c r="I53"/>
  <c r="I207"/>
  <c r="I141"/>
  <c r="I48" i="67"/>
  <c r="H208"/>
  <c r="H140"/>
  <c r="H141" s="1"/>
  <c r="H53"/>
  <c r="G59"/>
  <c r="G64"/>
  <c r="I105"/>
  <c r="T84"/>
  <c r="A123" i="114"/>
  <c r="B114"/>
  <c r="C114" s="1"/>
  <c r="B115" i="113"/>
  <c r="C115" s="1"/>
  <c r="A124"/>
  <c r="A124" i="7"/>
  <c r="B115"/>
  <c r="A345"/>
  <c r="B336"/>
  <c r="H29" i="107"/>
  <c r="M267" i="106" l="1"/>
  <c r="M267" i="135" s="1"/>
  <c r="L266" i="106"/>
  <c r="L266" i="135" s="1"/>
  <c r="N265" i="106"/>
  <c r="N265" i="135" s="1"/>
  <c r="N85" i="106"/>
  <c r="N85" i="135" s="1"/>
  <c r="M87" i="106"/>
  <c r="M87" i="135" s="1"/>
  <c r="L565" i="106"/>
  <c r="L565" i="135" s="1"/>
  <c r="N567" i="106"/>
  <c r="N567" i="135" s="1"/>
  <c r="F121" i="111"/>
  <c r="Q121" s="1"/>
  <c r="F124"/>
  <c r="Q124" s="1"/>
  <c r="I121"/>
  <c r="T121" s="1"/>
  <c r="I124"/>
  <c r="T124" s="1"/>
  <c r="G121"/>
  <c r="R121" s="1"/>
  <c r="J122"/>
  <c r="U122" s="1"/>
  <c r="G124"/>
  <c r="R124" s="1"/>
  <c r="J125"/>
  <c r="U125" s="1"/>
  <c r="E121"/>
  <c r="E122"/>
  <c r="E123"/>
  <c r="E124"/>
  <c r="E125"/>
  <c r="E126"/>
  <c r="E170"/>
  <c r="I170"/>
  <c r="T170" s="1"/>
  <c r="J173"/>
  <c r="U173" s="1"/>
  <c r="M264" i="106"/>
  <c r="M264" i="135" s="1"/>
  <c r="L263" i="106"/>
  <c r="L263" i="135" s="1"/>
  <c r="N262" i="106"/>
  <c r="N262" i="135" s="1"/>
  <c r="N271" i="106"/>
  <c r="N271" i="135" s="1"/>
  <c r="M84" i="106"/>
  <c r="M84" i="135" s="1"/>
  <c r="L86" i="106"/>
  <c r="L86" i="135" s="1"/>
  <c r="L559" i="106"/>
  <c r="L559" i="135" s="1"/>
  <c r="N564" i="106"/>
  <c r="N564" i="135" s="1"/>
  <c r="M566" i="106"/>
  <c r="M566" i="135" s="1"/>
  <c r="F123" i="111"/>
  <c r="Q123" s="1"/>
  <c r="F126"/>
  <c r="Q126" s="1"/>
  <c r="I123"/>
  <c r="T123" s="1"/>
  <c r="I126"/>
  <c r="T126" s="1"/>
  <c r="G122"/>
  <c r="R122" s="1"/>
  <c r="J123"/>
  <c r="U123" s="1"/>
  <c r="G125"/>
  <c r="R125" s="1"/>
  <c r="J126"/>
  <c r="U126" s="1"/>
  <c r="K121"/>
  <c r="V121" s="1"/>
  <c r="K122"/>
  <c r="V122" s="1"/>
  <c r="K123"/>
  <c r="V123" s="1"/>
  <c r="K124"/>
  <c r="V124" s="1"/>
  <c r="K125"/>
  <c r="V125" s="1"/>
  <c r="H170"/>
  <c r="S170" s="1"/>
  <c r="G172"/>
  <c r="R172" s="1"/>
  <c r="M263" i="106"/>
  <c r="M263" i="135" s="1"/>
  <c r="M266" i="106"/>
  <c r="M266" i="135" s="1"/>
  <c r="M269" i="106"/>
  <c r="M269" i="135" s="1"/>
  <c r="L262" i="106"/>
  <c r="L262" i="135" s="1"/>
  <c r="L265" i="106"/>
  <c r="L265" i="135" s="1"/>
  <c r="L268" i="106"/>
  <c r="L268" i="135" s="1"/>
  <c r="L271" i="106"/>
  <c r="L271" i="135" s="1"/>
  <c r="N264" i="106"/>
  <c r="N264" i="135" s="1"/>
  <c r="N267" i="106"/>
  <c r="N267" i="135" s="1"/>
  <c r="N270" i="106"/>
  <c r="N270" i="135" s="1"/>
  <c r="N44" i="106"/>
  <c r="N44" i="135" s="1"/>
  <c r="N49" i="106"/>
  <c r="N49" i="135" s="1"/>
  <c r="N53" i="106"/>
  <c r="N53" i="135" s="1"/>
  <c r="M48" i="106"/>
  <c r="M48" i="135" s="1"/>
  <c r="M52" i="106"/>
  <c r="M52" i="135" s="1"/>
  <c r="L47" i="106"/>
  <c r="L47" i="135" s="1"/>
  <c r="L51" i="106"/>
  <c r="L51" i="135" s="1"/>
  <c r="L706" i="106"/>
  <c r="L706" i="135" s="1"/>
  <c r="L710" i="106"/>
  <c r="L710" i="135" s="1"/>
  <c r="N705" i="106"/>
  <c r="N705" i="135" s="1"/>
  <c r="N709" i="106"/>
  <c r="N709" i="135" s="1"/>
  <c r="M704" i="106"/>
  <c r="M704" i="135" s="1"/>
  <c r="M708" i="106"/>
  <c r="M708" i="135" s="1"/>
  <c r="M713" i="106"/>
  <c r="M713" i="135" s="1"/>
  <c r="L426" i="106"/>
  <c r="L426" i="135" s="1"/>
  <c r="L431" i="106"/>
  <c r="L431" i="135" s="1"/>
  <c r="N425" i="106"/>
  <c r="N425" i="135" s="1"/>
  <c r="N430" i="106"/>
  <c r="N430" i="135" s="1"/>
  <c r="N434" i="106"/>
  <c r="N434" i="135" s="1"/>
  <c r="M429" i="106"/>
  <c r="M429" i="135" s="1"/>
  <c r="M433" i="106"/>
  <c r="M433" i="135" s="1"/>
  <c r="J676" i="111"/>
  <c r="U676" s="1"/>
  <c r="J680"/>
  <c r="U680" s="1"/>
  <c r="G677"/>
  <c r="R677" s="1"/>
  <c r="G680"/>
  <c r="R680" s="1"/>
  <c r="K675"/>
  <c r="V675" s="1"/>
  <c r="K676"/>
  <c r="V676" s="1"/>
  <c r="K677"/>
  <c r="V677" s="1"/>
  <c r="K678"/>
  <c r="V678" s="1"/>
  <c r="K679"/>
  <c r="V679" s="1"/>
  <c r="K680"/>
  <c r="V680" s="1"/>
  <c r="F676"/>
  <c r="Q676" s="1"/>
  <c r="I677"/>
  <c r="T677" s="1"/>
  <c r="F679"/>
  <c r="Q679" s="1"/>
  <c r="I680"/>
  <c r="T680" s="1"/>
  <c r="M262" i="106"/>
  <c r="M262" i="135" s="1"/>
  <c r="M265" i="106"/>
  <c r="M265" i="135" s="1"/>
  <c r="M268" i="106"/>
  <c r="M268" i="135" s="1"/>
  <c r="M271" i="106"/>
  <c r="M271" i="135" s="1"/>
  <c r="L264" i="106"/>
  <c r="L264" i="135" s="1"/>
  <c r="L267" i="106"/>
  <c r="L267" i="135" s="1"/>
  <c r="L270" i="106"/>
  <c r="L270" i="135" s="1"/>
  <c r="N263" i="106"/>
  <c r="N263" i="135" s="1"/>
  <c r="N266" i="106"/>
  <c r="N266" i="135" s="1"/>
  <c r="N82" i="106"/>
  <c r="N82" i="135" s="1"/>
  <c r="M81" i="106"/>
  <c r="M81" i="135" s="1"/>
  <c r="L80" i="106"/>
  <c r="L80" i="135" s="1"/>
  <c r="L89" i="106"/>
  <c r="L89" i="135" s="1"/>
  <c r="N47" i="106"/>
  <c r="N47" i="135" s="1"/>
  <c r="N52" i="106"/>
  <c r="N52" i="135" s="1"/>
  <c r="M46" i="106"/>
  <c r="M46" i="135" s="1"/>
  <c r="M51" i="106"/>
  <c r="M51" i="135" s="1"/>
  <c r="L45" i="106"/>
  <c r="L45" i="135" s="1"/>
  <c r="L50" i="106"/>
  <c r="L50" i="135" s="1"/>
  <c r="L704" i="106"/>
  <c r="L704" i="135" s="1"/>
  <c r="L709" i="106"/>
  <c r="L709" i="135" s="1"/>
  <c r="L713" i="106"/>
  <c r="L713" i="135" s="1"/>
  <c r="N708" i="106"/>
  <c r="N708" i="135" s="1"/>
  <c r="N712" i="106"/>
  <c r="N712" i="135" s="1"/>
  <c r="M707" i="106"/>
  <c r="M707" i="135" s="1"/>
  <c r="M711" i="106"/>
  <c r="M711" i="135" s="1"/>
  <c r="L562" i="106"/>
  <c r="L562" i="135" s="1"/>
  <c r="N561" i="106"/>
  <c r="N561" i="135" s="1"/>
  <c r="M560" i="106"/>
  <c r="M560" i="135" s="1"/>
  <c r="L425" i="106"/>
  <c r="L425" i="135" s="1"/>
  <c r="L429" i="106"/>
  <c r="L429" i="135" s="1"/>
  <c r="L434" i="106"/>
  <c r="L434" i="135" s="1"/>
  <c r="N428" i="106"/>
  <c r="N428" i="135" s="1"/>
  <c r="N433" i="106"/>
  <c r="N433" i="135" s="1"/>
  <c r="M427" i="106"/>
  <c r="M427" i="135" s="1"/>
  <c r="M432" i="106"/>
  <c r="M432" i="135" s="1"/>
  <c r="E199" i="111"/>
  <c r="E202"/>
  <c r="K199"/>
  <c r="V199" s="1"/>
  <c r="K202"/>
  <c r="V202" s="1"/>
  <c r="H199"/>
  <c r="S199" s="1"/>
  <c r="H202"/>
  <c r="S202" s="1"/>
  <c r="I198"/>
  <c r="T198" s="1"/>
  <c r="F200"/>
  <c r="Q200" s="1"/>
  <c r="I201"/>
  <c r="T201" s="1"/>
  <c r="F203"/>
  <c r="Q203" s="1"/>
  <c r="J198"/>
  <c r="U198" s="1"/>
  <c r="G200"/>
  <c r="R200" s="1"/>
  <c r="J201"/>
  <c r="U201" s="1"/>
  <c r="J678"/>
  <c r="U678" s="1"/>
  <c r="J677"/>
  <c r="U677" s="1"/>
  <c r="G676"/>
  <c r="R676" s="1"/>
  <c r="G679"/>
  <c r="R679" s="1"/>
  <c r="H675"/>
  <c r="S675" s="1"/>
  <c r="H676"/>
  <c r="S676" s="1"/>
  <c r="H677"/>
  <c r="S677" s="1"/>
  <c r="H678"/>
  <c r="S678" s="1"/>
  <c r="H679"/>
  <c r="S679" s="1"/>
  <c r="H680"/>
  <c r="S680" s="1"/>
  <c r="I675"/>
  <c r="T675" s="1"/>
  <c r="F677"/>
  <c r="Q677" s="1"/>
  <c r="I678"/>
  <c r="T678" s="1"/>
  <c r="E173"/>
  <c r="F169"/>
  <c r="Q169" s="1"/>
  <c r="G169"/>
  <c r="R169" s="1"/>
  <c r="K170"/>
  <c r="V170" s="1"/>
  <c r="H173"/>
  <c r="S173" s="1"/>
  <c r="F172"/>
  <c r="Q172" s="1"/>
  <c r="J170"/>
  <c r="U170" s="1"/>
  <c r="H87" i="104"/>
  <c r="T120" i="49"/>
  <c r="F371" i="135"/>
  <c r="K340"/>
  <c r="G340"/>
  <c r="J340"/>
  <c r="I340"/>
  <c r="H340"/>
  <c r="G289"/>
  <c r="H289"/>
  <c r="K289"/>
  <c r="J289"/>
  <c r="I289"/>
  <c r="K169"/>
  <c r="J169"/>
  <c r="I169"/>
  <c r="H169"/>
  <c r="G169"/>
  <c r="L92"/>
  <c r="T120" i="59"/>
  <c r="T120" i="38"/>
  <c r="T120" i="85"/>
  <c r="T120" i="75"/>
  <c r="T120" i="46"/>
  <c r="G140" i="63"/>
  <c r="J140" s="1"/>
  <c r="I152" i="104"/>
  <c r="J152" s="1"/>
  <c r="I142" i="63"/>
  <c r="J142" s="1"/>
  <c r="T120" i="100"/>
  <c r="G149" i="104"/>
  <c r="J149" s="1"/>
  <c r="G59" i="63"/>
  <c r="G134" s="1"/>
  <c r="Q149" i="105"/>
  <c r="Q151" s="1"/>
  <c r="G143" i="63"/>
  <c r="J143" s="1"/>
  <c r="G70" i="52"/>
  <c r="G208" s="1"/>
  <c r="Q173" i="105"/>
  <c r="Q178" s="1"/>
  <c r="G70" i="55"/>
  <c r="G208" s="1"/>
  <c r="Q110" i="105"/>
  <c r="N81" i="106"/>
  <c r="N81" i="135" s="1"/>
  <c r="N84" i="106"/>
  <c r="N84" i="135" s="1"/>
  <c r="N87" i="106"/>
  <c r="N87" i="135" s="1"/>
  <c r="M80" i="106"/>
  <c r="M80" i="135" s="1"/>
  <c r="M83" i="106"/>
  <c r="M83" i="135" s="1"/>
  <c r="M86" i="106"/>
  <c r="M86" i="135" s="1"/>
  <c r="M89" i="106"/>
  <c r="M89" i="135" s="1"/>
  <c r="L82" i="106"/>
  <c r="L82" i="135" s="1"/>
  <c r="L85" i="106"/>
  <c r="L85" i="135" s="1"/>
  <c r="L88" i="106"/>
  <c r="L88" i="135" s="1"/>
  <c r="L558" i="106"/>
  <c r="L558" i="135" s="1"/>
  <c r="L561" i="106"/>
  <c r="L561" i="135" s="1"/>
  <c r="L564" i="106"/>
  <c r="L564" i="135" s="1"/>
  <c r="L567" i="106"/>
  <c r="L567" i="135" s="1"/>
  <c r="N560" i="106"/>
  <c r="N560" i="135" s="1"/>
  <c r="N563" i="106"/>
  <c r="N563" i="135" s="1"/>
  <c r="N566" i="106"/>
  <c r="N566" i="135" s="1"/>
  <c r="M559" i="106"/>
  <c r="M559" i="135" s="1"/>
  <c r="M562" i="106"/>
  <c r="M562" i="135" s="1"/>
  <c r="M565" i="106"/>
  <c r="M565" i="135" s="1"/>
  <c r="E169" i="111"/>
  <c r="E172"/>
  <c r="K169"/>
  <c r="V169" s="1"/>
  <c r="K172"/>
  <c r="V172" s="1"/>
  <c r="H169"/>
  <c r="S169" s="1"/>
  <c r="H172"/>
  <c r="S172" s="1"/>
  <c r="I168"/>
  <c r="T168" s="1"/>
  <c r="F170"/>
  <c r="Q170" s="1"/>
  <c r="I171"/>
  <c r="T171" s="1"/>
  <c r="F173"/>
  <c r="Q173" s="1"/>
  <c r="J168"/>
  <c r="U168" s="1"/>
  <c r="G170"/>
  <c r="R170" s="1"/>
  <c r="J171"/>
  <c r="U171" s="1"/>
  <c r="G173"/>
  <c r="R173" s="1"/>
  <c r="Q361" i="105"/>
  <c r="Q365" s="1"/>
  <c r="G70" i="83"/>
  <c r="G208" s="1"/>
  <c r="N80" i="106"/>
  <c r="N80" i="135" s="1"/>
  <c r="N83" i="106"/>
  <c r="N83" i="135" s="1"/>
  <c r="N86" i="106"/>
  <c r="N86" i="135" s="1"/>
  <c r="N89" i="106"/>
  <c r="N89" i="135" s="1"/>
  <c r="M82" i="106"/>
  <c r="M82" i="135" s="1"/>
  <c r="M85" i="106"/>
  <c r="M85" i="135" s="1"/>
  <c r="M88" i="106"/>
  <c r="M88" i="135" s="1"/>
  <c r="L81" i="106"/>
  <c r="L81" i="135" s="1"/>
  <c r="L84" i="106"/>
  <c r="L84" i="135" s="1"/>
  <c r="L560" i="106"/>
  <c r="L560" i="135" s="1"/>
  <c r="L563" i="106"/>
  <c r="L563" i="135" s="1"/>
  <c r="L566" i="106"/>
  <c r="L566" i="135" s="1"/>
  <c r="N559" i="106"/>
  <c r="N559" i="135" s="1"/>
  <c r="N562" i="106"/>
  <c r="N562" i="135" s="1"/>
  <c r="N565" i="106"/>
  <c r="N565" i="135" s="1"/>
  <c r="M558" i="106"/>
  <c r="M558" i="135" s="1"/>
  <c r="M561" i="106"/>
  <c r="M561" i="135" s="1"/>
  <c r="M564" i="106"/>
  <c r="M564" i="135" s="1"/>
  <c r="E168" i="111"/>
  <c r="E171"/>
  <c r="K168"/>
  <c r="V168" s="1"/>
  <c r="K171"/>
  <c r="V171" s="1"/>
  <c r="H168"/>
  <c r="S168" s="1"/>
  <c r="H171"/>
  <c r="S171" s="1"/>
  <c r="F168"/>
  <c r="Q168" s="1"/>
  <c r="I169"/>
  <c r="T169" s="1"/>
  <c r="F171"/>
  <c r="Q171" s="1"/>
  <c r="I172"/>
  <c r="T172" s="1"/>
  <c r="G168"/>
  <c r="R168" s="1"/>
  <c r="J169"/>
  <c r="U169" s="1"/>
  <c r="G171"/>
  <c r="R171" s="1"/>
  <c r="M142" i="106"/>
  <c r="M142" i="135" s="1"/>
  <c r="M147" i="106"/>
  <c r="M147" i="135" s="1"/>
  <c r="M151" i="106"/>
  <c r="M151" i="135" s="1"/>
  <c r="L146" i="106"/>
  <c r="L146" i="135" s="1"/>
  <c r="L150" i="106"/>
  <c r="L150" i="135" s="1"/>
  <c r="N145" i="106"/>
  <c r="N145" i="135" s="1"/>
  <c r="N149" i="106"/>
  <c r="N149" i="135" s="1"/>
  <c r="N606" i="106"/>
  <c r="N606" i="135" s="1"/>
  <c r="L614" i="106"/>
  <c r="L614" i="135" s="1"/>
  <c r="L609" i="106"/>
  <c r="L609" i="135" s="1"/>
  <c r="L607" i="106"/>
  <c r="L607" i="135" s="1"/>
  <c r="L613" i="106"/>
  <c r="L613" i="135" s="1"/>
  <c r="M609" i="106"/>
  <c r="M609" i="135" s="1"/>
  <c r="M613" i="106"/>
  <c r="M613" i="135" s="1"/>
  <c r="M145" i="106"/>
  <c r="M145" i="135" s="1"/>
  <c r="M150" i="106"/>
  <c r="M150" i="135" s="1"/>
  <c r="L144" i="106"/>
  <c r="L144" i="135" s="1"/>
  <c r="L149" i="106"/>
  <c r="L149" i="135" s="1"/>
  <c r="N143" i="106"/>
  <c r="N143" i="135" s="1"/>
  <c r="N148" i="106"/>
  <c r="N148" i="135" s="1"/>
  <c r="L611" i="106"/>
  <c r="L611" i="135" s="1"/>
  <c r="N607" i="106"/>
  <c r="N607" i="135" s="1"/>
  <c r="N613" i="106"/>
  <c r="N613" i="135" s="1"/>
  <c r="N611" i="106"/>
  <c r="N611" i="135" s="1"/>
  <c r="M607" i="106"/>
  <c r="M607" i="135" s="1"/>
  <c r="M612" i="106"/>
  <c r="M612" i="135" s="1"/>
  <c r="H141" i="104"/>
  <c r="M143" i="106"/>
  <c r="M143" i="135" s="1"/>
  <c r="M146" i="106"/>
  <c r="M146" i="135" s="1"/>
  <c r="M149" i="106"/>
  <c r="M149" i="135" s="1"/>
  <c r="L142" i="106"/>
  <c r="L142" i="135" s="1"/>
  <c r="L145" i="106"/>
  <c r="L145" i="135" s="1"/>
  <c r="L148" i="106"/>
  <c r="L148" i="135" s="1"/>
  <c r="L151" i="106"/>
  <c r="L151" i="135" s="1"/>
  <c r="N144" i="106"/>
  <c r="N144" i="135" s="1"/>
  <c r="N147" i="106"/>
  <c r="N147" i="135" s="1"/>
  <c r="N45" i="106"/>
  <c r="N45" i="135" s="1"/>
  <c r="N48" i="106"/>
  <c r="N48" i="135" s="1"/>
  <c r="N51" i="106"/>
  <c r="N51" i="135" s="1"/>
  <c r="M44" i="106"/>
  <c r="M44" i="135" s="1"/>
  <c r="M47" i="106"/>
  <c r="M47" i="135" s="1"/>
  <c r="M50" i="106"/>
  <c r="M50" i="135" s="1"/>
  <c r="M53" i="106"/>
  <c r="M53" i="135" s="1"/>
  <c r="L46" i="106"/>
  <c r="L46" i="135" s="1"/>
  <c r="L49" i="106"/>
  <c r="L49" i="135" s="1"/>
  <c r="L705" i="106"/>
  <c r="L705" i="135" s="1"/>
  <c r="L708" i="106"/>
  <c r="L708" i="135" s="1"/>
  <c r="L711" i="106"/>
  <c r="L711" i="135" s="1"/>
  <c r="N704" i="106"/>
  <c r="N704" i="135" s="1"/>
  <c r="N707" i="106"/>
  <c r="N707" i="135" s="1"/>
  <c r="N710" i="106"/>
  <c r="N710" i="135" s="1"/>
  <c r="N713" i="106"/>
  <c r="N713" i="135" s="1"/>
  <c r="M706" i="106"/>
  <c r="M706" i="135" s="1"/>
  <c r="M709" i="106"/>
  <c r="M709" i="135" s="1"/>
  <c r="L608" i="106"/>
  <c r="L608" i="135" s="1"/>
  <c r="N612" i="106"/>
  <c r="N612" i="135" s="1"/>
  <c r="L606" i="106"/>
  <c r="L606" i="135" s="1"/>
  <c r="N610" i="106"/>
  <c r="N610" i="135" s="1"/>
  <c r="L615" i="106"/>
  <c r="L615" i="135" s="1"/>
  <c r="L610" i="106"/>
  <c r="L610" i="135" s="1"/>
  <c r="N614" i="106"/>
  <c r="N614" i="135" s="1"/>
  <c r="M608" i="106"/>
  <c r="M608" i="135" s="1"/>
  <c r="M611" i="106"/>
  <c r="M611" i="135" s="1"/>
  <c r="L427" i="106"/>
  <c r="L427" i="135" s="1"/>
  <c r="L430" i="106"/>
  <c r="L430" i="135" s="1"/>
  <c r="L433" i="106"/>
  <c r="L433" i="135" s="1"/>
  <c r="N426" i="106"/>
  <c r="N426" i="135" s="1"/>
  <c r="N429" i="106"/>
  <c r="N429" i="135" s="1"/>
  <c r="N432" i="106"/>
  <c r="N432" i="135" s="1"/>
  <c r="M425" i="106"/>
  <c r="M425" i="135" s="1"/>
  <c r="M428" i="106"/>
  <c r="M428" i="135" s="1"/>
  <c r="M431" i="106"/>
  <c r="M431" i="135" s="1"/>
  <c r="I141" i="57"/>
  <c r="R359" i="105"/>
  <c r="R365" s="1"/>
  <c r="H70" i="83"/>
  <c r="H208" s="1"/>
  <c r="I64"/>
  <c r="I59"/>
  <c r="T120"/>
  <c r="S120" i="102"/>
  <c r="I141" i="95"/>
  <c r="I141" i="55"/>
  <c r="N226" i="105"/>
  <c r="N609" s="1"/>
  <c r="I141" i="85"/>
  <c r="H141" i="42"/>
  <c r="S120" i="45"/>
  <c r="I141" i="90"/>
  <c r="T120" i="89"/>
  <c r="I141" i="38"/>
  <c r="S120" i="101"/>
  <c r="H141" i="91"/>
  <c r="I141" i="76"/>
  <c r="T120" i="108"/>
  <c r="O265" i="105"/>
  <c r="H141" i="93"/>
  <c r="M636" i="130"/>
  <c r="H141" i="79"/>
  <c r="S120" i="32"/>
  <c r="S120" i="100"/>
  <c r="S120" i="67"/>
  <c r="O376" i="105"/>
  <c r="I48" i="63"/>
  <c r="I141" i="41"/>
  <c r="O512" i="105"/>
  <c r="N607"/>
  <c r="O551"/>
  <c r="O606"/>
  <c r="M57" i="131"/>
  <c r="M56"/>
  <c r="M54"/>
  <c r="M58" s="1"/>
  <c r="B153" i="135"/>
  <c r="B117" i="130"/>
  <c r="P133" i="105"/>
  <c r="Q578"/>
  <c r="S374"/>
  <c r="P264"/>
  <c r="Q403"/>
  <c r="P578"/>
  <c r="Q320"/>
  <c r="Q412"/>
  <c r="P86"/>
  <c r="R374"/>
  <c r="Q124"/>
  <c r="P569"/>
  <c r="Q356"/>
  <c r="P549"/>
  <c r="P329"/>
  <c r="Q214"/>
  <c r="P302"/>
  <c r="P475"/>
  <c r="P338"/>
  <c r="P32"/>
  <c r="Q347"/>
  <c r="B448" i="135"/>
  <c r="B340" i="130"/>
  <c r="Q169" i="105"/>
  <c r="P77"/>
  <c r="Q540"/>
  <c r="P283"/>
  <c r="P531"/>
  <c r="Q596"/>
  <c r="Q196"/>
  <c r="P457"/>
  <c r="P223"/>
  <c r="P430"/>
  <c r="L2" i="135"/>
  <c r="D9"/>
  <c r="C544" i="111"/>
  <c r="C436" i="135"/>
  <c r="C174" i="111"/>
  <c r="C141" i="135"/>
  <c r="F70" i="104"/>
  <c r="F143" s="1"/>
  <c r="I48"/>
  <c r="E89"/>
  <c r="F142"/>
  <c r="F134" i="63"/>
  <c r="S120" i="109"/>
  <c r="G64" i="63"/>
  <c r="G139" s="1"/>
  <c r="I695" i="111"/>
  <c r="T695" s="1"/>
  <c r="F695"/>
  <c r="Q695" s="1"/>
  <c r="I694"/>
  <c r="T694" s="1"/>
  <c r="F694"/>
  <c r="Q694" s="1"/>
  <c r="I693"/>
  <c r="T693" s="1"/>
  <c r="F693"/>
  <c r="Q693" s="1"/>
  <c r="I692"/>
  <c r="T692" s="1"/>
  <c r="F692"/>
  <c r="Q692" s="1"/>
  <c r="I691"/>
  <c r="T691" s="1"/>
  <c r="F691"/>
  <c r="Q691" s="1"/>
  <c r="I690"/>
  <c r="T690" s="1"/>
  <c r="F690"/>
  <c r="Q690" s="1"/>
  <c r="K695"/>
  <c r="V695" s="1"/>
  <c r="H695"/>
  <c r="S695" s="1"/>
  <c r="E695"/>
  <c r="K694"/>
  <c r="V694" s="1"/>
  <c r="H694"/>
  <c r="S694" s="1"/>
  <c r="E694"/>
  <c r="K693"/>
  <c r="V693" s="1"/>
  <c r="H693"/>
  <c r="S693" s="1"/>
  <c r="E693"/>
  <c r="K692"/>
  <c r="V692" s="1"/>
  <c r="H692"/>
  <c r="S692" s="1"/>
  <c r="E692"/>
  <c r="K691"/>
  <c r="V691" s="1"/>
  <c r="H691"/>
  <c r="S691" s="1"/>
  <c r="E691"/>
  <c r="K690"/>
  <c r="V690" s="1"/>
  <c r="H690"/>
  <c r="S690" s="1"/>
  <c r="E690"/>
  <c r="J695"/>
  <c r="U695" s="1"/>
  <c r="J694"/>
  <c r="U694" s="1"/>
  <c r="J693"/>
  <c r="U693" s="1"/>
  <c r="J692"/>
  <c r="U692" s="1"/>
  <c r="J691"/>
  <c r="U691" s="1"/>
  <c r="J690"/>
  <c r="U690" s="1"/>
  <c r="G695"/>
  <c r="R695" s="1"/>
  <c r="G692"/>
  <c r="R692" s="1"/>
  <c r="G694"/>
  <c r="R694" s="1"/>
  <c r="G691"/>
  <c r="R691" s="1"/>
  <c r="G693"/>
  <c r="R693" s="1"/>
  <c r="G690"/>
  <c r="R690" s="1"/>
  <c r="I969"/>
  <c r="T969" s="1"/>
  <c r="F969"/>
  <c r="Q969" s="1"/>
  <c r="I968"/>
  <c r="T968" s="1"/>
  <c r="F968"/>
  <c r="Q968" s="1"/>
  <c r="I967"/>
  <c r="T967" s="1"/>
  <c r="F967"/>
  <c r="Q967" s="1"/>
  <c r="I966"/>
  <c r="T966" s="1"/>
  <c r="F966"/>
  <c r="Q966" s="1"/>
  <c r="I965"/>
  <c r="T965" s="1"/>
  <c r="F965"/>
  <c r="Q965" s="1"/>
  <c r="I964"/>
  <c r="T964" s="1"/>
  <c r="F964"/>
  <c r="Q964" s="1"/>
  <c r="K969"/>
  <c r="V969" s="1"/>
  <c r="G969"/>
  <c r="R969" s="1"/>
  <c r="K968"/>
  <c r="V968" s="1"/>
  <c r="G968"/>
  <c r="R968" s="1"/>
  <c r="K967"/>
  <c r="V967" s="1"/>
  <c r="G967"/>
  <c r="R967" s="1"/>
  <c r="K966"/>
  <c r="V966" s="1"/>
  <c r="G966"/>
  <c r="R966" s="1"/>
  <c r="K965"/>
  <c r="V965" s="1"/>
  <c r="G965"/>
  <c r="R965" s="1"/>
  <c r="K964"/>
  <c r="V964" s="1"/>
  <c r="G964"/>
  <c r="R964" s="1"/>
  <c r="J969"/>
  <c r="U969" s="1"/>
  <c r="E969"/>
  <c r="J968"/>
  <c r="U968" s="1"/>
  <c r="E968"/>
  <c r="J967"/>
  <c r="U967" s="1"/>
  <c r="E967"/>
  <c r="J966"/>
  <c r="U966" s="1"/>
  <c r="E966"/>
  <c r="J965"/>
  <c r="U965" s="1"/>
  <c r="E965"/>
  <c r="J964"/>
  <c r="U964" s="1"/>
  <c r="E964"/>
  <c r="H969"/>
  <c r="S969" s="1"/>
  <c r="H966"/>
  <c r="S966" s="1"/>
  <c r="H967"/>
  <c r="S967" s="1"/>
  <c r="H964"/>
  <c r="S964" s="1"/>
  <c r="H965"/>
  <c r="S965" s="1"/>
  <c r="H968"/>
  <c r="S968" s="1"/>
  <c r="K96"/>
  <c r="V96" s="1"/>
  <c r="H96"/>
  <c r="S96" s="1"/>
  <c r="E96"/>
  <c r="K95"/>
  <c r="V95" s="1"/>
  <c r="H95"/>
  <c r="S95" s="1"/>
  <c r="E95"/>
  <c r="K94"/>
  <c r="V94" s="1"/>
  <c r="H94"/>
  <c r="S94" s="1"/>
  <c r="E94"/>
  <c r="K93"/>
  <c r="V93" s="1"/>
  <c r="H93"/>
  <c r="S93" s="1"/>
  <c r="E93"/>
  <c r="K92"/>
  <c r="V92" s="1"/>
  <c r="H92"/>
  <c r="S92" s="1"/>
  <c r="E92"/>
  <c r="K91"/>
  <c r="V91" s="1"/>
  <c r="H91"/>
  <c r="S91" s="1"/>
  <c r="E91"/>
  <c r="J96"/>
  <c r="U96" s="1"/>
  <c r="G96"/>
  <c r="R96" s="1"/>
  <c r="J95"/>
  <c r="U95" s="1"/>
  <c r="G95"/>
  <c r="R95" s="1"/>
  <c r="J94"/>
  <c r="U94" s="1"/>
  <c r="G94"/>
  <c r="R94" s="1"/>
  <c r="J93"/>
  <c r="U93" s="1"/>
  <c r="G93"/>
  <c r="R93" s="1"/>
  <c r="J92"/>
  <c r="U92" s="1"/>
  <c r="G92"/>
  <c r="R92" s="1"/>
  <c r="J91"/>
  <c r="U91" s="1"/>
  <c r="G91"/>
  <c r="R91" s="1"/>
  <c r="F96"/>
  <c r="Q96" s="1"/>
  <c r="F95"/>
  <c r="Q95" s="1"/>
  <c r="F94"/>
  <c r="Q94" s="1"/>
  <c r="F93"/>
  <c r="Q93" s="1"/>
  <c r="F92"/>
  <c r="Q92" s="1"/>
  <c r="F91"/>
  <c r="Q91" s="1"/>
  <c r="I96"/>
  <c r="T96" s="1"/>
  <c r="I95"/>
  <c r="T95" s="1"/>
  <c r="I94"/>
  <c r="T94" s="1"/>
  <c r="I93"/>
  <c r="T93" s="1"/>
  <c r="I92"/>
  <c r="T92" s="1"/>
  <c r="I91"/>
  <c r="T91" s="1"/>
  <c r="K141"/>
  <c r="V141" s="1"/>
  <c r="H141"/>
  <c r="S141" s="1"/>
  <c r="E141"/>
  <c r="K140"/>
  <c r="V140" s="1"/>
  <c r="H140"/>
  <c r="S140" s="1"/>
  <c r="E140"/>
  <c r="K139"/>
  <c r="V139" s="1"/>
  <c r="H139"/>
  <c r="S139" s="1"/>
  <c r="E139"/>
  <c r="K138"/>
  <c r="V138" s="1"/>
  <c r="H138"/>
  <c r="S138" s="1"/>
  <c r="E138"/>
  <c r="K137"/>
  <c r="V137" s="1"/>
  <c r="H137"/>
  <c r="S137" s="1"/>
  <c r="E137"/>
  <c r="K136"/>
  <c r="V136" s="1"/>
  <c r="H136"/>
  <c r="S136" s="1"/>
  <c r="E136"/>
  <c r="J141"/>
  <c r="U141" s="1"/>
  <c r="G141"/>
  <c r="R141" s="1"/>
  <c r="J140"/>
  <c r="U140" s="1"/>
  <c r="G140"/>
  <c r="R140" s="1"/>
  <c r="J139"/>
  <c r="U139" s="1"/>
  <c r="G139"/>
  <c r="R139" s="1"/>
  <c r="J138"/>
  <c r="U138" s="1"/>
  <c r="G138"/>
  <c r="R138" s="1"/>
  <c r="J137"/>
  <c r="U137" s="1"/>
  <c r="G137"/>
  <c r="R137" s="1"/>
  <c r="J136"/>
  <c r="U136" s="1"/>
  <c r="G136"/>
  <c r="R136" s="1"/>
  <c r="F141"/>
  <c r="Q141" s="1"/>
  <c r="F140"/>
  <c r="Q140" s="1"/>
  <c r="F139"/>
  <c r="Q139" s="1"/>
  <c r="F138"/>
  <c r="Q138" s="1"/>
  <c r="F137"/>
  <c r="Q137" s="1"/>
  <c r="F136"/>
  <c r="Q136" s="1"/>
  <c r="I141"/>
  <c r="T141" s="1"/>
  <c r="I140"/>
  <c r="T140" s="1"/>
  <c r="I139"/>
  <c r="T139" s="1"/>
  <c r="I138"/>
  <c r="T138" s="1"/>
  <c r="I137"/>
  <c r="T137" s="1"/>
  <c r="I136"/>
  <c r="T136" s="1"/>
  <c r="J263"/>
  <c r="U263" s="1"/>
  <c r="G263"/>
  <c r="R263" s="1"/>
  <c r="J262"/>
  <c r="U262" s="1"/>
  <c r="G262"/>
  <c r="R262" s="1"/>
  <c r="J261"/>
  <c r="U261" s="1"/>
  <c r="G261"/>
  <c r="R261" s="1"/>
  <c r="J260"/>
  <c r="U260" s="1"/>
  <c r="G260"/>
  <c r="R260" s="1"/>
  <c r="J259"/>
  <c r="U259" s="1"/>
  <c r="G259"/>
  <c r="R259" s="1"/>
  <c r="J258"/>
  <c r="U258" s="1"/>
  <c r="G258"/>
  <c r="R258" s="1"/>
  <c r="I263"/>
  <c r="T263" s="1"/>
  <c r="F263"/>
  <c r="Q263" s="1"/>
  <c r="I262"/>
  <c r="T262" s="1"/>
  <c r="F262"/>
  <c r="Q262" s="1"/>
  <c r="I261"/>
  <c r="T261" s="1"/>
  <c r="F261"/>
  <c r="Q261" s="1"/>
  <c r="I260"/>
  <c r="T260" s="1"/>
  <c r="F260"/>
  <c r="Q260" s="1"/>
  <c r="I259"/>
  <c r="T259" s="1"/>
  <c r="F259"/>
  <c r="Q259" s="1"/>
  <c r="I258"/>
  <c r="T258" s="1"/>
  <c r="F258"/>
  <c r="Q258" s="1"/>
  <c r="H263"/>
  <c r="S263" s="1"/>
  <c r="H262"/>
  <c r="S262" s="1"/>
  <c r="H261"/>
  <c r="S261" s="1"/>
  <c r="H260"/>
  <c r="S260" s="1"/>
  <c r="H259"/>
  <c r="S259" s="1"/>
  <c r="H258"/>
  <c r="S258" s="1"/>
  <c r="K263"/>
  <c r="V263" s="1"/>
  <c r="K262"/>
  <c r="V262" s="1"/>
  <c r="K261"/>
  <c r="V261" s="1"/>
  <c r="K260"/>
  <c r="V260" s="1"/>
  <c r="K259"/>
  <c r="V259" s="1"/>
  <c r="K258"/>
  <c r="V258" s="1"/>
  <c r="E263"/>
  <c r="E262"/>
  <c r="E261"/>
  <c r="E260"/>
  <c r="E259"/>
  <c r="E258"/>
  <c r="J338"/>
  <c r="U338" s="1"/>
  <c r="G338"/>
  <c r="R338" s="1"/>
  <c r="J337"/>
  <c r="U337" s="1"/>
  <c r="G337"/>
  <c r="R337" s="1"/>
  <c r="J336"/>
  <c r="U336" s="1"/>
  <c r="G336"/>
  <c r="R336" s="1"/>
  <c r="J335"/>
  <c r="U335" s="1"/>
  <c r="G335"/>
  <c r="R335" s="1"/>
  <c r="J334"/>
  <c r="U334" s="1"/>
  <c r="G334"/>
  <c r="R334" s="1"/>
  <c r="J333"/>
  <c r="U333" s="1"/>
  <c r="G333"/>
  <c r="R333" s="1"/>
  <c r="I338"/>
  <c r="T338" s="1"/>
  <c r="F338"/>
  <c r="Q338" s="1"/>
  <c r="I337"/>
  <c r="T337" s="1"/>
  <c r="F337"/>
  <c r="Q337" s="1"/>
  <c r="I336"/>
  <c r="T336" s="1"/>
  <c r="F336"/>
  <c r="Q336" s="1"/>
  <c r="I335"/>
  <c r="T335" s="1"/>
  <c r="F335"/>
  <c r="Q335" s="1"/>
  <c r="I334"/>
  <c r="T334" s="1"/>
  <c r="F334"/>
  <c r="Q334" s="1"/>
  <c r="I333"/>
  <c r="T333" s="1"/>
  <c r="F333"/>
  <c r="Q333" s="1"/>
  <c r="K338"/>
  <c r="V338" s="1"/>
  <c r="E337"/>
  <c r="H336"/>
  <c r="S336" s="1"/>
  <c r="K335"/>
  <c r="V335" s="1"/>
  <c r="E334"/>
  <c r="H333"/>
  <c r="S333" s="1"/>
  <c r="E338"/>
  <c r="H337"/>
  <c r="S337" s="1"/>
  <c r="K336"/>
  <c r="V336" s="1"/>
  <c r="E335"/>
  <c r="H334"/>
  <c r="S334" s="1"/>
  <c r="K333"/>
  <c r="V333" s="1"/>
  <c r="H338"/>
  <c r="S338" s="1"/>
  <c r="K337"/>
  <c r="V337" s="1"/>
  <c r="E336"/>
  <c r="H335"/>
  <c r="S335" s="1"/>
  <c r="K334"/>
  <c r="V334" s="1"/>
  <c r="E333"/>
  <c r="I558"/>
  <c r="T558" s="1"/>
  <c r="F558"/>
  <c r="Q558" s="1"/>
  <c r="I557"/>
  <c r="T557" s="1"/>
  <c r="F557"/>
  <c r="Q557" s="1"/>
  <c r="I556"/>
  <c r="T556" s="1"/>
  <c r="F556"/>
  <c r="Q556" s="1"/>
  <c r="I555"/>
  <c r="T555" s="1"/>
  <c r="F555"/>
  <c r="Q555" s="1"/>
  <c r="I554"/>
  <c r="T554" s="1"/>
  <c r="F554"/>
  <c r="Q554" s="1"/>
  <c r="I553"/>
  <c r="T553" s="1"/>
  <c r="F553"/>
  <c r="Q553" s="1"/>
  <c r="J558"/>
  <c r="U558" s="1"/>
  <c r="E558"/>
  <c r="J557"/>
  <c r="U557" s="1"/>
  <c r="E557"/>
  <c r="J556"/>
  <c r="U556" s="1"/>
  <c r="E556"/>
  <c r="J555"/>
  <c r="U555" s="1"/>
  <c r="E555"/>
  <c r="J554"/>
  <c r="U554" s="1"/>
  <c r="E554"/>
  <c r="J553"/>
  <c r="U553" s="1"/>
  <c r="E553"/>
  <c r="H558"/>
  <c r="S558" s="1"/>
  <c r="H557"/>
  <c r="S557" s="1"/>
  <c r="H556"/>
  <c r="S556" s="1"/>
  <c r="H555"/>
  <c r="S555" s="1"/>
  <c r="H554"/>
  <c r="S554" s="1"/>
  <c r="H553"/>
  <c r="S553" s="1"/>
  <c r="K558"/>
  <c r="V558" s="1"/>
  <c r="K557"/>
  <c r="V557" s="1"/>
  <c r="K556"/>
  <c r="V556" s="1"/>
  <c r="K555"/>
  <c r="V555" s="1"/>
  <c r="K554"/>
  <c r="V554" s="1"/>
  <c r="K553"/>
  <c r="V553" s="1"/>
  <c r="G558"/>
  <c r="R558" s="1"/>
  <c r="G557"/>
  <c r="R557" s="1"/>
  <c r="G556"/>
  <c r="R556" s="1"/>
  <c r="G555"/>
  <c r="R555" s="1"/>
  <c r="G554"/>
  <c r="R554" s="1"/>
  <c r="G553"/>
  <c r="R553" s="1"/>
  <c r="K830"/>
  <c r="V830" s="1"/>
  <c r="H830"/>
  <c r="S830" s="1"/>
  <c r="E830"/>
  <c r="K829"/>
  <c r="V829" s="1"/>
  <c r="H829"/>
  <c r="S829" s="1"/>
  <c r="E829"/>
  <c r="K828"/>
  <c r="V828" s="1"/>
  <c r="H828"/>
  <c r="S828" s="1"/>
  <c r="E828"/>
  <c r="K827"/>
  <c r="V827" s="1"/>
  <c r="H827"/>
  <c r="S827" s="1"/>
  <c r="E827"/>
  <c r="K826"/>
  <c r="V826" s="1"/>
  <c r="H826"/>
  <c r="S826" s="1"/>
  <c r="E826"/>
  <c r="K825"/>
  <c r="V825" s="1"/>
  <c r="H825"/>
  <c r="S825" s="1"/>
  <c r="E825"/>
  <c r="J830"/>
  <c r="U830" s="1"/>
  <c r="G830"/>
  <c r="R830" s="1"/>
  <c r="J829"/>
  <c r="U829" s="1"/>
  <c r="G829"/>
  <c r="R829" s="1"/>
  <c r="J828"/>
  <c r="U828" s="1"/>
  <c r="G828"/>
  <c r="R828" s="1"/>
  <c r="J827"/>
  <c r="U827" s="1"/>
  <c r="G827"/>
  <c r="R827" s="1"/>
  <c r="J826"/>
  <c r="U826" s="1"/>
  <c r="G826"/>
  <c r="R826" s="1"/>
  <c r="J825"/>
  <c r="U825" s="1"/>
  <c r="G825"/>
  <c r="R825" s="1"/>
  <c r="F830"/>
  <c r="Q830" s="1"/>
  <c r="F829"/>
  <c r="Q829" s="1"/>
  <c r="F828"/>
  <c r="Q828" s="1"/>
  <c r="F827"/>
  <c r="Q827" s="1"/>
  <c r="F826"/>
  <c r="Q826" s="1"/>
  <c r="F825"/>
  <c r="Q825" s="1"/>
  <c r="I828"/>
  <c r="T828" s="1"/>
  <c r="I825"/>
  <c r="T825" s="1"/>
  <c r="I829"/>
  <c r="T829" s="1"/>
  <c r="I826"/>
  <c r="T826" s="1"/>
  <c r="I827"/>
  <c r="T827" s="1"/>
  <c r="I830"/>
  <c r="T830" s="1"/>
  <c r="I907"/>
  <c r="T907" s="1"/>
  <c r="F907"/>
  <c r="Q907" s="1"/>
  <c r="J906"/>
  <c r="U906" s="1"/>
  <c r="G906"/>
  <c r="R906" s="1"/>
  <c r="K905"/>
  <c r="V905" s="1"/>
  <c r="H905"/>
  <c r="S905" s="1"/>
  <c r="E905"/>
  <c r="I904"/>
  <c r="T904" s="1"/>
  <c r="F904"/>
  <c r="Q904" s="1"/>
  <c r="J903"/>
  <c r="U903" s="1"/>
  <c r="G903"/>
  <c r="R903" s="1"/>
  <c r="K902"/>
  <c r="V902" s="1"/>
  <c r="H902"/>
  <c r="S902" s="1"/>
  <c r="E902"/>
  <c r="K907"/>
  <c r="V907" s="1"/>
  <c r="H907"/>
  <c r="S907" s="1"/>
  <c r="E907"/>
  <c r="I906"/>
  <c r="T906" s="1"/>
  <c r="F906"/>
  <c r="Q906" s="1"/>
  <c r="J905"/>
  <c r="U905" s="1"/>
  <c r="G905"/>
  <c r="R905" s="1"/>
  <c r="K904"/>
  <c r="V904" s="1"/>
  <c r="H904"/>
  <c r="S904" s="1"/>
  <c r="E904"/>
  <c r="I903"/>
  <c r="T903" s="1"/>
  <c r="F903"/>
  <c r="Q903" s="1"/>
  <c r="J902"/>
  <c r="U902" s="1"/>
  <c r="G902"/>
  <c r="R902" s="1"/>
  <c r="J907"/>
  <c r="U907" s="1"/>
  <c r="H906"/>
  <c r="S906" s="1"/>
  <c r="F905"/>
  <c r="Q905" s="1"/>
  <c r="K903"/>
  <c r="V903" s="1"/>
  <c r="I902"/>
  <c r="T902" s="1"/>
  <c r="G907"/>
  <c r="R907" s="1"/>
  <c r="E906"/>
  <c r="J904"/>
  <c r="U904" s="1"/>
  <c r="H903"/>
  <c r="S903" s="1"/>
  <c r="F902"/>
  <c r="Q902" s="1"/>
  <c r="I905"/>
  <c r="T905" s="1"/>
  <c r="G904"/>
  <c r="R904" s="1"/>
  <c r="K906"/>
  <c r="V906" s="1"/>
  <c r="E903"/>
  <c r="I389"/>
  <c r="T389" s="1"/>
  <c r="F389"/>
  <c r="Q389" s="1"/>
  <c r="I388"/>
  <c r="T388" s="1"/>
  <c r="F388"/>
  <c r="Q388" s="1"/>
  <c r="I387"/>
  <c r="T387" s="1"/>
  <c r="F387"/>
  <c r="Q387" s="1"/>
  <c r="I386"/>
  <c r="T386" s="1"/>
  <c r="F386"/>
  <c r="Q386" s="1"/>
  <c r="I385"/>
  <c r="T385" s="1"/>
  <c r="F385"/>
  <c r="Q385" s="1"/>
  <c r="I384"/>
  <c r="F384"/>
  <c r="K389"/>
  <c r="V389" s="1"/>
  <c r="G389"/>
  <c r="R389" s="1"/>
  <c r="K388"/>
  <c r="V388" s="1"/>
  <c r="G388"/>
  <c r="R388" s="1"/>
  <c r="K387"/>
  <c r="V387" s="1"/>
  <c r="G387"/>
  <c r="R387" s="1"/>
  <c r="K386"/>
  <c r="V386" s="1"/>
  <c r="G386"/>
  <c r="R386" s="1"/>
  <c r="K385"/>
  <c r="V385" s="1"/>
  <c r="G385"/>
  <c r="R385" s="1"/>
  <c r="K384"/>
  <c r="G384"/>
  <c r="J389"/>
  <c r="U389" s="1"/>
  <c r="E389"/>
  <c r="J388"/>
  <c r="U388" s="1"/>
  <c r="E388"/>
  <c r="J387"/>
  <c r="U387" s="1"/>
  <c r="E387"/>
  <c r="J386"/>
  <c r="U386" s="1"/>
  <c r="E386"/>
  <c r="J385"/>
  <c r="U385" s="1"/>
  <c r="E385"/>
  <c r="J384"/>
  <c r="E384"/>
  <c r="H388"/>
  <c r="S388" s="1"/>
  <c r="H385"/>
  <c r="S385" s="1"/>
  <c r="H387"/>
  <c r="S387" s="1"/>
  <c r="H384"/>
  <c r="H389"/>
  <c r="S389" s="1"/>
  <c r="H386"/>
  <c r="S386" s="1"/>
  <c r="K434"/>
  <c r="V434" s="1"/>
  <c r="H434"/>
  <c r="S434" s="1"/>
  <c r="E434"/>
  <c r="I433"/>
  <c r="T433" s="1"/>
  <c r="F433"/>
  <c r="Q433" s="1"/>
  <c r="J432"/>
  <c r="U432" s="1"/>
  <c r="G432"/>
  <c r="R432" s="1"/>
  <c r="K431"/>
  <c r="V431" s="1"/>
  <c r="H431"/>
  <c r="S431" s="1"/>
  <c r="E431"/>
  <c r="I430"/>
  <c r="T430" s="1"/>
  <c r="F430"/>
  <c r="Q430" s="1"/>
  <c r="J429"/>
  <c r="U429" s="1"/>
  <c r="G429"/>
  <c r="R429" s="1"/>
  <c r="J434"/>
  <c r="U434" s="1"/>
  <c r="G434"/>
  <c r="R434" s="1"/>
  <c r="K433"/>
  <c r="V433" s="1"/>
  <c r="H433"/>
  <c r="S433" s="1"/>
  <c r="E433"/>
  <c r="I432"/>
  <c r="T432" s="1"/>
  <c r="F432"/>
  <c r="Q432" s="1"/>
  <c r="J431"/>
  <c r="U431" s="1"/>
  <c r="G431"/>
  <c r="R431" s="1"/>
  <c r="K430"/>
  <c r="V430" s="1"/>
  <c r="H430"/>
  <c r="S430" s="1"/>
  <c r="E430"/>
  <c r="I429"/>
  <c r="T429" s="1"/>
  <c r="F429"/>
  <c r="Q429" s="1"/>
  <c r="J433"/>
  <c r="U433" s="1"/>
  <c r="H432"/>
  <c r="S432" s="1"/>
  <c r="F431"/>
  <c r="Q431" s="1"/>
  <c r="K429"/>
  <c r="V429" s="1"/>
  <c r="F434"/>
  <c r="Q434" s="1"/>
  <c r="K432"/>
  <c r="V432" s="1"/>
  <c r="I431"/>
  <c r="T431" s="1"/>
  <c r="G430"/>
  <c r="R430" s="1"/>
  <c r="E429"/>
  <c r="I434"/>
  <c r="T434" s="1"/>
  <c r="G433"/>
  <c r="R433" s="1"/>
  <c r="E432"/>
  <c r="J430"/>
  <c r="U430" s="1"/>
  <c r="H429"/>
  <c r="S429" s="1"/>
  <c r="I543"/>
  <c r="T543" s="1"/>
  <c r="F543"/>
  <c r="Q543" s="1"/>
  <c r="I542"/>
  <c r="T542" s="1"/>
  <c r="F542"/>
  <c r="Q542" s="1"/>
  <c r="I541"/>
  <c r="T541" s="1"/>
  <c r="F541"/>
  <c r="Q541" s="1"/>
  <c r="I540"/>
  <c r="T540" s="1"/>
  <c r="F540"/>
  <c r="Q540" s="1"/>
  <c r="I539"/>
  <c r="T539" s="1"/>
  <c r="F539"/>
  <c r="Q539" s="1"/>
  <c r="I538"/>
  <c r="T538" s="1"/>
  <c r="F538"/>
  <c r="Q538" s="1"/>
  <c r="K543"/>
  <c r="V543" s="1"/>
  <c r="G543"/>
  <c r="R543" s="1"/>
  <c r="K542"/>
  <c r="V542" s="1"/>
  <c r="G542"/>
  <c r="R542" s="1"/>
  <c r="K541"/>
  <c r="V541" s="1"/>
  <c r="G541"/>
  <c r="R541" s="1"/>
  <c r="K540"/>
  <c r="V540" s="1"/>
  <c r="G540"/>
  <c r="R540" s="1"/>
  <c r="K539"/>
  <c r="V539" s="1"/>
  <c r="G539"/>
  <c r="R539" s="1"/>
  <c r="K538"/>
  <c r="V538" s="1"/>
  <c r="G538"/>
  <c r="R538" s="1"/>
  <c r="J543"/>
  <c r="U543" s="1"/>
  <c r="E543"/>
  <c r="J542"/>
  <c r="U542" s="1"/>
  <c r="E542"/>
  <c r="J541"/>
  <c r="U541" s="1"/>
  <c r="E541"/>
  <c r="J540"/>
  <c r="U540" s="1"/>
  <c r="E540"/>
  <c r="J539"/>
  <c r="U539" s="1"/>
  <c r="E539"/>
  <c r="J538"/>
  <c r="U538" s="1"/>
  <c r="E538"/>
  <c r="H542"/>
  <c r="S542" s="1"/>
  <c r="H539"/>
  <c r="S539" s="1"/>
  <c r="H541"/>
  <c r="S541" s="1"/>
  <c r="H538"/>
  <c r="S538" s="1"/>
  <c r="H543"/>
  <c r="S543" s="1"/>
  <c r="H540"/>
  <c r="S540" s="1"/>
  <c r="I710"/>
  <c r="T710" s="1"/>
  <c r="F710"/>
  <c r="Q710" s="1"/>
  <c r="I709"/>
  <c r="T709" s="1"/>
  <c r="F709"/>
  <c r="Q709" s="1"/>
  <c r="I708"/>
  <c r="T708" s="1"/>
  <c r="F708"/>
  <c r="Q708" s="1"/>
  <c r="I707"/>
  <c r="T707" s="1"/>
  <c r="F707"/>
  <c r="Q707" s="1"/>
  <c r="I706"/>
  <c r="T706" s="1"/>
  <c r="F706"/>
  <c r="Q706" s="1"/>
  <c r="I705"/>
  <c r="T705" s="1"/>
  <c r="F705"/>
  <c r="Q705" s="1"/>
  <c r="K710"/>
  <c r="V710" s="1"/>
  <c r="H710"/>
  <c r="S710" s="1"/>
  <c r="E710"/>
  <c r="K709"/>
  <c r="V709" s="1"/>
  <c r="H709"/>
  <c r="S709" s="1"/>
  <c r="E709"/>
  <c r="K708"/>
  <c r="V708" s="1"/>
  <c r="H708"/>
  <c r="S708" s="1"/>
  <c r="E708"/>
  <c r="K707"/>
  <c r="V707" s="1"/>
  <c r="H707"/>
  <c r="S707" s="1"/>
  <c r="E707"/>
  <c r="K706"/>
  <c r="V706" s="1"/>
  <c r="H706"/>
  <c r="S706" s="1"/>
  <c r="E706"/>
  <c r="K705"/>
  <c r="V705" s="1"/>
  <c r="H705"/>
  <c r="S705" s="1"/>
  <c r="E705"/>
  <c r="J710"/>
  <c r="U710" s="1"/>
  <c r="J709"/>
  <c r="U709" s="1"/>
  <c r="J708"/>
  <c r="U708" s="1"/>
  <c r="J707"/>
  <c r="U707" s="1"/>
  <c r="J706"/>
  <c r="U706" s="1"/>
  <c r="J705"/>
  <c r="U705" s="1"/>
  <c r="G710"/>
  <c r="R710" s="1"/>
  <c r="G709"/>
  <c r="R709" s="1"/>
  <c r="G708"/>
  <c r="R708" s="1"/>
  <c r="G707"/>
  <c r="R707" s="1"/>
  <c r="G706"/>
  <c r="R706" s="1"/>
  <c r="G705"/>
  <c r="R705" s="1"/>
  <c r="K877"/>
  <c r="V877" s="1"/>
  <c r="H877"/>
  <c r="S877" s="1"/>
  <c r="E877"/>
  <c r="K876"/>
  <c r="V876" s="1"/>
  <c r="H876"/>
  <c r="S876" s="1"/>
  <c r="E876"/>
  <c r="K875"/>
  <c r="V875" s="1"/>
  <c r="H875"/>
  <c r="S875" s="1"/>
  <c r="E875"/>
  <c r="K874"/>
  <c r="V874" s="1"/>
  <c r="H874"/>
  <c r="S874" s="1"/>
  <c r="E874"/>
  <c r="K873"/>
  <c r="V873" s="1"/>
  <c r="H873"/>
  <c r="S873" s="1"/>
  <c r="E873"/>
  <c r="K872"/>
  <c r="V872" s="1"/>
  <c r="H872"/>
  <c r="S872" s="1"/>
  <c r="E872"/>
  <c r="J877"/>
  <c r="U877" s="1"/>
  <c r="G877"/>
  <c r="R877" s="1"/>
  <c r="J876"/>
  <c r="U876" s="1"/>
  <c r="G876"/>
  <c r="R876" s="1"/>
  <c r="J875"/>
  <c r="U875" s="1"/>
  <c r="G875"/>
  <c r="R875" s="1"/>
  <c r="J874"/>
  <c r="U874" s="1"/>
  <c r="G874"/>
  <c r="R874" s="1"/>
  <c r="J873"/>
  <c r="U873" s="1"/>
  <c r="G873"/>
  <c r="R873" s="1"/>
  <c r="J872"/>
  <c r="U872" s="1"/>
  <c r="G872"/>
  <c r="R872" s="1"/>
  <c r="I877"/>
  <c r="T877" s="1"/>
  <c r="I876"/>
  <c r="T876" s="1"/>
  <c r="I875"/>
  <c r="T875" s="1"/>
  <c r="I874"/>
  <c r="T874" s="1"/>
  <c r="I873"/>
  <c r="T873" s="1"/>
  <c r="I872"/>
  <c r="T872" s="1"/>
  <c r="F876"/>
  <c r="Q876" s="1"/>
  <c r="F873"/>
  <c r="Q873" s="1"/>
  <c r="F877"/>
  <c r="Q877" s="1"/>
  <c r="F874"/>
  <c r="Q874" s="1"/>
  <c r="F872"/>
  <c r="Q872" s="1"/>
  <c r="F875"/>
  <c r="Q875" s="1"/>
  <c r="T119" i="39"/>
  <c r="E46" i="111" a="1"/>
  <c r="I740"/>
  <c r="T740" s="1"/>
  <c r="F740"/>
  <c r="Q740" s="1"/>
  <c r="I739"/>
  <c r="T739" s="1"/>
  <c r="F739"/>
  <c r="Q739" s="1"/>
  <c r="I738"/>
  <c r="T738" s="1"/>
  <c r="F738"/>
  <c r="Q738" s="1"/>
  <c r="I737"/>
  <c r="T737" s="1"/>
  <c r="F737"/>
  <c r="Q737" s="1"/>
  <c r="I736"/>
  <c r="T736" s="1"/>
  <c r="F736"/>
  <c r="Q736" s="1"/>
  <c r="I735"/>
  <c r="T735" s="1"/>
  <c r="F735"/>
  <c r="Q735" s="1"/>
  <c r="J740"/>
  <c r="U740" s="1"/>
  <c r="E740"/>
  <c r="J739"/>
  <c r="U739" s="1"/>
  <c r="E739"/>
  <c r="J738"/>
  <c r="U738" s="1"/>
  <c r="E738"/>
  <c r="J737"/>
  <c r="U737" s="1"/>
  <c r="E737"/>
  <c r="J736"/>
  <c r="U736" s="1"/>
  <c r="E736"/>
  <c r="J735"/>
  <c r="U735" s="1"/>
  <c r="E735"/>
  <c r="H740"/>
  <c r="S740" s="1"/>
  <c r="H739"/>
  <c r="S739" s="1"/>
  <c r="H738"/>
  <c r="S738" s="1"/>
  <c r="H737"/>
  <c r="S737" s="1"/>
  <c r="H736"/>
  <c r="S736" s="1"/>
  <c r="H735"/>
  <c r="S735" s="1"/>
  <c r="K739"/>
  <c r="V739" s="1"/>
  <c r="G738"/>
  <c r="R738" s="1"/>
  <c r="K736"/>
  <c r="V736" s="1"/>
  <c r="G735"/>
  <c r="R735" s="1"/>
  <c r="K740"/>
  <c r="V740" s="1"/>
  <c r="G739"/>
  <c r="R739" s="1"/>
  <c r="K737"/>
  <c r="V737" s="1"/>
  <c r="G736"/>
  <c r="R736" s="1"/>
  <c r="G740"/>
  <c r="R740" s="1"/>
  <c r="K735"/>
  <c r="V735" s="1"/>
  <c r="G737"/>
  <c r="R737" s="1"/>
  <c r="K738"/>
  <c r="V738" s="1"/>
  <c r="J323"/>
  <c r="U323" s="1"/>
  <c r="G323"/>
  <c r="R323" s="1"/>
  <c r="J322"/>
  <c r="U322" s="1"/>
  <c r="G322"/>
  <c r="R322" s="1"/>
  <c r="J321"/>
  <c r="U321" s="1"/>
  <c r="G321"/>
  <c r="R321" s="1"/>
  <c r="J320"/>
  <c r="U320" s="1"/>
  <c r="G320"/>
  <c r="R320" s="1"/>
  <c r="J319"/>
  <c r="U319" s="1"/>
  <c r="G319"/>
  <c r="R319" s="1"/>
  <c r="J318"/>
  <c r="U318" s="1"/>
  <c r="G318"/>
  <c r="R318" s="1"/>
  <c r="I323"/>
  <c r="T323" s="1"/>
  <c r="F323"/>
  <c r="Q323" s="1"/>
  <c r="I322"/>
  <c r="T322" s="1"/>
  <c r="F322"/>
  <c r="Q322" s="1"/>
  <c r="I321"/>
  <c r="T321" s="1"/>
  <c r="F321"/>
  <c r="Q321" s="1"/>
  <c r="I320"/>
  <c r="T320" s="1"/>
  <c r="F320"/>
  <c r="Q320" s="1"/>
  <c r="I319"/>
  <c r="T319" s="1"/>
  <c r="F319"/>
  <c r="Q319" s="1"/>
  <c r="I318"/>
  <c r="T318" s="1"/>
  <c r="F318"/>
  <c r="Q318" s="1"/>
  <c r="K323"/>
  <c r="V323" s="1"/>
  <c r="K322"/>
  <c r="V322" s="1"/>
  <c r="K321"/>
  <c r="V321" s="1"/>
  <c r="K320"/>
  <c r="V320" s="1"/>
  <c r="K319"/>
  <c r="V319" s="1"/>
  <c r="E318"/>
  <c r="E323"/>
  <c r="E322"/>
  <c r="E321"/>
  <c r="E320"/>
  <c r="E319"/>
  <c r="H318"/>
  <c r="S318" s="1"/>
  <c r="H323"/>
  <c r="S323" s="1"/>
  <c r="H322"/>
  <c r="S322" s="1"/>
  <c r="H321"/>
  <c r="S321" s="1"/>
  <c r="H320"/>
  <c r="S320" s="1"/>
  <c r="H319"/>
  <c r="S319" s="1"/>
  <c r="K318"/>
  <c r="V318" s="1"/>
  <c r="J999"/>
  <c r="U999" s="1"/>
  <c r="G999"/>
  <c r="R999" s="1"/>
  <c r="K998"/>
  <c r="V998" s="1"/>
  <c r="H998"/>
  <c r="S998" s="1"/>
  <c r="E998"/>
  <c r="I997"/>
  <c r="T997" s="1"/>
  <c r="F997"/>
  <c r="Q997" s="1"/>
  <c r="J996"/>
  <c r="U996" s="1"/>
  <c r="G996"/>
  <c r="R996" s="1"/>
  <c r="K995"/>
  <c r="V995" s="1"/>
  <c r="H995"/>
  <c r="S995" s="1"/>
  <c r="E995"/>
  <c r="I994"/>
  <c r="T994" s="1"/>
  <c r="F994"/>
  <c r="Q994" s="1"/>
  <c r="H999"/>
  <c r="S999" s="1"/>
  <c r="J998"/>
  <c r="U998" s="1"/>
  <c r="F998"/>
  <c r="Q998" s="1"/>
  <c r="H997"/>
  <c r="S997" s="1"/>
  <c r="K996"/>
  <c r="V996" s="1"/>
  <c r="F996"/>
  <c r="Q996" s="1"/>
  <c r="I995"/>
  <c r="T995" s="1"/>
  <c r="K994"/>
  <c r="V994" s="1"/>
  <c r="G994"/>
  <c r="R994" s="1"/>
  <c r="K999"/>
  <c r="V999" s="1"/>
  <c r="F999"/>
  <c r="Q999" s="1"/>
  <c r="I998"/>
  <c r="T998" s="1"/>
  <c r="K997"/>
  <c r="V997" s="1"/>
  <c r="G997"/>
  <c r="R997" s="1"/>
  <c r="I996"/>
  <c r="T996" s="1"/>
  <c r="E996"/>
  <c r="G995"/>
  <c r="R995" s="1"/>
  <c r="J994"/>
  <c r="U994" s="1"/>
  <c r="E994"/>
  <c r="I999"/>
  <c r="T999" s="1"/>
  <c r="J997"/>
  <c r="U997" s="1"/>
  <c r="J995"/>
  <c r="U995" s="1"/>
  <c r="E999"/>
  <c r="E997"/>
  <c r="F995"/>
  <c r="Q995" s="1"/>
  <c r="H996"/>
  <c r="S996" s="1"/>
  <c r="H994"/>
  <c r="S994" s="1"/>
  <c r="G998"/>
  <c r="R998" s="1"/>
  <c r="J513"/>
  <c r="U513" s="1"/>
  <c r="G513"/>
  <c r="R513" s="1"/>
  <c r="J512"/>
  <c r="U512" s="1"/>
  <c r="G512"/>
  <c r="R512" s="1"/>
  <c r="J511"/>
  <c r="U511" s="1"/>
  <c r="G511"/>
  <c r="R511" s="1"/>
  <c r="J510"/>
  <c r="U510" s="1"/>
  <c r="G510"/>
  <c r="R510" s="1"/>
  <c r="J509"/>
  <c r="U509" s="1"/>
  <c r="G509"/>
  <c r="R509" s="1"/>
  <c r="J508"/>
  <c r="U508" s="1"/>
  <c r="G508"/>
  <c r="R508" s="1"/>
  <c r="I513"/>
  <c r="T513" s="1"/>
  <c r="F513"/>
  <c r="Q513" s="1"/>
  <c r="I512"/>
  <c r="T512" s="1"/>
  <c r="F512"/>
  <c r="Q512" s="1"/>
  <c r="I511"/>
  <c r="T511" s="1"/>
  <c r="F511"/>
  <c r="Q511" s="1"/>
  <c r="I510"/>
  <c r="T510" s="1"/>
  <c r="F510"/>
  <c r="Q510" s="1"/>
  <c r="I509"/>
  <c r="T509" s="1"/>
  <c r="F509"/>
  <c r="Q509" s="1"/>
  <c r="I508"/>
  <c r="T508" s="1"/>
  <c r="F508"/>
  <c r="Q508" s="1"/>
  <c r="H513"/>
  <c r="S513" s="1"/>
  <c r="K512"/>
  <c r="V512" s="1"/>
  <c r="E511"/>
  <c r="H510"/>
  <c r="S510" s="1"/>
  <c r="K509"/>
  <c r="V509" s="1"/>
  <c r="E508"/>
  <c r="K513"/>
  <c r="V513" s="1"/>
  <c r="E512"/>
  <c r="H511"/>
  <c r="S511" s="1"/>
  <c r="K510"/>
  <c r="V510" s="1"/>
  <c r="E509"/>
  <c r="H508"/>
  <c r="S508" s="1"/>
  <c r="E513"/>
  <c r="H512"/>
  <c r="S512" s="1"/>
  <c r="K511"/>
  <c r="V511" s="1"/>
  <c r="E510"/>
  <c r="H509"/>
  <c r="S509" s="1"/>
  <c r="K508"/>
  <c r="V508" s="1"/>
  <c r="J188"/>
  <c r="U188" s="1"/>
  <c r="G188"/>
  <c r="R188" s="1"/>
  <c r="J187"/>
  <c r="U187" s="1"/>
  <c r="G187"/>
  <c r="R187" s="1"/>
  <c r="J186"/>
  <c r="U186" s="1"/>
  <c r="G186"/>
  <c r="R186" s="1"/>
  <c r="J185"/>
  <c r="U185" s="1"/>
  <c r="G185"/>
  <c r="R185" s="1"/>
  <c r="J184"/>
  <c r="U184" s="1"/>
  <c r="G184"/>
  <c r="R184" s="1"/>
  <c r="J183"/>
  <c r="U183" s="1"/>
  <c r="G183"/>
  <c r="R183" s="1"/>
  <c r="I188"/>
  <c r="T188" s="1"/>
  <c r="F188"/>
  <c r="Q188" s="1"/>
  <c r="I187"/>
  <c r="T187" s="1"/>
  <c r="F187"/>
  <c r="Q187" s="1"/>
  <c r="I186"/>
  <c r="T186" s="1"/>
  <c r="F186"/>
  <c r="Q186" s="1"/>
  <c r="I185"/>
  <c r="T185" s="1"/>
  <c r="F185"/>
  <c r="Q185" s="1"/>
  <c r="I184"/>
  <c r="T184" s="1"/>
  <c r="F184"/>
  <c r="Q184" s="1"/>
  <c r="I183"/>
  <c r="T183" s="1"/>
  <c r="F183"/>
  <c r="Q183" s="1"/>
  <c r="H188"/>
  <c r="S188" s="1"/>
  <c r="H187"/>
  <c r="S187" s="1"/>
  <c r="H186"/>
  <c r="S186" s="1"/>
  <c r="H185"/>
  <c r="S185" s="1"/>
  <c r="H184"/>
  <c r="S184" s="1"/>
  <c r="H183"/>
  <c r="S183" s="1"/>
  <c r="K188"/>
  <c r="V188" s="1"/>
  <c r="K187"/>
  <c r="V187" s="1"/>
  <c r="K186"/>
  <c r="V186" s="1"/>
  <c r="K185"/>
  <c r="V185" s="1"/>
  <c r="K184"/>
  <c r="V184" s="1"/>
  <c r="K183"/>
  <c r="V183" s="1"/>
  <c r="E188"/>
  <c r="E187"/>
  <c r="E186"/>
  <c r="E185"/>
  <c r="E184"/>
  <c r="E183"/>
  <c r="J528"/>
  <c r="U528" s="1"/>
  <c r="G528"/>
  <c r="R528" s="1"/>
  <c r="J527"/>
  <c r="U527" s="1"/>
  <c r="G527"/>
  <c r="R527" s="1"/>
  <c r="J526"/>
  <c r="U526" s="1"/>
  <c r="G526"/>
  <c r="R526" s="1"/>
  <c r="J525"/>
  <c r="U525" s="1"/>
  <c r="G525"/>
  <c r="R525" s="1"/>
  <c r="J524"/>
  <c r="U524" s="1"/>
  <c r="G524"/>
  <c r="R524" s="1"/>
  <c r="J523"/>
  <c r="U523" s="1"/>
  <c r="G523"/>
  <c r="R523" s="1"/>
  <c r="I528"/>
  <c r="T528" s="1"/>
  <c r="F528"/>
  <c r="Q528" s="1"/>
  <c r="I527"/>
  <c r="T527" s="1"/>
  <c r="F527"/>
  <c r="Q527" s="1"/>
  <c r="I526"/>
  <c r="T526" s="1"/>
  <c r="F526"/>
  <c r="Q526" s="1"/>
  <c r="I525"/>
  <c r="T525" s="1"/>
  <c r="F525"/>
  <c r="Q525" s="1"/>
  <c r="I524"/>
  <c r="T524" s="1"/>
  <c r="F524"/>
  <c r="Q524" s="1"/>
  <c r="I523"/>
  <c r="T523" s="1"/>
  <c r="F523"/>
  <c r="Q523" s="1"/>
  <c r="H528"/>
  <c r="S528" s="1"/>
  <c r="K527"/>
  <c r="V527" s="1"/>
  <c r="E526"/>
  <c r="H525"/>
  <c r="S525" s="1"/>
  <c r="K524"/>
  <c r="V524" s="1"/>
  <c r="E523"/>
  <c r="K528"/>
  <c r="V528" s="1"/>
  <c r="E527"/>
  <c r="H526"/>
  <c r="S526" s="1"/>
  <c r="K525"/>
  <c r="V525" s="1"/>
  <c r="E524"/>
  <c r="H523"/>
  <c r="S523" s="1"/>
  <c r="E528"/>
  <c r="H527"/>
  <c r="S527" s="1"/>
  <c r="K526"/>
  <c r="V526" s="1"/>
  <c r="E525"/>
  <c r="H524"/>
  <c r="S524" s="1"/>
  <c r="K523"/>
  <c r="V523" s="1"/>
  <c r="I404"/>
  <c r="T404" s="1"/>
  <c r="F404"/>
  <c r="Q404" s="1"/>
  <c r="I403"/>
  <c r="T403" s="1"/>
  <c r="F403"/>
  <c r="Q403" s="1"/>
  <c r="I402"/>
  <c r="T402" s="1"/>
  <c r="F402"/>
  <c r="Q402" s="1"/>
  <c r="I401"/>
  <c r="T401" s="1"/>
  <c r="F401"/>
  <c r="Q401" s="1"/>
  <c r="I400"/>
  <c r="T400" s="1"/>
  <c r="F400"/>
  <c r="Q400" s="1"/>
  <c r="I399"/>
  <c r="T399" s="1"/>
  <c r="F399"/>
  <c r="Q399" s="1"/>
  <c r="J404"/>
  <c r="U404" s="1"/>
  <c r="E404"/>
  <c r="J403"/>
  <c r="U403" s="1"/>
  <c r="E403"/>
  <c r="J402"/>
  <c r="U402" s="1"/>
  <c r="E402"/>
  <c r="J401"/>
  <c r="U401" s="1"/>
  <c r="E401"/>
  <c r="J400"/>
  <c r="U400" s="1"/>
  <c r="E400"/>
  <c r="J399"/>
  <c r="U399" s="1"/>
  <c r="E399"/>
  <c r="K404"/>
  <c r="V404" s="1"/>
  <c r="G404"/>
  <c r="R404" s="1"/>
  <c r="G403"/>
  <c r="R403" s="1"/>
  <c r="G402"/>
  <c r="R402" s="1"/>
  <c r="G401"/>
  <c r="R401" s="1"/>
  <c r="G400"/>
  <c r="R400" s="1"/>
  <c r="G399"/>
  <c r="R399" s="1"/>
  <c r="H404"/>
  <c r="S404" s="1"/>
  <c r="H403"/>
  <c r="S403" s="1"/>
  <c r="H402"/>
  <c r="S402" s="1"/>
  <c r="H401"/>
  <c r="S401" s="1"/>
  <c r="H400"/>
  <c r="S400" s="1"/>
  <c r="H399"/>
  <c r="S399" s="1"/>
  <c r="K403"/>
  <c r="V403" s="1"/>
  <c r="K402"/>
  <c r="V402" s="1"/>
  <c r="K401"/>
  <c r="V401" s="1"/>
  <c r="K400"/>
  <c r="V400" s="1"/>
  <c r="K399"/>
  <c r="V399" s="1"/>
  <c r="J293"/>
  <c r="U293" s="1"/>
  <c r="G293"/>
  <c r="R293" s="1"/>
  <c r="J292"/>
  <c r="U292" s="1"/>
  <c r="G292"/>
  <c r="R292" s="1"/>
  <c r="J291"/>
  <c r="U291" s="1"/>
  <c r="G291"/>
  <c r="R291" s="1"/>
  <c r="J290"/>
  <c r="U290" s="1"/>
  <c r="G290"/>
  <c r="R290" s="1"/>
  <c r="J289"/>
  <c r="U289" s="1"/>
  <c r="G289"/>
  <c r="R289" s="1"/>
  <c r="J288"/>
  <c r="U288" s="1"/>
  <c r="G288"/>
  <c r="R288" s="1"/>
  <c r="I293"/>
  <c r="T293" s="1"/>
  <c r="F293"/>
  <c r="Q293" s="1"/>
  <c r="I292"/>
  <c r="T292" s="1"/>
  <c r="F292"/>
  <c r="Q292" s="1"/>
  <c r="I291"/>
  <c r="T291" s="1"/>
  <c r="F291"/>
  <c r="Q291" s="1"/>
  <c r="I290"/>
  <c r="T290" s="1"/>
  <c r="F290"/>
  <c r="Q290" s="1"/>
  <c r="I289"/>
  <c r="T289" s="1"/>
  <c r="F289"/>
  <c r="Q289" s="1"/>
  <c r="I288"/>
  <c r="T288" s="1"/>
  <c r="F288"/>
  <c r="Q288" s="1"/>
  <c r="H293"/>
  <c r="S293" s="1"/>
  <c r="H292"/>
  <c r="S292" s="1"/>
  <c r="H291"/>
  <c r="S291" s="1"/>
  <c r="H290"/>
  <c r="S290" s="1"/>
  <c r="H289"/>
  <c r="S289" s="1"/>
  <c r="H288"/>
  <c r="S288" s="1"/>
  <c r="K293"/>
  <c r="V293" s="1"/>
  <c r="K292"/>
  <c r="V292" s="1"/>
  <c r="K291"/>
  <c r="V291" s="1"/>
  <c r="K290"/>
  <c r="V290" s="1"/>
  <c r="K289"/>
  <c r="V289" s="1"/>
  <c r="K288"/>
  <c r="V288" s="1"/>
  <c r="E293"/>
  <c r="E292"/>
  <c r="E291"/>
  <c r="E290"/>
  <c r="E289"/>
  <c r="E288"/>
  <c r="E949" a="1"/>
  <c r="B153" i="106"/>
  <c r="B189" i="111"/>
  <c r="J483"/>
  <c r="U483" s="1"/>
  <c r="G483"/>
  <c r="R483" s="1"/>
  <c r="J482"/>
  <c r="U482" s="1"/>
  <c r="G482"/>
  <c r="R482" s="1"/>
  <c r="J481"/>
  <c r="U481" s="1"/>
  <c r="G481"/>
  <c r="R481" s="1"/>
  <c r="J480"/>
  <c r="U480" s="1"/>
  <c r="G480"/>
  <c r="R480" s="1"/>
  <c r="J479"/>
  <c r="U479" s="1"/>
  <c r="G479"/>
  <c r="R479" s="1"/>
  <c r="J478"/>
  <c r="G478"/>
  <c r="I483"/>
  <c r="T483" s="1"/>
  <c r="F483"/>
  <c r="Q483" s="1"/>
  <c r="I482"/>
  <c r="T482" s="1"/>
  <c r="F482"/>
  <c r="Q482" s="1"/>
  <c r="I481"/>
  <c r="T481" s="1"/>
  <c r="F481"/>
  <c r="Q481" s="1"/>
  <c r="I480"/>
  <c r="T480" s="1"/>
  <c r="F480"/>
  <c r="Q480" s="1"/>
  <c r="I479"/>
  <c r="T479" s="1"/>
  <c r="F479"/>
  <c r="Q479" s="1"/>
  <c r="I478"/>
  <c r="F478"/>
  <c r="H483"/>
  <c r="S483" s="1"/>
  <c r="H482"/>
  <c r="S482" s="1"/>
  <c r="H481"/>
  <c r="S481" s="1"/>
  <c r="H480"/>
  <c r="S480" s="1"/>
  <c r="H479"/>
  <c r="S479" s="1"/>
  <c r="H478"/>
  <c r="K483"/>
  <c r="V483" s="1"/>
  <c r="K481"/>
  <c r="V481" s="1"/>
  <c r="K479"/>
  <c r="V479" s="1"/>
  <c r="E483"/>
  <c r="E482"/>
  <c r="E481"/>
  <c r="E480"/>
  <c r="E479"/>
  <c r="E478"/>
  <c r="K482"/>
  <c r="V482" s="1"/>
  <c r="K480"/>
  <c r="V480" s="1"/>
  <c r="K478"/>
  <c r="I755"/>
  <c r="T755" s="1"/>
  <c r="F755"/>
  <c r="Q755" s="1"/>
  <c r="I754"/>
  <c r="T754" s="1"/>
  <c r="F754"/>
  <c r="Q754" s="1"/>
  <c r="I753"/>
  <c r="T753" s="1"/>
  <c r="F753"/>
  <c r="Q753" s="1"/>
  <c r="I752"/>
  <c r="T752" s="1"/>
  <c r="F752"/>
  <c r="Q752" s="1"/>
  <c r="I751"/>
  <c r="T751" s="1"/>
  <c r="F751"/>
  <c r="Q751" s="1"/>
  <c r="I750"/>
  <c r="T750" s="1"/>
  <c r="F750"/>
  <c r="Q750" s="1"/>
  <c r="H755"/>
  <c r="S755" s="1"/>
  <c r="H754"/>
  <c r="S754" s="1"/>
  <c r="H753"/>
  <c r="S753" s="1"/>
  <c r="H752"/>
  <c r="S752" s="1"/>
  <c r="H751"/>
  <c r="S751" s="1"/>
  <c r="H750"/>
  <c r="S750" s="1"/>
  <c r="K755"/>
  <c r="V755" s="1"/>
  <c r="G755"/>
  <c r="R755" s="1"/>
  <c r="K754"/>
  <c r="V754" s="1"/>
  <c r="G754"/>
  <c r="R754" s="1"/>
  <c r="K753"/>
  <c r="V753" s="1"/>
  <c r="G753"/>
  <c r="R753" s="1"/>
  <c r="K752"/>
  <c r="V752" s="1"/>
  <c r="G752"/>
  <c r="R752" s="1"/>
  <c r="K751"/>
  <c r="V751" s="1"/>
  <c r="G751"/>
  <c r="R751" s="1"/>
  <c r="K750"/>
  <c r="V750" s="1"/>
  <c r="G750"/>
  <c r="R750" s="1"/>
  <c r="J754"/>
  <c r="U754" s="1"/>
  <c r="E753"/>
  <c r="J751"/>
  <c r="U751" s="1"/>
  <c r="E750"/>
  <c r="J755"/>
  <c r="U755" s="1"/>
  <c r="E754"/>
  <c r="J752"/>
  <c r="U752" s="1"/>
  <c r="E751"/>
  <c r="E752"/>
  <c r="J753"/>
  <c r="U753" s="1"/>
  <c r="E755"/>
  <c r="J750"/>
  <c r="U750" s="1"/>
  <c r="I785"/>
  <c r="T785" s="1"/>
  <c r="F785"/>
  <c r="Q785" s="1"/>
  <c r="I784"/>
  <c r="T784" s="1"/>
  <c r="F784"/>
  <c r="Q784" s="1"/>
  <c r="I783"/>
  <c r="T783" s="1"/>
  <c r="F783"/>
  <c r="Q783" s="1"/>
  <c r="I782"/>
  <c r="T782" s="1"/>
  <c r="F782"/>
  <c r="Q782" s="1"/>
  <c r="I781"/>
  <c r="T781" s="1"/>
  <c r="F781"/>
  <c r="Q781" s="1"/>
  <c r="I780"/>
  <c r="T780" s="1"/>
  <c r="F780"/>
  <c r="Q780" s="1"/>
  <c r="K785"/>
  <c r="V785" s="1"/>
  <c r="H785"/>
  <c r="S785" s="1"/>
  <c r="E785"/>
  <c r="K784"/>
  <c r="V784" s="1"/>
  <c r="H784"/>
  <c r="S784" s="1"/>
  <c r="E784"/>
  <c r="K783"/>
  <c r="V783" s="1"/>
  <c r="H783"/>
  <c r="S783" s="1"/>
  <c r="E783"/>
  <c r="K782"/>
  <c r="V782" s="1"/>
  <c r="H782"/>
  <c r="S782" s="1"/>
  <c r="E782"/>
  <c r="K781"/>
  <c r="V781" s="1"/>
  <c r="H781"/>
  <c r="S781" s="1"/>
  <c r="E781"/>
  <c r="K780"/>
  <c r="V780" s="1"/>
  <c r="H780"/>
  <c r="S780" s="1"/>
  <c r="E780"/>
  <c r="J785"/>
  <c r="U785" s="1"/>
  <c r="J784"/>
  <c r="U784" s="1"/>
  <c r="J783"/>
  <c r="U783" s="1"/>
  <c r="J782"/>
  <c r="U782" s="1"/>
  <c r="J781"/>
  <c r="U781" s="1"/>
  <c r="J780"/>
  <c r="U780" s="1"/>
  <c r="G785"/>
  <c r="R785" s="1"/>
  <c r="G784"/>
  <c r="R784" s="1"/>
  <c r="G783"/>
  <c r="R783" s="1"/>
  <c r="G782"/>
  <c r="R782" s="1"/>
  <c r="G781"/>
  <c r="R781" s="1"/>
  <c r="G780"/>
  <c r="R780" s="1"/>
  <c r="J924"/>
  <c r="U924" s="1"/>
  <c r="G924"/>
  <c r="R924" s="1"/>
  <c r="J923"/>
  <c r="U923" s="1"/>
  <c r="G923"/>
  <c r="R923" s="1"/>
  <c r="J922"/>
  <c r="U922" s="1"/>
  <c r="G922"/>
  <c r="R922" s="1"/>
  <c r="J921"/>
  <c r="U921" s="1"/>
  <c r="G921"/>
  <c r="R921" s="1"/>
  <c r="I924"/>
  <c r="T924" s="1"/>
  <c r="E924"/>
  <c r="I923"/>
  <c r="T923" s="1"/>
  <c r="E923"/>
  <c r="I922"/>
  <c r="T922" s="1"/>
  <c r="E922"/>
  <c r="I921"/>
  <c r="T921" s="1"/>
  <c r="E921"/>
  <c r="K920"/>
  <c r="V920" s="1"/>
  <c r="H920"/>
  <c r="S920" s="1"/>
  <c r="E920"/>
  <c r="K919"/>
  <c r="H919"/>
  <c r="E919"/>
  <c r="H924"/>
  <c r="S924" s="1"/>
  <c r="H923"/>
  <c r="S923" s="1"/>
  <c r="H922"/>
  <c r="S922" s="1"/>
  <c r="H921"/>
  <c r="S921" s="1"/>
  <c r="J920"/>
  <c r="U920" s="1"/>
  <c r="G920"/>
  <c r="R920" s="1"/>
  <c r="J919"/>
  <c r="G919"/>
  <c r="K924"/>
  <c r="V924" s="1"/>
  <c r="F923"/>
  <c r="Q923" s="1"/>
  <c r="K921"/>
  <c r="V921" s="1"/>
  <c r="I920"/>
  <c r="T920" s="1"/>
  <c r="I919"/>
  <c r="F924"/>
  <c r="Q924" s="1"/>
  <c r="K922"/>
  <c r="V922" s="1"/>
  <c r="F921"/>
  <c r="Q921" s="1"/>
  <c r="F920"/>
  <c r="Q920" s="1"/>
  <c r="F919"/>
  <c r="K923"/>
  <c r="V923" s="1"/>
  <c r="F922"/>
  <c r="Q922" s="1"/>
  <c r="I635"/>
  <c r="T635" s="1"/>
  <c r="F635"/>
  <c r="Q635" s="1"/>
  <c r="I634"/>
  <c r="T634" s="1"/>
  <c r="F634"/>
  <c r="Q634" s="1"/>
  <c r="I633"/>
  <c r="T633" s="1"/>
  <c r="F633"/>
  <c r="Q633" s="1"/>
  <c r="I632"/>
  <c r="T632" s="1"/>
  <c r="F632"/>
  <c r="Q632" s="1"/>
  <c r="I631"/>
  <c r="T631" s="1"/>
  <c r="F631"/>
  <c r="Q631" s="1"/>
  <c r="I630"/>
  <c r="F630"/>
  <c r="K635"/>
  <c r="V635" s="1"/>
  <c r="H635"/>
  <c r="S635" s="1"/>
  <c r="E635"/>
  <c r="K634"/>
  <c r="V634" s="1"/>
  <c r="H634"/>
  <c r="S634" s="1"/>
  <c r="E634"/>
  <c r="K633"/>
  <c r="V633" s="1"/>
  <c r="H633"/>
  <c r="S633" s="1"/>
  <c r="E633"/>
  <c r="K632"/>
  <c r="V632" s="1"/>
  <c r="H632"/>
  <c r="S632" s="1"/>
  <c r="E632"/>
  <c r="K631"/>
  <c r="V631" s="1"/>
  <c r="H631"/>
  <c r="S631" s="1"/>
  <c r="E631"/>
  <c r="K630"/>
  <c r="H630"/>
  <c r="E630"/>
  <c r="G635"/>
  <c r="R635" s="1"/>
  <c r="G634"/>
  <c r="R634" s="1"/>
  <c r="G633"/>
  <c r="R633" s="1"/>
  <c r="G632"/>
  <c r="R632" s="1"/>
  <c r="G631"/>
  <c r="R631" s="1"/>
  <c r="G630"/>
  <c r="J635"/>
  <c r="U635" s="1"/>
  <c r="J632"/>
  <c r="U632" s="1"/>
  <c r="J633"/>
  <c r="U633" s="1"/>
  <c r="J630"/>
  <c r="J634"/>
  <c r="U634" s="1"/>
  <c r="J631"/>
  <c r="U631" s="1"/>
  <c r="K892"/>
  <c r="V892" s="1"/>
  <c r="H892"/>
  <c r="S892" s="1"/>
  <c r="E892"/>
  <c r="K891"/>
  <c r="V891" s="1"/>
  <c r="H891"/>
  <c r="S891" s="1"/>
  <c r="E891"/>
  <c r="K890"/>
  <c r="V890" s="1"/>
  <c r="H890"/>
  <c r="S890" s="1"/>
  <c r="E890"/>
  <c r="K889"/>
  <c r="V889" s="1"/>
  <c r="H889"/>
  <c r="S889" s="1"/>
  <c r="E889"/>
  <c r="K888"/>
  <c r="V888" s="1"/>
  <c r="H888"/>
  <c r="S888" s="1"/>
  <c r="E888"/>
  <c r="K887"/>
  <c r="V887" s="1"/>
  <c r="H887"/>
  <c r="S887" s="1"/>
  <c r="E887"/>
  <c r="J892"/>
  <c r="U892" s="1"/>
  <c r="G892"/>
  <c r="R892" s="1"/>
  <c r="J891"/>
  <c r="U891" s="1"/>
  <c r="G891"/>
  <c r="R891" s="1"/>
  <c r="J890"/>
  <c r="U890" s="1"/>
  <c r="G890"/>
  <c r="R890" s="1"/>
  <c r="J889"/>
  <c r="U889" s="1"/>
  <c r="G889"/>
  <c r="R889" s="1"/>
  <c r="J888"/>
  <c r="U888" s="1"/>
  <c r="G888"/>
  <c r="R888" s="1"/>
  <c r="J887"/>
  <c r="U887" s="1"/>
  <c r="G887"/>
  <c r="R887" s="1"/>
  <c r="F892"/>
  <c r="Q892" s="1"/>
  <c r="F891"/>
  <c r="Q891" s="1"/>
  <c r="F890"/>
  <c r="Q890" s="1"/>
  <c r="F889"/>
  <c r="Q889" s="1"/>
  <c r="F888"/>
  <c r="Q888" s="1"/>
  <c r="F887"/>
  <c r="Q887" s="1"/>
  <c r="I891"/>
  <c r="T891" s="1"/>
  <c r="I888"/>
  <c r="T888" s="1"/>
  <c r="I892"/>
  <c r="T892" s="1"/>
  <c r="I889"/>
  <c r="T889" s="1"/>
  <c r="I890"/>
  <c r="T890" s="1"/>
  <c r="I887"/>
  <c r="T887" s="1"/>
  <c r="J419"/>
  <c r="U419" s="1"/>
  <c r="G419"/>
  <c r="R419" s="1"/>
  <c r="J418"/>
  <c r="U418" s="1"/>
  <c r="G418"/>
  <c r="R418" s="1"/>
  <c r="J417"/>
  <c r="U417" s="1"/>
  <c r="G417"/>
  <c r="R417" s="1"/>
  <c r="J416"/>
  <c r="U416" s="1"/>
  <c r="G416"/>
  <c r="R416" s="1"/>
  <c r="J415"/>
  <c r="U415" s="1"/>
  <c r="G415"/>
  <c r="R415" s="1"/>
  <c r="J414"/>
  <c r="U414" s="1"/>
  <c r="G414"/>
  <c r="R414" s="1"/>
  <c r="I419"/>
  <c r="T419" s="1"/>
  <c r="F419"/>
  <c r="Q419" s="1"/>
  <c r="I418"/>
  <c r="T418" s="1"/>
  <c r="F418"/>
  <c r="Q418" s="1"/>
  <c r="I417"/>
  <c r="T417" s="1"/>
  <c r="F417"/>
  <c r="Q417" s="1"/>
  <c r="I416"/>
  <c r="T416" s="1"/>
  <c r="F416"/>
  <c r="Q416" s="1"/>
  <c r="I415"/>
  <c r="T415" s="1"/>
  <c r="F415"/>
  <c r="Q415" s="1"/>
  <c r="I414"/>
  <c r="T414" s="1"/>
  <c r="F414"/>
  <c r="Q414" s="1"/>
  <c r="E419"/>
  <c r="E418"/>
  <c r="E417"/>
  <c r="E416"/>
  <c r="E415"/>
  <c r="E414"/>
  <c r="K419"/>
  <c r="V419" s="1"/>
  <c r="K418"/>
  <c r="V418" s="1"/>
  <c r="K417"/>
  <c r="V417" s="1"/>
  <c r="K416"/>
  <c r="V416" s="1"/>
  <c r="K415"/>
  <c r="V415" s="1"/>
  <c r="K414"/>
  <c r="V414" s="1"/>
  <c r="H419"/>
  <c r="S419" s="1"/>
  <c r="H418"/>
  <c r="S418" s="1"/>
  <c r="H417"/>
  <c r="S417" s="1"/>
  <c r="H416"/>
  <c r="S416" s="1"/>
  <c r="H415"/>
  <c r="S415" s="1"/>
  <c r="H414"/>
  <c r="S414" s="1"/>
  <c r="J233"/>
  <c r="U233" s="1"/>
  <c r="G233"/>
  <c r="R233" s="1"/>
  <c r="J232"/>
  <c r="U232" s="1"/>
  <c r="G232"/>
  <c r="R232" s="1"/>
  <c r="J231"/>
  <c r="U231" s="1"/>
  <c r="G231"/>
  <c r="R231" s="1"/>
  <c r="J230"/>
  <c r="U230" s="1"/>
  <c r="G230"/>
  <c r="R230" s="1"/>
  <c r="J229"/>
  <c r="U229" s="1"/>
  <c r="G229"/>
  <c r="R229" s="1"/>
  <c r="J228"/>
  <c r="U228" s="1"/>
  <c r="G228"/>
  <c r="R228" s="1"/>
  <c r="I233"/>
  <c r="T233" s="1"/>
  <c r="F233"/>
  <c r="Q233" s="1"/>
  <c r="I232"/>
  <c r="T232" s="1"/>
  <c r="F232"/>
  <c r="Q232" s="1"/>
  <c r="I231"/>
  <c r="T231" s="1"/>
  <c r="F231"/>
  <c r="Q231" s="1"/>
  <c r="I230"/>
  <c r="T230" s="1"/>
  <c r="F230"/>
  <c r="Q230" s="1"/>
  <c r="I229"/>
  <c r="T229" s="1"/>
  <c r="F229"/>
  <c r="Q229" s="1"/>
  <c r="I228"/>
  <c r="T228" s="1"/>
  <c r="F228"/>
  <c r="Q228" s="1"/>
  <c r="H233"/>
  <c r="S233" s="1"/>
  <c r="H232"/>
  <c r="S232" s="1"/>
  <c r="H231"/>
  <c r="S231" s="1"/>
  <c r="H230"/>
  <c r="S230" s="1"/>
  <c r="H229"/>
  <c r="S229" s="1"/>
  <c r="H228"/>
  <c r="S228" s="1"/>
  <c r="K233"/>
  <c r="V233" s="1"/>
  <c r="K232"/>
  <c r="V232" s="1"/>
  <c r="K231"/>
  <c r="V231" s="1"/>
  <c r="K230"/>
  <c r="V230" s="1"/>
  <c r="K229"/>
  <c r="V229" s="1"/>
  <c r="K228"/>
  <c r="V228" s="1"/>
  <c r="E233"/>
  <c r="E232"/>
  <c r="E231"/>
  <c r="E230"/>
  <c r="E229"/>
  <c r="E228"/>
  <c r="I650"/>
  <c r="T650" s="1"/>
  <c r="F650"/>
  <c r="Q650" s="1"/>
  <c r="I649"/>
  <c r="T649" s="1"/>
  <c r="F649"/>
  <c r="Q649" s="1"/>
  <c r="I648"/>
  <c r="T648" s="1"/>
  <c r="F648"/>
  <c r="Q648" s="1"/>
  <c r="I647"/>
  <c r="T647" s="1"/>
  <c r="F647"/>
  <c r="Q647" s="1"/>
  <c r="I646"/>
  <c r="T646" s="1"/>
  <c r="F646"/>
  <c r="Q646" s="1"/>
  <c r="I645"/>
  <c r="T645" s="1"/>
  <c r="F645"/>
  <c r="Q645" s="1"/>
  <c r="K650"/>
  <c r="V650" s="1"/>
  <c r="H650"/>
  <c r="S650" s="1"/>
  <c r="E650"/>
  <c r="K649"/>
  <c r="V649" s="1"/>
  <c r="H649"/>
  <c r="S649" s="1"/>
  <c r="E649"/>
  <c r="K648"/>
  <c r="V648" s="1"/>
  <c r="H648"/>
  <c r="S648" s="1"/>
  <c r="E648"/>
  <c r="K647"/>
  <c r="V647" s="1"/>
  <c r="H647"/>
  <c r="S647" s="1"/>
  <c r="E647"/>
  <c r="K646"/>
  <c r="V646" s="1"/>
  <c r="H646"/>
  <c r="S646" s="1"/>
  <c r="E646"/>
  <c r="K645"/>
  <c r="V645" s="1"/>
  <c r="H645"/>
  <c r="S645" s="1"/>
  <c r="E645"/>
  <c r="G650"/>
  <c r="R650" s="1"/>
  <c r="G649"/>
  <c r="R649" s="1"/>
  <c r="G648"/>
  <c r="R648" s="1"/>
  <c r="G647"/>
  <c r="R647" s="1"/>
  <c r="G646"/>
  <c r="R646" s="1"/>
  <c r="G645"/>
  <c r="R645" s="1"/>
  <c r="J649"/>
  <c r="U649" s="1"/>
  <c r="J646"/>
  <c r="U646" s="1"/>
  <c r="J648"/>
  <c r="U648" s="1"/>
  <c r="J645"/>
  <c r="U645" s="1"/>
  <c r="J650"/>
  <c r="U650" s="1"/>
  <c r="J647"/>
  <c r="U647" s="1"/>
  <c r="K81"/>
  <c r="V81" s="1"/>
  <c r="H81"/>
  <c r="S81" s="1"/>
  <c r="E81"/>
  <c r="K80"/>
  <c r="V80" s="1"/>
  <c r="H80"/>
  <c r="S80" s="1"/>
  <c r="E80"/>
  <c r="K79"/>
  <c r="V79" s="1"/>
  <c r="H79"/>
  <c r="S79" s="1"/>
  <c r="E79"/>
  <c r="K78"/>
  <c r="V78" s="1"/>
  <c r="H78"/>
  <c r="S78" s="1"/>
  <c r="E78"/>
  <c r="K77"/>
  <c r="V77" s="1"/>
  <c r="H77"/>
  <c r="S77" s="1"/>
  <c r="E77"/>
  <c r="K76"/>
  <c r="V76" s="1"/>
  <c r="H76"/>
  <c r="S76" s="1"/>
  <c r="E76"/>
  <c r="J81"/>
  <c r="U81" s="1"/>
  <c r="G81"/>
  <c r="R81" s="1"/>
  <c r="J80"/>
  <c r="U80" s="1"/>
  <c r="G80"/>
  <c r="R80" s="1"/>
  <c r="J79"/>
  <c r="U79" s="1"/>
  <c r="G79"/>
  <c r="R79" s="1"/>
  <c r="J78"/>
  <c r="U78" s="1"/>
  <c r="G78"/>
  <c r="R78" s="1"/>
  <c r="J77"/>
  <c r="U77" s="1"/>
  <c r="G77"/>
  <c r="R77" s="1"/>
  <c r="J76"/>
  <c r="U76" s="1"/>
  <c r="G76"/>
  <c r="R76" s="1"/>
  <c r="I81"/>
  <c r="T81" s="1"/>
  <c r="I80"/>
  <c r="T80" s="1"/>
  <c r="I79"/>
  <c r="T79" s="1"/>
  <c r="I78"/>
  <c r="T78" s="1"/>
  <c r="I77"/>
  <c r="T77" s="1"/>
  <c r="I76"/>
  <c r="T76" s="1"/>
  <c r="F81"/>
  <c r="Q81" s="1"/>
  <c r="F80"/>
  <c r="Q80" s="1"/>
  <c r="F79"/>
  <c r="Q79" s="1"/>
  <c r="F78"/>
  <c r="Q78" s="1"/>
  <c r="F77"/>
  <c r="Q77" s="1"/>
  <c r="F76"/>
  <c r="Q76" s="1"/>
  <c r="E106" a="1"/>
  <c r="E16" a="1"/>
  <c r="B448" i="106"/>
  <c r="B559" i="111"/>
  <c r="J451"/>
  <c r="U451" s="1"/>
  <c r="G451"/>
  <c r="R451" s="1"/>
  <c r="J450"/>
  <c r="U450" s="1"/>
  <c r="G450"/>
  <c r="R450" s="1"/>
  <c r="J449"/>
  <c r="U449" s="1"/>
  <c r="G449"/>
  <c r="R449" s="1"/>
  <c r="J448"/>
  <c r="U448" s="1"/>
  <c r="G448"/>
  <c r="R448" s="1"/>
  <c r="J447"/>
  <c r="U447" s="1"/>
  <c r="G447"/>
  <c r="R447" s="1"/>
  <c r="J446"/>
  <c r="G446"/>
  <c r="I451"/>
  <c r="T451" s="1"/>
  <c r="F451"/>
  <c r="Q451" s="1"/>
  <c r="I450"/>
  <c r="T450" s="1"/>
  <c r="F450"/>
  <c r="Q450" s="1"/>
  <c r="I449"/>
  <c r="T449" s="1"/>
  <c r="F449"/>
  <c r="Q449" s="1"/>
  <c r="I448"/>
  <c r="T448" s="1"/>
  <c r="F448"/>
  <c r="Q448" s="1"/>
  <c r="I447"/>
  <c r="T447" s="1"/>
  <c r="F447"/>
  <c r="Q447" s="1"/>
  <c r="I446"/>
  <c r="F446"/>
  <c r="K451"/>
  <c r="V451" s="1"/>
  <c r="K450"/>
  <c r="V450" s="1"/>
  <c r="K449"/>
  <c r="V449" s="1"/>
  <c r="K448"/>
  <c r="V448" s="1"/>
  <c r="K447"/>
  <c r="V447" s="1"/>
  <c r="K446"/>
  <c r="H451"/>
  <c r="S451" s="1"/>
  <c r="H450"/>
  <c r="S450" s="1"/>
  <c r="H449"/>
  <c r="S449" s="1"/>
  <c r="H448"/>
  <c r="S448" s="1"/>
  <c r="H447"/>
  <c r="S447" s="1"/>
  <c r="H446"/>
  <c r="E451"/>
  <c r="E450"/>
  <c r="E449"/>
  <c r="E448"/>
  <c r="E447"/>
  <c r="E446"/>
  <c r="K466"/>
  <c r="V466" s="1"/>
  <c r="H466"/>
  <c r="S466" s="1"/>
  <c r="E466"/>
  <c r="I465"/>
  <c r="T465" s="1"/>
  <c r="F465"/>
  <c r="Q465" s="1"/>
  <c r="J464"/>
  <c r="U464" s="1"/>
  <c r="G464"/>
  <c r="R464" s="1"/>
  <c r="K463"/>
  <c r="V463" s="1"/>
  <c r="H463"/>
  <c r="S463" s="1"/>
  <c r="E463"/>
  <c r="I462"/>
  <c r="T462" s="1"/>
  <c r="F462"/>
  <c r="Q462" s="1"/>
  <c r="J461"/>
  <c r="U461" s="1"/>
  <c r="G461"/>
  <c r="R461" s="1"/>
  <c r="J466"/>
  <c r="U466" s="1"/>
  <c r="G466"/>
  <c r="R466" s="1"/>
  <c r="K465"/>
  <c r="V465" s="1"/>
  <c r="H465"/>
  <c r="S465" s="1"/>
  <c r="E465"/>
  <c r="I464"/>
  <c r="T464" s="1"/>
  <c r="F464"/>
  <c r="Q464" s="1"/>
  <c r="J463"/>
  <c r="U463" s="1"/>
  <c r="G463"/>
  <c r="R463" s="1"/>
  <c r="K462"/>
  <c r="V462" s="1"/>
  <c r="H462"/>
  <c r="S462" s="1"/>
  <c r="E462"/>
  <c r="I461"/>
  <c r="T461" s="1"/>
  <c r="F461"/>
  <c r="Q461" s="1"/>
  <c r="I466"/>
  <c r="T466" s="1"/>
  <c r="G465"/>
  <c r="R465" s="1"/>
  <c r="E464"/>
  <c r="J462"/>
  <c r="U462" s="1"/>
  <c r="H461"/>
  <c r="S461" s="1"/>
  <c r="J465"/>
  <c r="U465" s="1"/>
  <c r="H464"/>
  <c r="S464" s="1"/>
  <c r="F463"/>
  <c r="Q463" s="1"/>
  <c r="K461"/>
  <c r="V461" s="1"/>
  <c r="F466"/>
  <c r="Q466" s="1"/>
  <c r="K464"/>
  <c r="V464" s="1"/>
  <c r="I463"/>
  <c r="T463" s="1"/>
  <c r="G462"/>
  <c r="R462" s="1"/>
  <c r="E461"/>
  <c r="J498"/>
  <c r="U498" s="1"/>
  <c r="G498"/>
  <c r="R498" s="1"/>
  <c r="J497"/>
  <c r="U497" s="1"/>
  <c r="G497"/>
  <c r="R497" s="1"/>
  <c r="J496"/>
  <c r="U496" s="1"/>
  <c r="G496"/>
  <c r="R496" s="1"/>
  <c r="J495"/>
  <c r="U495" s="1"/>
  <c r="G495"/>
  <c r="R495" s="1"/>
  <c r="J494"/>
  <c r="U494" s="1"/>
  <c r="G494"/>
  <c r="R494" s="1"/>
  <c r="J493"/>
  <c r="U493" s="1"/>
  <c r="G493"/>
  <c r="R493" s="1"/>
  <c r="I498"/>
  <c r="T498" s="1"/>
  <c r="F498"/>
  <c r="Q498" s="1"/>
  <c r="I497"/>
  <c r="T497" s="1"/>
  <c r="F497"/>
  <c r="Q497" s="1"/>
  <c r="I496"/>
  <c r="T496" s="1"/>
  <c r="F496"/>
  <c r="Q496" s="1"/>
  <c r="I495"/>
  <c r="T495" s="1"/>
  <c r="F495"/>
  <c r="Q495" s="1"/>
  <c r="I494"/>
  <c r="T494" s="1"/>
  <c r="F494"/>
  <c r="Q494" s="1"/>
  <c r="I493"/>
  <c r="T493" s="1"/>
  <c r="F493"/>
  <c r="Q493" s="1"/>
  <c r="H498"/>
  <c r="S498" s="1"/>
  <c r="K497"/>
  <c r="V497" s="1"/>
  <c r="E496"/>
  <c r="H495"/>
  <c r="S495" s="1"/>
  <c r="K494"/>
  <c r="V494" s="1"/>
  <c r="E493"/>
  <c r="K498"/>
  <c r="V498" s="1"/>
  <c r="E497"/>
  <c r="H496"/>
  <c r="S496" s="1"/>
  <c r="K495"/>
  <c r="V495" s="1"/>
  <c r="H493"/>
  <c r="S493" s="1"/>
  <c r="E498"/>
  <c r="H497"/>
  <c r="S497" s="1"/>
  <c r="K496"/>
  <c r="V496" s="1"/>
  <c r="E495"/>
  <c r="H494"/>
  <c r="S494" s="1"/>
  <c r="K493"/>
  <c r="V493" s="1"/>
  <c r="E494"/>
  <c r="I588"/>
  <c r="T588" s="1"/>
  <c r="F588"/>
  <c r="Q588" s="1"/>
  <c r="I587"/>
  <c r="T587" s="1"/>
  <c r="F587"/>
  <c r="Q587" s="1"/>
  <c r="I586"/>
  <c r="T586" s="1"/>
  <c r="F586"/>
  <c r="Q586" s="1"/>
  <c r="I585"/>
  <c r="T585" s="1"/>
  <c r="F585"/>
  <c r="Q585" s="1"/>
  <c r="I584"/>
  <c r="T584" s="1"/>
  <c r="F584"/>
  <c r="Q584" s="1"/>
  <c r="I583"/>
  <c r="T583" s="1"/>
  <c r="F583"/>
  <c r="Q583" s="1"/>
  <c r="K588"/>
  <c r="V588" s="1"/>
  <c r="G588"/>
  <c r="R588" s="1"/>
  <c r="K587"/>
  <c r="V587" s="1"/>
  <c r="G587"/>
  <c r="R587" s="1"/>
  <c r="K586"/>
  <c r="V586" s="1"/>
  <c r="G586"/>
  <c r="R586" s="1"/>
  <c r="K585"/>
  <c r="V585" s="1"/>
  <c r="G585"/>
  <c r="R585" s="1"/>
  <c r="K584"/>
  <c r="V584" s="1"/>
  <c r="G584"/>
  <c r="R584" s="1"/>
  <c r="K583"/>
  <c r="V583" s="1"/>
  <c r="G583"/>
  <c r="R583" s="1"/>
  <c r="J588"/>
  <c r="U588" s="1"/>
  <c r="E588"/>
  <c r="J587"/>
  <c r="U587" s="1"/>
  <c r="E587"/>
  <c r="J586"/>
  <c r="U586" s="1"/>
  <c r="E586"/>
  <c r="J585"/>
  <c r="U585" s="1"/>
  <c r="E585"/>
  <c r="J584"/>
  <c r="U584" s="1"/>
  <c r="E584"/>
  <c r="J583"/>
  <c r="U583" s="1"/>
  <c r="E583"/>
  <c r="H587"/>
  <c r="S587" s="1"/>
  <c r="H584"/>
  <c r="S584" s="1"/>
  <c r="H588"/>
  <c r="S588" s="1"/>
  <c r="H585"/>
  <c r="S585" s="1"/>
  <c r="H586"/>
  <c r="S586" s="1"/>
  <c r="H583"/>
  <c r="S583" s="1"/>
  <c r="K862"/>
  <c r="V862" s="1"/>
  <c r="H862"/>
  <c r="S862" s="1"/>
  <c r="E862"/>
  <c r="K861"/>
  <c r="V861" s="1"/>
  <c r="H861"/>
  <c r="S861" s="1"/>
  <c r="E861"/>
  <c r="K860"/>
  <c r="V860" s="1"/>
  <c r="H860"/>
  <c r="S860" s="1"/>
  <c r="E860"/>
  <c r="K859"/>
  <c r="V859" s="1"/>
  <c r="H859"/>
  <c r="S859" s="1"/>
  <c r="E859"/>
  <c r="K858"/>
  <c r="V858" s="1"/>
  <c r="H858"/>
  <c r="S858" s="1"/>
  <c r="E858"/>
  <c r="K857"/>
  <c r="H857"/>
  <c r="E857"/>
  <c r="J862"/>
  <c r="U862" s="1"/>
  <c r="G862"/>
  <c r="R862" s="1"/>
  <c r="J861"/>
  <c r="U861" s="1"/>
  <c r="G861"/>
  <c r="R861" s="1"/>
  <c r="J860"/>
  <c r="U860" s="1"/>
  <c r="G860"/>
  <c r="R860" s="1"/>
  <c r="J859"/>
  <c r="U859" s="1"/>
  <c r="G859"/>
  <c r="R859" s="1"/>
  <c r="J858"/>
  <c r="U858" s="1"/>
  <c r="G858"/>
  <c r="R858" s="1"/>
  <c r="J857"/>
  <c r="G857"/>
  <c r="I862"/>
  <c r="T862" s="1"/>
  <c r="I861"/>
  <c r="T861" s="1"/>
  <c r="I860"/>
  <c r="T860" s="1"/>
  <c r="I859"/>
  <c r="T859" s="1"/>
  <c r="I858"/>
  <c r="T858" s="1"/>
  <c r="I857"/>
  <c r="F862"/>
  <c r="Q862" s="1"/>
  <c r="F861"/>
  <c r="Q861" s="1"/>
  <c r="F860"/>
  <c r="Q860" s="1"/>
  <c r="F859"/>
  <c r="Q859" s="1"/>
  <c r="F858"/>
  <c r="Q858" s="1"/>
  <c r="F857"/>
  <c r="T119" i="40"/>
  <c r="E61" i="111" a="1"/>
  <c r="J218"/>
  <c r="U218" s="1"/>
  <c r="G218"/>
  <c r="R218" s="1"/>
  <c r="J217"/>
  <c r="U217" s="1"/>
  <c r="G217"/>
  <c r="R217" s="1"/>
  <c r="J216"/>
  <c r="U216" s="1"/>
  <c r="G216"/>
  <c r="R216" s="1"/>
  <c r="J215"/>
  <c r="U215" s="1"/>
  <c r="G215"/>
  <c r="R215" s="1"/>
  <c r="J214"/>
  <c r="U214" s="1"/>
  <c r="G214"/>
  <c r="R214" s="1"/>
  <c r="J213"/>
  <c r="U213" s="1"/>
  <c r="G213"/>
  <c r="R213" s="1"/>
  <c r="I218"/>
  <c r="T218" s="1"/>
  <c r="F218"/>
  <c r="Q218" s="1"/>
  <c r="I217"/>
  <c r="T217" s="1"/>
  <c r="F217"/>
  <c r="Q217" s="1"/>
  <c r="I216"/>
  <c r="T216" s="1"/>
  <c r="F216"/>
  <c r="Q216" s="1"/>
  <c r="I215"/>
  <c r="T215" s="1"/>
  <c r="F215"/>
  <c r="Q215" s="1"/>
  <c r="I214"/>
  <c r="T214" s="1"/>
  <c r="F214"/>
  <c r="Q214" s="1"/>
  <c r="I213"/>
  <c r="T213" s="1"/>
  <c r="F213"/>
  <c r="Q213" s="1"/>
  <c r="H218"/>
  <c r="S218" s="1"/>
  <c r="H217"/>
  <c r="S217" s="1"/>
  <c r="H216"/>
  <c r="S216" s="1"/>
  <c r="H215"/>
  <c r="S215" s="1"/>
  <c r="H214"/>
  <c r="S214" s="1"/>
  <c r="H213"/>
  <c r="S213" s="1"/>
  <c r="K218"/>
  <c r="V218" s="1"/>
  <c r="K217"/>
  <c r="V217" s="1"/>
  <c r="K216"/>
  <c r="V216" s="1"/>
  <c r="K215"/>
  <c r="V215" s="1"/>
  <c r="K214"/>
  <c r="V214" s="1"/>
  <c r="K213"/>
  <c r="V213" s="1"/>
  <c r="E218"/>
  <c r="E217"/>
  <c r="E216"/>
  <c r="E215"/>
  <c r="E214"/>
  <c r="E213"/>
  <c r="J369"/>
  <c r="U369" s="1"/>
  <c r="G369"/>
  <c r="R369" s="1"/>
  <c r="K368"/>
  <c r="V368" s="1"/>
  <c r="H368"/>
  <c r="S368" s="1"/>
  <c r="E368"/>
  <c r="I367"/>
  <c r="T367" s="1"/>
  <c r="F367"/>
  <c r="Q367" s="1"/>
  <c r="J366"/>
  <c r="U366" s="1"/>
  <c r="G366"/>
  <c r="R366" s="1"/>
  <c r="K365"/>
  <c r="V365" s="1"/>
  <c r="H365"/>
  <c r="S365" s="1"/>
  <c r="E365"/>
  <c r="I364"/>
  <c r="T364" s="1"/>
  <c r="F364"/>
  <c r="Q364" s="1"/>
  <c r="I369"/>
  <c r="T369" s="1"/>
  <c r="F369"/>
  <c r="Q369" s="1"/>
  <c r="J368"/>
  <c r="U368" s="1"/>
  <c r="G368"/>
  <c r="R368" s="1"/>
  <c r="K367"/>
  <c r="V367" s="1"/>
  <c r="H367"/>
  <c r="S367" s="1"/>
  <c r="E367"/>
  <c r="I366"/>
  <c r="T366" s="1"/>
  <c r="F366"/>
  <c r="Q366" s="1"/>
  <c r="J365"/>
  <c r="U365" s="1"/>
  <c r="G365"/>
  <c r="R365" s="1"/>
  <c r="K364"/>
  <c r="V364" s="1"/>
  <c r="H364"/>
  <c r="S364" s="1"/>
  <c r="E364"/>
  <c r="H369"/>
  <c r="S369" s="1"/>
  <c r="F368"/>
  <c r="Q368" s="1"/>
  <c r="K366"/>
  <c r="V366" s="1"/>
  <c r="I365"/>
  <c r="T365" s="1"/>
  <c r="G364"/>
  <c r="R364" s="1"/>
  <c r="K369"/>
  <c r="V369" s="1"/>
  <c r="I368"/>
  <c r="T368" s="1"/>
  <c r="G367"/>
  <c r="R367" s="1"/>
  <c r="E366"/>
  <c r="J364"/>
  <c r="U364" s="1"/>
  <c r="E369"/>
  <c r="J367"/>
  <c r="U367" s="1"/>
  <c r="H366"/>
  <c r="S366" s="1"/>
  <c r="F365"/>
  <c r="Q365" s="1"/>
  <c r="J248"/>
  <c r="U248" s="1"/>
  <c r="G248"/>
  <c r="R248" s="1"/>
  <c r="J247"/>
  <c r="U247" s="1"/>
  <c r="G247"/>
  <c r="R247" s="1"/>
  <c r="J246"/>
  <c r="U246" s="1"/>
  <c r="G246"/>
  <c r="R246" s="1"/>
  <c r="J245"/>
  <c r="U245" s="1"/>
  <c r="G245"/>
  <c r="R245" s="1"/>
  <c r="J244"/>
  <c r="U244" s="1"/>
  <c r="G244"/>
  <c r="R244" s="1"/>
  <c r="J243"/>
  <c r="U243" s="1"/>
  <c r="G243"/>
  <c r="R243" s="1"/>
  <c r="I248"/>
  <c r="T248" s="1"/>
  <c r="F248"/>
  <c r="Q248" s="1"/>
  <c r="I247"/>
  <c r="T247" s="1"/>
  <c r="F247"/>
  <c r="Q247" s="1"/>
  <c r="I246"/>
  <c r="T246" s="1"/>
  <c r="F246"/>
  <c r="Q246" s="1"/>
  <c r="I245"/>
  <c r="T245" s="1"/>
  <c r="F245"/>
  <c r="Q245" s="1"/>
  <c r="I244"/>
  <c r="T244" s="1"/>
  <c r="F244"/>
  <c r="Q244" s="1"/>
  <c r="I243"/>
  <c r="T243" s="1"/>
  <c r="F243"/>
  <c r="Q243" s="1"/>
  <c r="H248"/>
  <c r="S248" s="1"/>
  <c r="H247"/>
  <c r="S247" s="1"/>
  <c r="H246"/>
  <c r="S246" s="1"/>
  <c r="H245"/>
  <c r="S245" s="1"/>
  <c r="H244"/>
  <c r="S244" s="1"/>
  <c r="H243"/>
  <c r="S243" s="1"/>
  <c r="K248"/>
  <c r="V248" s="1"/>
  <c r="K247"/>
  <c r="V247" s="1"/>
  <c r="K246"/>
  <c r="V246" s="1"/>
  <c r="K245"/>
  <c r="V245" s="1"/>
  <c r="K244"/>
  <c r="V244" s="1"/>
  <c r="K243"/>
  <c r="V243" s="1"/>
  <c r="E248"/>
  <c r="E247"/>
  <c r="E246"/>
  <c r="E245"/>
  <c r="E244"/>
  <c r="E243"/>
  <c r="K156"/>
  <c r="V156" s="1"/>
  <c r="H156"/>
  <c r="S156" s="1"/>
  <c r="E156"/>
  <c r="I155"/>
  <c r="T155" s="1"/>
  <c r="F155"/>
  <c r="Q155" s="1"/>
  <c r="J154"/>
  <c r="U154" s="1"/>
  <c r="G154"/>
  <c r="R154" s="1"/>
  <c r="K153"/>
  <c r="V153" s="1"/>
  <c r="H153"/>
  <c r="S153" s="1"/>
  <c r="E153"/>
  <c r="I152"/>
  <c r="T152" s="1"/>
  <c r="F152"/>
  <c r="Q152" s="1"/>
  <c r="J151"/>
  <c r="U151" s="1"/>
  <c r="G151"/>
  <c r="R151" s="1"/>
  <c r="J156"/>
  <c r="U156" s="1"/>
  <c r="G156"/>
  <c r="R156" s="1"/>
  <c r="K155"/>
  <c r="V155" s="1"/>
  <c r="H155"/>
  <c r="S155" s="1"/>
  <c r="E155"/>
  <c r="I154"/>
  <c r="T154" s="1"/>
  <c r="F154"/>
  <c r="Q154" s="1"/>
  <c r="J153"/>
  <c r="U153" s="1"/>
  <c r="G153"/>
  <c r="R153" s="1"/>
  <c r="K152"/>
  <c r="V152" s="1"/>
  <c r="H152"/>
  <c r="S152" s="1"/>
  <c r="E152"/>
  <c r="I151"/>
  <c r="T151" s="1"/>
  <c r="F151"/>
  <c r="Q151" s="1"/>
  <c r="F156"/>
  <c r="Q156" s="1"/>
  <c r="K154"/>
  <c r="V154" s="1"/>
  <c r="I153"/>
  <c r="T153" s="1"/>
  <c r="G152"/>
  <c r="R152" s="1"/>
  <c r="E151"/>
  <c r="I156"/>
  <c r="T156" s="1"/>
  <c r="G155"/>
  <c r="R155" s="1"/>
  <c r="E154"/>
  <c r="J152"/>
  <c r="U152" s="1"/>
  <c r="H151"/>
  <c r="S151" s="1"/>
  <c r="J155"/>
  <c r="U155" s="1"/>
  <c r="H154"/>
  <c r="S154" s="1"/>
  <c r="F153"/>
  <c r="Q153" s="1"/>
  <c r="K151"/>
  <c r="V151" s="1"/>
  <c r="J353"/>
  <c r="U353" s="1"/>
  <c r="G353"/>
  <c r="R353" s="1"/>
  <c r="J352"/>
  <c r="U352" s="1"/>
  <c r="G352"/>
  <c r="R352" s="1"/>
  <c r="J351"/>
  <c r="U351" s="1"/>
  <c r="G351"/>
  <c r="R351" s="1"/>
  <c r="J350"/>
  <c r="U350" s="1"/>
  <c r="G350"/>
  <c r="R350" s="1"/>
  <c r="J349"/>
  <c r="U349" s="1"/>
  <c r="G349"/>
  <c r="R349" s="1"/>
  <c r="J348"/>
  <c r="U348" s="1"/>
  <c r="G348"/>
  <c r="R348" s="1"/>
  <c r="I353"/>
  <c r="T353" s="1"/>
  <c r="F353"/>
  <c r="Q353" s="1"/>
  <c r="I352"/>
  <c r="T352" s="1"/>
  <c r="F352"/>
  <c r="Q352" s="1"/>
  <c r="I351"/>
  <c r="T351" s="1"/>
  <c r="F351"/>
  <c r="Q351" s="1"/>
  <c r="I350"/>
  <c r="T350" s="1"/>
  <c r="F350"/>
  <c r="Q350" s="1"/>
  <c r="I349"/>
  <c r="T349" s="1"/>
  <c r="F349"/>
  <c r="Q349" s="1"/>
  <c r="I348"/>
  <c r="T348" s="1"/>
  <c r="F348"/>
  <c r="Q348" s="1"/>
  <c r="K353"/>
  <c r="V353" s="1"/>
  <c r="E352"/>
  <c r="H351"/>
  <c r="S351" s="1"/>
  <c r="K350"/>
  <c r="V350" s="1"/>
  <c r="E349"/>
  <c r="H348"/>
  <c r="S348" s="1"/>
  <c r="E353"/>
  <c r="H352"/>
  <c r="S352" s="1"/>
  <c r="K351"/>
  <c r="V351" s="1"/>
  <c r="E350"/>
  <c r="H349"/>
  <c r="S349" s="1"/>
  <c r="K348"/>
  <c r="V348" s="1"/>
  <c r="H353"/>
  <c r="S353" s="1"/>
  <c r="K352"/>
  <c r="V352" s="1"/>
  <c r="E351"/>
  <c r="H350"/>
  <c r="S350" s="1"/>
  <c r="K349"/>
  <c r="V349" s="1"/>
  <c r="E348"/>
  <c r="J815"/>
  <c r="U815" s="1"/>
  <c r="G815"/>
  <c r="R815" s="1"/>
  <c r="J814"/>
  <c r="U814" s="1"/>
  <c r="G814"/>
  <c r="R814" s="1"/>
  <c r="H815"/>
  <c r="S815" s="1"/>
  <c r="H814"/>
  <c r="S814" s="1"/>
  <c r="I813"/>
  <c r="T813" s="1"/>
  <c r="F813"/>
  <c r="Q813" s="1"/>
  <c r="I812"/>
  <c r="T812" s="1"/>
  <c r="F812"/>
  <c r="Q812" s="1"/>
  <c r="I811"/>
  <c r="T811" s="1"/>
  <c r="F811"/>
  <c r="Q811" s="1"/>
  <c r="I810"/>
  <c r="T810" s="1"/>
  <c r="F810"/>
  <c r="Q810" s="1"/>
  <c r="K815"/>
  <c r="V815" s="1"/>
  <c r="F815"/>
  <c r="Q815" s="1"/>
  <c r="K814"/>
  <c r="V814" s="1"/>
  <c r="F814"/>
  <c r="Q814" s="1"/>
  <c r="K813"/>
  <c r="V813" s="1"/>
  <c r="H813"/>
  <c r="S813" s="1"/>
  <c r="E813"/>
  <c r="K812"/>
  <c r="V812" s="1"/>
  <c r="H812"/>
  <c r="S812" s="1"/>
  <c r="E812"/>
  <c r="K811"/>
  <c r="V811" s="1"/>
  <c r="H811"/>
  <c r="S811" s="1"/>
  <c r="E811"/>
  <c r="K810"/>
  <c r="V810" s="1"/>
  <c r="H810"/>
  <c r="S810" s="1"/>
  <c r="E810"/>
  <c r="E815"/>
  <c r="J813"/>
  <c r="U813" s="1"/>
  <c r="J812"/>
  <c r="U812" s="1"/>
  <c r="J811"/>
  <c r="U811" s="1"/>
  <c r="J810"/>
  <c r="U810" s="1"/>
  <c r="I814"/>
  <c r="T814" s="1"/>
  <c r="G813"/>
  <c r="R813" s="1"/>
  <c r="G812"/>
  <c r="R812" s="1"/>
  <c r="G811"/>
  <c r="R811" s="1"/>
  <c r="G810"/>
  <c r="R810" s="1"/>
  <c r="I815"/>
  <c r="T815" s="1"/>
  <c r="E814"/>
  <c r="I665"/>
  <c r="T665" s="1"/>
  <c r="F665"/>
  <c r="Q665" s="1"/>
  <c r="I664"/>
  <c r="T664" s="1"/>
  <c r="F664"/>
  <c r="Q664" s="1"/>
  <c r="I663"/>
  <c r="T663" s="1"/>
  <c r="F663"/>
  <c r="Q663" s="1"/>
  <c r="I662"/>
  <c r="T662" s="1"/>
  <c r="F662"/>
  <c r="Q662" s="1"/>
  <c r="I661"/>
  <c r="T661" s="1"/>
  <c r="F661"/>
  <c r="Q661" s="1"/>
  <c r="I660"/>
  <c r="T660" s="1"/>
  <c r="F660"/>
  <c r="Q660" s="1"/>
  <c r="K665"/>
  <c r="V665" s="1"/>
  <c r="H665"/>
  <c r="S665" s="1"/>
  <c r="E665"/>
  <c r="K664"/>
  <c r="V664" s="1"/>
  <c r="H664"/>
  <c r="S664" s="1"/>
  <c r="E664"/>
  <c r="K663"/>
  <c r="V663" s="1"/>
  <c r="H663"/>
  <c r="S663" s="1"/>
  <c r="E663"/>
  <c r="K662"/>
  <c r="V662" s="1"/>
  <c r="H662"/>
  <c r="S662" s="1"/>
  <c r="E662"/>
  <c r="K661"/>
  <c r="V661" s="1"/>
  <c r="H661"/>
  <c r="S661" s="1"/>
  <c r="E661"/>
  <c r="K660"/>
  <c r="V660" s="1"/>
  <c r="H660"/>
  <c r="S660" s="1"/>
  <c r="E660"/>
  <c r="G665"/>
  <c r="R665" s="1"/>
  <c r="G664"/>
  <c r="R664" s="1"/>
  <c r="G663"/>
  <c r="R663" s="1"/>
  <c r="G662"/>
  <c r="R662" s="1"/>
  <c r="G661"/>
  <c r="R661" s="1"/>
  <c r="G660"/>
  <c r="R660" s="1"/>
  <c r="J663"/>
  <c r="U663" s="1"/>
  <c r="J660"/>
  <c r="U660" s="1"/>
  <c r="J665"/>
  <c r="U665" s="1"/>
  <c r="J662"/>
  <c r="U662" s="1"/>
  <c r="J664"/>
  <c r="U664" s="1"/>
  <c r="J661"/>
  <c r="U661" s="1"/>
  <c r="I725"/>
  <c r="T725" s="1"/>
  <c r="F725"/>
  <c r="Q725" s="1"/>
  <c r="I724"/>
  <c r="T724" s="1"/>
  <c r="F724"/>
  <c r="Q724" s="1"/>
  <c r="I723"/>
  <c r="T723" s="1"/>
  <c r="F723"/>
  <c r="Q723" s="1"/>
  <c r="I722"/>
  <c r="T722" s="1"/>
  <c r="F722"/>
  <c r="Q722" s="1"/>
  <c r="I721"/>
  <c r="T721" s="1"/>
  <c r="F721"/>
  <c r="Q721" s="1"/>
  <c r="I720"/>
  <c r="T720" s="1"/>
  <c r="F720"/>
  <c r="Q720" s="1"/>
  <c r="K725"/>
  <c r="V725" s="1"/>
  <c r="H725"/>
  <c r="S725" s="1"/>
  <c r="E725"/>
  <c r="K724"/>
  <c r="V724" s="1"/>
  <c r="H724"/>
  <c r="S724" s="1"/>
  <c r="E724"/>
  <c r="K723"/>
  <c r="V723" s="1"/>
  <c r="H723"/>
  <c r="S723" s="1"/>
  <c r="E723"/>
  <c r="K722"/>
  <c r="V722" s="1"/>
  <c r="H722"/>
  <c r="S722" s="1"/>
  <c r="E722"/>
  <c r="K721"/>
  <c r="V721" s="1"/>
  <c r="H721"/>
  <c r="S721" s="1"/>
  <c r="E721"/>
  <c r="K720"/>
  <c r="V720" s="1"/>
  <c r="H720"/>
  <c r="S720" s="1"/>
  <c r="E720"/>
  <c r="G725"/>
  <c r="R725" s="1"/>
  <c r="G724"/>
  <c r="R724" s="1"/>
  <c r="G723"/>
  <c r="R723" s="1"/>
  <c r="G722"/>
  <c r="R722" s="1"/>
  <c r="G721"/>
  <c r="R721" s="1"/>
  <c r="G720"/>
  <c r="R720" s="1"/>
  <c r="J724"/>
  <c r="U724" s="1"/>
  <c r="J721"/>
  <c r="U721" s="1"/>
  <c r="J725"/>
  <c r="U725" s="1"/>
  <c r="J722"/>
  <c r="U722" s="1"/>
  <c r="J723"/>
  <c r="U723" s="1"/>
  <c r="J720"/>
  <c r="U720" s="1"/>
  <c r="K939"/>
  <c r="V939" s="1"/>
  <c r="H939"/>
  <c r="S939" s="1"/>
  <c r="E939"/>
  <c r="K938"/>
  <c r="V938" s="1"/>
  <c r="H938"/>
  <c r="S938" s="1"/>
  <c r="E938"/>
  <c r="K937"/>
  <c r="V937" s="1"/>
  <c r="H937"/>
  <c r="S937" s="1"/>
  <c r="E937"/>
  <c r="K936"/>
  <c r="V936" s="1"/>
  <c r="H936"/>
  <c r="S936" s="1"/>
  <c r="E936"/>
  <c r="K935"/>
  <c r="V935" s="1"/>
  <c r="H935"/>
  <c r="S935" s="1"/>
  <c r="E935"/>
  <c r="K934"/>
  <c r="V934" s="1"/>
  <c r="H934"/>
  <c r="S934" s="1"/>
  <c r="E934"/>
  <c r="J939"/>
  <c r="U939" s="1"/>
  <c r="G939"/>
  <c r="R939" s="1"/>
  <c r="J938"/>
  <c r="U938" s="1"/>
  <c r="G938"/>
  <c r="R938" s="1"/>
  <c r="J937"/>
  <c r="U937" s="1"/>
  <c r="G937"/>
  <c r="R937" s="1"/>
  <c r="J936"/>
  <c r="U936" s="1"/>
  <c r="G936"/>
  <c r="R936" s="1"/>
  <c r="J935"/>
  <c r="U935" s="1"/>
  <c r="G935"/>
  <c r="R935" s="1"/>
  <c r="J934"/>
  <c r="U934" s="1"/>
  <c r="G934"/>
  <c r="R934" s="1"/>
  <c r="I939"/>
  <c r="T939" s="1"/>
  <c r="I938"/>
  <c r="T938" s="1"/>
  <c r="I937"/>
  <c r="T937" s="1"/>
  <c r="I936"/>
  <c r="T936" s="1"/>
  <c r="I935"/>
  <c r="T935" s="1"/>
  <c r="I934"/>
  <c r="T934" s="1"/>
  <c r="F939"/>
  <c r="Q939" s="1"/>
  <c r="F938"/>
  <c r="Q938" s="1"/>
  <c r="F937"/>
  <c r="Q937" s="1"/>
  <c r="F936"/>
  <c r="Q936" s="1"/>
  <c r="F935"/>
  <c r="Q935" s="1"/>
  <c r="F934"/>
  <c r="Q934" s="1"/>
  <c r="K36"/>
  <c r="V36" s="1"/>
  <c r="H36"/>
  <c r="S36" s="1"/>
  <c r="E36"/>
  <c r="K35"/>
  <c r="V35" s="1"/>
  <c r="H35"/>
  <c r="S35" s="1"/>
  <c r="E35"/>
  <c r="K34"/>
  <c r="V34" s="1"/>
  <c r="H34"/>
  <c r="S34" s="1"/>
  <c r="E34"/>
  <c r="K33"/>
  <c r="V33" s="1"/>
  <c r="H33"/>
  <c r="S33" s="1"/>
  <c r="E33"/>
  <c r="K32"/>
  <c r="V32" s="1"/>
  <c r="H32"/>
  <c r="S32" s="1"/>
  <c r="E32"/>
  <c r="K31"/>
  <c r="V31" s="1"/>
  <c r="H31"/>
  <c r="S31" s="1"/>
  <c r="E31"/>
  <c r="J36"/>
  <c r="U36" s="1"/>
  <c r="G36"/>
  <c r="R36" s="1"/>
  <c r="J35"/>
  <c r="U35" s="1"/>
  <c r="G35"/>
  <c r="R35" s="1"/>
  <c r="J34"/>
  <c r="U34" s="1"/>
  <c r="G34"/>
  <c r="R34" s="1"/>
  <c r="J33"/>
  <c r="U33" s="1"/>
  <c r="G33"/>
  <c r="R33" s="1"/>
  <c r="J32"/>
  <c r="U32" s="1"/>
  <c r="G32"/>
  <c r="R32" s="1"/>
  <c r="J31"/>
  <c r="U31" s="1"/>
  <c r="G31"/>
  <c r="R31" s="1"/>
  <c r="I36"/>
  <c r="T36" s="1"/>
  <c r="I35"/>
  <c r="T35" s="1"/>
  <c r="I34"/>
  <c r="T34" s="1"/>
  <c r="I33"/>
  <c r="T33" s="1"/>
  <c r="I32"/>
  <c r="T32" s="1"/>
  <c r="I31"/>
  <c r="T31" s="1"/>
  <c r="F36"/>
  <c r="Q36" s="1"/>
  <c r="F35"/>
  <c r="Q35" s="1"/>
  <c r="F34"/>
  <c r="Q34" s="1"/>
  <c r="F33"/>
  <c r="Q33" s="1"/>
  <c r="F32"/>
  <c r="Q32" s="1"/>
  <c r="F31"/>
  <c r="Q31" s="1"/>
  <c r="J278"/>
  <c r="U278" s="1"/>
  <c r="G278"/>
  <c r="R278" s="1"/>
  <c r="J277"/>
  <c r="U277" s="1"/>
  <c r="G277"/>
  <c r="R277" s="1"/>
  <c r="J276"/>
  <c r="U276" s="1"/>
  <c r="G276"/>
  <c r="R276" s="1"/>
  <c r="J275"/>
  <c r="U275" s="1"/>
  <c r="G275"/>
  <c r="R275" s="1"/>
  <c r="J274"/>
  <c r="U274" s="1"/>
  <c r="G274"/>
  <c r="R274" s="1"/>
  <c r="J273"/>
  <c r="U273" s="1"/>
  <c r="G273"/>
  <c r="R273" s="1"/>
  <c r="I278"/>
  <c r="T278" s="1"/>
  <c r="F278"/>
  <c r="Q278" s="1"/>
  <c r="I277"/>
  <c r="T277" s="1"/>
  <c r="F277"/>
  <c r="Q277" s="1"/>
  <c r="I276"/>
  <c r="T276" s="1"/>
  <c r="F276"/>
  <c r="Q276" s="1"/>
  <c r="I275"/>
  <c r="T275" s="1"/>
  <c r="F275"/>
  <c r="Q275" s="1"/>
  <c r="I274"/>
  <c r="T274" s="1"/>
  <c r="F274"/>
  <c r="Q274" s="1"/>
  <c r="I273"/>
  <c r="T273" s="1"/>
  <c r="F273"/>
  <c r="Q273" s="1"/>
  <c r="H278"/>
  <c r="S278" s="1"/>
  <c r="H277"/>
  <c r="S277" s="1"/>
  <c r="H276"/>
  <c r="S276" s="1"/>
  <c r="H275"/>
  <c r="S275" s="1"/>
  <c r="H274"/>
  <c r="S274" s="1"/>
  <c r="H273"/>
  <c r="S273" s="1"/>
  <c r="K278"/>
  <c r="V278" s="1"/>
  <c r="K277"/>
  <c r="V277" s="1"/>
  <c r="K276"/>
  <c r="V276" s="1"/>
  <c r="K275"/>
  <c r="V275" s="1"/>
  <c r="K274"/>
  <c r="V274" s="1"/>
  <c r="K273"/>
  <c r="V273" s="1"/>
  <c r="E278"/>
  <c r="E277"/>
  <c r="E276"/>
  <c r="E275"/>
  <c r="E274"/>
  <c r="E273"/>
  <c r="I845"/>
  <c r="T845" s="1"/>
  <c r="F845"/>
  <c r="Q845" s="1"/>
  <c r="J844"/>
  <c r="U844" s="1"/>
  <c r="G844"/>
  <c r="R844" s="1"/>
  <c r="K843"/>
  <c r="V843" s="1"/>
  <c r="H843"/>
  <c r="S843" s="1"/>
  <c r="E843"/>
  <c r="I842"/>
  <c r="T842" s="1"/>
  <c r="F842"/>
  <c r="Q842" s="1"/>
  <c r="J841"/>
  <c r="U841" s="1"/>
  <c r="G841"/>
  <c r="R841" s="1"/>
  <c r="K840"/>
  <c r="V840" s="1"/>
  <c r="H840"/>
  <c r="S840" s="1"/>
  <c r="E840"/>
  <c r="K845"/>
  <c r="V845" s="1"/>
  <c r="H845"/>
  <c r="S845" s="1"/>
  <c r="E845"/>
  <c r="I844"/>
  <c r="T844" s="1"/>
  <c r="F844"/>
  <c r="Q844" s="1"/>
  <c r="J843"/>
  <c r="U843" s="1"/>
  <c r="G843"/>
  <c r="R843" s="1"/>
  <c r="K842"/>
  <c r="V842" s="1"/>
  <c r="H842"/>
  <c r="S842" s="1"/>
  <c r="E842"/>
  <c r="I841"/>
  <c r="T841" s="1"/>
  <c r="F841"/>
  <c r="Q841" s="1"/>
  <c r="J840"/>
  <c r="U840" s="1"/>
  <c r="G840"/>
  <c r="R840" s="1"/>
  <c r="J845"/>
  <c r="U845" s="1"/>
  <c r="H844"/>
  <c r="S844" s="1"/>
  <c r="F843"/>
  <c r="Q843" s="1"/>
  <c r="K841"/>
  <c r="V841" s="1"/>
  <c r="I840"/>
  <c r="T840" s="1"/>
  <c r="G845"/>
  <c r="R845" s="1"/>
  <c r="E844"/>
  <c r="J842"/>
  <c r="U842" s="1"/>
  <c r="H841"/>
  <c r="S841" s="1"/>
  <c r="F840"/>
  <c r="Q840" s="1"/>
  <c r="K844"/>
  <c r="V844" s="1"/>
  <c r="E841"/>
  <c r="I843"/>
  <c r="T843" s="1"/>
  <c r="G842"/>
  <c r="R842" s="1"/>
  <c r="M398" i="106"/>
  <c r="M398" i="135" s="1"/>
  <c r="M397" i="106"/>
  <c r="M397" i="135" s="1"/>
  <c r="M396" i="106"/>
  <c r="M396" i="135" s="1"/>
  <c r="M395" i="106"/>
  <c r="M395" i="135" s="1"/>
  <c r="M394" i="106"/>
  <c r="M394" i="135" s="1"/>
  <c r="M393" i="106"/>
  <c r="M393" i="135" s="1"/>
  <c r="M392" i="106"/>
  <c r="M392" i="135" s="1"/>
  <c r="M391" i="106"/>
  <c r="M391" i="135" s="1"/>
  <c r="M390" i="106"/>
  <c r="M390" i="135" s="1"/>
  <c r="M389" i="106"/>
  <c r="M389" i="135" s="1"/>
  <c r="N398" i="106"/>
  <c r="N398" i="135" s="1"/>
  <c r="N397" i="106"/>
  <c r="N397" i="135" s="1"/>
  <c r="N396" i="106"/>
  <c r="N396" i="135" s="1"/>
  <c r="N395" i="106"/>
  <c r="N395" i="135" s="1"/>
  <c r="N394" i="106"/>
  <c r="N394" i="135" s="1"/>
  <c r="N393" i="106"/>
  <c r="N393" i="135" s="1"/>
  <c r="N392" i="106"/>
  <c r="N392" i="135" s="1"/>
  <c r="N391" i="106"/>
  <c r="N391" i="135" s="1"/>
  <c r="N390" i="106"/>
  <c r="N390" i="135" s="1"/>
  <c r="N389" i="106"/>
  <c r="N389" i="135" s="1"/>
  <c r="L398" i="106"/>
  <c r="L398" i="135" s="1"/>
  <c r="L397" i="106"/>
  <c r="L397" i="135" s="1"/>
  <c r="L396" i="106"/>
  <c r="L396" i="135" s="1"/>
  <c r="L395" i="106"/>
  <c r="L395" i="135" s="1"/>
  <c r="L394" i="106"/>
  <c r="L394" i="135" s="1"/>
  <c r="L393" i="106"/>
  <c r="L393" i="135" s="1"/>
  <c r="L392" i="106"/>
  <c r="L392" i="135" s="1"/>
  <c r="L391" i="106"/>
  <c r="L391" i="135" s="1"/>
  <c r="L390" i="106"/>
  <c r="L390" i="135" s="1"/>
  <c r="L389" i="106"/>
  <c r="L389" i="135" s="1"/>
  <c r="I762" i="106"/>
  <c r="I762" i="135" s="1"/>
  <c r="F762" i="106"/>
  <c r="F762" i="135" s="1"/>
  <c r="C762" i="106"/>
  <c r="C762" i="135" s="1"/>
  <c r="I761" i="106"/>
  <c r="I761" i="135" s="1"/>
  <c r="F761" i="106"/>
  <c r="F761" i="135" s="1"/>
  <c r="C761" i="106"/>
  <c r="C761" i="135" s="1"/>
  <c r="I760" i="106"/>
  <c r="I760" i="135" s="1"/>
  <c r="F760" i="106"/>
  <c r="F760" i="135" s="1"/>
  <c r="C760" i="106"/>
  <c r="C760" i="135" s="1"/>
  <c r="I759" i="106"/>
  <c r="I759" i="135" s="1"/>
  <c r="F759" i="106"/>
  <c r="F759" i="135" s="1"/>
  <c r="C759" i="106"/>
  <c r="C759" i="135" s="1"/>
  <c r="I758" i="106"/>
  <c r="I758" i="135" s="1"/>
  <c r="F758" i="106"/>
  <c r="F758" i="135" s="1"/>
  <c r="C758" i="106"/>
  <c r="C758" i="135" s="1"/>
  <c r="I757" i="106"/>
  <c r="I757" i="135" s="1"/>
  <c r="F757" i="106"/>
  <c r="F757" i="135" s="1"/>
  <c r="C757" i="106"/>
  <c r="C757" i="135" s="1"/>
  <c r="I756" i="106"/>
  <c r="I756" i="135" s="1"/>
  <c r="F756" i="106"/>
  <c r="F756" i="135" s="1"/>
  <c r="C756" i="106"/>
  <c r="C756" i="135" s="1"/>
  <c r="I755" i="106"/>
  <c r="I755" i="135" s="1"/>
  <c r="F755" i="106"/>
  <c r="F755" i="135" s="1"/>
  <c r="C755" i="106"/>
  <c r="C755" i="135" s="1"/>
  <c r="I754" i="106"/>
  <c r="I754" i="135" s="1"/>
  <c r="F754" i="106"/>
  <c r="F754" i="135" s="1"/>
  <c r="C754" i="106"/>
  <c r="C754" i="135" s="1"/>
  <c r="I753" i="106"/>
  <c r="F753"/>
  <c r="C753"/>
  <c r="C753" i="135" s="1"/>
  <c r="J762" i="106"/>
  <c r="J762" i="135" s="1"/>
  <c r="K762" i="106"/>
  <c r="K762" i="135" s="1"/>
  <c r="H762" i="106"/>
  <c r="H762" i="135" s="1"/>
  <c r="E762" i="106"/>
  <c r="E762" i="135" s="1"/>
  <c r="K761" i="106"/>
  <c r="K761" i="135" s="1"/>
  <c r="H761" i="106"/>
  <c r="H761" i="135" s="1"/>
  <c r="E761" i="106"/>
  <c r="E761" i="135" s="1"/>
  <c r="K760" i="106"/>
  <c r="K760" i="135" s="1"/>
  <c r="H760" i="106"/>
  <c r="H760" i="135" s="1"/>
  <c r="E760" i="106"/>
  <c r="E760" i="135" s="1"/>
  <c r="K759" i="106"/>
  <c r="K759" i="135" s="1"/>
  <c r="H759" i="106"/>
  <c r="H759" i="135" s="1"/>
  <c r="E759" i="106"/>
  <c r="E759" i="135" s="1"/>
  <c r="K758" i="106"/>
  <c r="K758" i="135" s="1"/>
  <c r="H758" i="106"/>
  <c r="H758" i="135" s="1"/>
  <c r="E758" i="106"/>
  <c r="E758" i="135" s="1"/>
  <c r="K757" i="106"/>
  <c r="K757" i="135" s="1"/>
  <c r="H757" i="106"/>
  <c r="H757" i="135" s="1"/>
  <c r="E757" i="106"/>
  <c r="E757" i="135" s="1"/>
  <c r="K756" i="106"/>
  <c r="K756" i="135" s="1"/>
  <c r="H756" i="106"/>
  <c r="H756" i="135" s="1"/>
  <c r="E756" i="106"/>
  <c r="E756" i="135" s="1"/>
  <c r="K755" i="106"/>
  <c r="K755" i="135" s="1"/>
  <c r="H755" i="106"/>
  <c r="H755" i="135" s="1"/>
  <c r="E755" i="106"/>
  <c r="E755" i="135" s="1"/>
  <c r="K754" i="106"/>
  <c r="K754" i="135" s="1"/>
  <c r="H754" i="106"/>
  <c r="H754" i="135" s="1"/>
  <c r="E754" i="106"/>
  <c r="E754" i="135" s="1"/>
  <c r="K753" i="106"/>
  <c r="H753"/>
  <c r="E753"/>
  <c r="J761"/>
  <c r="J761" i="135" s="1"/>
  <c r="J760" i="106"/>
  <c r="J760" i="135" s="1"/>
  <c r="J759" i="106"/>
  <c r="J759" i="135" s="1"/>
  <c r="J758" i="106"/>
  <c r="J758" i="135" s="1"/>
  <c r="J757" i="106"/>
  <c r="J757" i="135" s="1"/>
  <c r="J756" i="106"/>
  <c r="J756" i="135" s="1"/>
  <c r="J755" i="106"/>
  <c r="J755" i="135" s="1"/>
  <c r="J754" i="106"/>
  <c r="J754" i="135" s="1"/>
  <c r="J753" i="106"/>
  <c r="D762"/>
  <c r="D762" i="135" s="1"/>
  <c r="D761" i="106"/>
  <c r="D761" i="135" s="1"/>
  <c r="D760" i="106"/>
  <c r="D760" i="135" s="1"/>
  <c r="D759" i="106"/>
  <c r="D759" i="135" s="1"/>
  <c r="D758" i="106"/>
  <c r="D758" i="135" s="1"/>
  <c r="D757" i="106"/>
  <c r="D757" i="135" s="1"/>
  <c r="D756" i="106"/>
  <c r="D756" i="135" s="1"/>
  <c r="D755" i="106"/>
  <c r="D755" i="135" s="1"/>
  <c r="D754" i="106"/>
  <c r="D754" i="135" s="1"/>
  <c r="D753" i="106"/>
  <c r="G762"/>
  <c r="G762" i="135" s="1"/>
  <c r="G761" i="106"/>
  <c r="G761" i="135" s="1"/>
  <c r="G760" i="106"/>
  <c r="G760" i="135" s="1"/>
  <c r="G759" i="106"/>
  <c r="G759" i="135" s="1"/>
  <c r="G758" i="106"/>
  <c r="G758" i="135" s="1"/>
  <c r="G757" i="106"/>
  <c r="G757" i="135" s="1"/>
  <c r="G756" i="106"/>
  <c r="G756" i="135" s="1"/>
  <c r="G755" i="106"/>
  <c r="G755" i="135" s="1"/>
  <c r="G754" i="106"/>
  <c r="G754" i="135" s="1"/>
  <c r="G753" i="106"/>
  <c r="M163"/>
  <c r="M163" i="135" s="1"/>
  <c r="M162" i="106"/>
  <c r="M162" i="135" s="1"/>
  <c r="M161" i="106"/>
  <c r="M161" i="135" s="1"/>
  <c r="M160" i="106"/>
  <c r="M160" i="135" s="1"/>
  <c r="M159" i="106"/>
  <c r="M159" i="135" s="1"/>
  <c r="M158" i="106"/>
  <c r="M158" i="135" s="1"/>
  <c r="M157" i="106"/>
  <c r="M157" i="135" s="1"/>
  <c r="M156" i="106"/>
  <c r="M156" i="135" s="1"/>
  <c r="M155" i="106"/>
  <c r="M155" i="135" s="1"/>
  <c r="M154" i="106"/>
  <c r="M154" i="135" s="1"/>
  <c r="N163" i="106"/>
  <c r="N163" i="135" s="1"/>
  <c r="N162" i="106"/>
  <c r="N162" i="135" s="1"/>
  <c r="N161" i="106"/>
  <c r="N161" i="135" s="1"/>
  <c r="N160" i="106"/>
  <c r="N160" i="135" s="1"/>
  <c r="N159" i="106"/>
  <c r="N159" i="135" s="1"/>
  <c r="N158" i="106"/>
  <c r="N158" i="135" s="1"/>
  <c r="N157" i="106"/>
  <c r="N157" i="135" s="1"/>
  <c r="N156" i="106"/>
  <c r="N156" i="135" s="1"/>
  <c r="N155" i="106"/>
  <c r="N155" i="135" s="1"/>
  <c r="N154" i="106"/>
  <c r="N154" i="135" s="1"/>
  <c r="L163" i="106"/>
  <c r="L163" i="135" s="1"/>
  <c r="L162" i="106"/>
  <c r="L162" i="135" s="1"/>
  <c r="L161" i="106"/>
  <c r="L161" i="135" s="1"/>
  <c r="L160" i="106"/>
  <c r="L160" i="135" s="1"/>
  <c r="L159" i="106"/>
  <c r="L159" i="135" s="1"/>
  <c r="L158" i="106"/>
  <c r="L158" i="135" s="1"/>
  <c r="L157" i="106"/>
  <c r="L157" i="135" s="1"/>
  <c r="L156" i="106"/>
  <c r="L156" i="135" s="1"/>
  <c r="L155" i="106"/>
  <c r="L155" i="135" s="1"/>
  <c r="L154" i="106"/>
  <c r="L154" i="135" s="1"/>
  <c r="I89" i="106"/>
  <c r="I89" i="135" s="1"/>
  <c r="F89" i="106"/>
  <c r="F89" i="135" s="1"/>
  <c r="C89" i="106"/>
  <c r="C89" i="135" s="1"/>
  <c r="I88" i="106"/>
  <c r="I88" i="135" s="1"/>
  <c r="F88" i="106"/>
  <c r="F88" i="135" s="1"/>
  <c r="C88" i="106"/>
  <c r="C88" i="135" s="1"/>
  <c r="I87" i="106"/>
  <c r="I87" i="135" s="1"/>
  <c r="F87" i="106"/>
  <c r="F87" i="135" s="1"/>
  <c r="C87" i="106"/>
  <c r="C87" i="135" s="1"/>
  <c r="I86" i="106"/>
  <c r="I86" i="135" s="1"/>
  <c r="F86" i="106"/>
  <c r="F86" i="135" s="1"/>
  <c r="C86" i="106"/>
  <c r="C86" i="135" s="1"/>
  <c r="I85" i="106"/>
  <c r="I85" i="135" s="1"/>
  <c r="F85" i="106"/>
  <c r="F85" i="135" s="1"/>
  <c r="C85" i="106"/>
  <c r="C85" i="135" s="1"/>
  <c r="I84" i="106"/>
  <c r="I84" i="135" s="1"/>
  <c r="F84" i="106"/>
  <c r="F84" i="135" s="1"/>
  <c r="C84" i="106"/>
  <c r="C84" i="135" s="1"/>
  <c r="I83" i="106"/>
  <c r="I83" i="135" s="1"/>
  <c r="F83" i="106"/>
  <c r="F83" i="135" s="1"/>
  <c r="C83" i="106"/>
  <c r="C83" i="135" s="1"/>
  <c r="I82" i="106"/>
  <c r="I82" i="135" s="1"/>
  <c r="F82" i="106"/>
  <c r="F82" i="135" s="1"/>
  <c r="C82" i="106"/>
  <c r="C82" i="135" s="1"/>
  <c r="I81" i="106"/>
  <c r="I81" i="135" s="1"/>
  <c r="F81" i="106"/>
  <c r="F81" i="135" s="1"/>
  <c r="C81" i="106"/>
  <c r="C81" i="135" s="1"/>
  <c r="J80" i="106"/>
  <c r="G80"/>
  <c r="D80"/>
  <c r="J89"/>
  <c r="J89" i="135" s="1"/>
  <c r="G89" i="106"/>
  <c r="G89" i="135" s="1"/>
  <c r="D89" i="106"/>
  <c r="D89" i="135" s="1"/>
  <c r="J88" i="106"/>
  <c r="J88" i="135" s="1"/>
  <c r="G88" i="106"/>
  <c r="G88" i="135" s="1"/>
  <c r="D88" i="106"/>
  <c r="D88" i="135" s="1"/>
  <c r="J87" i="106"/>
  <c r="J87" i="135" s="1"/>
  <c r="G87" i="106"/>
  <c r="G87" i="135" s="1"/>
  <c r="D87" i="106"/>
  <c r="D87" i="135" s="1"/>
  <c r="J86" i="106"/>
  <c r="J86" i="135" s="1"/>
  <c r="G86" i="106"/>
  <c r="G86" i="135" s="1"/>
  <c r="D86" i="106"/>
  <c r="D86" i="135" s="1"/>
  <c r="J85" i="106"/>
  <c r="J85" i="135" s="1"/>
  <c r="G85" i="106"/>
  <c r="G85" i="135" s="1"/>
  <c r="D85" i="106"/>
  <c r="D85" i="135" s="1"/>
  <c r="J84" i="106"/>
  <c r="J84" i="135" s="1"/>
  <c r="G84" i="106"/>
  <c r="G84" i="135" s="1"/>
  <c r="D84" i="106"/>
  <c r="D84" i="135" s="1"/>
  <c r="J83" i="106"/>
  <c r="J83" i="135" s="1"/>
  <c r="G83" i="106"/>
  <c r="G83" i="135" s="1"/>
  <c r="D83" i="106"/>
  <c r="D83" i="135" s="1"/>
  <c r="J82" i="106"/>
  <c r="J82" i="135" s="1"/>
  <c r="G82" i="106"/>
  <c r="G82" i="135" s="1"/>
  <c r="D82" i="106"/>
  <c r="D82" i="135" s="1"/>
  <c r="J81" i="106"/>
  <c r="J81" i="135" s="1"/>
  <c r="G81" i="106"/>
  <c r="G81" i="135" s="1"/>
  <c r="D81" i="106"/>
  <c r="D81" i="135" s="1"/>
  <c r="K80" i="106"/>
  <c r="H80"/>
  <c r="E80"/>
  <c r="K89"/>
  <c r="K89" i="135" s="1"/>
  <c r="H89" i="106"/>
  <c r="H89" i="135" s="1"/>
  <c r="E89" i="106"/>
  <c r="E89" i="135" s="1"/>
  <c r="K88" i="106"/>
  <c r="K88" i="135" s="1"/>
  <c r="H88" i="106"/>
  <c r="H88" i="135" s="1"/>
  <c r="E88" i="106"/>
  <c r="E88" i="135" s="1"/>
  <c r="K87" i="106"/>
  <c r="K87" i="135" s="1"/>
  <c r="H87" i="106"/>
  <c r="H87" i="135" s="1"/>
  <c r="E87" i="106"/>
  <c r="E87" i="135" s="1"/>
  <c r="K86" i="106"/>
  <c r="K86" i="135" s="1"/>
  <c r="H86" i="106"/>
  <c r="H86" i="135" s="1"/>
  <c r="E86" i="106"/>
  <c r="E86" i="135" s="1"/>
  <c r="K85" i="106"/>
  <c r="K85" i="135" s="1"/>
  <c r="H85" i="106"/>
  <c r="H85" i="135" s="1"/>
  <c r="E85" i="106"/>
  <c r="E85" i="135" s="1"/>
  <c r="K84" i="106"/>
  <c r="K84" i="135" s="1"/>
  <c r="H84" i="106"/>
  <c r="H84" i="135" s="1"/>
  <c r="E84" i="106"/>
  <c r="E84" i="135" s="1"/>
  <c r="K83" i="106"/>
  <c r="K83" i="135" s="1"/>
  <c r="H83" i="106"/>
  <c r="H83" i="135" s="1"/>
  <c r="E83" i="106"/>
  <c r="E83" i="135" s="1"/>
  <c r="K82" i="106"/>
  <c r="K82" i="135" s="1"/>
  <c r="H82" i="106"/>
  <c r="H82" i="135" s="1"/>
  <c r="E82" i="106"/>
  <c r="E82" i="135" s="1"/>
  <c r="K81" i="106"/>
  <c r="K81" i="135" s="1"/>
  <c r="H81" i="106"/>
  <c r="H81" i="135" s="1"/>
  <c r="E81" i="106"/>
  <c r="E81" i="135" s="1"/>
  <c r="I80" i="106"/>
  <c r="F80"/>
  <c r="C80"/>
  <c r="C80" i="135" s="1"/>
  <c r="I689" i="106"/>
  <c r="I689" i="135" s="1"/>
  <c r="F689" i="106"/>
  <c r="F689" i="135" s="1"/>
  <c r="C689" i="106"/>
  <c r="C689" i="135" s="1"/>
  <c r="I688" i="106"/>
  <c r="I688" i="135" s="1"/>
  <c r="F688" i="106"/>
  <c r="F688" i="135" s="1"/>
  <c r="C688" i="106"/>
  <c r="C688" i="135" s="1"/>
  <c r="I687" i="106"/>
  <c r="I687" i="135" s="1"/>
  <c r="F687" i="106"/>
  <c r="F687" i="135" s="1"/>
  <c r="C687" i="106"/>
  <c r="C687" i="135" s="1"/>
  <c r="I686" i="106"/>
  <c r="I686" i="135" s="1"/>
  <c r="F686" i="106"/>
  <c r="F686" i="135" s="1"/>
  <c r="C686" i="106"/>
  <c r="C686" i="135" s="1"/>
  <c r="I685" i="106"/>
  <c r="I685" i="135" s="1"/>
  <c r="F685" i="106"/>
  <c r="F685" i="135" s="1"/>
  <c r="C685" i="106"/>
  <c r="C685" i="135" s="1"/>
  <c r="I684" i="106"/>
  <c r="I684" i="135" s="1"/>
  <c r="F684" i="106"/>
  <c r="F684" i="135" s="1"/>
  <c r="C684" i="106"/>
  <c r="C684" i="135" s="1"/>
  <c r="I683" i="106"/>
  <c r="I683" i="135" s="1"/>
  <c r="F683" i="106"/>
  <c r="F683" i="135" s="1"/>
  <c r="J689" i="106"/>
  <c r="J689" i="135" s="1"/>
  <c r="G689" i="106"/>
  <c r="G689" i="135" s="1"/>
  <c r="D689" i="106"/>
  <c r="D689" i="135" s="1"/>
  <c r="J688" i="106"/>
  <c r="J688" i="135" s="1"/>
  <c r="G688" i="106"/>
  <c r="G688" i="135" s="1"/>
  <c r="D688" i="106"/>
  <c r="D688" i="135" s="1"/>
  <c r="J687" i="106"/>
  <c r="J687" i="135" s="1"/>
  <c r="G687" i="106"/>
  <c r="G687" i="135" s="1"/>
  <c r="D687" i="106"/>
  <c r="D687" i="135" s="1"/>
  <c r="J686" i="106"/>
  <c r="J686" i="135" s="1"/>
  <c r="G686" i="106"/>
  <c r="G686" i="135" s="1"/>
  <c r="D686" i="106"/>
  <c r="D686" i="135" s="1"/>
  <c r="J685" i="106"/>
  <c r="J685" i="135" s="1"/>
  <c r="G685" i="106"/>
  <c r="G685" i="135" s="1"/>
  <c r="D685" i="106"/>
  <c r="D685" i="135" s="1"/>
  <c r="J684" i="106"/>
  <c r="J684" i="135" s="1"/>
  <c r="G684" i="106"/>
  <c r="G684" i="135" s="1"/>
  <c r="D684" i="106"/>
  <c r="D684" i="135" s="1"/>
  <c r="J683" i="106"/>
  <c r="J683" i="135" s="1"/>
  <c r="G683" i="106"/>
  <c r="G683" i="135" s="1"/>
  <c r="D683" i="106"/>
  <c r="D683" i="135" s="1"/>
  <c r="J682" i="106"/>
  <c r="J682" i="135" s="1"/>
  <c r="G682" i="106"/>
  <c r="G682" i="135" s="1"/>
  <c r="D682" i="106"/>
  <c r="D682" i="135" s="1"/>
  <c r="J681" i="106"/>
  <c r="J681" i="135" s="1"/>
  <c r="G681" i="106"/>
  <c r="G681" i="135" s="1"/>
  <c r="D681" i="106"/>
  <c r="D681" i="135" s="1"/>
  <c r="K680" i="106"/>
  <c r="H680"/>
  <c r="E680"/>
  <c r="K689"/>
  <c r="K689" i="135" s="1"/>
  <c r="H689" i="106"/>
  <c r="H689" i="135" s="1"/>
  <c r="E689" i="106"/>
  <c r="E689" i="135" s="1"/>
  <c r="K688" i="106"/>
  <c r="K688" i="135" s="1"/>
  <c r="H688" i="106"/>
  <c r="H688" i="135" s="1"/>
  <c r="E688" i="106"/>
  <c r="E688" i="135" s="1"/>
  <c r="K687" i="106"/>
  <c r="K687" i="135" s="1"/>
  <c r="H687" i="106"/>
  <c r="H687" i="135" s="1"/>
  <c r="E687" i="106"/>
  <c r="E687" i="135" s="1"/>
  <c r="K686" i="106"/>
  <c r="K686" i="135" s="1"/>
  <c r="H686" i="106"/>
  <c r="H686" i="135" s="1"/>
  <c r="E686" i="106"/>
  <c r="E686" i="135" s="1"/>
  <c r="K685" i="106"/>
  <c r="K685" i="135" s="1"/>
  <c r="H685" i="106"/>
  <c r="H685" i="135" s="1"/>
  <c r="E685" i="106"/>
  <c r="E685" i="135" s="1"/>
  <c r="K684" i="106"/>
  <c r="K684" i="135" s="1"/>
  <c r="H684" i="106"/>
  <c r="H684" i="135" s="1"/>
  <c r="E684" i="106"/>
  <c r="E684" i="135" s="1"/>
  <c r="K683" i="106"/>
  <c r="K683" i="135" s="1"/>
  <c r="H683" i="106"/>
  <c r="H683" i="135" s="1"/>
  <c r="E683" i="106"/>
  <c r="E683" i="135" s="1"/>
  <c r="K682" i="106"/>
  <c r="K682" i="135" s="1"/>
  <c r="H682" i="106"/>
  <c r="H682" i="135" s="1"/>
  <c r="E682" i="106"/>
  <c r="E682" i="135" s="1"/>
  <c r="K681" i="106"/>
  <c r="K681" i="135" s="1"/>
  <c r="H681" i="106"/>
  <c r="H681" i="135" s="1"/>
  <c r="E681" i="106"/>
  <c r="E681" i="135" s="1"/>
  <c r="I680" i="106"/>
  <c r="F680"/>
  <c r="C680"/>
  <c r="C680" i="135" s="1"/>
  <c r="C682" i="106"/>
  <c r="C682" i="135" s="1"/>
  <c r="F681" i="106"/>
  <c r="F681" i="135" s="1"/>
  <c r="J680" i="106"/>
  <c r="C683"/>
  <c r="C683" i="135" s="1"/>
  <c r="F682" i="106"/>
  <c r="F682" i="135" s="1"/>
  <c r="I681" i="106"/>
  <c r="I681" i="135" s="1"/>
  <c r="D680" i="106"/>
  <c r="I682"/>
  <c r="I682" i="135" s="1"/>
  <c r="C681" i="106"/>
  <c r="C681" i="135" s="1"/>
  <c r="G680" i="106"/>
  <c r="J567"/>
  <c r="J567" i="135" s="1"/>
  <c r="G567" i="106"/>
  <c r="G567" i="135" s="1"/>
  <c r="D567" i="106"/>
  <c r="D567" i="135" s="1"/>
  <c r="J566" i="106"/>
  <c r="J566" i="135" s="1"/>
  <c r="G566" i="106"/>
  <c r="G566" i="135" s="1"/>
  <c r="D566" i="106"/>
  <c r="D566" i="135" s="1"/>
  <c r="J565" i="106"/>
  <c r="J565" i="135" s="1"/>
  <c r="G565" i="106"/>
  <c r="G565" i="135" s="1"/>
  <c r="D565" i="106"/>
  <c r="D565" i="135" s="1"/>
  <c r="J564" i="106"/>
  <c r="J564" i="135" s="1"/>
  <c r="G564" i="106"/>
  <c r="G564" i="135" s="1"/>
  <c r="D564" i="106"/>
  <c r="D564" i="135" s="1"/>
  <c r="J563" i="106"/>
  <c r="J563" i="135" s="1"/>
  <c r="G563" i="106"/>
  <c r="G563" i="135" s="1"/>
  <c r="D563" i="106"/>
  <c r="D563" i="135" s="1"/>
  <c r="J562" i="106"/>
  <c r="J562" i="135" s="1"/>
  <c r="G562" i="106"/>
  <c r="G562" i="135" s="1"/>
  <c r="D562" i="106"/>
  <c r="D562" i="135" s="1"/>
  <c r="J561" i="106"/>
  <c r="J561" i="135" s="1"/>
  <c r="G561" i="106"/>
  <c r="G561" i="135" s="1"/>
  <c r="D561" i="106"/>
  <c r="D561" i="135" s="1"/>
  <c r="J560" i="106"/>
  <c r="J560" i="135" s="1"/>
  <c r="G560" i="106"/>
  <c r="G560" i="135" s="1"/>
  <c r="D560" i="106"/>
  <c r="D560" i="135" s="1"/>
  <c r="J559" i="106"/>
  <c r="J559" i="135" s="1"/>
  <c r="G559" i="106"/>
  <c r="G559" i="135" s="1"/>
  <c r="D559" i="106"/>
  <c r="D559" i="135" s="1"/>
  <c r="K558" i="106"/>
  <c r="H558"/>
  <c r="E558"/>
  <c r="K567"/>
  <c r="K567" i="135" s="1"/>
  <c r="H567" i="106"/>
  <c r="H567" i="135" s="1"/>
  <c r="E567" i="106"/>
  <c r="E567" i="135" s="1"/>
  <c r="K566" i="106"/>
  <c r="K566" i="135" s="1"/>
  <c r="H566" i="106"/>
  <c r="H566" i="135" s="1"/>
  <c r="E566" i="106"/>
  <c r="E566" i="135" s="1"/>
  <c r="K565" i="106"/>
  <c r="K565" i="135" s="1"/>
  <c r="H565" i="106"/>
  <c r="H565" i="135" s="1"/>
  <c r="E565" i="106"/>
  <c r="E565" i="135" s="1"/>
  <c r="K564" i="106"/>
  <c r="K564" i="135" s="1"/>
  <c r="H564" i="106"/>
  <c r="H564" i="135" s="1"/>
  <c r="E564" i="106"/>
  <c r="E564" i="135" s="1"/>
  <c r="K563" i="106"/>
  <c r="K563" i="135" s="1"/>
  <c r="H563" i="106"/>
  <c r="H563" i="135" s="1"/>
  <c r="E563" i="106"/>
  <c r="E563" i="135" s="1"/>
  <c r="K562" i="106"/>
  <c r="K562" i="135" s="1"/>
  <c r="H562" i="106"/>
  <c r="H562" i="135" s="1"/>
  <c r="E562" i="106"/>
  <c r="E562" i="135" s="1"/>
  <c r="K561" i="106"/>
  <c r="K561" i="135" s="1"/>
  <c r="H561" i="106"/>
  <c r="H561" i="135" s="1"/>
  <c r="E561" i="106"/>
  <c r="E561" i="135" s="1"/>
  <c r="K560" i="106"/>
  <c r="K560" i="135" s="1"/>
  <c r="H560" i="106"/>
  <c r="H560" i="135" s="1"/>
  <c r="E560" i="106"/>
  <c r="E560" i="135" s="1"/>
  <c r="K559" i="106"/>
  <c r="K559" i="135" s="1"/>
  <c r="H559" i="106"/>
  <c r="H559" i="135" s="1"/>
  <c r="E559" i="106"/>
  <c r="E559" i="135" s="1"/>
  <c r="I558" i="106"/>
  <c r="F558"/>
  <c r="C558"/>
  <c r="C558" i="135" s="1"/>
  <c r="I567" i="106"/>
  <c r="I567" i="135" s="1"/>
  <c r="F567" i="106"/>
  <c r="F567" i="135" s="1"/>
  <c r="C567" i="106"/>
  <c r="C567" i="135" s="1"/>
  <c r="I566" i="106"/>
  <c r="I566" i="135" s="1"/>
  <c r="F566" i="106"/>
  <c r="F566" i="135" s="1"/>
  <c r="C566" i="106"/>
  <c r="C566" i="135" s="1"/>
  <c r="I565" i="106"/>
  <c r="I565" i="135" s="1"/>
  <c r="F565" i="106"/>
  <c r="F565" i="135" s="1"/>
  <c r="C565" i="106"/>
  <c r="C565" i="135" s="1"/>
  <c r="I564" i="106"/>
  <c r="I564" i="135" s="1"/>
  <c r="F564" i="106"/>
  <c r="F564" i="135" s="1"/>
  <c r="C564" i="106"/>
  <c r="C564" i="135" s="1"/>
  <c r="I563" i="106"/>
  <c r="I563" i="135" s="1"/>
  <c r="F563" i="106"/>
  <c r="F563" i="135" s="1"/>
  <c r="C563" i="106"/>
  <c r="C563" i="135" s="1"/>
  <c r="I562" i="106"/>
  <c r="I562" i="135" s="1"/>
  <c r="F562" i="106"/>
  <c r="F562" i="135" s="1"/>
  <c r="C562" i="106"/>
  <c r="C562" i="135" s="1"/>
  <c r="I561" i="106"/>
  <c r="I561" i="135" s="1"/>
  <c r="F561" i="106"/>
  <c r="F561" i="135" s="1"/>
  <c r="C561" i="106"/>
  <c r="C561" i="135" s="1"/>
  <c r="I560" i="106"/>
  <c r="I560" i="135" s="1"/>
  <c r="F560" i="106"/>
  <c r="F560" i="135" s="1"/>
  <c r="C560" i="106"/>
  <c r="C560" i="135" s="1"/>
  <c r="I559" i="106"/>
  <c r="I559" i="135" s="1"/>
  <c r="F559" i="106"/>
  <c r="F559" i="135" s="1"/>
  <c r="C559" i="106"/>
  <c r="C559" i="135" s="1"/>
  <c r="J558" i="106"/>
  <c r="G558"/>
  <c r="D558"/>
  <c r="M211"/>
  <c r="M211" i="135" s="1"/>
  <c r="M210" i="106"/>
  <c r="M210" i="135" s="1"/>
  <c r="M209" i="106"/>
  <c r="M209" i="135" s="1"/>
  <c r="M208" i="106"/>
  <c r="M208" i="135" s="1"/>
  <c r="M207" i="106"/>
  <c r="M207" i="135" s="1"/>
  <c r="M206" i="106"/>
  <c r="M206" i="135" s="1"/>
  <c r="M205" i="106"/>
  <c r="M205" i="135" s="1"/>
  <c r="M204" i="106"/>
  <c r="M204" i="135" s="1"/>
  <c r="M203" i="106"/>
  <c r="M203" i="135" s="1"/>
  <c r="M202" i="106"/>
  <c r="M202" i="135" s="1"/>
  <c r="N211" i="106"/>
  <c r="N211" i="135" s="1"/>
  <c r="N210" i="106"/>
  <c r="N210" i="135" s="1"/>
  <c r="N209" i="106"/>
  <c r="N209" i="135" s="1"/>
  <c r="N208" i="106"/>
  <c r="N208" i="135" s="1"/>
  <c r="N207" i="106"/>
  <c r="N207" i="135" s="1"/>
  <c r="N206" i="106"/>
  <c r="N206" i="135" s="1"/>
  <c r="N205" i="106"/>
  <c r="N205" i="135" s="1"/>
  <c r="N204" i="106"/>
  <c r="N204" i="135" s="1"/>
  <c r="N203" i="106"/>
  <c r="N203" i="135" s="1"/>
  <c r="L211" i="106"/>
  <c r="L211" i="135" s="1"/>
  <c r="L210" i="106"/>
  <c r="L210" i="135" s="1"/>
  <c r="L209" i="106"/>
  <c r="L209" i="135" s="1"/>
  <c r="L208" i="106"/>
  <c r="L208" i="135" s="1"/>
  <c r="L207" i="106"/>
  <c r="L207" i="135" s="1"/>
  <c r="L206" i="106"/>
  <c r="L206" i="135" s="1"/>
  <c r="L205" i="106"/>
  <c r="L205" i="135" s="1"/>
  <c r="L204" i="106"/>
  <c r="L204" i="135" s="1"/>
  <c r="L203" i="106"/>
  <c r="L203" i="135" s="1"/>
  <c r="L202" i="106"/>
  <c r="L202" i="135" s="1"/>
  <c r="N202" i="106"/>
  <c r="N202" i="135" s="1"/>
  <c r="L784" i="106"/>
  <c r="L784" i="135" s="1"/>
  <c r="L783" i="106"/>
  <c r="L783" i="135" s="1"/>
  <c r="L782" i="106"/>
  <c r="L782" i="135" s="1"/>
  <c r="L781" i="106"/>
  <c r="L781" i="135" s="1"/>
  <c r="L780" i="106"/>
  <c r="L780" i="135" s="1"/>
  <c r="L779" i="106"/>
  <c r="L779" i="135" s="1"/>
  <c r="L778" i="106"/>
  <c r="L778" i="135" s="1"/>
  <c r="L777" i="106"/>
  <c r="L777" i="135" s="1"/>
  <c r="L776" i="106"/>
  <c r="L776" i="135" s="1"/>
  <c r="L775" i="106"/>
  <c r="L775" i="135" s="1"/>
  <c r="N784" i="106"/>
  <c r="N784" i="135" s="1"/>
  <c r="N783" i="106"/>
  <c r="N783" i="135" s="1"/>
  <c r="N782" i="106"/>
  <c r="N782" i="135" s="1"/>
  <c r="N781" i="106"/>
  <c r="N781" i="135" s="1"/>
  <c r="N780" i="106"/>
  <c r="N780" i="135" s="1"/>
  <c r="N779" i="106"/>
  <c r="N779" i="135" s="1"/>
  <c r="N778" i="106"/>
  <c r="N778" i="135" s="1"/>
  <c r="N777" i="106"/>
  <c r="N777" i="135" s="1"/>
  <c r="N776" i="106"/>
  <c r="N776" i="135" s="1"/>
  <c r="N775" i="106"/>
  <c r="N775" i="135" s="1"/>
  <c r="M784" i="106"/>
  <c r="M784" i="135" s="1"/>
  <c r="M781" i="106"/>
  <c r="M781" i="135" s="1"/>
  <c r="M778" i="106"/>
  <c r="M778" i="135" s="1"/>
  <c r="M775" i="106"/>
  <c r="M775" i="135" s="1"/>
  <c r="M782" i="106"/>
  <c r="M782" i="135" s="1"/>
  <c r="M779" i="106"/>
  <c r="M779" i="135" s="1"/>
  <c r="M776" i="106"/>
  <c r="M776" i="135" s="1"/>
  <c r="M783" i="106"/>
  <c r="M783" i="135" s="1"/>
  <c r="M780" i="106"/>
  <c r="M780" i="135" s="1"/>
  <c r="M777" i="106"/>
  <c r="M777" i="135" s="1"/>
  <c r="K199" i="106"/>
  <c r="K199" i="135" s="1"/>
  <c r="H199" i="106"/>
  <c r="H199" i="135" s="1"/>
  <c r="E199" i="106"/>
  <c r="E199" i="135" s="1"/>
  <c r="K198" i="106"/>
  <c r="K198" i="135" s="1"/>
  <c r="H198" i="106"/>
  <c r="H198" i="135" s="1"/>
  <c r="E198" i="106"/>
  <c r="E198" i="135" s="1"/>
  <c r="K197" i="106"/>
  <c r="K197" i="135" s="1"/>
  <c r="H197" i="106"/>
  <c r="H197" i="135" s="1"/>
  <c r="E197" i="106"/>
  <c r="E197" i="135" s="1"/>
  <c r="K196" i="106"/>
  <c r="K196" i="135" s="1"/>
  <c r="H196" i="106"/>
  <c r="H196" i="135" s="1"/>
  <c r="E196" i="106"/>
  <c r="E196" i="135" s="1"/>
  <c r="K195" i="106"/>
  <c r="K195" i="135" s="1"/>
  <c r="H195" i="106"/>
  <c r="H195" i="135" s="1"/>
  <c r="E195" i="106"/>
  <c r="E195" i="135" s="1"/>
  <c r="K194" i="106"/>
  <c r="K194" i="135" s="1"/>
  <c r="H194" i="106"/>
  <c r="H194" i="135" s="1"/>
  <c r="E194" i="106"/>
  <c r="E194" i="135" s="1"/>
  <c r="K193" i="106"/>
  <c r="K193" i="135" s="1"/>
  <c r="H193" i="106"/>
  <c r="H193" i="135" s="1"/>
  <c r="E193" i="106"/>
  <c r="E193" i="135" s="1"/>
  <c r="K192" i="106"/>
  <c r="K192" i="135" s="1"/>
  <c r="H192" i="106"/>
  <c r="H192" i="135" s="1"/>
  <c r="E192" i="106"/>
  <c r="E192" i="135" s="1"/>
  <c r="K191" i="106"/>
  <c r="K191" i="135" s="1"/>
  <c r="H191" i="106"/>
  <c r="H191" i="135" s="1"/>
  <c r="E191" i="106"/>
  <c r="E191" i="135" s="1"/>
  <c r="J199" i="106"/>
  <c r="J199" i="135" s="1"/>
  <c r="G199" i="106"/>
  <c r="G199" i="135" s="1"/>
  <c r="D199" i="106"/>
  <c r="D199" i="135" s="1"/>
  <c r="J198" i="106"/>
  <c r="J198" i="135" s="1"/>
  <c r="G198" i="106"/>
  <c r="G198" i="135" s="1"/>
  <c r="D198" i="106"/>
  <c r="D198" i="135" s="1"/>
  <c r="J197" i="106"/>
  <c r="J197" i="135" s="1"/>
  <c r="G197" i="106"/>
  <c r="G197" i="135" s="1"/>
  <c r="D197" i="106"/>
  <c r="D197" i="135" s="1"/>
  <c r="J196" i="106"/>
  <c r="J196" i="135" s="1"/>
  <c r="G196" i="106"/>
  <c r="G196" i="135" s="1"/>
  <c r="D196" i="106"/>
  <c r="D196" i="135" s="1"/>
  <c r="I199" i="106"/>
  <c r="I199" i="135" s="1"/>
  <c r="C198" i="106"/>
  <c r="C198" i="135" s="1"/>
  <c r="F197" i="106"/>
  <c r="F197" i="135" s="1"/>
  <c r="I196" i="106"/>
  <c r="I196" i="135" s="1"/>
  <c r="I195" i="106"/>
  <c r="I195" i="135" s="1"/>
  <c r="D195" i="106"/>
  <c r="D195" i="135" s="1"/>
  <c r="G194" i="106"/>
  <c r="G194" i="135" s="1"/>
  <c r="C194" i="106"/>
  <c r="C194" i="135" s="1"/>
  <c r="J193" i="106"/>
  <c r="J193" i="135" s="1"/>
  <c r="F193" i="106"/>
  <c r="F193" i="135" s="1"/>
  <c r="I192" i="106"/>
  <c r="I192" i="135" s="1"/>
  <c r="D192" i="106"/>
  <c r="D192" i="135" s="1"/>
  <c r="G191" i="106"/>
  <c r="G191" i="135" s="1"/>
  <c r="C191" i="106"/>
  <c r="C191" i="135" s="1"/>
  <c r="K190" i="106"/>
  <c r="H190"/>
  <c r="E190"/>
  <c r="C199"/>
  <c r="C199" i="135" s="1"/>
  <c r="F198" i="106"/>
  <c r="F198" i="135" s="1"/>
  <c r="I197" i="106"/>
  <c r="I197" i="135" s="1"/>
  <c r="C196" i="106"/>
  <c r="C196" i="135" s="1"/>
  <c r="J195" i="106"/>
  <c r="J195" i="135" s="1"/>
  <c r="F195" i="106"/>
  <c r="F195" i="135" s="1"/>
  <c r="I194" i="106"/>
  <c r="I194" i="135" s="1"/>
  <c r="D194" i="106"/>
  <c r="D194" i="135" s="1"/>
  <c r="G193" i="106"/>
  <c r="G193" i="135" s="1"/>
  <c r="C193" i="106"/>
  <c r="C193" i="135" s="1"/>
  <c r="J192" i="106"/>
  <c r="J192" i="135" s="1"/>
  <c r="F192" i="106"/>
  <c r="F192" i="135" s="1"/>
  <c r="I191" i="106"/>
  <c r="I191" i="135" s="1"/>
  <c r="D191" i="106"/>
  <c r="D191" i="135" s="1"/>
  <c r="I190" i="106"/>
  <c r="F190"/>
  <c r="C190"/>
  <c r="C190" i="135" s="1"/>
  <c r="F199" i="106"/>
  <c r="F199" i="135" s="1"/>
  <c r="I198" i="106"/>
  <c r="I198" i="135" s="1"/>
  <c r="C197" i="106"/>
  <c r="C197" i="135" s="1"/>
  <c r="F196" i="106"/>
  <c r="F196" i="135" s="1"/>
  <c r="G195" i="106"/>
  <c r="G195" i="135" s="1"/>
  <c r="C195" i="106"/>
  <c r="C195" i="135" s="1"/>
  <c r="J194" i="106"/>
  <c r="J194" i="135" s="1"/>
  <c r="F194" i="106"/>
  <c r="F194" i="135" s="1"/>
  <c r="I193" i="106"/>
  <c r="I193" i="135" s="1"/>
  <c r="D193" i="106"/>
  <c r="D193" i="135" s="1"/>
  <c r="G192" i="106"/>
  <c r="G192" i="135" s="1"/>
  <c r="C192" i="106"/>
  <c r="C192" i="135" s="1"/>
  <c r="J191" i="106"/>
  <c r="J191" i="135" s="1"/>
  <c r="F191" i="106"/>
  <c r="F191" i="135" s="1"/>
  <c r="J190" i="106"/>
  <c r="G190"/>
  <c r="D190"/>
  <c r="K784"/>
  <c r="K784" i="135" s="1"/>
  <c r="H784" i="106"/>
  <c r="H784" i="135" s="1"/>
  <c r="E784" i="106"/>
  <c r="E784" i="135" s="1"/>
  <c r="K783" i="106"/>
  <c r="K783" i="135" s="1"/>
  <c r="H783" i="106"/>
  <c r="H783" i="135" s="1"/>
  <c r="E783" i="106"/>
  <c r="E783" i="135" s="1"/>
  <c r="K782" i="106"/>
  <c r="K782" i="135" s="1"/>
  <c r="H782" i="106"/>
  <c r="H782" i="135" s="1"/>
  <c r="E782" i="106"/>
  <c r="E782" i="135" s="1"/>
  <c r="K781" i="106"/>
  <c r="K781" i="135" s="1"/>
  <c r="H781" i="106"/>
  <c r="H781" i="135" s="1"/>
  <c r="E781" i="106"/>
  <c r="E781" i="135" s="1"/>
  <c r="K780" i="106"/>
  <c r="K780" i="135" s="1"/>
  <c r="H780" i="106"/>
  <c r="H780" i="135" s="1"/>
  <c r="E780" i="106"/>
  <c r="E780" i="135" s="1"/>
  <c r="K779" i="106"/>
  <c r="K779" i="135" s="1"/>
  <c r="H779" i="106"/>
  <c r="H779" i="135" s="1"/>
  <c r="E779" i="106"/>
  <c r="E779" i="135" s="1"/>
  <c r="K778" i="106"/>
  <c r="K778" i="135" s="1"/>
  <c r="H778" i="106"/>
  <c r="H778" i="135" s="1"/>
  <c r="E778" i="106"/>
  <c r="E778" i="135" s="1"/>
  <c r="K777" i="106"/>
  <c r="K777" i="135" s="1"/>
  <c r="H777" i="106"/>
  <c r="H777" i="135" s="1"/>
  <c r="E777" i="106"/>
  <c r="E777" i="135" s="1"/>
  <c r="K776" i="106"/>
  <c r="K776" i="135" s="1"/>
  <c r="H776" i="106"/>
  <c r="H776" i="135" s="1"/>
  <c r="E776" i="106"/>
  <c r="E776" i="135" s="1"/>
  <c r="K775" i="106"/>
  <c r="H775"/>
  <c r="E775"/>
  <c r="I784"/>
  <c r="I784" i="135" s="1"/>
  <c r="F784" i="106"/>
  <c r="F784" i="135" s="1"/>
  <c r="C784" i="106"/>
  <c r="C784" i="135" s="1"/>
  <c r="I783" i="106"/>
  <c r="I783" i="135" s="1"/>
  <c r="F783" i="106"/>
  <c r="F783" i="135" s="1"/>
  <c r="C783" i="106"/>
  <c r="C783" i="135" s="1"/>
  <c r="I782" i="106"/>
  <c r="I782" i="135" s="1"/>
  <c r="F782" i="106"/>
  <c r="F782" i="135" s="1"/>
  <c r="C782" i="106"/>
  <c r="C782" i="135" s="1"/>
  <c r="I781" i="106"/>
  <c r="I781" i="135" s="1"/>
  <c r="F781" i="106"/>
  <c r="F781" i="135" s="1"/>
  <c r="C781" i="106"/>
  <c r="C781" i="135" s="1"/>
  <c r="I780" i="106"/>
  <c r="I780" i="135" s="1"/>
  <c r="F780" i="106"/>
  <c r="F780" i="135" s="1"/>
  <c r="C780" i="106"/>
  <c r="C780" i="135" s="1"/>
  <c r="I779" i="106"/>
  <c r="I779" i="135" s="1"/>
  <c r="F779" i="106"/>
  <c r="F779" i="135" s="1"/>
  <c r="C779" i="106"/>
  <c r="C779" i="135" s="1"/>
  <c r="I778" i="106"/>
  <c r="I778" i="135" s="1"/>
  <c r="F778" i="106"/>
  <c r="F778" i="135" s="1"/>
  <c r="C778" i="106"/>
  <c r="C778" i="135" s="1"/>
  <c r="I777" i="106"/>
  <c r="I777" i="135" s="1"/>
  <c r="F777" i="106"/>
  <c r="F777" i="135" s="1"/>
  <c r="C777" i="106"/>
  <c r="C777" i="135" s="1"/>
  <c r="I776" i="106"/>
  <c r="I776" i="135" s="1"/>
  <c r="F776" i="106"/>
  <c r="F776" i="135" s="1"/>
  <c r="C776" i="106"/>
  <c r="C776" i="135" s="1"/>
  <c r="I775" i="106"/>
  <c r="F775"/>
  <c r="C775"/>
  <c r="C775" i="135" s="1"/>
  <c r="J784" i="106"/>
  <c r="J784" i="135" s="1"/>
  <c r="G784" i="106"/>
  <c r="G784" i="135" s="1"/>
  <c r="D784" i="106"/>
  <c r="D784" i="135" s="1"/>
  <c r="J783" i="106"/>
  <c r="J783" i="135" s="1"/>
  <c r="G783" i="106"/>
  <c r="G783" i="135" s="1"/>
  <c r="D783" i="106"/>
  <c r="D783" i="135" s="1"/>
  <c r="J782" i="106"/>
  <c r="J782" i="135" s="1"/>
  <c r="G782" i="106"/>
  <c r="G782" i="135" s="1"/>
  <c r="D782" i="106"/>
  <c r="D782" i="135" s="1"/>
  <c r="J781" i="106"/>
  <c r="J781" i="135" s="1"/>
  <c r="G781" i="106"/>
  <c r="G781" i="135" s="1"/>
  <c r="D781" i="106"/>
  <c r="D781" i="135" s="1"/>
  <c r="J780" i="106"/>
  <c r="J780" i="135" s="1"/>
  <c r="G780" i="106"/>
  <c r="G780" i="135" s="1"/>
  <c r="D780" i="106"/>
  <c r="D780" i="135" s="1"/>
  <c r="J779" i="106"/>
  <c r="J779" i="135" s="1"/>
  <c r="G779" i="106"/>
  <c r="G779" i="135" s="1"/>
  <c r="D779" i="106"/>
  <c r="D779" i="135" s="1"/>
  <c r="J778" i="106"/>
  <c r="J778" i="135" s="1"/>
  <c r="G778" i="106"/>
  <c r="G778" i="135" s="1"/>
  <c r="D778" i="106"/>
  <c r="D778" i="135" s="1"/>
  <c r="J777" i="106"/>
  <c r="J777" i="135" s="1"/>
  <c r="G777" i="106"/>
  <c r="G777" i="135" s="1"/>
  <c r="D777" i="106"/>
  <c r="D777" i="135" s="1"/>
  <c r="J776" i="106"/>
  <c r="J776" i="135" s="1"/>
  <c r="G776" i="106"/>
  <c r="G776" i="135" s="1"/>
  <c r="D776" i="106"/>
  <c r="D776" i="135" s="1"/>
  <c r="J775" i="106"/>
  <c r="G775"/>
  <c r="D775"/>
  <c r="K386"/>
  <c r="K386" i="135" s="1"/>
  <c r="H386" i="106"/>
  <c r="H386" i="135" s="1"/>
  <c r="E386" i="106"/>
  <c r="E386" i="135" s="1"/>
  <c r="K385" i="106"/>
  <c r="K385" i="135" s="1"/>
  <c r="H385" i="106"/>
  <c r="H385" i="135" s="1"/>
  <c r="E385" i="106"/>
  <c r="E385" i="135" s="1"/>
  <c r="K384" i="106"/>
  <c r="K384" i="135" s="1"/>
  <c r="H384" i="106"/>
  <c r="H384" i="135" s="1"/>
  <c r="E384" i="106"/>
  <c r="E384" i="135" s="1"/>
  <c r="K383" i="106"/>
  <c r="K383" i="135" s="1"/>
  <c r="H383" i="106"/>
  <c r="H383" i="135" s="1"/>
  <c r="E383" i="106"/>
  <c r="E383" i="135" s="1"/>
  <c r="K382" i="106"/>
  <c r="K382" i="135" s="1"/>
  <c r="H382" i="106"/>
  <c r="H382" i="135" s="1"/>
  <c r="E382" i="106"/>
  <c r="E382" i="135" s="1"/>
  <c r="K381" i="106"/>
  <c r="K381" i="135" s="1"/>
  <c r="H381" i="106"/>
  <c r="H381" i="135" s="1"/>
  <c r="E381" i="106"/>
  <c r="E381" i="135" s="1"/>
  <c r="K380" i="106"/>
  <c r="K380" i="135" s="1"/>
  <c r="H380" i="106"/>
  <c r="H380" i="135" s="1"/>
  <c r="E380" i="106"/>
  <c r="E380" i="135" s="1"/>
  <c r="K379" i="106"/>
  <c r="K379" i="135" s="1"/>
  <c r="H379" i="106"/>
  <c r="H379" i="135" s="1"/>
  <c r="E379" i="106"/>
  <c r="E379" i="135" s="1"/>
  <c r="K378" i="106"/>
  <c r="K378" i="135" s="1"/>
  <c r="H378" i="106"/>
  <c r="H378" i="135" s="1"/>
  <c r="E378" i="106"/>
  <c r="E378" i="135" s="1"/>
  <c r="I377" i="106"/>
  <c r="F377"/>
  <c r="C377"/>
  <c r="C377" i="135" s="1"/>
  <c r="I386" i="106"/>
  <c r="I386" i="135" s="1"/>
  <c r="F386" i="106"/>
  <c r="F386" i="135" s="1"/>
  <c r="C386" i="106"/>
  <c r="C386" i="135" s="1"/>
  <c r="I385" i="106"/>
  <c r="I385" i="135" s="1"/>
  <c r="F385" i="106"/>
  <c r="F385" i="135" s="1"/>
  <c r="C385" i="106"/>
  <c r="C385" i="135" s="1"/>
  <c r="I384" i="106"/>
  <c r="I384" i="135" s="1"/>
  <c r="F384" i="106"/>
  <c r="F384" i="135" s="1"/>
  <c r="C384" i="106"/>
  <c r="C384" i="135" s="1"/>
  <c r="I383" i="106"/>
  <c r="I383" i="135" s="1"/>
  <c r="F383" i="106"/>
  <c r="F383" i="135" s="1"/>
  <c r="C383" i="106"/>
  <c r="C383" i="135" s="1"/>
  <c r="I382" i="106"/>
  <c r="I382" i="135" s="1"/>
  <c r="F382" i="106"/>
  <c r="F382" i="135" s="1"/>
  <c r="C382" i="106"/>
  <c r="C382" i="135" s="1"/>
  <c r="I381" i="106"/>
  <c r="I381" i="135" s="1"/>
  <c r="F381" i="106"/>
  <c r="F381" i="135" s="1"/>
  <c r="C381" i="106"/>
  <c r="C381" i="135" s="1"/>
  <c r="I380" i="106"/>
  <c r="I380" i="135" s="1"/>
  <c r="F380" i="106"/>
  <c r="F380" i="135" s="1"/>
  <c r="C380" i="106"/>
  <c r="C380" i="135" s="1"/>
  <c r="I379" i="106"/>
  <c r="I379" i="135" s="1"/>
  <c r="F379" i="106"/>
  <c r="F379" i="135" s="1"/>
  <c r="C379" i="106"/>
  <c r="C379" i="135" s="1"/>
  <c r="I378" i="106"/>
  <c r="I378" i="135" s="1"/>
  <c r="F378" i="106"/>
  <c r="F378" i="135" s="1"/>
  <c r="C378" i="106"/>
  <c r="C378" i="135" s="1"/>
  <c r="J377" i="106"/>
  <c r="G377"/>
  <c r="D377"/>
  <c r="J386"/>
  <c r="J386" i="135" s="1"/>
  <c r="G386" i="106"/>
  <c r="G386" i="135" s="1"/>
  <c r="D386" i="106"/>
  <c r="D386" i="135" s="1"/>
  <c r="J385" i="106"/>
  <c r="J385" i="135" s="1"/>
  <c r="G385" i="106"/>
  <c r="G385" i="135" s="1"/>
  <c r="D385" i="106"/>
  <c r="D385" i="135" s="1"/>
  <c r="J384" i="106"/>
  <c r="J384" i="135" s="1"/>
  <c r="G384" i="106"/>
  <c r="G384" i="135" s="1"/>
  <c r="D384" i="106"/>
  <c r="D384" i="135" s="1"/>
  <c r="J383" i="106"/>
  <c r="J383" i="135" s="1"/>
  <c r="G383" i="106"/>
  <c r="G383" i="135" s="1"/>
  <c r="D383" i="106"/>
  <c r="D383" i="135" s="1"/>
  <c r="J382" i="106"/>
  <c r="J382" i="135" s="1"/>
  <c r="G382" i="106"/>
  <c r="G382" i="135" s="1"/>
  <c r="D382" i="106"/>
  <c r="D382" i="135" s="1"/>
  <c r="J381" i="106"/>
  <c r="J381" i="135" s="1"/>
  <c r="G381" i="106"/>
  <c r="G381" i="135" s="1"/>
  <c r="D381" i="106"/>
  <c r="D381" i="135" s="1"/>
  <c r="J380" i="106"/>
  <c r="J380" i="135" s="1"/>
  <c r="G380" i="106"/>
  <c r="G380" i="135" s="1"/>
  <c r="D380" i="106"/>
  <c r="D380" i="135" s="1"/>
  <c r="J379" i="106"/>
  <c r="J379" i="135" s="1"/>
  <c r="G379" i="106"/>
  <c r="G379" i="135" s="1"/>
  <c r="D379" i="106"/>
  <c r="D379" i="135" s="1"/>
  <c r="J378" i="106"/>
  <c r="J378" i="135" s="1"/>
  <c r="G378" i="106"/>
  <c r="G378" i="135" s="1"/>
  <c r="D378" i="106"/>
  <c r="D378" i="135" s="1"/>
  <c r="K377" i="106"/>
  <c r="H377"/>
  <c r="E377"/>
  <c r="H53" i="104"/>
  <c r="F374" i="106"/>
  <c r="H374"/>
  <c r="D374"/>
  <c r="C331" i="105"/>
  <c r="C436" i="106"/>
  <c r="C108" i="105"/>
  <c r="C141" i="106"/>
  <c r="N493"/>
  <c r="N493" i="135" s="1"/>
  <c r="N492" i="106"/>
  <c r="N492" i="135" s="1"/>
  <c r="N491" i="106"/>
  <c r="N491" i="135" s="1"/>
  <c r="N490" i="106"/>
  <c r="N490" i="135" s="1"/>
  <c r="N489" i="106"/>
  <c r="N489" i="135" s="1"/>
  <c r="N488" i="106"/>
  <c r="N488" i="135" s="1"/>
  <c r="N487" i="106"/>
  <c r="N487" i="135" s="1"/>
  <c r="N486" i="106"/>
  <c r="N486" i="135" s="1"/>
  <c r="N485" i="106"/>
  <c r="N485" i="135" s="1"/>
  <c r="N484" i="106"/>
  <c r="N484" i="135" s="1"/>
  <c r="L493" i="106"/>
  <c r="L493" i="135" s="1"/>
  <c r="L492" i="106"/>
  <c r="L492" i="135" s="1"/>
  <c r="L491" i="106"/>
  <c r="L491" i="135" s="1"/>
  <c r="L490" i="106"/>
  <c r="L490" i="135" s="1"/>
  <c r="L489" i="106"/>
  <c r="L489" i="135" s="1"/>
  <c r="L488" i="106"/>
  <c r="L488" i="135" s="1"/>
  <c r="L487" i="106"/>
  <c r="L487" i="135" s="1"/>
  <c r="L486" i="106"/>
  <c r="L486" i="135" s="1"/>
  <c r="L485" i="106"/>
  <c r="L485" i="135" s="1"/>
  <c r="L484" i="106"/>
  <c r="L484" i="135" s="1"/>
  <c r="M493" i="106"/>
  <c r="M493" i="135" s="1"/>
  <c r="M492" i="106"/>
  <c r="M492" i="135" s="1"/>
  <c r="M491" i="106"/>
  <c r="M491" i="135" s="1"/>
  <c r="M490" i="106"/>
  <c r="M490" i="135" s="1"/>
  <c r="M489" i="106"/>
  <c r="M489" i="135" s="1"/>
  <c r="M488" i="106"/>
  <c r="M488" i="135" s="1"/>
  <c r="M487" i="106"/>
  <c r="M487" i="135" s="1"/>
  <c r="M486" i="106"/>
  <c r="M486" i="135" s="1"/>
  <c r="M485" i="106"/>
  <c r="M485" i="135" s="1"/>
  <c r="M484" i="106"/>
  <c r="M484" i="135" s="1"/>
  <c r="K187" i="106"/>
  <c r="K187" i="135" s="1"/>
  <c r="H187" i="106"/>
  <c r="H187" i="135" s="1"/>
  <c r="E187" i="106"/>
  <c r="E187" i="135" s="1"/>
  <c r="K186" i="106"/>
  <c r="K186" i="135" s="1"/>
  <c r="H186" i="106"/>
  <c r="H186" i="135" s="1"/>
  <c r="E186" i="106"/>
  <c r="E186" i="135" s="1"/>
  <c r="K185" i="106"/>
  <c r="K185" i="135" s="1"/>
  <c r="H185" i="106"/>
  <c r="H185" i="135" s="1"/>
  <c r="E185" i="106"/>
  <c r="E185" i="135" s="1"/>
  <c r="K184" i="106"/>
  <c r="K184" i="135" s="1"/>
  <c r="H184" i="106"/>
  <c r="H184" i="135" s="1"/>
  <c r="E184" i="106"/>
  <c r="E184" i="135" s="1"/>
  <c r="K183" i="106"/>
  <c r="K183" i="135" s="1"/>
  <c r="H183" i="106"/>
  <c r="H183" i="135" s="1"/>
  <c r="E183" i="106"/>
  <c r="E183" i="135" s="1"/>
  <c r="K182" i="106"/>
  <c r="K182" i="135" s="1"/>
  <c r="H182" i="106"/>
  <c r="H182" i="135" s="1"/>
  <c r="E182" i="106"/>
  <c r="E182" i="135" s="1"/>
  <c r="K181" i="106"/>
  <c r="K181" i="135" s="1"/>
  <c r="H181" i="106"/>
  <c r="H181" i="135" s="1"/>
  <c r="E181" i="106"/>
  <c r="E181" i="135" s="1"/>
  <c r="K180" i="106"/>
  <c r="K180" i="135" s="1"/>
  <c r="H180" i="106"/>
  <c r="H180" i="135" s="1"/>
  <c r="E180" i="106"/>
  <c r="E180" i="135" s="1"/>
  <c r="K179" i="106"/>
  <c r="K179" i="135" s="1"/>
  <c r="H179" i="106"/>
  <c r="H179" i="135" s="1"/>
  <c r="E179" i="106"/>
  <c r="E179" i="135" s="1"/>
  <c r="I178" i="106"/>
  <c r="F178"/>
  <c r="C178"/>
  <c r="C178" i="135" s="1"/>
  <c r="I187" i="106"/>
  <c r="I187" i="135" s="1"/>
  <c r="F187" i="106"/>
  <c r="F187" i="135" s="1"/>
  <c r="C187" i="106"/>
  <c r="C187" i="135" s="1"/>
  <c r="I186" i="106"/>
  <c r="I186" i="135" s="1"/>
  <c r="F186" i="106"/>
  <c r="F186" i="135" s="1"/>
  <c r="C186" i="106"/>
  <c r="C186" i="135" s="1"/>
  <c r="I185" i="106"/>
  <c r="I185" i="135" s="1"/>
  <c r="F185" i="106"/>
  <c r="F185" i="135" s="1"/>
  <c r="C185" i="106"/>
  <c r="C185" i="135" s="1"/>
  <c r="I184" i="106"/>
  <c r="I184" i="135" s="1"/>
  <c r="F184" i="106"/>
  <c r="F184" i="135" s="1"/>
  <c r="C184" i="106"/>
  <c r="C184" i="135" s="1"/>
  <c r="I183" i="106"/>
  <c r="I183" i="135" s="1"/>
  <c r="F183" i="106"/>
  <c r="F183" i="135" s="1"/>
  <c r="C183" i="106"/>
  <c r="C183" i="135" s="1"/>
  <c r="I182" i="106"/>
  <c r="I182" i="135" s="1"/>
  <c r="F182" i="106"/>
  <c r="F182" i="135" s="1"/>
  <c r="C182" i="106"/>
  <c r="C182" i="135" s="1"/>
  <c r="I181" i="106"/>
  <c r="I181" i="135" s="1"/>
  <c r="F181" i="106"/>
  <c r="F181" i="135" s="1"/>
  <c r="C181" i="106"/>
  <c r="C181" i="135" s="1"/>
  <c r="I180" i="106"/>
  <c r="I180" i="135" s="1"/>
  <c r="F180" i="106"/>
  <c r="F180" i="135" s="1"/>
  <c r="C180" i="106"/>
  <c r="C180" i="135" s="1"/>
  <c r="I179" i="106"/>
  <c r="I179" i="135" s="1"/>
  <c r="F179" i="106"/>
  <c r="F179" i="135" s="1"/>
  <c r="C179" i="106"/>
  <c r="C179" i="135" s="1"/>
  <c r="J178" i="106"/>
  <c r="G178"/>
  <c r="D178"/>
  <c r="J187"/>
  <c r="J187" i="135" s="1"/>
  <c r="G187" i="106"/>
  <c r="G187" i="135" s="1"/>
  <c r="D187" i="106"/>
  <c r="D187" i="135" s="1"/>
  <c r="J186" i="106"/>
  <c r="J186" i="135" s="1"/>
  <c r="G186" i="106"/>
  <c r="G186" i="135" s="1"/>
  <c r="D186" i="106"/>
  <c r="D186" i="135" s="1"/>
  <c r="J185" i="106"/>
  <c r="J185" i="135" s="1"/>
  <c r="G185" i="106"/>
  <c r="G185" i="135" s="1"/>
  <c r="D185" i="106"/>
  <c r="D185" i="135" s="1"/>
  <c r="J184" i="106"/>
  <c r="J184" i="135" s="1"/>
  <c r="G184" i="106"/>
  <c r="G184" i="135" s="1"/>
  <c r="D184" i="106"/>
  <c r="D184" i="135" s="1"/>
  <c r="J183" i="106"/>
  <c r="J183" i="135" s="1"/>
  <c r="G183" i="106"/>
  <c r="G183" i="135" s="1"/>
  <c r="D183" i="106"/>
  <c r="D183" i="135" s="1"/>
  <c r="J182" i="106"/>
  <c r="J182" i="135" s="1"/>
  <c r="G182" i="106"/>
  <c r="G182" i="135" s="1"/>
  <c r="D182" i="106"/>
  <c r="D182" i="135" s="1"/>
  <c r="J181" i="106"/>
  <c r="J181" i="135" s="1"/>
  <c r="G181" i="106"/>
  <c r="G181" i="135" s="1"/>
  <c r="D181" i="106"/>
  <c r="D181" i="135" s="1"/>
  <c r="J180" i="106"/>
  <c r="J180" i="135" s="1"/>
  <c r="G180" i="106"/>
  <c r="G180" i="135" s="1"/>
  <c r="D180" i="106"/>
  <c r="D180" i="135" s="1"/>
  <c r="J179" i="106"/>
  <c r="J179" i="135" s="1"/>
  <c r="G179" i="106"/>
  <c r="G179" i="135" s="1"/>
  <c r="D179" i="106"/>
  <c r="D179" i="135" s="1"/>
  <c r="K178" i="106"/>
  <c r="H178"/>
  <c r="E178"/>
  <c r="L689"/>
  <c r="L689" i="135" s="1"/>
  <c r="L688" i="106"/>
  <c r="L688" i="135" s="1"/>
  <c r="L687" i="106"/>
  <c r="L687" i="135" s="1"/>
  <c r="L686" i="106"/>
  <c r="L686" i="135" s="1"/>
  <c r="L685" i="106"/>
  <c r="L685" i="135" s="1"/>
  <c r="L684" i="106"/>
  <c r="L684" i="135" s="1"/>
  <c r="L683" i="106"/>
  <c r="L683" i="135" s="1"/>
  <c r="M689" i="106"/>
  <c r="M689" i="135" s="1"/>
  <c r="M688" i="106"/>
  <c r="M688" i="135" s="1"/>
  <c r="M687" i="106"/>
  <c r="M687" i="135" s="1"/>
  <c r="M686" i="106"/>
  <c r="M686" i="135" s="1"/>
  <c r="M685" i="106"/>
  <c r="M685" i="135" s="1"/>
  <c r="M684" i="106"/>
  <c r="M684" i="135" s="1"/>
  <c r="M683" i="106"/>
  <c r="M683" i="135" s="1"/>
  <c r="M682" i="106"/>
  <c r="M682" i="135" s="1"/>
  <c r="M681" i="106"/>
  <c r="M681" i="135" s="1"/>
  <c r="M680" i="106"/>
  <c r="M680" i="135" s="1"/>
  <c r="N689" i="106"/>
  <c r="N689" i="135" s="1"/>
  <c r="N688" i="106"/>
  <c r="N688" i="135" s="1"/>
  <c r="N687" i="106"/>
  <c r="N687" i="135" s="1"/>
  <c r="N686" i="106"/>
  <c r="N686" i="135" s="1"/>
  <c r="N685" i="106"/>
  <c r="N685" i="135" s="1"/>
  <c r="N684" i="106"/>
  <c r="N684" i="135" s="1"/>
  <c r="N683" i="106"/>
  <c r="N683" i="135" s="1"/>
  <c r="N682" i="106"/>
  <c r="N682" i="135" s="1"/>
  <c r="N681" i="106"/>
  <c r="N681" i="135" s="1"/>
  <c r="N680" i="106"/>
  <c r="N680" i="135" s="1"/>
  <c r="L682" i="106"/>
  <c r="L682" i="135" s="1"/>
  <c r="L680" i="106"/>
  <c r="L680" i="135" s="1"/>
  <c r="L681" i="106"/>
  <c r="L681" i="135" s="1"/>
  <c r="K271" i="106"/>
  <c r="K271" i="135" s="1"/>
  <c r="H271" i="106"/>
  <c r="H271" i="135" s="1"/>
  <c r="E271" i="106"/>
  <c r="E271" i="135" s="1"/>
  <c r="K270" i="106"/>
  <c r="K270" i="135" s="1"/>
  <c r="H270" i="106"/>
  <c r="H270" i="135" s="1"/>
  <c r="E270" i="106"/>
  <c r="E270" i="135" s="1"/>
  <c r="K269" i="106"/>
  <c r="K269" i="135" s="1"/>
  <c r="H269" i="106"/>
  <c r="H269" i="135" s="1"/>
  <c r="E269" i="106"/>
  <c r="E269" i="135" s="1"/>
  <c r="K268" i="106"/>
  <c r="K268" i="135" s="1"/>
  <c r="H268" i="106"/>
  <c r="H268" i="135" s="1"/>
  <c r="E268" i="106"/>
  <c r="E268" i="135" s="1"/>
  <c r="K267" i="106"/>
  <c r="K267" i="135" s="1"/>
  <c r="H267" i="106"/>
  <c r="H267" i="135" s="1"/>
  <c r="E267" i="106"/>
  <c r="E267" i="135" s="1"/>
  <c r="K266" i="106"/>
  <c r="K266" i="135" s="1"/>
  <c r="H266" i="106"/>
  <c r="H266" i="135" s="1"/>
  <c r="E266" i="106"/>
  <c r="E266" i="135" s="1"/>
  <c r="K265" i="106"/>
  <c r="K265" i="135" s="1"/>
  <c r="H265" i="106"/>
  <c r="H265" i="135" s="1"/>
  <c r="E265" i="106"/>
  <c r="E265" i="135" s="1"/>
  <c r="K264" i="106"/>
  <c r="K264" i="135" s="1"/>
  <c r="H264" i="106"/>
  <c r="H264" i="135" s="1"/>
  <c r="E264" i="106"/>
  <c r="E264" i="135" s="1"/>
  <c r="K263" i="106"/>
  <c r="K263" i="135" s="1"/>
  <c r="H263" i="106"/>
  <c r="H263" i="135" s="1"/>
  <c r="E263" i="106"/>
  <c r="E263" i="135" s="1"/>
  <c r="I262" i="106"/>
  <c r="F262"/>
  <c r="C262"/>
  <c r="C262" i="135" s="1"/>
  <c r="I271" i="106"/>
  <c r="I271" i="135" s="1"/>
  <c r="F271" i="106"/>
  <c r="F271" i="135" s="1"/>
  <c r="C271" i="106"/>
  <c r="C271" i="135" s="1"/>
  <c r="I270" i="106"/>
  <c r="I270" i="135" s="1"/>
  <c r="F270" i="106"/>
  <c r="F270" i="135" s="1"/>
  <c r="C270" i="106"/>
  <c r="C270" i="135" s="1"/>
  <c r="I269" i="106"/>
  <c r="I269" i="135" s="1"/>
  <c r="F269" i="106"/>
  <c r="F269" i="135" s="1"/>
  <c r="C269" i="106"/>
  <c r="C269" i="135" s="1"/>
  <c r="I268" i="106"/>
  <c r="I268" i="135" s="1"/>
  <c r="F268" i="106"/>
  <c r="F268" i="135" s="1"/>
  <c r="C268" i="106"/>
  <c r="C268" i="135" s="1"/>
  <c r="I267" i="106"/>
  <c r="I267" i="135" s="1"/>
  <c r="F267" i="106"/>
  <c r="F267" i="135" s="1"/>
  <c r="C267" i="106"/>
  <c r="C267" i="135" s="1"/>
  <c r="I266" i="106"/>
  <c r="I266" i="135" s="1"/>
  <c r="F266" i="106"/>
  <c r="F266" i="135" s="1"/>
  <c r="C266" i="106"/>
  <c r="C266" i="135" s="1"/>
  <c r="I265" i="106"/>
  <c r="I265" i="135" s="1"/>
  <c r="F265" i="106"/>
  <c r="F265" i="135" s="1"/>
  <c r="C265" i="106"/>
  <c r="C265" i="135" s="1"/>
  <c r="I264" i="106"/>
  <c r="I264" i="135" s="1"/>
  <c r="F264" i="106"/>
  <c r="F264" i="135" s="1"/>
  <c r="C264" i="106"/>
  <c r="C264" i="135" s="1"/>
  <c r="I263" i="106"/>
  <c r="I263" i="135" s="1"/>
  <c r="F263" i="106"/>
  <c r="F263" i="135" s="1"/>
  <c r="C263" i="106"/>
  <c r="C263" i="135" s="1"/>
  <c r="J262" i="106"/>
  <c r="G262"/>
  <c r="D262"/>
  <c r="J271"/>
  <c r="J271" i="135" s="1"/>
  <c r="G271" i="106"/>
  <c r="G271" i="135" s="1"/>
  <c r="D271" i="106"/>
  <c r="D271" i="135" s="1"/>
  <c r="J270" i="106"/>
  <c r="J270" i="135" s="1"/>
  <c r="G270" i="106"/>
  <c r="G270" i="135" s="1"/>
  <c r="D270" i="106"/>
  <c r="D270" i="135" s="1"/>
  <c r="J269" i="106"/>
  <c r="J269" i="135" s="1"/>
  <c r="G269" i="106"/>
  <c r="G269" i="135" s="1"/>
  <c r="D269" i="106"/>
  <c r="D269" i="135" s="1"/>
  <c r="J268" i="106"/>
  <c r="J268" i="135" s="1"/>
  <c r="G268" i="106"/>
  <c r="G268" i="135" s="1"/>
  <c r="D268" i="106"/>
  <c r="D268" i="135" s="1"/>
  <c r="J267" i="106"/>
  <c r="J267" i="135" s="1"/>
  <c r="G267" i="106"/>
  <c r="G267" i="135" s="1"/>
  <c r="D267" i="106"/>
  <c r="D267" i="135" s="1"/>
  <c r="J266" i="106"/>
  <c r="J266" i="135" s="1"/>
  <c r="G266" i="106"/>
  <c r="G266" i="135" s="1"/>
  <c r="D266" i="106"/>
  <c r="D266" i="135" s="1"/>
  <c r="J265" i="106"/>
  <c r="J265" i="135" s="1"/>
  <c r="G265" i="106"/>
  <c r="G265" i="135" s="1"/>
  <c r="D265" i="106"/>
  <c r="D265" i="135" s="1"/>
  <c r="J264" i="106"/>
  <c r="J264" i="135" s="1"/>
  <c r="G264" i="106"/>
  <c r="G264" i="135" s="1"/>
  <c r="D264" i="106"/>
  <c r="D264" i="135" s="1"/>
  <c r="J263" i="106"/>
  <c r="J263" i="135" s="1"/>
  <c r="G263" i="106"/>
  <c r="G263" i="135" s="1"/>
  <c r="D263" i="106"/>
  <c r="D263" i="135" s="1"/>
  <c r="K262" i="106"/>
  <c r="H262"/>
  <c r="E262"/>
  <c r="I53"/>
  <c r="I53" i="135" s="1"/>
  <c r="F53" i="106"/>
  <c r="F53" i="135" s="1"/>
  <c r="C53" i="106"/>
  <c r="C53" i="135" s="1"/>
  <c r="I52" i="106"/>
  <c r="I52" i="135" s="1"/>
  <c r="F52" i="106"/>
  <c r="F52" i="135" s="1"/>
  <c r="C52" i="106"/>
  <c r="C52" i="135" s="1"/>
  <c r="I51" i="106"/>
  <c r="I51" i="135" s="1"/>
  <c r="F51" i="106"/>
  <c r="F51" i="135" s="1"/>
  <c r="C51" i="106"/>
  <c r="C51" i="135" s="1"/>
  <c r="I50" i="106"/>
  <c r="I50" i="135" s="1"/>
  <c r="F50" i="106"/>
  <c r="F50" i="135" s="1"/>
  <c r="C50" i="106"/>
  <c r="C50" i="135" s="1"/>
  <c r="I49" i="106"/>
  <c r="I49" i="135" s="1"/>
  <c r="F49" i="106"/>
  <c r="F49" i="135" s="1"/>
  <c r="C49" i="106"/>
  <c r="C49" i="135" s="1"/>
  <c r="I48" i="106"/>
  <c r="I48" i="135" s="1"/>
  <c r="F48" i="106"/>
  <c r="F48" i="135" s="1"/>
  <c r="C48" i="106"/>
  <c r="C48" i="135" s="1"/>
  <c r="I47" i="106"/>
  <c r="I47" i="135" s="1"/>
  <c r="F47" i="106"/>
  <c r="F47" i="135" s="1"/>
  <c r="C47" i="106"/>
  <c r="C47" i="135" s="1"/>
  <c r="I46" i="106"/>
  <c r="I46" i="135" s="1"/>
  <c r="F46" i="106"/>
  <c r="F46" i="135" s="1"/>
  <c r="C46" i="106"/>
  <c r="C46" i="135" s="1"/>
  <c r="I45" i="106"/>
  <c r="I45" i="135" s="1"/>
  <c r="F45" i="106"/>
  <c r="F45" i="135" s="1"/>
  <c r="C45" i="106"/>
  <c r="C45" i="135" s="1"/>
  <c r="J44" i="106"/>
  <c r="G44"/>
  <c r="D44"/>
  <c r="J53"/>
  <c r="J53" i="135" s="1"/>
  <c r="G53" i="106"/>
  <c r="G53" i="135" s="1"/>
  <c r="D53" i="106"/>
  <c r="D53" i="135" s="1"/>
  <c r="J52" i="106"/>
  <c r="J52" i="135" s="1"/>
  <c r="G52" i="106"/>
  <c r="G52" i="135" s="1"/>
  <c r="D52" i="106"/>
  <c r="D52" i="135" s="1"/>
  <c r="J51" i="106"/>
  <c r="J51" i="135" s="1"/>
  <c r="G51" i="106"/>
  <c r="G51" i="135" s="1"/>
  <c r="D51" i="106"/>
  <c r="D51" i="135" s="1"/>
  <c r="J50" i="106"/>
  <c r="J50" i="135" s="1"/>
  <c r="G50" i="106"/>
  <c r="G50" i="135" s="1"/>
  <c r="D50" i="106"/>
  <c r="D50" i="135" s="1"/>
  <c r="J49" i="106"/>
  <c r="J49" i="135" s="1"/>
  <c r="G49" i="106"/>
  <c r="G49" i="135" s="1"/>
  <c r="D49" i="106"/>
  <c r="D49" i="135" s="1"/>
  <c r="J48" i="106"/>
  <c r="J48" i="135" s="1"/>
  <c r="G48" i="106"/>
  <c r="G48" i="135" s="1"/>
  <c r="D48" i="106"/>
  <c r="D48" i="135" s="1"/>
  <c r="J47" i="106"/>
  <c r="J47" i="135" s="1"/>
  <c r="G47" i="106"/>
  <c r="G47" i="135" s="1"/>
  <c r="D47" i="106"/>
  <c r="D47" i="135" s="1"/>
  <c r="J46" i="106"/>
  <c r="J46" i="135" s="1"/>
  <c r="G46" i="106"/>
  <c r="G46" i="135" s="1"/>
  <c r="D46" i="106"/>
  <c r="D46" i="135" s="1"/>
  <c r="J45" i="106"/>
  <c r="J45" i="135" s="1"/>
  <c r="G45" i="106"/>
  <c r="G45" i="135" s="1"/>
  <c r="D45" i="106"/>
  <c r="D45" i="135" s="1"/>
  <c r="K44" i="106"/>
  <c r="H44"/>
  <c r="E44"/>
  <c r="K53"/>
  <c r="K53" i="135" s="1"/>
  <c r="H53" i="106"/>
  <c r="H53" i="135" s="1"/>
  <c r="E53" i="106"/>
  <c r="E53" i="135" s="1"/>
  <c r="K52" i="106"/>
  <c r="K52" i="135" s="1"/>
  <c r="H52" i="106"/>
  <c r="H52" i="135" s="1"/>
  <c r="E52" i="106"/>
  <c r="E52" i="135" s="1"/>
  <c r="K51" i="106"/>
  <c r="K51" i="135" s="1"/>
  <c r="H51" i="106"/>
  <c r="H51" i="135" s="1"/>
  <c r="E51" i="106"/>
  <c r="E51" i="135" s="1"/>
  <c r="K50" i="106"/>
  <c r="K50" i="135" s="1"/>
  <c r="H50" i="106"/>
  <c r="H50" i="135" s="1"/>
  <c r="E50" i="106"/>
  <c r="E50" i="135" s="1"/>
  <c r="K49" i="106"/>
  <c r="K49" i="135" s="1"/>
  <c r="H49" i="106"/>
  <c r="H49" i="135" s="1"/>
  <c r="E49" i="106"/>
  <c r="E49" i="135" s="1"/>
  <c r="K48" i="106"/>
  <c r="K48" i="135" s="1"/>
  <c r="H48" i="106"/>
  <c r="H48" i="135" s="1"/>
  <c r="E48" i="106"/>
  <c r="E48" i="135" s="1"/>
  <c r="K47" i="106"/>
  <c r="K47" i="135" s="1"/>
  <c r="H47" i="106"/>
  <c r="H47" i="135" s="1"/>
  <c r="E47" i="106"/>
  <c r="E47" i="135" s="1"/>
  <c r="K46" i="106"/>
  <c r="K46" i="135" s="1"/>
  <c r="H46" i="106"/>
  <c r="H46" i="135" s="1"/>
  <c r="E46" i="106"/>
  <c r="E46" i="135" s="1"/>
  <c r="K45" i="106"/>
  <c r="K45" i="135" s="1"/>
  <c r="H45" i="106"/>
  <c r="H45" i="135" s="1"/>
  <c r="E45" i="106"/>
  <c r="E45" i="135" s="1"/>
  <c r="I44" i="106"/>
  <c r="F44"/>
  <c r="C44"/>
  <c r="C44" i="135" s="1"/>
  <c r="K663" i="106"/>
  <c r="K663" i="135" s="1"/>
  <c r="H663" i="106"/>
  <c r="H663" i="135" s="1"/>
  <c r="E663" i="106"/>
  <c r="E663" i="135" s="1"/>
  <c r="K662" i="106"/>
  <c r="K662" i="135" s="1"/>
  <c r="H662" i="106"/>
  <c r="H662" i="135" s="1"/>
  <c r="E662" i="106"/>
  <c r="E662" i="135" s="1"/>
  <c r="K661" i="106"/>
  <c r="K661" i="135" s="1"/>
  <c r="H661" i="106"/>
  <c r="H661" i="135" s="1"/>
  <c r="E661" i="106"/>
  <c r="E661" i="135" s="1"/>
  <c r="K660" i="106"/>
  <c r="K660" i="135" s="1"/>
  <c r="H660" i="106"/>
  <c r="H660" i="135" s="1"/>
  <c r="E660" i="106"/>
  <c r="E660" i="135" s="1"/>
  <c r="K659" i="106"/>
  <c r="K659" i="135" s="1"/>
  <c r="H659" i="106"/>
  <c r="H659" i="135" s="1"/>
  <c r="E659" i="106"/>
  <c r="E659" i="135" s="1"/>
  <c r="K658" i="106"/>
  <c r="K658" i="135" s="1"/>
  <c r="H658" i="106"/>
  <c r="H658" i="135" s="1"/>
  <c r="E658" i="106"/>
  <c r="E658" i="135" s="1"/>
  <c r="K657" i="106"/>
  <c r="K657" i="135" s="1"/>
  <c r="H657" i="106"/>
  <c r="H657" i="135" s="1"/>
  <c r="E657" i="106"/>
  <c r="E657" i="135" s="1"/>
  <c r="K656" i="106"/>
  <c r="K656" i="135" s="1"/>
  <c r="H656" i="106"/>
  <c r="H656" i="135" s="1"/>
  <c r="E656" i="106"/>
  <c r="E656" i="135" s="1"/>
  <c r="K655" i="106"/>
  <c r="K655" i="135" s="1"/>
  <c r="H655" i="106"/>
  <c r="H655" i="135" s="1"/>
  <c r="E655" i="106"/>
  <c r="E655" i="135" s="1"/>
  <c r="I654" i="106"/>
  <c r="F654"/>
  <c r="C654"/>
  <c r="C654" i="135" s="1"/>
  <c r="I663" i="106"/>
  <c r="I663" i="135" s="1"/>
  <c r="F663" i="106"/>
  <c r="F663" i="135" s="1"/>
  <c r="C663" i="106"/>
  <c r="C663" i="135" s="1"/>
  <c r="I662" i="106"/>
  <c r="I662" i="135" s="1"/>
  <c r="F662" i="106"/>
  <c r="F662" i="135" s="1"/>
  <c r="C662" i="106"/>
  <c r="C662" i="135" s="1"/>
  <c r="I661" i="106"/>
  <c r="I661" i="135" s="1"/>
  <c r="F661" i="106"/>
  <c r="F661" i="135" s="1"/>
  <c r="C661" i="106"/>
  <c r="C661" i="135" s="1"/>
  <c r="I660" i="106"/>
  <c r="I660" i="135" s="1"/>
  <c r="F660" i="106"/>
  <c r="F660" i="135" s="1"/>
  <c r="C660" i="106"/>
  <c r="C660" i="135" s="1"/>
  <c r="I659" i="106"/>
  <c r="I659" i="135" s="1"/>
  <c r="F659" i="106"/>
  <c r="F659" i="135" s="1"/>
  <c r="C659" i="106"/>
  <c r="C659" i="135" s="1"/>
  <c r="I658" i="106"/>
  <c r="I658" i="135" s="1"/>
  <c r="F658" i="106"/>
  <c r="F658" i="135" s="1"/>
  <c r="C658" i="106"/>
  <c r="C658" i="135" s="1"/>
  <c r="I657" i="106"/>
  <c r="I657" i="135" s="1"/>
  <c r="F657" i="106"/>
  <c r="F657" i="135" s="1"/>
  <c r="C657" i="106"/>
  <c r="C657" i="135" s="1"/>
  <c r="I656" i="106"/>
  <c r="I656" i="135" s="1"/>
  <c r="F656" i="106"/>
  <c r="F656" i="135" s="1"/>
  <c r="C656" i="106"/>
  <c r="C656" i="135" s="1"/>
  <c r="I655" i="106"/>
  <c r="I655" i="135" s="1"/>
  <c r="F655" i="106"/>
  <c r="F655" i="135" s="1"/>
  <c r="C655" i="106"/>
  <c r="C655" i="135" s="1"/>
  <c r="J654" i="106"/>
  <c r="G654"/>
  <c r="D654"/>
  <c r="J663"/>
  <c r="J663" i="135" s="1"/>
  <c r="G663" i="106"/>
  <c r="G663" i="135" s="1"/>
  <c r="D663" i="106"/>
  <c r="D663" i="135" s="1"/>
  <c r="J662" i="106"/>
  <c r="J662" i="135" s="1"/>
  <c r="G662" i="106"/>
  <c r="G662" i="135" s="1"/>
  <c r="D662" i="106"/>
  <c r="D662" i="135" s="1"/>
  <c r="J661" i="106"/>
  <c r="J661" i="135" s="1"/>
  <c r="G661" i="106"/>
  <c r="G661" i="135" s="1"/>
  <c r="D661" i="106"/>
  <c r="D661" i="135" s="1"/>
  <c r="J660" i="106"/>
  <c r="J660" i="135" s="1"/>
  <c r="G660" i="106"/>
  <c r="G660" i="135" s="1"/>
  <c r="D660" i="106"/>
  <c r="D660" i="135" s="1"/>
  <c r="J659" i="106"/>
  <c r="J659" i="135" s="1"/>
  <c r="G659" i="106"/>
  <c r="G659" i="135" s="1"/>
  <c r="D659" i="106"/>
  <c r="D659" i="135" s="1"/>
  <c r="J658" i="106"/>
  <c r="J658" i="135" s="1"/>
  <c r="G658" i="106"/>
  <c r="G658" i="135" s="1"/>
  <c r="D658" i="106"/>
  <c r="D658" i="135" s="1"/>
  <c r="J657" i="106"/>
  <c r="J657" i="135" s="1"/>
  <c r="G657" i="106"/>
  <c r="G657" i="135" s="1"/>
  <c r="D657" i="106"/>
  <c r="D657" i="135" s="1"/>
  <c r="J656" i="106"/>
  <c r="J656" i="135" s="1"/>
  <c r="G656" i="106"/>
  <c r="G656" i="135" s="1"/>
  <c r="D656" i="106"/>
  <c r="D656" i="135" s="1"/>
  <c r="J655" i="106"/>
  <c r="J655" i="135" s="1"/>
  <c r="G655" i="106"/>
  <c r="G655" i="135" s="1"/>
  <c r="D655" i="106"/>
  <c r="D655" i="135" s="1"/>
  <c r="K654" i="106"/>
  <c r="H654"/>
  <c r="E654"/>
  <c r="L507"/>
  <c r="L507" i="135" s="1"/>
  <c r="L506" i="106"/>
  <c r="L506" i="135" s="1"/>
  <c r="L505" i="106"/>
  <c r="L505" i="135" s="1"/>
  <c r="L504" i="106"/>
  <c r="L504" i="135" s="1"/>
  <c r="L503" i="106"/>
  <c r="L503" i="135" s="1"/>
  <c r="L502" i="106"/>
  <c r="L502" i="135" s="1"/>
  <c r="L501" i="106"/>
  <c r="L501" i="135" s="1"/>
  <c r="L500" i="106"/>
  <c r="L500" i="135" s="1"/>
  <c r="L499" i="106"/>
  <c r="L499" i="135" s="1"/>
  <c r="L498" i="106"/>
  <c r="L498" i="135" s="1"/>
  <c r="M507" i="106"/>
  <c r="M507" i="135" s="1"/>
  <c r="M506" i="106"/>
  <c r="M506" i="135" s="1"/>
  <c r="M505" i="106"/>
  <c r="M505" i="135" s="1"/>
  <c r="M504" i="106"/>
  <c r="M504" i="135" s="1"/>
  <c r="M503" i="106"/>
  <c r="M503" i="135" s="1"/>
  <c r="M502" i="106"/>
  <c r="M502" i="135" s="1"/>
  <c r="M501" i="106"/>
  <c r="M501" i="135" s="1"/>
  <c r="M500" i="106"/>
  <c r="M500" i="135" s="1"/>
  <c r="M499" i="106"/>
  <c r="M499" i="135" s="1"/>
  <c r="M498" i="106"/>
  <c r="M498" i="135" s="1"/>
  <c r="N507" i="106"/>
  <c r="N507" i="135" s="1"/>
  <c r="N506" i="106"/>
  <c r="N506" i="135" s="1"/>
  <c r="N505" i="106"/>
  <c r="N505" i="135" s="1"/>
  <c r="N504" i="106"/>
  <c r="N504" i="135" s="1"/>
  <c r="N503" i="106"/>
  <c r="N503" i="135" s="1"/>
  <c r="N502" i="106"/>
  <c r="N502" i="135" s="1"/>
  <c r="N501" i="106"/>
  <c r="N501" i="135" s="1"/>
  <c r="N500" i="106"/>
  <c r="N500" i="135" s="1"/>
  <c r="N499" i="106"/>
  <c r="N499" i="135" s="1"/>
  <c r="N498" i="106"/>
  <c r="N498" i="135" s="1"/>
  <c r="N187" i="106"/>
  <c r="N187" i="135" s="1"/>
  <c r="N186" i="106"/>
  <c r="N186" i="135" s="1"/>
  <c r="N185" i="106"/>
  <c r="N185" i="135" s="1"/>
  <c r="N184" i="106"/>
  <c r="N184" i="135" s="1"/>
  <c r="N183" i="106"/>
  <c r="N183" i="135" s="1"/>
  <c r="N182" i="106"/>
  <c r="N182" i="135" s="1"/>
  <c r="N181" i="106"/>
  <c r="N181" i="135" s="1"/>
  <c r="N180" i="106"/>
  <c r="N180" i="135" s="1"/>
  <c r="N179" i="106"/>
  <c r="N179" i="135" s="1"/>
  <c r="N178" i="106"/>
  <c r="N178" i="135" s="1"/>
  <c r="L187" i="106"/>
  <c r="L187" i="135" s="1"/>
  <c r="L186" i="106"/>
  <c r="L186" i="135" s="1"/>
  <c r="L185" i="106"/>
  <c r="L185" i="135" s="1"/>
  <c r="L184" i="106"/>
  <c r="L184" i="135" s="1"/>
  <c r="L183" i="106"/>
  <c r="L183" i="135" s="1"/>
  <c r="L182" i="106"/>
  <c r="L182" i="135" s="1"/>
  <c r="L181" i="106"/>
  <c r="L181" i="135" s="1"/>
  <c r="L180" i="106"/>
  <c r="L180" i="135" s="1"/>
  <c r="L179" i="106"/>
  <c r="L179" i="135" s="1"/>
  <c r="L178" i="106"/>
  <c r="L178" i="135" s="1"/>
  <c r="M187" i="106"/>
  <c r="M187" i="135" s="1"/>
  <c r="M186" i="106"/>
  <c r="M186" i="135" s="1"/>
  <c r="M185" i="106"/>
  <c r="M185" i="135" s="1"/>
  <c r="M184" i="106"/>
  <c r="M184" i="135" s="1"/>
  <c r="M183" i="106"/>
  <c r="M183" i="135" s="1"/>
  <c r="M182" i="106"/>
  <c r="M182" i="135" s="1"/>
  <c r="M181" i="106"/>
  <c r="M181" i="135" s="1"/>
  <c r="M180" i="106"/>
  <c r="M180" i="135" s="1"/>
  <c r="M179" i="106"/>
  <c r="M179" i="135" s="1"/>
  <c r="M178" i="106"/>
  <c r="M178" i="135" s="1"/>
  <c r="N663" i="106"/>
  <c r="N663" i="135" s="1"/>
  <c r="N662" i="106"/>
  <c r="N662" i="135" s="1"/>
  <c r="N661" i="106"/>
  <c r="N661" i="135" s="1"/>
  <c r="N660" i="106"/>
  <c r="N660" i="135" s="1"/>
  <c r="N659" i="106"/>
  <c r="N659" i="135" s="1"/>
  <c r="N658" i="106"/>
  <c r="N658" i="135" s="1"/>
  <c r="N657" i="106"/>
  <c r="N657" i="135" s="1"/>
  <c r="N656" i="106"/>
  <c r="N656" i="135" s="1"/>
  <c r="N655" i="106"/>
  <c r="N655" i="135" s="1"/>
  <c r="N654" i="106"/>
  <c r="N654" i="135" s="1"/>
  <c r="L663" i="106"/>
  <c r="L663" i="135" s="1"/>
  <c r="L662" i="106"/>
  <c r="L662" i="135" s="1"/>
  <c r="L661" i="106"/>
  <c r="L661" i="135" s="1"/>
  <c r="L660" i="106"/>
  <c r="L660" i="135" s="1"/>
  <c r="L659" i="106"/>
  <c r="L659" i="135" s="1"/>
  <c r="L658" i="106"/>
  <c r="L658" i="135" s="1"/>
  <c r="L657" i="106"/>
  <c r="L657" i="135" s="1"/>
  <c r="L656" i="106"/>
  <c r="L656" i="135" s="1"/>
  <c r="L655" i="106"/>
  <c r="L655" i="135" s="1"/>
  <c r="L654" i="106"/>
  <c r="L654" i="135" s="1"/>
  <c r="M663" i="106"/>
  <c r="M663" i="135" s="1"/>
  <c r="M662" i="106"/>
  <c r="M662" i="135" s="1"/>
  <c r="M661" i="106"/>
  <c r="M661" i="135" s="1"/>
  <c r="M660" i="106"/>
  <c r="M660" i="135" s="1"/>
  <c r="M659" i="106"/>
  <c r="M659" i="135" s="1"/>
  <c r="M658" i="106"/>
  <c r="M658" i="135" s="1"/>
  <c r="M657" i="106"/>
  <c r="M657" i="135" s="1"/>
  <c r="M656" i="106"/>
  <c r="M656" i="135" s="1"/>
  <c r="M655" i="106"/>
  <c r="M655" i="135" s="1"/>
  <c r="M654" i="106"/>
  <c r="M654" i="135" s="1"/>
  <c r="M324" i="106"/>
  <c r="M324" i="135" s="1"/>
  <c r="M323" i="106"/>
  <c r="M323" i="135" s="1"/>
  <c r="N323" i="106"/>
  <c r="N323" i="135" s="1"/>
  <c r="N322" i="106"/>
  <c r="N322" i="135" s="1"/>
  <c r="N321" i="106"/>
  <c r="N321" i="135" s="1"/>
  <c r="N320" i="106"/>
  <c r="N320" i="135" s="1"/>
  <c r="N319" i="106"/>
  <c r="N319" i="135" s="1"/>
  <c r="N318" i="106"/>
  <c r="N318" i="135" s="1"/>
  <c r="N317" i="106"/>
  <c r="N317" i="135" s="1"/>
  <c r="N316" i="106"/>
  <c r="N316" i="135" s="1"/>
  <c r="N315" i="106"/>
  <c r="N315" i="135" s="1"/>
  <c r="L324" i="106"/>
  <c r="L324" i="135" s="1"/>
  <c r="L322" i="106"/>
  <c r="L322" i="135" s="1"/>
  <c r="L321" i="106"/>
  <c r="L321" i="135" s="1"/>
  <c r="L320" i="106"/>
  <c r="L320" i="135" s="1"/>
  <c r="L319" i="106"/>
  <c r="L319" i="135" s="1"/>
  <c r="L318" i="106"/>
  <c r="L318" i="135" s="1"/>
  <c r="L317" i="106"/>
  <c r="L317" i="135" s="1"/>
  <c r="L316" i="106"/>
  <c r="L316" i="135" s="1"/>
  <c r="L315" i="106"/>
  <c r="L315" i="135" s="1"/>
  <c r="N324" i="106"/>
  <c r="N324" i="135" s="1"/>
  <c r="L323" i="106"/>
  <c r="L323" i="135" s="1"/>
  <c r="M322" i="106"/>
  <c r="M322" i="135" s="1"/>
  <c r="M321" i="106"/>
  <c r="M321" i="135" s="1"/>
  <c r="M320" i="106"/>
  <c r="M320" i="135" s="1"/>
  <c r="M319" i="106"/>
  <c r="M319" i="135" s="1"/>
  <c r="M318" i="106"/>
  <c r="M318" i="135" s="1"/>
  <c r="M317" i="106"/>
  <c r="M317" i="135" s="1"/>
  <c r="M316" i="106"/>
  <c r="M316" i="135" s="1"/>
  <c r="M315" i="106"/>
  <c r="M315" i="135" s="1"/>
  <c r="J163" i="106"/>
  <c r="J163" i="135" s="1"/>
  <c r="G163" i="106"/>
  <c r="G163" i="135" s="1"/>
  <c r="D163" i="106"/>
  <c r="D163" i="135" s="1"/>
  <c r="J162" i="106"/>
  <c r="J162" i="135" s="1"/>
  <c r="G162" i="106"/>
  <c r="G162" i="135" s="1"/>
  <c r="D162" i="106"/>
  <c r="D162" i="135" s="1"/>
  <c r="J161" i="106"/>
  <c r="J161" i="135" s="1"/>
  <c r="G161" i="106"/>
  <c r="G161" i="135" s="1"/>
  <c r="D161" i="106"/>
  <c r="D161" i="135" s="1"/>
  <c r="J160" i="106"/>
  <c r="J160" i="135" s="1"/>
  <c r="G160" i="106"/>
  <c r="G160" i="135" s="1"/>
  <c r="D160" i="106"/>
  <c r="D160" i="135" s="1"/>
  <c r="J159" i="106"/>
  <c r="J159" i="135" s="1"/>
  <c r="G159" i="106"/>
  <c r="G159" i="135" s="1"/>
  <c r="D159" i="106"/>
  <c r="D159" i="135" s="1"/>
  <c r="J158" i="106"/>
  <c r="J158" i="135" s="1"/>
  <c r="G158" i="106"/>
  <c r="G158" i="135" s="1"/>
  <c r="D158" i="106"/>
  <c r="D158" i="135" s="1"/>
  <c r="J157" i="106"/>
  <c r="G157"/>
  <c r="D157"/>
  <c r="D157" i="135" s="1"/>
  <c r="J156" i="106"/>
  <c r="J156" i="135" s="1"/>
  <c r="G156" i="106"/>
  <c r="G156" i="135" s="1"/>
  <c r="D156" i="106"/>
  <c r="D156" i="135" s="1"/>
  <c r="J155" i="106"/>
  <c r="J155" i="135" s="1"/>
  <c r="G155" i="106"/>
  <c r="G155" i="135" s="1"/>
  <c r="D155" i="106"/>
  <c r="D155" i="135" s="1"/>
  <c r="K154" i="106"/>
  <c r="H154"/>
  <c r="E154"/>
  <c r="K163"/>
  <c r="K163" i="135" s="1"/>
  <c r="H163" i="106"/>
  <c r="H163" i="135" s="1"/>
  <c r="E163" i="106"/>
  <c r="E163" i="135" s="1"/>
  <c r="K162" i="106"/>
  <c r="K162" i="135" s="1"/>
  <c r="H162" i="106"/>
  <c r="H162" i="135" s="1"/>
  <c r="E162" i="106"/>
  <c r="E162" i="135" s="1"/>
  <c r="K161" i="106"/>
  <c r="K161" i="135" s="1"/>
  <c r="H161" i="106"/>
  <c r="H161" i="135" s="1"/>
  <c r="E161" i="106"/>
  <c r="E161" i="135" s="1"/>
  <c r="K160" i="106"/>
  <c r="K160" i="135" s="1"/>
  <c r="H160" i="106"/>
  <c r="H160" i="135" s="1"/>
  <c r="E160" i="106"/>
  <c r="E160" i="135" s="1"/>
  <c r="K159" i="106"/>
  <c r="K159" i="135" s="1"/>
  <c r="H159" i="106"/>
  <c r="H159" i="135" s="1"/>
  <c r="E159" i="106"/>
  <c r="E159" i="135" s="1"/>
  <c r="K158" i="106"/>
  <c r="K158" i="135" s="1"/>
  <c r="H158" i="106"/>
  <c r="H158" i="135" s="1"/>
  <c r="E158" i="106"/>
  <c r="E158" i="135" s="1"/>
  <c r="K157" i="106"/>
  <c r="H157"/>
  <c r="E157"/>
  <c r="E157" i="135" s="1"/>
  <c r="K156" i="106"/>
  <c r="K156" i="135" s="1"/>
  <c r="H156" i="106"/>
  <c r="H156" i="135" s="1"/>
  <c r="E156" i="106"/>
  <c r="E156" i="135" s="1"/>
  <c r="K155" i="106"/>
  <c r="K155" i="135" s="1"/>
  <c r="H155" i="106"/>
  <c r="H155" i="135" s="1"/>
  <c r="E155" i="106"/>
  <c r="E155" i="135" s="1"/>
  <c r="I154" i="106"/>
  <c r="F154"/>
  <c r="C154"/>
  <c r="C154" i="135" s="1"/>
  <c r="I163" i="106"/>
  <c r="I163" i="135" s="1"/>
  <c r="F163" i="106"/>
  <c r="F163" i="135" s="1"/>
  <c r="C163" i="106"/>
  <c r="C163" i="135" s="1"/>
  <c r="I162" i="106"/>
  <c r="I162" i="135" s="1"/>
  <c r="F162" i="106"/>
  <c r="F162" i="135" s="1"/>
  <c r="C162" i="106"/>
  <c r="C162" i="135" s="1"/>
  <c r="I161" i="106"/>
  <c r="I161" i="135" s="1"/>
  <c r="F161" i="106"/>
  <c r="F161" i="135" s="1"/>
  <c r="C161" i="106"/>
  <c r="C161" i="135" s="1"/>
  <c r="I160" i="106"/>
  <c r="I160" i="135" s="1"/>
  <c r="F160" i="106"/>
  <c r="F160" i="135" s="1"/>
  <c r="C160" i="106"/>
  <c r="C160" i="135" s="1"/>
  <c r="I159" i="106"/>
  <c r="I159" i="135" s="1"/>
  <c r="F159" i="106"/>
  <c r="F159" i="135" s="1"/>
  <c r="C159" i="106"/>
  <c r="C159" i="135" s="1"/>
  <c r="I158" i="106"/>
  <c r="I158" i="135" s="1"/>
  <c r="F158" i="106"/>
  <c r="F158" i="135" s="1"/>
  <c r="C158" i="106"/>
  <c r="C158" i="135" s="1"/>
  <c r="I157" i="106"/>
  <c r="F157"/>
  <c r="F157" i="135" s="1"/>
  <c r="C157" i="106"/>
  <c r="C157" i="135" s="1"/>
  <c r="I156" i="106"/>
  <c r="I156" i="135" s="1"/>
  <c r="F156" i="106"/>
  <c r="F156" i="135" s="1"/>
  <c r="C156" i="106"/>
  <c r="C156" i="135" s="1"/>
  <c r="I155" i="106"/>
  <c r="I155" i="135" s="1"/>
  <c r="F155" i="106"/>
  <c r="F155" i="135" s="1"/>
  <c r="C155" i="106"/>
  <c r="C155" i="135" s="1"/>
  <c r="J154" i="106"/>
  <c r="G154"/>
  <c r="D154"/>
  <c r="I507"/>
  <c r="I507" i="135" s="1"/>
  <c r="F507" i="106"/>
  <c r="F507" i="135" s="1"/>
  <c r="C507" i="106"/>
  <c r="C507" i="135" s="1"/>
  <c r="I506" i="106"/>
  <c r="I506" i="135" s="1"/>
  <c r="F506" i="106"/>
  <c r="F506" i="135" s="1"/>
  <c r="C506" i="106"/>
  <c r="C506" i="135" s="1"/>
  <c r="I505" i="106"/>
  <c r="I505" i="135" s="1"/>
  <c r="F505" i="106"/>
  <c r="F505" i="135" s="1"/>
  <c r="C505" i="106"/>
  <c r="C505" i="135" s="1"/>
  <c r="I504" i="106"/>
  <c r="I504" i="135" s="1"/>
  <c r="F504" i="106"/>
  <c r="F504" i="135" s="1"/>
  <c r="C504" i="106"/>
  <c r="C504" i="135" s="1"/>
  <c r="I503" i="106"/>
  <c r="I503" i="135" s="1"/>
  <c r="F503" i="106"/>
  <c r="F503" i="135" s="1"/>
  <c r="C503" i="106"/>
  <c r="C503" i="135" s="1"/>
  <c r="I502" i="106"/>
  <c r="I502" i="135" s="1"/>
  <c r="F502" i="106"/>
  <c r="F502" i="135" s="1"/>
  <c r="C502" i="106"/>
  <c r="C502" i="135" s="1"/>
  <c r="I501" i="106"/>
  <c r="I501" i="135" s="1"/>
  <c r="F501" i="106"/>
  <c r="F501" i="135" s="1"/>
  <c r="C501" i="106"/>
  <c r="C501" i="135" s="1"/>
  <c r="I500" i="106"/>
  <c r="I500" i="135" s="1"/>
  <c r="F500" i="106"/>
  <c r="F500" i="135" s="1"/>
  <c r="C500" i="106"/>
  <c r="C500" i="135" s="1"/>
  <c r="I499" i="106"/>
  <c r="I499" i="135" s="1"/>
  <c r="F499" i="106"/>
  <c r="F499" i="135" s="1"/>
  <c r="C499" i="106"/>
  <c r="C499" i="135" s="1"/>
  <c r="J498" i="106"/>
  <c r="G498"/>
  <c r="D498"/>
  <c r="J507"/>
  <c r="J507" i="135" s="1"/>
  <c r="G507" i="106"/>
  <c r="G507" i="135" s="1"/>
  <c r="D507" i="106"/>
  <c r="D507" i="135" s="1"/>
  <c r="J506" i="106"/>
  <c r="J506" i="135" s="1"/>
  <c r="G506" i="106"/>
  <c r="G506" i="135" s="1"/>
  <c r="D506" i="106"/>
  <c r="D506" i="135" s="1"/>
  <c r="J505" i="106"/>
  <c r="J505" i="135" s="1"/>
  <c r="G505" i="106"/>
  <c r="G505" i="135" s="1"/>
  <c r="D505" i="106"/>
  <c r="D505" i="135" s="1"/>
  <c r="J504" i="106"/>
  <c r="J504" i="135" s="1"/>
  <c r="G504" i="106"/>
  <c r="G504" i="135" s="1"/>
  <c r="D504" i="106"/>
  <c r="D504" i="135" s="1"/>
  <c r="J503" i="106"/>
  <c r="J503" i="135" s="1"/>
  <c r="G503" i="106"/>
  <c r="G503" i="135" s="1"/>
  <c r="D503" i="106"/>
  <c r="D503" i="135" s="1"/>
  <c r="J502" i="106"/>
  <c r="J502" i="135" s="1"/>
  <c r="G502" i="106"/>
  <c r="G502" i="135" s="1"/>
  <c r="D502" i="106"/>
  <c r="D502" i="135" s="1"/>
  <c r="J501" i="106"/>
  <c r="J501" i="135" s="1"/>
  <c r="G501" i="106"/>
  <c r="G501" i="135" s="1"/>
  <c r="D501" i="106"/>
  <c r="D501" i="135" s="1"/>
  <c r="J500" i="106"/>
  <c r="J500" i="135" s="1"/>
  <c r="G500" i="106"/>
  <c r="G500" i="135" s="1"/>
  <c r="D500" i="106"/>
  <c r="D500" i="135" s="1"/>
  <c r="J499" i="106"/>
  <c r="J499" i="135" s="1"/>
  <c r="G499" i="106"/>
  <c r="G499" i="135" s="1"/>
  <c r="D499" i="106"/>
  <c r="D499" i="135" s="1"/>
  <c r="K498" i="106"/>
  <c r="H498"/>
  <c r="E498"/>
  <c r="K507"/>
  <c r="K507" i="135" s="1"/>
  <c r="H507" i="106"/>
  <c r="H507" i="135" s="1"/>
  <c r="E507" i="106"/>
  <c r="E507" i="135" s="1"/>
  <c r="K506" i="106"/>
  <c r="K506" i="135" s="1"/>
  <c r="H506" i="106"/>
  <c r="H506" i="135" s="1"/>
  <c r="E506" i="106"/>
  <c r="E506" i="135" s="1"/>
  <c r="K505" i="106"/>
  <c r="K505" i="135" s="1"/>
  <c r="H505" i="106"/>
  <c r="H505" i="135" s="1"/>
  <c r="E505" i="106"/>
  <c r="E505" i="135" s="1"/>
  <c r="K504" i="106"/>
  <c r="K504" i="135" s="1"/>
  <c r="H504" i="106"/>
  <c r="H504" i="135" s="1"/>
  <c r="E504" i="106"/>
  <c r="E504" i="135" s="1"/>
  <c r="K503" i="106"/>
  <c r="K503" i="135" s="1"/>
  <c r="H503" i="106"/>
  <c r="H503" i="135" s="1"/>
  <c r="E503" i="106"/>
  <c r="E503" i="135" s="1"/>
  <c r="K502" i="106"/>
  <c r="K502" i="135" s="1"/>
  <c r="H502" i="106"/>
  <c r="H502" i="135" s="1"/>
  <c r="E502" i="106"/>
  <c r="E502" i="135" s="1"/>
  <c r="K501" i="106"/>
  <c r="K501" i="135" s="1"/>
  <c r="H501" i="106"/>
  <c r="H501" i="135" s="1"/>
  <c r="E501" i="106"/>
  <c r="E501" i="135" s="1"/>
  <c r="K500" i="106"/>
  <c r="K500" i="135" s="1"/>
  <c r="H500" i="106"/>
  <c r="H500" i="135" s="1"/>
  <c r="E500" i="106"/>
  <c r="E500" i="135" s="1"/>
  <c r="K499" i="106"/>
  <c r="K499" i="135" s="1"/>
  <c r="H499" i="106"/>
  <c r="H499" i="135" s="1"/>
  <c r="E499" i="106"/>
  <c r="E499" i="135" s="1"/>
  <c r="I498" i="106"/>
  <c r="F498"/>
  <c r="C498"/>
  <c r="C498" i="135" s="1"/>
  <c r="J324" i="106"/>
  <c r="J324" i="135" s="1"/>
  <c r="G324" i="106"/>
  <c r="G324" i="135" s="1"/>
  <c r="D324" i="106"/>
  <c r="D324" i="135" s="1"/>
  <c r="J323" i="106"/>
  <c r="J323" i="135" s="1"/>
  <c r="G323" i="106"/>
  <c r="G323" i="135" s="1"/>
  <c r="K324" i="106"/>
  <c r="K324" i="135" s="1"/>
  <c r="F324" i="106"/>
  <c r="F324" i="135" s="1"/>
  <c r="I323" i="106"/>
  <c r="I323" i="135" s="1"/>
  <c r="E323" i="106"/>
  <c r="E323" i="135" s="1"/>
  <c r="K322" i="106"/>
  <c r="K322" i="135" s="1"/>
  <c r="H322" i="106"/>
  <c r="H322" i="135" s="1"/>
  <c r="E322" i="106"/>
  <c r="E322" i="135" s="1"/>
  <c r="K321" i="106"/>
  <c r="K321" i="135" s="1"/>
  <c r="H321" i="106"/>
  <c r="H321" i="135" s="1"/>
  <c r="E321" i="106"/>
  <c r="E321" i="135" s="1"/>
  <c r="K320" i="106"/>
  <c r="K320" i="135" s="1"/>
  <c r="H320" i="106"/>
  <c r="H320" i="135" s="1"/>
  <c r="E320" i="106"/>
  <c r="E320" i="135" s="1"/>
  <c r="K319" i="106"/>
  <c r="K319" i="135" s="1"/>
  <c r="H319" i="106"/>
  <c r="H319" i="135" s="1"/>
  <c r="E319" i="106"/>
  <c r="E319" i="135" s="1"/>
  <c r="K318" i="106"/>
  <c r="K318" i="135" s="1"/>
  <c r="H318" i="106"/>
  <c r="H318" i="135" s="1"/>
  <c r="E318" i="106"/>
  <c r="E318" i="135" s="1"/>
  <c r="K317" i="106"/>
  <c r="K317" i="135" s="1"/>
  <c r="H317" i="106"/>
  <c r="H317" i="135" s="1"/>
  <c r="E317" i="106"/>
  <c r="E317" i="135" s="1"/>
  <c r="K316" i="106"/>
  <c r="K316" i="135" s="1"/>
  <c r="H316" i="106"/>
  <c r="H316" i="135" s="1"/>
  <c r="E316" i="106"/>
  <c r="E316" i="135" s="1"/>
  <c r="I315" i="106"/>
  <c r="F315"/>
  <c r="C315"/>
  <c r="C315" i="135" s="1"/>
  <c r="H324" i="106"/>
  <c r="H324" i="135" s="1"/>
  <c r="C324" i="106"/>
  <c r="C324" i="135" s="1"/>
  <c r="K323" i="106"/>
  <c r="K323" i="135" s="1"/>
  <c r="F323" i="106"/>
  <c r="F323" i="135" s="1"/>
  <c r="C323" i="106"/>
  <c r="C323" i="135" s="1"/>
  <c r="I322" i="106"/>
  <c r="I322" i="135" s="1"/>
  <c r="F322" i="106"/>
  <c r="F322" i="135" s="1"/>
  <c r="C322" i="106"/>
  <c r="C322" i="135" s="1"/>
  <c r="I321" i="106"/>
  <c r="I321" i="135" s="1"/>
  <c r="F321" i="106"/>
  <c r="F321" i="135" s="1"/>
  <c r="C321" i="106"/>
  <c r="C321" i="135" s="1"/>
  <c r="I320" i="106"/>
  <c r="I320" i="135" s="1"/>
  <c r="F320" i="106"/>
  <c r="F320" i="135" s="1"/>
  <c r="C320" i="106"/>
  <c r="C320" i="135" s="1"/>
  <c r="I319" i="106"/>
  <c r="I319" i="135" s="1"/>
  <c r="F319" i="106"/>
  <c r="F319" i="135" s="1"/>
  <c r="C319" i="106"/>
  <c r="C319" i="135" s="1"/>
  <c r="I318" i="106"/>
  <c r="I318" i="135" s="1"/>
  <c r="F318" i="106"/>
  <c r="F318" i="135" s="1"/>
  <c r="C318" i="106"/>
  <c r="C318" i="135" s="1"/>
  <c r="I317" i="106"/>
  <c r="I317" i="135" s="1"/>
  <c r="F317" i="106"/>
  <c r="F317" i="135" s="1"/>
  <c r="C317" i="106"/>
  <c r="C317" i="135" s="1"/>
  <c r="I316" i="106"/>
  <c r="I316" i="135" s="1"/>
  <c r="F316" i="106"/>
  <c r="F316" i="135" s="1"/>
  <c r="C316" i="106"/>
  <c r="C316" i="135" s="1"/>
  <c r="J315" i="106"/>
  <c r="G315"/>
  <c r="D315"/>
  <c r="I324"/>
  <c r="I324" i="135" s="1"/>
  <c r="E324" i="106"/>
  <c r="E324" i="135" s="1"/>
  <c r="H323" i="106"/>
  <c r="H323" i="135" s="1"/>
  <c r="D323" i="106"/>
  <c r="D323" i="135" s="1"/>
  <c r="J322" i="106"/>
  <c r="J322" i="135" s="1"/>
  <c r="G322" i="106"/>
  <c r="G322" i="135" s="1"/>
  <c r="D322" i="106"/>
  <c r="D322" i="135" s="1"/>
  <c r="J321" i="106"/>
  <c r="J321" i="135" s="1"/>
  <c r="G321" i="106"/>
  <c r="G321" i="135" s="1"/>
  <c r="D321" i="106"/>
  <c r="D321" i="135" s="1"/>
  <c r="J320" i="106"/>
  <c r="J320" i="135" s="1"/>
  <c r="G320" i="106"/>
  <c r="G320" i="135" s="1"/>
  <c r="D320" i="106"/>
  <c r="D320" i="135" s="1"/>
  <c r="J319" i="106"/>
  <c r="J319" i="135" s="1"/>
  <c r="G319" i="106"/>
  <c r="G319" i="135" s="1"/>
  <c r="D319" i="106"/>
  <c r="D319" i="135" s="1"/>
  <c r="J318" i="106"/>
  <c r="J318" i="135" s="1"/>
  <c r="G318" i="106"/>
  <c r="G318" i="135" s="1"/>
  <c r="D318" i="106"/>
  <c r="D318" i="135" s="1"/>
  <c r="J317" i="106"/>
  <c r="J317" i="135" s="1"/>
  <c r="G317" i="106"/>
  <c r="G317" i="135" s="1"/>
  <c r="D317" i="106"/>
  <c r="D317" i="135" s="1"/>
  <c r="J316" i="106"/>
  <c r="J316" i="135" s="1"/>
  <c r="G316" i="106"/>
  <c r="G316" i="135" s="1"/>
  <c r="D316" i="106"/>
  <c r="D316" i="135" s="1"/>
  <c r="K315" i="106"/>
  <c r="H315"/>
  <c r="E315"/>
  <c r="S120" i="59"/>
  <c r="I374" i="106"/>
  <c r="J374"/>
  <c r="M762"/>
  <c r="M762" i="135" s="1"/>
  <c r="M761" i="106"/>
  <c r="M761" i="135" s="1"/>
  <c r="M760" i="106"/>
  <c r="M760" i="135" s="1"/>
  <c r="M759" i="106"/>
  <c r="M759" i="135" s="1"/>
  <c r="M758" i="106"/>
  <c r="M758" i="135" s="1"/>
  <c r="M757" i="106"/>
  <c r="M757" i="135" s="1"/>
  <c r="M756" i="106"/>
  <c r="M756" i="135" s="1"/>
  <c r="M755" i="106"/>
  <c r="M755" i="135" s="1"/>
  <c r="M754" i="106"/>
  <c r="M754" i="135" s="1"/>
  <c r="M753" i="106"/>
  <c r="M753" i="135" s="1"/>
  <c r="L762" i="106"/>
  <c r="L762" i="135" s="1"/>
  <c r="L761" i="106"/>
  <c r="L761" i="135" s="1"/>
  <c r="L760" i="106"/>
  <c r="L760" i="135" s="1"/>
  <c r="L759" i="106"/>
  <c r="L759" i="135" s="1"/>
  <c r="L758" i="106"/>
  <c r="L758" i="135" s="1"/>
  <c r="L757" i="106"/>
  <c r="L757" i="135" s="1"/>
  <c r="L756" i="106"/>
  <c r="L756" i="135" s="1"/>
  <c r="L755" i="106"/>
  <c r="L755" i="135" s="1"/>
  <c r="L754" i="106"/>
  <c r="L754" i="135" s="1"/>
  <c r="L753" i="106"/>
  <c r="L753" i="135" s="1"/>
  <c r="N762" i="106"/>
  <c r="N762" i="135" s="1"/>
  <c r="N759" i="106"/>
  <c r="N759" i="135" s="1"/>
  <c r="N756" i="106"/>
  <c r="N756" i="135" s="1"/>
  <c r="N753" i="106"/>
  <c r="N753" i="135" s="1"/>
  <c r="N760" i="106"/>
  <c r="N760" i="135" s="1"/>
  <c r="N757" i="106"/>
  <c r="N757" i="135" s="1"/>
  <c r="N754" i="106"/>
  <c r="N754" i="135" s="1"/>
  <c r="N761" i="106"/>
  <c r="N761" i="135" s="1"/>
  <c r="N758" i="106"/>
  <c r="N758" i="135" s="1"/>
  <c r="N755" i="106"/>
  <c r="N755" i="135" s="1"/>
  <c r="J434" i="106"/>
  <c r="J434" i="135" s="1"/>
  <c r="G434" i="106"/>
  <c r="G434" i="135" s="1"/>
  <c r="D434" i="106"/>
  <c r="D434" i="135" s="1"/>
  <c r="J433" i="106"/>
  <c r="J433" i="135" s="1"/>
  <c r="G433" i="106"/>
  <c r="G433" i="135" s="1"/>
  <c r="D433" i="106"/>
  <c r="D433" i="135" s="1"/>
  <c r="J432" i="106"/>
  <c r="J432" i="135" s="1"/>
  <c r="G432" i="106"/>
  <c r="G432" i="135" s="1"/>
  <c r="D432" i="106"/>
  <c r="D432" i="135" s="1"/>
  <c r="J431" i="106"/>
  <c r="J431" i="135" s="1"/>
  <c r="G431" i="106"/>
  <c r="G431" i="135" s="1"/>
  <c r="D431" i="106"/>
  <c r="D431" i="135" s="1"/>
  <c r="J430" i="106"/>
  <c r="J430" i="135" s="1"/>
  <c r="G430" i="106"/>
  <c r="G430" i="135" s="1"/>
  <c r="D430" i="106"/>
  <c r="D430" i="135" s="1"/>
  <c r="J429" i="106"/>
  <c r="J429" i="135" s="1"/>
  <c r="G429" i="106"/>
  <c r="G429" i="135" s="1"/>
  <c r="D429" i="106"/>
  <c r="D429" i="135" s="1"/>
  <c r="J428" i="106"/>
  <c r="J428" i="135" s="1"/>
  <c r="G428" i="106"/>
  <c r="G428" i="135" s="1"/>
  <c r="D428" i="106"/>
  <c r="D428" i="135" s="1"/>
  <c r="J427" i="106"/>
  <c r="J427" i="135" s="1"/>
  <c r="G427" i="106"/>
  <c r="G427" i="135" s="1"/>
  <c r="D427" i="106"/>
  <c r="D427" i="135" s="1"/>
  <c r="J426" i="106"/>
  <c r="G426"/>
  <c r="D426"/>
  <c r="D426" i="135" s="1"/>
  <c r="K425" i="106"/>
  <c r="H425"/>
  <c r="E425"/>
  <c r="K434"/>
  <c r="K434" i="135" s="1"/>
  <c r="H434" i="106"/>
  <c r="H434" i="135" s="1"/>
  <c r="E434" i="106"/>
  <c r="E434" i="135" s="1"/>
  <c r="K433" i="106"/>
  <c r="K433" i="135" s="1"/>
  <c r="H433" i="106"/>
  <c r="H433" i="135" s="1"/>
  <c r="E433" i="106"/>
  <c r="E433" i="135" s="1"/>
  <c r="K432" i="106"/>
  <c r="K432" i="135" s="1"/>
  <c r="H432" i="106"/>
  <c r="H432" i="135" s="1"/>
  <c r="E432" i="106"/>
  <c r="E432" i="135" s="1"/>
  <c r="K431" i="106"/>
  <c r="K431" i="135" s="1"/>
  <c r="H431" i="106"/>
  <c r="H431" i="135" s="1"/>
  <c r="E431" i="106"/>
  <c r="E431" i="135" s="1"/>
  <c r="K430" i="106"/>
  <c r="K430" i="135" s="1"/>
  <c r="H430" i="106"/>
  <c r="H430" i="135" s="1"/>
  <c r="E430" i="106"/>
  <c r="E430" i="135" s="1"/>
  <c r="K429" i="106"/>
  <c r="K429" i="135" s="1"/>
  <c r="H429" i="106"/>
  <c r="H429" i="135" s="1"/>
  <c r="E429" i="106"/>
  <c r="E429" i="135" s="1"/>
  <c r="K428" i="106"/>
  <c r="K428" i="135" s="1"/>
  <c r="H428" i="106"/>
  <c r="H428" i="135" s="1"/>
  <c r="E428" i="106"/>
  <c r="E428" i="135" s="1"/>
  <c r="K427" i="106"/>
  <c r="K427" i="135" s="1"/>
  <c r="H427" i="106"/>
  <c r="H427" i="135" s="1"/>
  <c r="E427" i="106"/>
  <c r="E427" i="135" s="1"/>
  <c r="K426" i="106"/>
  <c r="H426"/>
  <c r="E426"/>
  <c r="E426" i="135" s="1"/>
  <c r="I425" i="106"/>
  <c r="F425"/>
  <c r="C425"/>
  <c r="C425" i="135" s="1"/>
  <c r="I434" i="106"/>
  <c r="I434" i="135" s="1"/>
  <c r="F434" i="106"/>
  <c r="F434" i="135" s="1"/>
  <c r="C434" i="106"/>
  <c r="C434" i="135" s="1"/>
  <c r="I433" i="106"/>
  <c r="I433" i="135" s="1"/>
  <c r="F433" i="106"/>
  <c r="F433" i="135" s="1"/>
  <c r="C433" i="106"/>
  <c r="C433" i="135" s="1"/>
  <c r="I432" i="106"/>
  <c r="I432" i="135" s="1"/>
  <c r="F432" i="106"/>
  <c r="F432" i="135" s="1"/>
  <c r="C432" i="106"/>
  <c r="C432" i="135" s="1"/>
  <c r="I431" i="106"/>
  <c r="I431" i="135" s="1"/>
  <c r="F431" i="106"/>
  <c r="F431" i="135" s="1"/>
  <c r="C431" i="106"/>
  <c r="C431" i="135" s="1"/>
  <c r="I430" i="106"/>
  <c r="I430" i="135" s="1"/>
  <c r="F430" i="106"/>
  <c r="F430" i="135" s="1"/>
  <c r="C430" i="106"/>
  <c r="C430" i="135" s="1"/>
  <c r="I429" i="106"/>
  <c r="I429" i="135" s="1"/>
  <c r="F429" i="106"/>
  <c r="F429" i="135" s="1"/>
  <c r="C429" i="106"/>
  <c r="C429" i="135" s="1"/>
  <c r="I428" i="106"/>
  <c r="I428" i="135" s="1"/>
  <c r="F428" i="106"/>
  <c r="F428" i="135" s="1"/>
  <c r="C428" i="106"/>
  <c r="C428" i="135" s="1"/>
  <c r="I427" i="106"/>
  <c r="I427" i="135" s="1"/>
  <c r="F427" i="106"/>
  <c r="F427" i="135" s="1"/>
  <c r="C427" i="106"/>
  <c r="C427" i="135" s="1"/>
  <c r="I426" i="106"/>
  <c r="F426"/>
  <c r="F426" i="135" s="1"/>
  <c r="C426" i="106"/>
  <c r="C426" i="135" s="1"/>
  <c r="J425" i="106"/>
  <c r="G425"/>
  <c r="D425"/>
  <c r="L125"/>
  <c r="L125" i="135" s="1"/>
  <c r="L124" i="106"/>
  <c r="L124" i="135" s="1"/>
  <c r="L123" i="106"/>
  <c r="L123" i="135" s="1"/>
  <c r="L122" i="106"/>
  <c r="L122" i="135" s="1"/>
  <c r="L121" i="106"/>
  <c r="L121" i="135" s="1"/>
  <c r="L120" i="106"/>
  <c r="L120" i="135" s="1"/>
  <c r="L119" i="106"/>
  <c r="L119" i="135" s="1"/>
  <c r="L118" i="106"/>
  <c r="L118" i="135" s="1"/>
  <c r="L117" i="106"/>
  <c r="L117" i="135" s="1"/>
  <c r="L116" i="106"/>
  <c r="L116" i="135" s="1"/>
  <c r="M125" i="106"/>
  <c r="M125" i="135" s="1"/>
  <c r="M124" i="106"/>
  <c r="M124" i="135" s="1"/>
  <c r="M123" i="106"/>
  <c r="M123" i="135" s="1"/>
  <c r="M122" i="106"/>
  <c r="M122" i="135" s="1"/>
  <c r="M121" i="106"/>
  <c r="M121" i="135" s="1"/>
  <c r="M120" i="106"/>
  <c r="M120" i="135" s="1"/>
  <c r="M119" i="106"/>
  <c r="M119" i="135" s="1"/>
  <c r="M118" i="106"/>
  <c r="M118" i="135" s="1"/>
  <c r="M117" i="106"/>
  <c r="M117" i="135" s="1"/>
  <c r="M116" i="106"/>
  <c r="M116" i="135" s="1"/>
  <c r="N125" i="106"/>
  <c r="N125" i="135" s="1"/>
  <c r="N124" i="106"/>
  <c r="N124" i="135" s="1"/>
  <c r="N123" i="106"/>
  <c r="N123" i="135" s="1"/>
  <c r="N122" i="106"/>
  <c r="N122" i="135" s="1"/>
  <c r="N121" i="106"/>
  <c r="N121" i="135" s="1"/>
  <c r="N120" i="106"/>
  <c r="N120" i="135" s="1"/>
  <c r="N119" i="106"/>
  <c r="N119" i="135" s="1"/>
  <c r="N118" i="106"/>
  <c r="N118" i="135" s="1"/>
  <c r="N117" i="106"/>
  <c r="N117" i="135" s="1"/>
  <c r="N116" i="106"/>
  <c r="N116" i="135" s="1"/>
  <c r="J713" i="106"/>
  <c r="J713" i="135" s="1"/>
  <c r="G713" i="106"/>
  <c r="G713" i="135" s="1"/>
  <c r="D713" i="106"/>
  <c r="D713" i="135" s="1"/>
  <c r="J712" i="106"/>
  <c r="J712" i="135" s="1"/>
  <c r="G712" i="106"/>
  <c r="G712" i="135" s="1"/>
  <c r="D712" i="106"/>
  <c r="D712" i="135" s="1"/>
  <c r="J711" i="106"/>
  <c r="J711" i="135" s="1"/>
  <c r="G711" i="106"/>
  <c r="G711" i="135" s="1"/>
  <c r="D711" i="106"/>
  <c r="D711" i="135" s="1"/>
  <c r="J710" i="106"/>
  <c r="J710" i="135" s="1"/>
  <c r="G710" i="106"/>
  <c r="G710" i="135" s="1"/>
  <c r="D710" i="106"/>
  <c r="D710" i="135" s="1"/>
  <c r="J709" i="106"/>
  <c r="J709" i="135" s="1"/>
  <c r="G709" i="106"/>
  <c r="G709" i="135" s="1"/>
  <c r="D709" i="106"/>
  <c r="D709" i="135" s="1"/>
  <c r="J708" i="106"/>
  <c r="J708" i="135" s="1"/>
  <c r="G708" i="106"/>
  <c r="G708" i="135" s="1"/>
  <c r="D708" i="106"/>
  <c r="D708" i="135" s="1"/>
  <c r="J707" i="106"/>
  <c r="J707" i="135" s="1"/>
  <c r="G707" i="106"/>
  <c r="G707" i="135" s="1"/>
  <c r="D707" i="106"/>
  <c r="D707" i="135" s="1"/>
  <c r="J706" i="106"/>
  <c r="J706" i="135" s="1"/>
  <c r="G706" i="106"/>
  <c r="G706" i="135" s="1"/>
  <c r="D706" i="106"/>
  <c r="D706" i="135" s="1"/>
  <c r="J705" i="106"/>
  <c r="J705" i="135" s="1"/>
  <c r="G705" i="106"/>
  <c r="G705" i="135" s="1"/>
  <c r="D705" i="106"/>
  <c r="D705" i="135" s="1"/>
  <c r="K704" i="106"/>
  <c r="H704"/>
  <c r="E704"/>
  <c r="K713"/>
  <c r="K713" i="135" s="1"/>
  <c r="H713" i="106"/>
  <c r="H713" i="135" s="1"/>
  <c r="E713" i="106"/>
  <c r="E713" i="135" s="1"/>
  <c r="K712" i="106"/>
  <c r="K712" i="135" s="1"/>
  <c r="H712" i="106"/>
  <c r="H712" i="135" s="1"/>
  <c r="E712" i="106"/>
  <c r="E712" i="135" s="1"/>
  <c r="K711" i="106"/>
  <c r="K711" i="135" s="1"/>
  <c r="H711" i="106"/>
  <c r="H711" i="135" s="1"/>
  <c r="E711" i="106"/>
  <c r="E711" i="135" s="1"/>
  <c r="K710" i="106"/>
  <c r="K710" i="135" s="1"/>
  <c r="H710" i="106"/>
  <c r="H710" i="135" s="1"/>
  <c r="E710" i="106"/>
  <c r="E710" i="135" s="1"/>
  <c r="K709" i="106"/>
  <c r="K709" i="135" s="1"/>
  <c r="H709" i="106"/>
  <c r="H709" i="135" s="1"/>
  <c r="E709" i="106"/>
  <c r="E709" i="135" s="1"/>
  <c r="K708" i="106"/>
  <c r="K708" i="135" s="1"/>
  <c r="H708" i="106"/>
  <c r="H708" i="135" s="1"/>
  <c r="E708" i="106"/>
  <c r="E708" i="135" s="1"/>
  <c r="K707" i="106"/>
  <c r="K707" i="135" s="1"/>
  <c r="H707" i="106"/>
  <c r="H707" i="135" s="1"/>
  <c r="E707" i="106"/>
  <c r="E707" i="135" s="1"/>
  <c r="K706" i="106"/>
  <c r="K706" i="135" s="1"/>
  <c r="H706" i="106"/>
  <c r="H706" i="135" s="1"/>
  <c r="E706" i="106"/>
  <c r="E706" i="135" s="1"/>
  <c r="K705" i="106"/>
  <c r="K705" i="135" s="1"/>
  <c r="H705" i="106"/>
  <c r="H705" i="135" s="1"/>
  <c r="E705" i="106"/>
  <c r="E705" i="135" s="1"/>
  <c r="I704" i="106"/>
  <c r="F704"/>
  <c r="C704"/>
  <c r="C704" i="135" s="1"/>
  <c r="I713" i="106"/>
  <c r="I713" i="135" s="1"/>
  <c r="F713" i="106"/>
  <c r="F713" i="135" s="1"/>
  <c r="C713" i="106"/>
  <c r="C713" i="135" s="1"/>
  <c r="I712" i="106"/>
  <c r="I712" i="135" s="1"/>
  <c r="F712" i="106"/>
  <c r="F712" i="135" s="1"/>
  <c r="C712" i="106"/>
  <c r="C712" i="135" s="1"/>
  <c r="I711" i="106"/>
  <c r="I711" i="135" s="1"/>
  <c r="F711" i="106"/>
  <c r="F711" i="135" s="1"/>
  <c r="C711" i="106"/>
  <c r="C711" i="135" s="1"/>
  <c r="I710" i="106"/>
  <c r="I710" i="135" s="1"/>
  <c r="F710" i="106"/>
  <c r="F710" i="135" s="1"/>
  <c r="C710" i="106"/>
  <c r="C710" i="135" s="1"/>
  <c r="I709" i="106"/>
  <c r="I709" i="135" s="1"/>
  <c r="F709" i="106"/>
  <c r="F709" i="135" s="1"/>
  <c r="C709" i="106"/>
  <c r="C709" i="135" s="1"/>
  <c r="I708" i="106"/>
  <c r="I708" i="135" s="1"/>
  <c r="F708" i="106"/>
  <c r="F708" i="135" s="1"/>
  <c r="C708" i="106"/>
  <c r="C708" i="135" s="1"/>
  <c r="I707" i="106"/>
  <c r="I707" i="135" s="1"/>
  <c r="F707" i="106"/>
  <c r="F707" i="135" s="1"/>
  <c r="C707" i="106"/>
  <c r="C707" i="135" s="1"/>
  <c r="I706" i="106"/>
  <c r="I706" i="135" s="1"/>
  <c r="F706" i="106"/>
  <c r="F706" i="135" s="1"/>
  <c r="C706" i="106"/>
  <c r="C706" i="135" s="1"/>
  <c r="I705" i="106"/>
  <c r="I705" i="135" s="1"/>
  <c r="F705" i="106"/>
  <c r="F705" i="135" s="1"/>
  <c r="C705" i="106"/>
  <c r="C705" i="135" s="1"/>
  <c r="J704" i="106"/>
  <c r="G704"/>
  <c r="D704"/>
  <c r="J615"/>
  <c r="J615" i="135" s="1"/>
  <c r="G615" i="106"/>
  <c r="G615" i="135" s="1"/>
  <c r="D615" i="106"/>
  <c r="D615" i="135" s="1"/>
  <c r="J614" i="106"/>
  <c r="J614" i="135" s="1"/>
  <c r="G614" i="106"/>
  <c r="G614" i="135" s="1"/>
  <c r="D614" i="106"/>
  <c r="D614" i="135" s="1"/>
  <c r="J613" i="106"/>
  <c r="J613" i="135" s="1"/>
  <c r="G613" i="106"/>
  <c r="G613" i="135" s="1"/>
  <c r="D613" i="106"/>
  <c r="D613" i="135" s="1"/>
  <c r="J612" i="106"/>
  <c r="J612" i="135" s="1"/>
  <c r="G612" i="106"/>
  <c r="G612" i="135" s="1"/>
  <c r="D612" i="106"/>
  <c r="D612" i="135" s="1"/>
  <c r="J611" i="106"/>
  <c r="J611" i="135" s="1"/>
  <c r="G611" i="106"/>
  <c r="G611" i="135" s="1"/>
  <c r="D611" i="106"/>
  <c r="D611" i="135" s="1"/>
  <c r="J610" i="106"/>
  <c r="J610" i="135" s="1"/>
  <c r="G610" i="106"/>
  <c r="G610" i="135" s="1"/>
  <c r="D610" i="106"/>
  <c r="D610" i="135" s="1"/>
  <c r="J609" i="106"/>
  <c r="J609" i="135" s="1"/>
  <c r="G609" i="106"/>
  <c r="G609" i="135" s="1"/>
  <c r="D609" i="106"/>
  <c r="D609" i="135" s="1"/>
  <c r="J608" i="106"/>
  <c r="J608" i="135" s="1"/>
  <c r="G608" i="106"/>
  <c r="G608" i="135" s="1"/>
  <c r="D608" i="106"/>
  <c r="D608" i="135" s="1"/>
  <c r="J607" i="106"/>
  <c r="J607" i="135" s="1"/>
  <c r="G607" i="106"/>
  <c r="G607" i="135" s="1"/>
  <c r="D607" i="106"/>
  <c r="D607" i="135" s="1"/>
  <c r="K606" i="106"/>
  <c r="H606"/>
  <c r="E606"/>
  <c r="K615"/>
  <c r="K615" i="135" s="1"/>
  <c r="F615" i="106"/>
  <c r="F615" i="135" s="1"/>
  <c r="I614" i="106"/>
  <c r="I614" i="135" s="1"/>
  <c r="E614" i="106"/>
  <c r="E614" i="135" s="1"/>
  <c r="H613" i="106"/>
  <c r="H613" i="135" s="1"/>
  <c r="C613" i="106"/>
  <c r="C613" i="135" s="1"/>
  <c r="K612" i="106"/>
  <c r="K612" i="135" s="1"/>
  <c r="F612" i="106"/>
  <c r="F612" i="135" s="1"/>
  <c r="I611" i="106"/>
  <c r="I611" i="135" s="1"/>
  <c r="E611" i="106"/>
  <c r="E611" i="135" s="1"/>
  <c r="H610" i="106"/>
  <c r="H610" i="135" s="1"/>
  <c r="C610" i="106"/>
  <c r="C610" i="135" s="1"/>
  <c r="K609" i="106"/>
  <c r="K609" i="135" s="1"/>
  <c r="F609" i="106"/>
  <c r="F609" i="135" s="1"/>
  <c r="I608" i="106"/>
  <c r="I608" i="135" s="1"/>
  <c r="E608" i="106"/>
  <c r="E608" i="135" s="1"/>
  <c r="H607" i="106"/>
  <c r="H607" i="135" s="1"/>
  <c r="C607" i="106"/>
  <c r="C607" i="135" s="1"/>
  <c r="G606" i="106"/>
  <c r="C606"/>
  <c r="C606" i="135" s="1"/>
  <c r="H615" i="106"/>
  <c r="H615" i="135" s="1"/>
  <c r="C615" i="106"/>
  <c r="C615" i="135" s="1"/>
  <c r="K614" i="106"/>
  <c r="K614" i="135" s="1"/>
  <c r="F614" i="106"/>
  <c r="F614" i="135" s="1"/>
  <c r="I613" i="106"/>
  <c r="I613" i="135" s="1"/>
  <c r="E613" i="106"/>
  <c r="E613" i="135" s="1"/>
  <c r="H612" i="106"/>
  <c r="H612" i="135" s="1"/>
  <c r="C612" i="106"/>
  <c r="C612" i="135" s="1"/>
  <c r="K611" i="106"/>
  <c r="K611" i="135" s="1"/>
  <c r="F611" i="106"/>
  <c r="F611" i="135" s="1"/>
  <c r="I610" i="106"/>
  <c r="I610" i="135" s="1"/>
  <c r="E610" i="106"/>
  <c r="E610" i="135" s="1"/>
  <c r="H609" i="106"/>
  <c r="H609" i="135" s="1"/>
  <c r="C609" i="106"/>
  <c r="C609" i="135" s="1"/>
  <c r="K608" i="106"/>
  <c r="K608" i="135" s="1"/>
  <c r="F608" i="106"/>
  <c r="F608" i="135" s="1"/>
  <c r="I607" i="106"/>
  <c r="I607" i="135" s="1"/>
  <c r="E607" i="106"/>
  <c r="E607" i="135" s="1"/>
  <c r="I606" i="106"/>
  <c r="D606"/>
  <c r="I615"/>
  <c r="I615" i="135" s="1"/>
  <c r="E615" i="106"/>
  <c r="E615" i="135" s="1"/>
  <c r="H614" i="106"/>
  <c r="H614" i="135" s="1"/>
  <c r="C614" i="106"/>
  <c r="C614" i="135" s="1"/>
  <c r="K613" i="106"/>
  <c r="K613" i="135" s="1"/>
  <c r="F613" i="106"/>
  <c r="F613" i="135" s="1"/>
  <c r="I612" i="106"/>
  <c r="I612" i="135" s="1"/>
  <c r="E612" i="106"/>
  <c r="E612" i="135" s="1"/>
  <c r="H611" i="106"/>
  <c r="H611" i="135" s="1"/>
  <c r="C611" i="106"/>
  <c r="C611" i="135" s="1"/>
  <c r="K610" i="106"/>
  <c r="K610" i="135" s="1"/>
  <c r="F610" i="106"/>
  <c r="F610" i="135" s="1"/>
  <c r="I609" i="106"/>
  <c r="I609" i="135" s="1"/>
  <c r="E609" i="106"/>
  <c r="E609" i="135" s="1"/>
  <c r="H608" i="106"/>
  <c r="H608" i="135" s="1"/>
  <c r="C608" i="106"/>
  <c r="C608" i="135" s="1"/>
  <c r="K607" i="106"/>
  <c r="K607" i="135" s="1"/>
  <c r="F607" i="106"/>
  <c r="F607" i="135" s="1"/>
  <c r="J606" i="106"/>
  <c r="F606"/>
  <c r="K493"/>
  <c r="K493" i="135" s="1"/>
  <c r="H493" i="106"/>
  <c r="H493" i="135" s="1"/>
  <c r="E493" i="106"/>
  <c r="E493" i="135" s="1"/>
  <c r="K492" i="106"/>
  <c r="K492" i="135" s="1"/>
  <c r="H492" i="106"/>
  <c r="H492" i="135" s="1"/>
  <c r="E492" i="106"/>
  <c r="E492" i="135" s="1"/>
  <c r="K491" i="106"/>
  <c r="K491" i="135" s="1"/>
  <c r="H491" i="106"/>
  <c r="H491" i="135" s="1"/>
  <c r="E491" i="106"/>
  <c r="E491" i="135" s="1"/>
  <c r="K490" i="106"/>
  <c r="K490" i="135" s="1"/>
  <c r="H490" i="106"/>
  <c r="H490" i="135" s="1"/>
  <c r="E490" i="106"/>
  <c r="E490" i="135" s="1"/>
  <c r="K489" i="106"/>
  <c r="K489" i="135" s="1"/>
  <c r="H489" i="106"/>
  <c r="H489" i="135" s="1"/>
  <c r="E489" i="106"/>
  <c r="E489" i="135" s="1"/>
  <c r="K488" i="106"/>
  <c r="K488" i="135" s="1"/>
  <c r="H488" i="106"/>
  <c r="H488" i="135" s="1"/>
  <c r="E488" i="106"/>
  <c r="E488" i="135" s="1"/>
  <c r="K487" i="106"/>
  <c r="K487" i="135" s="1"/>
  <c r="H487" i="106"/>
  <c r="H487" i="135" s="1"/>
  <c r="E487" i="106"/>
  <c r="E487" i="135" s="1"/>
  <c r="K486" i="106"/>
  <c r="K486" i="135" s="1"/>
  <c r="H486" i="106"/>
  <c r="H486" i="135" s="1"/>
  <c r="E486" i="106"/>
  <c r="E486" i="135" s="1"/>
  <c r="K485" i="106"/>
  <c r="K485" i="135" s="1"/>
  <c r="H485" i="106"/>
  <c r="H485" i="135" s="1"/>
  <c r="E485" i="106"/>
  <c r="E485" i="135" s="1"/>
  <c r="I484" i="106"/>
  <c r="F484"/>
  <c r="C484"/>
  <c r="C484" i="135" s="1"/>
  <c r="I493" i="106"/>
  <c r="I493" i="135" s="1"/>
  <c r="F493" i="106"/>
  <c r="F493" i="135" s="1"/>
  <c r="C493" i="106"/>
  <c r="C493" i="135" s="1"/>
  <c r="I492" i="106"/>
  <c r="I492" i="135" s="1"/>
  <c r="F492" i="106"/>
  <c r="F492" i="135" s="1"/>
  <c r="C492" i="106"/>
  <c r="C492" i="135" s="1"/>
  <c r="I491" i="106"/>
  <c r="I491" i="135" s="1"/>
  <c r="F491" i="106"/>
  <c r="F491" i="135" s="1"/>
  <c r="C491" i="106"/>
  <c r="C491" i="135" s="1"/>
  <c r="I490" i="106"/>
  <c r="I490" i="135" s="1"/>
  <c r="F490" i="106"/>
  <c r="F490" i="135" s="1"/>
  <c r="C490" i="106"/>
  <c r="C490" i="135" s="1"/>
  <c r="I489" i="106"/>
  <c r="I489" i="135" s="1"/>
  <c r="F489" i="106"/>
  <c r="F489" i="135" s="1"/>
  <c r="C489" i="106"/>
  <c r="C489" i="135" s="1"/>
  <c r="I488" i="106"/>
  <c r="I488" i="135" s="1"/>
  <c r="F488" i="106"/>
  <c r="F488" i="135" s="1"/>
  <c r="C488" i="106"/>
  <c r="C488" i="135" s="1"/>
  <c r="I487" i="106"/>
  <c r="I487" i="135" s="1"/>
  <c r="F487" i="106"/>
  <c r="F487" i="135" s="1"/>
  <c r="C487" i="106"/>
  <c r="C487" i="135" s="1"/>
  <c r="I486" i="106"/>
  <c r="I486" i="135" s="1"/>
  <c r="F486" i="106"/>
  <c r="F486" i="135" s="1"/>
  <c r="C486" i="106"/>
  <c r="C486" i="135" s="1"/>
  <c r="I485" i="106"/>
  <c r="I485" i="135" s="1"/>
  <c r="F485" i="106"/>
  <c r="F485" i="135" s="1"/>
  <c r="C485" i="106"/>
  <c r="C485" i="135" s="1"/>
  <c r="J484" i="106"/>
  <c r="G484"/>
  <c r="D484"/>
  <c r="J493"/>
  <c r="J493" i="135" s="1"/>
  <c r="G493" i="106"/>
  <c r="G493" i="135" s="1"/>
  <c r="D493" i="106"/>
  <c r="D493" i="135" s="1"/>
  <c r="J492" i="106"/>
  <c r="J492" i="135" s="1"/>
  <c r="G492" i="106"/>
  <c r="G492" i="135" s="1"/>
  <c r="D492" i="106"/>
  <c r="D492" i="135" s="1"/>
  <c r="J491" i="106"/>
  <c r="J491" i="135" s="1"/>
  <c r="G491" i="106"/>
  <c r="G491" i="135" s="1"/>
  <c r="D491" i="106"/>
  <c r="D491" i="135" s="1"/>
  <c r="J490" i="106"/>
  <c r="J490" i="135" s="1"/>
  <c r="G490" i="106"/>
  <c r="G490" i="135" s="1"/>
  <c r="D490" i="106"/>
  <c r="D490" i="135" s="1"/>
  <c r="J489" i="106"/>
  <c r="J489" i="135" s="1"/>
  <c r="G489" i="106"/>
  <c r="G489" i="135" s="1"/>
  <c r="D489" i="106"/>
  <c r="D489" i="135" s="1"/>
  <c r="J488" i="106"/>
  <c r="J488" i="135" s="1"/>
  <c r="G488" i="106"/>
  <c r="G488" i="135" s="1"/>
  <c r="D488" i="106"/>
  <c r="D488" i="135" s="1"/>
  <c r="J487" i="106"/>
  <c r="J487" i="135" s="1"/>
  <c r="G487" i="106"/>
  <c r="G487" i="135" s="1"/>
  <c r="D487" i="106"/>
  <c r="D487" i="135" s="1"/>
  <c r="J486" i="106"/>
  <c r="J486" i="135" s="1"/>
  <c r="G486" i="106"/>
  <c r="G486" i="135" s="1"/>
  <c r="D486" i="106"/>
  <c r="D486" i="135" s="1"/>
  <c r="J485" i="106"/>
  <c r="J485" i="135" s="1"/>
  <c r="G485" i="106"/>
  <c r="G485" i="135" s="1"/>
  <c r="D485" i="106"/>
  <c r="D485" i="135" s="1"/>
  <c r="K484" i="106"/>
  <c r="H484"/>
  <c r="E484"/>
  <c r="N199"/>
  <c r="N199" i="135" s="1"/>
  <c r="N198" i="106"/>
  <c r="N198" i="135" s="1"/>
  <c r="N197" i="106"/>
  <c r="N197" i="135" s="1"/>
  <c r="N196" i="106"/>
  <c r="N196" i="135" s="1"/>
  <c r="N195" i="106"/>
  <c r="N195" i="135" s="1"/>
  <c r="N194" i="106"/>
  <c r="N194" i="135" s="1"/>
  <c r="N193" i="106"/>
  <c r="N193" i="135" s="1"/>
  <c r="N192" i="106"/>
  <c r="N192" i="135" s="1"/>
  <c r="N191" i="106"/>
  <c r="N191" i="135" s="1"/>
  <c r="N190" i="106"/>
  <c r="N190" i="135" s="1"/>
  <c r="M199" i="106"/>
  <c r="M199" i="135" s="1"/>
  <c r="M198" i="106"/>
  <c r="M198" i="135" s="1"/>
  <c r="M197" i="106"/>
  <c r="M197" i="135" s="1"/>
  <c r="M196" i="106"/>
  <c r="M196" i="135" s="1"/>
  <c r="L198" i="106"/>
  <c r="L198" i="135" s="1"/>
  <c r="M195" i="106"/>
  <c r="M195" i="135" s="1"/>
  <c r="L194" i="106"/>
  <c r="L194" i="135" s="1"/>
  <c r="M192" i="106"/>
  <c r="M192" i="135" s="1"/>
  <c r="L191" i="106"/>
  <c r="L191" i="135" s="1"/>
  <c r="L199" i="106"/>
  <c r="L199" i="135" s="1"/>
  <c r="L196" i="106"/>
  <c r="L196" i="135" s="1"/>
  <c r="M194" i="106"/>
  <c r="M194" i="135" s="1"/>
  <c r="L193" i="106"/>
  <c r="L193" i="135" s="1"/>
  <c r="M191" i="106"/>
  <c r="M191" i="135" s="1"/>
  <c r="L190" i="106"/>
  <c r="L190" i="135" s="1"/>
  <c r="L197" i="106"/>
  <c r="L197" i="135" s="1"/>
  <c r="L195" i="106"/>
  <c r="L195" i="135" s="1"/>
  <c r="M193" i="106"/>
  <c r="M193" i="135" s="1"/>
  <c r="L192" i="106"/>
  <c r="L192" i="135" s="1"/>
  <c r="M190" i="106"/>
  <c r="M190" i="135" s="1"/>
  <c r="N386" i="106"/>
  <c r="N386" i="135" s="1"/>
  <c r="N385" i="106"/>
  <c r="N385" i="135" s="1"/>
  <c r="N384" i="106"/>
  <c r="N384" i="135" s="1"/>
  <c r="N383" i="106"/>
  <c r="N383" i="135" s="1"/>
  <c r="N382" i="106"/>
  <c r="N382" i="135" s="1"/>
  <c r="N381" i="106"/>
  <c r="N381" i="135" s="1"/>
  <c r="N380" i="106"/>
  <c r="N380" i="135" s="1"/>
  <c r="N379" i="106"/>
  <c r="N379" i="135" s="1"/>
  <c r="N378" i="106"/>
  <c r="N378" i="135" s="1"/>
  <c r="N377" i="106"/>
  <c r="N377" i="135" s="1"/>
  <c r="L386" i="106"/>
  <c r="L386" i="135" s="1"/>
  <c r="L385" i="106"/>
  <c r="L385" i="135" s="1"/>
  <c r="L384" i="106"/>
  <c r="L384" i="135" s="1"/>
  <c r="L383" i="106"/>
  <c r="L383" i="135" s="1"/>
  <c r="L382" i="106"/>
  <c r="L382" i="135" s="1"/>
  <c r="L381" i="106"/>
  <c r="L381" i="135" s="1"/>
  <c r="L380" i="106"/>
  <c r="L380" i="135" s="1"/>
  <c r="L379" i="106"/>
  <c r="L379" i="135" s="1"/>
  <c r="L378" i="106"/>
  <c r="L378" i="135" s="1"/>
  <c r="L377" i="106"/>
  <c r="L377" i="135" s="1"/>
  <c r="M386" i="106"/>
  <c r="M386" i="135" s="1"/>
  <c r="M385" i="106"/>
  <c r="M385" i="135" s="1"/>
  <c r="M384" i="106"/>
  <c r="M384" i="135" s="1"/>
  <c r="M383" i="106"/>
  <c r="M383" i="135" s="1"/>
  <c r="M382" i="106"/>
  <c r="M382" i="135" s="1"/>
  <c r="M381" i="106"/>
  <c r="M381" i="135" s="1"/>
  <c r="M380" i="106"/>
  <c r="M380" i="135" s="1"/>
  <c r="M379" i="106"/>
  <c r="M379" i="135" s="1"/>
  <c r="M378" i="106"/>
  <c r="M378" i="135" s="1"/>
  <c r="M377" i="106"/>
  <c r="M377" i="135" s="1"/>
  <c r="J211" i="106"/>
  <c r="J211" i="135" s="1"/>
  <c r="G211" i="106"/>
  <c r="G211" i="135" s="1"/>
  <c r="D211" i="106"/>
  <c r="D211" i="135" s="1"/>
  <c r="J210" i="106"/>
  <c r="J210" i="135" s="1"/>
  <c r="G210" i="106"/>
  <c r="G210" i="135" s="1"/>
  <c r="D210" i="106"/>
  <c r="D210" i="135" s="1"/>
  <c r="J209" i="106"/>
  <c r="J209" i="135" s="1"/>
  <c r="G209" i="106"/>
  <c r="G209" i="135" s="1"/>
  <c r="D209" i="106"/>
  <c r="D209" i="135" s="1"/>
  <c r="J208" i="106"/>
  <c r="J208" i="135" s="1"/>
  <c r="G208" i="106"/>
  <c r="G208" i="135" s="1"/>
  <c r="D208" i="106"/>
  <c r="D208" i="135" s="1"/>
  <c r="J207" i="106"/>
  <c r="J207" i="135" s="1"/>
  <c r="G207" i="106"/>
  <c r="G207" i="135" s="1"/>
  <c r="D207" i="106"/>
  <c r="D207" i="135" s="1"/>
  <c r="J206" i="106"/>
  <c r="J206" i="135" s="1"/>
  <c r="G206" i="106"/>
  <c r="G206" i="135" s="1"/>
  <c r="D206" i="106"/>
  <c r="D206" i="135" s="1"/>
  <c r="J205" i="106"/>
  <c r="J205" i="135" s="1"/>
  <c r="G205" i="106"/>
  <c r="G205" i="135" s="1"/>
  <c r="D205" i="106"/>
  <c r="D205" i="135" s="1"/>
  <c r="J204" i="106"/>
  <c r="J204" i="135" s="1"/>
  <c r="G204" i="106"/>
  <c r="G204" i="135" s="1"/>
  <c r="D204" i="106"/>
  <c r="D204" i="135" s="1"/>
  <c r="J203" i="106"/>
  <c r="J203" i="135" s="1"/>
  <c r="G203" i="106"/>
  <c r="G203" i="135" s="1"/>
  <c r="D203" i="106"/>
  <c r="D203" i="135" s="1"/>
  <c r="K202" i="106"/>
  <c r="H202"/>
  <c r="E202"/>
  <c r="K211"/>
  <c r="K211" i="135" s="1"/>
  <c r="H211" i="106"/>
  <c r="H211" i="135" s="1"/>
  <c r="E211" i="106"/>
  <c r="E211" i="135" s="1"/>
  <c r="K210" i="106"/>
  <c r="K210" i="135" s="1"/>
  <c r="H210" i="106"/>
  <c r="H210" i="135" s="1"/>
  <c r="E210" i="106"/>
  <c r="E210" i="135" s="1"/>
  <c r="K209" i="106"/>
  <c r="K209" i="135" s="1"/>
  <c r="H209" i="106"/>
  <c r="H209" i="135" s="1"/>
  <c r="E209" i="106"/>
  <c r="E209" i="135" s="1"/>
  <c r="K208" i="106"/>
  <c r="K208" i="135" s="1"/>
  <c r="H208" i="106"/>
  <c r="H208" i="135" s="1"/>
  <c r="E208" i="106"/>
  <c r="E208" i="135" s="1"/>
  <c r="K207" i="106"/>
  <c r="K207" i="135" s="1"/>
  <c r="H207" i="106"/>
  <c r="H207" i="135" s="1"/>
  <c r="E207" i="106"/>
  <c r="E207" i="135" s="1"/>
  <c r="K206" i="106"/>
  <c r="K206" i="135" s="1"/>
  <c r="H206" i="106"/>
  <c r="H206" i="135" s="1"/>
  <c r="E206" i="106"/>
  <c r="E206" i="135" s="1"/>
  <c r="K205" i="106"/>
  <c r="K205" i="135" s="1"/>
  <c r="H205" i="106"/>
  <c r="H205" i="135" s="1"/>
  <c r="E205" i="106"/>
  <c r="E205" i="135" s="1"/>
  <c r="K204" i="106"/>
  <c r="K204" i="135" s="1"/>
  <c r="H204" i="106"/>
  <c r="H204" i="135" s="1"/>
  <c r="E204" i="106"/>
  <c r="E204" i="135" s="1"/>
  <c r="K203" i="106"/>
  <c r="K203" i="135" s="1"/>
  <c r="H203" i="106"/>
  <c r="H203" i="135" s="1"/>
  <c r="I211" i="106"/>
  <c r="I211" i="135" s="1"/>
  <c r="F211" i="106"/>
  <c r="F211" i="135" s="1"/>
  <c r="C211" i="106"/>
  <c r="C211" i="135" s="1"/>
  <c r="I210" i="106"/>
  <c r="I210" i="135" s="1"/>
  <c r="F210" i="106"/>
  <c r="F210" i="135" s="1"/>
  <c r="C210" i="106"/>
  <c r="C210" i="135" s="1"/>
  <c r="I209" i="106"/>
  <c r="I209" i="135" s="1"/>
  <c r="F209" i="106"/>
  <c r="F209" i="135" s="1"/>
  <c r="C209" i="106"/>
  <c r="C209" i="135" s="1"/>
  <c r="I208" i="106"/>
  <c r="I208" i="135" s="1"/>
  <c r="F208" i="106"/>
  <c r="F208" i="135" s="1"/>
  <c r="C208" i="106"/>
  <c r="C208" i="135" s="1"/>
  <c r="I207" i="106"/>
  <c r="I207" i="135" s="1"/>
  <c r="F207" i="106"/>
  <c r="F207" i="135" s="1"/>
  <c r="C207" i="106"/>
  <c r="C207" i="135" s="1"/>
  <c r="I206" i="106"/>
  <c r="I206" i="135" s="1"/>
  <c r="F206" i="106"/>
  <c r="F206" i="135" s="1"/>
  <c r="C206" i="106"/>
  <c r="C206" i="135" s="1"/>
  <c r="I205" i="106"/>
  <c r="I205" i="135" s="1"/>
  <c r="F205" i="106"/>
  <c r="F205" i="135" s="1"/>
  <c r="C205" i="106"/>
  <c r="C205" i="135" s="1"/>
  <c r="I204" i="106"/>
  <c r="I204" i="135" s="1"/>
  <c r="F204" i="106"/>
  <c r="F204" i="135" s="1"/>
  <c r="C204" i="106"/>
  <c r="C204" i="135" s="1"/>
  <c r="I203" i="106"/>
  <c r="I203" i="135" s="1"/>
  <c r="F203" i="106"/>
  <c r="F203" i="135" s="1"/>
  <c r="C203" i="106"/>
  <c r="C203" i="135" s="1"/>
  <c r="J202" i="106"/>
  <c r="G202"/>
  <c r="D202"/>
  <c r="C202"/>
  <c r="C202" i="135" s="1"/>
  <c r="F202" i="106"/>
  <c r="E203"/>
  <c r="E203" i="135" s="1"/>
  <c r="I202" i="106"/>
  <c r="I125"/>
  <c r="I125" i="135" s="1"/>
  <c r="F125" i="106"/>
  <c r="F125" i="135" s="1"/>
  <c r="C125" i="106"/>
  <c r="C125" i="135" s="1"/>
  <c r="I124" i="106"/>
  <c r="I124" i="135" s="1"/>
  <c r="F124" i="106"/>
  <c r="F124" i="135" s="1"/>
  <c r="C124" i="106"/>
  <c r="C124" i="135" s="1"/>
  <c r="I123" i="106"/>
  <c r="I123" i="135" s="1"/>
  <c r="F123" i="106"/>
  <c r="F123" i="135" s="1"/>
  <c r="C123" i="106"/>
  <c r="C123" i="135" s="1"/>
  <c r="I122" i="106"/>
  <c r="I122" i="135" s="1"/>
  <c r="F122" i="106"/>
  <c r="F122" i="135" s="1"/>
  <c r="C122" i="106"/>
  <c r="C122" i="135" s="1"/>
  <c r="I121" i="106"/>
  <c r="I121" i="135" s="1"/>
  <c r="F121" i="106"/>
  <c r="F121" i="135" s="1"/>
  <c r="C121" i="106"/>
  <c r="C121" i="135" s="1"/>
  <c r="I120" i="106"/>
  <c r="I120" i="135" s="1"/>
  <c r="F120" i="106"/>
  <c r="F120" i="135" s="1"/>
  <c r="C120" i="106"/>
  <c r="C120" i="135" s="1"/>
  <c r="I119" i="106"/>
  <c r="I119" i="135" s="1"/>
  <c r="F119" i="106"/>
  <c r="F119" i="135" s="1"/>
  <c r="C119" i="106"/>
  <c r="C119" i="135" s="1"/>
  <c r="I118" i="106"/>
  <c r="I118" i="135" s="1"/>
  <c r="F118" i="106"/>
  <c r="F118" i="135" s="1"/>
  <c r="C118" i="106"/>
  <c r="C118" i="135" s="1"/>
  <c r="I117" i="106"/>
  <c r="I117" i="135" s="1"/>
  <c r="F117" i="106"/>
  <c r="F117" i="135" s="1"/>
  <c r="C117" i="106"/>
  <c r="C117" i="135" s="1"/>
  <c r="J116" i="106"/>
  <c r="G116"/>
  <c r="D116"/>
  <c r="J125"/>
  <c r="J125" i="135" s="1"/>
  <c r="G125" i="106"/>
  <c r="G125" i="135" s="1"/>
  <c r="D125" i="106"/>
  <c r="D125" i="135" s="1"/>
  <c r="J124" i="106"/>
  <c r="J124" i="135" s="1"/>
  <c r="G124" i="106"/>
  <c r="G124" i="135" s="1"/>
  <c r="D124" i="106"/>
  <c r="D124" i="135" s="1"/>
  <c r="J123" i="106"/>
  <c r="J123" i="135" s="1"/>
  <c r="G123" i="106"/>
  <c r="G123" i="135" s="1"/>
  <c r="D123" i="106"/>
  <c r="D123" i="135" s="1"/>
  <c r="J122" i="106"/>
  <c r="J122" i="135" s="1"/>
  <c r="G122" i="106"/>
  <c r="G122" i="135" s="1"/>
  <c r="D122" i="106"/>
  <c r="D122" i="135" s="1"/>
  <c r="J121" i="106"/>
  <c r="J121" i="135" s="1"/>
  <c r="G121" i="106"/>
  <c r="G121" i="135" s="1"/>
  <c r="D121" i="106"/>
  <c r="D121" i="135" s="1"/>
  <c r="J120" i="106"/>
  <c r="J120" i="135" s="1"/>
  <c r="G120" i="106"/>
  <c r="G120" i="135" s="1"/>
  <c r="D120" i="106"/>
  <c r="D120" i="135" s="1"/>
  <c r="J119" i="106"/>
  <c r="J119" i="135" s="1"/>
  <c r="G119" i="106"/>
  <c r="G119" i="135" s="1"/>
  <c r="D119" i="106"/>
  <c r="D119" i="135" s="1"/>
  <c r="J118" i="106"/>
  <c r="J118" i="135" s="1"/>
  <c r="G118" i="106"/>
  <c r="G118" i="135" s="1"/>
  <c r="D118" i="106"/>
  <c r="D118" i="135" s="1"/>
  <c r="J117" i="106"/>
  <c r="J117" i="135" s="1"/>
  <c r="G117" i="106"/>
  <c r="G117" i="135" s="1"/>
  <c r="D117" i="106"/>
  <c r="D117" i="135" s="1"/>
  <c r="K116" i="106"/>
  <c r="H116"/>
  <c r="E116"/>
  <c r="K125"/>
  <c r="K125" i="135" s="1"/>
  <c r="H125" i="106"/>
  <c r="H125" i="135" s="1"/>
  <c r="E125" i="106"/>
  <c r="E125" i="135" s="1"/>
  <c r="K124" i="106"/>
  <c r="K124" i="135" s="1"/>
  <c r="H124" i="106"/>
  <c r="H124" i="135" s="1"/>
  <c r="E124" i="106"/>
  <c r="E124" i="135" s="1"/>
  <c r="K123" i="106"/>
  <c r="K123" i="135" s="1"/>
  <c r="H123" i="106"/>
  <c r="H123" i="135" s="1"/>
  <c r="E123" i="106"/>
  <c r="E123" i="135" s="1"/>
  <c r="K122" i="106"/>
  <c r="K122" i="135" s="1"/>
  <c r="H122" i="106"/>
  <c r="H122" i="135" s="1"/>
  <c r="E122" i="106"/>
  <c r="E122" i="135" s="1"/>
  <c r="K121" i="106"/>
  <c r="K121" i="135" s="1"/>
  <c r="H121" i="106"/>
  <c r="H121" i="135" s="1"/>
  <c r="E121" i="106"/>
  <c r="E121" i="135" s="1"/>
  <c r="K120" i="106"/>
  <c r="K120" i="135" s="1"/>
  <c r="H120" i="106"/>
  <c r="H120" i="135" s="1"/>
  <c r="E120" i="106"/>
  <c r="E120" i="135" s="1"/>
  <c r="K119" i="106"/>
  <c r="K119" i="135" s="1"/>
  <c r="H119" i="106"/>
  <c r="H119" i="135" s="1"/>
  <c r="E119" i="106"/>
  <c r="E119" i="135" s="1"/>
  <c r="K118" i="106"/>
  <c r="K118" i="135" s="1"/>
  <c r="H118" i="106"/>
  <c r="H118" i="135" s="1"/>
  <c r="E118" i="106"/>
  <c r="E118" i="135" s="1"/>
  <c r="K117" i="106"/>
  <c r="K117" i="135" s="1"/>
  <c r="H117" i="106"/>
  <c r="H117" i="135" s="1"/>
  <c r="E117" i="106"/>
  <c r="E117" i="135" s="1"/>
  <c r="I116" i="106"/>
  <c r="F116"/>
  <c r="C116"/>
  <c r="C116" i="135" s="1"/>
  <c r="J398" i="106"/>
  <c r="J398" i="135" s="1"/>
  <c r="G398" i="106"/>
  <c r="G398" i="135" s="1"/>
  <c r="D398" i="106"/>
  <c r="D398" i="135" s="1"/>
  <c r="J397" i="106"/>
  <c r="J397" i="135" s="1"/>
  <c r="G397" i="106"/>
  <c r="G397" i="135" s="1"/>
  <c r="D397" i="106"/>
  <c r="D397" i="135" s="1"/>
  <c r="J396" i="106"/>
  <c r="J396" i="135" s="1"/>
  <c r="G396" i="106"/>
  <c r="G396" i="135" s="1"/>
  <c r="D396" i="106"/>
  <c r="D396" i="135" s="1"/>
  <c r="J395" i="106"/>
  <c r="J395" i="135" s="1"/>
  <c r="G395" i="106"/>
  <c r="G395" i="135" s="1"/>
  <c r="D395" i="106"/>
  <c r="D395" i="135" s="1"/>
  <c r="J394" i="106"/>
  <c r="J394" i="135" s="1"/>
  <c r="G394" i="106"/>
  <c r="G394" i="135" s="1"/>
  <c r="D394" i="106"/>
  <c r="D394" i="135" s="1"/>
  <c r="J393" i="106"/>
  <c r="J393" i="135" s="1"/>
  <c r="G393" i="106"/>
  <c r="G393" i="135" s="1"/>
  <c r="D393" i="106"/>
  <c r="D393" i="135" s="1"/>
  <c r="J392" i="106"/>
  <c r="J392" i="135" s="1"/>
  <c r="G392" i="106"/>
  <c r="G392" i="135" s="1"/>
  <c r="D392" i="106"/>
  <c r="D392" i="135" s="1"/>
  <c r="J391" i="106"/>
  <c r="J391" i="135" s="1"/>
  <c r="G391" i="106"/>
  <c r="G391" i="135" s="1"/>
  <c r="D391" i="106"/>
  <c r="D391" i="135" s="1"/>
  <c r="J390" i="106"/>
  <c r="J390" i="135" s="1"/>
  <c r="G390" i="106"/>
  <c r="G390" i="135" s="1"/>
  <c r="D390" i="106"/>
  <c r="D390" i="135" s="1"/>
  <c r="K389" i="106"/>
  <c r="H389"/>
  <c r="E389"/>
  <c r="K398"/>
  <c r="K398" i="135" s="1"/>
  <c r="H398" i="106"/>
  <c r="H398" i="135" s="1"/>
  <c r="E398" i="106"/>
  <c r="E398" i="135" s="1"/>
  <c r="K397" i="106"/>
  <c r="K397" i="135" s="1"/>
  <c r="H397" i="106"/>
  <c r="H397" i="135" s="1"/>
  <c r="E397" i="106"/>
  <c r="E397" i="135" s="1"/>
  <c r="K396" i="106"/>
  <c r="K396" i="135" s="1"/>
  <c r="H396" i="106"/>
  <c r="H396" i="135" s="1"/>
  <c r="E396" i="106"/>
  <c r="E396" i="135" s="1"/>
  <c r="K395" i="106"/>
  <c r="K395" i="135" s="1"/>
  <c r="H395" i="106"/>
  <c r="H395" i="135" s="1"/>
  <c r="E395" i="106"/>
  <c r="E395" i="135" s="1"/>
  <c r="K394" i="106"/>
  <c r="K394" i="135" s="1"/>
  <c r="H394" i="106"/>
  <c r="H394" i="135" s="1"/>
  <c r="E394" i="106"/>
  <c r="E394" i="135" s="1"/>
  <c r="K393" i="106"/>
  <c r="K393" i="135" s="1"/>
  <c r="H393" i="106"/>
  <c r="H393" i="135" s="1"/>
  <c r="E393" i="106"/>
  <c r="E393" i="135" s="1"/>
  <c r="K392" i="106"/>
  <c r="K392" i="135" s="1"/>
  <c r="H392" i="106"/>
  <c r="H392" i="135" s="1"/>
  <c r="E392" i="106"/>
  <c r="E392" i="135" s="1"/>
  <c r="K391" i="106"/>
  <c r="K391" i="135" s="1"/>
  <c r="H391" i="106"/>
  <c r="H391" i="135" s="1"/>
  <c r="E391" i="106"/>
  <c r="E391" i="135" s="1"/>
  <c r="K390" i="106"/>
  <c r="K390" i="135" s="1"/>
  <c r="H390" i="106"/>
  <c r="H390" i="135" s="1"/>
  <c r="E390" i="106"/>
  <c r="E390" i="135" s="1"/>
  <c r="I389" i="106"/>
  <c r="F389"/>
  <c r="C389"/>
  <c r="C389" i="135" s="1"/>
  <c r="I398" i="106"/>
  <c r="I398" i="135" s="1"/>
  <c r="F398" i="106"/>
  <c r="F398" i="135" s="1"/>
  <c r="C398" i="106"/>
  <c r="C398" i="135" s="1"/>
  <c r="I397" i="106"/>
  <c r="I397" i="135" s="1"/>
  <c r="F397" i="106"/>
  <c r="F397" i="135" s="1"/>
  <c r="C397" i="106"/>
  <c r="C397" i="135" s="1"/>
  <c r="I396" i="106"/>
  <c r="I396" i="135" s="1"/>
  <c r="F396" i="106"/>
  <c r="F396" i="135" s="1"/>
  <c r="C396" i="106"/>
  <c r="C396" i="135" s="1"/>
  <c r="I395" i="106"/>
  <c r="I395" i="135" s="1"/>
  <c r="F395" i="106"/>
  <c r="F395" i="135" s="1"/>
  <c r="C395" i="106"/>
  <c r="C395" i="135" s="1"/>
  <c r="I394" i="106"/>
  <c r="I394" i="135" s="1"/>
  <c r="F394" i="106"/>
  <c r="F394" i="135" s="1"/>
  <c r="C394" i="106"/>
  <c r="C394" i="135" s="1"/>
  <c r="I393" i="106"/>
  <c r="I393" i="135" s="1"/>
  <c r="F393" i="106"/>
  <c r="F393" i="135" s="1"/>
  <c r="C393" i="106"/>
  <c r="C393" i="135" s="1"/>
  <c r="I392" i="106"/>
  <c r="I392" i="135" s="1"/>
  <c r="F392" i="106"/>
  <c r="F392" i="135" s="1"/>
  <c r="C392" i="106"/>
  <c r="C392" i="135" s="1"/>
  <c r="I391" i="106"/>
  <c r="I391" i="135" s="1"/>
  <c r="F391" i="106"/>
  <c r="F391" i="135" s="1"/>
  <c r="C391" i="106"/>
  <c r="C391" i="135" s="1"/>
  <c r="I390" i="106"/>
  <c r="I390" i="135" s="1"/>
  <c r="F390" i="106"/>
  <c r="F390" i="135" s="1"/>
  <c r="C390" i="106"/>
  <c r="C390" i="135" s="1"/>
  <c r="J389" i="106"/>
  <c r="G389"/>
  <c r="D389"/>
  <c r="K374"/>
  <c r="E374"/>
  <c r="G374"/>
  <c r="F209" i="67"/>
  <c r="G59" i="104"/>
  <c r="G64"/>
  <c r="H133" i="63"/>
  <c r="F153" i="104"/>
  <c r="H141" i="60"/>
  <c r="H53" i="63"/>
  <c r="G70" i="67"/>
  <c r="Q231" i="105"/>
  <c r="H70" i="68"/>
  <c r="H208" s="1"/>
  <c r="R240" i="105"/>
  <c r="H70" i="69"/>
  <c r="H208" s="1"/>
  <c r="R249" i="105"/>
  <c r="G70" i="75"/>
  <c r="G208" s="1"/>
  <c r="Q305" i="105"/>
  <c r="H70" i="88"/>
  <c r="H208" s="1"/>
  <c r="R406" i="105"/>
  <c r="G70" i="80"/>
  <c r="G208" s="1"/>
  <c r="Q424" i="105"/>
  <c r="H70" i="89"/>
  <c r="H208" s="1"/>
  <c r="R433" i="105"/>
  <c r="H70" i="90"/>
  <c r="H208" s="1"/>
  <c r="R442" i="105"/>
  <c r="H70" i="92"/>
  <c r="H208" s="1"/>
  <c r="R460" i="105"/>
  <c r="G70" i="96"/>
  <c r="G208" s="1"/>
  <c r="Q496" i="105"/>
  <c r="G70" i="32"/>
  <c r="Q8" i="105"/>
  <c r="H70" i="39"/>
  <c r="H208" s="1"/>
  <c r="R26" i="105"/>
  <c r="G70" i="44"/>
  <c r="G208" s="1"/>
  <c r="Q71" i="105"/>
  <c r="G70" i="47"/>
  <c r="G208" s="1"/>
  <c r="Q100" i="105"/>
  <c r="R109"/>
  <c r="H70" i="52"/>
  <c r="H208" s="1"/>
  <c r="R145" i="105"/>
  <c r="G70" i="60"/>
  <c r="G208" s="1"/>
  <c r="Q217" i="105"/>
  <c r="P293"/>
  <c r="P522"/>
  <c r="C115" i="7"/>
  <c r="C117" i="130" s="1"/>
  <c r="B117" i="105"/>
  <c r="G70" i="71"/>
  <c r="G208" s="1"/>
  <c r="Q268" i="105"/>
  <c r="G70" i="72"/>
  <c r="G208" s="1"/>
  <c r="Q277" i="105"/>
  <c r="G70" i="73"/>
  <c r="G208" s="1"/>
  <c r="Q287" i="105"/>
  <c r="H70" i="76"/>
  <c r="H208" s="1"/>
  <c r="R314" i="105"/>
  <c r="G70" i="78"/>
  <c r="G208" s="1"/>
  <c r="Q332" i="105"/>
  <c r="H70" i="81"/>
  <c r="H208" s="1"/>
  <c r="R341" i="105"/>
  <c r="G70" i="85"/>
  <c r="G208" s="1"/>
  <c r="Q379" i="105"/>
  <c r="G70" i="79"/>
  <c r="G208" s="1"/>
  <c r="Q415" i="105"/>
  <c r="G70" i="91"/>
  <c r="G208" s="1"/>
  <c r="Q451" i="105"/>
  <c r="G70" i="93"/>
  <c r="G208" s="1"/>
  <c r="Q469" i="105"/>
  <c r="I70" i="94"/>
  <c r="I208" s="1"/>
  <c r="S478" i="105"/>
  <c r="H70" i="95"/>
  <c r="H208" s="1"/>
  <c r="R487" i="105"/>
  <c r="G70" i="97"/>
  <c r="G208" s="1"/>
  <c r="Q505" i="105"/>
  <c r="G70" i="99"/>
  <c r="G208" s="1"/>
  <c r="Q525" i="105"/>
  <c r="G70" i="102"/>
  <c r="G208" s="1"/>
  <c r="Q554" i="105"/>
  <c r="G70" i="127"/>
  <c r="G208" s="1"/>
  <c r="Q581" i="105"/>
  <c r="G70" i="38"/>
  <c r="G208" s="1"/>
  <c r="Q17" i="105"/>
  <c r="G70" i="40"/>
  <c r="G208" s="1"/>
  <c r="Q35" i="105"/>
  <c r="G70" i="43"/>
  <c r="G208" s="1"/>
  <c r="Q62" i="105"/>
  <c r="H70" i="44"/>
  <c r="H208" s="1"/>
  <c r="R71" i="105"/>
  <c r="H70" i="49"/>
  <c r="H208" s="1"/>
  <c r="R118" i="105"/>
  <c r="G70" i="53"/>
  <c r="G208" s="1"/>
  <c r="Q154" i="105"/>
  <c r="H70" i="54"/>
  <c r="H208" s="1"/>
  <c r="R163" i="105"/>
  <c r="H70" i="56"/>
  <c r="H208" s="1"/>
  <c r="R181" i="105"/>
  <c r="I70" i="56"/>
  <c r="I208" s="1"/>
  <c r="S181" i="105"/>
  <c r="H70" i="57"/>
  <c r="H208" s="1"/>
  <c r="R190" i="105"/>
  <c r="G70" i="58"/>
  <c r="G208" s="1"/>
  <c r="Q199" i="105"/>
  <c r="P237"/>
  <c r="P106"/>
  <c r="P274"/>
  <c r="P284" s="1"/>
  <c r="C336" i="7"/>
  <c r="C340" i="130" s="1"/>
  <c r="B340" i="105"/>
  <c r="G70" i="70"/>
  <c r="G208" s="1"/>
  <c r="Q258" i="105"/>
  <c r="G70" i="74"/>
  <c r="G208" s="1"/>
  <c r="Q296" i="105"/>
  <c r="H70" i="75"/>
  <c r="H208" s="1"/>
  <c r="R305" i="105"/>
  <c r="G70" i="77"/>
  <c r="G208" s="1"/>
  <c r="Q323" i="105"/>
  <c r="H70" i="82"/>
  <c r="H208" s="1"/>
  <c r="R350" i="105"/>
  <c r="H70" i="86"/>
  <c r="H208" s="1"/>
  <c r="R388" i="105"/>
  <c r="G70" i="86"/>
  <c r="G208" s="1"/>
  <c r="Q388" i="105"/>
  <c r="H70" i="87"/>
  <c r="H208" s="1"/>
  <c r="R397" i="105"/>
  <c r="I70" i="92"/>
  <c r="I208" s="1"/>
  <c r="S460" i="105"/>
  <c r="H70" i="94"/>
  <c r="H208" s="1"/>
  <c r="R478" i="105"/>
  <c r="G70" i="98"/>
  <c r="G208" s="1"/>
  <c r="Q516" i="105"/>
  <c r="H70" i="128"/>
  <c r="H208" s="1"/>
  <c r="R590" i="105"/>
  <c r="H70" i="129"/>
  <c r="H208" s="1"/>
  <c r="R599" i="105"/>
  <c r="H70" i="40"/>
  <c r="H208" s="1"/>
  <c r="R35" i="105"/>
  <c r="H70" i="41"/>
  <c r="H208" s="1"/>
  <c r="R44" i="105"/>
  <c r="G70" i="42"/>
  <c r="G208" s="1"/>
  <c r="Q53" i="105"/>
  <c r="G70" i="46"/>
  <c r="G208" s="1"/>
  <c r="Q89" i="105"/>
  <c r="G70" i="50"/>
  <c r="G208" s="1"/>
  <c r="Q127" i="105"/>
  <c r="H70" i="51"/>
  <c r="H208" s="1"/>
  <c r="R136" i="105"/>
  <c r="H70" i="55"/>
  <c r="H208" s="1"/>
  <c r="R172" i="105"/>
  <c r="P560"/>
  <c r="O97"/>
  <c r="J70" i="84"/>
  <c r="I140" i="60"/>
  <c r="T120" s="1"/>
  <c r="I53"/>
  <c r="I207"/>
  <c r="I141" i="59"/>
  <c r="H59" i="60"/>
  <c r="H64"/>
  <c r="J48"/>
  <c r="I59" i="59"/>
  <c r="I64"/>
  <c r="H141" i="127"/>
  <c r="H59" i="59"/>
  <c r="H64"/>
  <c r="I53" i="58"/>
  <c r="I140"/>
  <c r="I141" s="1"/>
  <c r="I207"/>
  <c r="J48"/>
  <c r="I141" i="46"/>
  <c r="S120" i="58"/>
  <c r="H59"/>
  <c r="H64"/>
  <c r="I59" i="57"/>
  <c r="J59" s="1"/>
  <c r="I64"/>
  <c r="J59" i="56"/>
  <c r="I59" i="55"/>
  <c r="I64"/>
  <c r="I59" i="54"/>
  <c r="I64"/>
  <c r="I141"/>
  <c r="H141" i="53"/>
  <c r="I140"/>
  <c r="I141" s="1"/>
  <c r="I53"/>
  <c r="H59"/>
  <c r="H64"/>
  <c r="I207"/>
  <c r="I141" i="49"/>
  <c r="I59" i="52"/>
  <c r="I64"/>
  <c r="H141" i="50"/>
  <c r="T120" i="51"/>
  <c r="I59"/>
  <c r="I64"/>
  <c r="I207" i="50"/>
  <c r="J48"/>
  <c r="H59"/>
  <c r="H64"/>
  <c r="I140"/>
  <c r="I141" s="1"/>
  <c r="I53"/>
  <c r="I59" i="49"/>
  <c r="I64"/>
  <c r="S120" i="47"/>
  <c r="I59" i="48"/>
  <c r="I64"/>
  <c r="H59" i="47"/>
  <c r="H64"/>
  <c r="T120"/>
  <c r="I59"/>
  <c r="I64"/>
  <c r="H141" i="46"/>
  <c r="I59"/>
  <c r="I64"/>
  <c r="H59"/>
  <c r="H64"/>
  <c r="H59" i="45"/>
  <c r="H64"/>
  <c r="I140"/>
  <c r="T120" s="1"/>
  <c r="I53"/>
  <c r="I207"/>
  <c r="I141"/>
  <c r="T120" i="44"/>
  <c r="I59"/>
  <c r="I64"/>
  <c r="I140" i="43"/>
  <c r="I141" s="1"/>
  <c r="I53"/>
  <c r="H59"/>
  <c r="H64"/>
  <c r="I207"/>
  <c r="J48"/>
  <c r="H141"/>
  <c r="I207" i="42"/>
  <c r="J48"/>
  <c r="H59"/>
  <c r="H64"/>
  <c r="I140"/>
  <c r="I141" s="1"/>
  <c r="I53"/>
  <c r="I59" i="41"/>
  <c r="J59" s="1"/>
  <c r="I64"/>
  <c r="I207" i="40"/>
  <c r="J48"/>
  <c r="I140"/>
  <c r="I53"/>
  <c r="S120" i="38"/>
  <c r="I140" i="39"/>
  <c r="I141" s="1"/>
  <c r="I53"/>
  <c r="I207"/>
  <c r="J48"/>
  <c r="I59" i="38"/>
  <c r="I64"/>
  <c r="H59"/>
  <c r="H64"/>
  <c r="I207" i="32"/>
  <c r="J48"/>
  <c r="H59"/>
  <c r="H64"/>
  <c r="I140"/>
  <c r="I141" s="1"/>
  <c r="I53"/>
  <c r="I59" i="129"/>
  <c r="J59" s="1"/>
  <c r="I64"/>
  <c r="I59" i="128"/>
  <c r="J59" s="1"/>
  <c r="I64"/>
  <c r="I141"/>
  <c r="H59" i="127"/>
  <c r="H64"/>
  <c r="I140"/>
  <c r="I141" s="1"/>
  <c r="I53"/>
  <c r="I207"/>
  <c r="J48"/>
  <c r="S120" i="97"/>
  <c r="I140" i="109"/>
  <c r="T120" s="1"/>
  <c r="I53"/>
  <c r="I207"/>
  <c r="I141" i="87"/>
  <c r="T120" i="86"/>
  <c r="T120" i="97"/>
  <c r="J48" i="109"/>
  <c r="H59"/>
  <c r="H64"/>
  <c r="H59" i="108"/>
  <c r="H64"/>
  <c r="S120"/>
  <c r="I59"/>
  <c r="I64"/>
  <c r="I140" i="102"/>
  <c r="I141" s="1"/>
  <c r="I53"/>
  <c r="I207"/>
  <c r="H59"/>
  <c r="H64"/>
  <c r="H59" i="101"/>
  <c r="H64"/>
  <c r="I207"/>
  <c r="J48"/>
  <c r="I140"/>
  <c r="I141" s="1"/>
  <c r="I53"/>
  <c r="H59" i="100"/>
  <c r="H64"/>
  <c r="I141"/>
  <c r="I59"/>
  <c r="I64"/>
  <c r="H59" i="99"/>
  <c r="H64"/>
  <c r="S120" i="98"/>
  <c r="S120" i="99"/>
  <c r="I140"/>
  <c r="T120" s="1"/>
  <c r="I53"/>
  <c r="I207"/>
  <c r="J48"/>
  <c r="H59" i="98"/>
  <c r="H64"/>
  <c r="I140"/>
  <c r="I141" s="1"/>
  <c r="I53"/>
  <c r="I207"/>
  <c r="J48"/>
  <c r="I141" i="69"/>
  <c r="H59" i="97"/>
  <c r="H64"/>
  <c r="I59"/>
  <c r="I64"/>
  <c r="H59" i="96"/>
  <c r="H64"/>
  <c r="I140"/>
  <c r="T120" s="1"/>
  <c r="I53"/>
  <c r="I207"/>
  <c r="J48"/>
  <c r="H141"/>
  <c r="I59" i="95"/>
  <c r="I64"/>
  <c r="J59" i="94"/>
  <c r="H59" i="93"/>
  <c r="H64"/>
  <c r="I140"/>
  <c r="T120" s="1"/>
  <c r="I53"/>
  <c r="I207"/>
  <c r="J59" i="92"/>
  <c r="I207" i="91"/>
  <c r="J48"/>
  <c r="H59"/>
  <c r="H64"/>
  <c r="I140"/>
  <c r="T120" s="1"/>
  <c r="I53"/>
  <c r="I59" i="90"/>
  <c r="J59" s="1"/>
  <c r="I64"/>
  <c r="I59" i="89"/>
  <c r="J59" s="1"/>
  <c r="I64"/>
  <c r="H59" i="80"/>
  <c r="H64"/>
  <c r="I140"/>
  <c r="T120" s="1"/>
  <c r="I53"/>
  <c r="I207"/>
  <c r="S120"/>
  <c r="I140" i="79"/>
  <c r="I141" s="1"/>
  <c r="I53"/>
  <c r="H141" i="85"/>
  <c r="H59" i="79"/>
  <c r="H64"/>
  <c r="I207"/>
  <c r="I59" i="88"/>
  <c r="J59" s="1"/>
  <c r="I64"/>
  <c r="T120"/>
  <c r="I59" i="87"/>
  <c r="J59" s="1"/>
  <c r="I64"/>
  <c r="I59" i="86"/>
  <c r="I64"/>
  <c r="H59" i="85"/>
  <c r="H64"/>
  <c r="I59"/>
  <c r="I64"/>
  <c r="H141" i="74"/>
  <c r="I140" i="82"/>
  <c r="T120" s="1"/>
  <c r="I53"/>
  <c r="I207"/>
  <c r="J48"/>
  <c r="I59" i="81"/>
  <c r="J59" s="1"/>
  <c r="I64"/>
  <c r="T120"/>
  <c r="I140" i="78"/>
  <c r="I141" s="1"/>
  <c r="I53"/>
  <c r="H59"/>
  <c r="H64"/>
  <c r="I207"/>
  <c r="J48"/>
  <c r="S120"/>
  <c r="I207" i="77"/>
  <c r="H59"/>
  <c r="H64"/>
  <c r="J48"/>
  <c r="S120"/>
  <c r="I53"/>
  <c r="I140"/>
  <c r="I141" s="1"/>
  <c r="I141" i="75"/>
  <c r="I59" i="76"/>
  <c r="I64"/>
  <c r="I59" i="75"/>
  <c r="J59" s="1"/>
  <c r="I64"/>
  <c r="I53" i="74"/>
  <c r="I140"/>
  <c r="T120" s="1"/>
  <c r="H141" i="73"/>
  <c r="H59" i="74"/>
  <c r="H64"/>
  <c r="I207"/>
  <c r="J48"/>
  <c r="I140" i="73"/>
  <c r="T120" s="1"/>
  <c r="I53"/>
  <c r="H141" i="72"/>
  <c r="I207" i="73"/>
  <c r="J48"/>
  <c r="H59"/>
  <c r="H64"/>
  <c r="I140" i="72"/>
  <c r="T120" s="1"/>
  <c r="I53"/>
  <c r="I207"/>
  <c r="J48"/>
  <c r="H59"/>
  <c r="H64"/>
  <c r="H141" i="71"/>
  <c r="H59"/>
  <c r="H64"/>
  <c r="I140"/>
  <c r="I141" s="1"/>
  <c r="I53"/>
  <c r="I207"/>
  <c r="J48"/>
  <c r="H141" i="70"/>
  <c r="H59"/>
  <c r="H64"/>
  <c r="I140"/>
  <c r="T120" s="1"/>
  <c r="I53"/>
  <c r="I207"/>
  <c r="J48"/>
  <c r="I59" i="69"/>
  <c r="J59" s="1"/>
  <c r="I64"/>
  <c r="I59" i="68"/>
  <c r="J59" s="1"/>
  <c r="I64"/>
  <c r="I140" i="67"/>
  <c r="I141" s="1"/>
  <c r="I53"/>
  <c r="H59"/>
  <c r="H64"/>
  <c r="I208"/>
  <c r="J48"/>
  <c r="A132" i="114"/>
  <c r="B123"/>
  <c r="C123" s="1"/>
  <c r="B124" i="113"/>
  <c r="C124" s="1"/>
  <c r="A133"/>
  <c r="A354" i="7"/>
  <c r="B345"/>
  <c r="A133"/>
  <c r="B124"/>
  <c r="I141" i="104" l="1"/>
  <c r="J141" s="1"/>
  <c r="J48" s="1"/>
  <c r="I426" i="135"/>
  <c r="K426"/>
  <c r="J426"/>
  <c r="H426"/>
  <c r="G426"/>
  <c r="I157"/>
  <c r="K157"/>
  <c r="J157"/>
  <c r="H157"/>
  <c r="G157"/>
  <c r="S359" i="105"/>
  <c r="S365" s="1"/>
  <c r="I70" i="83"/>
  <c r="I208" s="1"/>
  <c r="J59"/>
  <c r="J59" i="100"/>
  <c r="P551" i="105"/>
  <c r="I133" i="63"/>
  <c r="J133" s="1"/>
  <c r="J48" s="1"/>
  <c r="H59" i="104"/>
  <c r="H142" s="1"/>
  <c r="T120" i="40"/>
  <c r="T120" i="127"/>
  <c r="I141" i="80"/>
  <c r="I141" i="60"/>
  <c r="T120" i="39"/>
  <c r="I141" i="99"/>
  <c r="P512" i="105"/>
  <c r="O607"/>
  <c r="P606"/>
  <c r="K796" i="106"/>
  <c r="H796"/>
  <c r="G142" i="104"/>
  <c r="P97" i="105"/>
  <c r="I141" i="72"/>
  <c r="G349" i="106"/>
  <c r="J70" i="92"/>
  <c r="F349" i="106"/>
  <c r="H64" i="104"/>
  <c r="H70" s="1"/>
  <c r="I796" i="106"/>
  <c r="I141" i="70"/>
  <c r="J70" i="94"/>
  <c r="F796" i="106"/>
  <c r="P376" i="105"/>
  <c r="H349" i="106"/>
  <c r="E796"/>
  <c r="J796"/>
  <c r="T120" i="67"/>
  <c r="I127" i="106"/>
  <c r="E908" i="111"/>
  <c r="J127" i="106"/>
  <c r="I141" i="82"/>
  <c r="I141" i="93"/>
  <c r="B165" i="135"/>
  <c r="B126" i="130"/>
  <c r="B460" i="135"/>
  <c r="B349" i="130"/>
  <c r="R142" i="105"/>
  <c r="Q59"/>
  <c r="R605"/>
  <c r="R484"/>
  <c r="Q394"/>
  <c r="Q329"/>
  <c r="Q264"/>
  <c r="R196"/>
  <c r="R169"/>
  <c r="R77"/>
  <c r="Q23"/>
  <c r="Q531"/>
  <c r="S484"/>
  <c r="Q421"/>
  <c r="Q338"/>
  <c r="Q283"/>
  <c r="Q223"/>
  <c r="R448"/>
  <c r="R412"/>
  <c r="R246"/>
  <c r="Q133"/>
  <c r="R50"/>
  <c r="R596"/>
  <c r="S466"/>
  <c r="R394"/>
  <c r="R311"/>
  <c r="S187"/>
  <c r="Q160"/>
  <c r="Q68"/>
  <c r="Q587"/>
  <c r="Q511"/>
  <c r="Q475"/>
  <c r="R320"/>
  <c r="R151"/>
  <c r="Q77"/>
  <c r="Q502"/>
  <c r="R439"/>
  <c r="Q311"/>
  <c r="R178"/>
  <c r="Q95"/>
  <c r="R41"/>
  <c r="R403"/>
  <c r="R356"/>
  <c r="Q302"/>
  <c r="Q205"/>
  <c r="R187"/>
  <c r="R124"/>
  <c r="Q41"/>
  <c r="R493"/>
  <c r="Q457"/>
  <c r="R347"/>
  <c r="R32"/>
  <c r="R466"/>
  <c r="Q430"/>
  <c r="R255"/>
  <c r="G370" i="111"/>
  <c r="H370"/>
  <c r="C559"/>
  <c r="C448" i="135"/>
  <c r="C189" i="111"/>
  <c r="C153" i="135"/>
  <c r="F89" i="104"/>
  <c r="G70"/>
  <c r="G143" s="1"/>
  <c r="I87"/>
  <c r="K349" i="106"/>
  <c r="I349"/>
  <c r="K370" i="111"/>
  <c r="E370"/>
  <c r="D796" i="106"/>
  <c r="G796"/>
  <c r="G147" i="104"/>
  <c r="G153" s="1"/>
  <c r="D349" i="106"/>
  <c r="B165"/>
  <c r="B204" i="111"/>
  <c r="B460" i="106"/>
  <c r="B574" i="111"/>
  <c r="Q857"/>
  <c r="F908"/>
  <c r="T857"/>
  <c r="I908"/>
  <c r="R857"/>
  <c r="G908"/>
  <c r="S446"/>
  <c r="H467"/>
  <c r="V446"/>
  <c r="K467"/>
  <c r="Q446"/>
  <c r="F467"/>
  <c r="R446"/>
  <c r="G467"/>
  <c r="K111"/>
  <c r="V111" s="1"/>
  <c r="H111"/>
  <c r="S111" s="1"/>
  <c r="E111"/>
  <c r="K110"/>
  <c r="V110" s="1"/>
  <c r="H110"/>
  <c r="S110" s="1"/>
  <c r="E110"/>
  <c r="K109"/>
  <c r="V109" s="1"/>
  <c r="H109"/>
  <c r="S109" s="1"/>
  <c r="E109"/>
  <c r="K108"/>
  <c r="V108" s="1"/>
  <c r="H108"/>
  <c r="S108" s="1"/>
  <c r="E108"/>
  <c r="K107"/>
  <c r="V107" s="1"/>
  <c r="H107"/>
  <c r="S107" s="1"/>
  <c r="E107"/>
  <c r="K106"/>
  <c r="V106" s="1"/>
  <c r="H106"/>
  <c r="S106" s="1"/>
  <c r="E106"/>
  <c r="J111"/>
  <c r="U111" s="1"/>
  <c r="G111"/>
  <c r="R111" s="1"/>
  <c r="J110"/>
  <c r="U110" s="1"/>
  <c r="G110"/>
  <c r="R110" s="1"/>
  <c r="J109"/>
  <c r="U109" s="1"/>
  <c r="G109"/>
  <c r="R109" s="1"/>
  <c r="J108"/>
  <c r="U108" s="1"/>
  <c r="G108"/>
  <c r="R108" s="1"/>
  <c r="J107"/>
  <c r="U107" s="1"/>
  <c r="G107"/>
  <c r="R107" s="1"/>
  <c r="J106"/>
  <c r="U106" s="1"/>
  <c r="G106"/>
  <c r="R106" s="1"/>
  <c r="F111"/>
  <c r="Q111" s="1"/>
  <c r="F110"/>
  <c r="Q110" s="1"/>
  <c r="F109"/>
  <c r="Q109" s="1"/>
  <c r="F108"/>
  <c r="Q108" s="1"/>
  <c r="F107"/>
  <c r="Q107" s="1"/>
  <c r="F106"/>
  <c r="Q106" s="1"/>
  <c r="I111"/>
  <c r="T111" s="1"/>
  <c r="I110"/>
  <c r="T110" s="1"/>
  <c r="I109"/>
  <c r="T109" s="1"/>
  <c r="I108"/>
  <c r="T108" s="1"/>
  <c r="I107"/>
  <c r="T107" s="1"/>
  <c r="I106"/>
  <c r="T106" s="1"/>
  <c r="S630"/>
  <c r="H846"/>
  <c r="T630"/>
  <c r="I846"/>
  <c r="T919"/>
  <c r="U919"/>
  <c r="V919"/>
  <c r="T478"/>
  <c r="I619"/>
  <c r="U478"/>
  <c r="J619"/>
  <c r="S384"/>
  <c r="H435"/>
  <c r="E467"/>
  <c r="I370"/>
  <c r="V857"/>
  <c r="K908"/>
  <c r="K21"/>
  <c r="H21"/>
  <c r="E21"/>
  <c r="K20"/>
  <c r="V20" s="1"/>
  <c r="H20"/>
  <c r="S20" s="1"/>
  <c r="E20"/>
  <c r="K19"/>
  <c r="H19"/>
  <c r="E19"/>
  <c r="K18"/>
  <c r="H18"/>
  <c r="E18"/>
  <c r="K17"/>
  <c r="H17"/>
  <c r="E17"/>
  <c r="K16"/>
  <c r="H16"/>
  <c r="E16"/>
  <c r="J21"/>
  <c r="G21"/>
  <c r="J20"/>
  <c r="U20" s="1"/>
  <c r="G20"/>
  <c r="R20" s="1"/>
  <c r="J19"/>
  <c r="G19"/>
  <c r="J18"/>
  <c r="G18"/>
  <c r="J17"/>
  <c r="G17"/>
  <c r="J16"/>
  <c r="G16"/>
  <c r="F21"/>
  <c r="F20"/>
  <c r="Q20" s="1"/>
  <c r="F19"/>
  <c r="F18"/>
  <c r="F17"/>
  <c r="F16"/>
  <c r="I21"/>
  <c r="I20"/>
  <c r="T20" s="1"/>
  <c r="I19"/>
  <c r="I18"/>
  <c r="I17"/>
  <c r="I16"/>
  <c r="R630"/>
  <c r="G846"/>
  <c r="Q630"/>
  <c r="F846"/>
  <c r="R919"/>
  <c r="S919"/>
  <c r="V478"/>
  <c r="K619"/>
  <c r="S478"/>
  <c r="H619"/>
  <c r="Q478"/>
  <c r="F619"/>
  <c r="R478"/>
  <c r="G619"/>
  <c r="K51"/>
  <c r="V51" s="1"/>
  <c r="H51"/>
  <c r="S51" s="1"/>
  <c r="E51"/>
  <c r="K50"/>
  <c r="V50" s="1"/>
  <c r="H50"/>
  <c r="S50" s="1"/>
  <c r="E50"/>
  <c r="K49"/>
  <c r="V49" s="1"/>
  <c r="H49"/>
  <c r="S49" s="1"/>
  <c r="E49"/>
  <c r="K48"/>
  <c r="V48" s="1"/>
  <c r="H48"/>
  <c r="S48" s="1"/>
  <c r="E48"/>
  <c r="K47"/>
  <c r="V47" s="1"/>
  <c r="H47"/>
  <c r="S47" s="1"/>
  <c r="E47"/>
  <c r="K46"/>
  <c r="V46" s="1"/>
  <c r="H46"/>
  <c r="S46" s="1"/>
  <c r="E46"/>
  <c r="J51"/>
  <c r="U51" s="1"/>
  <c r="G51"/>
  <c r="R51" s="1"/>
  <c r="J50"/>
  <c r="U50" s="1"/>
  <c r="G50"/>
  <c r="R50" s="1"/>
  <c r="J49"/>
  <c r="U49" s="1"/>
  <c r="G49"/>
  <c r="R49" s="1"/>
  <c r="J48"/>
  <c r="U48" s="1"/>
  <c r="G48"/>
  <c r="R48" s="1"/>
  <c r="J47"/>
  <c r="U47" s="1"/>
  <c r="G47"/>
  <c r="R47" s="1"/>
  <c r="J46"/>
  <c r="U46" s="1"/>
  <c r="G46"/>
  <c r="R46" s="1"/>
  <c r="F51"/>
  <c r="Q51" s="1"/>
  <c r="F50"/>
  <c r="Q50" s="1"/>
  <c r="F49"/>
  <c r="Q49" s="1"/>
  <c r="F48"/>
  <c r="Q48" s="1"/>
  <c r="F47"/>
  <c r="Q47" s="1"/>
  <c r="F46"/>
  <c r="Q46" s="1"/>
  <c r="I51"/>
  <c r="T51" s="1"/>
  <c r="I50"/>
  <c r="T50" s="1"/>
  <c r="I49"/>
  <c r="T49" s="1"/>
  <c r="I48"/>
  <c r="T48" s="1"/>
  <c r="I47"/>
  <c r="T47" s="1"/>
  <c r="I46"/>
  <c r="T46" s="1"/>
  <c r="U384"/>
  <c r="J435"/>
  <c r="V384"/>
  <c r="K435"/>
  <c r="T384"/>
  <c r="I435"/>
  <c r="E127" i="106"/>
  <c r="D127"/>
  <c r="E846" i="111"/>
  <c r="E619"/>
  <c r="K66"/>
  <c r="V66" s="1"/>
  <c r="H66"/>
  <c r="S66" s="1"/>
  <c r="E66"/>
  <c r="K65"/>
  <c r="V65" s="1"/>
  <c r="H65"/>
  <c r="S65" s="1"/>
  <c r="E65"/>
  <c r="K64"/>
  <c r="V64" s="1"/>
  <c r="H64"/>
  <c r="S64" s="1"/>
  <c r="E64"/>
  <c r="K63"/>
  <c r="V63" s="1"/>
  <c r="H63"/>
  <c r="S63" s="1"/>
  <c r="E63"/>
  <c r="K62"/>
  <c r="V62" s="1"/>
  <c r="H62"/>
  <c r="S62" s="1"/>
  <c r="E62"/>
  <c r="K61"/>
  <c r="V61" s="1"/>
  <c r="H61"/>
  <c r="S61" s="1"/>
  <c r="E61"/>
  <c r="J66"/>
  <c r="U66" s="1"/>
  <c r="G66"/>
  <c r="R66" s="1"/>
  <c r="J65"/>
  <c r="U65" s="1"/>
  <c r="G65"/>
  <c r="R65" s="1"/>
  <c r="J64"/>
  <c r="U64" s="1"/>
  <c r="G64"/>
  <c r="R64" s="1"/>
  <c r="J63"/>
  <c r="U63" s="1"/>
  <c r="G63"/>
  <c r="R63" s="1"/>
  <c r="J62"/>
  <c r="U62" s="1"/>
  <c r="G62"/>
  <c r="R62" s="1"/>
  <c r="J61"/>
  <c r="U61" s="1"/>
  <c r="G61"/>
  <c r="R61" s="1"/>
  <c r="F66"/>
  <c r="Q66" s="1"/>
  <c r="F65"/>
  <c r="Q65" s="1"/>
  <c r="F64"/>
  <c r="Q64" s="1"/>
  <c r="F63"/>
  <c r="Q63" s="1"/>
  <c r="F62"/>
  <c r="Q62" s="1"/>
  <c r="F61"/>
  <c r="Q61" s="1"/>
  <c r="I66"/>
  <c r="T66" s="1"/>
  <c r="I65"/>
  <c r="T65" s="1"/>
  <c r="I64"/>
  <c r="T64" s="1"/>
  <c r="I63"/>
  <c r="T63" s="1"/>
  <c r="I62"/>
  <c r="T62" s="1"/>
  <c r="I61"/>
  <c r="T61" s="1"/>
  <c r="U857"/>
  <c r="J908"/>
  <c r="S857"/>
  <c r="H908"/>
  <c r="T446"/>
  <c r="I467"/>
  <c r="U446"/>
  <c r="J467"/>
  <c r="U630"/>
  <c r="J846"/>
  <c r="V630"/>
  <c r="K846"/>
  <c r="Q919"/>
  <c r="I954"/>
  <c r="T954" s="1"/>
  <c r="F954"/>
  <c r="Q954" s="1"/>
  <c r="I953"/>
  <c r="T953" s="1"/>
  <c r="F953"/>
  <c r="Q953" s="1"/>
  <c r="I952"/>
  <c r="T952" s="1"/>
  <c r="F952"/>
  <c r="Q952" s="1"/>
  <c r="I951"/>
  <c r="T951" s="1"/>
  <c r="F951"/>
  <c r="Q951" s="1"/>
  <c r="I950"/>
  <c r="T950" s="1"/>
  <c r="F950"/>
  <c r="Q950" s="1"/>
  <c r="I949"/>
  <c r="T949" s="1"/>
  <c r="F949"/>
  <c r="Q949" s="1"/>
  <c r="H954"/>
  <c r="S954" s="1"/>
  <c r="H953"/>
  <c r="S953" s="1"/>
  <c r="H952"/>
  <c r="S952" s="1"/>
  <c r="H951"/>
  <c r="S951" s="1"/>
  <c r="H950"/>
  <c r="S950" s="1"/>
  <c r="H949"/>
  <c r="S949" s="1"/>
  <c r="K954"/>
  <c r="V954" s="1"/>
  <c r="G954"/>
  <c r="R954" s="1"/>
  <c r="K953"/>
  <c r="V953" s="1"/>
  <c r="G953"/>
  <c r="R953" s="1"/>
  <c r="K952"/>
  <c r="V952" s="1"/>
  <c r="G952"/>
  <c r="R952" s="1"/>
  <c r="K951"/>
  <c r="V951" s="1"/>
  <c r="G951"/>
  <c r="R951" s="1"/>
  <c r="K950"/>
  <c r="V950" s="1"/>
  <c r="G950"/>
  <c r="R950" s="1"/>
  <c r="K949"/>
  <c r="V949" s="1"/>
  <c r="G949"/>
  <c r="R949" s="1"/>
  <c r="J954"/>
  <c r="U954" s="1"/>
  <c r="E953"/>
  <c r="J951"/>
  <c r="U951" s="1"/>
  <c r="E950"/>
  <c r="E954"/>
  <c r="J952"/>
  <c r="U952" s="1"/>
  <c r="E951"/>
  <c r="J949"/>
  <c r="U949" s="1"/>
  <c r="J953"/>
  <c r="U953" s="1"/>
  <c r="E949"/>
  <c r="E952"/>
  <c r="J950"/>
  <c r="U950" s="1"/>
  <c r="E435"/>
  <c r="R384"/>
  <c r="G435"/>
  <c r="Q384"/>
  <c r="F435"/>
  <c r="K127" i="106"/>
  <c r="J349"/>
  <c r="F370" i="111"/>
  <c r="J370"/>
  <c r="C117" i="105"/>
  <c r="C153" i="106"/>
  <c r="F676"/>
  <c r="H676"/>
  <c r="G676"/>
  <c r="F727"/>
  <c r="H727"/>
  <c r="E349"/>
  <c r="H127"/>
  <c r="K495"/>
  <c r="J495"/>
  <c r="I495"/>
  <c r="E676"/>
  <c r="D676"/>
  <c r="J727"/>
  <c r="E727"/>
  <c r="G127"/>
  <c r="H495"/>
  <c r="G495"/>
  <c r="F495"/>
  <c r="C340" i="105"/>
  <c r="C448" i="106"/>
  <c r="I676"/>
  <c r="K676"/>
  <c r="J676"/>
  <c r="G727"/>
  <c r="D727"/>
  <c r="I727"/>
  <c r="K727"/>
  <c r="F127"/>
  <c r="E495"/>
  <c r="D495"/>
  <c r="I53" i="104"/>
  <c r="G209" i="67"/>
  <c r="H59" i="63"/>
  <c r="H134" s="1"/>
  <c r="H64"/>
  <c r="G208" i="32"/>
  <c r="I53" i="63"/>
  <c r="J70" i="56"/>
  <c r="T120" i="58"/>
  <c r="P265" i="105"/>
  <c r="C124" i="7"/>
  <c r="C126" i="130" s="1"/>
  <c r="B126" i="105"/>
  <c r="C345" i="7"/>
  <c r="C349" i="130" s="1"/>
  <c r="B349" i="105"/>
  <c r="H70" i="71"/>
  <c r="H208" s="1"/>
  <c r="R268" i="105"/>
  <c r="H70" i="72"/>
  <c r="H208" s="1"/>
  <c r="R277" i="105"/>
  <c r="I70" i="75"/>
  <c r="I208" s="1"/>
  <c r="S305" i="105"/>
  <c r="H70" i="77"/>
  <c r="H208" s="1"/>
  <c r="R323" i="105"/>
  <c r="H70" i="78"/>
  <c r="H208" s="1"/>
  <c r="R332" i="105"/>
  <c r="H70" i="85"/>
  <c r="H208" s="1"/>
  <c r="R379" i="105"/>
  <c r="H70" i="80"/>
  <c r="H208" s="1"/>
  <c r="R424" i="105"/>
  <c r="H70" i="93"/>
  <c r="H208" s="1"/>
  <c r="R469" i="105"/>
  <c r="H70" i="97"/>
  <c r="H208" s="1"/>
  <c r="R505" i="105"/>
  <c r="I70" i="100"/>
  <c r="I208" s="1"/>
  <c r="S534" i="105"/>
  <c r="H70" i="100"/>
  <c r="H208" s="1"/>
  <c r="R534" i="105"/>
  <c r="H70" i="101"/>
  <c r="H208" s="1"/>
  <c r="R543" i="105"/>
  <c r="H70" i="109"/>
  <c r="H208" s="1"/>
  <c r="R572" i="105"/>
  <c r="I70" i="129"/>
  <c r="I208" s="1"/>
  <c r="S599" i="105"/>
  <c r="H70" i="43"/>
  <c r="H208" s="1"/>
  <c r="R62" i="105"/>
  <c r="I70" i="46"/>
  <c r="I208" s="1"/>
  <c r="S89" i="105"/>
  <c r="I70" i="47"/>
  <c r="I208" s="1"/>
  <c r="S100" i="105"/>
  <c r="H70" i="47"/>
  <c r="H208" s="1"/>
  <c r="R100" i="105"/>
  <c r="H70" i="50"/>
  <c r="H208" s="1"/>
  <c r="R127" i="105"/>
  <c r="H70" i="53"/>
  <c r="H208" s="1"/>
  <c r="R154" i="105"/>
  <c r="I70" i="54"/>
  <c r="I208" s="1"/>
  <c r="S163" i="105"/>
  <c r="I70" i="57"/>
  <c r="I208" s="1"/>
  <c r="S190" i="105"/>
  <c r="H70" i="58"/>
  <c r="H208" s="1"/>
  <c r="R199" i="105"/>
  <c r="Q522"/>
  <c r="Q237"/>
  <c r="I70" i="68"/>
  <c r="I208" s="1"/>
  <c r="S240" i="105"/>
  <c r="H70" i="70"/>
  <c r="H208" s="1"/>
  <c r="R258" i="105"/>
  <c r="I70" i="76"/>
  <c r="I208" s="1"/>
  <c r="S314" i="105"/>
  <c r="I70" i="81"/>
  <c r="I208" s="1"/>
  <c r="S341" i="105"/>
  <c r="I70" i="86"/>
  <c r="I208" s="1"/>
  <c r="S388" i="105"/>
  <c r="I70" i="88"/>
  <c r="I208" s="1"/>
  <c r="S406" i="105"/>
  <c r="H70" i="79"/>
  <c r="H208" s="1"/>
  <c r="R415" i="105"/>
  <c r="I70" i="89"/>
  <c r="I208" s="1"/>
  <c r="S433" i="105"/>
  <c r="H70" i="91"/>
  <c r="H208" s="1"/>
  <c r="R451" i="105"/>
  <c r="H70" i="96"/>
  <c r="H208" s="1"/>
  <c r="R496" i="105"/>
  <c r="H70" i="102"/>
  <c r="H208" s="1"/>
  <c r="R554" i="105"/>
  <c r="H70" i="38"/>
  <c r="H208" s="1"/>
  <c r="R17" i="105"/>
  <c r="H70" i="42"/>
  <c r="H208" s="1"/>
  <c r="R53" i="105"/>
  <c r="H70" i="45"/>
  <c r="H208" s="1"/>
  <c r="R80" i="105"/>
  <c r="S109"/>
  <c r="I70" i="49"/>
  <c r="I208" s="1"/>
  <c r="S118" i="105"/>
  <c r="I70" i="52"/>
  <c r="I208" s="1"/>
  <c r="S145" i="105"/>
  <c r="I70" i="55"/>
  <c r="I208" s="1"/>
  <c r="S172" i="105"/>
  <c r="H70" i="59"/>
  <c r="H208" s="1"/>
  <c r="R208" i="105"/>
  <c r="I70" i="59"/>
  <c r="I208" s="1"/>
  <c r="S208" i="105"/>
  <c r="H70" i="60"/>
  <c r="H208" s="1"/>
  <c r="R217" i="105"/>
  <c r="Q385"/>
  <c r="Q274"/>
  <c r="Q284" s="1"/>
  <c r="H70" i="67"/>
  <c r="R231" i="105"/>
  <c r="I70" i="69"/>
  <c r="I208" s="1"/>
  <c r="S249" i="105"/>
  <c r="H70" i="73"/>
  <c r="H208" s="1"/>
  <c r="R287" i="105"/>
  <c r="H70" i="74"/>
  <c r="H208" s="1"/>
  <c r="R296" i="105"/>
  <c r="I70" i="85"/>
  <c r="I208" s="1"/>
  <c r="S379" i="105"/>
  <c r="I70" i="87"/>
  <c r="I208" s="1"/>
  <c r="S397" i="105"/>
  <c r="I70" i="90"/>
  <c r="I208" s="1"/>
  <c r="S442" i="105"/>
  <c r="I70" i="95"/>
  <c r="I208" s="1"/>
  <c r="S487" i="105"/>
  <c r="I70" i="97"/>
  <c r="I208" s="1"/>
  <c r="S505" i="105"/>
  <c r="H70" i="98"/>
  <c r="H208" s="1"/>
  <c r="R516" i="105"/>
  <c r="H70" i="99"/>
  <c r="H208" s="1"/>
  <c r="R525" i="105"/>
  <c r="I70" i="108"/>
  <c r="I208" s="1"/>
  <c r="S563" i="105"/>
  <c r="H70" i="108"/>
  <c r="H208" s="1"/>
  <c r="R563" i="105"/>
  <c r="H70" i="127"/>
  <c r="H208" s="1"/>
  <c r="R581" i="105"/>
  <c r="I70" i="128"/>
  <c r="I208" s="1"/>
  <c r="S590" i="105"/>
  <c r="H70" i="32"/>
  <c r="R8" i="105"/>
  <c r="I70" i="38"/>
  <c r="I208" s="1"/>
  <c r="S17" i="105"/>
  <c r="I70" i="41"/>
  <c r="I208" s="1"/>
  <c r="S44" i="105"/>
  <c r="I70" i="44"/>
  <c r="I208" s="1"/>
  <c r="S71" i="105"/>
  <c r="H70" i="46"/>
  <c r="H208" s="1"/>
  <c r="R89" i="105"/>
  <c r="I70" i="51"/>
  <c r="I208" s="1"/>
  <c r="S136" i="105"/>
  <c r="Q560"/>
  <c r="Q293"/>
  <c r="Q106"/>
  <c r="Q14"/>
  <c r="I59" i="60"/>
  <c r="J59" s="1"/>
  <c r="I64"/>
  <c r="J59" i="59"/>
  <c r="I59" i="58"/>
  <c r="I64"/>
  <c r="T120" i="53"/>
  <c r="J59" i="55"/>
  <c r="J59" i="54"/>
  <c r="J59" i="52"/>
  <c r="I59" i="53"/>
  <c r="J59" s="1"/>
  <c r="I64"/>
  <c r="J59" i="51"/>
  <c r="T120" i="50"/>
  <c r="I59"/>
  <c r="J59" s="1"/>
  <c r="I64"/>
  <c r="J59" i="49"/>
  <c r="J59" i="48"/>
  <c r="J59" i="47"/>
  <c r="J59" i="46"/>
  <c r="T120" i="43"/>
  <c r="I59" i="45"/>
  <c r="I64"/>
  <c r="J59" i="44"/>
  <c r="I59" i="43"/>
  <c r="I64"/>
  <c r="T120" i="42"/>
  <c r="I59"/>
  <c r="I64"/>
  <c r="I141" i="40"/>
  <c r="I59"/>
  <c r="I64"/>
  <c r="T120" i="98"/>
  <c r="I141" i="109"/>
  <c r="I59" i="39"/>
  <c r="I64"/>
  <c r="J59" i="38"/>
  <c r="I59" i="32"/>
  <c r="I64"/>
  <c r="T120"/>
  <c r="I59" i="127"/>
  <c r="I64"/>
  <c r="I59" i="109"/>
  <c r="J59" s="1"/>
  <c r="I64"/>
  <c r="J59" i="108"/>
  <c r="I59" i="102"/>
  <c r="I64"/>
  <c r="T120" i="101"/>
  <c r="T120" i="102"/>
  <c r="I59" i="101"/>
  <c r="I64"/>
  <c r="J59" i="97"/>
  <c r="I59" i="99"/>
  <c r="I64"/>
  <c r="I59" i="98"/>
  <c r="J59" s="1"/>
  <c r="I64"/>
  <c r="I59" i="96"/>
  <c r="J59" s="1"/>
  <c r="I64"/>
  <c r="I141"/>
  <c r="J59" i="95"/>
  <c r="I59" i="93"/>
  <c r="I64"/>
  <c r="I141" i="91"/>
  <c r="I59"/>
  <c r="I64"/>
  <c r="I59" i="80"/>
  <c r="I64"/>
  <c r="T120" i="79"/>
  <c r="I59"/>
  <c r="I64"/>
  <c r="J59" i="85"/>
  <c r="J59" i="86"/>
  <c r="I59" i="82"/>
  <c r="I64"/>
  <c r="T120" i="71"/>
  <c r="T120" i="78"/>
  <c r="I59"/>
  <c r="J59" s="1"/>
  <c r="I64"/>
  <c r="T120" i="77"/>
  <c r="I59"/>
  <c r="I64"/>
  <c r="J59" i="76"/>
  <c r="I141" i="73"/>
  <c r="I59" i="74"/>
  <c r="I64"/>
  <c r="I141"/>
  <c r="I59" i="73"/>
  <c r="I64"/>
  <c r="I59" i="72"/>
  <c r="J59" s="1"/>
  <c r="I64"/>
  <c r="I59" i="71"/>
  <c r="I64"/>
  <c r="I59" i="70"/>
  <c r="J59" s="1"/>
  <c r="I64"/>
  <c r="I59" i="67"/>
  <c r="I64"/>
  <c r="A141" i="114"/>
  <c r="B132"/>
  <c r="C132" s="1"/>
  <c r="B133" i="113"/>
  <c r="C133" s="1"/>
  <c r="A142"/>
  <c r="A363" i="7"/>
  <c r="B354"/>
  <c r="A142"/>
  <c r="B133"/>
  <c r="J70" i="83" l="1"/>
  <c r="H147" i="104"/>
  <c r="H153" s="1"/>
  <c r="Q606" i="105"/>
  <c r="Q551"/>
  <c r="Q97"/>
  <c r="H797" i="106"/>
  <c r="P607" i="105"/>
  <c r="F797" i="106"/>
  <c r="Q265" i="105"/>
  <c r="J70" i="76"/>
  <c r="Q376" i="105"/>
  <c r="Q512"/>
  <c r="B472" i="135"/>
  <c r="B358" i="130"/>
  <c r="S23" i="105"/>
  <c r="R587"/>
  <c r="S493"/>
  <c r="R223"/>
  <c r="S178"/>
  <c r="R23"/>
  <c r="S412"/>
  <c r="S320"/>
  <c r="R133"/>
  <c r="R578"/>
  <c r="R329"/>
  <c r="S77"/>
  <c r="R569"/>
  <c r="S448"/>
  <c r="R302"/>
  <c r="S214"/>
  <c r="S151"/>
  <c r="R86"/>
  <c r="S439"/>
  <c r="S394"/>
  <c r="R264"/>
  <c r="S169"/>
  <c r="R68"/>
  <c r="R549"/>
  <c r="R511"/>
  <c r="S311"/>
  <c r="S196"/>
  <c r="S95"/>
  <c r="S540"/>
  <c r="R430"/>
  <c r="B177" i="135"/>
  <c r="B135" i="130"/>
  <c r="S142" i="105"/>
  <c r="S50"/>
  <c r="S596"/>
  <c r="S569"/>
  <c r="S511"/>
  <c r="S403"/>
  <c r="R214"/>
  <c r="S124"/>
  <c r="R59"/>
  <c r="R502"/>
  <c r="R421"/>
  <c r="S347"/>
  <c r="S246"/>
  <c r="R205"/>
  <c r="R160"/>
  <c r="S605"/>
  <c r="R540"/>
  <c r="R475"/>
  <c r="R338"/>
  <c r="R283"/>
  <c r="R95"/>
  <c r="R531"/>
  <c r="S255"/>
  <c r="R457"/>
  <c r="J70" i="75"/>
  <c r="J70" i="57"/>
  <c r="C574" i="111"/>
  <c r="C460" i="135"/>
  <c r="C204" i="111"/>
  <c r="C165" i="135"/>
  <c r="J70" i="69"/>
  <c r="J70" i="88"/>
  <c r="J70" i="90"/>
  <c r="J70" i="54"/>
  <c r="D797" i="106"/>
  <c r="G89" i="104"/>
  <c r="H89"/>
  <c r="T19" i="111"/>
  <c r="Q19"/>
  <c r="U17"/>
  <c r="R19"/>
  <c r="T18"/>
  <c r="T21"/>
  <c r="Q18"/>
  <c r="Q21"/>
  <c r="R17"/>
  <c r="U18"/>
  <c r="U21"/>
  <c r="V17"/>
  <c r="V18"/>
  <c r="V19"/>
  <c r="V21"/>
  <c r="T17"/>
  <c r="Q17"/>
  <c r="R18"/>
  <c r="U19"/>
  <c r="R21"/>
  <c r="S17"/>
  <c r="S18"/>
  <c r="S19"/>
  <c r="S21"/>
  <c r="J70" i="81"/>
  <c r="J70" i="85"/>
  <c r="J70" i="87"/>
  <c r="J70" i="55"/>
  <c r="E1000" i="111"/>
  <c r="E1001" s="1"/>
  <c r="E1015" s="1"/>
  <c r="B177" i="106"/>
  <c r="B219" i="111"/>
  <c r="V16"/>
  <c r="K157"/>
  <c r="J70" i="68"/>
  <c r="J70" i="47"/>
  <c r="J70" i="49"/>
  <c r="J70" i="51"/>
  <c r="G797" i="106"/>
  <c r="K797"/>
  <c r="E797"/>
  <c r="F1000" i="111"/>
  <c r="K1000"/>
  <c r="K1001" s="1"/>
  <c r="B472" i="106"/>
  <c r="B589" i="111"/>
  <c r="U16"/>
  <c r="J157"/>
  <c r="S16"/>
  <c r="H157"/>
  <c r="H371" s="1"/>
  <c r="H1016" s="1"/>
  <c r="J797" i="106"/>
  <c r="H1000" i="111"/>
  <c r="J1000"/>
  <c r="J1001" s="1"/>
  <c r="J1015" s="1"/>
  <c r="T16"/>
  <c r="I157"/>
  <c r="Q16"/>
  <c r="F157"/>
  <c r="R16"/>
  <c r="G157"/>
  <c r="G371" s="1"/>
  <c r="G1016" s="1"/>
  <c r="E157"/>
  <c r="E371" s="1"/>
  <c r="E1016" s="1"/>
  <c r="J70" i="97"/>
  <c r="J70" i="100"/>
  <c r="J70" i="128"/>
  <c r="J70" i="41"/>
  <c r="I797" i="106"/>
  <c r="G1000" i="111"/>
  <c r="I1000"/>
  <c r="I1001" s="1"/>
  <c r="I1015" s="1"/>
  <c r="C126" i="105"/>
  <c r="C165" i="106"/>
  <c r="J70" i="86"/>
  <c r="H139" i="63"/>
  <c r="C349" i="105"/>
  <c r="C460" i="106"/>
  <c r="H209" i="67"/>
  <c r="H143" i="104"/>
  <c r="I59"/>
  <c r="I64"/>
  <c r="J70" i="89"/>
  <c r="J70" i="108"/>
  <c r="J70" i="129"/>
  <c r="J70" i="59"/>
  <c r="J70" i="44"/>
  <c r="J59" i="32"/>
  <c r="H208"/>
  <c r="I59" i="63"/>
  <c r="I64"/>
  <c r="C354" i="7"/>
  <c r="C358" i="130" s="1"/>
  <c r="B358" i="105"/>
  <c r="I70" i="72"/>
  <c r="I208" s="1"/>
  <c r="S277" i="105"/>
  <c r="I70" i="82"/>
  <c r="I208" s="1"/>
  <c r="S350" i="105"/>
  <c r="I70" i="91"/>
  <c r="I208" s="1"/>
  <c r="S451" i="105"/>
  <c r="I70" i="93"/>
  <c r="I208" s="1"/>
  <c r="S469" i="105"/>
  <c r="I70" i="102"/>
  <c r="I208" s="1"/>
  <c r="S554" i="105"/>
  <c r="I70" i="127"/>
  <c r="I208" s="1"/>
  <c r="S581" i="105"/>
  <c r="I70" i="39"/>
  <c r="I208" s="1"/>
  <c r="S26" i="105"/>
  <c r="I70" i="45"/>
  <c r="I208" s="1"/>
  <c r="S80" i="105"/>
  <c r="I70" i="53"/>
  <c r="I208" s="1"/>
  <c r="S154" i="105"/>
  <c r="I70" i="60"/>
  <c r="S217" i="105"/>
  <c r="R14"/>
  <c r="R522"/>
  <c r="R237"/>
  <c r="S106"/>
  <c r="I70" i="67"/>
  <c r="J70" s="1"/>
  <c r="S231" i="105"/>
  <c r="I70" i="70"/>
  <c r="I208" s="1"/>
  <c r="S258" i="105"/>
  <c r="I70" i="78"/>
  <c r="I208" s="1"/>
  <c r="S332" i="105"/>
  <c r="I70" i="80"/>
  <c r="I208" s="1"/>
  <c r="S424" i="105"/>
  <c r="I70" i="98"/>
  <c r="I208" s="1"/>
  <c r="S516" i="105"/>
  <c r="I70" i="101"/>
  <c r="I208" s="1"/>
  <c r="S543" i="105"/>
  <c r="I70" i="32"/>
  <c r="J70" s="1"/>
  <c r="S8" i="105"/>
  <c r="I70" i="42"/>
  <c r="I208" s="1"/>
  <c r="S53" i="105"/>
  <c r="I70" i="43"/>
  <c r="I208" s="1"/>
  <c r="S62" i="105"/>
  <c r="I70" i="58"/>
  <c r="I208" s="1"/>
  <c r="S199" i="105"/>
  <c r="R293"/>
  <c r="R274"/>
  <c r="R284" s="1"/>
  <c r="C133" i="7"/>
  <c r="C135" i="130" s="1"/>
  <c r="B135" i="105"/>
  <c r="I70" i="71"/>
  <c r="I208" s="1"/>
  <c r="S268" i="105"/>
  <c r="I70" i="73"/>
  <c r="I208" s="1"/>
  <c r="S287" i="105"/>
  <c r="I70" i="74"/>
  <c r="I208" s="1"/>
  <c r="S296" i="105"/>
  <c r="I70" i="77"/>
  <c r="I208" s="1"/>
  <c r="S323" i="105"/>
  <c r="I70" i="79"/>
  <c r="I208" s="1"/>
  <c r="S415" i="105"/>
  <c r="I70" i="96"/>
  <c r="I208" s="1"/>
  <c r="S496" i="105"/>
  <c r="I70" i="99"/>
  <c r="I208" s="1"/>
  <c r="S525" i="105"/>
  <c r="I70" i="109"/>
  <c r="I208" s="1"/>
  <c r="S572" i="105"/>
  <c r="I70" i="40"/>
  <c r="I208" s="1"/>
  <c r="S35" i="105"/>
  <c r="I70" i="50"/>
  <c r="I208" s="1"/>
  <c r="S127" i="105"/>
  <c r="S385"/>
  <c r="R560"/>
  <c r="R106"/>
  <c r="R385"/>
  <c r="J70" i="95"/>
  <c r="J70" i="38"/>
  <c r="J70" i="46"/>
  <c r="J70" i="52"/>
  <c r="J59" i="58"/>
  <c r="J59" i="45"/>
  <c r="J59" i="43"/>
  <c r="J59" i="42"/>
  <c r="J59" i="40"/>
  <c r="J59" i="39"/>
  <c r="J59" i="127"/>
  <c r="J59" i="102"/>
  <c r="J59" i="101"/>
  <c r="J59" i="99"/>
  <c r="J59" i="93"/>
  <c r="J59" i="91"/>
  <c r="J59" i="80"/>
  <c r="J59" i="79"/>
  <c r="J59" i="82"/>
  <c r="J59" i="77"/>
  <c r="J59" i="74"/>
  <c r="J59" i="73"/>
  <c r="J59" i="71"/>
  <c r="J59" i="67"/>
  <c r="A150" i="114"/>
  <c r="B141"/>
  <c r="C141" s="1"/>
  <c r="B142" i="113"/>
  <c r="C142" s="1"/>
  <c r="A151"/>
  <c r="A151" i="7"/>
  <c r="B142"/>
  <c r="A372"/>
  <c r="B363"/>
  <c r="R265" i="105" l="1"/>
  <c r="Q607"/>
  <c r="R512"/>
  <c r="R376"/>
  <c r="R551"/>
  <c r="R606"/>
  <c r="J70" i="53"/>
  <c r="B189" i="135"/>
  <c r="B144" i="130"/>
  <c r="S531" i="105"/>
  <c r="S329"/>
  <c r="S41"/>
  <c r="S502"/>
  <c r="S302"/>
  <c r="S68"/>
  <c r="S549"/>
  <c r="S338"/>
  <c r="S86"/>
  <c r="S356"/>
  <c r="J70" i="91"/>
  <c r="J70" i="96"/>
  <c r="B483" i="135"/>
  <c r="B367" i="130"/>
  <c r="S578" i="105"/>
  <c r="S421"/>
  <c r="S59"/>
  <c r="S264"/>
  <c r="S223"/>
  <c r="S32"/>
  <c r="S475"/>
  <c r="S283"/>
  <c r="S133"/>
  <c r="S205"/>
  <c r="S430"/>
  <c r="S160"/>
  <c r="S587"/>
  <c r="S457"/>
  <c r="J70" i="74"/>
  <c r="J70" i="127"/>
  <c r="J70" i="45"/>
  <c r="C589" i="111"/>
  <c r="C472" i="135"/>
  <c r="C219" i="111"/>
  <c r="C177" i="135"/>
  <c r="I142" i="104"/>
  <c r="J142" s="1"/>
  <c r="J59" s="1"/>
  <c r="I70"/>
  <c r="I143" s="1"/>
  <c r="J143" s="1"/>
  <c r="J70" s="1"/>
  <c r="I134" i="63"/>
  <c r="J134" s="1"/>
  <c r="J59" s="1"/>
  <c r="K1015" i="111"/>
  <c r="G1001"/>
  <c r="G1015" s="1"/>
  <c r="H1001"/>
  <c r="H1015" s="1"/>
  <c r="J70" i="73"/>
  <c r="J70" i="78"/>
  <c r="J70" i="101"/>
  <c r="J70" i="109"/>
  <c r="J70" i="40"/>
  <c r="J70" i="43"/>
  <c r="G1003" i="111"/>
  <c r="F371"/>
  <c r="F1016" s="1"/>
  <c r="F1001"/>
  <c r="F1015" s="1"/>
  <c r="K371"/>
  <c r="K1016" s="1"/>
  <c r="B483" i="106"/>
  <c r="B604" i="111"/>
  <c r="J70" i="70"/>
  <c r="J70" i="93"/>
  <c r="J70" i="98"/>
  <c r="I371" i="111"/>
  <c r="I1016" s="1"/>
  <c r="J371"/>
  <c r="J1016" s="1"/>
  <c r="B189" i="106"/>
  <c r="B234" i="111"/>
  <c r="J70" i="79"/>
  <c r="J70" i="39"/>
  <c r="J70" i="42"/>
  <c r="E1003" i="111"/>
  <c r="H1003"/>
  <c r="C358" i="105"/>
  <c r="C472" i="106"/>
  <c r="C135" i="105"/>
  <c r="C177" i="106"/>
  <c r="J70" i="50"/>
  <c r="I147" i="104"/>
  <c r="J147" s="1"/>
  <c r="J70" i="82"/>
  <c r="J70" i="102"/>
  <c r="J70" i="58"/>
  <c r="I209" i="67"/>
  <c r="J70" i="80"/>
  <c r="I208" i="32"/>
  <c r="J70" i="72"/>
  <c r="I139" i="63"/>
  <c r="J70" i="71"/>
  <c r="J70" i="77"/>
  <c r="J70" i="99"/>
  <c r="C363" i="7"/>
  <c r="C367" i="130" s="1"/>
  <c r="B367" i="105"/>
  <c r="S274"/>
  <c r="S284" s="1"/>
  <c r="S522"/>
  <c r="I208" i="60"/>
  <c r="J70"/>
  <c r="S560" i="105"/>
  <c r="C142" i="7"/>
  <c r="C144" i="130" s="1"/>
  <c r="B144" i="105"/>
  <c r="S14"/>
  <c r="S237"/>
  <c r="S293"/>
  <c r="R97"/>
  <c r="B150" i="114"/>
  <c r="C150" s="1"/>
  <c r="A159"/>
  <c r="B151" i="113"/>
  <c r="C151" s="1"/>
  <c r="A160"/>
  <c r="A160" i="7"/>
  <c r="B151"/>
  <c r="A381"/>
  <c r="B372"/>
  <c r="R607" i="105" l="1"/>
  <c r="S376"/>
  <c r="S512"/>
  <c r="S606"/>
  <c r="S551"/>
  <c r="B497" i="135"/>
  <c r="B378" i="130"/>
  <c r="B201" i="135"/>
  <c r="B153" i="130"/>
  <c r="C234" i="111"/>
  <c r="C189" i="135"/>
  <c r="C604" i="111"/>
  <c r="C483" i="135"/>
  <c r="I89" i="104"/>
  <c r="J1003" i="111"/>
  <c r="F1003"/>
  <c r="K1003"/>
  <c r="B497" i="106"/>
  <c r="B621" i="111"/>
  <c r="I1003"/>
  <c r="B201" i="106"/>
  <c r="B249" i="111"/>
  <c r="I153" i="104"/>
  <c r="J153" s="1"/>
  <c r="C144" i="105"/>
  <c r="C189" i="106"/>
  <c r="C367" i="105"/>
  <c r="C483" i="106"/>
  <c r="J139" i="63"/>
  <c r="C372" i="7"/>
  <c r="C378" i="130" s="1"/>
  <c r="B378" i="105"/>
  <c r="S265"/>
  <c r="S97"/>
  <c r="C151" i="7"/>
  <c r="C153" i="130" s="1"/>
  <c r="B153" i="105"/>
  <c r="B159" i="114"/>
  <c r="C159" s="1"/>
  <c r="A168"/>
  <c r="A169" i="113"/>
  <c r="B160"/>
  <c r="C160" s="1"/>
  <c r="A169" i="7"/>
  <c r="B160"/>
  <c r="A390"/>
  <c r="B381"/>
  <c r="S607" i="105" l="1"/>
  <c r="B213" i="135"/>
  <c r="B162" i="130"/>
  <c r="B509" i="135"/>
  <c r="B387" i="130"/>
  <c r="C621" i="111"/>
  <c r="C497" i="135"/>
  <c r="C249" i="111"/>
  <c r="C201" i="135"/>
  <c r="B509" i="106"/>
  <c r="B636" i="111"/>
  <c r="B213" i="106"/>
  <c r="B264" i="111"/>
  <c r="C153" i="105"/>
  <c r="C201" i="106"/>
  <c r="C378" i="105"/>
  <c r="C497" i="106"/>
  <c r="C381" i="7"/>
  <c r="C387" i="130" s="1"/>
  <c r="B387" i="105"/>
  <c r="C160" i="7"/>
  <c r="C162" i="130" s="1"/>
  <c r="B162" i="105"/>
  <c r="B168" i="114"/>
  <c r="C168" s="1"/>
  <c r="A177"/>
  <c r="A178" i="113"/>
  <c r="B169"/>
  <c r="C169" s="1"/>
  <c r="A399" i="7"/>
  <c r="B390"/>
  <c r="A178"/>
  <c r="B169"/>
  <c r="B225" i="135" l="1"/>
  <c r="B171" i="130"/>
  <c r="B521" i="135"/>
  <c r="B396" i="130"/>
  <c r="C264" i="111"/>
  <c r="C213" i="135"/>
  <c r="C636" i="111"/>
  <c r="C509" i="135"/>
  <c r="B225" i="106"/>
  <c r="B279" i="111"/>
  <c r="B521" i="106"/>
  <c r="B651" i="111"/>
  <c r="C162" i="105"/>
  <c r="C213" i="106"/>
  <c r="C387" i="105"/>
  <c r="C509" i="106"/>
  <c r="C169" i="7"/>
  <c r="C171" i="130" s="1"/>
  <c r="B171" i="105"/>
  <c r="C390" i="7"/>
  <c r="C396" i="130" s="1"/>
  <c r="B396" i="105"/>
  <c r="B177" i="114"/>
  <c r="C177" s="1"/>
  <c r="A186"/>
  <c r="A187" i="113"/>
  <c r="B178"/>
  <c r="C178" s="1"/>
  <c r="A408" i="7"/>
  <c r="B399"/>
  <c r="A187"/>
  <c r="B178"/>
  <c r="B237" i="135" l="1"/>
  <c r="B180" i="130"/>
  <c r="B533" i="135"/>
  <c r="B405" i="130"/>
  <c r="C279" i="111"/>
  <c r="C225" i="135"/>
  <c r="C651" i="111"/>
  <c r="C521" i="135"/>
  <c r="B533" i="106"/>
  <c r="B666" i="111"/>
  <c r="B237" i="106"/>
  <c r="B294" i="111"/>
  <c r="C396" i="105"/>
  <c r="C521" i="106"/>
  <c r="C171" i="105"/>
  <c r="C225" i="106"/>
  <c r="C178" i="7"/>
  <c r="C180" i="130" s="1"/>
  <c r="B180" i="105"/>
  <c r="C399" i="7"/>
  <c r="C405" i="130" s="1"/>
  <c r="B405" i="105"/>
  <c r="B186" i="114"/>
  <c r="C186" s="1"/>
  <c r="A195"/>
  <c r="A196" i="113"/>
  <c r="B187"/>
  <c r="C187" s="1"/>
  <c r="A417" i="7"/>
  <c r="B408"/>
  <c r="A196"/>
  <c r="B187"/>
  <c r="B545" i="135" l="1"/>
  <c r="B414" i="130"/>
  <c r="B249" i="135"/>
  <c r="B189" i="130"/>
  <c r="C294" i="111"/>
  <c r="C237" i="135"/>
  <c r="C666" i="111"/>
  <c r="C533" i="135"/>
  <c r="B249" i="106"/>
  <c r="B309" i="111"/>
  <c r="B545" i="106"/>
  <c r="B681" i="111"/>
  <c r="C405" i="105"/>
  <c r="C533" i="106"/>
  <c r="C180" i="105"/>
  <c r="C237" i="106"/>
  <c r="C187" i="7"/>
  <c r="C189" i="130" s="1"/>
  <c r="B189" i="105"/>
  <c r="C408" i="7"/>
  <c r="C414" i="130" s="1"/>
  <c r="B414" i="105"/>
  <c r="A204" i="114"/>
  <c r="B195"/>
  <c r="C195" s="1"/>
  <c r="A205" i="113"/>
  <c r="B196"/>
  <c r="C196" s="1"/>
  <c r="A426" i="7"/>
  <c r="B417"/>
  <c r="A205"/>
  <c r="B196"/>
  <c r="G18" i="107"/>
  <c r="H18"/>
  <c r="B557" i="135" l="1"/>
  <c r="B423" i="130"/>
  <c r="B261" i="135"/>
  <c r="B198" i="130"/>
  <c r="C681" i="111"/>
  <c r="C545" i="135"/>
  <c r="C309" i="111"/>
  <c r="C249" i="135"/>
  <c r="B557" i="106"/>
  <c r="B696" i="111"/>
  <c r="B261" i="106"/>
  <c r="B324" i="111"/>
  <c r="C414" i="105"/>
  <c r="C545" i="106"/>
  <c r="C189" i="105"/>
  <c r="C249" i="106"/>
  <c r="C417" i="7"/>
  <c r="C423" i="130" s="1"/>
  <c r="B423" i="105"/>
  <c r="C196" i="7"/>
  <c r="C198" i="130" s="1"/>
  <c r="B198" i="105"/>
  <c r="A213" i="114"/>
  <c r="B204"/>
  <c r="C204" s="1"/>
  <c r="A214" i="113"/>
  <c r="B205"/>
  <c r="C205" s="1"/>
  <c r="A214" i="7"/>
  <c r="B205"/>
  <c r="A435"/>
  <c r="B426"/>
  <c r="B569" i="135" l="1"/>
  <c r="B432" i="130"/>
  <c r="B273" i="135"/>
  <c r="B207" i="130"/>
  <c r="C696" i="111"/>
  <c r="C557" i="135"/>
  <c r="C324" i="111"/>
  <c r="C261" i="135"/>
  <c r="B273" i="106"/>
  <c r="B339" i="111"/>
  <c r="B569" i="106"/>
  <c r="B711" i="111"/>
  <c r="C198" i="105"/>
  <c r="C261" i="106"/>
  <c r="C423" i="105"/>
  <c r="C557" i="106"/>
  <c r="C426" i="7"/>
  <c r="C432" i="130" s="1"/>
  <c r="B432" i="105"/>
  <c r="C205" i="7"/>
  <c r="C207" i="130" s="1"/>
  <c r="B207" i="105"/>
  <c r="A227" i="114"/>
  <c r="B213"/>
  <c r="C213" s="1"/>
  <c r="B214" i="113"/>
  <c r="C214" s="1"/>
  <c r="B214" i="7"/>
  <c r="A444"/>
  <c r="B435"/>
  <c r="B581" i="135" l="1"/>
  <c r="B441" i="130"/>
  <c r="B285" i="135"/>
  <c r="B216" i="130"/>
  <c r="C711" i="111"/>
  <c r="C569" i="135"/>
  <c r="C339" i="111"/>
  <c r="C273" i="135"/>
  <c r="B581" i="106"/>
  <c r="B726" i="111"/>
  <c r="B285" i="106"/>
  <c r="B355" i="111"/>
  <c r="C207" i="105"/>
  <c r="C273" i="106"/>
  <c r="C432" i="105"/>
  <c r="C569" i="106"/>
  <c r="C435" i="7"/>
  <c r="C441" i="130" s="1"/>
  <c r="B441" i="105"/>
  <c r="C214" i="7"/>
  <c r="C216" i="130" s="1"/>
  <c r="B216" i="105"/>
  <c r="A236" i="114"/>
  <c r="B227"/>
  <c r="C227" s="1"/>
  <c r="I235" i="113"/>
  <c r="H235"/>
  <c r="H234"/>
  <c r="E235"/>
  <c r="I234"/>
  <c r="F233"/>
  <c r="I233"/>
  <c r="F231"/>
  <c r="E233"/>
  <c r="F232"/>
  <c r="E232"/>
  <c r="I232"/>
  <c r="E234"/>
  <c r="F236"/>
  <c r="I236"/>
  <c r="H233"/>
  <c r="F235"/>
  <c r="H232"/>
  <c r="F234"/>
  <c r="H231"/>
  <c r="I231"/>
  <c r="H236"/>
  <c r="D231"/>
  <c r="J231"/>
  <c r="D236"/>
  <c r="J235"/>
  <c r="J233"/>
  <c r="G234"/>
  <c r="G233"/>
  <c r="D232"/>
  <c r="G235"/>
  <c r="G232"/>
  <c r="J234"/>
  <c r="D234"/>
  <c r="G231"/>
  <c r="G236"/>
  <c r="D235"/>
  <c r="J236"/>
  <c r="E236"/>
  <c r="J232"/>
  <c r="D233"/>
  <c r="E231"/>
  <c r="A453" i="7"/>
  <c r="B444"/>
  <c r="B593" i="135" l="1"/>
  <c r="B450" i="130"/>
  <c r="C726" i="111"/>
  <c r="C581" i="135"/>
  <c r="C355" i="111"/>
  <c r="C285" i="135"/>
  <c r="B593" i="106"/>
  <c r="B741" i="111"/>
  <c r="C216" i="105"/>
  <c r="C285" i="106"/>
  <c r="C441" i="105"/>
  <c r="C581" i="106"/>
  <c r="C444" i="7"/>
  <c r="C450" i="130" s="1"/>
  <c r="B450" i="105"/>
  <c r="E237" i="113"/>
  <c r="E248" s="1"/>
  <c r="I237"/>
  <c r="I248" s="1"/>
  <c r="G237"/>
  <c r="G248" s="1"/>
  <c r="A245" i="114"/>
  <c r="B236"/>
  <c r="C236" s="1"/>
  <c r="J237" i="113"/>
  <c r="J248" s="1"/>
  <c r="D237"/>
  <c r="D248" s="1"/>
  <c r="H237"/>
  <c r="H248" s="1"/>
  <c r="F237"/>
  <c r="F248" s="1"/>
  <c r="A462" i="7"/>
  <c r="B453"/>
  <c r="B605" i="135" l="1"/>
  <c r="B459" i="130"/>
  <c r="C741" i="111"/>
  <c r="C593" i="135"/>
  <c r="B605" i="106"/>
  <c r="B756" i="111"/>
  <c r="C450" i="105"/>
  <c r="C593" i="106"/>
  <c r="C453" i="7"/>
  <c r="C459" i="130" s="1"/>
  <c r="B459" i="105"/>
  <c r="A254" i="114"/>
  <c r="B245"/>
  <c r="C245" s="1"/>
  <c r="A471" i="7"/>
  <c r="B462"/>
  <c r="C12" i="12"/>
  <c r="F13"/>
  <c r="F12"/>
  <c r="B617" i="135" l="1"/>
  <c r="B468" i="130"/>
  <c r="C756" i="111"/>
  <c r="C605" i="135"/>
  <c r="B617" i="106"/>
  <c r="B771" i="111"/>
  <c r="C459" i="105"/>
  <c r="C605" i="106"/>
  <c r="C462" i="7"/>
  <c r="C468" i="130" s="1"/>
  <c r="B468" i="105"/>
  <c r="A263" i="114"/>
  <c r="B254"/>
  <c r="C254" s="1"/>
  <c r="A480" i="7"/>
  <c r="B471"/>
  <c r="Q12" i="12"/>
  <c r="B629" i="135" l="1"/>
  <c r="B477" i="130"/>
  <c r="C771" i="111"/>
  <c r="C617" i="135"/>
  <c r="B629" i="106"/>
  <c r="B786" i="111"/>
  <c r="C468" i="105"/>
  <c r="C617" i="106"/>
  <c r="C471" i="7"/>
  <c r="C477" i="130" s="1"/>
  <c r="B477" i="105"/>
  <c r="A272" i="114"/>
  <c r="B263"/>
  <c r="C263" s="1"/>
  <c r="A489" i="7"/>
  <c r="B480"/>
  <c r="E53" i="13"/>
  <c r="A1" i="139"/>
  <c r="C53" i="13" s="1"/>
  <c r="C28"/>
  <c r="C45"/>
  <c r="C50"/>
  <c r="C55"/>
  <c r="B55"/>
  <c r="B50"/>
  <c r="B45"/>
  <c r="B28"/>
  <c r="B20"/>
  <c r="B17"/>
  <c r="B12"/>
  <c r="B7"/>
  <c r="B37"/>
  <c r="C37"/>
  <c r="I23" i="8"/>
  <c r="H23"/>
  <c r="G23"/>
  <c r="F23"/>
  <c r="E23"/>
  <c r="D23"/>
  <c r="C23"/>
  <c r="D10"/>
  <c r="E10"/>
  <c r="F10"/>
  <c r="G10"/>
  <c r="H10"/>
  <c r="I10"/>
  <c r="C10"/>
  <c r="A35" i="12"/>
  <c r="B641" i="135" l="1"/>
  <c r="B486" i="130"/>
  <c r="C786" i="111"/>
  <c r="C629" i="135"/>
  <c r="B641" i="106"/>
  <c r="B801" i="111"/>
  <c r="C477" i="105"/>
  <c r="C629" i="106"/>
  <c r="C480" i="7"/>
  <c r="C486" i="130" s="1"/>
  <c r="B486" i="105"/>
  <c r="A281" i="114"/>
  <c r="B272"/>
  <c r="C272" s="1"/>
  <c r="A498" i="7"/>
  <c r="B489"/>
  <c r="P15" i="107"/>
  <c r="O15"/>
  <c r="N15"/>
  <c r="M15"/>
  <c r="L15"/>
  <c r="K15"/>
  <c r="J15"/>
  <c r="I15"/>
  <c r="H15"/>
  <c r="G15"/>
  <c r="F15"/>
  <c r="E15"/>
  <c r="F18"/>
  <c r="E18"/>
  <c r="E13"/>
  <c r="F13"/>
  <c r="G13"/>
  <c r="P17"/>
  <c r="O17"/>
  <c r="N17"/>
  <c r="M17"/>
  <c r="L17"/>
  <c r="K17"/>
  <c r="J17"/>
  <c r="I17"/>
  <c r="H17"/>
  <c r="G17"/>
  <c r="F17"/>
  <c r="H13"/>
  <c r="F12"/>
  <c r="G12"/>
  <c r="I12"/>
  <c r="J12"/>
  <c r="K12"/>
  <c r="L12"/>
  <c r="M12"/>
  <c r="N12"/>
  <c r="O12"/>
  <c r="P12"/>
  <c r="H12"/>
  <c r="I10"/>
  <c r="J10"/>
  <c r="K10"/>
  <c r="L10"/>
  <c r="M10"/>
  <c r="N10"/>
  <c r="O10"/>
  <c r="P10"/>
  <c r="E10"/>
  <c r="F10"/>
  <c r="G10"/>
  <c r="H10"/>
  <c r="B653" i="135" l="1"/>
  <c r="B495" i="130"/>
  <c r="C801" i="111"/>
  <c r="C641" i="135"/>
  <c r="B653" i="106"/>
  <c r="B816" i="111"/>
  <c r="C486" i="105"/>
  <c r="C641" i="106"/>
  <c r="C489" i="7"/>
  <c r="C495" i="130" s="1"/>
  <c r="B495" i="105"/>
  <c r="A290" i="114"/>
  <c r="B281"/>
  <c r="C281" s="1"/>
  <c r="A507" i="7"/>
  <c r="B498"/>
  <c r="I13" i="107"/>
  <c r="J13" s="1"/>
  <c r="C10" i="12"/>
  <c r="D45"/>
  <c r="D44"/>
  <c r="A36"/>
  <c r="B665" i="135" l="1"/>
  <c r="B504" i="130"/>
  <c r="C816" i="111"/>
  <c r="C653" i="135"/>
  <c r="B665" i="106"/>
  <c r="B831" i="111"/>
  <c r="C495" i="105"/>
  <c r="C653" i="106"/>
  <c r="C498" i="7"/>
  <c r="C504" i="130" s="1"/>
  <c r="B504" i="105"/>
  <c r="B290" i="114"/>
  <c r="C290" s="1"/>
  <c r="A299"/>
  <c r="B507" i="7"/>
  <c r="A516"/>
  <c r="I23" i="107"/>
  <c r="B679" i="135" l="1"/>
  <c r="B515" i="130"/>
  <c r="C831" i="111"/>
  <c r="C665" i="135"/>
  <c r="B679" i="106"/>
  <c r="B848" i="111"/>
  <c r="C504" i="105"/>
  <c r="C665" i="106"/>
  <c r="C507" i="7"/>
  <c r="C515" i="130" s="1"/>
  <c r="B515" i="105"/>
  <c r="B299" i="114"/>
  <c r="C299" s="1"/>
  <c r="A308"/>
  <c r="B516" i="7"/>
  <c r="A525"/>
  <c r="K13" i="107"/>
  <c r="L13" s="1"/>
  <c r="M13" s="1"/>
  <c r="N13" s="1"/>
  <c r="O13" s="1"/>
  <c r="P13" s="1"/>
  <c r="H30"/>
  <c r="H31" s="1"/>
  <c r="N1" i="130" l="1"/>
  <c r="O1"/>
  <c r="Q186" i="128"/>
  <c r="N186"/>
  <c r="R186"/>
  <c r="O186"/>
  <c r="P186"/>
  <c r="I24" i="140"/>
  <c r="H24"/>
  <c r="I23"/>
  <c r="H24" i="141"/>
  <c r="F10"/>
  <c r="H10" i="140"/>
  <c r="I23" i="141"/>
  <c r="H20" i="140"/>
  <c r="E20"/>
  <c r="G11"/>
  <c r="E21" i="141"/>
  <c r="E11" i="140"/>
  <c r="G13" i="141"/>
  <c r="E9" i="140"/>
  <c r="F20" i="141"/>
  <c r="E23" i="140"/>
  <c r="I22"/>
  <c r="F22"/>
  <c r="G11" i="141"/>
  <c r="I10" i="140"/>
  <c r="F23" i="141"/>
  <c r="H9" i="140"/>
  <c r="I21" i="141"/>
  <c r="I13" i="140"/>
  <c r="G24"/>
  <c r="F9" i="141"/>
  <c r="G12" i="140"/>
  <c r="I9" i="141"/>
  <c r="E13" i="140"/>
  <c r="E13" i="141"/>
  <c r="E12" i="140"/>
  <c r="F24"/>
  <c r="E24"/>
  <c r="F24" i="141"/>
  <c r="E9"/>
  <c r="E24"/>
  <c r="I24"/>
  <c r="H22"/>
  <c r="F23" i="140"/>
  <c r="I20"/>
  <c r="F20"/>
  <c r="H20" i="141"/>
  <c r="H13"/>
  <c r="G20"/>
  <c r="F11"/>
  <c r="F21"/>
  <c r="I20"/>
  <c r="G24"/>
  <c r="G22" i="140"/>
  <c r="H12" i="141"/>
  <c r="I12" i="140"/>
  <c r="I22" i="141"/>
  <c r="I11"/>
  <c r="I9" i="140"/>
  <c r="H13"/>
  <c r="E22" i="141"/>
  <c r="G10"/>
  <c r="H12" i="140"/>
  <c r="H9" i="141"/>
  <c r="H23" i="140"/>
  <c r="I10" i="141"/>
  <c r="G13" i="140"/>
  <c r="H23" i="141"/>
  <c r="F10" i="140"/>
  <c r="I13" i="141"/>
  <c r="I35" s="1"/>
  <c r="G20" i="140"/>
  <c r="F9"/>
  <c r="G21" i="141"/>
  <c r="E20"/>
  <c r="G12"/>
  <c r="F12" i="140"/>
  <c r="G23" i="141"/>
  <c r="G23" i="140"/>
  <c r="H22"/>
  <c r="E22"/>
  <c r="F12" i="141"/>
  <c r="G22"/>
  <c r="H10"/>
  <c r="F13" i="140"/>
  <c r="F22" i="141"/>
  <c r="E23"/>
  <c r="H21"/>
  <c r="G10" i="140"/>
  <c r="I19" i="141"/>
  <c r="G9" i="140"/>
  <c r="E8" i="141"/>
  <c r="H8" i="140"/>
  <c r="I8"/>
  <c r="E8"/>
  <c r="E19" i="141"/>
  <c r="I8"/>
  <c r="F8" i="140"/>
  <c r="G8"/>
  <c r="E10"/>
  <c r="H11"/>
  <c r="F13" i="141"/>
  <c r="I11" i="140"/>
  <c r="F11"/>
  <c r="H11" i="141"/>
  <c r="I12"/>
  <c r="E10"/>
  <c r="G8"/>
  <c r="E11"/>
  <c r="G19"/>
  <c r="G9"/>
  <c r="F8"/>
  <c r="E12"/>
  <c r="H8"/>
  <c r="H19" i="140"/>
  <c r="F19"/>
  <c r="I19"/>
  <c r="G19"/>
  <c r="H19" i="141"/>
  <c r="F19"/>
  <c r="E19" i="140"/>
  <c r="E47" i="141"/>
  <c r="E47" i="140"/>
  <c r="E44" i="141"/>
  <c r="E46"/>
  <c r="E46" i="140"/>
  <c r="E45" i="141"/>
  <c r="E44" i="140"/>
  <c r="E43" i="141"/>
  <c r="E43" i="140"/>
  <c r="E45"/>
  <c r="F45" i="141"/>
  <c r="F43" i="140"/>
  <c r="F44"/>
  <c r="E55" i="141"/>
  <c r="E56"/>
  <c r="E55" i="140"/>
  <c r="F47"/>
  <c r="F47" i="141"/>
  <c r="F46" i="140"/>
  <c r="F43" i="141"/>
  <c r="E54"/>
  <c r="E57" i="140"/>
  <c r="E58"/>
  <c r="E57" i="141"/>
  <c r="F44"/>
  <c r="F45" i="140"/>
  <c r="F46" i="141"/>
  <c r="E58"/>
  <c r="E54" i="140"/>
  <c r="E56"/>
  <c r="G43"/>
  <c r="G43" i="141"/>
  <c r="F56"/>
  <c r="F55" i="140"/>
  <c r="F57"/>
  <c r="F56"/>
  <c r="G46"/>
  <c r="E42" i="141"/>
  <c r="G47" i="140"/>
  <c r="G45"/>
  <c r="G47" i="141"/>
  <c r="G44"/>
  <c r="F58"/>
  <c r="F57"/>
  <c r="F58" i="140"/>
  <c r="G45" i="141"/>
  <c r="G46"/>
  <c r="E42" i="140"/>
  <c r="G44"/>
  <c r="F54" i="141"/>
  <c r="F55"/>
  <c r="F54" i="140"/>
  <c r="H43"/>
  <c r="G54" i="141"/>
  <c r="G58"/>
  <c r="G56" i="140"/>
  <c r="G57"/>
  <c r="H46"/>
  <c r="H44" i="141"/>
  <c r="H44" i="140"/>
  <c r="H46" i="141"/>
  <c r="H43"/>
  <c r="G56"/>
  <c r="G54" i="140"/>
  <c r="H45" i="141"/>
  <c r="H47" i="140"/>
  <c r="F42" i="141"/>
  <c r="H45" i="140"/>
  <c r="H47" i="141"/>
  <c r="F42" i="140"/>
  <c r="G55" i="141"/>
  <c r="G57"/>
  <c r="G58" i="140"/>
  <c r="G55"/>
  <c r="I46" i="141"/>
  <c r="I43"/>
  <c r="I47" i="140"/>
  <c r="I44" i="141"/>
  <c r="H55"/>
  <c r="H54"/>
  <c r="H58" i="140"/>
  <c r="H54"/>
  <c r="I43"/>
  <c r="I45"/>
  <c r="I45" i="141"/>
  <c r="I47"/>
  <c r="E53" i="140"/>
  <c r="H57" i="141"/>
  <c r="G42"/>
  <c r="H56"/>
  <c r="E53"/>
  <c r="H57" i="140"/>
  <c r="I46"/>
  <c r="I44"/>
  <c r="G42"/>
  <c r="H58" i="141"/>
  <c r="H55" i="140"/>
  <c r="H56"/>
  <c r="F53" i="141"/>
  <c r="H42"/>
  <c r="I58" i="140"/>
  <c r="I56" i="141"/>
  <c r="I55" i="140"/>
  <c r="F53"/>
  <c r="I55" i="141"/>
  <c r="I54"/>
  <c r="I54" i="140"/>
  <c r="I56"/>
  <c r="H42"/>
  <c r="I58" i="141"/>
  <c r="I57"/>
  <c r="I57" i="140"/>
  <c r="D730" i="135"/>
  <c r="E56"/>
  <c r="D214"/>
  <c r="K327"/>
  <c r="D401"/>
  <c r="E642"/>
  <c r="E68"/>
  <c r="D522"/>
  <c r="E618"/>
  <c r="D226"/>
  <c r="J534"/>
  <c r="K20"/>
  <c r="K92"/>
  <c r="J238"/>
  <c r="I286"/>
  <c r="J461"/>
  <c r="J413"/>
  <c r="J582"/>
  <c r="J692"/>
  <c r="K130"/>
  <c r="J449"/>
  <c r="J546"/>
  <c r="H666"/>
  <c r="G570"/>
  <c r="F786"/>
  <c r="H32"/>
  <c r="H104"/>
  <c r="G250"/>
  <c r="G303"/>
  <c r="G352"/>
  <c r="G437"/>
  <c r="H630"/>
  <c r="G764"/>
  <c r="G166"/>
  <c r="F339"/>
  <c r="G594"/>
  <c r="F716"/>
  <c r="F730"/>
  <c r="K56"/>
  <c r="I214"/>
  <c r="J274"/>
  <c r="F327"/>
  <c r="I401"/>
  <c r="K510"/>
  <c r="I642"/>
  <c r="J68"/>
  <c r="J364"/>
  <c r="J522"/>
  <c r="I618"/>
  <c r="K226"/>
  <c r="F534"/>
  <c r="F742"/>
  <c r="H20"/>
  <c r="H92"/>
  <c r="G238"/>
  <c r="F286"/>
  <c r="G461"/>
  <c r="H413"/>
  <c r="H582"/>
  <c r="H692"/>
  <c r="F130"/>
  <c r="H449"/>
  <c r="H546"/>
  <c r="G666"/>
  <c r="E570"/>
  <c r="D786"/>
  <c r="D104"/>
  <c r="D250"/>
  <c r="F352"/>
  <c r="E437"/>
  <c r="E630"/>
  <c r="E166"/>
  <c r="J339"/>
  <c r="E473"/>
  <c r="F594"/>
  <c r="D716"/>
  <c r="G730"/>
  <c r="F56"/>
  <c r="G214"/>
  <c r="H274"/>
  <c r="G327"/>
  <c r="G401"/>
  <c r="F510"/>
  <c r="G642"/>
  <c r="H68"/>
  <c r="H364"/>
  <c r="H522"/>
  <c r="H226"/>
  <c r="E534"/>
  <c r="D742"/>
  <c r="D20"/>
  <c r="D238"/>
  <c r="D286"/>
  <c r="E461"/>
  <c r="E582"/>
  <c r="D692"/>
  <c r="E449"/>
  <c r="D546"/>
  <c r="K666"/>
  <c r="J570"/>
  <c r="I786"/>
  <c r="K32"/>
  <c r="K104"/>
  <c r="J250"/>
  <c r="J303"/>
  <c r="I437"/>
  <c r="J630"/>
  <c r="I764"/>
  <c r="I166"/>
  <c r="E339"/>
  <c r="K473"/>
  <c r="H594"/>
  <c r="J716"/>
  <c r="D8"/>
  <c r="K8"/>
  <c r="H8"/>
  <c r="H730"/>
  <c r="E214"/>
  <c r="E274"/>
  <c r="E401"/>
  <c r="D510"/>
  <c r="D68"/>
  <c r="E364"/>
  <c r="F618"/>
  <c r="E226"/>
  <c r="K534"/>
  <c r="K742"/>
  <c r="I20"/>
  <c r="I92"/>
  <c r="K238"/>
  <c r="J286"/>
  <c r="K413"/>
  <c r="K582"/>
  <c r="K692"/>
  <c r="I130"/>
  <c r="K449"/>
  <c r="K546"/>
  <c r="J666"/>
  <c r="H570"/>
  <c r="G786"/>
  <c r="F32"/>
  <c r="F104"/>
  <c r="H250"/>
  <c r="H303"/>
  <c r="E352"/>
  <c r="H437"/>
  <c r="F630"/>
  <c r="H764"/>
  <c r="H166"/>
  <c r="D339"/>
  <c r="G473"/>
  <c r="E594"/>
  <c r="G716"/>
  <c r="K730"/>
  <c r="I730"/>
  <c r="I56"/>
  <c r="J214"/>
  <c r="K274"/>
  <c r="J327"/>
  <c r="J401"/>
  <c r="I510"/>
  <c r="J642"/>
  <c r="K68"/>
  <c r="K364"/>
  <c r="K522"/>
  <c r="J618"/>
  <c r="I226"/>
  <c r="G534"/>
  <c r="H742"/>
  <c r="F20"/>
  <c r="F92"/>
  <c r="H238"/>
  <c r="G286"/>
  <c r="H461"/>
  <c r="F413"/>
  <c r="F582"/>
  <c r="F692"/>
  <c r="G130"/>
  <c r="F449"/>
  <c r="F546"/>
  <c r="E666"/>
  <c r="E786"/>
  <c r="E32"/>
  <c r="E250"/>
  <c r="D303"/>
  <c r="D352"/>
  <c r="D630"/>
  <c r="D764"/>
  <c r="G339"/>
  <c r="F473"/>
  <c r="D594"/>
  <c r="E716"/>
  <c r="G56"/>
  <c r="H214"/>
  <c r="F274"/>
  <c r="E327"/>
  <c r="H401"/>
  <c r="G510"/>
  <c r="H642"/>
  <c r="F68"/>
  <c r="F364"/>
  <c r="F522"/>
  <c r="G618"/>
  <c r="F226"/>
  <c r="I742"/>
  <c r="E20"/>
  <c r="D92"/>
  <c r="E286"/>
  <c r="F461"/>
  <c r="D413"/>
  <c r="E692"/>
  <c r="D130"/>
  <c r="E546"/>
  <c r="F666"/>
  <c r="K570"/>
  <c r="J786"/>
  <c r="I32"/>
  <c r="I104"/>
  <c r="K250"/>
  <c r="K303"/>
  <c r="J352"/>
  <c r="J437"/>
  <c r="K630"/>
  <c r="J764"/>
  <c r="J166"/>
  <c r="I339"/>
  <c r="J594"/>
  <c r="K716"/>
  <c r="F8"/>
  <c r="J8"/>
  <c r="J730"/>
  <c r="D56"/>
  <c r="D274"/>
  <c r="D327"/>
  <c r="E510"/>
  <c r="D642"/>
  <c r="D364"/>
  <c r="E522"/>
  <c r="D618"/>
  <c r="I534"/>
  <c r="J742"/>
  <c r="J20"/>
  <c r="J92"/>
  <c r="I238"/>
  <c r="K286"/>
  <c r="K461"/>
  <c r="I413"/>
  <c r="I582"/>
  <c r="I692"/>
  <c r="J130"/>
  <c r="I449"/>
  <c r="I546"/>
  <c r="F570"/>
  <c r="H786"/>
  <c r="G32"/>
  <c r="G104"/>
  <c r="F250"/>
  <c r="F303"/>
  <c r="K352"/>
  <c r="F437"/>
  <c r="G630"/>
  <c r="F764"/>
  <c r="F166"/>
  <c r="K339"/>
  <c r="H473"/>
  <c r="I594"/>
  <c r="H716"/>
  <c r="E730"/>
  <c r="J56"/>
  <c r="K214"/>
  <c r="I274"/>
  <c r="I327"/>
  <c r="K401"/>
  <c r="J510"/>
  <c r="K642"/>
  <c r="I68"/>
  <c r="I364"/>
  <c r="I522"/>
  <c r="K618"/>
  <c r="J226"/>
  <c r="H534"/>
  <c r="G742"/>
  <c r="G20"/>
  <c r="G92"/>
  <c r="F238"/>
  <c r="H286"/>
  <c r="I461"/>
  <c r="G413"/>
  <c r="G582"/>
  <c r="G692"/>
  <c r="H130"/>
  <c r="G449"/>
  <c r="G546"/>
  <c r="I666"/>
  <c r="D570"/>
  <c r="D32"/>
  <c r="E104"/>
  <c r="E303"/>
  <c r="H352"/>
  <c r="D437"/>
  <c r="E764"/>
  <c r="D166"/>
  <c r="I473"/>
  <c r="D473"/>
  <c r="K594"/>
  <c r="I42" i="140"/>
  <c r="G53" i="141"/>
  <c r="H56" i="135"/>
  <c r="F214"/>
  <c r="G274"/>
  <c r="H327"/>
  <c r="F401"/>
  <c r="H510"/>
  <c r="F642"/>
  <c r="G68"/>
  <c r="G364"/>
  <c r="G522"/>
  <c r="H618"/>
  <c r="G226"/>
  <c r="D534"/>
  <c r="E742"/>
  <c r="E92"/>
  <c r="E238"/>
  <c r="D461"/>
  <c r="E413"/>
  <c r="D582"/>
  <c r="E130"/>
  <c r="D449"/>
  <c r="D666"/>
  <c r="I570"/>
  <c r="K786"/>
  <c r="J32"/>
  <c r="J104"/>
  <c r="I250"/>
  <c r="I303"/>
  <c r="I352"/>
  <c r="K437"/>
  <c r="I630"/>
  <c r="K764"/>
  <c r="K166"/>
  <c r="H339"/>
  <c r="J473"/>
  <c r="I716"/>
  <c r="E8"/>
  <c r="I8"/>
  <c r="G8"/>
  <c r="I42" i="141"/>
  <c r="G53" i="140"/>
  <c r="J389" i="135"/>
  <c r="I116"/>
  <c r="F202"/>
  <c r="K484"/>
  <c r="D606"/>
  <c r="J704"/>
  <c r="J425"/>
  <c r="K315"/>
  <c r="I498"/>
  <c r="J154"/>
  <c r="K654"/>
  <c r="I44"/>
  <c r="K262"/>
  <c r="K178"/>
  <c r="E377"/>
  <c r="E775"/>
  <c r="K190"/>
  <c r="G680"/>
  <c r="K680"/>
  <c r="G753"/>
  <c r="F389"/>
  <c r="H116"/>
  <c r="H202"/>
  <c r="F484"/>
  <c r="G704"/>
  <c r="G425"/>
  <c r="H315"/>
  <c r="F498"/>
  <c r="G154"/>
  <c r="H654"/>
  <c r="F44"/>
  <c r="H262"/>
  <c r="H178"/>
  <c r="H53" i="141"/>
  <c r="I377" i="135"/>
  <c r="K775"/>
  <c r="J558"/>
  <c r="F680"/>
  <c r="K80"/>
  <c r="E753"/>
  <c r="E116"/>
  <c r="E484"/>
  <c r="I606"/>
  <c r="E704"/>
  <c r="D425"/>
  <c r="J315"/>
  <c r="D154"/>
  <c r="D654"/>
  <c r="E262"/>
  <c r="D178"/>
  <c r="F377"/>
  <c r="H775"/>
  <c r="E190"/>
  <c r="H558"/>
  <c r="F80"/>
  <c r="D753"/>
  <c r="J202"/>
  <c r="H53" i="140"/>
  <c r="K389" i="135"/>
  <c r="J116"/>
  <c r="K202"/>
  <c r="I484"/>
  <c r="K606"/>
  <c r="K704"/>
  <c r="K425"/>
  <c r="I315"/>
  <c r="J498"/>
  <c r="K154"/>
  <c r="I654"/>
  <c r="J44"/>
  <c r="I262"/>
  <c r="I178"/>
  <c r="D775"/>
  <c r="F190"/>
  <c r="E558"/>
  <c r="I680"/>
  <c r="D80"/>
  <c r="G389"/>
  <c r="F116"/>
  <c r="D202"/>
  <c r="G484"/>
  <c r="H606"/>
  <c r="H704"/>
  <c r="H425"/>
  <c r="F315"/>
  <c r="G498"/>
  <c r="H154"/>
  <c r="F654"/>
  <c r="G44"/>
  <c r="F262"/>
  <c r="F178"/>
  <c r="J377"/>
  <c r="I775"/>
  <c r="H190"/>
  <c r="K558"/>
  <c r="I80"/>
  <c r="J753"/>
  <c r="E389"/>
  <c r="E202"/>
  <c r="F606"/>
  <c r="D704"/>
  <c r="E315"/>
  <c r="D498"/>
  <c r="E654"/>
  <c r="D44"/>
  <c r="E178"/>
  <c r="G377"/>
  <c r="F775"/>
  <c r="I190"/>
  <c r="F558"/>
  <c r="E680"/>
  <c r="G80"/>
  <c r="F753"/>
  <c r="I389"/>
  <c r="K116"/>
  <c r="G202"/>
  <c r="J484"/>
  <c r="G606"/>
  <c r="I704"/>
  <c r="I425"/>
  <c r="G315"/>
  <c r="K498"/>
  <c r="I154"/>
  <c r="J654"/>
  <c r="K44"/>
  <c r="J262"/>
  <c r="J178"/>
  <c r="D377"/>
  <c r="D190"/>
  <c r="D558"/>
  <c r="D680"/>
  <c r="E80"/>
  <c r="H753"/>
  <c r="H389"/>
  <c r="G116"/>
  <c r="H484"/>
  <c r="J606"/>
  <c r="F704"/>
  <c r="F425"/>
  <c r="D315"/>
  <c r="H498"/>
  <c r="F154"/>
  <c r="G654"/>
  <c r="H44"/>
  <c r="G262"/>
  <c r="G178"/>
  <c r="K377"/>
  <c r="J775"/>
  <c r="J190"/>
  <c r="I558"/>
  <c r="H680"/>
  <c r="J80"/>
  <c r="I753"/>
  <c r="D389"/>
  <c r="D116"/>
  <c r="D484"/>
  <c r="E606"/>
  <c r="E425"/>
  <c r="E498"/>
  <c r="E154"/>
  <c r="E44"/>
  <c r="D262"/>
  <c r="H377"/>
  <c r="G775"/>
  <c r="G190"/>
  <c r="G558"/>
  <c r="J680"/>
  <c r="H80"/>
  <c r="K753"/>
  <c r="I202"/>
  <c r="I53" i="141"/>
  <c r="I53" i="140"/>
  <c r="B691" i="135"/>
  <c r="B524" i="130"/>
  <c r="C848" i="111"/>
  <c r="C679" i="135"/>
  <c r="B691" i="106"/>
  <c r="B863" i="111"/>
  <c r="C515" i="105"/>
  <c r="C679" i="106"/>
  <c r="C516" i="7"/>
  <c r="C524" i="130" s="1"/>
  <c r="B524" i="105"/>
  <c r="B308" i="114"/>
  <c r="C308" s="1"/>
  <c r="A317"/>
  <c r="B525" i="7"/>
  <c r="A534"/>
  <c r="H31" i="141" l="1"/>
  <c r="F23" i="142"/>
  <c r="F35" i="141"/>
  <c r="I56" i="142"/>
  <c r="E56"/>
  <c r="H55"/>
  <c r="G55"/>
  <c r="N479" i="130"/>
  <c r="N139"/>
  <c r="N344"/>
  <c r="N464"/>
  <c r="N31"/>
  <c r="N373"/>
  <c r="N182"/>
  <c r="N482"/>
  <c r="N186"/>
  <c r="N564"/>
  <c r="N342"/>
  <c r="N480"/>
  <c r="N92"/>
  <c r="N185"/>
  <c r="N28"/>
  <c r="N465"/>
  <c r="N184"/>
  <c r="N345"/>
  <c r="N463"/>
  <c r="N371"/>
  <c r="N398"/>
  <c r="N343"/>
  <c r="N372"/>
  <c r="N462"/>
  <c r="N481"/>
  <c r="N591"/>
  <c r="N346"/>
  <c r="N483"/>
  <c r="N369"/>
  <c r="N461"/>
  <c r="N402"/>
  <c r="N183"/>
  <c r="N370"/>
  <c r="N261"/>
  <c r="N355"/>
  <c r="N429"/>
  <c r="N499"/>
  <c r="N573"/>
  <c r="N75"/>
  <c r="N82"/>
  <c r="N102"/>
  <c r="N202"/>
  <c r="N497"/>
  <c r="N604"/>
  <c r="N30"/>
  <c r="N252"/>
  <c r="N113"/>
  <c r="N292"/>
  <c r="N307"/>
  <c r="N324"/>
  <c r="N352"/>
  <c r="N392"/>
  <c r="N417"/>
  <c r="N444"/>
  <c r="N474"/>
  <c r="N510"/>
  <c r="N519"/>
  <c r="N583"/>
  <c r="N19"/>
  <c r="N37"/>
  <c r="N67"/>
  <c r="N85"/>
  <c r="N121"/>
  <c r="N159"/>
  <c r="N209"/>
  <c r="N222"/>
  <c r="N193"/>
  <c r="N489"/>
  <c r="N317"/>
  <c r="N438"/>
  <c r="N602"/>
  <c r="N243"/>
  <c r="N149"/>
  <c r="N316"/>
  <c r="N361"/>
  <c r="N273"/>
  <c r="N281"/>
  <c r="N326"/>
  <c r="N335"/>
  <c r="N384"/>
  <c r="N420"/>
  <c r="N472"/>
  <c r="N548"/>
  <c r="N575"/>
  <c r="N58"/>
  <c r="N94"/>
  <c r="N157"/>
  <c r="N544"/>
  <c r="N325"/>
  <c r="N251"/>
  <c r="N603"/>
  <c r="N148"/>
  <c r="N271"/>
  <c r="N290"/>
  <c r="N382"/>
  <c r="N408"/>
  <c r="N428"/>
  <c r="N455"/>
  <c r="N470"/>
  <c r="N518"/>
  <c r="N529"/>
  <c r="N538"/>
  <c r="N547"/>
  <c r="N577"/>
  <c r="N594"/>
  <c r="N21"/>
  <c r="N66"/>
  <c r="N73"/>
  <c r="N91"/>
  <c r="N122"/>
  <c r="N129"/>
  <c r="N176"/>
  <c r="N212"/>
  <c r="N426"/>
  <c r="N46"/>
  <c r="N27"/>
  <c r="N437"/>
  <c r="N48"/>
  <c r="N601"/>
  <c r="N491"/>
  <c r="N29"/>
  <c r="N360"/>
  <c r="N262"/>
  <c r="N310"/>
  <c r="N419"/>
  <c r="N445"/>
  <c r="N557"/>
  <c r="N57"/>
  <c r="N84"/>
  <c r="N104"/>
  <c r="N175"/>
  <c r="N211"/>
  <c r="N164"/>
  <c r="N435"/>
  <c r="N436"/>
  <c r="N565"/>
  <c r="N289"/>
  <c r="N297"/>
  <c r="N327"/>
  <c r="N353"/>
  <c r="N393"/>
  <c r="N418"/>
  <c r="N446"/>
  <c r="N456"/>
  <c r="N498"/>
  <c r="N520"/>
  <c r="N585"/>
  <c r="N592"/>
  <c r="N18"/>
  <c r="N55"/>
  <c r="N76"/>
  <c r="N105"/>
  <c r="N130"/>
  <c r="N210"/>
  <c r="N221"/>
  <c r="N506"/>
  <c r="N434"/>
  <c r="N318"/>
  <c r="N600"/>
  <c r="N110"/>
  <c r="N400"/>
  <c r="N242"/>
  <c r="N241"/>
  <c r="N245"/>
  <c r="N112"/>
  <c r="N259"/>
  <c r="N269"/>
  <c r="N309"/>
  <c r="N337"/>
  <c r="N354"/>
  <c r="N390"/>
  <c r="N452"/>
  <c r="N535"/>
  <c r="N556"/>
  <c r="N38"/>
  <c r="N74"/>
  <c r="N156"/>
  <c r="N219"/>
  <c r="N119"/>
  <c r="N166"/>
  <c r="N568"/>
  <c r="N527"/>
  <c r="N263"/>
  <c r="N270"/>
  <c r="N282"/>
  <c r="N336"/>
  <c r="N389"/>
  <c r="N411"/>
  <c r="N453"/>
  <c r="N471"/>
  <c r="N508"/>
  <c r="N528"/>
  <c r="N536"/>
  <c r="N546"/>
  <c r="N555"/>
  <c r="N593"/>
  <c r="N20"/>
  <c r="N56"/>
  <c r="N123"/>
  <c r="N131"/>
  <c r="N173"/>
  <c r="N204"/>
  <c r="N416"/>
  <c r="N407"/>
  <c r="N168"/>
  <c r="N192"/>
  <c r="N490"/>
  <c r="N253"/>
  <c r="N254"/>
  <c r="N364"/>
  <c r="N260"/>
  <c r="N291"/>
  <c r="N383"/>
  <c r="N427"/>
  <c r="N530"/>
  <c r="N576"/>
  <c r="N93"/>
  <c r="N174"/>
  <c r="N201"/>
  <c r="N167"/>
  <c r="N319"/>
  <c r="N566"/>
  <c r="N150"/>
  <c r="N280"/>
  <c r="N301"/>
  <c r="N308"/>
  <c r="N334"/>
  <c r="N381"/>
  <c r="N409"/>
  <c r="N425"/>
  <c r="N454"/>
  <c r="N501"/>
  <c r="N507"/>
  <c r="N545"/>
  <c r="N582"/>
  <c r="N22"/>
  <c r="N40"/>
  <c r="N65"/>
  <c r="N83"/>
  <c r="N120"/>
  <c r="N200"/>
  <c r="N220"/>
  <c r="N517"/>
  <c r="N47"/>
  <c r="N177"/>
  <c r="N49"/>
  <c r="N191"/>
  <c r="N140"/>
  <c r="N195"/>
  <c r="N244"/>
  <c r="N363"/>
  <c r="N114"/>
  <c r="N272"/>
  <c r="N299"/>
  <c r="N328"/>
  <c r="N351"/>
  <c r="N391"/>
  <c r="N443"/>
  <c r="N509"/>
  <c r="N558"/>
  <c r="N586"/>
  <c r="N64"/>
  <c r="N101"/>
  <c r="N213"/>
  <c r="N72"/>
  <c r="N138"/>
  <c r="N250"/>
  <c r="N401"/>
  <c r="N137"/>
  <c r="N279"/>
  <c r="N300"/>
  <c r="N380"/>
  <c r="N410"/>
  <c r="N447"/>
  <c r="N473"/>
  <c r="N500"/>
  <c r="N521"/>
  <c r="N537"/>
  <c r="N539"/>
  <c r="N559"/>
  <c r="N584"/>
  <c r="N595"/>
  <c r="N39"/>
  <c r="N103"/>
  <c r="N132"/>
  <c r="N158"/>
  <c r="N203"/>
  <c r="N218"/>
  <c r="N333"/>
  <c r="N492"/>
  <c r="N147"/>
  <c r="N141"/>
  <c r="N165"/>
  <c r="N194"/>
  <c r="N567"/>
  <c r="N362"/>
  <c r="N574"/>
  <c r="N155"/>
  <c r="N306"/>
  <c r="N36"/>
  <c r="N128"/>
  <c r="N298"/>
  <c r="N45"/>
  <c r="N81"/>
  <c r="N111"/>
  <c r="N278"/>
  <c r="N90"/>
  <c r="N488"/>
  <c r="N63"/>
  <c r="N54"/>
  <c r="N526"/>
  <c r="N288"/>
  <c r="N232"/>
  <c r="N13"/>
  <c r="N399"/>
  <c r="N10"/>
  <c r="N233"/>
  <c r="N9"/>
  <c r="N234"/>
  <c r="N12"/>
  <c r="N235"/>
  <c r="N11"/>
  <c r="N236"/>
  <c r="N145"/>
  <c r="N163"/>
  <c r="N44"/>
  <c r="N563"/>
  <c r="N109"/>
  <c r="N478"/>
  <c r="N397"/>
  <c r="N172"/>
  <c r="N314"/>
  <c r="N368"/>
  <c r="N341"/>
  <c r="N181"/>
  <c r="N460"/>
  <c r="N525"/>
  <c r="N590"/>
  <c r="N487"/>
  <c r="N433"/>
  <c r="N599"/>
  <c r="N136"/>
  <c r="N359"/>
  <c r="N26"/>
  <c r="N554"/>
  <c r="N8"/>
  <c r="N35"/>
  <c r="N53"/>
  <c r="N80"/>
  <c r="N496"/>
  <c r="N17"/>
  <c r="N277"/>
  <c r="N388"/>
  <c r="N572"/>
  <c r="N62"/>
  <c r="N208"/>
  <c r="N543"/>
  <c r="N516"/>
  <c r="N379"/>
  <c r="N249"/>
  <c r="N534"/>
  <c r="N451"/>
  <c r="N296"/>
  <c r="N406"/>
  <c r="N442"/>
  <c r="N323"/>
  <c r="N415"/>
  <c r="N118"/>
  <c r="N258"/>
  <c r="N581"/>
  <c r="N100"/>
  <c r="N268"/>
  <c r="N287"/>
  <c r="N231"/>
  <c r="N315"/>
  <c r="N190"/>
  <c r="N240"/>
  <c r="N146"/>
  <c r="N505"/>
  <c r="N350"/>
  <c r="N424"/>
  <c r="N127"/>
  <c r="N154"/>
  <c r="N71"/>
  <c r="N305"/>
  <c r="N89"/>
  <c r="N332"/>
  <c r="N469"/>
  <c r="N199"/>
  <c r="N217"/>
  <c r="H35" i="141"/>
  <c r="H69" s="1"/>
  <c r="H92" s="1"/>
  <c r="H24" i="142"/>
  <c r="H25" i="141"/>
  <c r="H79" s="1"/>
  <c r="E32"/>
  <c r="E66" s="1"/>
  <c r="E89" s="1"/>
  <c r="H22" i="142"/>
  <c r="I32" i="141"/>
  <c r="I66" s="1"/>
  <c r="I89" s="1"/>
  <c r="I33"/>
  <c r="I67" s="1"/>
  <c r="I90" s="1"/>
  <c r="G31"/>
  <c r="G65" s="1"/>
  <c r="G88" s="1"/>
  <c r="H33"/>
  <c r="H67" s="1"/>
  <c r="H90" s="1"/>
  <c r="E25"/>
  <c r="E79" s="1"/>
  <c r="I25"/>
  <c r="I79" s="1"/>
  <c r="H32"/>
  <c r="H66" s="1"/>
  <c r="H89" s="1"/>
  <c r="G20" i="142"/>
  <c r="I20"/>
  <c r="I31" i="141"/>
  <c r="I65" s="1"/>
  <c r="I88" s="1"/>
  <c r="E22" i="142"/>
  <c r="E34" i="141"/>
  <c r="E68" s="1"/>
  <c r="E91" s="1"/>
  <c r="G25"/>
  <c r="G79" s="1"/>
  <c r="F25"/>
  <c r="F79" s="1"/>
  <c r="E33"/>
  <c r="E67" s="1"/>
  <c r="E90" s="1"/>
  <c r="I34"/>
  <c r="I68" s="1"/>
  <c r="I91" s="1"/>
  <c r="F34"/>
  <c r="F68" s="1"/>
  <c r="F91" s="1"/>
  <c r="F20" i="142"/>
  <c r="F31" i="141"/>
  <c r="F65" s="1"/>
  <c r="F88" s="1"/>
  <c r="E374" i="135"/>
  <c r="I59" i="141"/>
  <c r="I82" s="1"/>
  <c r="H374" i="135"/>
  <c r="I57" i="142"/>
  <c r="K374" i="135"/>
  <c r="F54" i="142"/>
  <c r="H495" i="135"/>
  <c r="J495"/>
  <c r="H59" i="141"/>
  <c r="H82" s="1"/>
  <c r="I374" i="135"/>
  <c r="H56" i="142"/>
  <c r="H57"/>
  <c r="E59" i="140"/>
  <c r="F69" i="141"/>
  <c r="F92" s="1"/>
  <c r="I127" i="135"/>
  <c r="F349"/>
  <c r="J796"/>
  <c r="G57" i="142"/>
  <c r="F374" i="135"/>
  <c r="G374"/>
  <c r="E727"/>
  <c r="I69" i="141"/>
  <c r="I92" s="1"/>
  <c r="I54" i="142"/>
  <c r="H54"/>
  <c r="G58"/>
  <c r="G56"/>
  <c r="E57"/>
  <c r="E55"/>
  <c r="E42"/>
  <c r="E48" i="140"/>
  <c r="G47" i="142"/>
  <c r="F45"/>
  <c r="F47"/>
  <c r="F44"/>
  <c r="E43"/>
  <c r="E44"/>
  <c r="F19"/>
  <c r="F11"/>
  <c r="F33" i="140"/>
  <c r="F67" s="1"/>
  <c r="H33"/>
  <c r="H67" s="1"/>
  <c r="H11" i="142"/>
  <c r="F14" i="140"/>
  <c r="F30"/>
  <c r="F64" s="1"/>
  <c r="F8" i="142"/>
  <c r="E8"/>
  <c r="E14" i="140"/>
  <c r="E30"/>
  <c r="E30" i="141"/>
  <c r="E64" s="1"/>
  <c r="E14"/>
  <c r="E78" s="1"/>
  <c r="G10" i="142"/>
  <c r="F12"/>
  <c r="F34" s="1"/>
  <c r="F34" i="140"/>
  <c r="F68" s="1"/>
  <c r="F10" i="142"/>
  <c r="G12"/>
  <c r="G34" i="140"/>
  <c r="G68" s="1"/>
  <c r="I13" i="142"/>
  <c r="I35" i="140"/>
  <c r="I69" s="1"/>
  <c r="E33"/>
  <c r="E67" s="1"/>
  <c r="E11" i="142"/>
  <c r="P1" i="130"/>
  <c r="O319"/>
  <c r="O373"/>
  <c r="O464"/>
  <c r="O482"/>
  <c r="O149"/>
  <c r="O183"/>
  <c r="O40"/>
  <c r="O443"/>
  <c r="O400"/>
  <c r="O245"/>
  <c r="O344"/>
  <c r="O398"/>
  <c r="O480"/>
  <c r="O137"/>
  <c r="O182"/>
  <c r="O371"/>
  <c r="O298"/>
  <c r="O474"/>
  <c r="O139"/>
  <c r="O250"/>
  <c r="O343"/>
  <c r="O408"/>
  <c r="O463"/>
  <c r="O184"/>
  <c r="O363"/>
  <c r="O369"/>
  <c r="O362"/>
  <c r="O168"/>
  <c r="O595"/>
  <c r="O174"/>
  <c r="O252"/>
  <c r="O315"/>
  <c r="O462"/>
  <c r="O483"/>
  <c r="O361"/>
  <c r="O336"/>
  <c r="O492"/>
  <c r="O254"/>
  <c r="O346"/>
  <c r="O370"/>
  <c r="O436"/>
  <c r="O601"/>
  <c r="O146"/>
  <c r="O564"/>
  <c r="O121"/>
  <c r="O167"/>
  <c r="O112"/>
  <c r="O399"/>
  <c r="O242"/>
  <c r="O317"/>
  <c r="O372"/>
  <c r="O465"/>
  <c r="O141"/>
  <c r="O140"/>
  <c r="O37"/>
  <c r="O445"/>
  <c r="O490"/>
  <c r="O186"/>
  <c r="O342"/>
  <c r="O410"/>
  <c r="O481"/>
  <c r="O491"/>
  <c r="O360"/>
  <c r="O301"/>
  <c r="O251"/>
  <c r="O316"/>
  <c r="O407"/>
  <c r="O110"/>
  <c r="O337"/>
  <c r="O119"/>
  <c r="O165"/>
  <c r="O113"/>
  <c r="O447"/>
  <c r="O241"/>
  <c r="O253"/>
  <c r="O345"/>
  <c r="O461"/>
  <c r="O479"/>
  <c r="O185"/>
  <c r="O364"/>
  <c r="O473"/>
  <c r="O334"/>
  <c r="O506"/>
  <c r="O488"/>
  <c r="O269"/>
  <c r="O270"/>
  <c r="O290"/>
  <c r="O299"/>
  <c r="O324"/>
  <c r="O352"/>
  <c r="O381"/>
  <c r="O420"/>
  <c r="O510"/>
  <c r="O519"/>
  <c r="O547"/>
  <c r="O557"/>
  <c r="O584"/>
  <c r="O582"/>
  <c r="O593"/>
  <c r="O591"/>
  <c r="O29"/>
  <c r="O64"/>
  <c r="O94"/>
  <c r="O101"/>
  <c r="O129"/>
  <c r="O156"/>
  <c r="O210"/>
  <c r="O222"/>
  <c r="O82"/>
  <c r="O177"/>
  <c r="O39"/>
  <c r="O22"/>
  <c r="O114"/>
  <c r="O47"/>
  <c r="O148"/>
  <c r="O289"/>
  <c r="O500"/>
  <c r="O530"/>
  <c r="O548"/>
  <c r="O559"/>
  <c r="O19"/>
  <c r="O31"/>
  <c r="O54"/>
  <c r="O85"/>
  <c r="O91"/>
  <c r="O209"/>
  <c r="O335"/>
  <c r="O437"/>
  <c r="O318"/>
  <c r="O176"/>
  <c r="O259"/>
  <c r="O281"/>
  <c r="O380"/>
  <c r="O261"/>
  <c r="O278"/>
  <c r="O306"/>
  <c r="O382"/>
  <c r="O391"/>
  <c r="O426"/>
  <c r="O456"/>
  <c r="O497"/>
  <c r="O517"/>
  <c r="O535"/>
  <c r="O567"/>
  <c r="O592"/>
  <c r="O36"/>
  <c r="O56"/>
  <c r="O75"/>
  <c r="O105"/>
  <c r="O130"/>
  <c r="O159"/>
  <c r="O204"/>
  <c r="O221"/>
  <c r="O429"/>
  <c r="O333"/>
  <c r="O164"/>
  <c r="O471"/>
  <c r="O401"/>
  <c r="O438"/>
  <c r="O271"/>
  <c r="O291"/>
  <c r="O300"/>
  <c r="O328"/>
  <c r="O353"/>
  <c r="O393"/>
  <c r="O417"/>
  <c r="O427"/>
  <c r="O509"/>
  <c r="O518"/>
  <c r="O536"/>
  <c r="O544"/>
  <c r="O577"/>
  <c r="O586"/>
  <c r="O594"/>
  <c r="O65"/>
  <c r="O102"/>
  <c r="O131"/>
  <c r="O158"/>
  <c r="O213"/>
  <c r="O211"/>
  <c r="O472"/>
  <c r="O93"/>
  <c r="O470"/>
  <c r="O565"/>
  <c r="O193"/>
  <c r="O243"/>
  <c r="O604"/>
  <c r="O280"/>
  <c r="O310"/>
  <c r="O419"/>
  <c r="O501"/>
  <c r="O526"/>
  <c r="O539"/>
  <c r="O556"/>
  <c r="O576"/>
  <c r="O585"/>
  <c r="O20"/>
  <c r="O28"/>
  <c r="O38"/>
  <c r="O55"/>
  <c r="O74"/>
  <c r="O81"/>
  <c r="O203"/>
  <c r="O218"/>
  <c r="O120"/>
  <c r="O122"/>
  <c r="O194"/>
  <c r="O411"/>
  <c r="O402"/>
  <c r="O600"/>
  <c r="O603"/>
  <c r="O435"/>
  <c r="O279"/>
  <c r="O354"/>
  <c r="O262"/>
  <c r="O272"/>
  <c r="O292"/>
  <c r="O326"/>
  <c r="O383"/>
  <c r="O392"/>
  <c r="O428"/>
  <c r="O452"/>
  <c r="O454"/>
  <c r="O507"/>
  <c r="O537"/>
  <c r="O566"/>
  <c r="O575"/>
  <c r="O30"/>
  <c r="O66"/>
  <c r="O72"/>
  <c r="O90"/>
  <c r="O155"/>
  <c r="O192"/>
  <c r="O175"/>
  <c r="O444"/>
  <c r="O434"/>
  <c r="O46"/>
  <c r="O260"/>
  <c r="O282"/>
  <c r="O297"/>
  <c r="O307"/>
  <c r="O327"/>
  <c r="O351"/>
  <c r="O390"/>
  <c r="O418"/>
  <c r="O499"/>
  <c r="O521"/>
  <c r="O527"/>
  <c r="O529"/>
  <c r="O545"/>
  <c r="O568"/>
  <c r="O583"/>
  <c r="O58"/>
  <c r="O73"/>
  <c r="O92"/>
  <c r="O104"/>
  <c r="O132"/>
  <c r="O157"/>
  <c r="O201"/>
  <c r="O212"/>
  <c r="O219"/>
  <c r="O355"/>
  <c r="O166"/>
  <c r="O195"/>
  <c r="O191"/>
  <c r="O489"/>
  <c r="O409"/>
  <c r="O308"/>
  <c r="O425"/>
  <c r="O453"/>
  <c r="O498"/>
  <c r="O520"/>
  <c r="O538"/>
  <c r="O558"/>
  <c r="O573"/>
  <c r="O18"/>
  <c r="O27"/>
  <c r="O57"/>
  <c r="O63"/>
  <c r="O84"/>
  <c r="O200"/>
  <c r="O220"/>
  <c r="O147"/>
  <c r="O123"/>
  <c r="O244"/>
  <c r="O446"/>
  <c r="O49"/>
  <c r="O150"/>
  <c r="O273"/>
  <c r="O309"/>
  <c r="O325"/>
  <c r="O263"/>
  <c r="O288"/>
  <c r="O384"/>
  <c r="O389"/>
  <c r="O416"/>
  <c r="O455"/>
  <c r="O508"/>
  <c r="O528"/>
  <c r="O555"/>
  <c r="O574"/>
  <c r="O67"/>
  <c r="O76"/>
  <c r="O83"/>
  <c r="O103"/>
  <c r="O128"/>
  <c r="O202"/>
  <c r="O546"/>
  <c r="O21"/>
  <c r="O173"/>
  <c r="O602"/>
  <c r="O138"/>
  <c r="O45"/>
  <c r="O48"/>
  <c r="O233"/>
  <c r="O11"/>
  <c r="O235"/>
  <c r="O13"/>
  <c r="O236"/>
  <c r="O9"/>
  <c r="O12"/>
  <c r="O234"/>
  <c r="O10"/>
  <c r="O232"/>
  <c r="O572"/>
  <c r="O332"/>
  <c r="O554"/>
  <c r="O287"/>
  <c r="O231"/>
  <c r="O100"/>
  <c r="O199"/>
  <c r="O359"/>
  <c r="O563"/>
  <c r="O599"/>
  <c r="O190"/>
  <c r="O53"/>
  <c r="O460"/>
  <c r="O240"/>
  <c r="O525"/>
  <c r="O424"/>
  <c r="O277"/>
  <c r="O314"/>
  <c r="O217"/>
  <c r="O71"/>
  <c r="O80"/>
  <c r="O590"/>
  <c r="O323"/>
  <c r="O154"/>
  <c r="O516"/>
  <c r="O268"/>
  <c r="O379"/>
  <c r="O163"/>
  <c r="O17"/>
  <c r="O433"/>
  <c r="O305"/>
  <c r="O136"/>
  <c r="O451"/>
  <c r="O415"/>
  <c r="O341"/>
  <c r="O118"/>
  <c r="O26"/>
  <c r="O249"/>
  <c r="O505"/>
  <c r="O44"/>
  <c r="O368"/>
  <c r="O145"/>
  <c r="O496"/>
  <c r="O397"/>
  <c r="O258"/>
  <c r="O388"/>
  <c r="O8"/>
  <c r="O543"/>
  <c r="O62"/>
  <c r="O469"/>
  <c r="O350"/>
  <c r="O172"/>
  <c r="O35"/>
  <c r="O534"/>
  <c r="O406"/>
  <c r="O296"/>
  <c r="O181"/>
  <c r="O89"/>
  <c r="O127"/>
  <c r="O487"/>
  <c r="O109"/>
  <c r="O442"/>
  <c r="O208"/>
  <c r="O581"/>
  <c r="O478"/>
  <c r="F58" i="142"/>
  <c r="F56"/>
  <c r="E54"/>
  <c r="E58"/>
  <c r="H34" i="141"/>
  <c r="H68" s="1"/>
  <c r="H91" s="1"/>
  <c r="F33"/>
  <c r="F67" s="1"/>
  <c r="F90" s="1"/>
  <c r="E24" i="142"/>
  <c r="E35" i="141"/>
  <c r="E69" s="1"/>
  <c r="E92" s="1"/>
  <c r="F22" i="142"/>
  <c r="E20"/>
  <c r="I24"/>
  <c r="G53"/>
  <c r="G59" i="140"/>
  <c r="I42" i="142"/>
  <c r="I48" i="141"/>
  <c r="I81" s="1"/>
  <c r="I48" i="140"/>
  <c r="H48" i="141"/>
  <c r="H81" s="1"/>
  <c r="I44" i="142"/>
  <c r="I45"/>
  <c r="H45"/>
  <c r="F53"/>
  <c r="F59" i="140"/>
  <c r="G48"/>
  <c r="G42" i="142"/>
  <c r="I47"/>
  <c r="H47"/>
  <c r="H44"/>
  <c r="H43"/>
  <c r="G44"/>
  <c r="G45"/>
  <c r="G46"/>
  <c r="E45"/>
  <c r="E46"/>
  <c r="E47"/>
  <c r="E19"/>
  <c r="I19"/>
  <c r="H14" i="141"/>
  <c r="H78" s="1"/>
  <c r="H30"/>
  <c r="H64" s="1"/>
  <c r="G14"/>
  <c r="G78" s="1"/>
  <c r="G30"/>
  <c r="G64" s="1"/>
  <c r="G8" i="142"/>
  <c r="G14" i="140"/>
  <c r="G30"/>
  <c r="G64" s="1"/>
  <c r="H30"/>
  <c r="H64" s="1"/>
  <c r="H8" i="142"/>
  <c r="H14" i="140"/>
  <c r="G13" i="142"/>
  <c r="G35" i="140"/>
  <c r="G69" s="1"/>
  <c r="I31"/>
  <c r="I65" s="1"/>
  <c r="I9" i="142"/>
  <c r="I34" i="140"/>
  <c r="I68" s="1"/>
  <c r="I12" i="142"/>
  <c r="E34" i="140"/>
  <c r="E68" s="1"/>
  <c r="E12" i="142"/>
  <c r="H31" i="140"/>
  <c r="H65" s="1"/>
  <c r="H9" i="142"/>
  <c r="G11"/>
  <c r="G33" i="140"/>
  <c r="G67" s="1"/>
  <c r="G676" i="135"/>
  <c r="F676"/>
  <c r="K349"/>
  <c r="K796"/>
  <c r="D127"/>
  <c r="J349"/>
  <c r="I55" i="142"/>
  <c r="H58"/>
  <c r="J727" i="135"/>
  <c r="K495"/>
  <c r="H676"/>
  <c r="D676"/>
  <c r="I727"/>
  <c r="J676"/>
  <c r="F727"/>
  <c r="I495"/>
  <c r="G727"/>
  <c r="E495"/>
  <c r="I676"/>
  <c r="G127"/>
  <c r="G59" i="141"/>
  <c r="G82" s="1"/>
  <c r="E349" i="135"/>
  <c r="E796"/>
  <c r="J127"/>
  <c r="J374"/>
  <c r="D349"/>
  <c r="I796"/>
  <c r="K127"/>
  <c r="D796"/>
  <c r="I58" i="142"/>
  <c r="F55"/>
  <c r="G32" i="141"/>
  <c r="G66" s="1"/>
  <c r="G89" s="1"/>
  <c r="G22" i="142"/>
  <c r="G24"/>
  <c r="G33" i="141"/>
  <c r="G67" s="1"/>
  <c r="G90" s="1"/>
  <c r="E23" i="142"/>
  <c r="G35" i="141"/>
  <c r="G69" s="1"/>
  <c r="G92" s="1"/>
  <c r="F32"/>
  <c r="F66" s="1"/>
  <c r="F89" s="1"/>
  <c r="I59" i="140"/>
  <c r="I53" i="142"/>
  <c r="H59" i="140"/>
  <c r="H53" i="142"/>
  <c r="H42"/>
  <c r="H48" i="140"/>
  <c r="I46" i="142"/>
  <c r="E53"/>
  <c r="E59" i="141"/>
  <c r="E82" s="1"/>
  <c r="G48"/>
  <c r="G81" s="1"/>
  <c r="I43" i="142"/>
  <c r="F48" i="140"/>
  <c r="F42" i="142"/>
  <c r="F48" i="141"/>
  <c r="F81" s="1"/>
  <c r="H46" i="142"/>
  <c r="E48" i="141"/>
  <c r="E81" s="1"/>
  <c r="G43" i="142"/>
  <c r="F46"/>
  <c r="F43"/>
  <c r="G19"/>
  <c r="H19"/>
  <c r="F30" i="141"/>
  <c r="F14"/>
  <c r="F78" s="1"/>
  <c r="I11" i="142"/>
  <c r="I33" i="140"/>
  <c r="I67" s="1"/>
  <c r="E10" i="142"/>
  <c r="I14" i="141"/>
  <c r="I78" s="1"/>
  <c r="I30"/>
  <c r="I14" i="140"/>
  <c r="I8" i="142"/>
  <c r="I30" i="140"/>
  <c r="G9" i="142"/>
  <c r="G31" i="140"/>
  <c r="G65" s="1"/>
  <c r="F35"/>
  <c r="F69" s="1"/>
  <c r="F13" i="142"/>
  <c r="F31" i="140"/>
  <c r="F65" s="1"/>
  <c r="F9" i="142"/>
  <c r="H34" i="140"/>
  <c r="H68" s="1"/>
  <c r="H12" i="142"/>
  <c r="H13"/>
  <c r="H35" i="140"/>
  <c r="H69" s="1"/>
  <c r="E35"/>
  <c r="E69" s="1"/>
  <c r="E13" i="142"/>
  <c r="I10"/>
  <c r="E31" i="140"/>
  <c r="E65" s="1"/>
  <c r="E9" i="142"/>
  <c r="H10"/>
  <c r="F127" i="135"/>
  <c r="E676"/>
  <c r="H727"/>
  <c r="D727"/>
  <c r="D495"/>
  <c r="K676"/>
  <c r="G495"/>
  <c r="F495"/>
  <c r="K727"/>
  <c r="E127"/>
  <c r="I349"/>
  <c r="D374"/>
  <c r="H349"/>
  <c r="H796"/>
  <c r="H127"/>
  <c r="G796"/>
  <c r="F796"/>
  <c r="G349"/>
  <c r="F59" i="141"/>
  <c r="F82" s="1"/>
  <c r="H65"/>
  <c r="H88" s="1"/>
  <c r="G54" i="142"/>
  <c r="F57"/>
  <c r="G23"/>
  <c r="G34" i="141"/>
  <c r="G68" s="1"/>
  <c r="G91" s="1"/>
  <c r="H23" i="142"/>
  <c r="E31" i="141"/>
  <c r="E65" s="1"/>
  <c r="E88" s="1"/>
  <c r="F24" i="142"/>
  <c r="I22"/>
  <c r="H20"/>
  <c r="I23"/>
  <c r="B703" i="135"/>
  <c r="B533" i="130"/>
  <c r="C863" i="111"/>
  <c r="C691" i="135"/>
  <c r="B703" i="106"/>
  <c r="B878" i="111"/>
  <c r="C524" i="105"/>
  <c r="C691" i="106"/>
  <c r="C525" i="7"/>
  <c r="C533" i="130" s="1"/>
  <c r="B533" i="105"/>
  <c r="A326" i="114"/>
  <c r="B317"/>
  <c r="C317" s="1"/>
  <c r="A544" i="7"/>
  <c r="B534"/>
  <c r="O403" i="130" l="1"/>
  <c r="F81" i="140"/>
  <c r="F78"/>
  <c r="F90"/>
  <c r="G78"/>
  <c r="I78"/>
  <c r="H78"/>
  <c r="I92"/>
  <c r="E82"/>
  <c r="N95" i="130"/>
  <c r="N17" i="131" s="1"/>
  <c r="N264" i="130"/>
  <c r="N466"/>
  <c r="N569"/>
  <c r="N205"/>
  <c r="N29" i="131" s="1"/>
  <c r="N160" i="130"/>
  <c r="N33" i="131" s="1"/>
  <c r="N356" i="130"/>
  <c r="N246"/>
  <c r="N124"/>
  <c r="N22" i="131" s="1"/>
  <c r="N448" i="130"/>
  <c r="N457"/>
  <c r="N214"/>
  <c r="N34" i="131" s="1"/>
  <c r="N394" i="130"/>
  <c r="N502"/>
  <c r="N41"/>
  <c r="N32"/>
  <c r="N605"/>
  <c r="N596"/>
  <c r="N51" i="131" s="1"/>
  <c r="N187" i="130"/>
  <c r="N28" i="131" s="1"/>
  <c r="N484" i="130"/>
  <c r="N475"/>
  <c r="N311"/>
  <c r="N133"/>
  <c r="N24" i="131" s="1"/>
  <c r="N511" i="130"/>
  <c r="N196"/>
  <c r="N23" i="131" s="1"/>
  <c r="N587" i="130"/>
  <c r="N49" i="131" s="1"/>
  <c r="N421" i="130"/>
  <c r="N412"/>
  <c r="N540"/>
  <c r="N68"/>
  <c r="N283"/>
  <c r="N86"/>
  <c r="N365"/>
  <c r="N439"/>
  <c r="N44" i="131" s="1"/>
  <c r="N531" i="130"/>
  <c r="N347"/>
  <c r="N178"/>
  <c r="N27" i="131" s="1"/>
  <c r="N115" i="130"/>
  <c r="N21" i="131" s="1"/>
  <c r="N169" i="130"/>
  <c r="N26" i="131" s="1"/>
  <c r="N223" i="130"/>
  <c r="N18" i="131" s="1"/>
  <c r="N338" i="130"/>
  <c r="N77"/>
  <c r="N16" i="131" s="1"/>
  <c r="N430" i="130"/>
  <c r="N151"/>
  <c r="N32" i="131" s="1"/>
  <c r="N320" i="130"/>
  <c r="N329"/>
  <c r="N302"/>
  <c r="N255"/>
  <c r="N39" i="131" s="1"/>
  <c r="N549" i="130"/>
  <c r="N578"/>
  <c r="N48" i="131" s="1"/>
  <c r="O48" s="1"/>
  <c r="N23" i="130"/>
  <c r="N13" i="131" s="1"/>
  <c r="N59" i="130"/>
  <c r="N142"/>
  <c r="N25" i="131" s="1"/>
  <c r="N493" i="130"/>
  <c r="N374"/>
  <c r="N403"/>
  <c r="N293"/>
  <c r="N522"/>
  <c r="N14"/>
  <c r="N12" i="131" s="1"/>
  <c r="N237" i="130"/>
  <c r="N106"/>
  <c r="N385"/>
  <c r="N50"/>
  <c r="N274"/>
  <c r="N560"/>
  <c r="I31" i="142"/>
  <c r="I65" s="1"/>
  <c r="I88" s="1"/>
  <c r="F31"/>
  <c r="F65" s="1"/>
  <c r="F88" s="1"/>
  <c r="H35"/>
  <c r="H69" s="1"/>
  <c r="H92" s="1"/>
  <c r="E31"/>
  <c r="E65" s="1"/>
  <c r="E88" s="1"/>
  <c r="G31"/>
  <c r="G65" s="1"/>
  <c r="G88" s="1"/>
  <c r="E33"/>
  <c r="E67" s="1"/>
  <c r="E90" s="1"/>
  <c r="H33"/>
  <c r="H67" s="1"/>
  <c r="H90" s="1"/>
  <c r="I36" i="141"/>
  <c r="I80" s="1"/>
  <c r="J79"/>
  <c r="J25" s="1"/>
  <c r="I33" i="142"/>
  <c r="I67" s="1"/>
  <c r="I90" s="1"/>
  <c r="G33"/>
  <c r="G67" s="1"/>
  <c r="G90" s="1"/>
  <c r="E34"/>
  <c r="E68" s="1"/>
  <c r="E91" s="1"/>
  <c r="F68"/>
  <c r="F91" s="1"/>
  <c r="O151" i="130"/>
  <c r="P32" i="131" s="1"/>
  <c r="O160" i="130"/>
  <c r="P33" i="131" s="1"/>
  <c r="O86" i="130"/>
  <c r="P50" i="131" s="1"/>
  <c r="G797" i="135"/>
  <c r="O214" i="130"/>
  <c r="P34" i="131" s="1"/>
  <c r="O493" i="130"/>
  <c r="O187"/>
  <c r="P28" i="131" s="1"/>
  <c r="O540" i="130"/>
  <c r="O356"/>
  <c r="O549"/>
  <c r="O264"/>
  <c r="O511"/>
  <c r="O124"/>
  <c r="P22" i="131" s="1"/>
  <c r="O457" i="130"/>
  <c r="O439"/>
  <c r="P44" i="131" s="1"/>
  <c r="O320" i="130"/>
  <c r="O531"/>
  <c r="O59"/>
  <c r="O569"/>
  <c r="O421"/>
  <c r="O430"/>
  <c r="O205"/>
  <c r="P29" i="131" s="1"/>
  <c r="I797" i="135"/>
  <c r="F797"/>
  <c r="H59" i="142"/>
  <c r="H82" s="1"/>
  <c r="J91" i="141"/>
  <c r="H797" i="135"/>
  <c r="E59" i="142"/>
  <c r="E82" s="1"/>
  <c r="J89" i="141"/>
  <c r="J797" i="135"/>
  <c r="K797"/>
  <c r="J92" i="141"/>
  <c r="E797" i="135"/>
  <c r="F36" i="141"/>
  <c r="F80" s="1"/>
  <c r="D797" i="135"/>
  <c r="I64" i="141"/>
  <c r="I70" s="1"/>
  <c r="I83" s="1"/>
  <c r="F92" i="140"/>
  <c r="E92"/>
  <c r="F88"/>
  <c r="G88"/>
  <c r="I90"/>
  <c r="E90"/>
  <c r="G91"/>
  <c r="E70" i="141"/>
  <c r="E83" s="1"/>
  <c r="E87"/>
  <c r="I91" i="140"/>
  <c r="G92"/>
  <c r="H92"/>
  <c r="H91"/>
  <c r="H88"/>
  <c r="H87"/>
  <c r="I82"/>
  <c r="F87"/>
  <c r="I88"/>
  <c r="H81"/>
  <c r="H82"/>
  <c r="G30" i="142"/>
  <c r="G64" s="1"/>
  <c r="G14"/>
  <c r="G48"/>
  <c r="G81" s="1"/>
  <c r="O14" i="130"/>
  <c r="P12" i="131" s="1"/>
  <c r="O274" i="130"/>
  <c r="O284" s="1"/>
  <c r="O237"/>
  <c r="Q1"/>
  <c r="P373"/>
  <c r="P364"/>
  <c r="P361"/>
  <c r="P362"/>
  <c r="P363"/>
  <c r="P360"/>
  <c r="P479"/>
  <c r="P434"/>
  <c r="P250"/>
  <c r="P318"/>
  <c r="P372"/>
  <c r="P400"/>
  <c r="P407"/>
  <c r="P483"/>
  <c r="P491"/>
  <c r="P527"/>
  <c r="P48"/>
  <c r="P137"/>
  <c r="P168"/>
  <c r="P183"/>
  <c r="P194"/>
  <c r="P381"/>
  <c r="P539"/>
  <c r="P509"/>
  <c r="P390"/>
  <c r="P244"/>
  <c r="P399"/>
  <c r="P411"/>
  <c r="P436"/>
  <c r="P482"/>
  <c r="P489"/>
  <c r="P600"/>
  <c r="P46"/>
  <c r="P139"/>
  <c r="P165"/>
  <c r="P195"/>
  <c r="P28"/>
  <c r="P355"/>
  <c r="P391"/>
  <c r="P37"/>
  <c r="P465"/>
  <c r="P316"/>
  <c r="P254"/>
  <c r="P146"/>
  <c r="P166"/>
  <c r="P184"/>
  <c r="P211"/>
  <c r="P351"/>
  <c r="P123"/>
  <c r="P344"/>
  <c r="P193"/>
  <c r="P148"/>
  <c r="P252"/>
  <c r="P380"/>
  <c r="P410"/>
  <c r="P492"/>
  <c r="P530"/>
  <c r="P595"/>
  <c r="P603"/>
  <c r="P49"/>
  <c r="P74"/>
  <c r="P93"/>
  <c r="P138"/>
  <c r="P164"/>
  <c r="P177"/>
  <c r="P186"/>
  <c r="P210"/>
  <c r="P36"/>
  <c r="P447"/>
  <c r="P370"/>
  <c r="P402"/>
  <c r="P437"/>
  <c r="P490"/>
  <c r="P110"/>
  <c r="P149"/>
  <c r="P182"/>
  <c r="P382"/>
  <c r="P510"/>
  <c r="P592"/>
  <c r="P352"/>
  <c r="P253"/>
  <c r="P309"/>
  <c r="P371"/>
  <c r="P242"/>
  <c r="P481"/>
  <c r="P47"/>
  <c r="P113"/>
  <c r="P141"/>
  <c r="P167"/>
  <c r="P174"/>
  <c r="P192"/>
  <c r="P213"/>
  <c r="P383"/>
  <c r="P507"/>
  <c r="P462"/>
  <c r="P342"/>
  <c r="P315"/>
  <c r="P435"/>
  <c r="P243"/>
  <c r="P319"/>
  <c r="P401"/>
  <c r="P408"/>
  <c r="P480"/>
  <c r="P594"/>
  <c r="P591"/>
  <c r="P604"/>
  <c r="P30"/>
  <c r="P114"/>
  <c r="P140"/>
  <c r="P176"/>
  <c r="P185"/>
  <c r="P343"/>
  <c r="P393"/>
  <c r="P369"/>
  <c r="P251"/>
  <c r="P398"/>
  <c r="P409"/>
  <c r="P488"/>
  <c r="P601"/>
  <c r="P112"/>
  <c r="P150"/>
  <c r="P173"/>
  <c r="P346"/>
  <c r="P392"/>
  <c r="P345"/>
  <c r="P593"/>
  <c r="P463"/>
  <c r="P444"/>
  <c r="P245"/>
  <c r="P241"/>
  <c r="P317"/>
  <c r="P438"/>
  <c r="P602"/>
  <c r="P45"/>
  <c r="P147"/>
  <c r="P175"/>
  <c r="P191"/>
  <c r="P461"/>
  <c r="P464"/>
  <c r="P260"/>
  <c r="P279"/>
  <c r="P297"/>
  <c r="P324"/>
  <c r="P333"/>
  <c r="P419"/>
  <c r="P455"/>
  <c r="P471"/>
  <c r="P497"/>
  <c r="P517"/>
  <c r="P558"/>
  <c r="P576"/>
  <c r="P19"/>
  <c r="P66"/>
  <c r="P85"/>
  <c r="P29"/>
  <c r="P574"/>
  <c r="P389"/>
  <c r="P92"/>
  <c r="P273"/>
  <c r="P290"/>
  <c r="P428"/>
  <c r="P453"/>
  <c r="P506"/>
  <c r="P545"/>
  <c r="P557"/>
  <c r="P564"/>
  <c r="P21"/>
  <c r="P56"/>
  <c r="P81"/>
  <c r="P102"/>
  <c r="P132"/>
  <c r="P156"/>
  <c r="P202"/>
  <c r="P119"/>
  <c r="P582"/>
  <c r="P73"/>
  <c r="P259"/>
  <c r="P278"/>
  <c r="P288"/>
  <c r="P336"/>
  <c r="P474"/>
  <c r="P498"/>
  <c r="P519"/>
  <c r="P568"/>
  <c r="P584"/>
  <c r="P20"/>
  <c r="P31"/>
  <c r="P64"/>
  <c r="P83"/>
  <c r="P131"/>
  <c r="P220"/>
  <c r="P310"/>
  <c r="P537"/>
  <c r="P263"/>
  <c r="P272"/>
  <c r="P292"/>
  <c r="P301"/>
  <c r="P326"/>
  <c r="P337"/>
  <c r="P418"/>
  <c r="P427"/>
  <c r="P452"/>
  <c r="P520"/>
  <c r="P535"/>
  <c r="P548"/>
  <c r="P566"/>
  <c r="P577"/>
  <c r="P57"/>
  <c r="P76"/>
  <c r="P103"/>
  <c r="P157"/>
  <c r="P204"/>
  <c r="P222"/>
  <c r="P209"/>
  <c r="P445"/>
  <c r="P443"/>
  <c r="P384"/>
  <c r="P291"/>
  <c r="P306"/>
  <c r="P420"/>
  <c r="P417"/>
  <c r="P456"/>
  <c r="P501"/>
  <c r="P526"/>
  <c r="P546"/>
  <c r="P559"/>
  <c r="P583"/>
  <c r="P38"/>
  <c r="P55"/>
  <c r="P63"/>
  <c r="P104"/>
  <c r="P159"/>
  <c r="P201"/>
  <c r="P508"/>
  <c r="P39"/>
  <c r="P90"/>
  <c r="P529"/>
  <c r="P261"/>
  <c r="P271"/>
  <c r="P289"/>
  <c r="P308"/>
  <c r="P325"/>
  <c r="P353"/>
  <c r="P425"/>
  <c r="P499"/>
  <c r="P565"/>
  <c r="P585"/>
  <c r="P18"/>
  <c r="P75"/>
  <c r="P101"/>
  <c r="P130"/>
  <c r="P129"/>
  <c r="P221"/>
  <c r="P120"/>
  <c r="P122"/>
  <c r="P270"/>
  <c r="P280"/>
  <c r="P300"/>
  <c r="P307"/>
  <c r="P327"/>
  <c r="P328"/>
  <c r="P426"/>
  <c r="P454"/>
  <c r="P473"/>
  <c r="P521"/>
  <c r="P528"/>
  <c r="P536"/>
  <c r="P567"/>
  <c r="P575"/>
  <c r="P27"/>
  <c r="P54"/>
  <c r="P72"/>
  <c r="P105"/>
  <c r="P158"/>
  <c r="P219"/>
  <c r="P446"/>
  <c r="P544"/>
  <c r="P94"/>
  <c r="P281"/>
  <c r="P298"/>
  <c r="P334"/>
  <c r="P416"/>
  <c r="P429"/>
  <c r="P472"/>
  <c r="P518"/>
  <c r="P538"/>
  <c r="P547"/>
  <c r="P555"/>
  <c r="P586"/>
  <c r="P58"/>
  <c r="P65"/>
  <c r="P84"/>
  <c r="P203"/>
  <c r="P218"/>
  <c r="P121"/>
  <c r="P354"/>
  <c r="P262"/>
  <c r="P269"/>
  <c r="P282"/>
  <c r="P299"/>
  <c r="P335"/>
  <c r="P470"/>
  <c r="P500"/>
  <c r="P556"/>
  <c r="P573"/>
  <c r="P22"/>
  <c r="P67"/>
  <c r="P82"/>
  <c r="P128"/>
  <c r="P155"/>
  <c r="P200"/>
  <c r="P212"/>
  <c r="P40"/>
  <c r="P91"/>
  <c r="P233"/>
  <c r="P236"/>
  <c r="P232"/>
  <c r="P13"/>
  <c r="P234"/>
  <c r="P12"/>
  <c r="P10"/>
  <c r="P235"/>
  <c r="P11"/>
  <c r="P9"/>
  <c r="P460"/>
  <c r="P442"/>
  <c r="P368"/>
  <c r="P89"/>
  <c r="P62"/>
  <c r="P478"/>
  <c r="P190"/>
  <c r="P35"/>
  <c r="P305"/>
  <c r="P240"/>
  <c r="P154"/>
  <c r="P53"/>
  <c r="P433"/>
  <c r="P406"/>
  <c r="P172"/>
  <c r="P415"/>
  <c r="P379"/>
  <c r="P163"/>
  <c r="P496"/>
  <c r="P359"/>
  <c r="P118"/>
  <c r="P208"/>
  <c r="P487"/>
  <c r="P145"/>
  <c r="P581"/>
  <c r="P397"/>
  <c r="P181"/>
  <c r="P44"/>
  <c r="P505"/>
  <c r="P8"/>
  <c r="P109"/>
  <c r="P388"/>
  <c r="P249"/>
  <c r="P136"/>
  <c r="P350"/>
  <c r="P534"/>
  <c r="P599"/>
  <c r="P341"/>
  <c r="P199"/>
  <c r="P590"/>
  <c r="P314"/>
  <c r="P17"/>
  <c r="P287"/>
  <c r="P268"/>
  <c r="P572"/>
  <c r="P296"/>
  <c r="P26"/>
  <c r="P277"/>
  <c r="P217"/>
  <c r="P100"/>
  <c r="P231"/>
  <c r="P543"/>
  <c r="P469"/>
  <c r="P71"/>
  <c r="P525"/>
  <c r="P424"/>
  <c r="P554"/>
  <c r="P516"/>
  <c r="P127"/>
  <c r="P258"/>
  <c r="P80"/>
  <c r="P563"/>
  <c r="P323"/>
  <c r="P332"/>
  <c r="P451"/>
  <c r="F14" i="142"/>
  <c r="F30"/>
  <c r="F64" s="1"/>
  <c r="F35"/>
  <c r="F69" s="1"/>
  <c r="F92" s="1"/>
  <c r="J90" i="141"/>
  <c r="E35" i="142"/>
  <c r="E69" s="1"/>
  <c r="E92" s="1"/>
  <c r="H31"/>
  <c r="H65" s="1"/>
  <c r="H88" s="1"/>
  <c r="G35"/>
  <c r="G69" s="1"/>
  <c r="G92" s="1"/>
  <c r="H36" i="141"/>
  <c r="H80" s="1"/>
  <c r="F59" i="142"/>
  <c r="F82" s="1"/>
  <c r="I64" i="140"/>
  <c r="J81" i="141"/>
  <c r="J48" s="1"/>
  <c r="G59" i="142"/>
  <c r="G82" s="1"/>
  <c r="O484" i="130"/>
  <c r="O448"/>
  <c r="O133"/>
  <c r="P24" i="131" s="1"/>
  <c r="O302" i="130"/>
  <c r="O41"/>
  <c r="O475"/>
  <c r="O374"/>
  <c r="O255"/>
  <c r="P39" i="131" s="1"/>
  <c r="O347" i="130"/>
  <c r="O142"/>
  <c r="P25" i="131" s="1"/>
  <c r="O23" i="130"/>
  <c r="P13" i="131" s="1"/>
  <c r="O329" i="130"/>
  <c r="O77"/>
  <c r="P16" i="131" s="1"/>
  <c r="O283" i="130"/>
  <c r="O246"/>
  <c r="O196"/>
  <c r="P23" i="131" s="1"/>
  <c r="O365" i="130"/>
  <c r="O338"/>
  <c r="G34" i="142"/>
  <c r="G68" s="1"/>
  <c r="G91" s="1"/>
  <c r="F33"/>
  <c r="F67" s="1"/>
  <c r="F90" s="1"/>
  <c r="E64" i="140"/>
  <c r="F91"/>
  <c r="G70" i="141"/>
  <c r="G83" s="1"/>
  <c r="G87"/>
  <c r="G93" s="1"/>
  <c r="H14" i="142"/>
  <c r="H30"/>
  <c r="E91" i="140"/>
  <c r="G90"/>
  <c r="G87"/>
  <c r="F82"/>
  <c r="G82"/>
  <c r="O385" i="130"/>
  <c r="O106"/>
  <c r="O560"/>
  <c r="E30" i="142"/>
  <c r="E14"/>
  <c r="E88" i="140"/>
  <c r="E48" i="142"/>
  <c r="E81" s="1"/>
  <c r="I30"/>
  <c r="I64" s="1"/>
  <c r="I14"/>
  <c r="F48"/>
  <c r="F81" s="1"/>
  <c r="H48"/>
  <c r="H81" s="1"/>
  <c r="G81" i="140"/>
  <c r="H90"/>
  <c r="H70" i="141"/>
  <c r="H83" s="1"/>
  <c r="H87"/>
  <c r="H93" s="1"/>
  <c r="I81" i="140"/>
  <c r="I48" i="142"/>
  <c r="I81" s="1"/>
  <c r="O522" i="130"/>
  <c r="O293"/>
  <c r="E78" i="140"/>
  <c r="E81"/>
  <c r="E36" i="141"/>
  <c r="E80" s="1"/>
  <c r="J88"/>
  <c r="H34" i="142"/>
  <c r="H68" s="1"/>
  <c r="H91" s="1"/>
  <c r="F64" i="141"/>
  <c r="J82"/>
  <c r="J59" s="1"/>
  <c r="I59" i="142"/>
  <c r="I82" s="1"/>
  <c r="I34"/>
  <c r="I68" s="1"/>
  <c r="I91" s="1"/>
  <c r="G36" i="141"/>
  <c r="G80" s="1"/>
  <c r="O587" i="130"/>
  <c r="P49" i="131" s="1"/>
  <c r="O95" i="130"/>
  <c r="P17" i="131" s="1"/>
  <c r="O412" i="130"/>
  <c r="O178"/>
  <c r="P27" i="131" s="1"/>
  <c r="O68" i="130"/>
  <c r="O394"/>
  <c r="O502"/>
  <c r="O50"/>
  <c r="O32"/>
  <c r="O311"/>
  <c r="O169"/>
  <c r="P26" i="131" s="1"/>
  <c r="O596" i="130"/>
  <c r="O223"/>
  <c r="P18" i="131" s="1"/>
  <c r="O466" i="130"/>
  <c r="O605"/>
  <c r="O578"/>
  <c r="P48" i="131" s="1"/>
  <c r="I35" i="142"/>
  <c r="I69" s="1"/>
  <c r="I92" s="1"/>
  <c r="J78" i="141"/>
  <c r="J14" s="1"/>
  <c r="B715" i="135"/>
  <c r="B542" i="130"/>
  <c r="C878" i="111"/>
  <c r="C703" i="135"/>
  <c r="B715" i="106"/>
  <c r="B893" i="111"/>
  <c r="C533" i="105"/>
  <c r="C703" i="106"/>
  <c r="C534" i="7"/>
  <c r="C542" i="130" s="1"/>
  <c r="B542" i="105"/>
  <c r="A335" i="114"/>
  <c r="B326"/>
  <c r="C326" s="1"/>
  <c r="A553" i="7"/>
  <c r="B544"/>
  <c r="J3" i="119"/>
  <c r="C4" a="1"/>
  <c r="H4" s="1"/>
  <c r="I78" i="142" l="1"/>
  <c r="H78"/>
  <c r="F78"/>
  <c r="G78"/>
  <c r="E78"/>
  <c r="J78" i="140"/>
  <c r="J14" s="1"/>
  <c r="N35" i="131"/>
  <c r="O35" s="1"/>
  <c r="O25"/>
  <c r="O32"/>
  <c r="O26"/>
  <c r="O51"/>
  <c r="O34"/>
  <c r="O22"/>
  <c r="O33"/>
  <c r="O13"/>
  <c r="O39"/>
  <c r="O16"/>
  <c r="O27"/>
  <c r="O44"/>
  <c r="O23"/>
  <c r="O28"/>
  <c r="O17"/>
  <c r="O21"/>
  <c r="O49"/>
  <c r="O24"/>
  <c r="O29"/>
  <c r="N15"/>
  <c r="N45"/>
  <c r="N606" i="130"/>
  <c r="N14" i="131"/>
  <c r="N53"/>
  <c r="N38"/>
  <c r="N376" i="130"/>
  <c r="N41" i="131" s="1"/>
  <c r="N42"/>
  <c r="N43"/>
  <c r="N40"/>
  <c r="N225" i="130"/>
  <c r="N30" i="131"/>
  <c r="N551" i="130"/>
  <c r="O12" i="131"/>
  <c r="N284" i="130"/>
  <c r="N512"/>
  <c r="N265"/>
  <c r="N97"/>
  <c r="P51" i="131"/>
  <c r="P53" s="1"/>
  <c r="P35"/>
  <c r="P36" s="1"/>
  <c r="P42"/>
  <c r="I87" i="141"/>
  <c r="I93" s="1"/>
  <c r="P43" i="131"/>
  <c r="P356" i="130"/>
  <c r="P403"/>
  <c r="P448"/>
  <c r="O606"/>
  <c r="P338"/>
  <c r="P86"/>
  <c r="Q50" i="131" s="1"/>
  <c r="P531" i="130"/>
  <c r="P549"/>
  <c r="P223"/>
  <c r="Q18" i="131" s="1"/>
  <c r="P302" i="130"/>
  <c r="P596"/>
  <c r="P605"/>
  <c r="P142"/>
  <c r="Q25" i="131" s="1"/>
  <c r="P50" i="130"/>
  <c r="P587"/>
  <c r="Q49" i="131" s="1"/>
  <c r="P214" i="130"/>
  <c r="Q34" i="131" s="1"/>
  <c r="P502" i="130"/>
  <c r="P421"/>
  <c r="P439"/>
  <c r="Q44" i="131" s="1"/>
  <c r="P246" i="130"/>
  <c r="P196"/>
  <c r="Q23" i="131" s="1"/>
  <c r="P466" i="130"/>
  <c r="P95"/>
  <c r="Q17" i="131" s="1"/>
  <c r="O265" i="130"/>
  <c r="J92" i="140"/>
  <c r="O376" i="130"/>
  <c r="P41" i="131" s="1"/>
  <c r="P15"/>
  <c r="P329" i="130"/>
  <c r="P23"/>
  <c r="Q13" i="131" s="1"/>
  <c r="P205" i="130"/>
  <c r="Q29" i="131" s="1"/>
  <c r="K92" i="142"/>
  <c r="K91"/>
  <c r="F70" i="141"/>
  <c r="F83" s="1"/>
  <c r="J83" s="1"/>
  <c r="J70" s="1"/>
  <c r="F87"/>
  <c r="F93" s="1"/>
  <c r="P522" i="130"/>
  <c r="P293"/>
  <c r="I87" i="142"/>
  <c r="I87" i="140"/>
  <c r="E87"/>
  <c r="P560" i="130"/>
  <c r="P237"/>
  <c r="P14"/>
  <c r="Q12" i="131" s="1"/>
  <c r="E93" i="141"/>
  <c r="K81" i="142"/>
  <c r="K48" s="1"/>
  <c r="K88"/>
  <c r="F87"/>
  <c r="K82"/>
  <c r="K59" s="1"/>
  <c r="K90"/>
  <c r="P14" i="131"/>
  <c r="J80" i="141"/>
  <c r="J36" s="1"/>
  <c r="P45" i="131"/>
  <c r="J59" i="142"/>
  <c r="J81" i="140"/>
  <c r="J48" s="1"/>
  <c r="O551" i="130"/>
  <c r="J48" i="142"/>
  <c r="H64"/>
  <c r="E64"/>
  <c r="J14"/>
  <c r="O512" i="130"/>
  <c r="G87" i="142"/>
  <c r="P264" i="130"/>
  <c r="P77"/>
  <c r="Q16" i="131" s="1"/>
  <c r="P283" i="130"/>
  <c r="P578"/>
  <c r="Q48" i="131" s="1"/>
  <c r="P540" i="130"/>
  <c r="P255"/>
  <c r="Q39" i="131" s="1"/>
  <c r="P187" i="130"/>
  <c r="Q28" i="131" s="1"/>
  <c r="P151" i="130"/>
  <c r="Q32" i="131" s="1"/>
  <c r="P124" i="130"/>
  <c r="Q22" i="131" s="1"/>
  <c r="P169" i="130"/>
  <c r="Q26" i="131" s="1"/>
  <c r="P178" i="130"/>
  <c r="Q27" i="131" s="1"/>
  <c r="P59" i="130"/>
  <c r="P311"/>
  <c r="P484"/>
  <c r="P374"/>
  <c r="P40" i="131"/>
  <c r="O97" i="130"/>
  <c r="J91" i="140"/>
  <c r="P106" i="130"/>
  <c r="P274"/>
  <c r="P284" s="1"/>
  <c r="P385"/>
  <c r="R1"/>
  <c r="Q364"/>
  <c r="Q363"/>
  <c r="Q362"/>
  <c r="Q372"/>
  <c r="Q360"/>
  <c r="Q361"/>
  <c r="Q483"/>
  <c r="Q192"/>
  <c r="Q251"/>
  <c r="Q317"/>
  <c r="Q369"/>
  <c r="Q400"/>
  <c r="Q408"/>
  <c r="Q437"/>
  <c r="Q47"/>
  <c r="Q140"/>
  <c r="Q147"/>
  <c r="Q167"/>
  <c r="Q184"/>
  <c r="Q210"/>
  <c r="Q464"/>
  <c r="Q318"/>
  <c r="Q399"/>
  <c r="Q438"/>
  <c r="Q445"/>
  <c r="Q489"/>
  <c r="Q602"/>
  <c r="Q48"/>
  <c r="Q176"/>
  <c r="Q195"/>
  <c r="Q595"/>
  <c r="Q119"/>
  <c r="Q209"/>
  <c r="Q243"/>
  <c r="Q252"/>
  <c r="Q319"/>
  <c r="Q346"/>
  <c r="Q401"/>
  <c r="Q436"/>
  <c r="Q113"/>
  <c r="Q138"/>
  <c r="Q150"/>
  <c r="Q165"/>
  <c r="Q177"/>
  <c r="Q191"/>
  <c r="Q158"/>
  <c r="Q156"/>
  <c r="Q567"/>
  <c r="Q461"/>
  <c r="Q600"/>
  <c r="Q242"/>
  <c r="Q316"/>
  <c r="Q345"/>
  <c r="Q371"/>
  <c r="Q402"/>
  <c r="Q490"/>
  <c r="Q46"/>
  <c r="Q137"/>
  <c r="Q148"/>
  <c r="Q183"/>
  <c r="Q568"/>
  <c r="Q462"/>
  <c r="Q253"/>
  <c r="Q343"/>
  <c r="Q381"/>
  <c r="Q435"/>
  <c r="Q444"/>
  <c r="Q488"/>
  <c r="Q566"/>
  <c r="Q603"/>
  <c r="Q110"/>
  <c r="Q174"/>
  <c r="Q193"/>
  <c r="Q463"/>
  <c r="Q254"/>
  <c r="Q245"/>
  <c r="Q491"/>
  <c r="Q29"/>
  <c r="Q45"/>
  <c r="Q146"/>
  <c r="Q166"/>
  <c r="Q173"/>
  <c r="Q182"/>
  <c r="Q354"/>
  <c r="Q213"/>
  <c r="Q482"/>
  <c r="Q410"/>
  <c r="Q250"/>
  <c r="Q342"/>
  <c r="Q370"/>
  <c r="Q398"/>
  <c r="Q409"/>
  <c r="Q446"/>
  <c r="Q141"/>
  <c r="Q164"/>
  <c r="Q194"/>
  <c r="Q82"/>
  <c r="Q28"/>
  <c r="Q480"/>
  <c r="Q479"/>
  <c r="Q373"/>
  <c r="Q411"/>
  <c r="Q434"/>
  <c r="Q447"/>
  <c r="Q492"/>
  <c r="Q601"/>
  <c r="Q27"/>
  <c r="Q112"/>
  <c r="Q149"/>
  <c r="Q168"/>
  <c r="Q185"/>
  <c r="Q105"/>
  <c r="Q535"/>
  <c r="Q481"/>
  <c r="Q244"/>
  <c r="Q241"/>
  <c r="Q315"/>
  <c r="Q344"/>
  <c r="Q407"/>
  <c r="Q443"/>
  <c r="Q604"/>
  <c r="Q49"/>
  <c r="Q114"/>
  <c r="Q139"/>
  <c r="Q175"/>
  <c r="Q186"/>
  <c r="Q548"/>
  <c r="Q536"/>
  <c r="Q465"/>
  <c r="Q261"/>
  <c r="Q299"/>
  <c r="Q310"/>
  <c r="Q324"/>
  <c r="Q384"/>
  <c r="Q391"/>
  <c r="Q416"/>
  <c r="Q426"/>
  <c r="Q474"/>
  <c r="Q498"/>
  <c r="Q527"/>
  <c r="Q544"/>
  <c r="Q559"/>
  <c r="Q577"/>
  <c r="Q586"/>
  <c r="Q31"/>
  <c r="Q39"/>
  <c r="Q92"/>
  <c r="Q101"/>
  <c r="Q200"/>
  <c r="Q509"/>
  <c r="Q355"/>
  <c r="Q259"/>
  <c r="Q279"/>
  <c r="Q290"/>
  <c r="Q327"/>
  <c r="Q393"/>
  <c r="Q419"/>
  <c r="Q497"/>
  <c r="Q518"/>
  <c r="Q546"/>
  <c r="Q582"/>
  <c r="Q20"/>
  <c r="Q38"/>
  <c r="Q54"/>
  <c r="Q67"/>
  <c r="Q72"/>
  <c r="Q91"/>
  <c r="Q128"/>
  <c r="Q201"/>
  <c r="Q222"/>
  <c r="Q120"/>
  <c r="Q83"/>
  <c r="Q262"/>
  <c r="Q269"/>
  <c r="Q288"/>
  <c r="Q301"/>
  <c r="Q334"/>
  <c r="Q392"/>
  <c r="Q420"/>
  <c r="Q453"/>
  <c r="Q499"/>
  <c r="Q526"/>
  <c r="Q557"/>
  <c r="Q575"/>
  <c r="Q592"/>
  <c r="Q37"/>
  <c r="Q57"/>
  <c r="Q75"/>
  <c r="Q93"/>
  <c r="Q130"/>
  <c r="Q203"/>
  <c r="Q573"/>
  <c r="Q121"/>
  <c r="Q271"/>
  <c r="Q292"/>
  <c r="Q306"/>
  <c r="Q309"/>
  <c r="Q390"/>
  <c r="Q418"/>
  <c r="Q425"/>
  <c r="Q472"/>
  <c r="Q517"/>
  <c r="Q529"/>
  <c r="Q555"/>
  <c r="Q574"/>
  <c r="Q36"/>
  <c r="Q73"/>
  <c r="Q103"/>
  <c r="Q131"/>
  <c r="Q204"/>
  <c r="Q508"/>
  <c r="Q211"/>
  <c r="Q507"/>
  <c r="Q85"/>
  <c r="Q270"/>
  <c r="Q291"/>
  <c r="Q307"/>
  <c r="Q336"/>
  <c r="Q383"/>
  <c r="Q456"/>
  <c r="Q521"/>
  <c r="Q538"/>
  <c r="Q18"/>
  <c r="Q30"/>
  <c r="Q64"/>
  <c r="Q81"/>
  <c r="Q132"/>
  <c r="Q202"/>
  <c r="Q218"/>
  <c r="Q510"/>
  <c r="Q84"/>
  <c r="Q537"/>
  <c r="Q576"/>
  <c r="Q272"/>
  <c r="Q280"/>
  <c r="Q297"/>
  <c r="Q335"/>
  <c r="Q337"/>
  <c r="Q454"/>
  <c r="Q501"/>
  <c r="Q528"/>
  <c r="Q558"/>
  <c r="Q591"/>
  <c r="Q55"/>
  <c r="Q65"/>
  <c r="Q94"/>
  <c r="Q221"/>
  <c r="Q123"/>
  <c r="Q122"/>
  <c r="Q584"/>
  <c r="Q273"/>
  <c r="Q281"/>
  <c r="Q300"/>
  <c r="Q308"/>
  <c r="Q326"/>
  <c r="Q380"/>
  <c r="Q417"/>
  <c r="Q428"/>
  <c r="Q473"/>
  <c r="Q506"/>
  <c r="Q530"/>
  <c r="Q547"/>
  <c r="Q583"/>
  <c r="Q594"/>
  <c r="Q66"/>
  <c r="Q90"/>
  <c r="Q212"/>
  <c r="Q565"/>
  <c r="Q263"/>
  <c r="Q282"/>
  <c r="Q298"/>
  <c r="Q328"/>
  <c r="Q427"/>
  <c r="Q452"/>
  <c r="Q471"/>
  <c r="Q519"/>
  <c r="Q545"/>
  <c r="Q22"/>
  <c r="Q40"/>
  <c r="Q58"/>
  <c r="Q76"/>
  <c r="Q104"/>
  <c r="Q129"/>
  <c r="Q220"/>
  <c r="Q19"/>
  <c r="Q353"/>
  <c r="Q352"/>
  <c r="Q260"/>
  <c r="Q278"/>
  <c r="Q289"/>
  <c r="Q325"/>
  <c r="Q333"/>
  <c r="Q382"/>
  <c r="Q389"/>
  <c r="Q429"/>
  <c r="Q455"/>
  <c r="Q470"/>
  <c r="Q500"/>
  <c r="Q520"/>
  <c r="Q539"/>
  <c r="Q556"/>
  <c r="Q585"/>
  <c r="Q593"/>
  <c r="Q21"/>
  <c r="Q56"/>
  <c r="Q63"/>
  <c r="Q74"/>
  <c r="Q102"/>
  <c r="Q157"/>
  <c r="Q219"/>
  <c r="Q155"/>
  <c r="Q159"/>
  <c r="Q351"/>
  <c r="Q564"/>
  <c r="Q11"/>
  <c r="Q10"/>
  <c r="Q234"/>
  <c r="Q12"/>
  <c r="Q232"/>
  <c r="Q235"/>
  <c r="Q13"/>
  <c r="Q236"/>
  <c r="Q9"/>
  <c r="Q233"/>
  <c r="Q433"/>
  <c r="Q145"/>
  <c r="Q487"/>
  <c r="Q172"/>
  <c r="Q26"/>
  <c r="Q442"/>
  <c r="Q543"/>
  <c r="Q249"/>
  <c r="Q563"/>
  <c r="Q599"/>
  <c r="Q359"/>
  <c r="Q240"/>
  <c r="Q136"/>
  <c r="Q80"/>
  <c r="Q460"/>
  <c r="Q368"/>
  <c r="Q109"/>
  <c r="Q478"/>
  <c r="Q181"/>
  <c r="Q44"/>
  <c r="Q572"/>
  <c r="Q397"/>
  <c r="Q350"/>
  <c r="Q208"/>
  <c r="Q163"/>
  <c r="Q314"/>
  <c r="Q406"/>
  <c r="Q118"/>
  <c r="Q341"/>
  <c r="Q590"/>
  <c r="Q190"/>
  <c r="Q534"/>
  <c r="Q287"/>
  <c r="Q379"/>
  <c r="Q8"/>
  <c r="Q323"/>
  <c r="Q525"/>
  <c r="Q332"/>
  <c r="Q127"/>
  <c r="Q581"/>
  <c r="Q71"/>
  <c r="Q305"/>
  <c r="Q199"/>
  <c r="Q35"/>
  <c r="Q554"/>
  <c r="Q100"/>
  <c r="Q258"/>
  <c r="Q277"/>
  <c r="Q154"/>
  <c r="Q505"/>
  <c r="Q496"/>
  <c r="Q451"/>
  <c r="Q516"/>
  <c r="Q231"/>
  <c r="Q268"/>
  <c r="Q53"/>
  <c r="Q388"/>
  <c r="Q17"/>
  <c r="Q415"/>
  <c r="Q217"/>
  <c r="Q62"/>
  <c r="Q469"/>
  <c r="Q89"/>
  <c r="Q296"/>
  <c r="Q424"/>
  <c r="P457"/>
  <c r="P569"/>
  <c r="P133"/>
  <c r="Q24" i="131" s="1"/>
  <c r="P430" i="130"/>
  <c r="P475"/>
  <c r="P32"/>
  <c r="P320"/>
  <c r="P347"/>
  <c r="P394"/>
  <c r="P511"/>
  <c r="P493"/>
  <c r="P365"/>
  <c r="P412"/>
  <c r="P160"/>
  <c r="Q33" i="131" s="1"/>
  <c r="P41" i="130"/>
  <c r="P68"/>
  <c r="P38" i="131"/>
  <c r="J88" i="140"/>
  <c r="J82"/>
  <c r="J59" s="1"/>
  <c r="J90"/>
  <c r="B729" i="135"/>
  <c r="B553" i="130"/>
  <c r="C893" i="111"/>
  <c r="C715" i="135"/>
  <c r="B729" i="106"/>
  <c r="B910" i="111"/>
  <c r="C542" i="105"/>
  <c r="C715" i="106"/>
  <c r="C544" i="7"/>
  <c r="C553" i="130" s="1"/>
  <c r="B553" i="105"/>
  <c r="A344" i="114"/>
  <c r="B335"/>
  <c r="C335" s="1"/>
  <c r="A562" i="7"/>
  <c r="B553"/>
  <c r="D4" i="119"/>
  <c r="G4"/>
  <c r="J4"/>
  <c r="C4"/>
  <c r="F4"/>
  <c r="I4"/>
  <c r="E4"/>
  <c r="I24" i="29"/>
  <c r="H24"/>
  <c r="G24"/>
  <c r="F24"/>
  <c r="E24"/>
  <c r="D24"/>
  <c r="C24"/>
  <c r="I18" i="107"/>
  <c r="B22" i="24"/>
  <c r="B21"/>
  <c r="E42" i="13"/>
  <c r="E41"/>
  <c r="C42"/>
  <c r="C41"/>
  <c r="F23" i="107"/>
  <c r="J1" i="13"/>
  <c r="J19" i="29"/>
  <c r="C32"/>
  <c r="D32"/>
  <c r="E32"/>
  <c r="F32"/>
  <c r="G32"/>
  <c r="H32"/>
  <c r="I32"/>
  <c r="F22" i="107"/>
  <c r="G22" s="1"/>
  <c r="H22" s="1"/>
  <c r="I22" s="1"/>
  <c r="J22" s="1"/>
  <c r="K22" s="1"/>
  <c r="L22" s="1"/>
  <c r="M22" s="1"/>
  <c r="N22" s="1"/>
  <c r="O22" s="1"/>
  <c r="P22" s="1"/>
  <c r="C7" i="13"/>
  <c r="E8"/>
  <c r="E9"/>
  <c r="E10"/>
  <c r="C12"/>
  <c r="C13"/>
  <c r="E13"/>
  <c r="C14"/>
  <c r="E14"/>
  <c r="C15"/>
  <c r="E15"/>
  <c r="C17"/>
  <c r="C18"/>
  <c r="E18"/>
  <c r="C20"/>
  <c r="E29"/>
  <c r="E30"/>
  <c r="E31"/>
  <c r="E32"/>
  <c r="E33"/>
  <c r="E34"/>
  <c r="E35"/>
  <c r="E46"/>
  <c r="E47"/>
  <c r="C51"/>
  <c r="E51"/>
  <c r="C52"/>
  <c r="E52"/>
  <c r="K78" i="142" l="1"/>
  <c r="K14" s="1"/>
  <c r="J8"/>
  <c r="J13"/>
  <c r="J10"/>
  <c r="J11"/>
  <c r="J9"/>
  <c r="J12"/>
  <c r="N36" i="131"/>
  <c r="O36"/>
  <c r="O53"/>
  <c r="O30"/>
  <c r="O43"/>
  <c r="O41"/>
  <c r="O45"/>
  <c r="O40"/>
  <c r="O42"/>
  <c r="O38"/>
  <c r="O14"/>
  <c r="O15"/>
  <c r="N226" i="130"/>
  <c r="N609" s="1"/>
  <c r="N636" s="1"/>
  <c r="N19" i="131"/>
  <c r="N607" i="130"/>
  <c r="N46" i="131"/>
  <c r="Q51"/>
  <c r="Q53" s="1"/>
  <c r="Q43"/>
  <c r="P19"/>
  <c r="Q59" i="130"/>
  <c r="Q347"/>
  <c r="Q365"/>
  <c r="Q394"/>
  <c r="Q283"/>
  <c r="J93" i="141"/>
  <c r="P606" i="130"/>
  <c r="Q421"/>
  <c r="P46" i="131"/>
  <c r="Q430" i="130"/>
  <c r="Q475"/>
  <c r="Q511"/>
  <c r="Q264"/>
  <c r="Q41"/>
  <c r="Q77"/>
  <c r="R16" i="131" s="1"/>
  <c r="Q338" i="130"/>
  <c r="Q540"/>
  <c r="Q320"/>
  <c r="Q356"/>
  <c r="Q50"/>
  <c r="Q86"/>
  <c r="R50" i="131" s="1"/>
  <c r="Q255" i="130"/>
  <c r="R39" i="131" s="1"/>
  <c r="Q32" i="130"/>
  <c r="Q151"/>
  <c r="R32" i="131" s="1"/>
  <c r="O607" i="130"/>
  <c r="J87" i="141"/>
  <c r="P265" i="130"/>
  <c r="P376"/>
  <c r="Q41" i="131" s="1"/>
  <c r="Q196" i="130"/>
  <c r="R23" i="131" s="1"/>
  <c r="Q549" i="130"/>
  <c r="Q439"/>
  <c r="R44" i="131" s="1"/>
  <c r="P512" i="130"/>
  <c r="P551"/>
  <c r="Q14"/>
  <c r="R12" i="131" s="1"/>
  <c r="Q274" i="130"/>
  <c r="Q106"/>
  <c r="Q385"/>
  <c r="J87" i="140"/>
  <c r="Q42" i="131"/>
  <c r="Q14"/>
  <c r="Q302" i="130"/>
  <c r="Q68"/>
  <c r="Q23"/>
  <c r="R13" i="131" s="1"/>
  <c r="Q457" i="130"/>
  <c r="Q160"/>
  <c r="R33" i="131" s="1"/>
  <c r="Q205" i="130"/>
  <c r="R29" i="131" s="1"/>
  <c r="Q587" i="130"/>
  <c r="R49" i="131" s="1"/>
  <c r="Q531" i="130"/>
  <c r="Q124"/>
  <c r="R22" i="131" s="1"/>
  <c r="Q169" i="130"/>
  <c r="R26" i="131" s="1"/>
  <c r="Q403" i="130"/>
  <c r="Q187"/>
  <c r="R28" i="131" s="1"/>
  <c r="Q374" i="130"/>
  <c r="Q142"/>
  <c r="R25" i="131" s="1"/>
  <c r="Q605" i="130"/>
  <c r="Q178"/>
  <c r="R27" i="131" s="1"/>
  <c r="Q40"/>
  <c r="P97" i="130"/>
  <c r="Q522"/>
  <c r="S1"/>
  <c r="R360"/>
  <c r="R363"/>
  <c r="R362"/>
  <c r="R465"/>
  <c r="R361"/>
  <c r="R364"/>
  <c r="R194"/>
  <c r="R241"/>
  <c r="R435"/>
  <c r="R251"/>
  <c r="R343"/>
  <c r="R407"/>
  <c r="R438"/>
  <c r="R464"/>
  <c r="R481"/>
  <c r="R141"/>
  <c r="R146"/>
  <c r="R167"/>
  <c r="R183"/>
  <c r="R120"/>
  <c r="R243"/>
  <c r="R307"/>
  <c r="R372"/>
  <c r="R401"/>
  <c r="R444"/>
  <c r="R461"/>
  <c r="R112"/>
  <c r="R139"/>
  <c r="R177"/>
  <c r="R193"/>
  <c r="R242"/>
  <c r="R317"/>
  <c r="R346"/>
  <c r="R371"/>
  <c r="R445"/>
  <c r="R463"/>
  <c r="R488"/>
  <c r="R604"/>
  <c r="R46"/>
  <c r="R114"/>
  <c r="R150"/>
  <c r="R176"/>
  <c r="R354"/>
  <c r="R594"/>
  <c r="R48"/>
  <c r="R192"/>
  <c r="R434"/>
  <c r="R245"/>
  <c r="R252"/>
  <c r="R344"/>
  <c r="R369"/>
  <c r="R373"/>
  <c r="R402"/>
  <c r="R437"/>
  <c r="R447"/>
  <c r="R480"/>
  <c r="R490"/>
  <c r="R601"/>
  <c r="R137"/>
  <c r="R148"/>
  <c r="R168"/>
  <c r="R182"/>
  <c r="R250"/>
  <c r="R319"/>
  <c r="R398"/>
  <c r="R409"/>
  <c r="R436"/>
  <c r="R483"/>
  <c r="R491"/>
  <c r="R49"/>
  <c r="R122"/>
  <c r="R166"/>
  <c r="R173"/>
  <c r="R253"/>
  <c r="R316"/>
  <c r="R462"/>
  <c r="R492"/>
  <c r="R539"/>
  <c r="R603"/>
  <c r="R45"/>
  <c r="R110"/>
  <c r="R149"/>
  <c r="R185"/>
  <c r="R382"/>
  <c r="R121"/>
  <c r="R602"/>
  <c r="R411"/>
  <c r="R191"/>
  <c r="R408"/>
  <c r="R244"/>
  <c r="R342"/>
  <c r="R399"/>
  <c r="R410"/>
  <c r="R446"/>
  <c r="R482"/>
  <c r="R489"/>
  <c r="R28"/>
  <c r="R113"/>
  <c r="R140"/>
  <c r="R147"/>
  <c r="R165"/>
  <c r="R175"/>
  <c r="R184"/>
  <c r="R595"/>
  <c r="R390"/>
  <c r="R318"/>
  <c r="R380"/>
  <c r="R393"/>
  <c r="R400"/>
  <c r="R479"/>
  <c r="R600"/>
  <c r="R72"/>
  <c r="R164"/>
  <c r="R174"/>
  <c r="R195"/>
  <c r="R389"/>
  <c r="R254"/>
  <c r="R315"/>
  <c r="R345"/>
  <c r="R370"/>
  <c r="R443"/>
  <c r="R47"/>
  <c r="R123"/>
  <c r="R138"/>
  <c r="R186"/>
  <c r="R392"/>
  <c r="R119"/>
  <c r="R279"/>
  <c r="R336"/>
  <c r="R425"/>
  <c r="R456"/>
  <c r="R499"/>
  <c r="R520"/>
  <c r="R548"/>
  <c r="R567"/>
  <c r="R583"/>
  <c r="R22"/>
  <c r="R36"/>
  <c r="R63"/>
  <c r="R83"/>
  <c r="R102"/>
  <c r="R210"/>
  <c r="R222"/>
  <c r="R391"/>
  <c r="R73"/>
  <c r="R262"/>
  <c r="R324"/>
  <c r="R261"/>
  <c r="R278"/>
  <c r="R297"/>
  <c r="R335"/>
  <c r="R381"/>
  <c r="R426"/>
  <c r="R453"/>
  <c r="R472"/>
  <c r="R501"/>
  <c r="R518"/>
  <c r="R527"/>
  <c r="R538"/>
  <c r="R546"/>
  <c r="R555"/>
  <c r="R564"/>
  <c r="R591"/>
  <c r="R40"/>
  <c r="R65"/>
  <c r="R93"/>
  <c r="R104"/>
  <c r="R128"/>
  <c r="R204"/>
  <c r="R218"/>
  <c r="R75"/>
  <c r="R351"/>
  <c r="R270"/>
  <c r="R281"/>
  <c r="R299"/>
  <c r="R337"/>
  <c r="R417"/>
  <c r="R427"/>
  <c r="R452"/>
  <c r="R474"/>
  <c r="R500"/>
  <c r="R507"/>
  <c r="R575"/>
  <c r="R29"/>
  <c r="R58"/>
  <c r="R76"/>
  <c r="R130"/>
  <c r="R157"/>
  <c r="R201"/>
  <c r="R221"/>
  <c r="R586"/>
  <c r="R352"/>
  <c r="R74"/>
  <c r="R272"/>
  <c r="R290"/>
  <c r="R325"/>
  <c r="R418"/>
  <c r="R509"/>
  <c r="R521"/>
  <c r="R545"/>
  <c r="R547"/>
  <c r="R574"/>
  <c r="R30"/>
  <c r="R55"/>
  <c r="R81"/>
  <c r="R94"/>
  <c r="R132"/>
  <c r="R203"/>
  <c r="R219"/>
  <c r="R19"/>
  <c r="R300"/>
  <c r="R259"/>
  <c r="R273"/>
  <c r="R291"/>
  <c r="R301"/>
  <c r="R355"/>
  <c r="R420"/>
  <c r="R454"/>
  <c r="R470"/>
  <c r="R497"/>
  <c r="R508"/>
  <c r="R535"/>
  <c r="R536"/>
  <c r="R556"/>
  <c r="R565"/>
  <c r="R592"/>
  <c r="R31"/>
  <c r="R64"/>
  <c r="R91"/>
  <c r="R101"/>
  <c r="R156"/>
  <c r="R211"/>
  <c r="R82"/>
  <c r="R306"/>
  <c r="R585"/>
  <c r="R280"/>
  <c r="R292"/>
  <c r="R326"/>
  <c r="R383"/>
  <c r="R428"/>
  <c r="R498"/>
  <c r="R530"/>
  <c r="R577"/>
  <c r="R27"/>
  <c r="R39"/>
  <c r="R67"/>
  <c r="R92"/>
  <c r="R131"/>
  <c r="R159"/>
  <c r="R213"/>
  <c r="R566"/>
  <c r="R308"/>
  <c r="R309"/>
  <c r="R289"/>
  <c r="R328"/>
  <c r="R334"/>
  <c r="R384"/>
  <c r="R471"/>
  <c r="R506"/>
  <c r="R519"/>
  <c r="R529"/>
  <c r="R544"/>
  <c r="R568"/>
  <c r="R573"/>
  <c r="R582"/>
  <c r="R21"/>
  <c r="R38"/>
  <c r="R56"/>
  <c r="R66"/>
  <c r="R200"/>
  <c r="R209"/>
  <c r="R220"/>
  <c r="R158"/>
  <c r="R260"/>
  <c r="R263"/>
  <c r="R269"/>
  <c r="R282"/>
  <c r="R298"/>
  <c r="R327"/>
  <c r="R416"/>
  <c r="R510"/>
  <c r="R517"/>
  <c r="R528"/>
  <c r="R537"/>
  <c r="R557"/>
  <c r="R559"/>
  <c r="R576"/>
  <c r="R57"/>
  <c r="R85"/>
  <c r="R90"/>
  <c r="R105"/>
  <c r="R155"/>
  <c r="R212"/>
  <c r="R18"/>
  <c r="R310"/>
  <c r="R103"/>
  <c r="R271"/>
  <c r="R288"/>
  <c r="R333"/>
  <c r="R419"/>
  <c r="R429"/>
  <c r="R455"/>
  <c r="R473"/>
  <c r="R526"/>
  <c r="R558"/>
  <c r="R593"/>
  <c r="R20"/>
  <c r="R37"/>
  <c r="R54"/>
  <c r="R84"/>
  <c r="R129"/>
  <c r="R202"/>
  <c r="R353"/>
  <c r="R584"/>
  <c r="R9"/>
  <c r="R232"/>
  <c r="R11"/>
  <c r="R233"/>
  <c r="R10"/>
  <c r="R234"/>
  <c r="R12"/>
  <c r="R236"/>
  <c r="R13"/>
  <c r="R235"/>
  <c r="R359"/>
  <c r="R368"/>
  <c r="R599"/>
  <c r="R163"/>
  <c r="R240"/>
  <c r="R35"/>
  <c r="R397"/>
  <c r="R487"/>
  <c r="R26"/>
  <c r="R249"/>
  <c r="R136"/>
  <c r="R478"/>
  <c r="R71"/>
  <c r="R442"/>
  <c r="R44"/>
  <c r="R388"/>
  <c r="R172"/>
  <c r="R350"/>
  <c r="R181"/>
  <c r="R460"/>
  <c r="R190"/>
  <c r="R406"/>
  <c r="R590"/>
  <c r="R305"/>
  <c r="R314"/>
  <c r="R145"/>
  <c r="R433"/>
  <c r="R118"/>
  <c r="R341"/>
  <c r="R109"/>
  <c r="R8"/>
  <c r="R554"/>
  <c r="R379"/>
  <c r="R581"/>
  <c r="R323"/>
  <c r="R563"/>
  <c r="R80"/>
  <c r="R62"/>
  <c r="R208"/>
  <c r="R496"/>
  <c r="R534"/>
  <c r="R277"/>
  <c r="R89"/>
  <c r="R451"/>
  <c r="R231"/>
  <c r="R100"/>
  <c r="R217"/>
  <c r="R17"/>
  <c r="R127"/>
  <c r="R296"/>
  <c r="R543"/>
  <c r="R415"/>
  <c r="R199"/>
  <c r="R469"/>
  <c r="R525"/>
  <c r="R516"/>
  <c r="R268"/>
  <c r="R287"/>
  <c r="R572"/>
  <c r="R258"/>
  <c r="R505"/>
  <c r="R424"/>
  <c r="R53"/>
  <c r="R154"/>
  <c r="R332"/>
  <c r="Q237"/>
  <c r="Q560"/>
  <c r="Q293"/>
  <c r="H87" i="142"/>
  <c r="Q15" i="131"/>
  <c r="Q45"/>
  <c r="Q95" i="130"/>
  <c r="R17" i="131" s="1"/>
  <c r="Q223" i="130"/>
  <c r="R18" i="131" s="1"/>
  <c r="Q502" i="130"/>
  <c r="Q311"/>
  <c r="Q133"/>
  <c r="R24" i="131" s="1"/>
  <c r="Q329" i="130"/>
  <c r="Q596"/>
  <c r="Q412"/>
  <c r="Q214"/>
  <c r="R34" i="131" s="1"/>
  <c r="Q578" i="130"/>
  <c r="R48" i="131" s="1"/>
  <c r="Q484" i="130"/>
  <c r="Q466"/>
  <c r="Q246"/>
  <c r="Q569"/>
  <c r="Q448"/>
  <c r="Q493"/>
  <c r="Q38" i="131"/>
  <c r="E87" i="142"/>
  <c r="Q35" i="131"/>
  <c r="Q36" s="1"/>
  <c r="B741" i="135"/>
  <c r="B562" i="130"/>
  <c r="C910" i="111"/>
  <c r="C729" i="135"/>
  <c r="B741" i="106"/>
  <c r="B925" i="111"/>
  <c r="C553" i="105"/>
  <c r="C729" i="106"/>
  <c r="C553" i="7"/>
  <c r="C562" i="130" s="1"/>
  <c r="B562" i="105"/>
  <c r="A353" i="114"/>
  <c r="B344"/>
  <c r="C344" s="1"/>
  <c r="A571" i="7"/>
  <c r="B562"/>
  <c r="G23" i="107"/>
  <c r="B2" i="24"/>
  <c r="O19" i="131" l="1"/>
  <c r="O46"/>
  <c r="N56"/>
  <c r="N54"/>
  <c r="N57"/>
  <c r="R51"/>
  <c r="R53" s="1"/>
  <c r="R412" i="130"/>
  <c r="R15" i="131"/>
  <c r="R40"/>
  <c r="R86" i="130"/>
  <c r="S50" i="131" s="1"/>
  <c r="R95" i="130"/>
  <c r="S17" i="131" s="1"/>
  <c r="R587" i="130"/>
  <c r="S49" i="131" s="1"/>
  <c r="R14"/>
  <c r="R475" i="130"/>
  <c r="R569"/>
  <c r="R160"/>
  <c r="S33" i="131" s="1"/>
  <c r="R421" i="130"/>
  <c r="R124"/>
  <c r="S22" i="131" s="1"/>
  <c r="R187" i="130"/>
  <c r="S28" i="131" s="1"/>
  <c r="R403" i="130"/>
  <c r="R365"/>
  <c r="Q551"/>
  <c r="R511"/>
  <c r="R531"/>
  <c r="R133"/>
  <c r="S24" i="131" s="1"/>
  <c r="R502" i="130"/>
  <c r="R320"/>
  <c r="R394"/>
  <c r="R255"/>
  <c r="S39" i="131" s="1"/>
  <c r="R169" i="130"/>
  <c r="S26" i="131" s="1"/>
  <c r="P607" i="130"/>
  <c r="R42" i="131"/>
  <c r="P57"/>
  <c r="Q265" i="130"/>
  <c r="R439"/>
  <c r="S44" i="131" s="1"/>
  <c r="R196" i="130"/>
  <c r="S23" i="131" s="1"/>
  <c r="R50" i="130"/>
  <c r="R338"/>
  <c r="R223"/>
  <c r="S18" i="131" s="1"/>
  <c r="R457" i="130"/>
  <c r="Q376"/>
  <c r="R41" i="131" s="1"/>
  <c r="Q512" i="130"/>
  <c r="R77"/>
  <c r="S16" i="131" s="1"/>
  <c r="Q606" i="130"/>
  <c r="R430"/>
  <c r="R578"/>
  <c r="S48" i="131" s="1"/>
  <c r="R205" i="130"/>
  <c r="S29" i="131" s="1"/>
  <c r="R302" i="130"/>
  <c r="R540"/>
  <c r="R68"/>
  <c r="R329"/>
  <c r="R347"/>
  <c r="R151"/>
  <c r="S32" i="131" s="1"/>
  <c r="R596" i="130"/>
  <c r="R466"/>
  <c r="R178"/>
  <c r="S27" i="131" s="1"/>
  <c r="R448" i="130"/>
  <c r="R142"/>
  <c r="S25" i="131" s="1"/>
  <c r="R493" i="130"/>
  <c r="R246"/>
  <c r="R374"/>
  <c r="R293"/>
  <c r="R106"/>
  <c r="R14"/>
  <c r="S12" i="131" s="1"/>
  <c r="R43"/>
  <c r="K87" i="142"/>
  <c r="R522" i="130"/>
  <c r="R560"/>
  <c r="S363"/>
  <c r="S361"/>
  <c r="S373"/>
  <c r="S360"/>
  <c r="S362"/>
  <c r="S364"/>
  <c r="S47"/>
  <c r="S315"/>
  <c r="S243"/>
  <c r="S316"/>
  <c r="S346"/>
  <c r="S371"/>
  <c r="S409"/>
  <c r="S508"/>
  <c r="S564"/>
  <c r="S46"/>
  <c r="S150"/>
  <c r="S165"/>
  <c r="S185"/>
  <c r="S191"/>
  <c r="S213"/>
  <c r="S593"/>
  <c r="S372"/>
  <c r="S252"/>
  <c r="S317"/>
  <c r="S410"/>
  <c r="S138"/>
  <c r="S175"/>
  <c r="S176"/>
  <c r="S392"/>
  <c r="S391"/>
  <c r="S105"/>
  <c r="S480"/>
  <c r="S481"/>
  <c r="S370"/>
  <c r="S254"/>
  <c r="S380"/>
  <c r="S399"/>
  <c r="S434"/>
  <c r="S444"/>
  <c r="S489"/>
  <c r="S536"/>
  <c r="S604"/>
  <c r="S114"/>
  <c r="S141"/>
  <c r="S184"/>
  <c r="S565"/>
  <c r="S369"/>
  <c r="S319"/>
  <c r="S242"/>
  <c r="S147"/>
  <c r="S345"/>
  <c r="S344"/>
  <c r="S401"/>
  <c r="S443"/>
  <c r="S490"/>
  <c r="S567"/>
  <c r="S601"/>
  <c r="S45"/>
  <c r="S168"/>
  <c r="S193"/>
  <c r="S390"/>
  <c r="S539"/>
  <c r="S102"/>
  <c r="S483"/>
  <c r="S250"/>
  <c r="S526"/>
  <c r="S48"/>
  <c r="S110"/>
  <c r="S140"/>
  <c r="S149"/>
  <c r="S174"/>
  <c r="S183"/>
  <c r="S209"/>
  <c r="S592"/>
  <c r="S383"/>
  <c r="S120"/>
  <c r="S241"/>
  <c r="S251"/>
  <c r="S400"/>
  <c r="S407"/>
  <c r="S438"/>
  <c r="S447"/>
  <c r="S445"/>
  <c r="S461"/>
  <c r="S492"/>
  <c r="S510"/>
  <c r="S603"/>
  <c r="S164"/>
  <c r="S195"/>
  <c r="S566"/>
  <c r="S507"/>
  <c r="S465"/>
  <c r="S600"/>
  <c r="S192"/>
  <c r="S146"/>
  <c r="S436"/>
  <c r="S342"/>
  <c r="S411"/>
  <c r="S437"/>
  <c r="S94"/>
  <c r="S113"/>
  <c r="S167"/>
  <c r="S177"/>
  <c r="S186"/>
  <c r="S595"/>
  <c r="S591"/>
  <c r="S101"/>
  <c r="S464"/>
  <c r="S245"/>
  <c r="S343"/>
  <c r="S398"/>
  <c r="S463"/>
  <c r="S488"/>
  <c r="S602"/>
  <c r="S49"/>
  <c r="S137"/>
  <c r="S139"/>
  <c r="S173"/>
  <c r="S182"/>
  <c r="S211"/>
  <c r="S103"/>
  <c r="S462"/>
  <c r="S244"/>
  <c r="S253"/>
  <c r="S318"/>
  <c r="S402"/>
  <c r="S408"/>
  <c r="S435"/>
  <c r="S446"/>
  <c r="S491"/>
  <c r="S506"/>
  <c r="S112"/>
  <c r="S148"/>
  <c r="S166"/>
  <c r="S194"/>
  <c r="S382"/>
  <c r="S482"/>
  <c r="S479"/>
  <c r="S279"/>
  <c r="S328"/>
  <c r="S336"/>
  <c r="S428"/>
  <c r="S470"/>
  <c r="S520"/>
  <c r="S530"/>
  <c r="S546"/>
  <c r="S576"/>
  <c r="S28"/>
  <c r="S55"/>
  <c r="S158"/>
  <c r="S306"/>
  <c r="S307"/>
  <c r="S381"/>
  <c r="S575"/>
  <c r="S292"/>
  <c r="S270"/>
  <c r="S297"/>
  <c r="S334"/>
  <c r="S354"/>
  <c r="S427"/>
  <c r="S454"/>
  <c r="S474"/>
  <c r="S501"/>
  <c r="S545"/>
  <c r="S594"/>
  <c r="S36"/>
  <c r="S65"/>
  <c r="S83"/>
  <c r="S132"/>
  <c r="S202"/>
  <c r="S221"/>
  <c r="S90"/>
  <c r="S121"/>
  <c r="S261"/>
  <c r="S291"/>
  <c r="S259"/>
  <c r="S281"/>
  <c r="S298"/>
  <c r="S393"/>
  <c r="S418"/>
  <c r="S452"/>
  <c r="S518"/>
  <c r="S529"/>
  <c r="S557"/>
  <c r="S577"/>
  <c r="S586"/>
  <c r="S38"/>
  <c r="S56"/>
  <c r="S85"/>
  <c r="S129"/>
  <c r="S203"/>
  <c r="S21"/>
  <c r="S122"/>
  <c r="S509"/>
  <c r="S104"/>
  <c r="S75"/>
  <c r="S272"/>
  <c r="S324"/>
  <c r="S325"/>
  <c r="S389"/>
  <c r="S456"/>
  <c r="S497"/>
  <c r="S517"/>
  <c r="S544"/>
  <c r="S574"/>
  <c r="S31"/>
  <c r="S57"/>
  <c r="S131"/>
  <c r="S204"/>
  <c r="S538"/>
  <c r="S535"/>
  <c r="S72"/>
  <c r="S290"/>
  <c r="S273"/>
  <c r="S278"/>
  <c r="S333"/>
  <c r="S352"/>
  <c r="S419"/>
  <c r="S425"/>
  <c r="S472"/>
  <c r="S498"/>
  <c r="S528"/>
  <c r="S558"/>
  <c r="S584"/>
  <c r="S29"/>
  <c r="S39"/>
  <c r="S66"/>
  <c r="S82"/>
  <c r="S156"/>
  <c r="S220"/>
  <c r="S19"/>
  <c r="S20"/>
  <c r="S22"/>
  <c r="S288"/>
  <c r="S262"/>
  <c r="S282"/>
  <c r="S300"/>
  <c r="S335"/>
  <c r="S355"/>
  <c r="S420"/>
  <c r="S473"/>
  <c r="S527"/>
  <c r="S555"/>
  <c r="S585"/>
  <c r="S27"/>
  <c r="S54"/>
  <c r="S67"/>
  <c r="S130"/>
  <c r="S157"/>
  <c r="S219"/>
  <c r="S308"/>
  <c r="S123"/>
  <c r="S119"/>
  <c r="S18"/>
  <c r="S269"/>
  <c r="S299"/>
  <c r="S327"/>
  <c r="S337"/>
  <c r="S426"/>
  <c r="S471"/>
  <c r="S521"/>
  <c r="S537"/>
  <c r="S559"/>
  <c r="S573"/>
  <c r="S40"/>
  <c r="S63"/>
  <c r="S128"/>
  <c r="S201"/>
  <c r="S218"/>
  <c r="S91"/>
  <c r="S92"/>
  <c r="S93"/>
  <c r="S263"/>
  <c r="S280"/>
  <c r="S309"/>
  <c r="S353"/>
  <c r="S416"/>
  <c r="S429"/>
  <c r="S453"/>
  <c r="S499"/>
  <c r="S500"/>
  <c r="S547"/>
  <c r="S582"/>
  <c r="S30"/>
  <c r="S37"/>
  <c r="S64"/>
  <c r="S84"/>
  <c r="S155"/>
  <c r="S212"/>
  <c r="S222"/>
  <c r="S310"/>
  <c r="S73"/>
  <c r="S74"/>
  <c r="S271"/>
  <c r="S301"/>
  <c r="S260"/>
  <c r="S289"/>
  <c r="S326"/>
  <c r="S351"/>
  <c r="S417"/>
  <c r="S455"/>
  <c r="S519"/>
  <c r="S548"/>
  <c r="S556"/>
  <c r="S583"/>
  <c r="S58"/>
  <c r="S81"/>
  <c r="S159"/>
  <c r="S200"/>
  <c r="S568"/>
  <c r="S384"/>
  <c r="S210"/>
  <c r="S76"/>
  <c r="S359"/>
  <c r="S12"/>
  <c r="S235"/>
  <c r="S234"/>
  <c r="S236"/>
  <c r="S10"/>
  <c r="S9"/>
  <c r="S233"/>
  <c r="S368"/>
  <c r="S13"/>
  <c r="S232"/>
  <c r="S11"/>
  <c r="S460"/>
  <c r="S181"/>
  <c r="S478"/>
  <c r="S109"/>
  <c r="S314"/>
  <c r="S71"/>
  <c r="S442"/>
  <c r="S433"/>
  <c r="S163"/>
  <c r="S89"/>
  <c r="S590"/>
  <c r="S397"/>
  <c r="S240"/>
  <c r="S100"/>
  <c r="S487"/>
  <c r="S208"/>
  <c r="S388"/>
  <c r="S534"/>
  <c r="S136"/>
  <c r="S563"/>
  <c r="S118"/>
  <c r="S379"/>
  <c r="S17"/>
  <c r="S172"/>
  <c r="S406"/>
  <c r="S145"/>
  <c r="S305"/>
  <c r="S190"/>
  <c r="S44"/>
  <c r="S505"/>
  <c r="S341"/>
  <c r="S599"/>
  <c r="S249"/>
  <c r="S8"/>
  <c r="S287"/>
  <c r="S323"/>
  <c r="S35"/>
  <c r="S62"/>
  <c r="S80"/>
  <c r="S350"/>
  <c r="S415"/>
  <c r="S53"/>
  <c r="S258"/>
  <c r="S469"/>
  <c r="S199"/>
  <c r="S424"/>
  <c r="S154"/>
  <c r="S268"/>
  <c r="S496"/>
  <c r="S543"/>
  <c r="S277"/>
  <c r="S581"/>
  <c r="S516"/>
  <c r="S231"/>
  <c r="S554"/>
  <c r="S525"/>
  <c r="S296"/>
  <c r="S332"/>
  <c r="S572"/>
  <c r="S26"/>
  <c r="S127"/>
  <c r="S451"/>
  <c r="S217"/>
  <c r="Q97"/>
  <c r="R274"/>
  <c r="R284" s="1"/>
  <c r="R237"/>
  <c r="R385"/>
  <c r="Q46" i="131"/>
  <c r="R38"/>
  <c r="R59" i="130"/>
  <c r="R264"/>
  <c r="R549"/>
  <c r="R23"/>
  <c r="S13" i="131" s="1"/>
  <c r="R283" i="130"/>
  <c r="R214"/>
  <c r="S34" i="131" s="1"/>
  <c r="R311" i="130"/>
  <c r="R356"/>
  <c r="R484"/>
  <c r="R32"/>
  <c r="R41"/>
  <c r="R605"/>
  <c r="R35" i="131"/>
  <c r="R36" s="1"/>
  <c r="Q19"/>
  <c r="R45"/>
  <c r="Q284" i="130"/>
  <c r="B752" i="135"/>
  <c r="B571" i="130"/>
  <c r="C925" i="111"/>
  <c r="C741" i="135"/>
  <c r="B752" i="106"/>
  <c r="B940" i="111"/>
  <c r="C562" i="105"/>
  <c r="C741" i="106"/>
  <c r="C562" i="7"/>
  <c r="C571" i="130" s="1"/>
  <c r="B571" i="105"/>
  <c r="A362" i="114"/>
  <c r="B353"/>
  <c r="C353" s="1"/>
  <c r="A580" i="7"/>
  <c r="B571"/>
  <c r="H23" i="107"/>
  <c r="C5" i="119"/>
  <c r="C8" s="1"/>
  <c r="D5"/>
  <c r="R19" i="131" l="1"/>
  <c r="S43"/>
  <c r="O54"/>
  <c r="N58"/>
  <c r="S51"/>
  <c r="S53" s="1"/>
  <c r="Q57"/>
  <c r="S403" i="130"/>
  <c r="S374"/>
  <c r="S42" i="131"/>
  <c r="Q607" i="130"/>
  <c r="R551"/>
  <c r="S302"/>
  <c r="S540"/>
  <c r="S15" i="131"/>
  <c r="R606" i="130"/>
  <c r="R376"/>
  <c r="S41" i="131" s="1"/>
  <c r="S338" i="130"/>
  <c r="S587"/>
  <c r="T49" i="131" s="1"/>
  <c r="U49" s="1"/>
  <c r="S430" i="130"/>
  <c r="S264"/>
  <c r="S41"/>
  <c r="S196"/>
  <c r="T23" i="131" s="1"/>
  <c r="U23" s="1"/>
  <c r="S412" i="130"/>
  <c r="S214"/>
  <c r="T34" i="131" s="1"/>
  <c r="U34" s="1"/>
  <c r="S95" i="130"/>
  <c r="T17" i="131" s="1"/>
  <c r="U17" s="1"/>
  <c r="S448" i="130"/>
  <c r="S365"/>
  <c r="R265"/>
  <c r="S133"/>
  <c r="T24" i="131" s="1"/>
  <c r="U24" s="1"/>
  <c r="S502" i="130"/>
  <c r="S356"/>
  <c r="S347"/>
  <c r="S142"/>
  <c r="T25" i="131" s="1"/>
  <c r="U25" s="1"/>
  <c r="S246" i="130"/>
  <c r="S466"/>
  <c r="R46" i="131"/>
  <c r="S223" i="130"/>
  <c r="T18" i="131" s="1"/>
  <c r="U18" s="1"/>
  <c r="S32" i="130"/>
  <c r="S283"/>
  <c r="S205"/>
  <c r="T29" i="131" s="1"/>
  <c r="U29" s="1"/>
  <c r="S59" i="130"/>
  <c r="S255"/>
  <c r="T39" i="131" s="1"/>
  <c r="U39" s="1"/>
  <c r="S511" i="130"/>
  <c r="S178"/>
  <c r="T27" i="131" s="1"/>
  <c r="U27" s="1"/>
  <c r="S493" i="130"/>
  <c r="R512"/>
  <c r="S522"/>
  <c r="S293"/>
  <c r="S106"/>
  <c r="S45" i="131"/>
  <c r="S38"/>
  <c r="S457" i="130"/>
  <c r="S578"/>
  <c r="T48" i="131" s="1"/>
  <c r="S531" i="130"/>
  <c r="S549"/>
  <c r="S160"/>
  <c r="T33" i="131" s="1"/>
  <c r="U33" s="1"/>
  <c r="S475" i="130"/>
  <c r="S421"/>
  <c r="S68"/>
  <c r="S605"/>
  <c r="S50"/>
  <c r="S151"/>
  <c r="T32" i="131" s="1"/>
  <c r="U32" s="1"/>
  <c r="S23" i="130"/>
  <c r="T13" i="131" s="1"/>
  <c r="U13" s="1"/>
  <c r="S569" i="130"/>
  <c r="S394"/>
  <c r="S596"/>
  <c r="S439"/>
  <c r="T44" i="131" s="1"/>
  <c r="U44" s="1"/>
  <c r="S320" i="130"/>
  <c r="S187"/>
  <c r="T28" i="131" s="1"/>
  <c r="U28" s="1"/>
  <c r="S237" i="130"/>
  <c r="S274"/>
  <c r="S14" i="131"/>
  <c r="S40"/>
  <c r="S86" i="130"/>
  <c r="T50" i="131" s="1"/>
  <c r="U50" s="1"/>
  <c r="S329" i="130"/>
  <c r="S311"/>
  <c r="S124"/>
  <c r="T22" i="131" s="1"/>
  <c r="U22" s="1"/>
  <c r="S169" i="130"/>
  <c r="T26" i="131" s="1"/>
  <c r="U26" s="1"/>
  <c r="S77" i="130"/>
  <c r="T16" i="131" s="1"/>
  <c r="U16" s="1"/>
  <c r="S484" i="130"/>
  <c r="S35" i="131"/>
  <c r="S36" s="1"/>
  <c r="R97" i="130"/>
  <c r="S560"/>
  <c r="S14"/>
  <c r="T12" i="131" s="1"/>
  <c r="S385" i="130"/>
  <c r="B763" i="135"/>
  <c r="B580" i="130"/>
  <c r="C940" i="111"/>
  <c r="C752" i="135"/>
  <c r="B763" i="106"/>
  <c r="B955" i="111"/>
  <c r="C571" i="105"/>
  <c r="C752" i="106"/>
  <c r="C571" i="7"/>
  <c r="C580" i="130" s="1"/>
  <c r="B580" i="105"/>
  <c r="A371" i="114"/>
  <c r="B371" s="1"/>
  <c r="C371" s="1"/>
  <c r="B362"/>
  <c r="C362" s="1"/>
  <c r="A589" i="7"/>
  <c r="B589" s="1"/>
  <c r="B580"/>
  <c r="E5" i="119"/>
  <c r="F5"/>
  <c r="S19" i="131" l="1"/>
  <c r="T51"/>
  <c r="U51" s="1"/>
  <c r="R57"/>
  <c r="R607" i="130"/>
  <c r="S512"/>
  <c r="T14" i="131"/>
  <c r="U14" s="1"/>
  <c r="S606" i="130"/>
  <c r="S97"/>
  <c r="T40" i="131"/>
  <c r="U40" s="1"/>
  <c r="T15"/>
  <c r="U15" s="1"/>
  <c r="T38"/>
  <c r="U38" s="1"/>
  <c r="T43"/>
  <c r="U43" s="1"/>
  <c r="S376" i="130"/>
  <c r="T41" i="131" s="1"/>
  <c r="U41" s="1"/>
  <c r="S551" i="130"/>
  <c r="T35" i="131"/>
  <c r="T36" s="1"/>
  <c r="U12"/>
  <c r="U48"/>
  <c r="T45"/>
  <c r="U45" s="1"/>
  <c r="S284" i="130"/>
  <c r="S265"/>
  <c r="T42" i="131"/>
  <c r="U42" s="1"/>
  <c r="S46"/>
  <c r="B785" i="135"/>
  <c r="B598" i="130"/>
  <c r="B774" i="135"/>
  <c r="B589" i="130"/>
  <c r="C955" i="111"/>
  <c r="C763" i="135"/>
  <c r="B774" i="106"/>
  <c r="B970" i="111"/>
  <c r="B785" i="106"/>
  <c r="B985" i="111"/>
  <c r="C580" i="105"/>
  <c r="C763" i="106"/>
  <c r="C580" i="7"/>
  <c r="C589" i="130" s="1"/>
  <c r="B589" i="105"/>
  <c r="C589" i="7"/>
  <c r="C598" i="130" s="1"/>
  <c r="B598" i="105"/>
  <c r="G390" i="114"/>
  <c r="J390"/>
  <c r="G387"/>
  <c r="J389"/>
  <c r="H390"/>
  <c r="H387"/>
  <c r="J387"/>
  <c r="J388"/>
  <c r="G388"/>
  <c r="G391"/>
  <c r="H388"/>
  <c r="G389"/>
  <c r="H389"/>
  <c r="H386"/>
  <c r="H391"/>
  <c r="D388"/>
  <c r="I386"/>
  <c r="E388"/>
  <c r="I391"/>
  <c r="I387"/>
  <c r="J386"/>
  <c r="F389"/>
  <c r="D389"/>
  <c r="F390"/>
  <c r="J391"/>
  <c r="D387"/>
  <c r="E386"/>
  <c r="E390"/>
  <c r="I388"/>
  <c r="E391"/>
  <c r="F386"/>
  <c r="D391"/>
  <c r="I389"/>
  <c r="I390"/>
  <c r="D386"/>
  <c r="F387"/>
  <c r="D390"/>
  <c r="E389"/>
  <c r="E387"/>
  <c r="G386"/>
  <c r="F388"/>
  <c r="F391"/>
  <c r="J23" i="107"/>
  <c r="T53" i="131" l="1"/>
  <c r="U53"/>
  <c r="U35"/>
  <c r="U36" s="1"/>
  <c r="S57"/>
  <c r="U19"/>
  <c r="T19"/>
  <c r="S607" i="130"/>
  <c r="U46" i="131"/>
  <c r="T46"/>
  <c r="D610" i="7"/>
  <c r="D608"/>
  <c r="L611"/>
  <c r="H610"/>
  <c r="I607"/>
  <c r="E611"/>
  <c r="L609"/>
  <c r="I608"/>
  <c r="J608"/>
  <c r="F612"/>
  <c r="K610"/>
  <c r="G612"/>
  <c r="G608"/>
  <c r="I611"/>
  <c r="L607"/>
  <c r="J609"/>
  <c r="I610"/>
  <c r="H608"/>
  <c r="G607"/>
  <c r="K611"/>
  <c r="F609"/>
  <c r="H612"/>
  <c r="K612"/>
  <c r="E609"/>
  <c r="I612"/>
  <c r="H611"/>
  <c r="E607"/>
  <c r="F607"/>
  <c r="G610"/>
  <c r="I609"/>
  <c r="J610"/>
  <c r="D607"/>
  <c r="E610"/>
  <c r="G609"/>
  <c r="K609"/>
  <c r="J612"/>
  <c r="E621" i="130"/>
  <c r="D72" i="131" s="1"/>
  <c r="J619" i="130"/>
  <c r="J70" i="131" s="1"/>
  <c r="F616" i="130"/>
  <c r="E67" i="131" s="1"/>
  <c r="L621" i="130"/>
  <c r="L72" i="131" s="1"/>
  <c r="J616" i="130"/>
  <c r="J67" i="131" s="1"/>
  <c r="G621" i="130"/>
  <c r="F72" i="131" s="1"/>
  <c r="J617" i="130"/>
  <c r="J68" i="131" s="1"/>
  <c r="E619" i="130"/>
  <c r="D70" i="131" s="1"/>
  <c r="E618" i="130"/>
  <c r="D69" i="131" s="1"/>
  <c r="H619" i="130"/>
  <c r="G70" i="131" s="1"/>
  <c r="L620" i="130"/>
  <c r="L71" i="131" s="1"/>
  <c r="K616" i="130"/>
  <c r="K67" i="131" s="1"/>
  <c r="F619" i="130"/>
  <c r="E70" i="131" s="1"/>
  <c r="G619" i="130"/>
  <c r="F70" i="131" s="1"/>
  <c r="F618" i="130"/>
  <c r="E69" i="131" s="1"/>
  <c r="J620" i="130"/>
  <c r="J71" i="131" s="1"/>
  <c r="I621" i="130"/>
  <c r="H72" i="131" s="1"/>
  <c r="D617" i="130"/>
  <c r="L618"/>
  <c r="L69" i="131" s="1"/>
  <c r="J618" i="130"/>
  <c r="J69" i="131" s="1"/>
  <c r="J621" i="130"/>
  <c r="J72" i="131" s="1"/>
  <c r="D618" i="130"/>
  <c r="L619"/>
  <c r="L70" i="131" s="1"/>
  <c r="H618" i="130"/>
  <c r="G69" i="131" s="1"/>
  <c r="E620" i="130"/>
  <c r="D71" i="131" s="1"/>
  <c r="K621" i="130"/>
  <c r="K72" i="131" s="1"/>
  <c r="H617" i="130"/>
  <c r="G68" i="131" s="1"/>
  <c r="L617" i="130"/>
  <c r="L68" i="131" s="1"/>
  <c r="G620" i="130"/>
  <c r="F71" i="131" s="1"/>
  <c r="H620" i="130"/>
  <c r="G71" i="131" s="1"/>
  <c r="I616" i="130"/>
  <c r="H67" i="131" s="1"/>
  <c r="H616" i="130"/>
  <c r="G67" i="131" s="1"/>
  <c r="I620" i="130"/>
  <c r="H71" i="131" s="1"/>
  <c r="K617" i="130"/>
  <c r="K68" i="131" s="1"/>
  <c r="D616" i="130"/>
  <c r="F617"/>
  <c r="E68" i="131" s="1"/>
  <c r="I618" i="130"/>
  <c r="H69" i="131" s="1"/>
  <c r="K619" i="130"/>
  <c r="K70" i="131" s="1"/>
  <c r="G617" i="130"/>
  <c r="F68" i="131" s="1"/>
  <c r="E617" i="130"/>
  <c r="D68" i="131" s="1"/>
  <c r="M621" i="130"/>
  <c r="M72" i="131" s="1"/>
  <c r="G618" i="130"/>
  <c r="F69" i="131" s="1"/>
  <c r="K620" i="130"/>
  <c r="K71" i="131" s="1"/>
  <c r="H621" i="130"/>
  <c r="G72" i="131" s="1"/>
  <c r="E616" i="130"/>
  <c r="K618"/>
  <c r="K69" i="131" s="1"/>
  <c r="L616" i="130"/>
  <c r="M620"/>
  <c r="M71" i="131" s="1"/>
  <c r="D619" i="130"/>
  <c r="G616"/>
  <c r="F620"/>
  <c r="E71" i="131" s="1"/>
  <c r="M618" i="130"/>
  <c r="M69" i="131" s="1"/>
  <c r="N621" i="130"/>
  <c r="N72" i="131" s="1"/>
  <c r="D621" i="130"/>
  <c r="M619"/>
  <c r="M70" i="131" s="1"/>
  <c r="I619" i="130"/>
  <c r="H70" i="131" s="1"/>
  <c r="I617" i="130"/>
  <c r="H68" i="131" s="1"/>
  <c r="D620" i="130"/>
  <c r="M617"/>
  <c r="M68" i="131" s="1"/>
  <c r="F621" i="130"/>
  <c r="E72" i="131" s="1"/>
  <c r="N617" i="130"/>
  <c r="N68" i="131" s="1"/>
  <c r="N619" i="130"/>
  <c r="N70" i="131" s="1"/>
  <c r="N620" i="130"/>
  <c r="N71" i="131" s="1"/>
  <c r="O621" i="130"/>
  <c r="P72" i="131" s="1"/>
  <c r="N618" i="130"/>
  <c r="N69" i="131" s="1"/>
  <c r="O620" i="130"/>
  <c r="P71" i="131" s="1"/>
  <c r="O619" i="130"/>
  <c r="P70" i="131" s="1"/>
  <c r="P617" i="130"/>
  <c r="Q68" i="131" s="1"/>
  <c r="O617" i="130"/>
  <c r="P68" i="131" s="1"/>
  <c r="P619" i="130"/>
  <c r="Q70" i="131" s="1"/>
  <c r="P620" i="130"/>
  <c r="Q71" i="131" s="1"/>
  <c r="P621" i="130"/>
  <c r="Q72" i="131" s="1"/>
  <c r="Q621" i="130"/>
  <c r="R72" i="131" s="1"/>
  <c r="M616" i="130"/>
  <c r="R621"/>
  <c r="S72" i="131" s="1"/>
  <c r="Q619" i="130"/>
  <c r="R70" i="131" s="1"/>
  <c r="Q620" i="130"/>
  <c r="R71" i="131" s="1"/>
  <c r="Q617" i="130"/>
  <c r="R68" i="131" s="1"/>
  <c r="R617" i="130"/>
  <c r="S68" i="131" s="1"/>
  <c r="S619" i="130"/>
  <c r="T70" i="131" s="1"/>
  <c r="R619" i="130"/>
  <c r="S70" i="131" s="1"/>
  <c r="R620" i="130"/>
  <c r="S71" i="131" s="1"/>
  <c r="N616" i="130"/>
  <c r="S621"/>
  <c r="T72" i="131" s="1"/>
  <c r="O616" i="130"/>
  <c r="P616"/>
  <c r="S617"/>
  <c r="T68" i="131" s="1"/>
  <c r="S620" i="130"/>
  <c r="T71" i="131" s="1"/>
  <c r="Q616" i="130"/>
  <c r="R616"/>
  <c r="S616"/>
  <c r="E608" i="7"/>
  <c r="D611"/>
  <c r="K608"/>
  <c r="J611"/>
  <c r="H609"/>
  <c r="F611"/>
  <c r="F608"/>
  <c r="K607"/>
  <c r="L610"/>
  <c r="D609"/>
  <c r="E612"/>
  <c r="G611"/>
  <c r="J607"/>
  <c r="H607"/>
  <c r="F610"/>
  <c r="D612"/>
  <c r="L612"/>
  <c r="L608"/>
  <c r="C985" i="111"/>
  <c r="C785" i="135"/>
  <c r="C970" i="111"/>
  <c r="C774" i="135"/>
  <c r="C598" i="105"/>
  <c r="C785" i="106"/>
  <c r="C589" i="105"/>
  <c r="C774" i="106"/>
  <c r="G392" i="114"/>
  <c r="G403" s="1"/>
  <c r="D392"/>
  <c r="D403" s="1"/>
  <c r="H392"/>
  <c r="H403" s="1"/>
  <c r="I392"/>
  <c r="I403" s="1"/>
  <c r="E392"/>
  <c r="E403" s="1"/>
  <c r="J392"/>
  <c r="J403" s="1"/>
  <c r="F392"/>
  <c r="F403" s="1"/>
  <c r="G5" i="119"/>
  <c r="K23" i="107"/>
  <c r="T57" i="131" l="1"/>
  <c r="N8" i="112"/>
  <c r="U8" s="1"/>
  <c r="M22"/>
  <c r="T22" s="1"/>
  <c r="E20"/>
  <c r="E20" i="136" s="1"/>
  <c r="D613" i="7"/>
  <c r="D626" s="1"/>
  <c r="F613"/>
  <c r="F626" s="1"/>
  <c r="G613"/>
  <c r="G626" s="1"/>
  <c r="D10" i="112"/>
  <c r="D10" i="136" s="1"/>
  <c r="E10" i="112"/>
  <c r="E10" i="136" s="1"/>
  <c r="H30" i="112"/>
  <c r="H30" i="136" s="1"/>
  <c r="H613" i="7"/>
  <c r="H626" s="1"/>
  <c r="O10" i="112"/>
  <c r="V10" s="1"/>
  <c r="Q8"/>
  <c r="X8" s="1"/>
  <c r="C23"/>
  <c r="C23" i="136" s="1"/>
  <c r="I613" i="7"/>
  <c r="I626" s="1"/>
  <c r="G10" i="112"/>
  <c r="G10" i="136" s="1"/>
  <c r="Q12" i="112"/>
  <c r="X12" s="1"/>
  <c r="C12"/>
  <c r="C11" i="136" s="1"/>
  <c r="R22" i="112"/>
  <c r="Y22" s="1"/>
  <c r="N31"/>
  <c r="U31" s="1"/>
  <c r="I11"/>
  <c r="I11" i="136" s="1"/>
  <c r="M9" i="112"/>
  <c r="T9" s="1"/>
  <c r="O9"/>
  <c r="V9" s="1"/>
  <c r="O12"/>
  <c r="V12" s="1"/>
  <c r="C11"/>
  <c r="Q23"/>
  <c r="X23" s="1"/>
  <c r="E22"/>
  <c r="E22" i="136" s="1"/>
  <c r="M31" i="112"/>
  <c r="T31" s="1"/>
  <c r="N29"/>
  <c r="U29" s="1"/>
  <c r="M24"/>
  <c r="T24" s="1"/>
  <c r="D12"/>
  <c r="D11" i="136" s="1"/>
  <c r="R11" i="112"/>
  <c r="Y11" s="1"/>
  <c r="I26"/>
  <c r="I26" i="136" s="1"/>
  <c r="K613" i="7"/>
  <c r="K626" s="1"/>
  <c r="E613"/>
  <c r="E626" s="1"/>
  <c r="L613"/>
  <c r="L626" s="1"/>
  <c r="J613"/>
  <c r="J626" s="1"/>
  <c r="P10" i="112"/>
  <c r="W10" s="1"/>
  <c r="F23"/>
  <c r="F23" i="136" s="1"/>
  <c r="E9" i="112"/>
  <c r="E9" i="136" s="1"/>
  <c r="N10" i="112"/>
  <c r="U10" s="1"/>
  <c r="I10"/>
  <c r="I10" i="136" s="1"/>
  <c r="F8" i="112"/>
  <c r="F8" i="136" s="1"/>
  <c r="P9" i="112"/>
  <c r="W9" s="1"/>
  <c r="O11"/>
  <c r="V11" s="1"/>
  <c r="N23"/>
  <c r="U23" s="1"/>
  <c r="M25"/>
  <c r="T25" s="1"/>
  <c r="N22"/>
  <c r="U22" s="1"/>
  <c r="H29"/>
  <c r="H29" i="136" s="1"/>
  <c r="O24" i="112"/>
  <c r="V24" s="1"/>
  <c r="D31"/>
  <c r="D31" i="136" s="1"/>
  <c r="R12" i="112"/>
  <c r="Y12" s="1"/>
  <c r="P11"/>
  <c r="W11" s="1"/>
  <c r="P12"/>
  <c r="W12" s="1"/>
  <c r="N12"/>
  <c r="U12" s="1"/>
  <c r="R10"/>
  <c r="Y10" s="1"/>
  <c r="G11"/>
  <c r="G11" i="136" s="1"/>
  <c r="D8" i="112"/>
  <c r="D8" i="136" s="1"/>
  <c r="E19" i="112"/>
  <c r="E19" i="136" s="1"/>
  <c r="D19" i="112"/>
  <c r="D19" i="136" s="1"/>
  <c r="D24" i="112"/>
  <c r="D24" i="136" s="1"/>
  <c r="N21" i="112"/>
  <c r="U21" s="1"/>
  <c r="O20"/>
  <c r="V20" s="1"/>
  <c r="R30"/>
  <c r="Y30" s="1"/>
  <c r="F9"/>
  <c r="F9" i="136" s="1"/>
  <c r="F10" i="112"/>
  <c r="F10" i="136" s="1"/>
  <c r="E23" i="112"/>
  <c r="E23" i="136" s="1"/>
  <c r="I9" i="112"/>
  <c r="I9" i="136" s="1"/>
  <c r="D9" i="112"/>
  <c r="D9" i="136" s="1"/>
  <c r="D23" i="112"/>
  <c r="D23" i="136" s="1"/>
  <c r="Q9" i="112"/>
  <c r="X9" s="1"/>
  <c r="R9"/>
  <c r="Y9" s="1"/>
  <c r="M10"/>
  <c r="T10" s="1"/>
  <c r="H12"/>
  <c r="H12" i="136" s="1"/>
  <c r="G12" i="112"/>
  <c r="G12" i="136" s="1"/>
  <c r="I12" i="112"/>
  <c r="I12" i="136" s="1"/>
  <c r="C9" i="112"/>
  <c r="C9" i="136" s="1"/>
  <c r="E11" i="112"/>
  <c r="E11" i="136" s="1"/>
  <c r="Q11" i="112"/>
  <c r="X11" s="1"/>
  <c r="C8"/>
  <c r="C8" i="136" s="1"/>
  <c r="G19" i="112"/>
  <c r="G19" i="136" s="1"/>
  <c r="G22" i="112"/>
  <c r="G22" i="136" s="1"/>
  <c r="Q19" i="112"/>
  <c r="X19" s="1"/>
  <c r="R26"/>
  <c r="Y26" s="1"/>
  <c r="Q26"/>
  <c r="X26" s="1"/>
  <c r="M30"/>
  <c r="T30" s="1"/>
  <c r="I30"/>
  <c r="I30" i="136" s="1"/>
  <c r="Q28" i="112"/>
  <c r="X28" s="1"/>
  <c r="F24"/>
  <c r="F24" i="136" s="1"/>
  <c r="I28" i="112"/>
  <c r="I28" i="136" s="1"/>
  <c r="P30" i="112"/>
  <c r="W30" s="1"/>
  <c r="O28"/>
  <c r="V28" s="1"/>
  <c r="R24"/>
  <c r="Y24" s="1"/>
  <c r="H617" i="105"/>
  <c r="F19" i="112"/>
  <c r="F19" i="136" s="1"/>
  <c r="D25" i="112"/>
  <c r="D25" i="136" s="1"/>
  <c r="H25" i="112"/>
  <c r="H25" i="136" s="1"/>
  <c r="E26" i="112"/>
  <c r="E26" i="136" s="1"/>
  <c r="Q25" i="112"/>
  <c r="X25" s="1"/>
  <c r="C26"/>
  <c r="C26" i="136" s="1"/>
  <c r="R19" i="112"/>
  <c r="Y19" s="1"/>
  <c r="C25"/>
  <c r="C25" i="136" s="1"/>
  <c r="E25" i="112"/>
  <c r="E25" i="136" s="1"/>
  <c r="D26" i="112"/>
  <c r="D26" i="136" s="1"/>
  <c r="N20" i="112"/>
  <c r="U20" s="1"/>
  <c r="C21"/>
  <c r="C21" i="136" s="1"/>
  <c r="I20" i="112"/>
  <c r="I20" i="136" s="1"/>
  <c r="O29" i="112"/>
  <c r="V29" s="1"/>
  <c r="M28"/>
  <c r="T28" s="1"/>
  <c r="Q30"/>
  <c r="X30" s="1"/>
  <c r="E24"/>
  <c r="E24" i="136" s="1"/>
  <c r="I31" i="112"/>
  <c r="I31" i="136" s="1"/>
  <c r="Q20" i="112"/>
  <c r="X20" s="1"/>
  <c r="C29"/>
  <c r="C29" i="136" s="1"/>
  <c r="D20" i="112"/>
  <c r="D20" i="136" s="1"/>
  <c r="F21" i="112"/>
  <c r="F21" i="136" s="1"/>
  <c r="N28" i="112"/>
  <c r="U28" s="1"/>
  <c r="P21"/>
  <c r="W21" s="1"/>
  <c r="F31"/>
  <c r="F31" i="136" s="1"/>
  <c r="M20" i="112"/>
  <c r="T20" s="1"/>
  <c r="F27"/>
  <c r="F27" i="136" s="1"/>
  <c r="O30" i="112"/>
  <c r="V30" s="1"/>
  <c r="Q27"/>
  <c r="X27" s="1"/>
  <c r="H20"/>
  <c r="H20" i="136" s="1"/>
  <c r="E29" i="112"/>
  <c r="E29" i="136" s="1"/>
  <c r="G31" i="112"/>
  <c r="G31" i="136" s="1"/>
  <c r="M12" i="112"/>
  <c r="T12" s="1"/>
  <c r="E12"/>
  <c r="E12" i="136" s="1"/>
  <c r="P8" i="112"/>
  <c r="W8" s="1"/>
  <c r="E8"/>
  <c r="E8" i="136" s="1"/>
  <c r="R8" i="112"/>
  <c r="Y8" s="1"/>
  <c r="I8"/>
  <c r="I8" i="136" s="1"/>
  <c r="P23" i="112"/>
  <c r="W23" s="1"/>
  <c r="P26"/>
  <c r="W26" s="1"/>
  <c r="O22"/>
  <c r="V22" s="1"/>
  <c r="O19"/>
  <c r="V19" s="1"/>
  <c r="M19"/>
  <c r="T19" s="1"/>
  <c r="P19"/>
  <c r="W19" s="1"/>
  <c r="R25"/>
  <c r="Y25" s="1"/>
  <c r="I25"/>
  <c r="I25" i="136" s="1"/>
  <c r="P25" i="112"/>
  <c r="W25" s="1"/>
  <c r="F25"/>
  <c r="F25" i="136" s="1"/>
  <c r="C19" i="112"/>
  <c r="C19" i="136" s="1"/>
  <c r="H26" i="112"/>
  <c r="H26" i="136" s="1"/>
  <c r="G25" i="112"/>
  <c r="G25" i="136" s="1"/>
  <c r="I23" i="112"/>
  <c r="I23" i="136" s="1"/>
  <c r="P24" i="112"/>
  <c r="W24" s="1"/>
  <c r="G21"/>
  <c r="G21" i="136" s="1"/>
  <c r="O31" i="112"/>
  <c r="V31" s="1"/>
  <c r="E21"/>
  <c r="E21" i="136" s="1"/>
  <c r="P31" i="112"/>
  <c r="W31" s="1"/>
  <c r="C28"/>
  <c r="C28" i="136" s="1"/>
  <c r="Q29" i="112"/>
  <c r="X29" s="1"/>
  <c r="M27"/>
  <c r="T27" s="1"/>
  <c r="H24"/>
  <c r="H24" i="136" s="1"/>
  <c r="I27" i="112"/>
  <c r="I27" i="136" s="1"/>
  <c r="I29" i="112"/>
  <c r="I29" i="136" s="1"/>
  <c r="Q21" i="112"/>
  <c r="X21" s="1"/>
  <c r="N24"/>
  <c r="U24" s="1"/>
  <c r="D27"/>
  <c r="D27" i="136" s="1"/>
  <c r="Q24" i="112"/>
  <c r="X24" s="1"/>
  <c r="N30"/>
  <c r="U30" s="1"/>
  <c r="D28"/>
  <c r="D28" i="136" s="1"/>
  <c r="R29" i="112"/>
  <c r="Y29" s="1"/>
  <c r="P20"/>
  <c r="W20" s="1"/>
  <c r="P28"/>
  <c r="W28" s="1"/>
  <c r="L619" i="105"/>
  <c r="K621"/>
  <c r="S617"/>
  <c r="H28" i="112"/>
  <c r="H28" i="136" s="1"/>
  <c r="F28" i="112"/>
  <c r="F28" i="136" s="1"/>
  <c r="H21" i="112"/>
  <c r="H21" i="136" s="1"/>
  <c r="E28" i="112"/>
  <c r="E28" i="136" s="1"/>
  <c r="R21" i="112"/>
  <c r="Y21" s="1"/>
  <c r="R23"/>
  <c r="Y23" s="1"/>
  <c r="H23"/>
  <c r="H23" i="136" s="1"/>
  <c r="Q31" i="112"/>
  <c r="X31" s="1"/>
  <c r="R28"/>
  <c r="Y28" s="1"/>
  <c r="M616" i="105"/>
  <c r="P617"/>
  <c r="F12" i="112"/>
  <c r="F12" i="136" s="1"/>
  <c r="N9" i="112"/>
  <c r="U9" s="1"/>
  <c r="M8"/>
  <c r="M11"/>
  <c r="T11" s="1"/>
  <c r="G9"/>
  <c r="G9" i="136" s="1"/>
  <c r="H9" i="112"/>
  <c r="H9" i="136" s="1"/>
  <c r="F11" i="112"/>
  <c r="F11" i="136" s="1"/>
  <c r="H10" i="112"/>
  <c r="H10" i="136" s="1"/>
  <c r="Q10" i="112"/>
  <c r="X10" s="1"/>
  <c r="N11"/>
  <c r="U11" s="1"/>
  <c r="O8"/>
  <c r="V8" s="1"/>
  <c r="G8"/>
  <c r="G8" i="136" s="1"/>
  <c r="H11" i="112"/>
  <c r="H11" i="136" s="1"/>
  <c r="C10" i="112"/>
  <c r="C10" i="136" s="1"/>
  <c r="D11" i="112"/>
  <c r="H8"/>
  <c r="H8" i="136" s="1"/>
  <c r="M23" i="112"/>
  <c r="T23" s="1"/>
  <c r="D22"/>
  <c r="D22" i="136" s="1"/>
  <c r="H19" i="112"/>
  <c r="H19" i="136" s="1"/>
  <c r="O25" i="112"/>
  <c r="V25" s="1"/>
  <c r="O26"/>
  <c r="V26" s="1"/>
  <c r="F26"/>
  <c r="N25"/>
  <c r="U25" s="1"/>
  <c r="C22"/>
  <c r="C22" i="136" s="1"/>
  <c r="I19" i="112"/>
  <c r="I19" i="136" s="1"/>
  <c r="N19" i="112"/>
  <c r="U19" s="1"/>
  <c r="H22"/>
  <c r="H22" i="136" s="1"/>
  <c r="M26" i="112"/>
  <c r="T26" s="1"/>
  <c r="Q22"/>
  <c r="X22" s="1"/>
  <c r="F22"/>
  <c r="F22" i="136" s="1"/>
  <c r="P22" i="112"/>
  <c r="W22" s="1"/>
  <c r="I22"/>
  <c r="I22" i="136" s="1"/>
  <c r="N26" i="112"/>
  <c r="U26" s="1"/>
  <c r="G26"/>
  <c r="G26" i="136" s="1"/>
  <c r="P27" i="112"/>
  <c r="W27" s="1"/>
  <c r="M21"/>
  <c r="T21" s="1"/>
  <c r="G30"/>
  <c r="G30" i="136" s="1"/>
  <c r="C24" i="112"/>
  <c r="C24" i="136" s="1"/>
  <c r="C20" i="112"/>
  <c r="C20" i="136" s="1"/>
  <c r="C30" i="112"/>
  <c r="C30" i="136" s="1"/>
  <c r="G29" i="112"/>
  <c r="G29" i="136" s="1"/>
  <c r="C31" i="112"/>
  <c r="C31" i="136" s="1"/>
  <c r="F20" i="112"/>
  <c r="F20" i="136" s="1"/>
  <c r="O27" i="112"/>
  <c r="V27" s="1"/>
  <c r="N27"/>
  <c r="U27" s="1"/>
  <c r="F29"/>
  <c r="F29" i="136" s="1"/>
  <c r="G28" i="112"/>
  <c r="G28" i="136" s="1"/>
  <c r="C27" i="112"/>
  <c r="C27" i="136" s="1"/>
  <c r="F30" i="112"/>
  <c r="F30" i="136" s="1"/>
  <c r="I24" i="112"/>
  <c r="I24" i="136" s="1"/>
  <c r="G24" i="112"/>
  <c r="G24" i="136" s="1"/>
  <c r="G27" i="112"/>
  <c r="G27" i="136" s="1"/>
  <c r="I21" i="112"/>
  <c r="I21" i="136" s="1"/>
  <c r="M29" i="112"/>
  <c r="T29" s="1"/>
  <c r="H31"/>
  <c r="H31" i="136" s="1"/>
  <c r="H27" i="112"/>
  <c r="H27" i="136" s="1"/>
  <c r="D21" i="112"/>
  <c r="D21" i="136" s="1"/>
  <c r="E31" i="112"/>
  <c r="E31" i="136" s="1"/>
  <c r="R27" i="112"/>
  <c r="Y27" s="1"/>
  <c r="O21"/>
  <c r="V21" s="1"/>
  <c r="E30"/>
  <c r="E30" i="136" s="1"/>
  <c r="R31" i="112"/>
  <c r="Y31" s="1"/>
  <c r="G23"/>
  <c r="G23" i="136" s="1"/>
  <c r="D30" i="112"/>
  <c r="D30" i="136" s="1"/>
  <c r="P29" i="112"/>
  <c r="W29" s="1"/>
  <c r="D29"/>
  <c r="D29" i="136" s="1"/>
  <c r="E27" i="112"/>
  <c r="E27" i="136" s="1"/>
  <c r="G20" i="112"/>
  <c r="G20" i="136" s="1"/>
  <c r="O23" i="112"/>
  <c r="V23" s="1"/>
  <c r="R20"/>
  <c r="Y20" s="1"/>
  <c r="S67" i="131"/>
  <c r="G622" i="130"/>
  <c r="G634" s="1"/>
  <c r="F67" i="131"/>
  <c r="F73" s="1"/>
  <c r="L622" i="130"/>
  <c r="L634" s="1"/>
  <c r="L67" i="131"/>
  <c r="L73" s="1"/>
  <c r="J73"/>
  <c r="G73"/>
  <c r="O69"/>
  <c r="I70"/>
  <c r="O70"/>
  <c r="T67"/>
  <c r="P67"/>
  <c r="N622" i="130"/>
  <c r="N634" s="1"/>
  <c r="N67" i="131"/>
  <c r="N73" s="1"/>
  <c r="E622" i="130"/>
  <c r="E634" s="1"/>
  <c r="D67" i="131"/>
  <c r="U71"/>
  <c r="O72"/>
  <c r="K73"/>
  <c r="I69"/>
  <c r="E73"/>
  <c r="R67"/>
  <c r="Q67"/>
  <c r="M622" i="130"/>
  <c r="M634" s="1"/>
  <c r="M67" i="131"/>
  <c r="M73" s="1"/>
  <c r="R616" i="105"/>
  <c r="P621"/>
  <c r="M618"/>
  <c r="U68" i="131"/>
  <c r="U70"/>
  <c r="U72"/>
  <c r="I68"/>
  <c r="H73"/>
  <c r="I71"/>
  <c r="O71"/>
  <c r="O68"/>
  <c r="I72"/>
  <c r="D622" i="130"/>
  <c r="D634" s="1"/>
  <c r="H622"/>
  <c r="H634" s="1"/>
  <c r="J622"/>
  <c r="J634" s="1"/>
  <c r="K622"/>
  <c r="K634" s="1"/>
  <c r="F622"/>
  <c r="F634" s="1"/>
  <c r="I620" i="105"/>
  <c r="I622" i="130"/>
  <c r="I634" s="1"/>
  <c r="P616" i="105"/>
  <c r="S619"/>
  <c r="Q621"/>
  <c r="E618"/>
  <c r="Q617"/>
  <c r="F617"/>
  <c r="L617"/>
  <c r="F620"/>
  <c r="S616"/>
  <c r="O616"/>
  <c r="S621"/>
  <c r="R620"/>
  <c r="P620"/>
  <c r="O617"/>
  <c r="E617"/>
  <c r="H618"/>
  <c r="G620"/>
  <c r="O620"/>
  <c r="G621"/>
  <c r="H620"/>
  <c r="R617"/>
  <c r="H616"/>
  <c r="E620"/>
  <c r="L620"/>
  <c r="G619"/>
  <c r="D620"/>
  <c r="O619"/>
  <c r="N621"/>
  <c r="G617"/>
  <c r="O621"/>
  <c r="N619"/>
  <c r="M619"/>
  <c r="K619"/>
  <c r="M620"/>
  <c r="L616"/>
  <c r="K617"/>
  <c r="J616"/>
  <c r="H619"/>
  <c r="F616"/>
  <c r="D618"/>
  <c r="I621"/>
  <c r="K620"/>
  <c r="I617"/>
  <c r="E616"/>
  <c r="J618"/>
  <c r="D619"/>
  <c r="F619"/>
  <c r="D616"/>
  <c r="M621"/>
  <c r="N618"/>
  <c r="H621"/>
  <c r="Q616"/>
  <c r="N616"/>
  <c r="S620"/>
  <c r="Q620"/>
  <c r="R621"/>
  <c r="R619"/>
  <c r="I618"/>
  <c r="J620"/>
  <c r="K616"/>
  <c r="D617"/>
  <c r="P619"/>
  <c r="J621"/>
  <c r="L621"/>
  <c r="E621"/>
  <c r="E619"/>
  <c r="J617"/>
  <c r="F621"/>
  <c r="J619"/>
  <c r="Q619"/>
  <c r="F618"/>
  <c r="L618"/>
  <c r="G618"/>
  <c r="D621"/>
  <c r="G616"/>
  <c r="I616"/>
  <c r="I619"/>
  <c r="K618"/>
  <c r="N617"/>
  <c r="N620"/>
  <c r="M617"/>
  <c r="E14" i="24"/>
  <c r="L23" i="107"/>
  <c r="F12" i="24"/>
  <c r="H5" i="119"/>
  <c r="D41" i="136" l="1"/>
  <c r="V13" i="112"/>
  <c r="W13"/>
  <c r="I42" i="136"/>
  <c r="Q13" i="112"/>
  <c r="U34"/>
  <c r="F41"/>
  <c r="M13"/>
  <c r="J25" i="136"/>
  <c r="X13" i="112"/>
  <c r="E40" i="136"/>
  <c r="F43" i="112"/>
  <c r="T8"/>
  <c r="T13" s="1"/>
  <c r="C43"/>
  <c r="E41"/>
  <c r="D41"/>
  <c r="R13"/>
  <c r="D42"/>
  <c r="J9" i="136"/>
  <c r="I13"/>
  <c r="F42" i="112"/>
  <c r="E13" i="136"/>
  <c r="I41"/>
  <c r="D13" i="112"/>
  <c r="D12" i="136" s="1"/>
  <c r="D13" s="1"/>
  <c r="E13" i="112"/>
  <c r="Y34"/>
  <c r="P13"/>
  <c r="I13"/>
  <c r="Q34"/>
  <c r="J30" i="136"/>
  <c r="F40"/>
  <c r="G42" i="112"/>
  <c r="J22" i="136"/>
  <c r="H34" i="112"/>
  <c r="J28" i="136"/>
  <c r="C40"/>
  <c r="N34" i="112"/>
  <c r="H13" i="136"/>
  <c r="G13"/>
  <c r="H40"/>
  <c r="H42"/>
  <c r="J21"/>
  <c r="H41"/>
  <c r="W34" i="112"/>
  <c r="J19" i="136"/>
  <c r="J12"/>
  <c r="J10"/>
  <c r="C34" i="112"/>
  <c r="U13"/>
  <c r="O13"/>
  <c r="I42"/>
  <c r="J27" i="136"/>
  <c r="E42"/>
  <c r="J31"/>
  <c r="J8"/>
  <c r="F13"/>
  <c r="C13" i="112"/>
  <c r="C12" i="136" s="1"/>
  <c r="C13" s="1"/>
  <c r="X34" i="112"/>
  <c r="V34"/>
  <c r="I43"/>
  <c r="C41"/>
  <c r="T34"/>
  <c r="Y13"/>
  <c r="G13"/>
  <c r="I34"/>
  <c r="E42"/>
  <c r="J23" i="136"/>
  <c r="D40"/>
  <c r="F42"/>
  <c r="C42"/>
  <c r="G42"/>
  <c r="G41"/>
  <c r="P34" i="112"/>
  <c r="E34"/>
  <c r="H43"/>
  <c r="M34"/>
  <c r="G34"/>
  <c r="G43"/>
  <c r="I41"/>
  <c r="J11" i="136"/>
  <c r="F26"/>
  <c r="F41" s="1"/>
  <c r="J29"/>
  <c r="E43" i="112"/>
  <c r="D43"/>
  <c r="F13"/>
  <c r="R34"/>
  <c r="D34"/>
  <c r="F34"/>
  <c r="N13"/>
  <c r="H13"/>
  <c r="H41"/>
  <c r="J20" i="136"/>
  <c r="I40"/>
  <c r="O34" i="112"/>
  <c r="G41"/>
  <c r="N75" i="131"/>
  <c r="D42" i="136"/>
  <c r="J24"/>
  <c r="H42" i="112"/>
  <c r="M622" i="105"/>
  <c r="M634" s="1"/>
  <c r="E622"/>
  <c r="E634" s="1"/>
  <c r="H33" i="136"/>
  <c r="C41"/>
  <c r="M75" i="131"/>
  <c r="L622" i="105"/>
  <c r="L634" s="1"/>
  <c r="G40" i="136"/>
  <c r="C42" i="112"/>
  <c r="L75" i="131"/>
  <c r="U67"/>
  <c r="J75"/>
  <c r="O73"/>
  <c r="K622" i="105"/>
  <c r="K634" s="1"/>
  <c r="H75" i="131"/>
  <c r="F75"/>
  <c r="D73"/>
  <c r="I67"/>
  <c r="E75"/>
  <c r="O67"/>
  <c r="K75"/>
  <c r="G75"/>
  <c r="D33" i="136"/>
  <c r="G33"/>
  <c r="H622" i="105"/>
  <c r="H634" s="1"/>
  <c r="J622"/>
  <c r="J634" s="1"/>
  <c r="D622"/>
  <c r="D634" s="1"/>
  <c r="F622"/>
  <c r="F634" s="1"/>
  <c r="I33" i="136"/>
  <c r="E41"/>
  <c r="C33"/>
  <c r="E33"/>
  <c r="I622" i="105"/>
  <c r="I634" s="1"/>
  <c r="G622"/>
  <c r="G634" s="1"/>
  <c r="N622"/>
  <c r="N634" s="1"/>
  <c r="I5" i="119"/>
  <c r="M23" i="107"/>
  <c r="J5" i="119"/>
  <c r="X35" i="112" l="1"/>
  <c r="F35"/>
  <c r="F57" s="1"/>
  <c r="D44"/>
  <c r="D58" s="1"/>
  <c r="H35"/>
  <c r="H57" s="1"/>
  <c r="F44"/>
  <c r="F58" s="1"/>
  <c r="E44"/>
  <c r="E58" s="1"/>
  <c r="U35"/>
  <c r="W35"/>
  <c r="H34" i="136"/>
  <c r="D43"/>
  <c r="D57" s="1"/>
  <c r="V35" i="112"/>
  <c r="I35"/>
  <c r="I57" s="1"/>
  <c r="D34" i="136"/>
  <c r="I43"/>
  <c r="I57" s="1"/>
  <c r="D35" i="112"/>
  <c r="D57" s="1"/>
  <c r="E35"/>
  <c r="E57" s="1"/>
  <c r="Y35"/>
  <c r="C44"/>
  <c r="C58" s="1"/>
  <c r="C43" i="136"/>
  <c r="C57" s="1"/>
  <c r="C35" i="112"/>
  <c r="C57" s="1"/>
  <c r="G44"/>
  <c r="G58" s="1"/>
  <c r="H43" i="136"/>
  <c r="H57" s="1"/>
  <c r="G34"/>
  <c r="G35" i="112"/>
  <c r="G57" s="1"/>
  <c r="T35"/>
  <c r="J13" i="136"/>
  <c r="E43"/>
  <c r="E57" s="1"/>
  <c r="J40"/>
  <c r="G43"/>
  <c r="G57" s="1"/>
  <c r="J42"/>
  <c r="F43"/>
  <c r="I44" i="112"/>
  <c r="I58" s="1"/>
  <c r="F33" i="136"/>
  <c r="H44" i="112"/>
  <c r="H58" s="1"/>
  <c r="J26" i="136"/>
  <c r="J41" s="1"/>
  <c r="L635" i="105"/>
  <c r="D75" i="131"/>
  <c r="I73"/>
  <c r="I34" i="136"/>
  <c r="E34"/>
  <c r="C34"/>
  <c r="N23" i="107"/>
  <c r="I56" i="136" l="1"/>
  <c r="H56"/>
  <c r="D56"/>
  <c r="C56"/>
  <c r="G56"/>
  <c r="J43"/>
  <c r="F57"/>
  <c r="F34"/>
  <c r="F56" s="1"/>
  <c r="J33"/>
  <c r="E56"/>
  <c r="P23" i="107"/>
  <c r="O23"/>
  <c r="J34" i="136" l="1"/>
  <c r="M635" i="105" l="1"/>
  <c r="P187" i="128"/>
  <c r="N187"/>
  <c r="R187"/>
  <c r="O187"/>
  <c r="Q187"/>
  <c r="N635" i="105"/>
  <c r="D10" i="24" l="1"/>
  <c r="K10" s="1"/>
  <c r="D13" l="1"/>
  <c r="D11" l="1"/>
  <c r="K11" s="1"/>
  <c r="D9" l="1"/>
  <c r="K9" s="1"/>
  <c r="D14" l="1"/>
  <c r="F14" l="1"/>
  <c r="E24" l="1"/>
  <c r="E17" l="1"/>
  <c r="G13"/>
  <c r="G14"/>
  <c r="E22" l="1"/>
  <c r="H13"/>
  <c r="H14" l="1"/>
  <c r="E16" l="1"/>
  <c r="D16"/>
  <c r="I7" i="119"/>
  <c r="J7"/>
  <c r="G7"/>
  <c r="H7"/>
  <c r="I14" i="24"/>
  <c r="K14" s="1"/>
  <c r="K16" l="1"/>
  <c r="D7" i="119"/>
  <c r="E7"/>
  <c r="F7"/>
  <c r="D17" i="24" l="1"/>
  <c r="K17" s="1"/>
  <c r="D22"/>
  <c r="K22" s="1"/>
  <c r="D20" l="1"/>
  <c r="H187" i="48" l="1"/>
  <c r="G187"/>
  <c r="H151" l="1"/>
  <c r="H191"/>
  <c r="H160" s="1"/>
  <c r="G151"/>
  <c r="G191"/>
  <c r="G160" s="1"/>
  <c r="F187"/>
  <c r="I187"/>
  <c r="G170" l="1"/>
  <c r="H21"/>
  <c r="H155"/>
  <c r="F151"/>
  <c r="F191"/>
  <c r="F160" s="1"/>
  <c r="H170"/>
  <c r="I151"/>
  <c r="I191"/>
  <c r="I160" s="1"/>
  <c r="G21"/>
  <c r="G155"/>
  <c r="I170" l="1"/>
  <c r="F21"/>
  <c r="F155"/>
  <c r="G32"/>
  <c r="G21" i="63"/>
  <c r="G25" i="48"/>
  <c r="I21"/>
  <c r="I155"/>
  <c r="F170"/>
  <c r="H32"/>
  <c r="H21" i="63"/>
  <c r="H25" i="48"/>
  <c r="H36" l="1"/>
  <c r="H66"/>
  <c r="G32" i="63"/>
  <c r="G25"/>
  <c r="G131" s="1"/>
  <c r="G21" i="140"/>
  <c r="H32" i="63"/>
  <c r="H25"/>
  <c r="H21" i="140"/>
  <c r="I32" i="48"/>
  <c r="I21" i="63"/>
  <c r="I25" i="48"/>
  <c r="G36"/>
  <c r="G66"/>
  <c r="F32"/>
  <c r="F21" i="63"/>
  <c r="F25" i="48"/>
  <c r="F32" i="63" l="1"/>
  <c r="F25"/>
  <c r="F21" i="140"/>
  <c r="G206" i="48"/>
  <c r="G105"/>
  <c r="G207"/>
  <c r="G141"/>
  <c r="I36"/>
  <c r="I66"/>
  <c r="H131" i="63"/>
  <c r="H206" i="48"/>
  <c r="H105"/>
  <c r="H207"/>
  <c r="H141"/>
  <c r="Q111" i="105"/>
  <c r="G70" i="48"/>
  <c r="G208" s="1"/>
  <c r="I32" i="63"/>
  <c r="I25"/>
  <c r="I21" i="140"/>
  <c r="H25"/>
  <c r="H79" s="1"/>
  <c r="H21" i="142"/>
  <c r="H32" i="140"/>
  <c r="G21" i="142"/>
  <c r="G25" i="140"/>
  <c r="G79" s="1"/>
  <c r="G32"/>
  <c r="R111" i="105"/>
  <c r="H70" i="48"/>
  <c r="H208" s="1"/>
  <c r="F131" i="63"/>
  <c r="F36" i="48"/>
  <c r="F66"/>
  <c r="H36" i="63"/>
  <c r="H132" s="1"/>
  <c r="H66"/>
  <c r="G36"/>
  <c r="G132" s="1"/>
  <c r="G66"/>
  <c r="E187" i="48"/>
  <c r="I131" i="63" l="1"/>
  <c r="Q115" i="105"/>
  <c r="Q225" s="1"/>
  <c r="Q226" s="1"/>
  <c r="Q609" s="1"/>
  <c r="Q111" i="130"/>
  <c r="Q618" i="105"/>
  <c r="Q622" s="1"/>
  <c r="S111"/>
  <c r="I70" i="48"/>
  <c r="I208" s="1"/>
  <c r="F36" i="63"/>
  <c r="F132" s="1"/>
  <c r="F66"/>
  <c r="F141" s="1"/>
  <c r="F145" s="1"/>
  <c r="G86"/>
  <c r="G87"/>
  <c r="H70"/>
  <c r="G141"/>
  <c r="G145" s="1"/>
  <c r="G70"/>
  <c r="F206" i="48"/>
  <c r="F105"/>
  <c r="F207"/>
  <c r="F141"/>
  <c r="R115" i="105"/>
  <c r="R225" s="1"/>
  <c r="R111" i="130"/>
  <c r="R618" i="105"/>
  <c r="R622" s="1"/>
  <c r="G32" i="142"/>
  <c r="G25"/>
  <c r="I21"/>
  <c r="I25" i="140"/>
  <c r="I79" s="1"/>
  <c r="I32"/>
  <c r="G66"/>
  <c r="G70" s="1"/>
  <c r="G36"/>
  <c r="G80" s="1"/>
  <c r="H66"/>
  <c r="H70" s="1"/>
  <c r="H36"/>
  <c r="H80" s="1"/>
  <c r="H86" i="63"/>
  <c r="H87"/>
  <c r="P111" i="105"/>
  <c r="F70" i="48"/>
  <c r="F208" s="1"/>
  <c r="H32" i="142"/>
  <c r="H25"/>
  <c r="I36" i="63"/>
  <c r="I132" s="1"/>
  <c r="I66"/>
  <c r="I206" i="48"/>
  <c r="I105"/>
  <c r="I207"/>
  <c r="I141"/>
  <c r="F21" i="142"/>
  <c r="F25" i="140"/>
  <c r="F79" s="1"/>
  <c r="F32"/>
  <c r="H141" i="63"/>
  <c r="H145" s="1"/>
  <c r="E151" i="48"/>
  <c r="E191"/>
  <c r="E160" s="1"/>
  <c r="C142" i="106" s="1" a="1"/>
  <c r="G79" i="142" l="1"/>
  <c r="H79"/>
  <c r="K150" i="106"/>
  <c r="K150" i="135" s="1"/>
  <c r="H149" i="106"/>
  <c r="H149" i="135" s="1"/>
  <c r="E148" i="106"/>
  <c r="E148" i="135" s="1"/>
  <c r="K146" i="106"/>
  <c r="K146" i="135" s="1"/>
  <c r="H145" i="106"/>
  <c r="H145" i="135" s="1"/>
  <c r="E144" i="106"/>
  <c r="E144" i="135" s="1"/>
  <c r="F142" i="106"/>
  <c r="C151"/>
  <c r="C151" i="135" s="1"/>
  <c r="I149" i="106"/>
  <c r="I149" i="135" s="1"/>
  <c r="F148" i="106"/>
  <c r="F148" i="135" s="1"/>
  <c r="C147" i="106"/>
  <c r="C147" i="135" s="1"/>
  <c r="I145" i="106"/>
  <c r="I145" i="135" s="1"/>
  <c r="F144" i="106"/>
  <c r="F144" i="135" s="1"/>
  <c r="C143" i="106"/>
  <c r="C143" i="135" s="1"/>
  <c r="D151" i="106"/>
  <c r="D151" i="135" s="1"/>
  <c r="J149" i="106"/>
  <c r="J149" i="135" s="1"/>
  <c r="G148" i="106"/>
  <c r="G148" i="135" s="1"/>
  <c r="D147" i="106"/>
  <c r="D147" i="135" s="1"/>
  <c r="J145" i="106"/>
  <c r="J145" i="135" s="1"/>
  <c r="G144" i="106"/>
  <c r="G144" i="135" s="1"/>
  <c r="D143" i="106"/>
  <c r="D143" i="135" s="1"/>
  <c r="E151" i="106"/>
  <c r="E151" i="135" s="1"/>
  <c r="K149" i="106"/>
  <c r="K149" i="135" s="1"/>
  <c r="H148" i="106"/>
  <c r="H148" i="135" s="1"/>
  <c r="E147" i="106"/>
  <c r="E147" i="135" s="1"/>
  <c r="K145" i="106"/>
  <c r="K145" i="135" s="1"/>
  <c r="H144" i="106"/>
  <c r="H144" i="135" s="1"/>
  <c r="E143" i="106"/>
  <c r="E143" i="135" s="1"/>
  <c r="F151" i="106"/>
  <c r="F151" i="135" s="1"/>
  <c r="C150" i="106"/>
  <c r="C150" i="135" s="1"/>
  <c r="I148" i="106"/>
  <c r="I148" i="135" s="1"/>
  <c r="F147" i="106"/>
  <c r="F147" i="135" s="1"/>
  <c r="C146" i="106"/>
  <c r="C146" i="135" s="1"/>
  <c r="I144" i="106"/>
  <c r="I144" i="135" s="1"/>
  <c r="F143" i="106"/>
  <c r="F143" i="135" s="1"/>
  <c r="G151" i="106"/>
  <c r="G151" i="135" s="1"/>
  <c r="D150" i="106"/>
  <c r="D150" i="135" s="1"/>
  <c r="J148" i="106"/>
  <c r="J148" i="135" s="1"/>
  <c r="G147" i="106"/>
  <c r="G147" i="135" s="1"/>
  <c r="D146" i="106"/>
  <c r="D146" i="135" s="1"/>
  <c r="J144" i="106"/>
  <c r="J144" i="135" s="1"/>
  <c r="G143" i="106"/>
  <c r="G143" i="135" s="1"/>
  <c r="H151" i="106"/>
  <c r="H151" i="135" s="1"/>
  <c r="E150" i="106"/>
  <c r="E150" i="135" s="1"/>
  <c r="K148" i="106"/>
  <c r="K148" i="135" s="1"/>
  <c r="H147" i="106"/>
  <c r="H147" i="135" s="1"/>
  <c r="E146" i="106"/>
  <c r="E146" i="135" s="1"/>
  <c r="K144" i="106"/>
  <c r="K144" i="135" s="1"/>
  <c r="H143" i="106"/>
  <c r="H143" i="135" s="1"/>
  <c r="I151" i="106"/>
  <c r="I151" i="135" s="1"/>
  <c r="F150" i="106"/>
  <c r="F150" i="135" s="1"/>
  <c r="C149" i="106"/>
  <c r="C149" i="135" s="1"/>
  <c r="I147" i="106"/>
  <c r="I147" i="135" s="1"/>
  <c r="F146" i="106"/>
  <c r="F146" i="135" s="1"/>
  <c r="C145" i="106"/>
  <c r="C145" i="135" s="1"/>
  <c r="I143" i="106"/>
  <c r="I143" i="135" s="1"/>
  <c r="J151" i="106"/>
  <c r="J151" i="135" s="1"/>
  <c r="G150" i="106"/>
  <c r="G150" i="135" s="1"/>
  <c r="D149" i="106"/>
  <c r="D149" i="135" s="1"/>
  <c r="J147" i="106"/>
  <c r="J147" i="135" s="1"/>
  <c r="G146" i="106"/>
  <c r="G146" i="135" s="1"/>
  <c r="D145" i="106"/>
  <c r="D145" i="135" s="1"/>
  <c r="J143" i="106"/>
  <c r="J143" i="135" s="1"/>
  <c r="K151" i="106"/>
  <c r="K151" i="135" s="1"/>
  <c r="H150" i="106"/>
  <c r="H150" i="135" s="1"/>
  <c r="E149" i="106"/>
  <c r="E149" i="135" s="1"/>
  <c r="K147" i="106"/>
  <c r="K147" i="135" s="1"/>
  <c r="H146" i="106"/>
  <c r="H146" i="135" s="1"/>
  <c r="E145" i="106"/>
  <c r="E145" i="135" s="1"/>
  <c r="K143" i="106"/>
  <c r="K143" i="135" s="1"/>
  <c r="C142" i="106"/>
  <c r="C142" i="135" s="1"/>
  <c r="I150" i="106"/>
  <c r="I150" i="135" s="1"/>
  <c r="F149" i="106"/>
  <c r="F149" i="135" s="1"/>
  <c r="C148" i="106"/>
  <c r="C148" i="135" s="1"/>
  <c r="I146" i="106"/>
  <c r="I146" i="135" s="1"/>
  <c r="F145" i="106"/>
  <c r="F145" i="135" s="1"/>
  <c r="C144" i="106"/>
  <c r="C144" i="135" s="1"/>
  <c r="D142" i="106"/>
  <c r="J150"/>
  <c r="J150" i="135" s="1"/>
  <c r="G149" i="106"/>
  <c r="G149" i="135" s="1"/>
  <c r="D148" i="106"/>
  <c r="D148" i="135" s="1"/>
  <c r="J146" i="106"/>
  <c r="J146" i="135" s="1"/>
  <c r="G145" i="106"/>
  <c r="G145" i="135" s="1"/>
  <c r="D144" i="106"/>
  <c r="D144" i="135" s="1"/>
  <c r="E142" i="106"/>
  <c r="J142"/>
  <c r="I142"/>
  <c r="K142"/>
  <c r="H142"/>
  <c r="R226" i="105"/>
  <c r="R609" s="1"/>
  <c r="G135" i="63"/>
  <c r="G88"/>
  <c r="G83" i="140"/>
  <c r="Q635" i="105"/>
  <c r="G66" i="142"/>
  <c r="G36"/>
  <c r="G80" s="1"/>
  <c r="F70" i="63"/>
  <c r="S115" i="105"/>
  <c r="S111" i="130"/>
  <c r="S618" i="105"/>
  <c r="S622" s="1"/>
  <c r="G89" i="140"/>
  <c r="G93" s="1"/>
  <c r="H89"/>
  <c r="H93" s="1"/>
  <c r="I141" i="63"/>
  <c r="I145" s="1"/>
  <c r="I70"/>
  <c r="H66" i="142"/>
  <c r="H36"/>
  <c r="H80" s="1"/>
  <c r="P115" i="105"/>
  <c r="P111" i="130"/>
  <c r="P618" i="105"/>
  <c r="P622" s="1"/>
  <c r="I32" i="142"/>
  <c r="I25"/>
  <c r="F66" i="140"/>
  <c r="F70" s="1"/>
  <c r="F36"/>
  <c r="F80" s="1"/>
  <c r="I86" i="63"/>
  <c r="I87"/>
  <c r="I66" i="140"/>
  <c r="I70" s="1"/>
  <c r="I36"/>
  <c r="I80" s="1"/>
  <c r="R115" i="130"/>
  <c r="S21" i="131" s="1"/>
  <c r="S30" s="1"/>
  <c r="R618" i="130"/>
  <c r="Q115"/>
  <c r="R21" i="131" s="1"/>
  <c r="R30" s="1"/>
  <c r="Q618" i="130"/>
  <c r="F32" i="142"/>
  <c r="F25"/>
  <c r="H135" i="63"/>
  <c r="H88"/>
  <c r="H83" i="140"/>
  <c r="R635" i="105"/>
  <c r="F86" i="63"/>
  <c r="F87"/>
  <c r="Q634" i="105"/>
  <c r="E21" i="48"/>
  <c r="E155"/>
  <c r="E170"/>
  <c r="G142" i="106"/>
  <c r="F79" i="142" l="1"/>
  <c r="I79"/>
  <c r="K297" i="106"/>
  <c r="K298" s="1"/>
  <c r="K799" s="1"/>
  <c r="K142" i="135"/>
  <c r="K297" s="1"/>
  <c r="K298" s="1"/>
  <c r="K799" s="1"/>
  <c r="H297" i="106"/>
  <c r="H298" s="1"/>
  <c r="H799" s="1"/>
  <c r="H142" i="135"/>
  <c r="H297" s="1"/>
  <c r="H298" s="1"/>
  <c r="H799" s="1"/>
  <c r="E297" i="106"/>
  <c r="E298" s="1"/>
  <c r="E799" s="1"/>
  <c r="E142" i="135"/>
  <c r="J142"/>
  <c r="J297" s="1"/>
  <c r="J298" s="1"/>
  <c r="J799" s="1"/>
  <c r="J297" i="106"/>
  <c r="J298" s="1"/>
  <c r="J799" s="1"/>
  <c r="D297"/>
  <c r="D298" s="1"/>
  <c r="D799" s="1"/>
  <c r="D814" s="1"/>
  <c r="D142" i="135"/>
  <c r="I142"/>
  <c r="I297" s="1"/>
  <c r="I298" s="1"/>
  <c r="I799" s="1"/>
  <c r="I297" i="106"/>
  <c r="I298" s="1"/>
  <c r="F297"/>
  <c r="F142" i="135"/>
  <c r="Q225" i="130"/>
  <c r="Q226" s="1"/>
  <c r="Q609" s="1"/>
  <c r="Q636" s="1"/>
  <c r="S225" i="105"/>
  <c r="S226" s="1"/>
  <c r="S609" s="1"/>
  <c r="R634"/>
  <c r="R225" i="130"/>
  <c r="R226" s="1"/>
  <c r="R609" s="1"/>
  <c r="R636" s="1"/>
  <c r="R69" i="131"/>
  <c r="R73" s="1"/>
  <c r="Q622" i="130"/>
  <c r="R54" i="131"/>
  <c r="P115" i="130"/>
  <c r="Q21" i="131" s="1"/>
  <c r="Q30" s="1"/>
  <c r="P618" i="130"/>
  <c r="F135" i="63"/>
  <c r="F88"/>
  <c r="F83" i="140"/>
  <c r="P635" i="105"/>
  <c r="I89" i="140"/>
  <c r="I93" s="1"/>
  <c r="H89" i="142"/>
  <c r="H93" s="1"/>
  <c r="H70"/>
  <c r="H83" s="1"/>
  <c r="G89"/>
  <c r="G93" s="1"/>
  <c r="G70"/>
  <c r="G83" s="1"/>
  <c r="P225" i="105"/>
  <c r="P226" s="1"/>
  <c r="P609" s="1"/>
  <c r="F89" i="140"/>
  <c r="F93" s="1"/>
  <c r="F66" i="142"/>
  <c r="F36"/>
  <c r="F80" s="1"/>
  <c r="S69" i="131"/>
  <c r="S73" s="1"/>
  <c r="R622" i="130"/>
  <c r="S54" i="131"/>
  <c r="I66" i="142"/>
  <c r="I36"/>
  <c r="I80" s="1"/>
  <c r="I135" i="63"/>
  <c r="I88"/>
  <c r="I83" i="140"/>
  <c r="S635" i="105"/>
  <c r="S115" i="130"/>
  <c r="T21" i="131" s="1"/>
  <c r="T30" s="1"/>
  <c r="S618" i="130"/>
  <c r="G297" i="106"/>
  <c r="G298" s="1"/>
  <c r="G799" s="1"/>
  <c r="G142" i="135"/>
  <c r="E32" i="48"/>
  <c r="E21" i="63"/>
  <c r="E25" i="48"/>
  <c r="J25" s="1"/>
  <c r="K814" i="135" l="1"/>
  <c r="J814"/>
  <c r="I799" i="106"/>
  <c r="H6" i="119" s="1"/>
  <c r="H8" s="1"/>
  <c r="H23" s="1"/>
  <c r="E814" i="106"/>
  <c r="D6" i="119"/>
  <c r="D8" s="1"/>
  <c r="D23" s="1"/>
  <c r="D297" i="135"/>
  <c r="D298" s="1"/>
  <c r="D799" s="1"/>
  <c r="D814" s="1"/>
  <c r="G6" i="119"/>
  <c r="G8" s="1"/>
  <c r="G23" s="1"/>
  <c r="H814" i="106"/>
  <c r="J6" i="119"/>
  <c r="J8" s="1"/>
  <c r="J23" s="1"/>
  <c r="K814" i="106"/>
  <c r="I6" i="119"/>
  <c r="I8" s="1"/>
  <c r="I23" s="1"/>
  <c r="J814" i="106"/>
  <c r="F298"/>
  <c r="F799" s="1"/>
  <c r="F297" i="135"/>
  <c r="F298" s="1"/>
  <c r="F799" s="1"/>
  <c r="E297"/>
  <c r="E298" s="1"/>
  <c r="E799" s="1"/>
  <c r="E814" s="1"/>
  <c r="H814"/>
  <c r="R634" i="130"/>
  <c r="S56" i="131"/>
  <c r="S58"/>
  <c r="P225" i="130"/>
  <c r="P226" s="1"/>
  <c r="P609" s="1"/>
  <c r="P636" s="1"/>
  <c r="S634" i="105"/>
  <c r="S225" i="130"/>
  <c r="S226" s="1"/>
  <c r="S609" s="1"/>
  <c r="S636" s="1"/>
  <c r="R75" i="131"/>
  <c r="S75"/>
  <c r="P634" i="105"/>
  <c r="R58" i="131"/>
  <c r="T69"/>
  <c r="T73" s="1"/>
  <c r="S622" i="130"/>
  <c r="T54" i="131"/>
  <c r="I89" i="142"/>
  <c r="I93" s="1"/>
  <c r="I70"/>
  <c r="I83" s="1"/>
  <c r="F89"/>
  <c r="F93" s="1"/>
  <c r="F70"/>
  <c r="F83" s="1"/>
  <c r="R56" i="131"/>
  <c r="Q69"/>
  <c r="Q73" s="1"/>
  <c r="P622" i="130"/>
  <c r="Q54" i="131"/>
  <c r="Q634" i="130"/>
  <c r="E36" i="48"/>
  <c r="J36" s="1"/>
  <c r="E66"/>
  <c r="F6" i="119"/>
  <c r="F8" s="1"/>
  <c r="E32" i="63"/>
  <c r="E25"/>
  <c r="E131" s="1"/>
  <c r="E21" i="140"/>
  <c r="G297" i="135"/>
  <c r="G298" s="1"/>
  <c r="G799" s="1"/>
  <c r="G814" l="1"/>
  <c r="F814"/>
  <c r="I814"/>
  <c r="I814" i="106"/>
  <c r="F814"/>
  <c r="E6" i="119"/>
  <c r="E8" s="1"/>
  <c r="E23" s="1"/>
  <c r="Q58" i="131"/>
  <c r="Q56"/>
  <c r="P634" i="130"/>
  <c r="T58" i="131"/>
  <c r="T56"/>
  <c r="S634" i="130"/>
  <c r="Q75" i="131"/>
  <c r="T75"/>
  <c r="E25" i="140"/>
  <c r="E32"/>
  <c r="E21" i="142"/>
  <c r="E206" i="48"/>
  <c r="E105"/>
  <c r="E207"/>
  <c r="E141"/>
  <c r="J131" i="63"/>
  <c r="J25" s="1"/>
  <c r="E36"/>
  <c r="E66"/>
  <c r="O111" i="105"/>
  <c r="E70" i="48"/>
  <c r="E208" s="1"/>
  <c r="E79" i="140"/>
  <c r="G814" i="106"/>
  <c r="D21" i="24" l="1"/>
  <c r="K21" s="1"/>
  <c r="D15"/>
  <c r="K15" s="1"/>
  <c r="E86" i="63"/>
  <c r="E87"/>
  <c r="E132"/>
  <c r="J79" i="140"/>
  <c r="J25" s="1"/>
  <c r="E141" i="63"/>
  <c r="E70"/>
  <c r="E66" i="140"/>
  <c r="E70" s="1"/>
  <c r="E36"/>
  <c r="O115" i="105"/>
  <c r="O225" s="1"/>
  <c r="O111" i="130"/>
  <c r="O618" i="105"/>
  <c r="O622" s="1"/>
  <c r="E25" i="142"/>
  <c r="E32"/>
  <c r="E13" i="24"/>
  <c r="J70" i="48"/>
  <c r="J25" i="142" l="1"/>
  <c r="O226" i="105"/>
  <c r="O609" s="1"/>
  <c r="F23" i="119" s="1"/>
  <c r="D18" i="24" s="1"/>
  <c r="K18" s="1"/>
  <c r="E66" i="142"/>
  <c r="E36"/>
  <c r="J36" s="1"/>
  <c r="O115" i="130"/>
  <c r="P21" i="131" s="1"/>
  <c r="O618" i="130"/>
  <c r="J132" i="63"/>
  <c r="J36" s="1"/>
  <c r="E89" i="140"/>
  <c r="J141" i="63"/>
  <c r="E145"/>
  <c r="E79" i="142"/>
  <c r="E135" i="63"/>
  <c r="E88"/>
  <c r="E83" i="140"/>
  <c r="J83" s="1"/>
  <c r="J70" s="1"/>
  <c r="O635" i="105"/>
  <c r="E12" i="24" s="1"/>
  <c r="E80" i="140"/>
  <c r="E80" i="142" l="1"/>
  <c r="K80" s="1"/>
  <c r="K36" s="1"/>
  <c r="F13" i="24"/>
  <c r="O634" i="105"/>
  <c r="D12" i="24" s="1"/>
  <c r="K12" s="1"/>
  <c r="O225" i="130"/>
  <c r="O226" s="1"/>
  <c r="O609" s="1"/>
  <c r="O636" s="1"/>
  <c r="F24" i="24" s="1"/>
  <c r="J135" i="63"/>
  <c r="J70" s="1"/>
  <c r="J89" i="140"/>
  <c r="E93"/>
  <c r="J93" s="1"/>
  <c r="E89" i="142"/>
  <c r="E70"/>
  <c r="J80" i="140"/>
  <c r="J36" s="1"/>
  <c r="K79" i="142"/>
  <c r="K25" s="1"/>
  <c r="J145" i="63"/>
  <c r="J13" i="24" s="1"/>
  <c r="P69" i="131"/>
  <c r="O622" i="130"/>
  <c r="P30" i="131"/>
  <c r="U21"/>
  <c r="U30" s="1"/>
  <c r="U54" s="1"/>
  <c r="I13" i="24" l="1"/>
  <c r="K13" s="1"/>
  <c r="O634" i="130"/>
  <c r="D24" i="24" s="1"/>
  <c r="K24" s="1"/>
  <c r="P56" i="131"/>
  <c r="P54"/>
  <c r="U69"/>
  <c r="P73"/>
  <c r="K89" i="142"/>
  <c r="E93"/>
  <c r="K93" s="1"/>
  <c r="J70"/>
  <c r="E83"/>
  <c r="D19" i="24"/>
  <c r="P58" i="131" l="1"/>
  <c r="D25" i="24" s="1"/>
  <c r="U73" i="131"/>
  <c r="P75"/>
  <c r="E25" i="24" s="1"/>
  <c r="K83" i="142"/>
  <c r="K70" s="1"/>
  <c r="D23" i="24" l="1"/>
  <c r="K25"/>
</calcChain>
</file>

<file path=xl/comments1.xml><?xml version="1.0" encoding="utf-8"?>
<comments xmlns="http://schemas.openxmlformats.org/spreadsheetml/2006/main">
  <authors>
    <author>craidi</author>
  </authors>
  <commentList>
    <comment ref="E5" authorId="0">
      <text>
        <r>
          <rPr>
            <sz val="8"/>
            <color indexed="81"/>
            <rFont val="Tahoma"/>
            <family val="2"/>
          </rPr>
          <t xml:space="preserve">
Note - the numbers in these cells are used as column references in offset formulas in the templates.  
***DO NOT DELETE
They are entered as part of an array, to prevent accidental deletion.</t>
        </r>
      </text>
    </comment>
  </commentList>
</comments>
</file>

<file path=xl/comments1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3.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1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xml><?xml version="1.0" encoding="utf-8"?>
<comments xmlns="http://schemas.openxmlformats.org/spreadsheetml/2006/main">
  <authors>
    <author>craidi</author>
    <author>fauld0</author>
    <author>bernk0</author>
  </authors>
  <commentList>
    <comment ref="D5" authorId="0">
      <text>
        <r>
          <rPr>
            <sz val="8"/>
            <color indexed="81"/>
            <rFont val="Tahoma"/>
            <family val="2"/>
          </rPr>
          <t xml:space="preserve">
Note - the numbers in these cells are used as column references in offset formulas in the templates.  
***DO NOT DELETE
They are entered as part of an array, to prevent accidental deletion.</t>
        </r>
      </text>
    </comment>
    <comment ref="E127" authorId="1">
      <text>
        <r>
          <rPr>
            <b/>
            <sz val="9"/>
            <color indexed="81"/>
            <rFont val="Tahoma"/>
            <family val="2"/>
          </rPr>
          <t xml:space="preserve">fauld0:
</t>
        </r>
        <r>
          <rPr>
            <sz val="9"/>
            <color indexed="81"/>
            <rFont val="Tahoma"/>
            <family val="2"/>
          </rPr>
          <t>Veg Adj to balance to AER base year</t>
        </r>
      </text>
    </comment>
    <comment ref="F127" authorId="1">
      <text>
        <r>
          <rPr>
            <b/>
            <sz val="9"/>
            <color indexed="81"/>
            <rFont val="Tahoma"/>
            <family val="2"/>
          </rPr>
          <t xml:space="preserve">fauld0:
</t>
        </r>
        <r>
          <rPr>
            <sz val="9"/>
            <color indexed="81"/>
            <rFont val="Tahoma"/>
            <family val="2"/>
          </rPr>
          <t>Veg Adj to balance to AER base year</t>
        </r>
      </text>
    </comment>
    <comment ref="G127" authorId="1">
      <text>
        <r>
          <rPr>
            <b/>
            <sz val="9"/>
            <color indexed="81"/>
            <rFont val="Tahoma"/>
            <family val="2"/>
          </rPr>
          <t xml:space="preserve">fauld0:
</t>
        </r>
        <r>
          <rPr>
            <sz val="9"/>
            <color indexed="81"/>
            <rFont val="Tahoma"/>
            <family val="2"/>
          </rPr>
          <t>Veg Adj to balance to AER base year</t>
        </r>
      </text>
    </comment>
    <comment ref="H127" authorId="1">
      <text>
        <r>
          <rPr>
            <b/>
            <sz val="9"/>
            <color indexed="81"/>
            <rFont val="Tahoma"/>
            <family val="2"/>
          </rPr>
          <t xml:space="preserve">fauld0:
</t>
        </r>
        <r>
          <rPr>
            <sz val="9"/>
            <color indexed="81"/>
            <rFont val="Tahoma"/>
            <family val="2"/>
          </rPr>
          <t>Veg Adj to balance to AER base year</t>
        </r>
      </text>
    </comment>
    <comment ref="I127" authorId="1">
      <text>
        <r>
          <rPr>
            <b/>
            <sz val="9"/>
            <color indexed="81"/>
            <rFont val="Tahoma"/>
            <family val="2"/>
          </rPr>
          <t xml:space="preserve">fauld0:
</t>
        </r>
        <r>
          <rPr>
            <sz val="9"/>
            <color indexed="81"/>
            <rFont val="Tahoma"/>
            <family val="2"/>
          </rPr>
          <t>Veg Adj to balance to AER base year</t>
        </r>
      </text>
    </comment>
    <comment ref="J127" authorId="1">
      <text>
        <r>
          <rPr>
            <b/>
            <sz val="9"/>
            <color indexed="81"/>
            <rFont val="Tahoma"/>
            <family val="2"/>
          </rPr>
          <t xml:space="preserve">fauld0:
</t>
        </r>
        <r>
          <rPr>
            <sz val="9"/>
            <color indexed="81"/>
            <rFont val="Tahoma"/>
            <family val="2"/>
          </rPr>
          <t>Veg Adj to balance to AER base year</t>
        </r>
      </text>
    </comment>
    <comment ref="E206" authorId="2">
      <text>
        <r>
          <rPr>
            <sz val="9"/>
            <color indexed="81"/>
            <rFont val="Tahoma"/>
            <family val="2"/>
          </rPr>
          <t>Includes base year adjustment $0.381M
Meter Reclassification</t>
        </r>
      </text>
    </comment>
    <comment ref="F206" authorId="2">
      <text>
        <r>
          <rPr>
            <sz val="9"/>
            <color indexed="81"/>
            <rFont val="Tahoma"/>
            <family val="2"/>
          </rPr>
          <t>Includes base year adjustment $0.381M
Meter Reclassification</t>
        </r>
      </text>
    </comment>
    <comment ref="G206" authorId="2">
      <text>
        <r>
          <rPr>
            <sz val="9"/>
            <color indexed="81"/>
            <rFont val="Tahoma"/>
            <family val="2"/>
          </rPr>
          <t>Includes base year adjustment $0.381M
Meter Reclassification</t>
        </r>
      </text>
    </comment>
    <comment ref="H206" authorId="2">
      <text>
        <r>
          <rPr>
            <sz val="9"/>
            <color indexed="81"/>
            <rFont val="Tahoma"/>
            <family val="2"/>
          </rPr>
          <t>Includes base year adjustment $0.381M
Meter Reclassification</t>
        </r>
      </text>
    </comment>
    <comment ref="I206" authorId="2">
      <text>
        <r>
          <rPr>
            <sz val="9"/>
            <color indexed="81"/>
            <rFont val="Tahoma"/>
            <family val="2"/>
          </rPr>
          <t>Includes base year adjustment $0.381M
Meter Reclassification</t>
        </r>
      </text>
    </comment>
    <comment ref="J206" authorId="2">
      <text>
        <r>
          <rPr>
            <sz val="9"/>
            <color indexed="81"/>
            <rFont val="Tahoma"/>
            <family val="2"/>
          </rPr>
          <t>Includes base year adjustment $0.381M
Meter Reclassification</t>
        </r>
      </text>
    </comment>
    <comment ref="E209" authorId="2">
      <text>
        <r>
          <rPr>
            <sz val="9"/>
            <color indexed="81"/>
            <rFont val="Tahoma"/>
            <family val="2"/>
          </rPr>
          <t>Includes base year adjustment $1.764M
Meter Reclassification</t>
        </r>
      </text>
    </comment>
    <comment ref="F209" authorId="2">
      <text>
        <r>
          <rPr>
            <sz val="9"/>
            <color indexed="81"/>
            <rFont val="Tahoma"/>
            <family val="2"/>
          </rPr>
          <t>Includes base year adjustment $1.764M
Meter Reclassification</t>
        </r>
      </text>
    </comment>
    <comment ref="G209" authorId="2">
      <text>
        <r>
          <rPr>
            <sz val="9"/>
            <color indexed="81"/>
            <rFont val="Tahoma"/>
            <family val="2"/>
          </rPr>
          <t>Includes base year adjustment $1.764M
Meter Reclassification</t>
        </r>
      </text>
    </comment>
    <comment ref="H209" authorId="2">
      <text>
        <r>
          <rPr>
            <sz val="9"/>
            <color indexed="81"/>
            <rFont val="Tahoma"/>
            <family val="2"/>
          </rPr>
          <t>Includes base year adjustment $1.764M
Meter Reclassification</t>
        </r>
      </text>
    </comment>
    <comment ref="I209" authorId="2">
      <text>
        <r>
          <rPr>
            <sz val="9"/>
            <color indexed="81"/>
            <rFont val="Tahoma"/>
            <family val="2"/>
          </rPr>
          <t>Includes base year adjustment $1.764M
Meter Reclassification</t>
        </r>
      </text>
    </comment>
    <comment ref="J209" authorId="2">
      <text>
        <r>
          <rPr>
            <sz val="9"/>
            <color indexed="81"/>
            <rFont val="Tahoma"/>
            <family val="2"/>
          </rPr>
          <t>Includes base year adjustment $1.764M
Meter Reclassification</t>
        </r>
      </text>
    </comment>
  </commentList>
</comments>
</file>

<file path=xl/comments2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3.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2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xml><?xml version="1.0" encoding="utf-8"?>
<comments xmlns="http://schemas.openxmlformats.org/spreadsheetml/2006/main">
  <authors>
    <author>craidi</author>
    <author>bernk0</author>
  </authors>
  <commentList>
    <comment ref="D5" authorId="0">
      <text>
        <r>
          <rPr>
            <sz val="8"/>
            <color indexed="81"/>
            <rFont val="Tahoma"/>
            <family val="2"/>
          </rPr>
          <t xml:space="preserve">
Note - the numbers in these cells are used as column references in offset formulas in the templates.  
***DO NOT DELETE
They are entered as part of an array, to prevent accidental deletion.</t>
        </r>
      </text>
    </comment>
    <comment ref="E142" authorId="1">
      <text>
        <r>
          <rPr>
            <sz val="9"/>
            <color indexed="81"/>
            <rFont val="Tahoma"/>
            <family val="2"/>
          </rPr>
          <t>Includes base year Adjustment +$0.490M</t>
        </r>
      </text>
    </comment>
    <comment ref="F142" authorId="1">
      <text>
        <r>
          <rPr>
            <sz val="9"/>
            <color indexed="81"/>
            <rFont val="Tahoma"/>
            <family val="2"/>
          </rPr>
          <t>Includes base year Adjustment +$0.490M</t>
        </r>
      </text>
    </comment>
    <comment ref="G142" authorId="1">
      <text>
        <r>
          <rPr>
            <sz val="9"/>
            <color indexed="81"/>
            <rFont val="Tahoma"/>
            <family val="2"/>
          </rPr>
          <t>Includes base year Adjustment +$0.490M</t>
        </r>
      </text>
    </comment>
    <comment ref="H142" authorId="1">
      <text>
        <r>
          <rPr>
            <sz val="9"/>
            <color indexed="81"/>
            <rFont val="Tahoma"/>
            <family val="2"/>
          </rPr>
          <t>Includes base year Adjustment +$0.490M</t>
        </r>
      </text>
    </comment>
    <comment ref="I142" authorId="1">
      <text>
        <r>
          <rPr>
            <sz val="9"/>
            <color indexed="81"/>
            <rFont val="Tahoma"/>
            <family val="2"/>
          </rPr>
          <t>Includes base year Adjustment +$0.490M</t>
        </r>
      </text>
    </comment>
    <comment ref="J142" authorId="1">
      <text>
        <r>
          <rPr>
            <sz val="9"/>
            <color indexed="81"/>
            <rFont val="Tahoma"/>
            <family val="2"/>
          </rPr>
          <t>Includes base year Adjustment +$0.490M</t>
        </r>
      </text>
    </comment>
    <comment ref="E359" authorId="1">
      <text>
        <r>
          <rPr>
            <sz val="9"/>
            <color indexed="81"/>
            <rFont val="Tahoma"/>
            <family val="2"/>
          </rPr>
          <t xml:space="preserve">Includes base year adjustment $3.110M
</t>
        </r>
      </text>
    </comment>
    <comment ref="F359" authorId="1">
      <text>
        <r>
          <rPr>
            <sz val="9"/>
            <color indexed="81"/>
            <rFont val="Tahoma"/>
            <family val="2"/>
          </rPr>
          <t xml:space="preserve">Includes base year adjustment $3.110M
</t>
        </r>
      </text>
    </comment>
    <comment ref="G359" authorId="1">
      <text>
        <r>
          <rPr>
            <sz val="9"/>
            <color indexed="81"/>
            <rFont val="Tahoma"/>
            <family val="2"/>
          </rPr>
          <t xml:space="preserve">Includes base year adjustment $3.110M
</t>
        </r>
      </text>
    </comment>
    <comment ref="H359" authorId="1">
      <text>
        <r>
          <rPr>
            <sz val="9"/>
            <color indexed="81"/>
            <rFont val="Tahoma"/>
            <family val="2"/>
          </rPr>
          <t xml:space="preserve">Includes base year adjustment $3.110M
</t>
        </r>
      </text>
    </comment>
    <comment ref="I359" authorId="1">
      <text>
        <r>
          <rPr>
            <sz val="9"/>
            <color indexed="81"/>
            <rFont val="Tahoma"/>
            <family val="2"/>
          </rPr>
          <t xml:space="preserve">Includes base year adjustment $3.110M
</t>
        </r>
      </text>
    </comment>
    <comment ref="J359" authorId="1">
      <text>
        <r>
          <rPr>
            <sz val="9"/>
            <color indexed="81"/>
            <rFont val="Tahoma"/>
            <family val="2"/>
          </rPr>
          <t xml:space="preserve">Includes base year adjustment $3.110M
</t>
        </r>
      </text>
    </comment>
  </commentList>
</comments>
</file>

<file path=xl/comments3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3.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3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xml><?xml version="1.0" encoding="utf-8"?>
<comments xmlns="http://schemas.openxmlformats.org/spreadsheetml/2006/main">
  <authors>
    <author>craidi</author>
  </authors>
  <commentList>
    <comment ref="B9" authorId="0">
      <text>
        <r>
          <rPr>
            <sz val="8"/>
            <color indexed="81"/>
            <rFont val="Tahoma"/>
            <family val="2"/>
          </rPr>
          <t xml:space="preserve">
Used by lookup formulas on the templates - do not delete.</t>
        </r>
      </text>
    </comment>
    <comment ref="D10" authorId="0">
      <text>
        <r>
          <rPr>
            <sz val="9"/>
            <color indexed="81"/>
            <rFont val="Tahoma"/>
            <family val="2"/>
          </rPr>
          <t xml:space="preserve">
No escalation in 2014/15 as have applied incremental allowance change.</t>
        </r>
      </text>
    </comment>
    <comment ref="L10" authorId="0">
      <text>
        <r>
          <rPr>
            <b/>
            <sz val="8"/>
            <color indexed="81"/>
            <rFont val="Tahoma"/>
            <family val="2"/>
          </rPr>
          <t>craidi:</t>
        </r>
        <r>
          <rPr>
            <sz val="8"/>
            <color indexed="81"/>
            <rFont val="Tahoma"/>
            <family val="2"/>
          </rPr>
          <t xml:space="preserve">
Cumulative = base cost x prior year cumulative escalations x this year's escalation.
Stand-Alone = base cost x  this year's escalation onlu  (no reference is made to prior year escalations).</t>
        </r>
      </text>
    </comment>
    <comment ref="L23" authorId="0">
      <text>
        <r>
          <rPr>
            <b/>
            <sz val="8"/>
            <color indexed="81"/>
            <rFont val="Tahoma"/>
            <family val="2"/>
          </rPr>
          <t>craidi:</t>
        </r>
        <r>
          <rPr>
            <sz val="8"/>
            <color indexed="81"/>
            <rFont val="Tahoma"/>
            <family val="2"/>
          </rPr>
          <t xml:space="preserve">
Cumulative = base cost x prior year cumulative escalations x this year's escalation.
Stand-Alone = base cost x  this year's escalation onlu  (no reference is made to prior year escalations).</t>
        </r>
      </text>
    </comment>
  </commentList>
</comments>
</file>

<file path=xl/comments4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3.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C8" authorId="0">
      <text>
        <r>
          <rPr>
            <sz val="8"/>
            <color indexed="81"/>
            <rFont val="Tahoma"/>
            <family val="2"/>
          </rPr>
          <t xml:space="preserve">
Offset formula to import baseline expenditure from History input sheet, based on the Sheet Number input at K2.
Explanation of formula:
=OFFSET(Future_DAOpexStart,MATCH($K$1,'I-5 Future DA'!$A$6:$A$176)+2,+'I-5 Future DA'!D$5)
                ------1st part----------, --------------2nd part--------------------------------, ------- 3rd part-------
 -1st part       Starting point for offset = first future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column numbers input in source sheet.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57" authorId="0">
      <text>
        <r>
          <rPr>
            <sz val="8"/>
            <color indexed="81"/>
            <rFont val="Tahoma"/>
            <family val="2"/>
          </rPr>
          <t>Note - this section caters for up to 10 variations. If more are needed, add additional rows manually.</t>
        </r>
      </text>
    </comment>
    <comment ref="D158" authorId="0">
      <text>
        <r>
          <rPr>
            <sz val="8"/>
            <color indexed="81"/>
            <rFont val="Tahoma"/>
            <family val="2"/>
          </rPr>
          <t xml:space="preserve">
Explanation of formula:
Count the number of variations, by returning the maximum variation number in column J.</t>
        </r>
      </text>
    </comment>
    <comment ref="A160" authorId="0">
      <text>
        <r>
          <rPr>
            <b/>
            <sz val="8"/>
            <color indexed="81"/>
            <rFont val="Tahoma"/>
            <family val="2"/>
          </rPr>
          <t xml:space="preserve">Explanation of formula:
</t>
        </r>
        <r>
          <rPr>
            <sz val="8"/>
            <color indexed="81"/>
            <rFont val="Tahoma"/>
            <family val="2"/>
          </rPr>
          <t xml:space="preserve">If there is a Variation number in column J, then return the variation title by using the Offset formula, else blank.
=IF(ISNUMBER(J136),OFFSET($B$152,MATCH(+$J136,$J$153:J216),0),"")
  -----1st part----------, --------------2nd part-----------------------------------, - 3rd part-
                                       |---Part 2A---|    |----Part 2B----|
 -1st part       If there is a Variation number in column J, then
-2nd part  = Number of rows to offset by.
Part 2A - Offset from B152;
Part 2B -  Uses Match formula to count the number of rows down the sheet that the variation with a matching variation number (per Column J) starts at.
- 3rd part  = Blank if no variation number.
</t>
        </r>
      </text>
    </comment>
    <comment ref="J160" authorId="0">
      <text>
        <r>
          <rPr>
            <b/>
            <sz val="8"/>
            <color indexed="81"/>
            <rFont val="Tahoma"/>
            <family val="2"/>
          </rPr>
          <t xml:space="preserve">Explanation of formula:
</t>
        </r>
        <r>
          <rPr>
            <sz val="8"/>
            <color indexed="81"/>
            <rFont val="Tahoma"/>
            <family val="2"/>
          </rPr>
          <t>If # Variations  is greater than zero, then 1, elso blank.</t>
        </r>
      </text>
    </comment>
    <comment ref="J161" authorId="0">
      <text>
        <r>
          <rPr>
            <b/>
            <sz val="8"/>
            <color indexed="81"/>
            <rFont val="Tahoma"/>
            <family val="2"/>
          </rPr>
          <t xml:space="preserve">Explanation of formula:
</t>
        </r>
        <r>
          <rPr>
            <sz val="8"/>
            <color indexed="81"/>
            <rFont val="Tahoma"/>
            <family val="2"/>
          </rPr>
          <t>If the cell above is less than the total # Variations, then add 1 to the cell above, else blank.
Purpose is to return a list counting up to the total # variations.</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4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B82-I11) and chart historic expenditure.</t>
        </r>
      </text>
    </comment>
    <comment ref="B8" authorId="0">
      <text>
        <r>
          <rPr>
            <sz val="8"/>
            <color indexed="81"/>
            <rFont val="Tahoma"/>
            <family val="2"/>
          </rPr>
          <t xml:space="preserve">
Offset formula to import baseline expenditure from History input sheet, based on the Sheet Number input at K1.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C8" authorId="0">
      <text>
        <r>
          <rPr>
            <sz val="8"/>
            <color indexed="81"/>
            <rFont val="Tahoma"/>
            <family val="2"/>
          </rPr>
          <t xml:space="preserve">
Offset formula to import baseline expenditure from History input sheet, based on the Sheet Number input at K1.
Explanation of formula:
Refer explanation in sheet DA-1.</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4"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3.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5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0.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1.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2.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3.xml><?xml version="1.0" encoding="utf-8"?>
<comments xmlns="http://schemas.openxmlformats.org/spreadsheetml/2006/main">
  <authors>
    <author>craidi</author>
    <author>allab0</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C8" authorId="1">
      <text>
        <r>
          <rPr>
            <b/>
            <sz val="8"/>
            <color indexed="81"/>
            <rFont val="Tahoma"/>
            <family val="2"/>
          </rPr>
          <t>allab0:</t>
        </r>
        <r>
          <rPr>
            <sz val="8"/>
            <color indexed="81"/>
            <rFont val="Tahoma"/>
            <family val="2"/>
          </rPr>
          <t xml:space="preserve">
used 2008 fcast %'s including PB+ trial</t>
        </r>
      </text>
    </comment>
    <comment ref="D8" authorId="1">
      <text>
        <r>
          <rPr>
            <b/>
            <sz val="8"/>
            <color indexed="81"/>
            <rFont val="Tahoma"/>
            <family val="2"/>
          </rPr>
          <t>allab0:</t>
        </r>
        <r>
          <rPr>
            <sz val="8"/>
            <color indexed="81"/>
            <rFont val="Tahoma"/>
            <family val="2"/>
          </rPr>
          <t xml:space="preserve">
used 2009 budget resource %'s</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4.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5.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6.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6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7.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70.xml><?xml version="1.0" encoding="utf-8"?>
<comments xmlns="http://schemas.openxmlformats.org/spreadsheetml/2006/main">
  <authors>
    <author>craidi</author>
  </authors>
  <commentList>
    <comment ref="AA8"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List>
</comments>
</file>

<file path=xl/comments71.xml><?xml version="1.0" encoding="utf-8"?>
<comments xmlns="http://schemas.openxmlformats.org/spreadsheetml/2006/main">
  <authors>
    <author>craidi</author>
  </authors>
  <commentList>
    <comment ref="M2" authorId="0">
      <text>
        <r>
          <rPr>
            <b/>
            <sz val="9"/>
            <color indexed="81"/>
            <rFont val="Tahoma"/>
            <family val="2"/>
          </rPr>
          <t>craidi:</t>
        </r>
        <r>
          <rPr>
            <sz val="9"/>
            <color indexed="81"/>
            <rFont val="Tahoma"/>
            <family val="2"/>
          </rPr>
          <t xml:space="preserve">
ie escalation from Dec 2013 (average of $2013/14) to Dec 2013.</t>
        </r>
      </text>
    </comment>
  </commentList>
</comments>
</file>

<file path=xl/comments8.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comments9.xml><?xml version="1.0" encoding="utf-8"?>
<comments xmlns="http://schemas.openxmlformats.org/spreadsheetml/2006/main">
  <authors>
    <author>craidi</author>
  </authors>
  <commentList>
    <comment ref="K1" authorId="0">
      <text>
        <r>
          <rPr>
            <sz val="8"/>
            <color indexed="81"/>
            <rFont val="Tahoma"/>
            <family val="2"/>
          </rPr>
          <t xml:space="preserve">
Sheet number is the suffix of the tab.  Eg number for DA-7 is 7.
This number is used to populate the cost category title (cell B and the baseline expenditure (cells B82-B11) and chart historic expenditure.</t>
        </r>
      </text>
    </comment>
    <comment ref="B8" authorId="0">
      <text>
        <r>
          <rPr>
            <sz val="8"/>
            <color indexed="81"/>
            <rFont val="Tahoma"/>
            <family val="2"/>
          </rPr>
          <t xml:space="preserve">
Offset formula to import baseline expenditure from History input sheet, based on the Sheet Number input at K2.
Explanation of formula:
=OFFSET(List_NWOpexStart,MATCH($K$2,'I-4 Opex History'!$A$7:$A$176)+2,0)
                ---1st part----------, --------------2nd part-----------------------------------, - 3rd part-
 -1st part       Starting point for offset = Base year 
-2nd part  = Number of rows to offset by.
                      Uses Match formula to count the number of rows down the sheet that the cost category with a matching sheet number (per cell K2) starts at.
                      Adds 2 to the results, to go 2 extra rows to the total of the labour cost category, +3 for Materials, +4 for Services, +5 for Other. 
                     *** Not ideal to have a number input within a formula, but the number of rows (cost categories) is not expected to change.
- 3rd part  = Number of columns to offset by = zero.
</t>
        </r>
      </text>
    </comment>
    <comment ref="A74"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77"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refer to equivalent general escalation formula below.</t>
        </r>
      </text>
    </comment>
    <comment ref="C86"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|------Part 1A-----------||----Part 1B----|
=PRODUCT(IF($B$65:$B$70=$A73,C$65:C$70+1))-IF(COUNTIF($B$65:$B$70,+$A73)=0,0,1)
</t>
        </r>
        <r>
          <rPr>
            <b/>
            <sz val="8"/>
            <color indexed="81"/>
            <rFont val="Tahoma"/>
            <family val="2"/>
          </rPr>
          <t>First Part:</t>
        </r>
        <r>
          <rPr>
            <sz val="8"/>
            <color indexed="81"/>
            <rFont val="Tahoma"/>
            <family val="2"/>
          </rPr>
          <t xml:space="preserve"> Product of calculated escalators by cost category:
Part 1A:  If the cost category equals the filter in col A, then:
Part 1B:  Calculate the product of the escalators that meet the filter criteria,  after adding a constant of 1 (so as to be calculating the product of (1+escalator)).
</t>
        </r>
        <r>
          <rPr>
            <b/>
            <sz val="8"/>
            <color indexed="81"/>
            <rFont val="Tahoma"/>
            <family val="2"/>
          </rPr>
          <t>Second Part:</t>
        </r>
        <r>
          <rPr>
            <sz val="8"/>
            <color indexed="81"/>
            <rFont val="Tahoma"/>
            <family val="2"/>
          </rPr>
          <t xml:space="preserve"> Deduction to convert back to %.   If the number of escalators equal to 0, then deduction is zero, else deduction is 1.</t>
        </r>
      </text>
    </comment>
    <comment ref="C9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=PRODUCT(IF(C80:C82&lt;&gt;0,C80:C82+1))-IF(SUM(C80:C82)&lt;&gt;0,1,0)
</t>
        </r>
        <r>
          <rPr>
            <b/>
            <sz val="8"/>
            <color indexed="81"/>
            <rFont val="Tahoma"/>
            <family val="2"/>
          </rPr>
          <t>First Part:</t>
        </r>
        <r>
          <rPr>
            <sz val="8"/>
            <color indexed="81"/>
            <rFont val="Tahoma"/>
            <family val="2"/>
          </rPr>
          <t xml:space="preserve"> Product of calculated escalators by cost category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93"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93"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|----------First Part ----------------------------|  |--Second Part------|
=PRODUCT(IF((C72:C77&lt;&gt;0),C72:C77+1))-IF(C72:C77&lt;&gt;0,1,0)
</t>
        </r>
        <r>
          <rPr>
            <b/>
            <sz val="8"/>
            <color indexed="81"/>
            <rFont val="Tahoma"/>
            <family val="2"/>
          </rPr>
          <t>First Part:</t>
        </r>
        <r>
          <rPr>
            <sz val="8"/>
            <color indexed="81"/>
            <rFont val="Tahoma"/>
            <family val="2"/>
          </rPr>
          <t xml:space="preserve"> Product of All Escalators - if the escalators are not equal to zero, then calculalate the product of all the escalators, after adding a constant of 1 (so as to be calculating the product of (1+escalator)).
</t>
        </r>
        <r>
          <rPr>
            <b/>
            <sz val="8"/>
            <color indexed="81"/>
            <rFont val="Tahoma"/>
            <family val="2"/>
          </rPr>
          <t>Second Part:</t>
        </r>
        <r>
          <rPr>
            <sz val="8"/>
            <color indexed="81"/>
            <rFont val="Tahoma"/>
            <family val="2"/>
          </rPr>
          <t xml:space="preserve"> Decuction to convert back to % - if the escalators are not equal to zero, then deduction is 1 else deduction is zero.</t>
        </r>
      </text>
    </comment>
    <comment ref="A109" authorId="0">
      <text>
        <r>
          <rPr>
            <sz val="8"/>
            <color indexed="81"/>
            <rFont val="Tahoma"/>
            <family val="2"/>
          </rPr>
          <t>Select the escalations to apply for this expenditure category and the cost categories to which they relate.
Details for all new escalations must be input into the Escalations Input Sheet, not in this sheet.</t>
        </r>
        <r>
          <rPr>
            <sz val="8"/>
            <color indexed="81"/>
            <rFont val="Tahoma"/>
            <family val="2"/>
          </rPr>
          <t xml:space="preserve">
</t>
        </r>
      </text>
    </comment>
    <comment ref="D113" authorId="0">
      <text>
        <r>
          <rPr>
            <b/>
            <sz val="8"/>
            <color indexed="81"/>
            <rFont val="Tahoma"/>
            <family val="2"/>
          </rPr>
          <t>craidi:</t>
        </r>
        <r>
          <rPr>
            <sz val="8"/>
            <color indexed="81"/>
            <rFont val="Tahoma"/>
            <family val="2"/>
          </rPr>
          <t xml:space="preserve">
</t>
        </r>
        <r>
          <rPr>
            <b/>
            <sz val="8"/>
            <color indexed="81"/>
            <rFont val="Tahoma"/>
            <family val="2"/>
          </rPr>
          <t>Explanation of formula:</t>
        </r>
        <r>
          <rPr>
            <sz val="8"/>
            <color indexed="81"/>
            <rFont val="Tahoma"/>
            <family val="2"/>
          </rPr>
          <t xml:space="preserve">
|----------First Part ----------------------------------------------------------------------------------------------------|     |--Second Part-----------------------------------------------------------------------------------------------------|
      |------Part 1A----||----Part 1B----|
=IF($J96="one-off",VLOOKUP($A96,Escalations_General_Costs,+EscalationsSummary!D$11+1,FALSE),((VLOOKUP($A96,Escalations_General_Costs,+EscalationsSummary!D$11+1,FALSE)+1)*(1+C96)-1))
</t>
        </r>
        <r>
          <rPr>
            <b/>
            <sz val="8"/>
            <color indexed="81"/>
            <rFont val="Tahoma"/>
            <family val="2"/>
          </rPr>
          <t>First Part:</t>
        </r>
        <r>
          <rPr>
            <sz val="8"/>
            <color indexed="81"/>
            <rFont val="Tahoma"/>
            <family val="2"/>
          </rPr>
          <t xml:space="preserve"> 
Part 1A:  If the escalation type equals "One-Off":
Then:
Part 1B:  Lookup the Escalation description in ColA in the Escalation Input sheet, return the escalation% for the correct year (column).
Else: (ie if not one-off, assume is cumulative)
</t>
        </r>
        <r>
          <rPr>
            <b/>
            <sz val="8"/>
            <color indexed="81"/>
            <rFont val="Tahoma"/>
            <family val="2"/>
          </rPr>
          <t>Second Part:</t>
        </r>
        <r>
          <rPr>
            <sz val="8"/>
            <color indexed="81"/>
            <rFont val="Tahoma"/>
            <family val="2"/>
          </rPr>
          <t xml:space="preserve"> 
Lookup the escalation (as per part 1B above), then multiply the escalation % for the current year by the cumulative escalation for the prior year, to derive the cumulative escalation for the current year. </t>
        </r>
      </text>
    </comment>
    <comment ref="C122"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C128"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A129" authorId="0">
      <text>
        <r>
          <rPr>
            <sz val="8"/>
            <color indexed="81"/>
            <rFont val="Tahoma"/>
            <family val="2"/>
          </rPr>
          <t xml:space="preserve">Array formula to determine the product of all escalations.  Array is required to exclude rows with zero from the result (otherwise results = 0). 
 If result is zero, check that it is still input as an array formula.
</t>
        </r>
      </text>
    </comment>
    <comment ref="C129" authorId="0">
      <text>
        <r>
          <rPr>
            <b/>
            <sz val="8"/>
            <color indexed="81"/>
            <rFont val="Tahoma"/>
            <family val="2"/>
          </rPr>
          <t>craidi:</t>
        </r>
        <r>
          <rPr>
            <sz val="8"/>
            <color indexed="81"/>
            <rFont val="Tahoma"/>
            <family val="2"/>
          </rPr>
          <t xml:space="preserve">
</t>
        </r>
        <r>
          <rPr>
            <b/>
            <sz val="8"/>
            <color indexed="81"/>
            <rFont val="Tahoma"/>
            <family val="2"/>
          </rPr>
          <t>Explanation of Array formula:</t>
        </r>
        <r>
          <rPr>
            <sz val="8"/>
            <color indexed="81"/>
            <rFont val="Tahoma"/>
            <family val="2"/>
          </rPr>
          <t xml:space="preserve">
Refer to explanation for Specific Escalation formula above</t>
        </r>
      </text>
    </comment>
    <comment ref="B203" authorId="0">
      <text>
        <r>
          <rPr>
            <sz val="8"/>
            <color indexed="81"/>
            <rFont val="Tahoma"/>
            <family val="2"/>
          </rPr>
          <t xml:space="preserve">
Offset formula to import  expenditure from History input sheet, based on the Sheet Number input at K2.
Explanation of formula:
=OFFSET(List_NWOpexStart,MATCH($K$2,'I-4 Opex History'!$A$7:$A$181)+6,+'I-4 Opex History'!F$5)
                ---1st part----------, --------------2nd part-----------------------------------, ----- 3rd part-----------
 -1st part       Starting point for offset = Base year 
-2nd part  = Number of rows to offset by.
                      Uses Match formula to count the number of rows down the sheet that the cost category with a matching sheet number (per cell K2) starts at.
                      Adds 6 to the results, to go 6 extra rows to the total of the category. 
                     *** Not ideal to have a number input within a formula, but the number of rows is not expected to change.
- 3rd part  = Number of columns to offset by (input as an array into the row below the year header) 
</t>
        </r>
      </text>
    </comment>
  </commentList>
</comments>
</file>

<file path=xl/sharedStrings.xml><?xml version="1.0" encoding="utf-8"?>
<sst xmlns="http://schemas.openxmlformats.org/spreadsheetml/2006/main" count="16217" uniqueCount="722">
  <si>
    <t>GC</t>
  </si>
  <si>
    <t>E1</t>
  </si>
  <si>
    <t>C</t>
  </si>
  <si>
    <t>Table of Contents</t>
  </si>
  <si>
    <t>Section</t>
  </si>
  <si>
    <t>Sheet Title</t>
  </si>
  <si>
    <t>Sheet Description</t>
  </si>
  <si>
    <t>Contents</t>
  </si>
  <si>
    <t>C-1</t>
  </si>
  <si>
    <t>Contents Page (this page)</t>
  </si>
  <si>
    <t>Reports</t>
  </si>
  <si>
    <t>R-1</t>
  </si>
  <si>
    <t>R-2</t>
  </si>
  <si>
    <t>R-3</t>
  </si>
  <si>
    <t>R-4</t>
  </si>
  <si>
    <t>E-1</t>
  </si>
  <si>
    <t>Cross-checks</t>
  </si>
  <si>
    <t>Ck1</t>
  </si>
  <si>
    <t>SSC</t>
  </si>
  <si>
    <t>Baseline - General Assumptions</t>
  </si>
  <si>
    <t>Contains General Baseline Assumptions.</t>
  </si>
  <si>
    <t>Contains Baseline Inputs.</t>
  </si>
  <si>
    <t>Section Cover Notes:</t>
  </si>
  <si>
    <t>SC</t>
  </si>
  <si>
    <t>Detailed Workings</t>
  </si>
  <si>
    <t>Contains Detailed Workings</t>
  </si>
  <si>
    <t>Contains Model Reports</t>
  </si>
  <si>
    <t>Contains Cross-checks</t>
  </si>
  <si>
    <t>Ck-1</t>
  </si>
  <si>
    <t>Error Checks</t>
  </si>
  <si>
    <t>Results of Error checks</t>
  </si>
  <si>
    <t>Sheet</t>
  </si>
  <si>
    <t>Check 1</t>
  </si>
  <si>
    <t>Check 2</t>
  </si>
  <si>
    <t>Check 3</t>
  </si>
  <si>
    <t>Warnings</t>
  </si>
  <si>
    <t>Results should be zero</t>
  </si>
  <si>
    <t>Note: Results should be zero</t>
  </si>
  <si>
    <t>Green Background = result is zero, no error detected</t>
  </si>
  <si>
    <t>Orange Background = result is not zero, error detected requiring investigation</t>
  </si>
  <si>
    <r>
      <t>Operating Expenditure</t>
    </r>
    <r>
      <rPr>
        <b/>
        <sz val="10"/>
        <color indexed="60"/>
        <rFont val="Arial"/>
        <family val="2"/>
      </rPr>
      <t xml:space="preserve"> (Directly Attributed Regulated Services)</t>
    </r>
  </si>
  <si>
    <r>
      <t xml:space="preserve">B. Variations </t>
    </r>
    <r>
      <rPr>
        <sz val="14"/>
        <color indexed="60"/>
        <rFont val="Arial"/>
        <family val="2"/>
      </rPr>
      <t>(as per calculations on page 3)</t>
    </r>
  </si>
  <si>
    <r>
      <t xml:space="preserve">C. Specific Escalations </t>
    </r>
    <r>
      <rPr>
        <sz val="14"/>
        <color indexed="60"/>
        <rFont val="Arial"/>
        <family val="2"/>
      </rPr>
      <t>(as per calculations on page 2)</t>
    </r>
  </si>
  <si>
    <r>
      <t xml:space="preserve">D. General Escalations </t>
    </r>
    <r>
      <rPr>
        <sz val="14"/>
        <color indexed="60"/>
        <rFont val="Arial"/>
        <family val="2"/>
      </rPr>
      <t>(as per calculations on page 2)</t>
    </r>
  </si>
  <si>
    <t>Operating Expenditure</t>
  </si>
  <si>
    <t>General Escalation (%Real**)</t>
  </si>
  <si>
    <t>Note - Specific Input Cost and Quantity Escalations will only apply to the specified expense and cost categories</t>
  </si>
  <si>
    <t>DA-1</t>
  </si>
  <si>
    <t>DA-2</t>
  </si>
  <si>
    <t>DA-3</t>
  </si>
  <si>
    <t>DA-4</t>
  </si>
  <si>
    <t>DA-5</t>
  </si>
  <si>
    <t>DA-6</t>
  </si>
  <si>
    <t>DA-7</t>
  </si>
  <si>
    <t>DA-8</t>
  </si>
  <si>
    <t>DA-9</t>
  </si>
  <si>
    <t>DA-10</t>
  </si>
  <si>
    <t>DA-11</t>
  </si>
  <si>
    <t>DA-12</t>
  </si>
  <si>
    <t>DA-13</t>
  </si>
  <si>
    <t>DA-14</t>
  </si>
  <si>
    <t>DA-15</t>
  </si>
  <si>
    <t>DA-16</t>
  </si>
  <si>
    <t>DA-17</t>
  </si>
  <si>
    <t>DA-18</t>
  </si>
  <si>
    <t>DA-19</t>
  </si>
  <si>
    <t>DA-20</t>
  </si>
  <si>
    <t>Expenditure Template</t>
  </si>
  <si>
    <t>Labour</t>
  </si>
  <si>
    <t>Materials</t>
  </si>
  <si>
    <t>Other</t>
  </si>
  <si>
    <t>Baseline Expenditure</t>
  </si>
  <si>
    <t>Variations</t>
  </si>
  <si>
    <t>General Escalations</t>
  </si>
  <si>
    <t>Specific Escalations</t>
  </si>
  <si>
    <t>Total</t>
  </si>
  <si>
    <t>Variation Templates</t>
  </si>
  <si>
    <t>2007/08</t>
  </si>
  <si>
    <t>2008/09</t>
  </si>
  <si>
    <t>2009/10</t>
  </si>
  <si>
    <t>2010/11</t>
  </si>
  <si>
    <t>2011/12</t>
  </si>
  <si>
    <t>2012/13</t>
  </si>
  <si>
    <t>2013/14</t>
  </si>
  <si>
    <t>2014/15</t>
  </si>
  <si>
    <t>Base Year</t>
  </si>
  <si>
    <t>2000/01</t>
  </si>
  <si>
    <t>2001/02</t>
  </si>
  <si>
    <t>2002/03</t>
  </si>
  <si>
    <t>2003/04</t>
  </si>
  <si>
    <t>2004/05</t>
  </si>
  <si>
    <t>2005/06</t>
  </si>
  <si>
    <t>2006/07</t>
  </si>
  <si>
    <t>Vegetation Management</t>
  </si>
  <si>
    <t>Emergency Response</t>
  </si>
  <si>
    <t>Network Operating Costs</t>
  </si>
  <si>
    <t>Maintenance of Asset Information</t>
  </si>
  <si>
    <t>Network Telephony</t>
  </si>
  <si>
    <t>Finance</t>
  </si>
  <si>
    <t>Purchasing and Contracts</t>
  </si>
  <si>
    <t>Regulation</t>
  </si>
  <si>
    <t>Corporate Services</t>
  </si>
  <si>
    <t>Employee Bonuses</t>
  </si>
  <si>
    <t>Escalation Factors Summary</t>
  </si>
  <si>
    <t>Escalators should be 'simple' changes, input as a percentage, that can be applied generically across mapped expense and cost categories.</t>
  </si>
  <si>
    <t>Escalations should generally apply to expenditures for all mapped categories AFTER including variations.</t>
  </si>
  <si>
    <t>Full details of each escalation should be recorded on an Escalation template.</t>
  </si>
  <si>
    <t>Forecast Inflation Rate</t>
  </si>
  <si>
    <t>General Input Cost Escalation (%Real**)</t>
  </si>
  <si>
    <t xml:space="preserve"> Description</t>
  </si>
  <si>
    <t>Escalation is cumulative or stand-alone?</t>
  </si>
  <si>
    <t>Version of Data</t>
  </si>
  <si>
    <t>General escalation for all materials costs</t>
  </si>
  <si>
    <t>Cumulative</t>
  </si>
  <si>
    <t>Notes: ** % Real means expected annual percentage increases above the general inflation rate for that year</t>
  </si>
  <si>
    <t>Specific Input Cost Escalation (%Real**)</t>
  </si>
  <si>
    <t>Specific Input Quantity Escalation (%Real**)</t>
  </si>
  <si>
    <t>Description</t>
  </si>
  <si>
    <t>Business Owner :</t>
  </si>
  <si>
    <t>Important - do not fill out this template with real data as it is not included in the variation totals.</t>
  </si>
  <si>
    <t>To add a new variation, click on the Insert Variation button.</t>
  </si>
  <si>
    <t>Costs Category :</t>
  </si>
  <si>
    <t>Version of Data:</t>
  </si>
  <si>
    <t>Dated:</t>
  </si>
  <si>
    <t>Notes &amp; checks</t>
  </si>
  <si>
    <t>A. Baseline Expenditure, based on:</t>
  </si>
  <si>
    <t>Summary by Cost Category</t>
  </si>
  <si>
    <t>Total Base Expenditure + Variations, Before Escalations</t>
  </si>
  <si>
    <t>Expenditure Before Escalations</t>
  </si>
  <si>
    <t>Total Expenditure</t>
  </si>
  <si>
    <t>Specific Escalation  Calculations</t>
  </si>
  <si>
    <t>Escalation</t>
  </si>
  <si>
    <t>Select the specific escalations to apply for this expenditure category and the cost categories to which they relate:</t>
  </si>
  <si>
    <t xml:space="preserve"> Type</t>
  </si>
  <si>
    <t>Active?</t>
  </si>
  <si>
    <t>Important - if there are not enough rows, copy and insert an entire row with the escalation formulas, not just the visible cells</t>
  </si>
  <si>
    <t>Cost Category</t>
  </si>
  <si>
    <t>Total Specific Escalations to Apply (based on escalations selected above)</t>
  </si>
  <si>
    <t>Product of Escalators by Category</t>
  </si>
  <si>
    <t>Product of All Escalators</t>
  </si>
  <si>
    <t>Difference - should be Zero</t>
  </si>
  <si>
    <t xml:space="preserve">Dollar Impact of Specific Escalations </t>
  </si>
  <si>
    <t xml:space="preserve">Dollar Impact of Escalations </t>
  </si>
  <si>
    <t>Average Specific Escalation %</t>
  </si>
  <si>
    <t>General Escalation  Calculations</t>
  </si>
  <si>
    <t>Select the general escalations to apply for this expenditure category and the cost categories to which they relate:</t>
  </si>
  <si>
    <t>Total General Escalations to Apply (based on escalations selected above)</t>
  </si>
  <si>
    <t xml:space="preserve">Dollar Impact of General Escalations </t>
  </si>
  <si>
    <t>Average General Escalation %</t>
  </si>
  <si>
    <t>Total of all the Variation Templates</t>
  </si>
  <si>
    <t>Total Variations</t>
  </si>
  <si>
    <t xml:space="preserve">Variations are input below, with one Variation Template to be completed for each variation. </t>
  </si>
  <si>
    <t>Click on the "Insert New Variation" button to add a new template:</t>
  </si>
  <si>
    <t>Variation Title</t>
  </si>
  <si>
    <t>Total of this variation</t>
  </si>
  <si>
    <t>Charts</t>
  </si>
  <si>
    <t>Total with Variations</t>
  </si>
  <si>
    <t>Total with Specific Escalations</t>
  </si>
  <si>
    <t>Total with All Escalations</t>
  </si>
  <si>
    <t>Blank Variation Template</t>
  </si>
  <si>
    <t>Used by macro "Insert_New_Variation Macro" as source of new blank template.</t>
  </si>
  <si>
    <r>
      <t xml:space="preserve">End of Escalations  - Note all escalations must be </t>
    </r>
    <r>
      <rPr>
        <i/>
        <u/>
        <sz val="8"/>
        <rFont val="Arial"/>
        <family val="2"/>
      </rPr>
      <t>above</t>
    </r>
    <r>
      <rPr>
        <i/>
        <sz val="8"/>
        <rFont val="Arial"/>
        <family val="2"/>
      </rPr>
      <t xml:space="preserve"> this row.  </t>
    </r>
    <r>
      <rPr>
        <i/>
        <u/>
        <sz val="8"/>
        <rFont val="Arial"/>
        <family val="2"/>
      </rPr>
      <t>Do Not delete this row</t>
    </r>
  </si>
  <si>
    <t>Distribution Licence Fee</t>
  </si>
  <si>
    <t>Network Access, Monitoring and Control</t>
  </si>
  <si>
    <t>Customer Service</t>
  </si>
  <si>
    <t>Standards Development and Maintenance</t>
  </si>
  <si>
    <t>Regulatory Compliance</t>
  </si>
  <si>
    <t>Outage Management System</t>
  </si>
  <si>
    <t>Network Maintenance Costs</t>
  </si>
  <si>
    <t>Inspections</t>
  </si>
  <si>
    <t>Meter Reading Charges</t>
  </si>
  <si>
    <t>Call Centre Charges</t>
  </si>
  <si>
    <t>Demand Management</t>
  </si>
  <si>
    <t>Guaranteed Service Level Payments</t>
  </si>
  <si>
    <t>Property – Substation Sites</t>
  </si>
  <si>
    <t>Network Insurance</t>
  </si>
  <si>
    <t>DA-21</t>
  </si>
  <si>
    <t>DA-22</t>
  </si>
  <si>
    <t>DA-23</t>
  </si>
  <si>
    <t>DA-24</t>
  </si>
  <si>
    <t>Service</t>
  </si>
  <si>
    <t>Directly Attributed Regulated Services - Master list of Services</t>
  </si>
  <si>
    <t>Source - CAM Table 3</t>
  </si>
  <si>
    <t>Allocated Costs - Master list</t>
  </si>
  <si>
    <t>Source - CAM Table 4</t>
  </si>
  <si>
    <t>Cost</t>
  </si>
  <si>
    <t>Office of the CEO</t>
  </si>
  <si>
    <t>CEO</t>
  </si>
  <si>
    <t xml:space="preserve">Strategic Planning  </t>
  </si>
  <si>
    <t>Communications</t>
  </si>
  <si>
    <t>Audit Services</t>
  </si>
  <si>
    <t>Regulation and Company Secretary</t>
  </si>
  <si>
    <t>General Manager Regulation &amp; Company Secretary</t>
  </si>
  <si>
    <t>CFO</t>
  </si>
  <si>
    <t>Accounts Receivable – Asset Damage</t>
  </si>
  <si>
    <t>Taxation – Specific Allocation</t>
  </si>
  <si>
    <t>Corporate Finance</t>
  </si>
  <si>
    <t>Operational Finance</t>
  </si>
  <si>
    <t>Regulatory Finance</t>
  </si>
  <si>
    <t>Accounts Payable</t>
  </si>
  <si>
    <t>Payroll</t>
  </si>
  <si>
    <t>General Manager Corporate Services</t>
  </si>
  <si>
    <t>Training Centre</t>
  </si>
  <si>
    <t>Apprentice Training</t>
  </si>
  <si>
    <t>Training Centre Management</t>
  </si>
  <si>
    <t>Information Technology</t>
  </si>
  <si>
    <t>Property – Offices and Depots</t>
  </si>
  <si>
    <t>Property – DLC Land Tax</t>
  </si>
  <si>
    <t>OHS</t>
  </si>
  <si>
    <t>Environment</t>
  </si>
  <si>
    <t xml:space="preserve">Printing </t>
  </si>
  <si>
    <t xml:space="preserve">Risk &amp; Insurance – Shared Insurance Premiums </t>
  </si>
  <si>
    <t>Risk &amp; Insurance – Support Costs</t>
  </si>
  <si>
    <t>Legal Services</t>
  </si>
  <si>
    <t xml:space="preserve">Services </t>
  </si>
  <si>
    <t>General Manager Services</t>
  </si>
  <si>
    <t>Customer Relations, excluding Call Centre</t>
  </si>
  <si>
    <t>Business Improvement and Planning</t>
  </si>
  <si>
    <t>Works Coordination</t>
  </si>
  <si>
    <t xml:space="preserve">Other </t>
  </si>
  <si>
    <t>Voluntary Separation Packages (VSP’s)</t>
  </si>
  <si>
    <t>Business Unit</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</si>
  <si>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</si>
  <si>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</si>
  <si>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</si>
  <si>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</si>
  <si>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</si>
  <si>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</si>
  <si>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</si>
  <si>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</si>
  <si>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</si>
  <si>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</si>
  <si>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</si>
  <si>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</si>
  <si>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</si>
  <si>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</si>
  <si>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</si>
  <si>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</si>
  <si>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</si>
  <si>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</si>
  <si>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</si>
  <si>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</si>
  <si>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</si>
  <si>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</si>
  <si>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</si>
  <si>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</si>
  <si>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</si>
  <si>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</si>
  <si>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</si>
  <si>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</si>
  <si>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</si>
  <si>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</si>
  <si>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</si>
  <si>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</si>
  <si>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</si>
  <si>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</si>
  <si>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</si>
  <si>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</si>
  <si>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</si>
  <si>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r>
      <t xml:space="preserve">Source of data. </t>
    </r>
    <r>
      <rPr>
        <b/>
        <sz val="6"/>
        <rFont val="Arial"/>
        <family val="2"/>
      </rPr>
      <t>(Name, date, location)</t>
    </r>
  </si>
  <si>
    <r>
      <t>End of Variations</t>
    </r>
    <r>
      <rPr>
        <b/>
        <i/>
        <sz val="10"/>
        <color indexed="9"/>
        <rFont val="Arial"/>
        <family val="2"/>
      </rPr>
      <t xml:space="preserve">  - Note all variations must be </t>
    </r>
    <r>
      <rPr>
        <b/>
        <i/>
        <u/>
        <sz val="10"/>
        <color indexed="9"/>
        <rFont val="Arial"/>
        <family val="2"/>
      </rPr>
      <t>above</t>
    </r>
    <r>
      <rPr>
        <b/>
        <i/>
        <sz val="10"/>
        <color indexed="9"/>
        <rFont val="Arial"/>
        <family val="2"/>
      </rPr>
      <t xml:space="preserve"> this row.  Do Not delete this row</t>
    </r>
  </si>
  <si>
    <t>Chart Data - Historic Expenditure</t>
  </si>
  <si>
    <t>Regulatory Year Headers</t>
  </si>
  <si>
    <t>Historic Expenditure</t>
  </si>
  <si>
    <t>Chart Data - Base Year+Planned</t>
  </si>
  <si>
    <t>Template</t>
  </si>
  <si>
    <t>Directly Attributed Regulated Services</t>
  </si>
  <si>
    <t>Cost Category Breakdown</t>
  </si>
  <si>
    <t>Allocated Costs</t>
  </si>
  <si>
    <t>Actual Expenditure in Nominal ($M)</t>
  </si>
  <si>
    <t>Total Network Operating Costs</t>
  </si>
  <si>
    <t>Total Network Maintenance  and Other Costs</t>
  </si>
  <si>
    <t>Total Directly Attributed Costs</t>
  </si>
  <si>
    <t>Total Allocated Costs</t>
  </si>
  <si>
    <t>Total Directly Attributed &amp; Allocated Costs</t>
  </si>
  <si>
    <t>Sheet Number:</t>
  </si>
  <si>
    <t>SheetNo</t>
  </si>
  <si>
    <t>"{=Array_ColOffset_Header}"</t>
  </si>
  <si>
    <t>Array for column offset numbers</t>
  </si>
  <si>
    <t>Applied in</t>
  </si>
  <si>
    <t>Description of Names used in this model</t>
  </si>
  <si>
    <t>Name</t>
  </si>
  <si>
    <t>Input as an array, to prevent accidential deletion.</t>
  </si>
  <si>
    <t>{=Array_Year_Header}</t>
  </si>
  <si>
    <t>Used by offset formulas in the expenditure templates</t>
  </si>
  <si>
    <t>Expenditure templates</t>
  </si>
  <si>
    <t>Array for column year headings</t>
  </si>
  <si>
    <t>Year No.</t>
  </si>
  <si>
    <t>Check Sums</t>
  </si>
  <si>
    <t>3D Reference sum of the respective totals by year compared to the sum above of the 3D Reference individual lines</t>
  </si>
  <si>
    <t>A. Baseline Expenditure:</t>
  </si>
  <si>
    <t>B. Variations</t>
  </si>
  <si>
    <t>Total Base Expenditure + Variations</t>
  </si>
  <si>
    <t>C. Specific Escalations</t>
  </si>
  <si>
    <t>D. General Escalations</t>
  </si>
  <si>
    <t>List_AllocOpexStart</t>
  </si>
  <si>
    <t>List_NWOpexStart</t>
  </si>
  <si>
    <t>I-4 Opex History</t>
  </si>
  <si>
    <t>Starting point for base year opex for DA costs</t>
  </si>
  <si>
    <t>Starting point for base year opex for Allocated costs</t>
  </si>
  <si>
    <t>Used by Offset formulas in the Templates</t>
  </si>
  <si>
    <t>Variation_BlankNew</t>
  </si>
  <si>
    <r>
      <t>Operating Expenditure</t>
    </r>
    <r>
      <rPr>
        <b/>
        <sz val="10"/>
        <color indexed="60"/>
        <rFont val="Arial"/>
        <family val="2"/>
      </rPr>
      <t xml:space="preserve"> (Allocated costs)</t>
    </r>
  </si>
  <si>
    <t>List_AllocOpexListStart</t>
  </si>
  <si>
    <t>I-3</t>
  </si>
  <si>
    <t>Starting point for list of allocated opex costs</t>
  </si>
  <si>
    <t>Used by templates for importing the category name</t>
  </si>
  <si>
    <t>Category</t>
  </si>
  <si>
    <t>Operating Expenditure Detail</t>
  </si>
  <si>
    <t>Historic Data  from sheet I-4</t>
  </si>
  <si>
    <t>Base Year + Future Data from Expenditure Templates</t>
  </si>
  <si>
    <t>Total Detailed Opex Vs Total Cost Category Breakdown</t>
  </si>
  <si>
    <t>Total Detailed Opex Vs (DA-Total + A-Total) sheets</t>
  </si>
  <si>
    <t>Total Detailed Historic Opex Vs Input sheets</t>
  </si>
  <si>
    <t>Worksheet Notes:</t>
  </si>
  <si>
    <t>Any check sums below not equal to zero are shaded RED and indicate an error, requiring investigation.</t>
  </si>
  <si>
    <t>Operating Expenditure History - Input sheet</t>
  </si>
  <si>
    <t>Check 4</t>
  </si>
  <si>
    <t>Check 5</t>
  </si>
  <si>
    <t>Check 6</t>
  </si>
  <si>
    <t>I-5</t>
  </si>
  <si>
    <t>I-2</t>
  </si>
  <si>
    <t>List_DAOpexStart</t>
  </si>
  <si>
    <t>Starting point for list of DA costs</t>
  </si>
  <si>
    <t>No:</t>
  </si>
  <si>
    <t>Variations Summary</t>
  </si>
  <si>
    <t>Summary of the Variation Templates</t>
  </si>
  <si>
    <t>Number of variations:</t>
  </si>
  <si>
    <t>Var. No:</t>
  </si>
  <si>
    <t xml:space="preserve">This sheet been set up to import up to 10 variations per template.  If any template has more then 10 variations, the links above </t>
  </si>
  <si>
    <t>will need to be adjusted accordingly.</t>
  </si>
  <si>
    <t>Total Variations above Vs Reports (R2 + R3)</t>
  </si>
  <si>
    <t>Operating Expenditure Variations</t>
  </si>
  <si>
    <t>Specific Assumptions</t>
  </si>
  <si>
    <t>Reference</t>
  </si>
  <si>
    <t>Contains Reference Data for model workings</t>
  </si>
  <si>
    <t>CPI Inputs</t>
  </si>
  <si>
    <t>Actual &amp; Forecast CPI Indices</t>
  </si>
  <si>
    <t>Assumed Future Inflation (%p.a.)</t>
  </si>
  <si>
    <t>Year Ended:</t>
  </si>
  <si>
    <t>Real to Nominal Escalation Factor</t>
  </si>
  <si>
    <t>Downloaded from: www.abs.gov.au</t>
  </si>
  <si>
    <t>I-1</t>
  </si>
  <si>
    <t>I-4</t>
  </si>
  <si>
    <t>Operating Expenditure (Allocated costs)</t>
  </si>
  <si>
    <t>Operating Expenditure (Directly Attributed Regulated Services)</t>
  </si>
  <si>
    <t>Ref-1</t>
  </si>
  <si>
    <t>General Lookup References used by this model</t>
  </si>
  <si>
    <t>Ref-2</t>
  </si>
  <si>
    <t>to DA-24</t>
  </si>
  <si>
    <t xml:space="preserve">Note - General input cost escalators will apply to all operating and capital expenditures for the specified cost categories and also include Variations and Specific Escalations.  </t>
  </si>
  <si>
    <t>Escalations are calculated as a product of each other, by cost category.</t>
  </si>
  <si>
    <t>Contains Specific Assumptions.</t>
  </si>
  <si>
    <t>Demand Management Innovation Fund</t>
  </si>
  <si>
    <t>Geoff Coultas</t>
  </si>
  <si>
    <t>Geof Axon</t>
  </si>
  <si>
    <t>Jehad Ali</t>
  </si>
  <si>
    <t>Mark Evans</t>
  </si>
  <si>
    <t>Katrina Jenkins</t>
  </si>
  <si>
    <t>Craig Bignell</t>
  </si>
  <si>
    <t>Wayne Lissner</t>
  </si>
  <si>
    <t>David Syme</t>
  </si>
  <si>
    <t>John Fleetwood</t>
  </si>
  <si>
    <t>Peter Chapple</t>
  </si>
  <si>
    <t>Ian Rogers</t>
  </si>
  <si>
    <t>Patrick Makinson</t>
  </si>
  <si>
    <t>A-38</t>
  </si>
  <si>
    <t>Superannuation</t>
  </si>
  <si>
    <t>Employee Relations</t>
  </si>
  <si>
    <t>Workforce Development</t>
  </si>
  <si>
    <t>Sign-Off</t>
  </si>
  <si>
    <t>Sign-off :</t>
  </si>
  <si>
    <t>Steve Jolly</t>
  </si>
  <si>
    <t>Check</t>
  </si>
  <si>
    <t>Operating Expenditure Escalations</t>
  </si>
  <si>
    <t>R-5</t>
  </si>
  <si>
    <r>
      <t>Dollar Impact of Each Escalation</t>
    </r>
    <r>
      <rPr>
        <b/>
        <sz val="7"/>
        <color indexed="60"/>
        <rFont val="Arial"/>
        <family val="2"/>
      </rPr>
      <t xml:space="preserve"> </t>
    </r>
    <r>
      <rPr>
        <sz val="7"/>
        <color indexed="60"/>
        <rFont val="Arial"/>
        <family val="2"/>
      </rPr>
      <t>(uncompounded with other specific escalations of the same cost category)</t>
    </r>
  </si>
  <si>
    <r>
      <t xml:space="preserve">Dollar Impact of Each Escalation </t>
    </r>
    <r>
      <rPr>
        <sz val="7"/>
        <color indexed="60"/>
        <rFont val="Arial"/>
        <family val="2"/>
      </rPr>
      <t>(uncompounded with other general escalations of the same cost category)</t>
    </r>
  </si>
  <si>
    <t>Total Escalations above Vs Reports (R2 + R3)</t>
  </si>
  <si>
    <t xml:space="preserve">This sheet been set up to import up to 5 general and  5 specific escalations per template.  If any template has more than this </t>
  </si>
  <si>
    <t>number of escalations, the links above will need to be adjusted accordingly.</t>
  </si>
  <si>
    <t>R-6</t>
  </si>
  <si>
    <t>Total General Escalations</t>
  </si>
  <si>
    <t>Total Specific Escalations</t>
  </si>
  <si>
    <t>Total All Escalations</t>
  </si>
  <si>
    <t>Total Escalations above Vs source report (R5)</t>
  </si>
  <si>
    <t>This sheet summarises the data on sheet R5, based on the escalations input on sheet I-5</t>
  </si>
  <si>
    <t>The number of rows of escalations should match I5.</t>
  </si>
  <si>
    <t>Expenditure Data Inputs</t>
  </si>
  <si>
    <t>I-7</t>
  </si>
  <si>
    <t>I-6</t>
  </si>
  <si>
    <t>Important - this is baseline expenditure only - variations must be manually input on the relevant template.</t>
  </si>
  <si>
    <t xml:space="preserve">Version </t>
  </si>
  <si>
    <t>of Data:</t>
  </si>
  <si>
    <r>
      <t xml:space="preserve">Allocated Expenditure - </t>
    </r>
    <r>
      <rPr>
        <b/>
        <u/>
        <sz val="15"/>
        <rFont val="Arial"/>
        <family val="2"/>
      </rPr>
      <t>Baseline</t>
    </r>
    <r>
      <rPr>
        <b/>
        <sz val="15"/>
        <rFont val="Arial"/>
        <family val="2"/>
      </rPr>
      <t xml:space="preserve"> Submission Input sheet</t>
    </r>
  </si>
  <si>
    <r>
      <t xml:space="preserve">Directly Attributed Expenditure - </t>
    </r>
    <r>
      <rPr>
        <b/>
        <u/>
        <sz val="15"/>
        <rFont val="Arial"/>
        <family val="2"/>
      </rPr>
      <t>Baseline</t>
    </r>
    <r>
      <rPr>
        <b/>
        <sz val="15"/>
        <rFont val="Arial"/>
        <family val="2"/>
      </rPr>
      <t xml:space="preserve"> Submission Input sheet</t>
    </r>
  </si>
  <si>
    <t>Finance - Adjustments</t>
  </si>
  <si>
    <t>Services-construction</t>
  </si>
  <si>
    <t>Services-general</t>
  </si>
  <si>
    <t>General escalation for all labour costs</t>
  </si>
  <si>
    <t>General escalation for services construction costs</t>
  </si>
  <si>
    <t>General escalation for general services costs</t>
  </si>
  <si>
    <t>A-39</t>
  </si>
  <si>
    <t>Self Insurance</t>
  </si>
  <si>
    <t>Escalations</t>
  </si>
  <si>
    <t>Impact of Operating Expenditure Escalations</t>
  </si>
  <si>
    <t>Operating Expenditure Escalations &amp; Variations Summary</t>
  </si>
  <si>
    <t xml:space="preserve">Total </t>
  </si>
  <si>
    <t>Total above Vs report R1</t>
  </si>
  <si>
    <t>Specific Input Cost Escalation</t>
  </si>
  <si>
    <t>Summary by Escalation Category</t>
  </si>
  <si>
    <t>A-40</t>
  </si>
  <si>
    <t>A-41</t>
  </si>
  <si>
    <t>Debt Raising Costs</t>
  </si>
  <si>
    <t>Note - these formulas calculated as variation% x Unescalated costs</t>
  </si>
  <si>
    <t>}</t>
  </si>
  <si>
    <t>Note - these formulas calculated Total $ variation less the impact of the first variation above.</t>
  </si>
  <si>
    <t>Source of data. (Name, date, location)</t>
  </si>
  <si>
    <t>EscalationDescription_General</t>
  </si>
  <si>
    <t>Descriptions for General Escalations</t>
  </si>
  <si>
    <t>EscalationDescription_Input_Cost</t>
  </si>
  <si>
    <t>Descriptions for Cost Escalations</t>
  </si>
  <si>
    <t>Escalations_General_Costs</t>
  </si>
  <si>
    <t>Range for escalation amounts and type</t>
  </si>
  <si>
    <t>Referred to by templates to pick up the annual escalation amounts</t>
  </si>
  <si>
    <t>Escalations_Specific_Costs</t>
  </si>
  <si>
    <t xml:space="preserve"> sheet I7</t>
  </si>
  <si>
    <t>Model_Name</t>
  </si>
  <si>
    <t>Model Name, referenced by section cover sheets</t>
  </si>
  <si>
    <t>Template for new variations.</t>
  </si>
  <si>
    <t>Used by macro when new variation added</t>
  </si>
  <si>
    <t xml:space="preserve"> sheets I4</t>
  </si>
  <si>
    <t xml:space="preserve"> sheets I5</t>
  </si>
  <si>
    <t>"{=Array_ColOffset_Header2}"</t>
  </si>
  <si>
    <t>Future_AOpexStart</t>
  </si>
  <si>
    <t xml:space="preserve"> sheets I6</t>
  </si>
  <si>
    <t>Future_DAOpexStart</t>
  </si>
  <si>
    <t>List_DirectlyAttributedServices</t>
  </si>
  <si>
    <t>List of cost categories</t>
  </si>
  <si>
    <t>List_AllocatedCosts</t>
  </si>
  <si>
    <t>Scenario Reports - data for Export</t>
  </si>
  <si>
    <t>Contains Scenario Reports and comparisons to baseline</t>
  </si>
  <si>
    <t>R-7</t>
  </si>
  <si>
    <t>R1</t>
  </si>
  <si>
    <t>This sheet summarises the data on sheet I5, I6, R4+R6</t>
  </si>
  <si>
    <t xml:space="preserve"> + DA Sub Category</t>
  </si>
  <si>
    <t>Allocated costs</t>
  </si>
  <si>
    <t>Directly Attributed Costs</t>
  </si>
  <si>
    <t>This sheet links to the value of escalations applied on each template.  It also indicates what escalations are being applied, as an audit tool.</t>
  </si>
  <si>
    <t xml:space="preserve">This sheet links to the value of each escalation applied, determined from the detail on sheet R5.  </t>
  </si>
  <si>
    <t>Data for Export to RIN</t>
  </si>
  <si>
    <t>Escalation of Data in Schedule R1:</t>
  </si>
  <si>
    <t>Escalated to required dollars of the RIN</t>
  </si>
  <si>
    <t>Total Detailed Capex Vs sheet R1, unescalated</t>
  </si>
  <si>
    <t>Total Detailed Capex Vs sheet R1, escalated</t>
  </si>
  <si>
    <t>Table 1 - Operating expenditure by category</t>
  </si>
  <si>
    <t>Expense category</t>
  </si>
  <si>
    <t>Previous regulatory period (nominal $'000)</t>
  </si>
  <si>
    <t>Current regulatory period (nominal $'000)</t>
  </si>
  <si>
    <t>Next regulatory period (real $'000)</t>
  </si>
  <si>
    <t>Actual</t>
  </si>
  <si>
    <t xml:space="preserve">Estimate     </t>
  </si>
  <si>
    <t xml:space="preserve">Forecast </t>
  </si>
  <si>
    <t>Network operating costs</t>
  </si>
  <si>
    <t>Distribution licence fee</t>
  </si>
  <si>
    <t>Network access, monitoring and control</t>
  </si>
  <si>
    <t>Network asset management</t>
  </si>
  <si>
    <t>Network asset systems and information</t>
  </si>
  <si>
    <t>Network telephony</t>
  </si>
  <si>
    <t>Regulatory compliance</t>
  </si>
  <si>
    <t>Sub-total</t>
  </si>
  <si>
    <t>Network maintenance (NM) costs</t>
  </si>
  <si>
    <t>Maintenance &amp; repair</t>
  </si>
  <si>
    <t>Substation property maintenance</t>
  </si>
  <si>
    <t>Vegetation management</t>
  </si>
  <si>
    <t>Emergency response</t>
  </si>
  <si>
    <t>Network insurance</t>
  </si>
  <si>
    <t>Customer services</t>
  </si>
  <si>
    <t>Meter reading</t>
  </si>
  <si>
    <t>Call centre</t>
  </si>
  <si>
    <t>Full retail contestability</t>
  </si>
  <si>
    <t>Other customer services</t>
  </si>
  <si>
    <t>CEO, planning and audit</t>
  </si>
  <si>
    <t>Regulation and company secretary</t>
  </si>
  <si>
    <t>HR and training</t>
  </si>
  <si>
    <t>Property</t>
  </si>
  <si>
    <t>Information systems</t>
  </si>
  <si>
    <t>Risk management</t>
  </si>
  <si>
    <t>Other costs</t>
  </si>
  <si>
    <t>Self-insurance</t>
  </si>
  <si>
    <t>Debt raising costs</t>
  </si>
  <si>
    <t>Table 3 - Opex by cost category</t>
  </si>
  <si>
    <t>Cost category</t>
  </si>
  <si>
    <t>E2</t>
  </si>
  <si>
    <t>to link to E1</t>
  </si>
  <si>
    <t>E-2</t>
  </si>
  <si>
    <t>Submission Operating Expenditure Model</t>
  </si>
  <si>
    <t>Total Above Vs E1</t>
  </si>
  <si>
    <t>A-32,33,34,35</t>
  </si>
  <si>
    <t>DA-7,11</t>
  </si>
  <si>
    <t>DA-3,4,5,6</t>
  </si>
  <si>
    <t>Total DA categories Above Vs E1</t>
  </si>
  <si>
    <t>A-1,2,4</t>
  </si>
  <si>
    <t>A-5,6</t>
  </si>
  <si>
    <t>A7 to 16, 36,37</t>
  </si>
  <si>
    <t>A18 to 22</t>
  </si>
  <si>
    <t>A-24,25</t>
  </si>
  <si>
    <t>A-26 to 31, 17</t>
  </si>
  <si>
    <t>Total A categories Above Vs E1</t>
  </si>
  <si>
    <t xml:space="preserve">21.21% 29.56% 32.93% 33.10% 33.08% 33.72% </t>
  </si>
  <si>
    <t>CPI to December, based on CPI index to preceeding September (ie 3 month lag)</t>
  </si>
  <si>
    <t>Contains Model Reports converted to June 2010 dollars</t>
  </si>
  <si>
    <t>Total Variations above Vs Report R4 TOTAL ESCALATED</t>
  </si>
  <si>
    <t>Total Escalations above Vs source report (R6 TOTAL, ESCALATED)</t>
  </si>
  <si>
    <t>Original Costs that Escalation Applied to:</t>
  </si>
  <si>
    <t xml:space="preserve">Check - </t>
  </si>
  <si>
    <t>Original costs that escalation applied to x cumulative escalator</t>
  </si>
  <si>
    <t xml:space="preserve">note - is greater than costs that specific escalators applied to, due to </t>
  </si>
  <si>
    <t>general escalations being applied to base cost plus specific escalations.</t>
  </si>
  <si>
    <t xml:space="preserve">note - is less than baseline unescalated costs+ variations, due to </t>
  </si>
  <si>
    <t xml:space="preserve">some categories having no specific escalators and some having </t>
  </si>
  <si>
    <t>multiple specific escalators.</t>
  </si>
  <si>
    <t>Original Costs that Escalation is applied to:</t>
  </si>
  <si>
    <t>Used for Summary of Escalation weightings on R6</t>
  </si>
  <si>
    <t>Cumulative Escalator</t>
  </si>
  <si>
    <t>Feed-in Tariffs</t>
  </si>
  <si>
    <t>2015/16</t>
  </si>
  <si>
    <t>2016/17</t>
  </si>
  <si>
    <t>2017/18</t>
  </si>
  <si>
    <t>2018/19</t>
  </si>
  <si>
    <t>2019/20</t>
  </si>
  <si>
    <t>Denomination of Inputs</t>
  </si>
  <si>
    <t>$'M June 2015</t>
  </si>
  <si>
    <t>Forecast Expenditure</t>
  </si>
  <si>
    <t>LU_TemplateYearHeader</t>
  </si>
  <si>
    <t>LU_TemplateYearHeader2</t>
  </si>
  <si>
    <t>RangeNames:</t>
  </si>
  <si>
    <t>|--------------------------------------------</t>
  </si>
  <si>
    <t>LU_BaseYearDollars</t>
  </si>
  <si>
    <t>LU_TemplateDollarDenomination</t>
  </si>
  <si>
    <t>LU_PTRMDollarDenomination</t>
  </si>
  <si>
    <t>RangeName:</t>
  </si>
  <si>
    <t>LU_TemplateYearHeader3</t>
  </si>
  <si>
    <t>-------------------------------------|</t>
  </si>
  <si>
    <t>------------------------------------------|</t>
  </si>
  <si>
    <t>LU_TemplateYearHeader4</t>
  </si>
  <si>
    <t>Reports $2015</t>
  </si>
  <si>
    <t>CPI for $June 2015 = March 2015 Index</t>
  </si>
  <si>
    <t>LU_TemplateYearHeader5</t>
  </si>
  <si>
    <t>LU_TemplateYearHeader6</t>
  </si>
  <si>
    <t>LU_TemplateYearHeader7</t>
  </si>
  <si>
    <t>to A-41</t>
  </si>
  <si>
    <t>R-4 ($2015)</t>
  </si>
  <si>
    <t>R-6 ($2015)</t>
  </si>
  <si>
    <t>Variations to be input in Real 2013 dollars (ie without escalations) .  Escalations are calculated separately on all expenditure, including variations.</t>
  </si>
  <si>
    <t>Model Guide</t>
  </si>
  <si>
    <t>(Refer Below)</t>
  </si>
  <si>
    <t>Overview</t>
  </si>
  <si>
    <t>Organisation name</t>
  </si>
  <si>
    <t>SA Power Networks</t>
  </si>
  <si>
    <t>Workbook name</t>
  </si>
  <si>
    <t>SAPN ID</t>
  </si>
  <si>
    <t>ID as provided by the Project Office, for models in the Quality Register.</t>
  </si>
  <si>
    <t>Workbook purpose</t>
  </si>
  <si>
    <t>File name</t>
  </si>
  <si>
    <t>File Location</t>
  </si>
  <si>
    <t>Data Version</t>
  </si>
  <si>
    <t>Input description of the data in this version of the model.</t>
  </si>
  <si>
    <t>Model User</t>
  </si>
  <si>
    <t>Input name of the end user of the model  - as the reference for assistance concerning the data and outputs.</t>
  </si>
  <si>
    <t>Structural Version</t>
  </si>
  <si>
    <t>Input Structural Version of this model  (as distinct from the data version).</t>
  </si>
  <si>
    <t>Model Developer</t>
  </si>
  <si>
    <t>David Craig</t>
  </si>
  <si>
    <t>Input name of the Developer of the model - as the reference for assistance for model questions and changes.</t>
  </si>
  <si>
    <t>Business Overheads</t>
  </si>
  <si>
    <t>June to June CPI</t>
  </si>
  <si>
    <t>December to December CPI</t>
  </si>
  <si>
    <t>Actual CPI Index @ March**</t>
  </si>
  <si>
    <t>Used where actual is not known</t>
  </si>
  <si>
    <t>Input March CPI index, where available, otherwise leave blank</t>
  </si>
  <si>
    <t>Actual Annual CPI Change</t>
  </si>
  <si>
    <t>Actual &amp; forecast CPI Index</t>
  </si>
  <si>
    <t>Escalation to June based on CPI index to preceeding March (ie 3 month lag)</t>
  </si>
  <si>
    <t>June 2010 as Base</t>
  </si>
  <si>
    <t>Actual CPI Index @ December**</t>
  </si>
  <si>
    <t>Escalation to December based on CPI index to preceeding September (ie 3 month lag)</t>
  </si>
  <si>
    <t>Input December CPI index, where available, otherwise leave blank</t>
  </si>
  <si>
    <t>User Notes</t>
  </si>
  <si>
    <t>User must update the actual CPI index for each March and September, when it is released by the ABS.</t>
  </si>
  <si>
    <t>**  Index used is the CPI All Groups, Weighted Average of Eight Capital Cities, Index Numbers(a)</t>
  </si>
  <si>
    <t>_LU_Version</t>
  </si>
  <si>
    <t>workbook</t>
  </si>
  <si>
    <t>Workbook Version</t>
  </si>
  <si>
    <t xml:space="preserve"> &amp; Expenditure templates</t>
  </si>
  <si>
    <t>OrganisationName</t>
  </si>
  <si>
    <t>Organisation Name</t>
  </si>
  <si>
    <t>Lookup for Base Year Dollars</t>
  </si>
  <si>
    <t>Lookup for PTRM Dollar Denomination</t>
  </si>
  <si>
    <t>Lookup for Template Dollar Denomination</t>
  </si>
  <si>
    <t>Lookup for Template Year Header</t>
  </si>
  <si>
    <t>Information Classification</t>
  </si>
  <si>
    <t>Note the confidentiality of this document.</t>
  </si>
  <si>
    <t>($M) 2013/14 dollars</t>
  </si>
  <si>
    <t>$'M Real 2013/14</t>
  </si>
  <si>
    <t>Escalation Factor - $2013/14 to $June 2015</t>
  </si>
  <si>
    <t>Escalation Factor - $2013/14 to $Nominal</t>
  </si>
  <si>
    <t>This Sheet picks up the total costs for each cost category, split by Resource.</t>
  </si>
  <si>
    <t>Historic data is linked from "I-4 Opex History"</t>
  </si>
  <si>
    <t>Forecast Data is from each category template</t>
  </si>
  <si>
    <t>Array formulas are used for linking blocks of data, to add robustness, as they are difficult to accidentally delete.</t>
  </si>
  <si>
    <r>
      <t xml:space="preserve">Check sums are in rows below the report. Any check sums below not equal to zero are shaded </t>
    </r>
    <r>
      <rPr>
        <sz val="10"/>
        <color rgb="FFFF0000"/>
        <rFont val="Century Gothic"/>
        <family val="2"/>
      </rPr>
      <t>RED</t>
    </r>
    <r>
      <rPr>
        <sz val="10"/>
        <color theme="1"/>
        <rFont val="Century Gothic"/>
        <family val="2"/>
      </rPr>
      <t xml:space="preserve"> and indicate an error, requiring investigation.</t>
    </r>
  </si>
  <si>
    <t>Worksheet Notes</t>
  </si>
  <si>
    <t>This Sheet picks up the variation details for each cost category</t>
  </si>
  <si>
    <t>This Sheet picks up the value of escalations for each cost category, split by Resource.</t>
  </si>
  <si>
    <r>
      <t xml:space="preserve">Check sums are in rows below the report. Any check sums below not equal to zero are shaded </t>
    </r>
    <r>
      <rPr>
        <sz val="10"/>
        <color rgb="FFFF0000"/>
        <rFont val="Century Gothic"/>
        <family val="2"/>
      </rPr>
      <t>RED</t>
    </r>
    <r>
      <rPr>
        <sz val="10"/>
        <color theme="1"/>
        <rFont val="Century Gothic"/>
        <family val="2"/>
      </rPr>
      <t xml:space="preserve"> and</t>
    </r>
  </si>
  <si>
    <t xml:space="preserve"> indicate an error, requiring investigation.</t>
  </si>
  <si>
    <t>From I5, I6</t>
  </si>
  <si>
    <t>From R4</t>
  </si>
  <si>
    <t>From R6</t>
  </si>
  <si>
    <t>Source</t>
  </si>
  <si>
    <t>June 2015 as Base</t>
  </si>
  <si>
    <t xml:space="preserve">Escalation Factor used for Reports </t>
  </si>
  <si>
    <t>Convert Template Dollars to June 2015 Dollars</t>
  </si>
  <si>
    <t>Used in Reports: "Rxxxx ($2015)"</t>
  </si>
  <si>
    <r>
      <t xml:space="preserve">This sheet is the same as "R4", but with </t>
    </r>
    <r>
      <rPr>
        <u/>
        <sz val="10"/>
        <color theme="1"/>
        <rFont val="Century Gothic"/>
        <family val="2"/>
      </rPr>
      <t>Forecast</t>
    </r>
    <r>
      <rPr>
        <sz val="10"/>
        <color theme="1"/>
        <rFont val="Century Gothic"/>
        <family val="2"/>
      </rPr>
      <t xml:space="preserve"> (not historic) values converted to June 2015 dollars, per the escalation factor on Sheet I1.</t>
    </r>
  </si>
  <si>
    <t>This sheet is the same as "R5", but with values converted to June 2015 dollars, per the escalation factor on Sheet I1.</t>
  </si>
  <si>
    <r>
      <t xml:space="preserve">This sheet is the same as "R1", but with </t>
    </r>
    <r>
      <rPr>
        <u/>
        <sz val="10"/>
        <color theme="1"/>
        <rFont val="Century Gothic"/>
        <family val="2"/>
      </rPr>
      <t>Forecast</t>
    </r>
    <r>
      <rPr>
        <sz val="10"/>
        <color theme="1"/>
        <rFont val="Century Gothic"/>
        <family val="2"/>
      </rPr>
      <t xml:space="preserve"> values (from 2015/16) converted to June 2015 dollars, per the escalation factor on Sheet I1.</t>
    </r>
  </si>
  <si>
    <t>Historic values to 2014/15 stated in nominal terms.</t>
  </si>
  <si>
    <t>Help Text</t>
  </si>
  <si>
    <t>Model Version Notes</t>
  </si>
  <si>
    <t>To Do - User Notes</t>
  </si>
  <si>
    <t>Notes (To Do etc) made by user.  Please clear when completed.</t>
  </si>
  <si>
    <t>Date</t>
  </si>
  <si>
    <t>Note</t>
  </si>
  <si>
    <t>To Do - Developer Notes</t>
  </si>
  <si>
    <t>Notes (To Do etc) made by developer.  Please clear when completed.</t>
  </si>
  <si>
    <t>2013.09-Ver0.7</t>
  </si>
  <si>
    <t>Updated Model Template for 2015 EDPR.</t>
  </si>
  <si>
    <t>For explanation of the Model, refer "Submission Expenditure Model Development.docx"</t>
  </si>
  <si>
    <t>2013.09-Ver1.0</t>
  </si>
  <si>
    <t>Remamed Ver 0.7, Sent to KPMG 2013.09 for revew</t>
  </si>
  <si>
    <t>Information Classification:</t>
  </si>
  <si>
    <t xml:space="preserve">Refer to the </t>
  </si>
  <si>
    <t>Guide</t>
  </si>
  <si>
    <t>below for further details</t>
  </si>
  <si>
    <t>Contracts</t>
  </si>
  <si>
    <t>Services Other</t>
  </si>
  <si>
    <t>Materials - Land</t>
  </si>
  <si>
    <t>General escalation for Land Value Related costs</t>
  </si>
  <si>
    <t>LU_CostCategory</t>
  </si>
  <si>
    <t>Lookup for Cost Categories</t>
  </si>
  <si>
    <t>CPI for $Dec 2013 = Sept 2013 Index</t>
  </si>
  <si>
    <t>Base year Opex is 2013/14, so on average 31 December 2013 dollars</t>
  </si>
  <si>
    <t>Need to escalate by 1.5 years to June 2015 dollars.</t>
  </si>
  <si>
    <t>forecast</t>
  </si>
  <si>
    <t>Dec 2013 to June 2014</t>
  </si>
  <si>
    <t>June 2014 to June 2015</t>
  </si>
  <si>
    <t>Comprises:</t>
  </si>
  <si>
    <t>Non Network Solutions</t>
  </si>
  <si>
    <t>Strategic Asset Management</t>
  </si>
  <si>
    <t>Operational Asset Management</t>
  </si>
  <si>
    <t>Asset Assessment</t>
  </si>
  <si>
    <t>Asset Maintenance</t>
  </si>
  <si>
    <t>Retail Contestability</t>
  </si>
  <si>
    <t>[1]</t>
  </si>
  <si>
    <t>[1] RBA Statement of Monetary Policy August 2014. forecast CPI for Dec 2014 is 2.0%. Assumed to also apply to March 2014 CPI forecast.</t>
  </si>
  <si>
    <t>CPI forecast Notes:</t>
  </si>
  <si>
    <t>[2]</t>
  </si>
  <si>
    <t xml:space="preserve">[2] Used to forecast Dec 2014 CPI (using Sept CPI index) </t>
  </si>
  <si>
    <t xml:space="preserve">  RBA Statement of Monetary Policy August 2014. Forecast CPI for Dec 2014 is 2.0%, June 2014 is 3.0%. Assumed September is the average = 2.5%.</t>
  </si>
  <si>
    <t>Check 7</t>
  </si>
  <si>
    <t>Darren Smith</t>
  </si>
  <si>
    <t>Sean Kelly</t>
  </si>
  <si>
    <t>Janette Bettcher</t>
  </si>
  <si>
    <t>Sonya Furey</t>
  </si>
  <si>
    <t>Jay Holata</t>
  </si>
  <si>
    <t>Step Change</t>
  </si>
  <si>
    <t>Proposal, October 2014</t>
  </si>
  <si>
    <t>Proposal Step Change</t>
  </si>
  <si>
    <t>Refer Opex Workings</t>
  </si>
  <si>
    <t>Non-Network Solutions</t>
  </si>
  <si>
    <t>Steve Wachtel</t>
  </si>
  <si>
    <t>Matt Napolitano</t>
  </si>
  <si>
    <t>Mark Vincent</t>
  </si>
  <si>
    <t>David Pritchard</t>
  </si>
  <si>
    <t>George Karlis</t>
  </si>
  <si>
    <t>Tim McCullough</t>
  </si>
  <si>
    <t>Damien Harby</t>
  </si>
  <si>
    <t>David Woods</t>
  </si>
  <si>
    <t>R-7($2015)</t>
  </si>
  <si>
    <t>R-2 ($2015)</t>
  </si>
  <si>
    <t>R-3 ($2015)</t>
  </si>
  <si>
    <t>Nil</t>
  </si>
  <si>
    <t>Super Contribution Calculation-Forecast to 2020-Ver1.9.xlsx</t>
  </si>
  <si>
    <t>Step Change for Superannuation</t>
  </si>
  <si>
    <t>Note on Escalation Factors:</t>
  </si>
  <si>
    <t>The revised submission in July 2015 will use the actual CPI for March 2015 as the measure of June 2015 dollars (3 month lag)  which is released in April 2015.</t>
  </si>
  <si>
    <t>Debt Raising costs</t>
  </si>
  <si>
    <t>de-escalated</t>
  </si>
  <si>
    <t>copied above</t>
  </si>
  <si>
    <t>Check - difference to $2010</t>
  </si>
  <si>
    <t>Calculated in the PTRM and discounted to $ for SEM Input</t>
  </si>
  <si>
    <t xml:space="preserve">Debt Raising costs </t>
  </si>
  <si>
    <t>Determination PTRM $June 2015</t>
  </si>
  <si>
    <t>Spare, not in use</t>
  </si>
  <si>
    <t>2014/15 Allowance per Tribunal PTRM, escalated to $Dec 2013</t>
  </si>
  <si>
    <t>Current regulatory period (real $'000)</t>
  </si>
  <si>
    <t>Total Costs</t>
  </si>
  <si>
    <t>R-7 ($2015)</t>
  </si>
  <si>
    <t>Summary Report - Standard Control Services</t>
  </si>
  <si>
    <t>Public</t>
  </si>
  <si>
    <t>Customer Growth</t>
  </si>
  <si>
    <t>Circuit Length Growth</t>
  </si>
  <si>
    <t>Total Output Growth</t>
  </si>
  <si>
    <t>Note - Total Output Growth - weighted average of:</t>
  </si>
  <si>
    <t>Growth</t>
  </si>
  <si>
    <t>Output Growth</t>
  </si>
  <si>
    <t>Distribution Transformer Capacity Growth</t>
  </si>
  <si>
    <t>Substation Capacity Growth</t>
  </si>
  <si>
    <t>Revised SCS OPEX SEM</t>
  </si>
  <si>
    <t>Version 8.0  June 2015</t>
  </si>
</sst>
</file>

<file path=xl/styles.xml><?xml version="1.0" encoding="utf-8"?>
<styleSheet xmlns="http://schemas.openxmlformats.org/spreadsheetml/2006/main">
  <numFmts count="27">
    <numFmt numFmtId="44" formatCode="_-&quot;$&quot;* #,##0.00_-;\-&quot;$&quot;* #,##0.00_-;_-&quot;$&quot;* &quot;-&quot;??_-;_-@_-"/>
    <numFmt numFmtId="43" formatCode="_-* #,##0.00_-;\-* #,##0.00_-;_-* &quot;-&quot;??_-;_-@_-"/>
    <numFmt numFmtId="164" formatCode="_-&quot;$&quot;* #,##0_-;\-&quot;$&quot;* #,##0_-;_-&quot;$&quot;* &quot;-&quot;??_-;_-@_-"/>
    <numFmt numFmtId="165" formatCode="0.0"/>
    <numFmt numFmtId="166" formatCode="0.0%"/>
    <numFmt numFmtId="167" formatCode="_(#,##0_);\(#,##0\);_(#,##0_)"/>
    <numFmt numFmtId="168" formatCode="_(#,##0.00%_);\(#,##0.00%\);_(#,##0.00%_)"/>
    <numFmt numFmtId="169" formatCode="0.00%;\(0.00%\);_(* &quot;-&quot;_);_(@_)"/>
    <numFmt numFmtId="170" formatCode="_-* #,##0.0_-;\-* #,##0.0_-;_-* &quot;-&quot;??_-;_-@_-"/>
    <numFmt numFmtId="171" formatCode="#,##0.0"/>
    <numFmt numFmtId="172" formatCode="#,##0.00000000000000000"/>
    <numFmt numFmtId="173" formatCode="_-* #,##0.0_-;\-* #,##0.0_-;_-* &quot;-&quot;?_-;_-@_-"/>
    <numFmt numFmtId="174" formatCode="_(* #,##0.000_);_(* \(#,##0.000\);_(* &quot;-&quot;??_);_(@_)"/>
    <numFmt numFmtId="175" formatCode="#,##0.000"/>
    <numFmt numFmtId="176" formatCode="_-* #,##0.000_-;\-* #,##0.000_-;_-* &quot;-&quot;??_-;_-@_-"/>
    <numFmt numFmtId="177" formatCode="0.0000"/>
    <numFmt numFmtId="178" formatCode="#,##0.0000"/>
    <numFmt numFmtId="179" formatCode="_-* #,##0.00000_-;\-* #,##0.00000_-;_-* &quot;-&quot;??_-;_-@_-"/>
    <numFmt numFmtId="180" formatCode="0.000"/>
    <numFmt numFmtId="181" formatCode="_(* #,##0.0000_);_(* \(#,##0.0000\);_(* &quot;-&quot;??_);_(@_)"/>
    <numFmt numFmtId="182" formatCode="0.000%"/>
    <numFmt numFmtId="183" formatCode="_-* #,##0.000000_-;\-* #,##0.000000_-;_-* &quot;-&quot;??_-;_-@_-"/>
    <numFmt numFmtId="184" formatCode="_(&quot;$&quot;* #,##0.0_);_(&quot;$&quot;* \(#,##0.0\);_(* &quot;-&quot;??_);_(@_)"/>
    <numFmt numFmtId="185" formatCode="_(* #,##0.0_);_(* \(#,##0.0\);_(* &quot;-&quot;??_);_(@_)"/>
    <numFmt numFmtId="186" formatCode="0.00%;\(0.00%\);_(* &quot;-&quot;??_)"/>
    <numFmt numFmtId="187" formatCode="0.00000"/>
    <numFmt numFmtId="188" formatCode="0.000%;\(0.000%\);_(* &quot;-&quot;_);_(@_)"/>
  </numFmts>
  <fonts count="146">
    <font>
      <sz val="10"/>
      <name val="Arial"/>
    </font>
    <font>
      <sz val="11"/>
      <color theme="1"/>
      <name val="Calibri"/>
      <family val="2"/>
    </font>
    <font>
      <sz val="10"/>
      <name val="Arial"/>
      <family val="2"/>
    </font>
    <font>
      <sz val="8"/>
      <name val="Arial"/>
      <family val="2"/>
    </font>
    <font>
      <b/>
      <sz val="10"/>
      <name val="Arial"/>
      <family val="2"/>
    </font>
    <font>
      <b/>
      <sz val="9"/>
      <name val="Arial"/>
      <family val="2"/>
    </font>
    <font>
      <b/>
      <sz val="8"/>
      <name val="Arial"/>
      <family val="2"/>
    </font>
    <font>
      <u/>
      <sz val="10"/>
      <color indexed="12"/>
      <name val="Arial"/>
      <family val="2"/>
    </font>
    <font>
      <b/>
      <sz val="14"/>
      <name val="Arial"/>
      <family val="2"/>
    </font>
    <font>
      <b/>
      <sz val="14"/>
      <color indexed="15"/>
      <name val="Times New Roman"/>
      <family val="1"/>
    </font>
    <font>
      <sz val="8"/>
      <name val="Arial"/>
      <family val="2"/>
    </font>
    <font>
      <b/>
      <sz val="14"/>
      <color indexed="14"/>
      <name val="Arial"/>
      <family val="2"/>
    </font>
    <font>
      <sz val="9"/>
      <name val="Arial"/>
      <family val="2"/>
    </font>
    <font>
      <sz val="10"/>
      <name val="Arial"/>
      <family val="2"/>
    </font>
    <font>
      <sz val="10"/>
      <color indexed="12"/>
      <name val="Arial"/>
      <family val="2"/>
    </font>
    <font>
      <b/>
      <sz val="10"/>
      <color indexed="12"/>
      <name val="Arial"/>
      <family val="2"/>
    </font>
    <font>
      <b/>
      <sz val="10"/>
      <color indexed="53"/>
      <name val="Arial"/>
      <family val="2"/>
    </font>
    <font>
      <b/>
      <sz val="12"/>
      <name val="Arial"/>
      <family val="2"/>
    </font>
    <font>
      <sz val="8"/>
      <color indexed="12"/>
      <name val="Arial"/>
      <family val="2"/>
    </font>
    <font>
      <b/>
      <i/>
      <sz val="12"/>
      <name val="Arial"/>
      <family val="2"/>
    </font>
    <font>
      <b/>
      <sz val="16"/>
      <name val="Arial"/>
      <family val="2"/>
    </font>
    <font>
      <b/>
      <sz val="10"/>
      <color indexed="9"/>
      <name val="Arial"/>
      <family val="2"/>
    </font>
    <font>
      <b/>
      <sz val="9"/>
      <color indexed="9"/>
      <name val="Arial"/>
      <family val="2"/>
    </font>
    <font>
      <sz val="10"/>
      <color indexed="10"/>
      <name val="Arial"/>
      <family val="2"/>
    </font>
    <font>
      <b/>
      <sz val="7"/>
      <name val="Arial"/>
      <family val="2"/>
    </font>
    <font>
      <sz val="12"/>
      <name val="Arial"/>
      <family val="2"/>
    </font>
    <font>
      <sz val="8"/>
      <color indexed="9"/>
      <name val="Arial"/>
      <family val="2"/>
    </font>
    <font>
      <b/>
      <sz val="8"/>
      <name val="Arial"/>
      <family val="2"/>
    </font>
    <font>
      <b/>
      <sz val="10"/>
      <name val="Arial"/>
      <family val="2"/>
    </font>
    <font>
      <i/>
      <sz val="10"/>
      <color indexed="14"/>
      <name val="Arial"/>
      <family val="2"/>
    </font>
    <font>
      <i/>
      <sz val="8"/>
      <name val="Arial"/>
      <family val="2"/>
    </font>
    <font>
      <sz val="11"/>
      <name val="Arial"/>
      <family val="2"/>
    </font>
    <font>
      <b/>
      <i/>
      <sz val="10"/>
      <color indexed="9"/>
      <name val="Arial"/>
      <family val="2"/>
    </font>
    <font>
      <b/>
      <i/>
      <u/>
      <sz val="10"/>
      <color indexed="9"/>
      <name val="Arial"/>
      <family val="2"/>
    </font>
    <font>
      <sz val="10"/>
      <color indexed="14"/>
      <name val="Arial"/>
      <family val="2"/>
    </font>
    <font>
      <sz val="8"/>
      <color indexed="12"/>
      <name val="Arial"/>
      <family val="2"/>
    </font>
    <font>
      <sz val="10"/>
      <color indexed="61"/>
      <name val="Arial"/>
      <family val="2"/>
    </font>
    <font>
      <i/>
      <u/>
      <sz val="8"/>
      <name val="Arial"/>
      <family val="2"/>
    </font>
    <font>
      <sz val="10"/>
      <color indexed="53"/>
      <name val="Arial"/>
      <family val="2"/>
    </font>
    <font>
      <b/>
      <sz val="8"/>
      <color indexed="81"/>
      <name val="Tahoma"/>
      <family val="2"/>
    </font>
    <font>
      <sz val="8"/>
      <color indexed="81"/>
      <name val="Tahoma"/>
      <family val="2"/>
    </font>
    <font>
      <b/>
      <sz val="14"/>
      <color indexed="60"/>
      <name val="Arial"/>
      <family val="2"/>
    </font>
    <font>
      <b/>
      <sz val="12"/>
      <color indexed="59"/>
      <name val="Arial"/>
      <family val="2"/>
    </font>
    <font>
      <b/>
      <sz val="12"/>
      <color indexed="60"/>
      <name val="Arial"/>
      <family val="2"/>
    </font>
    <font>
      <b/>
      <sz val="8"/>
      <color indexed="60"/>
      <name val="Arial"/>
      <family val="2"/>
    </font>
    <font>
      <sz val="8"/>
      <color indexed="60"/>
      <name val="Arial"/>
      <family val="2"/>
    </font>
    <font>
      <b/>
      <sz val="12"/>
      <color indexed="8"/>
      <name val="Arial"/>
      <family val="2"/>
    </font>
    <font>
      <b/>
      <sz val="10"/>
      <color indexed="60"/>
      <name val="Arial"/>
      <family val="2"/>
    </font>
    <font>
      <b/>
      <sz val="8"/>
      <color indexed="56"/>
      <name val="Arial"/>
      <family val="2"/>
    </font>
    <font>
      <u/>
      <sz val="9"/>
      <color indexed="12"/>
      <name val="Arial"/>
      <family val="2"/>
    </font>
    <font>
      <i/>
      <sz val="10"/>
      <name val="Arial"/>
      <family val="2"/>
    </font>
    <font>
      <b/>
      <u/>
      <sz val="9"/>
      <color indexed="56"/>
      <name val="Arial"/>
      <family val="2"/>
    </font>
    <font>
      <u/>
      <sz val="10"/>
      <color indexed="12"/>
      <name val="Arial"/>
      <family val="2"/>
    </font>
    <font>
      <sz val="8"/>
      <color indexed="9"/>
      <name val="Arial"/>
      <family val="2"/>
    </font>
    <font>
      <b/>
      <sz val="14"/>
      <color indexed="60"/>
      <name val="Arial"/>
      <family val="2"/>
    </font>
    <font>
      <b/>
      <sz val="13"/>
      <color indexed="60"/>
      <name val="Arial"/>
      <family val="2"/>
    </font>
    <font>
      <b/>
      <sz val="12"/>
      <color indexed="8"/>
      <name val="Arial"/>
      <family val="2"/>
    </font>
    <font>
      <b/>
      <sz val="8"/>
      <color indexed="60"/>
      <name val="Arial"/>
      <family val="2"/>
    </font>
    <font>
      <sz val="8"/>
      <color indexed="60"/>
      <name val="Arial"/>
      <family val="2"/>
    </font>
    <font>
      <sz val="10"/>
      <color indexed="60"/>
      <name val="Arial"/>
      <family val="2"/>
    </font>
    <font>
      <sz val="8"/>
      <color indexed="8"/>
      <name val="Arial"/>
      <family val="2"/>
    </font>
    <font>
      <b/>
      <i/>
      <sz val="10"/>
      <name val="Arial"/>
      <family val="2"/>
    </font>
    <font>
      <sz val="10"/>
      <color indexed="22"/>
      <name val="Arial"/>
      <family val="2"/>
    </font>
    <font>
      <sz val="14"/>
      <color indexed="60"/>
      <name val="Arial"/>
      <family val="2"/>
    </font>
    <font>
      <i/>
      <sz val="10"/>
      <color indexed="60"/>
      <name val="Arial"/>
      <family val="2"/>
    </font>
    <font>
      <i/>
      <sz val="10"/>
      <color indexed="22"/>
      <name val="Arial"/>
      <family val="2"/>
    </font>
    <font>
      <b/>
      <sz val="6"/>
      <name val="Arial"/>
      <family val="2"/>
    </font>
    <font>
      <sz val="10"/>
      <color indexed="12"/>
      <name val="Arial"/>
      <family val="2"/>
    </font>
    <font>
      <sz val="10"/>
      <color indexed="63"/>
      <name val="Arial"/>
      <family val="2"/>
    </font>
    <font>
      <b/>
      <sz val="14"/>
      <color indexed="63"/>
      <name val="Arial"/>
      <family val="2"/>
    </font>
    <font>
      <sz val="8"/>
      <color indexed="63"/>
      <name val="Arial"/>
      <family val="2"/>
    </font>
    <font>
      <b/>
      <sz val="10"/>
      <color indexed="63"/>
      <name val="Arial"/>
      <family val="2"/>
    </font>
    <font>
      <b/>
      <sz val="8"/>
      <color indexed="63"/>
      <name val="Arial"/>
      <family val="2"/>
    </font>
    <font>
      <b/>
      <sz val="12"/>
      <color indexed="63"/>
      <name val="Arial"/>
      <family val="2"/>
    </font>
    <font>
      <u/>
      <sz val="10"/>
      <name val="Arial"/>
      <family val="2"/>
    </font>
    <font>
      <b/>
      <sz val="7"/>
      <color indexed="60"/>
      <name val="Arial"/>
      <family val="2"/>
    </font>
    <font>
      <sz val="7"/>
      <color indexed="60"/>
      <name val="Arial"/>
      <family val="2"/>
    </font>
    <font>
      <b/>
      <sz val="15"/>
      <name val="Arial"/>
      <family val="2"/>
    </font>
    <font>
      <b/>
      <u/>
      <sz val="15"/>
      <name val="Arial"/>
      <family val="2"/>
    </font>
    <font>
      <b/>
      <sz val="12"/>
      <name val="Arial"/>
      <family val="2"/>
    </font>
    <font>
      <b/>
      <sz val="14"/>
      <color indexed="9"/>
      <name val="Arial"/>
      <family val="2"/>
    </font>
    <font>
      <b/>
      <sz val="12"/>
      <color indexed="9"/>
      <name val="Arial"/>
      <family val="2"/>
    </font>
    <font>
      <b/>
      <sz val="8"/>
      <color indexed="9"/>
      <name val="Arial"/>
      <family val="2"/>
    </font>
    <font>
      <b/>
      <sz val="10"/>
      <color indexed="9"/>
      <name val="Arial"/>
      <family val="2"/>
    </font>
    <font>
      <sz val="10"/>
      <color indexed="9"/>
      <name val="Arial"/>
      <family val="2"/>
    </font>
    <font>
      <b/>
      <sz val="8"/>
      <color indexed="12"/>
      <name val="Arial"/>
      <family val="2"/>
    </font>
    <font>
      <b/>
      <sz val="20"/>
      <color indexed="12"/>
      <name val="Arial"/>
      <family val="2"/>
    </font>
    <font>
      <u/>
      <sz val="10"/>
      <name val="Arial"/>
      <family val="2"/>
    </font>
    <font>
      <b/>
      <sz val="9"/>
      <color indexed="10"/>
      <name val="Arial"/>
      <family val="2"/>
    </font>
    <font>
      <sz val="10"/>
      <name val="Arial Black"/>
      <family val="2"/>
    </font>
    <font>
      <b/>
      <sz val="10"/>
      <color indexed="10"/>
      <name val="Arial"/>
      <family val="2"/>
    </font>
    <font>
      <sz val="9"/>
      <color indexed="10"/>
      <name val="Arial"/>
      <family val="2"/>
    </font>
    <font>
      <sz val="16"/>
      <color indexed="51"/>
      <name val="Arial Black"/>
      <family val="2"/>
    </font>
    <font>
      <sz val="10"/>
      <color indexed="51"/>
      <name val="Arial Black"/>
      <family val="2"/>
    </font>
    <font>
      <sz val="10"/>
      <color indexed="9"/>
      <name val="Arial Black"/>
      <family val="2"/>
    </font>
    <font>
      <sz val="10"/>
      <color indexed="9"/>
      <name val="Arial"/>
      <family val="2"/>
    </font>
    <font>
      <sz val="9"/>
      <color indexed="10"/>
      <name val="Arial"/>
      <family val="2"/>
    </font>
    <font>
      <sz val="10"/>
      <color theme="0"/>
      <name val="Century Gothic"/>
      <family val="2"/>
    </font>
    <font>
      <sz val="10"/>
      <color theme="1"/>
      <name val="Century Gothic"/>
      <family val="2"/>
    </font>
    <font>
      <sz val="10"/>
      <color rgb="FF00B050"/>
      <name val="Arial"/>
      <family val="2"/>
    </font>
    <font>
      <b/>
      <sz val="10"/>
      <color rgb="FF00B050"/>
      <name val="Arial"/>
      <family val="2"/>
    </font>
    <font>
      <b/>
      <sz val="11"/>
      <color theme="1"/>
      <name val="Calibri"/>
      <family val="2"/>
    </font>
    <font>
      <sz val="10"/>
      <color theme="1"/>
      <name val="Calibri"/>
      <family val="2"/>
    </font>
    <font>
      <sz val="10"/>
      <name val="Calibri"/>
      <family val="2"/>
    </font>
    <font>
      <sz val="10"/>
      <color indexed="12"/>
      <name val="Calibri"/>
      <family val="2"/>
      <scheme val="minor"/>
    </font>
    <font>
      <sz val="8"/>
      <color theme="1"/>
      <name val="Calibri"/>
      <family val="2"/>
    </font>
    <font>
      <u/>
      <sz val="10"/>
      <color theme="10"/>
      <name val="Century Gothic"/>
      <family val="2"/>
    </font>
    <font>
      <b/>
      <sz val="8"/>
      <color indexed="60"/>
      <name val="Calibri"/>
      <family val="2"/>
      <scheme val="minor"/>
    </font>
    <font>
      <b/>
      <sz val="11"/>
      <color theme="0"/>
      <name val="Calibri"/>
      <family val="2"/>
    </font>
    <font>
      <sz val="11"/>
      <color theme="0"/>
      <name val="Calibri"/>
      <family val="2"/>
    </font>
    <font>
      <sz val="10"/>
      <name val="Calibri"/>
      <family val="2"/>
      <scheme val="minor"/>
    </font>
    <font>
      <sz val="10"/>
      <color theme="1"/>
      <name val="Calibri"/>
      <family val="2"/>
      <scheme val="minor"/>
    </font>
    <font>
      <b/>
      <sz val="12"/>
      <color indexed="12"/>
      <name val="Calibri"/>
      <family val="2"/>
      <scheme val="minor"/>
    </font>
    <font>
      <b/>
      <sz val="10"/>
      <name val="Calibri"/>
      <family val="2"/>
      <scheme val="minor"/>
    </font>
    <font>
      <sz val="8"/>
      <name val="Calibri"/>
      <family val="2"/>
      <scheme val="minor"/>
    </font>
    <font>
      <i/>
      <sz val="10"/>
      <name val="Calibri"/>
      <family val="2"/>
      <scheme val="minor"/>
    </font>
    <font>
      <sz val="10"/>
      <color indexed="16"/>
      <name val="Calibri"/>
      <family val="2"/>
      <scheme val="minor"/>
    </font>
    <font>
      <sz val="10"/>
      <color indexed="17"/>
      <name val="Calibri"/>
      <family val="2"/>
      <scheme val="minor"/>
    </font>
    <font>
      <sz val="10"/>
      <color theme="4" tint="-0.249977111117893"/>
      <name val="Calibri"/>
      <family val="2"/>
      <scheme val="minor"/>
    </font>
    <font>
      <sz val="8"/>
      <color theme="1"/>
      <name val="Century Gothic"/>
      <family val="2"/>
    </font>
    <font>
      <b/>
      <sz val="11"/>
      <color theme="0"/>
      <name val="Century Gothic"/>
      <family val="2"/>
    </font>
    <font>
      <sz val="10"/>
      <color rgb="FFFF0000"/>
      <name val="Century Gothic"/>
      <family val="2"/>
    </font>
    <font>
      <sz val="10"/>
      <color rgb="FFC00000"/>
      <name val="Arial"/>
      <family val="2"/>
    </font>
    <font>
      <i/>
      <sz val="10"/>
      <color rgb="FFC00000"/>
      <name val="Arial"/>
      <family val="2"/>
    </font>
    <font>
      <b/>
      <sz val="10"/>
      <color theme="0"/>
      <name val="Century Gothic"/>
      <family val="2"/>
    </font>
    <font>
      <b/>
      <i/>
      <sz val="10"/>
      <color rgb="FFC00000"/>
      <name val="Calibri"/>
      <family val="2"/>
      <scheme val="minor"/>
    </font>
    <font>
      <u/>
      <sz val="10"/>
      <color theme="1"/>
      <name val="Century Gothic"/>
      <family val="2"/>
    </font>
    <font>
      <b/>
      <sz val="10"/>
      <color indexed="12"/>
      <name val="Calibri"/>
      <family val="2"/>
    </font>
    <font>
      <b/>
      <sz val="10"/>
      <color theme="0"/>
      <name val="Calibri"/>
      <family val="2"/>
    </font>
    <font>
      <u/>
      <sz val="10"/>
      <color theme="1"/>
      <name val="Calibri"/>
      <family val="2"/>
    </font>
    <font>
      <b/>
      <sz val="10"/>
      <color theme="1"/>
      <name val="Calibri"/>
      <family val="2"/>
    </font>
    <font>
      <b/>
      <u/>
      <sz val="10"/>
      <color theme="10"/>
      <name val="Calibri"/>
      <family val="2"/>
    </font>
    <font>
      <sz val="10"/>
      <color theme="0"/>
      <name val="Calibri"/>
      <family val="2"/>
    </font>
    <font>
      <sz val="10"/>
      <color indexed="12"/>
      <name val="Calibri"/>
      <family val="2"/>
    </font>
    <font>
      <b/>
      <sz val="10"/>
      <name val="Calibri"/>
      <family val="2"/>
    </font>
    <font>
      <b/>
      <sz val="12"/>
      <color theme="9" tint="-0.249977111117893"/>
      <name val="Calibri"/>
      <family val="2"/>
    </font>
    <font>
      <b/>
      <sz val="12"/>
      <color theme="1"/>
      <name val="Calibri"/>
      <family val="2"/>
    </font>
    <font>
      <sz val="10"/>
      <color theme="3" tint="0.39997558519241921"/>
      <name val="Calibri"/>
      <family val="2"/>
    </font>
    <font>
      <b/>
      <sz val="9"/>
      <color indexed="81"/>
      <name val="Tahoma"/>
      <family val="2"/>
    </font>
    <font>
      <sz val="9"/>
      <color indexed="81"/>
      <name val="Tahoma"/>
      <family val="2"/>
    </font>
    <font>
      <sz val="8"/>
      <color indexed="57"/>
      <name val="Arial"/>
      <family val="2"/>
    </font>
    <font>
      <sz val="10"/>
      <color theme="3" tint="0.39997558519241921"/>
      <name val="Calibri"/>
      <family val="2"/>
      <scheme val="minor"/>
    </font>
    <font>
      <i/>
      <sz val="10"/>
      <color theme="3" tint="0.39997558519241921"/>
      <name val="Calibri"/>
      <family val="2"/>
      <scheme val="minor"/>
    </font>
    <font>
      <b/>
      <sz val="10"/>
      <color theme="3" tint="0.39997558519241921"/>
      <name val="Calibri"/>
      <family val="2"/>
      <scheme val="minor"/>
    </font>
    <font>
      <sz val="10"/>
      <color theme="3" tint="0.39997558519241921"/>
      <name val="Arial"/>
      <family val="2"/>
    </font>
    <font>
      <b/>
      <sz val="9"/>
      <color theme="0" tint="-0.249977111117893"/>
      <name val="Arial"/>
      <family val="2"/>
    </font>
  </fonts>
  <fills count="34">
    <fill>
      <patternFill patternType="none"/>
    </fill>
    <fill>
      <patternFill patternType="gray125"/>
    </fill>
    <fill>
      <patternFill patternType="solid">
        <fgColor indexed="22"/>
        <bgColor indexed="64"/>
      </patternFill>
    </fill>
    <fill>
      <patternFill patternType="solid">
        <fgColor indexed="21"/>
      </patternFill>
    </fill>
    <fill>
      <patternFill patternType="solid">
        <fgColor indexed="18"/>
        <bgColor indexed="64"/>
      </patternFill>
    </fill>
    <fill>
      <patternFill patternType="solid">
        <fgColor indexed="63"/>
        <bgColor indexed="64"/>
      </patternFill>
    </fill>
    <fill>
      <patternFill patternType="solid">
        <fgColor indexed="12"/>
        <bgColor indexed="64"/>
      </patternFill>
    </fill>
    <fill>
      <patternFill patternType="gray125">
        <fgColor indexed="8"/>
      </patternFill>
    </fill>
    <fill>
      <patternFill patternType="solid">
        <fgColor indexed="65"/>
        <bgColor indexed="8"/>
      </patternFill>
    </fill>
    <fill>
      <patternFill patternType="solid">
        <fgColor indexed="11"/>
        <bgColor indexed="64"/>
      </patternFill>
    </fill>
    <fill>
      <patternFill patternType="solid">
        <fgColor indexed="53"/>
        <bgColor indexed="64"/>
      </patternFill>
    </fill>
    <fill>
      <patternFill patternType="solid">
        <fgColor indexed="8"/>
        <bgColor indexed="64"/>
      </patternFill>
    </fill>
    <fill>
      <patternFill patternType="solid">
        <fgColor indexed="18"/>
        <bgColor indexed="13"/>
      </patternFill>
    </fill>
    <fill>
      <patternFill patternType="solid">
        <fgColor indexed="13"/>
        <bgColor indexed="64"/>
      </patternFill>
    </fill>
    <fill>
      <patternFill patternType="solid">
        <fgColor indexed="22"/>
        <bgColor indexed="13"/>
      </patternFill>
    </fill>
    <fill>
      <patternFill patternType="solid">
        <fgColor indexed="43"/>
        <bgColor indexed="64"/>
      </patternFill>
    </fill>
    <fill>
      <patternFill patternType="solid">
        <fgColor indexed="51"/>
        <bgColor indexed="64"/>
      </patternFill>
    </fill>
    <fill>
      <patternFill patternType="solid">
        <fgColor indexed="41"/>
        <bgColor indexed="64"/>
      </patternFill>
    </fill>
    <fill>
      <patternFill patternType="solid">
        <fgColor indexed="41"/>
        <bgColor indexed="8"/>
      </patternFill>
    </fill>
    <fill>
      <patternFill patternType="solid">
        <fgColor indexed="5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rgb="FFFFFF99"/>
        <bgColor indexed="64"/>
      </patternFill>
    </fill>
    <fill>
      <patternFill patternType="solid">
        <fgColor theme="7" tint="0.39997558519241921"/>
        <bgColor indexed="64"/>
      </patternFill>
    </fill>
    <fill>
      <patternFill patternType="solid">
        <fgColor indexed="46"/>
        <bgColor indexed="64"/>
      </patternFill>
    </fill>
  </fills>
  <borders count="8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right style="medium">
        <color indexed="52"/>
      </right>
      <top style="medium">
        <color indexed="52"/>
      </top>
      <bottom style="medium">
        <color indexed="52"/>
      </bottom>
      <diagonal/>
    </border>
    <border>
      <left/>
      <right/>
      <top style="thin">
        <color indexed="64"/>
      </top>
      <bottom style="thin">
        <color indexed="64"/>
      </bottom>
      <diagonal/>
    </border>
    <border>
      <left style="thin">
        <color indexed="53"/>
      </left>
      <right/>
      <top style="thin">
        <color indexed="53"/>
      </top>
      <bottom/>
      <diagonal/>
    </border>
    <border>
      <left/>
      <right/>
      <top style="medium">
        <color indexed="52"/>
      </top>
      <bottom/>
      <diagonal/>
    </border>
    <border>
      <left style="thin">
        <color indexed="53"/>
      </left>
      <right/>
      <top/>
      <bottom/>
      <diagonal/>
    </border>
    <border>
      <left/>
      <right/>
      <top/>
      <bottom style="medium">
        <color indexed="52"/>
      </bottom>
      <diagonal/>
    </border>
    <border>
      <left style="thin">
        <color indexed="53"/>
      </left>
      <right/>
      <top/>
      <bottom style="thin">
        <color indexed="53"/>
      </bottom>
      <diagonal/>
    </border>
    <border>
      <left/>
      <right/>
      <top/>
      <bottom style="thin">
        <color indexed="53"/>
      </bottom>
      <diagonal/>
    </border>
    <border>
      <left/>
      <right/>
      <top/>
      <bottom style="medium">
        <color indexed="64"/>
      </bottom>
      <diagonal/>
    </border>
    <border>
      <left/>
      <right/>
      <top style="thin">
        <color indexed="64"/>
      </top>
      <bottom style="medium">
        <color indexed="64"/>
      </bottom>
      <diagonal/>
    </border>
    <border>
      <left/>
      <right style="thin">
        <color indexed="18"/>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53"/>
      </left>
      <right style="thin">
        <color indexed="53"/>
      </right>
      <top style="thin">
        <color indexed="53"/>
      </top>
      <bottom style="thin">
        <color indexed="53"/>
      </bottom>
      <diagonal/>
    </border>
    <border>
      <left/>
      <right style="thin">
        <color indexed="53"/>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top style="medium">
        <color indexed="53"/>
      </top>
      <bottom/>
      <diagonal/>
    </border>
    <border>
      <left/>
      <right style="medium">
        <color indexed="53"/>
      </right>
      <top style="medium">
        <color indexed="53"/>
      </top>
      <bottom/>
      <diagonal/>
    </border>
    <border>
      <left style="medium">
        <color indexed="53"/>
      </left>
      <right/>
      <top/>
      <bottom/>
      <diagonal/>
    </border>
    <border>
      <left style="thin">
        <color indexed="53"/>
      </left>
      <right style="medium">
        <color indexed="53"/>
      </right>
      <top style="thin">
        <color indexed="53"/>
      </top>
      <bottom style="thin">
        <color indexed="53"/>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right style="medium">
        <color indexed="53"/>
      </right>
      <top/>
      <bottom/>
      <diagonal/>
    </border>
    <border>
      <left style="medium">
        <color indexed="53"/>
      </left>
      <right/>
      <top style="medium">
        <color indexed="53"/>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right style="thin">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53"/>
      </left>
      <right style="thin">
        <color indexed="53"/>
      </right>
      <top/>
      <bottom style="thin">
        <color indexed="53"/>
      </bottom>
      <diagonal/>
    </border>
    <border>
      <left/>
      <right style="thin">
        <color indexed="53"/>
      </right>
      <top/>
      <bottom/>
      <diagonal/>
    </border>
    <border>
      <left style="thin">
        <color indexed="53"/>
      </left>
      <right/>
      <top style="thin">
        <color indexed="64"/>
      </top>
      <bottom style="thin">
        <color indexed="64"/>
      </bottom>
      <diagonal/>
    </border>
    <border>
      <left style="thin">
        <color indexed="53"/>
      </left>
      <right/>
      <top style="thin">
        <color indexed="64"/>
      </top>
      <bottom style="thin">
        <color indexed="53"/>
      </bottom>
      <diagonal/>
    </border>
    <border>
      <left/>
      <right/>
      <top style="thin">
        <color indexed="64"/>
      </top>
      <bottom style="thin">
        <color indexed="53"/>
      </bottom>
      <diagonal/>
    </border>
    <border>
      <left/>
      <right style="thin">
        <color indexed="53"/>
      </right>
      <top style="thin">
        <color indexed="64"/>
      </top>
      <bottom style="thin">
        <color indexed="53"/>
      </bottom>
      <diagonal/>
    </border>
    <border>
      <left/>
      <right/>
      <top style="thin">
        <color indexed="53"/>
      </top>
      <bottom/>
      <diagonal/>
    </border>
    <border>
      <left/>
      <right style="thin">
        <color indexed="53"/>
      </right>
      <top style="thin">
        <color indexed="53"/>
      </top>
      <bottom/>
      <diagonal/>
    </border>
    <border>
      <left/>
      <right style="medium">
        <color indexed="64"/>
      </right>
      <top/>
      <bottom/>
      <diagonal/>
    </border>
    <border>
      <left style="thin">
        <color indexed="64"/>
      </left>
      <right style="thin">
        <color indexed="64"/>
      </right>
      <top/>
      <bottom style="thin">
        <color indexed="64"/>
      </bottom>
      <diagonal/>
    </border>
    <border>
      <left/>
      <right style="thin">
        <color indexed="64"/>
      </right>
      <top style="thick">
        <color indexed="64"/>
      </top>
      <bottom/>
      <diagonal/>
    </border>
    <border>
      <left/>
      <right/>
      <top style="thick">
        <color indexed="64"/>
      </top>
      <bottom/>
      <diagonal/>
    </border>
    <border>
      <left/>
      <right/>
      <top style="medium">
        <color auto="1"/>
      </top>
      <bottom/>
      <diagonal/>
    </border>
  </borders>
  <cellStyleXfs count="27">
    <xf numFmtId="0" fontId="0" fillId="0" borderId="0"/>
    <xf numFmtId="43" fontId="2" fillId="0" borderId="0" applyFont="0" applyFill="0" applyBorder="0" applyAlignment="0" applyProtection="0"/>
    <xf numFmtId="44" fontId="2" fillId="0" borderId="0" applyFont="0" applyFill="0" applyBorder="0" applyAlignment="0" applyProtection="0"/>
    <xf numFmtId="0" fontId="4" fillId="0" borderId="0" applyFill="0" applyBorder="0" applyAlignment="0"/>
    <xf numFmtId="0" fontId="5" fillId="0" borderId="0" applyFill="0" applyBorder="0" applyAlignment="0"/>
    <xf numFmtId="0" fontId="6" fillId="0" borderId="0" applyFill="0" applyBorder="0" applyAlignment="0"/>
    <xf numFmtId="0" fontId="3" fillId="0" borderId="0" applyFill="0" applyBorder="0" applyAlignment="0"/>
    <xf numFmtId="0" fontId="7" fillId="0" borderId="0" applyNumberFormat="0" applyFill="0" applyBorder="0" applyAlignment="0" applyProtection="0">
      <alignment vertical="top"/>
      <protection locked="0"/>
    </xf>
    <xf numFmtId="9" fontId="2" fillId="0" borderId="0" applyFont="0" applyFill="0" applyBorder="0" applyAlignment="0" applyProtection="0"/>
    <xf numFmtId="0" fontId="98" fillId="24" borderId="0" applyNumberFormat="0" applyBorder="0" applyAlignment="0" applyProtection="0"/>
    <xf numFmtId="0" fontId="98" fillId="23" borderId="0" applyNumberFormat="0" applyBorder="0" applyAlignment="0" applyProtection="0"/>
    <xf numFmtId="0" fontId="98" fillId="20" borderId="0" applyNumberFormat="0" applyBorder="0" applyAlignment="0" applyProtection="0"/>
    <xf numFmtId="0" fontId="97" fillId="22" borderId="0" applyNumberFormat="0" applyBorder="0" applyAlignment="0" applyProtection="0"/>
    <xf numFmtId="0" fontId="97" fillId="21" borderId="0" applyNumberFormat="0" applyBorder="0" applyAlignment="0" applyProtection="0"/>
    <xf numFmtId="38" fontId="9" fillId="3" borderId="0" applyNumberFormat="0" applyFill="0" applyBorder="0" applyProtection="0">
      <alignment horizontal="left" vertical="center"/>
    </xf>
    <xf numFmtId="0" fontId="104" fillId="26" borderId="0">
      <alignment horizontal="center"/>
    </xf>
    <xf numFmtId="0" fontId="109" fillId="27" borderId="0" applyNumberFormat="0" applyBorder="0" applyAlignment="0" applyProtection="0"/>
    <xf numFmtId="0" fontId="1" fillId="28" borderId="0" applyNumberFormat="0" applyBorder="0" applyAlignment="0" applyProtection="0"/>
    <xf numFmtId="0" fontId="98" fillId="0" borderId="0"/>
    <xf numFmtId="0" fontId="97" fillId="29" borderId="0" applyNumberFormat="0" applyBorder="0" applyAlignment="0" applyProtection="0"/>
    <xf numFmtId="184" fontId="2" fillId="0" borderId="0" applyFont="0" applyFill="0" applyBorder="0" applyAlignment="0" applyProtection="0"/>
    <xf numFmtId="185" fontId="2" fillId="0" borderId="0" applyFont="0" applyFill="0" applyBorder="0" applyAlignment="0" applyProtection="0"/>
    <xf numFmtId="0" fontId="106" fillId="0" borderId="0" applyNumberFormat="0" applyFill="0" applyBorder="0" applyAlignment="0" applyProtection="0">
      <alignment vertical="top"/>
      <protection locked="0"/>
    </xf>
    <xf numFmtId="186" fontId="2" fillId="0" borderId="0" applyFont="0" applyFill="0" applyBorder="0" applyAlignment="0" applyProtection="0"/>
    <xf numFmtId="0" fontId="104" fillId="0" borderId="0">
      <alignment horizontal="center"/>
    </xf>
    <xf numFmtId="0" fontId="98" fillId="30" borderId="0" applyNumberFormat="0" applyBorder="0" applyAlignment="0" applyProtection="0"/>
    <xf numFmtId="0" fontId="133" fillId="31" borderId="0">
      <alignment horizontal="center"/>
    </xf>
  </cellStyleXfs>
  <cellXfs count="897">
    <xf numFmtId="0" fontId="0" fillId="0" borderId="0" xfId="0"/>
    <xf numFmtId="0" fontId="11" fillId="0" borderId="0" xfId="0" applyFont="1" applyFill="1"/>
    <xf numFmtId="0" fontId="4" fillId="0" borderId="0" xfId="0" applyFont="1"/>
    <xf numFmtId="0" fontId="0" fillId="2" borderId="0" xfId="0" applyFill="1"/>
    <xf numFmtId="0" fontId="0" fillId="0" borderId="0" xfId="0" applyAlignment="1">
      <alignment horizontal="right"/>
    </xf>
    <xf numFmtId="0" fontId="0" fillId="0" borderId="0" xfId="0" applyAlignment="1">
      <alignment horizontal="center"/>
    </xf>
    <xf numFmtId="0" fontId="19" fillId="2" borderId="0" xfId="0" applyFont="1" applyFill="1"/>
    <xf numFmtId="0" fontId="20" fillId="0" borderId="0" xfId="0" applyFont="1"/>
    <xf numFmtId="0" fontId="0" fillId="0" borderId="3" xfId="0" applyBorder="1" applyAlignment="1"/>
    <xf numFmtId="0" fontId="0" fillId="0" borderId="4" xfId="0" applyBorder="1" applyAlignment="1"/>
    <xf numFmtId="0" fontId="21" fillId="4" borderId="5" xfId="0" applyFont="1" applyFill="1" applyBorder="1" applyAlignment="1">
      <alignment horizontal="left" vertical="top" wrapText="1"/>
    </xf>
    <xf numFmtId="3" fontId="3" fillId="0" borderId="6" xfId="0" applyNumberFormat="1" applyFont="1" applyFill="1" applyBorder="1" applyAlignment="1" applyProtection="1">
      <alignment horizontal="right" vertical="top" wrapText="1"/>
      <protection locked="0"/>
    </xf>
    <xf numFmtId="0" fontId="13" fillId="0" borderId="7" xfId="0" applyFont="1" applyBorder="1" applyAlignment="1">
      <alignment horizontal="left" vertical="top" wrapText="1" indent="1"/>
    </xf>
    <xf numFmtId="0" fontId="12" fillId="0" borderId="7" xfId="0" applyFont="1" applyBorder="1" applyAlignment="1">
      <alignment horizontal="left" vertical="top" wrapText="1" indent="3"/>
    </xf>
    <xf numFmtId="0" fontId="4" fillId="0" borderId="7" xfId="0" applyFont="1" applyBorder="1" applyAlignment="1">
      <alignment horizontal="left" vertical="top" wrapText="1" indent="1"/>
    </xf>
    <xf numFmtId="0" fontId="4" fillId="0" borderId="7" xfId="0" applyFont="1" applyBorder="1" applyAlignment="1">
      <alignment horizontal="left" indent="2"/>
    </xf>
    <xf numFmtId="3" fontId="3" fillId="0" borderId="6" xfId="0" applyNumberFormat="1" applyFont="1" applyBorder="1" applyAlignment="1">
      <alignment horizontal="right" vertical="top" wrapText="1"/>
    </xf>
    <xf numFmtId="3" fontId="0" fillId="0" borderId="0" xfId="0" applyNumberFormat="1"/>
    <xf numFmtId="0" fontId="4" fillId="0" borderId="8" xfId="0" applyFont="1" applyBorder="1" applyAlignment="1">
      <alignment horizontal="left" vertical="top" wrapText="1"/>
    </xf>
    <xf numFmtId="0" fontId="3" fillId="2" borderId="0" xfId="0" applyFont="1" applyFill="1"/>
    <xf numFmtId="0" fontId="24" fillId="2" borderId="0" xfId="0" applyFont="1" applyFill="1" applyAlignment="1">
      <alignment horizontal="right"/>
    </xf>
    <xf numFmtId="0" fontId="0" fillId="0" borderId="0" xfId="0" applyFill="1"/>
    <xf numFmtId="0" fontId="25" fillId="2" borderId="0" xfId="0" applyFont="1" applyFill="1"/>
    <xf numFmtId="0" fontId="22" fillId="2" borderId="0" xfId="0" applyFont="1" applyFill="1" applyBorder="1" applyAlignment="1">
      <alignment horizontal="center" vertical="top" wrapText="1"/>
    </xf>
    <xf numFmtId="0" fontId="21" fillId="5" borderId="0" xfId="3" applyFont="1" applyFill="1" applyAlignment="1">
      <alignment vertical="center"/>
    </xf>
    <xf numFmtId="0" fontId="26" fillId="5" borderId="0" xfId="0" applyFont="1" applyFill="1"/>
    <xf numFmtId="0" fontId="22" fillId="5" borderId="0" xfId="0" applyFont="1" applyFill="1" applyBorder="1" applyAlignment="1">
      <alignment horizontal="center" vertical="top" wrapText="1"/>
    </xf>
    <xf numFmtId="0" fontId="6" fillId="2" borderId="0" xfId="5" applyFont="1" applyFill="1" applyBorder="1" applyAlignment="1">
      <alignment horizontal="center" vertical="top" wrapText="1"/>
    </xf>
    <xf numFmtId="0" fontId="27" fillId="2" borderId="0" xfId="0" applyFont="1" applyFill="1"/>
    <xf numFmtId="168" fontId="10" fillId="0" borderId="0" xfId="0" applyNumberFormat="1" applyFont="1" applyFill="1"/>
    <xf numFmtId="168" fontId="10" fillId="2" borderId="0" xfId="0" applyNumberFormat="1" applyFont="1" applyFill="1"/>
    <xf numFmtId="0" fontId="13" fillId="2" borderId="0" xfId="3" applyFont="1" applyFill="1" applyAlignment="1">
      <alignment vertical="center"/>
    </xf>
    <xf numFmtId="0" fontId="26" fillId="2" borderId="0" xfId="0" applyFont="1" applyFill="1"/>
    <xf numFmtId="0" fontId="6" fillId="2" borderId="0" xfId="0" applyFont="1" applyFill="1"/>
    <xf numFmtId="0" fontId="6" fillId="2" borderId="0" xfId="0" applyFont="1" applyFill="1" applyAlignment="1">
      <alignment wrapText="1"/>
    </xf>
    <xf numFmtId="0" fontId="28" fillId="2" borderId="0" xfId="0" applyFont="1" applyFill="1"/>
    <xf numFmtId="0" fontId="3" fillId="0" borderId="0" xfId="0" applyFont="1" applyFill="1"/>
    <xf numFmtId="0" fontId="12" fillId="2" borderId="0" xfId="4" applyFont="1" applyFill="1" applyAlignment="1">
      <alignment vertical="center"/>
    </xf>
    <xf numFmtId="0" fontId="3" fillId="0" borderId="0" xfId="0" applyFont="1" applyFill="1" applyAlignment="1">
      <alignment wrapText="1"/>
    </xf>
    <xf numFmtId="0" fontId="0" fillId="0" borderId="0" xfId="0" applyAlignment="1">
      <alignment wrapText="1"/>
    </xf>
    <xf numFmtId="0" fontId="6" fillId="2" borderId="0" xfId="5" applyFont="1" applyFill="1" applyAlignment="1">
      <alignment vertical="center"/>
    </xf>
    <xf numFmtId="0" fontId="3" fillId="2" borderId="0" xfId="6" quotePrefix="1" applyFont="1" applyFill="1" applyAlignment="1">
      <alignment horizontal="right"/>
    </xf>
    <xf numFmtId="0" fontId="13" fillId="0" borderId="0" xfId="0" applyFont="1" applyFill="1"/>
    <xf numFmtId="0" fontId="29" fillId="6" borderId="0" xfId="0" applyFont="1" applyFill="1" applyBorder="1"/>
    <xf numFmtId="0" fontId="13" fillId="6" borderId="0" xfId="0" applyFont="1" applyFill="1"/>
    <xf numFmtId="0" fontId="13" fillId="6" borderId="0" xfId="0" applyFont="1" applyFill="1" applyBorder="1"/>
    <xf numFmtId="0" fontId="4" fillId="2" borderId="0" xfId="0" applyFont="1" applyFill="1" applyAlignment="1">
      <alignment wrapText="1"/>
    </xf>
    <xf numFmtId="0" fontId="13" fillId="0" borderId="0" xfId="4" applyFont="1" applyFill="1" applyAlignment="1">
      <alignment vertical="center"/>
    </xf>
    <xf numFmtId="0" fontId="13" fillId="0" borderId="0" xfId="4" applyFont="1" applyFill="1" applyAlignment="1">
      <alignment vertical="center" wrapText="1"/>
    </xf>
    <xf numFmtId="0" fontId="13" fillId="0" borderId="0" xfId="0" applyFont="1" applyAlignment="1">
      <alignment wrapText="1"/>
    </xf>
    <xf numFmtId="0" fontId="4" fillId="2" borderId="0" xfId="0" applyFont="1" applyFill="1" applyAlignment="1">
      <alignment horizontal="left" wrapText="1"/>
    </xf>
    <xf numFmtId="0" fontId="13" fillId="0" borderId="0" xfId="4" applyFont="1" applyFill="1" applyAlignment="1">
      <alignment horizontal="left" vertical="center" wrapText="1"/>
    </xf>
    <xf numFmtId="0" fontId="13" fillId="0" borderId="0" xfId="0" applyFont="1" applyBorder="1" applyAlignment="1">
      <alignment wrapText="1"/>
    </xf>
    <xf numFmtId="0" fontId="4" fillId="2" borderId="0" xfId="0" applyFont="1" applyFill="1" applyAlignment="1">
      <alignment horizontal="right" wrapText="1"/>
    </xf>
    <xf numFmtId="0" fontId="4" fillId="2" borderId="0" xfId="0" applyFont="1" applyFill="1" applyAlignment="1">
      <alignment horizontal="right"/>
    </xf>
    <xf numFmtId="0" fontId="13" fillId="0" borderId="0" xfId="0" applyFont="1"/>
    <xf numFmtId="0" fontId="4" fillId="0" borderId="9" xfId="0" applyFont="1" applyFill="1" applyBorder="1" applyAlignment="1">
      <alignment horizontal="left" vertical="top" wrapText="1"/>
    </xf>
    <xf numFmtId="0" fontId="4" fillId="0" borderId="9" xfId="0" applyFont="1" applyFill="1" applyBorder="1" applyAlignment="1">
      <alignment horizontal="center" vertical="top" wrapText="1"/>
    </xf>
    <xf numFmtId="0" fontId="4" fillId="0" borderId="0" xfId="0" applyFont="1" applyFill="1" applyBorder="1"/>
    <xf numFmtId="44" fontId="4" fillId="0" borderId="0" xfId="2" applyFont="1" applyFill="1" applyBorder="1" applyAlignment="1">
      <alignment horizontal="right" vertical="top" wrapText="1"/>
    </xf>
    <xf numFmtId="0" fontId="4" fillId="0" borderId="0" xfId="0" applyFont="1" applyFill="1"/>
    <xf numFmtId="0" fontId="3" fillId="0" borderId="0" xfId="0" applyFont="1" applyFill="1" applyBorder="1" applyAlignment="1">
      <alignment horizontal="left" vertical="top" wrapText="1" indent="1"/>
    </xf>
    <xf numFmtId="0" fontId="13" fillId="7" borderId="0" xfId="0" applyFont="1" applyFill="1"/>
    <xf numFmtId="0" fontId="31" fillId="0" borderId="0" xfId="0" applyFont="1" applyFill="1"/>
    <xf numFmtId="0" fontId="31" fillId="0" borderId="0" xfId="0" applyFont="1"/>
    <xf numFmtId="164" fontId="13" fillId="7" borderId="0" xfId="2" applyNumberFormat="1" applyFont="1" applyFill="1" applyBorder="1" applyAlignment="1" applyProtection="1">
      <alignment horizontal="right" vertical="top" wrapText="1"/>
      <protection locked="0"/>
    </xf>
    <xf numFmtId="0" fontId="13" fillId="0" borderId="0" xfId="0" applyFont="1" applyBorder="1"/>
    <xf numFmtId="0" fontId="0" fillId="0" borderId="0" xfId="0" applyBorder="1"/>
    <xf numFmtId="0" fontId="13" fillId="5" borderId="0" xfId="0" applyFont="1" applyFill="1"/>
    <xf numFmtId="0" fontId="13" fillId="5" borderId="0" xfId="0" applyFont="1" applyFill="1" applyBorder="1"/>
    <xf numFmtId="0" fontId="0" fillId="5" borderId="0" xfId="0" applyFill="1"/>
    <xf numFmtId="0" fontId="0" fillId="0" borderId="10" xfId="0" applyBorder="1" applyAlignment="1"/>
    <xf numFmtId="0" fontId="34" fillId="0" borderId="0" xfId="0" applyFont="1" applyFill="1"/>
    <xf numFmtId="0" fontId="4" fillId="0" borderId="0" xfId="0" applyFont="1" applyFill="1" applyAlignment="1">
      <alignment horizontal="right"/>
    </xf>
    <xf numFmtId="0" fontId="17" fillId="0" borderId="0" xfId="0" applyFont="1" applyFill="1"/>
    <xf numFmtId="0" fontId="4" fillId="0" borderId="9" xfId="0" applyFont="1" applyFill="1" applyBorder="1" applyAlignment="1">
      <alignment horizontal="center" vertical="center" wrapText="1"/>
    </xf>
    <xf numFmtId="0" fontId="4" fillId="0" borderId="0" xfId="0" applyFont="1" applyFill="1" applyBorder="1" applyAlignment="1">
      <alignment horizontal="center" vertical="top" wrapText="1"/>
    </xf>
    <xf numFmtId="0" fontId="11" fillId="0" borderId="0" xfId="0" applyFont="1" applyFill="1" applyBorder="1"/>
    <xf numFmtId="0" fontId="13" fillId="0" borderId="0" xfId="0" applyFont="1" applyFill="1" applyBorder="1"/>
    <xf numFmtId="0" fontId="15" fillId="0" borderId="0" xfId="0" applyFont="1" applyFill="1" applyBorder="1"/>
    <xf numFmtId="166" fontId="13" fillId="0" borderId="0" xfId="8" applyNumberFormat="1" applyFont="1" applyFill="1" applyBorder="1" applyAlignment="1" applyProtection="1">
      <alignment horizontal="right" vertical="top" wrapText="1"/>
      <protection locked="0"/>
    </xf>
    <xf numFmtId="0" fontId="3" fillId="0" borderId="0" xfId="0" applyFont="1" applyFill="1" applyBorder="1"/>
    <xf numFmtId="170" fontId="13" fillId="0" borderId="0" xfId="0" applyNumberFormat="1" applyFont="1" applyFill="1" applyBorder="1"/>
    <xf numFmtId="0" fontId="3" fillId="0" borderId="11" xfId="0" applyFont="1" applyFill="1" applyBorder="1" applyAlignment="1">
      <alignment horizontal="left" vertical="top" wrapText="1" indent="1"/>
    </xf>
    <xf numFmtId="0" fontId="4" fillId="0" borderId="0" xfId="0" applyFont="1" applyFill="1" applyBorder="1" applyAlignment="1">
      <alignment horizontal="left" vertical="center" wrapText="1"/>
    </xf>
    <xf numFmtId="0" fontId="4" fillId="0" borderId="0" xfId="0" applyFont="1" applyBorder="1" applyAlignment="1">
      <alignment horizontal="center" vertical="center"/>
    </xf>
    <xf numFmtId="0" fontId="0" fillId="0" borderId="0" xfId="0" applyFill="1" applyAlignment="1">
      <alignment vertical="center"/>
    </xf>
    <xf numFmtId="0" fontId="0" fillId="0" borderId="0" xfId="0" applyAlignment="1">
      <alignment vertical="center"/>
    </xf>
    <xf numFmtId="0" fontId="4" fillId="0" borderId="12" xfId="0" applyFont="1" applyFill="1" applyBorder="1" applyAlignment="1">
      <alignment horizontal="left" vertical="top" wrapText="1"/>
    </xf>
    <xf numFmtId="3" fontId="4" fillId="0" borderId="12" xfId="2" applyNumberFormat="1" applyFont="1" applyFill="1" applyBorder="1" applyAlignment="1">
      <alignment horizontal="right" vertical="top" wrapText="1"/>
    </xf>
    <xf numFmtId="0" fontId="13" fillId="7" borderId="0" xfId="0" applyFont="1" applyFill="1" applyBorder="1"/>
    <xf numFmtId="0" fontId="4" fillId="0" borderId="13" xfId="0" applyFont="1" applyBorder="1" applyAlignment="1">
      <alignment horizontal="center" vertical="center"/>
    </xf>
    <xf numFmtId="0" fontId="4" fillId="0" borderId="0" xfId="0" applyFont="1" applyFill="1" applyBorder="1" applyAlignment="1">
      <alignment horizontal="left" vertical="top" wrapText="1"/>
    </xf>
    <xf numFmtId="173" fontId="13" fillId="0" borderId="0" xfId="0" applyNumberFormat="1" applyFont="1" applyFill="1"/>
    <xf numFmtId="0" fontId="4" fillId="0" borderId="12" xfId="0" applyFont="1" applyFill="1" applyBorder="1" applyAlignment="1">
      <alignment horizontal="left" vertical="center" wrapText="1"/>
    </xf>
    <xf numFmtId="3" fontId="4" fillId="0" borderId="0" xfId="2" applyNumberFormat="1" applyFont="1" applyFill="1" applyBorder="1" applyAlignment="1">
      <alignment horizontal="right" vertical="top" wrapText="1"/>
    </xf>
    <xf numFmtId="0" fontId="4" fillId="0" borderId="0" xfId="0" applyFont="1" applyBorder="1" applyAlignment="1">
      <alignment horizontal="center"/>
    </xf>
    <xf numFmtId="0" fontId="4" fillId="0" borderId="11" xfId="0" applyFont="1" applyFill="1" applyBorder="1" applyAlignment="1">
      <alignment horizontal="left" vertical="center" wrapText="1"/>
    </xf>
    <xf numFmtId="0" fontId="4" fillId="0" borderId="0" xfId="0" applyFont="1" applyFill="1" applyBorder="1" applyAlignment="1">
      <alignment horizontal="left" vertical="top"/>
    </xf>
    <xf numFmtId="0" fontId="4" fillId="0" borderId="14" xfId="0" applyFont="1" applyFill="1" applyBorder="1" applyAlignment="1">
      <alignment horizontal="left" vertical="center" wrapText="1"/>
    </xf>
    <xf numFmtId="172" fontId="0" fillId="0" borderId="0" xfId="0" applyNumberFormat="1"/>
    <xf numFmtId="0" fontId="14" fillId="0" borderId="0" xfId="0" applyFont="1" applyFill="1" applyBorder="1" applyAlignment="1">
      <alignment horizontal="left" indent="2"/>
    </xf>
    <xf numFmtId="0" fontId="14" fillId="0" borderId="0" xfId="0" applyFont="1" applyFill="1"/>
    <xf numFmtId="169" fontId="13" fillId="0" borderId="0" xfId="8" applyNumberFormat="1" applyFont="1" applyFill="1"/>
    <xf numFmtId="169" fontId="13" fillId="0" borderId="0" xfId="8" applyNumberFormat="1" applyFont="1" applyFill="1" applyBorder="1"/>
    <xf numFmtId="169" fontId="13" fillId="0" borderId="0" xfId="8" applyNumberFormat="1" applyFont="1" applyFill="1" applyAlignment="1">
      <alignment horizontal="right"/>
    </xf>
    <xf numFmtId="169" fontId="13" fillId="0" borderId="0" xfId="8" applyNumberFormat="1" applyFont="1" applyFill="1" applyAlignment="1">
      <alignment horizontal="center"/>
    </xf>
    <xf numFmtId="0" fontId="13" fillId="0" borderId="0" xfId="0" applyFont="1" applyFill="1" applyBorder="1" applyAlignment="1">
      <alignment horizontal="left" indent="2"/>
    </xf>
    <xf numFmtId="166" fontId="13" fillId="0" borderId="0" xfId="8" applyNumberFormat="1" applyFont="1" applyFill="1"/>
    <xf numFmtId="169" fontId="0" fillId="0" borderId="0" xfId="0" applyNumberFormat="1"/>
    <xf numFmtId="0" fontId="13" fillId="0" borderId="0" xfId="0" quotePrefix="1" applyFont="1" applyFill="1" applyBorder="1" applyAlignment="1">
      <alignment horizontal="left" indent="2"/>
    </xf>
    <xf numFmtId="0" fontId="3" fillId="0" borderId="15" xfId="0" applyFont="1" applyFill="1" applyBorder="1"/>
    <xf numFmtId="169" fontId="13" fillId="0" borderId="16" xfId="0" applyNumberFormat="1" applyFont="1" applyFill="1" applyBorder="1"/>
    <xf numFmtId="0" fontId="3" fillId="0" borderId="17" xfId="0" applyFont="1" applyFill="1" applyBorder="1"/>
    <xf numFmtId="169" fontId="13" fillId="0" borderId="18" xfId="0" applyNumberFormat="1" applyFont="1" applyFill="1" applyBorder="1"/>
    <xf numFmtId="0" fontId="38" fillId="0" borderId="0" xfId="0" applyFont="1" applyBorder="1"/>
    <xf numFmtId="0" fontId="3" fillId="0" borderId="19" xfId="0" applyFont="1" applyFill="1" applyBorder="1"/>
    <xf numFmtId="165" fontId="0" fillId="0" borderId="20" xfId="0" applyNumberFormat="1" applyBorder="1"/>
    <xf numFmtId="0" fontId="4" fillId="0" borderId="13" xfId="0" applyFont="1" applyBorder="1" applyAlignment="1"/>
    <xf numFmtId="170" fontId="13" fillId="7" borderId="0" xfId="0" applyNumberFormat="1" applyFont="1" applyFill="1" applyBorder="1"/>
    <xf numFmtId="0" fontId="4" fillId="0" borderId="14" xfId="0" applyFont="1" applyFill="1" applyBorder="1" applyAlignment="1">
      <alignment horizontal="left" vertical="top"/>
    </xf>
    <xf numFmtId="3" fontId="4" fillId="8" borderId="14" xfId="2" applyNumberFormat="1" applyFont="1" applyFill="1" applyBorder="1" applyAlignment="1">
      <alignment horizontal="right" vertical="top" wrapText="1"/>
    </xf>
    <xf numFmtId="0" fontId="4" fillId="0" borderId="21" xfId="0" applyFont="1" applyFill="1" applyBorder="1" applyAlignment="1">
      <alignment horizontal="left" vertical="top" wrapText="1"/>
    </xf>
    <xf numFmtId="3" fontId="4" fillId="7" borderId="21" xfId="2" applyNumberFormat="1" applyFont="1" applyFill="1" applyBorder="1" applyAlignment="1">
      <alignment horizontal="right" vertical="top" wrapText="1"/>
    </xf>
    <xf numFmtId="10" fontId="4" fillId="0" borderId="21" xfId="8" applyNumberFormat="1" applyFont="1" applyFill="1" applyBorder="1" applyAlignment="1">
      <alignment horizontal="right" vertical="top" wrapText="1"/>
    </xf>
    <xf numFmtId="10" fontId="2" fillId="0" borderId="20" xfId="8" applyNumberFormat="1" applyBorder="1"/>
    <xf numFmtId="3" fontId="4" fillId="8" borderId="21" xfId="2" applyNumberFormat="1" applyFont="1" applyFill="1" applyBorder="1" applyAlignment="1">
      <alignment horizontal="right" vertical="top" wrapText="1"/>
    </xf>
    <xf numFmtId="3" fontId="13" fillId="0" borderId="0" xfId="0" applyNumberFormat="1" applyFont="1" applyFill="1"/>
    <xf numFmtId="44" fontId="4" fillId="7" borderId="0" xfId="2" applyFont="1" applyFill="1" applyBorder="1" applyAlignment="1">
      <alignment horizontal="right" vertical="top" wrapText="1"/>
    </xf>
    <xf numFmtId="0" fontId="4" fillId="0" borderId="14" xfId="0" applyFont="1" applyFill="1" applyBorder="1" applyAlignment="1">
      <alignment horizontal="left" vertical="top" wrapText="1"/>
    </xf>
    <xf numFmtId="3" fontId="4" fillId="7" borderId="14" xfId="2" applyNumberFormat="1" applyFont="1" applyFill="1" applyBorder="1" applyAlignment="1">
      <alignment horizontal="right" vertical="top" wrapText="1"/>
    </xf>
    <xf numFmtId="0" fontId="13" fillId="0" borderId="0" xfId="0" applyFont="1" applyBorder="1" applyAlignment="1"/>
    <xf numFmtId="3" fontId="4" fillId="0" borderId="14" xfId="2" applyNumberFormat="1" applyFont="1" applyFill="1" applyBorder="1" applyAlignment="1">
      <alignment horizontal="right" vertical="top" wrapText="1"/>
    </xf>
    <xf numFmtId="0" fontId="3" fillId="0" borderId="0" xfId="4" applyFont="1" applyFill="1" applyBorder="1" applyAlignment="1">
      <alignment vertical="center"/>
    </xf>
    <xf numFmtId="0" fontId="0" fillId="5" borderId="0" xfId="0" applyFill="1" applyBorder="1"/>
    <xf numFmtId="0" fontId="4" fillId="0" borderId="0" xfId="0" applyFont="1" applyFill="1" applyAlignment="1">
      <alignment horizontal="center"/>
    </xf>
    <xf numFmtId="44" fontId="6" fillId="0" borderId="0" xfId="2" applyFont="1" applyFill="1" applyBorder="1" applyAlignment="1">
      <alignment horizontal="right" vertical="top" wrapText="1"/>
    </xf>
    <xf numFmtId="0" fontId="31" fillId="7" borderId="0" xfId="0" applyFont="1" applyFill="1"/>
    <xf numFmtId="171" fontId="3" fillId="0" borderId="0" xfId="0" applyNumberFormat="1" applyFont="1" applyFill="1" applyBorder="1"/>
    <xf numFmtId="44" fontId="3" fillId="7" borderId="0" xfId="2" applyFont="1" applyFill="1" applyBorder="1" applyAlignment="1">
      <alignment horizontal="right" vertical="top" wrapText="1"/>
    </xf>
    <xf numFmtId="164" fontId="3" fillId="7" borderId="0" xfId="2" applyNumberFormat="1" applyFont="1" applyFill="1" applyBorder="1" applyAlignment="1" applyProtection="1">
      <alignment horizontal="right" vertical="top" wrapText="1"/>
      <protection locked="0"/>
    </xf>
    <xf numFmtId="3" fontId="6" fillId="0" borderId="14" xfId="2" applyNumberFormat="1" applyFont="1" applyFill="1" applyBorder="1" applyAlignment="1">
      <alignment horizontal="right" vertical="top" wrapText="1"/>
    </xf>
    <xf numFmtId="171" fontId="6" fillId="0" borderId="14" xfId="2" applyNumberFormat="1" applyFont="1" applyFill="1" applyBorder="1" applyAlignment="1">
      <alignment horizontal="right" vertical="top" wrapText="1"/>
    </xf>
    <xf numFmtId="0" fontId="26" fillId="0" borderId="0" xfId="0" applyFont="1" applyProtection="1">
      <protection locked="0"/>
    </xf>
    <xf numFmtId="0" fontId="41" fillId="0" borderId="0" xfId="0" applyFont="1"/>
    <xf numFmtId="0" fontId="42" fillId="0" borderId="0" xfId="0" applyFont="1"/>
    <xf numFmtId="17" fontId="42" fillId="0" borderId="0" xfId="0" quotePrefix="1" applyNumberFormat="1" applyFont="1"/>
    <xf numFmtId="0" fontId="44" fillId="0" borderId="0" xfId="5" applyFont="1"/>
    <xf numFmtId="0" fontId="45" fillId="0" borderId="0" xfId="6" applyFont="1"/>
    <xf numFmtId="0" fontId="3" fillId="0" borderId="0" xfId="0" applyFont="1"/>
    <xf numFmtId="0" fontId="6" fillId="0" borderId="0" xfId="0" applyFont="1"/>
    <xf numFmtId="0" fontId="41" fillId="0" borderId="0" xfId="0" applyFont="1" applyProtection="1">
      <protection locked="0"/>
    </xf>
    <xf numFmtId="0" fontId="46" fillId="0" borderId="0" xfId="0" applyFont="1" applyAlignment="1">
      <alignment horizontal="right"/>
    </xf>
    <xf numFmtId="0" fontId="47" fillId="0" borderId="11" xfId="3" applyFont="1" applyBorder="1"/>
    <xf numFmtId="0" fontId="0" fillId="0" borderId="11" xfId="0" applyBorder="1"/>
    <xf numFmtId="167" fontId="0" fillId="0" borderId="0" xfId="0" applyNumberFormat="1"/>
    <xf numFmtId="0" fontId="6" fillId="0" borderId="22" xfId="0" applyFont="1" applyBorder="1"/>
    <xf numFmtId="0" fontId="4" fillId="0" borderId="22" xfId="0" applyFont="1" applyBorder="1" applyAlignment="1"/>
    <xf numFmtId="167" fontId="6" fillId="0" borderId="0" xfId="0" applyNumberFormat="1" applyFont="1" applyAlignment="1">
      <alignment horizontal="center"/>
    </xf>
    <xf numFmtId="0" fontId="4" fillId="0" borderId="0" xfId="0" quotePrefix="1" applyFont="1"/>
    <xf numFmtId="167" fontId="0" fillId="0" borderId="0" xfId="0" quotePrefix="1" applyNumberFormat="1"/>
    <xf numFmtId="0" fontId="0" fillId="0" borderId="0" xfId="0" quotePrefix="1" applyFill="1" applyAlignment="1">
      <alignment horizontal="center"/>
    </xf>
    <xf numFmtId="0" fontId="48" fillId="0" borderId="0" xfId="0" applyFont="1" applyBorder="1"/>
    <xf numFmtId="0" fontId="48" fillId="0" borderId="0" xfId="0" quotePrefix="1" applyFont="1" applyBorder="1"/>
    <xf numFmtId="0" fontId="13" fillId="0" borderId="0" xfId="0" quotePrefix="1" applyFont="1" applyBorder="1"/>
    <xf numFmtId="0" fontId="4" fillId="0" borderId="0" xfId="0" quotePrefix="1" applyFont="1" applyBorder="1"/>
    <xf numFmtId="0" fontId="12" fillId="0" borderId="0" xfId="0" applyFont="1"/>
    <xf numFmtId="0" fontId="5" fillId="0" borderId="0" xfId="0" applyFont="1" applyAlignment="1">
      <alignment horizontal="center"/>
    </xf>
    <xf numFmtId="0" fontId="4" fillId="0" borderId="0" xfId="0" quotePrefix="1" applyFont="1" applyBorder="1" applyAlignment="1"/>
    <xf numFmtId="167" fontId="49" fillId="0" borderId="0" xfId="0" quotePrefix="1" applyNumberFormat="1" applyFont="1" applyAlignment="1"/>
    <xf numFmtId="0" fontId="4" fillId="0" borderId="0" xfId="0" quotePrefix="1" applyFont="1" applyAlignment="1"/>
    <xf numFmtId="0" fontId="50" fillId="0" borderId="0" xfId="0" applyFont="1" applyAlignment="1">
      <alignment horizontal="left" indent="1"/>
    </xf>
    <xf numFmtId="0" fontId="0" fillId="0" borderId="0" xfId="0" quotePrefix="1"/>
    <xf numFmtId="0" fontId="51" fillId="0" borderId="0" xfId="0" quotePrefix="1" applyFont="1"/>
    <xf numFmtId="0" fontId="53" fillId="0" borderId="0" xfId="0" applyFont="1" applyProtection="1">
      <protection locked="0"/>
    </xf>
    <xf numFmtId="0" fontId="54" fillId="0" borderId="0" xfId="0" applyFont="1"/>
    <xf numFmtId="0" fontId="55" fillId="0" borderId="0" xfId="0" applyFont="1"/>
    <xf numFmtId="0" fontId="56" fillId="0" borderId="0" xfId="0" applyFont="1"/>
    <xf numFmtId="0" fontId="0" fillId="0" borderId="0" xfId="0" applyAlignment="1">
      <alignment horizontal="left"/>
    </xf>
    <xf numFmtId="0" fontId="57" fillId="0" borderId="0" xfId="0" applyFont="1"/>
    <xf numFmtId="0" fontId="58" fillId="0" borderId="0" xfId="0" applyFont="1"/>
    <xf numFmtId="0" fontId="0" fillId="0" borderId="0" xfId="0" applyAlignment="1">
      <alignment horizontal="right"/>
    </xf>
    <xf numFmtId="0" fontId="0" fillId="0" borderId="0" xfId="0" applyFill="1"/>
    <xf numFmtId="0" fontId="41" fillId="0" borderId="0" xfId="0" applyFont="1" applyFill="1"/>
    <xf numFmtId="0" fontId="43" fillId="0" borderId="0" xfId="0" applyFont="1" applyFill="1"/>
    <xf numFmtId="0" fontId="0" fillId="0" borderId="0" xfId="0" applyFill="1" applyAlignment="1"/>
    <xf numFmtId="0" fontId="44" fillId="0" borderId="0" xfId="0" applyFont="1" applyFill="1"/>
    <xf numFmtId="0" fontId="55" fillId="4" borderId="0" xfId="0" applyFont="1" applyFill="1"/>
    <xf numFmtId="0" fontId="0" fillId="4" borderId="0" xfId="0" applyFill="1"/>
    <xf numFmtId="0" fontId="4" fillId="0" borderId="22" xfId="0" applyFont="1" applyBorder="1"/>
    <xf numFmtId="0" fontId="4" fillId="0" borderId="22" xfId="0" applyFont="1" applyBorder="1" applyAlignment="1">
      <alignment horizontal="center"/>
    </xf>
    <xf numFmtId="0" fontId="50" fillId="0" borderId="0" xfId="0" applyFont="1" applyAlignment="1">
      <alignment horizontal="left"/>
    </xf>
    <xf numFmtId="0" fontId="59" fillId="0" borderId="0" xfId="6" applyFont="1"/>
    <xf numFmtId="0" fontId="16" fillId="0" borderId="0" xfId="0" applyFont="1"/>
    <xf numFmtId="167" fontId="60" fillId="0" borderId="0" xfId="0" applyNumberFormat="1" applyFont="1" applyFill="1"/>
    <xf numFmtId="0" fontId="61" fillId="0" borderId="0" xfId="0" applyFont="1" applyAlignment="1">
      <alignment horizontal="left"/>
    </xf>
    <xf numFmtId="0" fontId="3" fillId="9" borderId="0" xfId="0" applyFont="1" applyFill="1"/>
    <xf numFmtId="0" fontId="0" fillId="9" borderId="0" xfId="0" applyFill="1"/>
    <xf numFmtId="0" fontId="3" fillId="10" borderId="0" xfId="0" applyFont="1" applyFill="1"/>
    <xf numFmtId="0" fontId="0" fillId="10" borderId="0" xfId="0" applyFill="1"/>
    <xf numFmtId="0" fontId="36" fillId="2" borderId="0" xfId="0" applyFont="1" applyFill="1" applyAlignment="1">
      <alignment horizontal="center"/>
    </xf>
    <xf numFmtId="0" fontId="4" fillId="2" borderId="0" xfId="0" applyFont="1" applyFill="1" applyAlignment="1">
      <alignment horizontal="center"/>
    </xf>
    <xf numFmtId="0" fontId="13" fillId="2" borderId="0" xfId="0" applyFont="1" applyFill="1"/>
    <xf numFmtId="0" fontId="13" fillId="2" borderId="0" xfId="0" applyFont="1" applyFill="1" applyBorder="1"/>
    <xf numFmtId="0" fontId="62" fillId="2" borderId="0" xfId="0" applyFont="1" applyFill="1" applyAlignment="1">
      <alignment horizontal="center"/>
    </xf>
    <xf numFmtId="0" fontId="62" fillId="2" borderId="0" xfId="0" applyFont="1" applyFill="1" applyBorder="1" applyAlignment="1">
      <alignment horizontal="center"/>
    </xf>
    <xf numFmtId="0" fontId="41" fillId="2" borderId="0" xfId="0" applyFont="1" applyFill="1" applyBorder="1"/>
    <xf numFmtId="0" fontId="41" fillId="0" borderId="0" xfId="0" applyFont="1" applyFill="1" applyBorder="1"/>
    <xf numFmtId="0" fontId="47" fillId="2" borderId="0" xfId="0" applyFont="1" applyFill="1" applyBorder="1"/>
    <xf numFmtId="0" fontId="59" fillId="2" borderId="0" xfId="0" applyFont="1" applyFill="1" applyAlignment="1">
      <alignment horizontal="center"/>
    </xf>
    <xf numFmtId="0" fontId="59" fillId="2" borderId="0" xfId="0" applyFont="1" applyFill="1" applyBorder="1" applyAlignment="1">
      <alignment horizontal="center"/>
    </xf>
    <xf numFmtId="0" fontId="47" fillId="2" borderId="0" xfId="0" applyFont="1" applyFill="1" applyAlignment="1">
      <alignment horizontal="center"/>
    </xf>
    <xf numFmtId="0" fontId="64" fillId="2" borderId="21" xfId="0" applyFont="1" applyFill="1" applyBorder="1"/>
    <xf numFmtId="0" fontId="59" fillId="2" borderId="21" xfId="0" applyFont="1" applyFill="1" applyBorder="1" applyAlignment="1">
      <alignment horizontal="center"/>
    </xf>
    <xf numFmtId="0" fontId="30" fillId="2" borderId="0" xfId="0" applyFont="1" applyFill="1" applyBorder="1"/>
    <xf numFmtId="0" fontId="64" fillId="2" borderId="0" xfId="0" applyFont="1" applyFill="1" applyBorder="1"/>
    <xf numFmtId="0" fontId="59" fillId="2" borderId="0" xfId="0" applyFont="1" applyFill="1"/>
    <xf numFmtId="0" fontId="59" fillId="2" borderId="0" xfId="0" applyFont="1" applyFill="1" applyBorder="1"/>
    <xf numFmtId="0" fontId="48" fillId="0" borderId="0" xfId="0" quotePrefix="1" applyFont="1"/>
    <xf numFmtId="0" fontId="59" fillId="2" borderId="21" xfId="0" applyFont="1" applyFill="1" applyBorder="1"/>
    <xf numFmtId="0" fontId="65" fillId="2" borderId="0" xfId="0" applyFont="1" applyFill="1" applyBorder="1"/>
    <xf numFmtId="0" fontId="62" fillId="2" borderId="0" xfId="0" applyFont="1" applyFill="1"/>
    <xf numFmtId="0" fontId="62" fillId="2" borderId="0" xfId="0" applyFont="1" applyFill="1" applyBorder="1"/>
    <xf numFmtId="0" fontId="59" fillId="0" borderId="0" xfId="0" applyFont="1" applyFill="1"/>
    <xf numFmtId="0" fontId="45" fillId="0" borderId="22" xfId="0" applyFont="1" applyFill="1" applyBorder="1" applyAlignment="1">
      <alignment wrapText="1"/>
    </xf>
    <xf numFmtId="0" fontId="45" fillId="0" borderId="0" xfId="0" applyFont="1" applyFill="1" applyBorder="1" applyAlignment="1">
      <alignment wrapText="1"/>
    </xf>
    <xf numFmtId="0" fontId="59" fillId="0" borderId="22" xfId="0" applyFont="1" applyFill="1" applyBorder="1" applyAlignment="1">
      <alignment wrapText="1"/>
    </xf>
    <xf numFmtId="0" fontId="13" fillId="0" borderId="0" xfId="0" applyFont="1" applyAlignment="1">
      <alignment horizontal="left" indent="1"/>
    </xf>
    <xf numFmtId="0" fontId="4" fillId="0" borderId="0" xfId="0" applyFont="1" applyBorder="1" applyAlignment="1">
      <alignment vertical="top"/>
    </xf>
    <xf numFmtId="0" fontId="13" fillId="0" borderId="0" xfId="0" applyFont="1" applyAlignment="1"/>
    <xf numFmtId="0" fontId="13" fillId="0" borderId="0" xfId="0" applyFont="1" applyBorder="1" applyAlignment="1">
      <alignment vertical="top"/>
    </xf>
    <xf numFmtId="0" fontId="21" fillId="11" borderId="0" xfId="0" applyFont="1" applyFill="1" applyBorder="1"/>
    <xf numFmtId="0" fontId="13" fillId="11" borderId="0" xfId="0" applyFont="1" applyFill="1"/>
    <xf numFmtId="0" fontId="13" fillId="11" borderId="0" xfId="0" applyFont="1" applyFill="1" applyBorder="1"/>
    <xf numFmtId="0" fontId="21" fillId="0" borderId="0" xfId="0" applyFont="1" applyFill="1" applyBorder="1"/>
    <xf numFmtId="0" fontId="0" fillId="0" borderId="9" xfId="0" applyBorder="1" applyAlignment="1">
      <alignment horizontal="center"/>
    </xf>
    <xf numFmtId="0" fontId="13" fillId="0" borderId="21" xfId="0" applyFont="1" applyFill="1" applyBorder="1"/>
    <xf numFmtId="0" fontId="3" fillId="0" borderId="21" xfId="0" applyFont="1" applyFill="1" applyBorder="1" applyAlignment="1">
      <alignment horizontal="right" vertical="center"/>
    </xf>
    <xf numFmtId="0" fontId="0" fillId="0" borderId="21" xfId="0" applyBorder="1"/>
    <xf numFmtId="0" fontId="35" fillId="0" borderId="21" xfId="0" applyFont="1" applyBorder="1" applyAlignment="1">
      <alignment vertical="center" wrapText="1"/>
    </xf>
    <xf numFmtId="14" fontId="35" fillId="0" borderId="21" xfId="0" applyNumberFormat="1" applyFont="1" applyBorder="1"/>
    <xf numFmtId="165" fontId="0" fillId="0" borderId="0" xfId="0" applyNumberFormat="1"/>
    <xf numFmtId="0" fontId="67" fillId="0" borderId="21" xfId="0" applyFont="1" applyBorder="1"/>
    <xf numFmtId="0" fontId="23" fillId="0" borderId="0" xfId="0" applyFont="1" applyFill="1"/>
    <xf numFmtId="3" fontId="3" fillId="2" borderId="6" xfId="0" applyNumberFormat="1" applyFont="1" applyFill="1" applyBorder="1" applyAlignment="1" applyProtection="1">
      <alignment horizontal="right" vertical="top" wrapText="1"/>
      <protection locked="0"/>
    </xf>
    <xf numFmtId="0" fontId="5" fillId="12" borderId="0" xfId="0" applyFont="1" applyFill="1" applyBorder="1" applyAlignment="1">
      <alignment horizontal="center" vertical="top" wrapText="1"/>
    </xf>
    <xf numFmtId="0" fontId="5" fillId="12" borderId="4" xfId="0" applyFont="1" applyFill="1" applyBorder="1" applyAlignment="1">
      <alignment horizontal="center" vertical="top" wrapText="1"/>
    </xf>
    <xf numFmtId="0" fontId="4" fillId="4" borderId="23" xfId="0" applyFont="1" applyFill="1" applyBorder="1" applyAlignment="1">
      <alignment horizontal="left" vertical="top" wrapText="1"/>
    </xf>
    <xf numFmtId="0" fontId="8" fillId="2" borderId="24" xfId="0" applyFont="1" applyFill="1" applyBorder="1" applyAlignment="1">
      <alignment horizontal="left" vertical="top" wrapText="1"/>
    </xf>
    <xf numFmtId="0" fontId="0" fillId="0" borderId="25" xfId="0" applyBorder="1"/>
    <xf numFmtId="0" fontId="0" fillId="0" borderId="26" xfId="0" applyBorder="1"/>
    <xf numFmtId="0" fontId="0" fillId="2" borderId="27" xfId="0" applyFill="1" applyBorder="1"/>
    <xf numFmtId="0" fontId="0" fillId="2" borderId="25" xfId="0" applyFill="1" applyBorder="1"/>
    <xf numFmtId="0" fontId="4" fillId="2" borderId="27" xfId="0" applyFont="1" applyFill="1" applyBorder="1"/>
    <xf numFmtId="0" fontId="8" fillId="2" borderId="28" xfId="0" applyFont="1" applyFill="1" applyBorder="1" applyAlignment="1">
      <alignment horizontal="left" vertical="top"/>
    </xf>
    <xf numFmtId="0" fontId="8" fillId="2" borderId="28" xfId="0" applyFont="1" applyFill="1" applyBorder="1" applyAlignment="1">
      <alignment horizontal="left" vertical="top" wrapText="1"/>
    </xf>
    <xf numFmtId="0" fontId="0" fillId="0" borderId="5" xfId="0" applyBorder="1" applyAlignment="1"/>
    <xf numFmtId="0" fontId="0" fillId="0" borderId="9" xfId="0" applyBorder="1" applyAlignment="1"/>
    <xf numFmtId="0" fontId="5" fillId="12" borderId="10" xfId="0" applyFont="1" applyFill="1" applyBorder="1" applyAlignment="1">
      <alignment horizontal="center" vertical="top" wrapText="1"/>
    </xf>
    <xf numFmtId="0" fontId="68" fillId="11" borderId="27" xfId="0" applyFont="1" applyFill="1" applyBorder="1"/>
    <xf numFmtId="0" fontId="69" fillId="11" borderId="28" xfId="0" applyFont="1" applyFill="1" applyBorder="1" applyAlignment="1">
      <alignment horizontal="left" vertical="top"/>
    </xf>
    <xf numFmtId="3" fontId="70" fillId="11" borderId="29" xfId="0" applyNumberFormat="1" applyFont="1" applyFill="1" applyBorder="1" applyAlignment="1" applyProtection="1">
      <alignment horizontal="right" vertical="top" wrapText="1"/>
      <protection locked="0"/>
    </xf>
    <xf numFmtId="0" fontId="4" fillId="0" borderId="7" xfId="0" applyFont="1" applyBorder="1" applyAlignment="1">
      <alignment horizontal="left" vertical="top" indent="1"/>
    </xf>
    <xf numFmtId="175" fontId="3" fillId="0" borderId="6" xfId="0" applyNumberFormat="1" applyFont="1" applyFill="1" applyBorder="1" applyAlignment="1" applyProtection="1">
      <alignment horizontal="right" vertical="top" wrapText="1"/>
      <protection locked="0"/>
    </xf>
    <xf numFmtId="175" fontId="6" fillId="0" borderId="6" xfId="0" applyNumberFormat="1" applyFont="1" applyFill="1" applyBorder="1" applyAlignment="1">
      <alignment horizontal="right" vertical="top" wrapText="1"/>
    </xf>
    <xf numFmtId="175" fontId="3" fillId="2" borderId="6" xfId="0" applyNumberFormat="1" applyFont="1" applyFill="1" applyBorder="1" applyAlignment="1" applyProtection="1">
      <alignment horizontal="right" vertical="top" wrapText="1"/>
      <protection locked="0"/>
    </xf>
    <xf numFmtId="175" fontId="3" fillId="2" borderId="29" xfId="0" applyNumberFormat="1" applyFont="1" applyFill="1" applyBorder="1" applyAlignment="1" applyProtection="1">
      <alignment horizontal="right" vertical="top" wrapText="1"/>
      <protection locked="0"/>
    </xf>
    <xf numFmtId="175" fontId="6" fillId="0" borderId="30" xfId="0" applyNumberFormat="1" applyFont="1" applyFill="1" applyBorder="1" applyAlignment="1" applyProtection="1">
      <alignment horizontal="right" vertical="top" wrapText="1"/>
      <protection locked="0"/>
    </xf>
    <xf numFmtId="175" fontId="0" fillId="0" borderId="0" xfId="0" applyNumberFormat="1"/>
    <xf numFmtId="0" fontId="4" fillId="0" borderId="31" xfId="0" applyFont="1" applyFill="1" applyBorder="1" applyAlignment="1">
      <alignment horizontal="left" vertical="top" wrapText="1"/>
    </xf>
    <xf numFmtId="0" fontId="68" fillId="11" borderId="25" xfId="0" applyFont="1" applyFill="1" applyBorder="1"/>
    <xf numFmtId="175" fontId="72" fillId="11" borderId="30" xfId="0" applyNumberFormat="1" applyFont="1" applyFill="1" applyBorder="1" applyAlignment="1" applyProtection="1">
      <alignment horizontal="right" vertical="top" wrapText="1"/>
      <protection locked="0"/>
    </xf>
    <xf numFmtId="0" fontId="73" fillId="11" borderId="24" xfId="0" applyFont="1" applyFill="1" applyBorder="1" applyAlignment="1">
      <alignment horizontal="left" vertical="top" wrapText="1"/>
    </xf>
    <xf numFmtId="0" fontId="69" fillId="11" borderId="24" xfId="0" applyFont="1" applyFill="1" applyBorder="1" applyAlignment="1">
      <alignment horizontal="left" vertical="top"/>
    </xf>
    <xf numFmtId="0" fontId="68" fillId="0" borderId="0" xfId="0" applyFont="1" applyFill="1" applyBorder="1"/>
    <xf numFmtId="0" fontId="71" fillId="0" borderId="0" xfId="0" applyFont="1" applyFill="1" applyBorder="1" applyAlignment="1">
      <alignment horizontal="left" vertical="top" wrapText="1"/>
    </xf>
    <xf numFmtId="0" fontId="5" fillId="12" borderId="32" xfId="0" applyFont="1" applyFill="1" applyBorder="1" applyAlignment="1">
      <alignment horizontal="center" vertical="top" wrapText="1"/>
    </xf>
    <xf numFmtId="0" fontId="13" fillId="0" borderId="0" xfId="0" applyFont="1" applyFill="1" applyAlignment="1">
      <alignment horizontal="left" wrapText="1"/>
    </xf>
    <xf numFmtId="0" fontId="55" fillId="0" borderId="0" xfId="0" applyFont="1" applyFill="1"/>
    <xf numFmtId="0" fontId="50" fillId="0" borderId="0" xfId="0" applyFont="1" applyFill="1"/>
    <xf numFmtId="0" fontId="13" fillId="0" borderId="0" xfId="0" applyFont="1" applyFill="1" applyAlignment="1">
      <alignment wrapText="1"/>
    </xf>
    <xf numFmtId="0" fontId="4" fillId="0" borderId="0" xfId="0" applyFont="1" applyAlignment="1">
      <alignment horizontal="right"/>
    </xf>
    <xf numFmtId="0" fontId="4" fillId="0" borderId="0" xfId="0" applyFont="1" applyFill="1" applyAlignment="1">
      <alignment horizontal="center" wrapText="1"/>
    </xf>
    <xf numFmtId="0" fontId="17" fillId="0" borderId="0" xfId="0" applyFont="1" applyFill="1" applyAlignment="1">
      <alignment horizontal="right"/>
    </xf>
    <xf numFmtId="0" fontId="43" fillId="0" borderId="0" xfId="0" applyFont="1" applyFill="1" applyAlignment="1">
      <alignment horizontal="right"/>
    </xf>
    <xf numFmtId="176" fontId="13" fillId="0" borderId="0" xfId="0" applyNumberFormat="1" applyFont="1" applyFill="1" applyBorder="1"/>
    <xf numFmtId="176" fontId="13" fillId="0" borderId="11" xfId="0" applyNumberFormat="1" applyFont="1" applyFill="1" applyBorder="1"/>
    <xf numFmtId="176" fontId="4" fillId="0" borderId="0" xfId="0" applyNumberFormat="1" applyFont="1" applyFill="1" applyBorder="1" applyAlignment="1">
      <alignment vertical="center"/>
    </xf>
    <xf numFmtId="176" fontId="13" fillId="7" borderId="0" xfId="0" applyNumberFormat="1" applyFont="1" applyFill="1" applyBorder="1"/>
    <xf numFmtId="176" fontId="13" fillId="7" borderId="0" xfId="2" applyNumberFormat="1" applyFont="1" applyFill="1" applyBorder="1" applyAlignment="1" applyProtection="1">
      <alignment horizontal="right" vertical="top" wrapText="1"/>
      <protection locked="0"/>
    </xf>
    <xf numFmtId="176" fontId="13" fillId="7" borderId="11" xfId="2" applyNumberFormat="1" applyFont="1" applyFill="1" applyBorder="1" applyAlignment="1" applyProtection="1">
      <alignment horizontal="right" vertical="top" wrapText="1"/>
      <protection locked="0"/>
    </xf>
    <xf numFmtId="176" fontId="4" fillId="7" borderId="0" xfId="2" applyNumberFormat="1" applyFont="1" applyFill="1" applyBorder="1" applyAlignment="1">
      <alignment horizontal="right" vertical="center" wrapText="1"/>
    </xf>
    <xf numFmtId="176" fontId="4" fillId="0" borderId="12" xfId="2" applyNumberFormat="1" applyFont="1" applyFill="1" applyBorder="1" applyAlignment="1">
      <alignment horizontal="right" vertical="top" wrapText="1"/>
    </xf>
    <xf numFmtId="176" fontId="4" fillId="0" borderId="0" xfId="0" applyNumberFormat="1" applyFont="1" applyFill="1" applyBorder="1" applyAlignment="1">
      <alignment horizontal="center" vertical="top" wrapText="1"/>
    </xf>
    <xf numFmtId="176" fontId="4" fillId="0" borderId="12" xfId="0" applyNumberFormat="1" applyFont="1" applyFill="1" applyBorder="1" applyAlignment="1">
      <alignment vertical="center"/>
    </xf>
    <xf numFmtId="176" fontId="4" fillId="0" borderId="14" xfId="0" applyNumberFormat="1" applyFont="1" applyFill="1" applyBorder="1" applyAlignment="1">
      <alignment vertical="center"/>
    </xf>
    <xf numFmtId="176" fontId="4" fillId="0" borderId="14" xfId="2" applyNumberFormat="1" applyFont="1" applyFill="1" applyBorder="1" applyAlignment="1">
      <alignment horizontal="right" vertical="top" wrapText="1"/>
    </xf>
    <xf numFmtId="0" fontId="8" fillId="2" borderId="7" xfId="0" applyFont="1" applyFill="1" applyBorder="1" applyAlignment="1">
      <alignment horizontal="left" vertical="top" wrapText="1"/>
    </xf>
    <xf numFmtId="0" fontId="4" fillId="0" borderId="0" xfId="0" applyFont="1" applyBorder="1" applyAlignment="1">
      <alignment horizontal="left" vertical="top" indent="1"/>
    </xf>
    <xf numFmtId="0" fontId="12" fillId="0" borderId="0" xfId="0" applyFont="1" applyBorder="1" applyAlignment="1">
      <alignment horizontal="left" vertical="top" indent="3"/>
    </xf>
    <xf numFmtId="0" fontId="13" fillId="0" borderId="0" xfId="0" applyFont="1" applyBorder="1" applyAlignment="1">
      <alignment horizontal="left" vertical="top" indent="1"/>
    </xf>
    <xf numFmtId="0" fontId="13" fillId="0" borderId="24" xfId="0" applyFont="1" applyBorder="1" applyAlignment="1">
      <alignment horizontal="left" vertical="top" wrapText="1" indent="1"/>
    </xf>
    <xf numFmtId="3" fontId="10" fillId="11" borderId="29" xfId="0" applyNumberFormat="1" applyFont="1" applyFill="1" applyBorder="1" applyAlignment="1" applyProtection="1">
      <alignment horizontal="center" vertical="top" wrapText="1"/>
      <protection locked="0"/>
    </xf>
    <xf numFmtId="0" fontId="3" fillId="2" borderId="0" xfId="0" applyFont="1" applyFill="1" applyAlignment="1">
      <alignment horizontal="right"/>
    </xf>
    <xf numFmtId="0" fontId="3" fillId="2" borderId="0" xfId="0" applyFont="1" applyFill="1" applyAlignment="1">
      <alignment horizontal="center"/>
    </xf>
    <xf numFmtId="0" fontId="15" fillId="13" borderId="0" xfId="0" applyFont="1" applyFill="1" applyAlignment="1">
      <alignment horizontal="center" wrapText="1"/>
    </xf>
    <xf numFmtId="0" fontId="4" fillId="0" borderId="0" xfId="0" applyFont="1" applyFill="1" applyBorder="1"/>
    <xf numFmtId="0" fontId="16" fillId="2" borderId="0" xfId="0" applyFont="1" applyFill="1"/>
    <xf numFmtId="176" fontId="13" fillId="0" borderId="33" xfId="0" applyNumberFormat="1" applyFont="1" applyFill="1" applyBorder="1"/>
    <xf numFmtId="176" fontId="4" fillId="0" borderId="34" xfId="0" applyNumberFormat="1" applyFont="1" applyFill="1" applyBorder="1" applyAlignment="1">
      <alignment vertical="center"/>
    </xf>
    <xf numFmtId="174" fontId="13" fillId="0" borderId="35" xfId="0" applyNumberFormat="1" applyFont="1" applyFill="1" applyBorder="1" applyAlignment="1">
      <alignment vertical="center"/>
    </xf>
    <xf numFmtId="174" fontId="4" fillId="0" borderId="35" xfId="0" applyNumberFormat="1" applyFont="1" applyFill="1" applyBorder="1" applyAlignment="1">
      <alignment vertical="center"/>
    </xf>
    <xf numFmtId="174" fontId="13" fillId="0" borderId="6" xfId="0" applyNumberFormat="1" applyFont="1" applyFill="1" applyBorder="1" applyAlignment="1">
      <alignment vertical="center"/>
    </xf>
    <xf numFmtId="174" fontId="4" fillId="0" borderId="6" xfId="0" applyNumberFormat="1" applyFont="1" applyFill="1" applyBorder="1" applyAlignment="1">
      <alignment vertical="center"/>
    </xf>
    <xf numFmtId="174" fontId="4" fillId="0" borderId="30" xfId="0" applyNumberFormat="1" applyFont="1" applyFill="1" applyBorder="1" applyAlignment="1">
      <alignment vertical="center"/>
    </xf>
    <xf numFmtId="174" fontId="4" fillId="0" borderId="36" xfId="0" applyNumberFormat="1" applyFont="1" applyFill="1" applyBorder="1" applyAlignment="1">
      <alignment vertical="center"/>
    </xf>
    <xf numFmtId="174" fontId="13" fillId="2" borderId="37" xfId="0" applyNumberFormat="1" applyFont="1" applyFill="1" applyBorder="1" applyAlignment="1">
      <alignment vertical="center"/>
    </xf>
    <xf numFmtId="0" fontId="0" fillId="0" borderId="38" xfId="0" applyBorder="1"/>
    <xf numFmtId="0" fontId="0" fillId="0" borderId="39" xfId="0" applyBorder="1"/>
    <xf numFmtId="0" fontId="0" fillId="0" borderId="40" xfId="0" applyBorder="1"/>
    <xf numFmtId="176" fontId="13" fillId="0" borderId="41" xfId="0" applyNumberFormat="1" applyFont="1" applyFill="1" applyBorder="1"/>
    <xf numFmtId="0" fontId="0" fillId="7" borderId="0" xfId="0" applyFill="1" applyBorder="1"/>
    <xf numFmtId="0" fontId="0" fillId="0" borderId="42" xfId="0" applyBorder="1"/>
    <xf numFmtId="0" fontId="0" fillId="0" borderId="43" xfId="0" applyBorder="1"/>
    <xf numFmtId="0" fontId="0" fillId="0" borderId="44" xfId="0" applyBorder="1"/>
    <xf numFmtId="0" fontId="0" fillId="7" borderId="45" xfId="0" applyFill="1" applyBorder="1"/>
    <xf numFmtId="0" fontId="4" fillId="0" borderId="46" xfId="0" applyFont="1" applyBorder="1"/>
    <xf numFmtId="174" fontId="6" fillId="0" borderId="6" xfId="0" applyNumberFormat="1" applyFont="1" applyFill="1" applyBorder="1" applyAlignment="1">
      <alignment horizontal="right" vertical="top" wrapText="1"/>
    </xf>
    <xf numFmtId="174" fontId="3" fillId="0" borderId="6" xfId="0" applyNumberFormat="1" applyFont="1" applyFill="1" applyBorder="1" applyAlignment="1" applyProtection="1">
      <alignment horizontal="right" vertical="top" wrapText="1"/>
      <protection locked="0"/>
    </xf>
    <xf numFmtId="174" fontId="3" fillId="2" borderId="6" xfId="0" applyNumberFormat="1" applyFont="1" applyFill="1" applyBorder="1" applyAlignment="1" applyProtection="1">
      <alignment horizontal="right" vertical="top" wrapText="1"/>
      <protection locked="0"/>
    </xf>
    <xf numFmtId="174" fontId="72" fillId="11" borderId="6" xfId="0" applyNumberFormat="1" applyFont="1" applyFill="1" applyBorder="1" applyAlignment="1" applyProtection="1">
      <alignment horizontal="right" vertical="top" wrapText="1"/>
      <protection locked="0"/>
    </xf>
    <xf numFmtId="174" fontId="70" fillId="11" borderId="6" xfId="0" applyNumberFormat="1" applyFont="1" applyFill="1" applyBorder="1" applyAlignment="1" applyProtection="1">
      <alignment horizontal="right" vertical="top" wrapText="1"/>
      <protection locked="0"/>
    </xf>
    <xf numFmtId="174" fontId="3" fillId="2" borderId="29" xfId="0" applyNumberFormat="1" applyFont="1" applyFill="1" applyBorder="1" applyAlignment="1" applyProtection="1">
      <alignment horizontal="right" vertical="top" wrapText="1"/>
      <protection locked="0"/>
    </xf>
    <xf numFmtId="174" fontId="14" fillId="0" borderId="6" xfId="0" applyNumberFormat="1" applyFont="1" applyFill="1" applyBorder="1" applyAlignment="1">
      <alignment vertical="center"/>
    </xf>
    <xf numFmtId="174" fontId="14" fillId="0" borderId="35" xfId="0" applyNumberFormat="1" applyFont="1" applyFill="1" applyBorder="1" applyAlignment="1">
      <alignment vertical="center"/>
    </xf>
    <xf numFmtId="0" fontId="20" fillId="2" borderId="0" xfId="0" applyFont="1" applyFill="1"/>
    <xf numFmtId="0" fontId="0" fillId="2" borderId="3" xfId="0" applyFill="1" applyBorder="1" applyAlignment="1"/>
    <xf numFmtId="0" fontId="0" fillId="2" borderId="4" xfId="0" applyFill="1" applyBorder="1" applyAlignment="1"/>
    <xf numFmtId="0" fontId="0" fillId="2" borderId="4" xfId="0" applyFill="1" applyBorder="1" applyAlignment="1">
      <alignment horizontal="center"/>
    </xf>
    <xf numFmtId="0" fontId="0" fillId="2" borderId="0" xfId="0" applyFill="1" applyAlignment="1">
      <alignment horizontal="center"/>
    </xf>
    <xf numFmtId="0" fontId="4" fillId="2" borderId="7" xfId="0" applyFont="1" applyFill="1" applyBorder="1" applyAlignment="1">
      <alignment horizontal="left" vertical="top" wrapText="1" indent="1"/>
    </xf>
    <xf numFmtId="0" fontId="12" fillId="2" borderId="7" xfId="0" applyFont="1" applyFill="1" applyBorder="1" applyAlignment="1">
      <alignment horizontal="left" vertical="top" wrapText="1" indent="3"/>
    </xf>
    <xf numFmtId="0" fontId="13" fillId="2" borderId="7" xfId="0" applyFont="1" applyFill="1" applyBorder="1" applyAlignment="1">
      <alignment horizontal="left" vertical="top" wrapText="1" indent="1"/>
    </xf>
    <xf numFmtId="0" fontId="4" fillId="2" borderId="7" xfId="0" applyFont="1" applyFill="1" applyBorder="1" applyAlignment="1">
      <alignment horizontal="left" vertical="top" indent="1"/>
    </xf>
    <xf numFmtId="0" fontId="0" fillId="2" borderId="26" xfId="0" applyFill="1" applyBorder="1"/>
    <xf numFmtId="0" fontId="4" fillId="2" borderId="31" xfId="0" applyFont="1" applyFill="1" applyBorder="1" applyAlignment="1">
      <alignment horizontal="left" vertical="top" wrapText="1"/>
    </xf>
    <xf numFmtId="0" fontId="13" fillId="2" borderId="24" xfId="0" applyFont="1" applyFill="1" applyBorder="1" applyAlignment="1">
      <alignment horizontal="left" vertical="top" wrapText="1" indent="1"/>
    </xf>
    <xf numFmtId="0" fontId="68" fillId="2" borderId="0" xfId="0" applyFont="1" applyFill="1" applyBorder="1"/>
    <xf numFmtId="0" fontId="71" fillId="2" borderId="0" xfId="0" applyFont="1" applyFill="1" applyBorder="1" applyAlignment="1">
      <alignment horizontal="left" vertical="top" wrapText="1"/>
    </xf>
    <xf numFmtId="174" fontId="72" fillId="2" borderId="0" xfId="0" applyNumberFormat="1" applyFont="1" applyFill="1" applyBorder="1" applyAlignment="1" applyProtection="1">
      <alignment horizontal="right" vertical="top" wrapText="1"/>
      <protection locked="0"/>
    </xf>
    <xf numFmtId="0" fontId="4" fillId="2" borderId="7" xfId="0" applyFont="1" applyFill="1" applyBorder="1" applyAlignment="1">
      <alignment horizontal="left" indent="2"/>
    </xf>
    <xf numFmtId="3" fontId="0" fillId="2" borderId="0" xfId="0" applyNumberFormat="1" applyFill="1"/>
    <xf numFmtId="175" fontId="0" fillId="2" borderId="0" xfId="0" applyNumberFormat="1" applyFill="1"/>
    <xf numFmtId="0" fontId="0" fillId="2" borderId="5" xfId="0" applyFill="1" applyBorder="1" applyAlignment="1"/>
    <xf numFmtId="0" fontId="0" fillId="2" borderId="9" xfId="0" applyFill="1" applyBorder="1" applyAlignment="1"/>
    <xf numFmtId="0" fontId="0" fillId="2" borderId="9" xfId="0" applyFill="1" applyBorder="1" applyAlignment="1">
      <alignment horizontal="center"/>
    </xf>
    <xf numFmtId="0" fontId="4" fillId="2" borderId="8" xfId="0" applyFont="1" applyFill="1" applyBorder="1" applyAlignment="1">
      <alignment horizontal="left" vertical="top" wrapText="1"/>
    </xf>
    <xf numFmtId="174" fontId="6" fillId="2" borderId="6" xfId="0" applyNumberFormat="1" applyFont="1" applyFill="1" applyBorder="1" applyAlignment="1">
      <alignment horizontal="right" vertical="top" wrapText="1"/>
    </xf>
    <xf numFmtId="174" fontId="6" fillId="2" borderId="30" xfId="0" applyNumberFormat="1" applyFont="1" applyFill="1" applyBorder="1" applyAlignment="1" applyProtection="1">
      <alignment horizontal="right" vertical="top" wrapText="1"/>
      <protection locked="0"/>
    </xf>
    <xf numFmtId="174" fontId="13" fillId="2" borderId="6" xfId="0" applyNumberFormat="1" applyFont="1" applyFill="1" applyBorder="1" applyAlignment="1">
      <alignment vertical="center"/>
    </xf>
    <xf numFmtId="174" fontId="13" fillId="2" borderId="35" xfId="0" applyNumberFormat="1" applyFont="1" applyFill="1" applyBorder="1" applyAlignment="1">
      <alignment vertical="center"/>
    </xf>
    <xf numFmtId="3" fontId="18" fillId="2" borderId="6" xfId="0" applyNumberFormat="1" applyFont="1" applyFill="1" applyBorder="1" applyAlignment="1" applyProtection="1">
      <alignment horizontal="right" vertical="top" wrapText="1"/>
      <protection locked="0"/>
    </xf>
    <xf numFmtId="176" fontId="6" fillId="2" borderId="47" xfId="1" applyNumberFormat="1" applyFont="1" applyFill="1" applyBorder="1" applyAlignment="1">
      <alignment vertical="center" wrapText="1"/>
    </xf>
    <xf numFmtId="176" fontId="6" fillId="2" borderId="48" xfId="1" applyNumberFormat="1" applyFont="1" applyFill="1" applyBorder="1" applyAlignment="1">
      <alignment vertical="center" wrapText="1"/>
    </xf>
    <xf numFmtId="0" fontId="0" fillId="2" borderId="25" xfId="0" applyFill="1" applyBorder="1" applyProtection="1"/>
    <xf numFmtId="0" fontId="13" fillId="2" borderId="7" xfId="0" applyFont="1" applyFill="1" applyBorder="1" applyAlignment="1" applyProtection="1">
      <alignment horizontal="left" vertical="top" wrapText="1" indent="1"/>
    </xf>
    <xf numFmtId="0" fontId="68" fillId="11" borderId="25" xfId="0" applyFont="1" applyFill="1" applyBorder="1" applyProtection="1"/>
    <xf numFmtId="0" fontId="73" fillId="11" borderId="24" xfId="0" applyFont="1" applyFill="1" applyBorder="1" applyAlignment="1" applyProtection="1">
      <alignment horizontal="left" vertical="top" wrapText="1"/>
    </xf>
    <xf numFmtId="174" fontId="72" fillId="11" borderId="30" xfId="0" applyNumberFormat="1" applyFont="1" applyFill="1" applyBorder="1" applyAlignment="1" applyProtection="1">
      <alignment horizontal="right" vertical="top" wrapText="1"/>
    </xf>
    <xf numFmtId="174" fontId="3" fillId="2" borderId="6" xfId="0" applyNumberFormat="1" applyFont="1" applyFill="1" applyBorder="1" applyAlignment="1" applyProtection="1">
      <alignment horizontal="right" vertical="top" wrapText="1"/>
    </xf>
    <xf numFmtId="174" fontId="72" fillId="11" borderId="6" xfId="0" applyNumberFormat="1" applyFont="1" applyFill="1" applyBorder="1" applyAlignment="1" applyProtection="1">
      <alignment horizontal="right" vertical="top" wrapText="1"/>
    </xf>
    <xf numFmtId="0" fontId="0" fillId="2" borderId="0" xfId="0" applyFill="1" applyProtection="1"/>
    <xf numFmtId="3" fontId="0" fillId="2" borderId="0" xfId="0" applyNumberFormat="1" applyFill="1" applyProtection="1"/>
    <xf numFmtId="178" fontId="0" fillId="2" borderId="0" xfId="0" applyNumberFormat="1" applyFill="1" applyProtection="1"/>
    <xf numFmtId="175" fontId="0" fillId="2" borderId="0" xfId="0" applyNumberFormat="1" applyFill="1" applyProtection="1"/>
    <xf numFmtId="175" fontId="72" fillId="11" borderId="30" xfId="0" applyNumberFormat="1" applyFont="1" applyFill="1" applyBorder="1" applyAlignment="1" applyProtection="1">
      <alignment horizontal="right" vertical="top" wrapText="1"/>
    </xf>
    <xf numFmtId="0" fontId="0" fillId="7" borderId="0" xfId="0" applyFill="1" applyAlignment="1">
      <alignment horizontal="center"/>
    </xf>
    <xf numFmtId="0" fontId="0" fillId="4" borderId="0" xfId="0" applyFill="1" applyAlignment="1">
      <alignment horizontal="center"/>
    </xf>
    <xf numFmtId="0" fontId="0" fillId="0" borderId="0" xfId="0" applyBorder="1" applyAlignment="1">
      <alignment horizontal="center"/>
    </xf>
    <xf numFmtId="0" fontId="4" fillId="2" borderId="0" xfId="0" applyFont="1" applyFill="1" applyAlignment="1">
      <alignment horizontal="center" wrapText="1"/>
    </xf>
    <xf numFmtId="0" fontId="4" fillId="0" borderId="0" xfId="0" quotePrefix="1" applyFont="1" applyFill="1"/>
    <xf numFmtId="0" fontId="4" fillId="0" borderId="7" xfId="0" applyFont="1" applyBorder="1" applyAlignment="1" applyProtection="1">
      <alignment horizontal="left" vertical="top" wrapText="1" indent="1"/>
      <protection locked="0"/>
    </xf>
    <xf numFmtId="0" fontId="12" fillId="0" borderId="7" xfId="0" applyFont="1" applyBorder="1" applyAlignment="1" applyProtection="1">
      <alignment horizontal="left" vertical="top" wrapText="1" indent="3"/>
      <protection locked="0"/>
    </xf>
    <xf numFmtId="174" fontId="13" fillId="0" borderId="35" xfId="0" applyNumberFormat="1" applyFont="1" applyFill="1" applyBorder="1" applyAlignment="1" applyProtection="1">
      <alignment vertical="center"/>
      <protection locked="0"/>
    </xf>
    <xf numFmtId="0" fontId="13" fillId="0" borderId="7" xfId="0" applyFont="1" applyBorder="1" applyAlignment="1" applyProtection="1">
      <alignment horizontal="left" vertical="top" wrapText="1" indent="1"/>
      <protection locked="0"/>
    </xf>
    <xf numFmtId="174" fontId="4" fillId="0" borderId="35" xfId="0" applyNumberFormat="1" applyFont="1" applyFill="1" applyBorder="1" applyAlignment="1" applyProtection="1">
      <alignment vertical="center"/>
      <protection locked="0"/>
    </xf>
    <xf numFmtId="174" fontId="13" fillId="0" borderId="6" xfId="0" applyNumberFormat="1" applyFont="1" applyFill="1" applyBorder="1" applyAlignment="1" applyProtection="1">
      <alignment vertical="center"/>
      <protection locked="0"/>
    </xf>
    <xf numFmtId="174" fontId="4" fillId="0" borderId="6" xfId="0" applyNumberFormat="1" applyFont="1" applyFill="1" applyBorder="1" applyAlignment="1" applyProtection="1">
      <alignment vertical="center"/>
      <protection locked="0"/>
    </xf>
    <xf numFmtId="0" fontId="4" fillId="2" borderId="0" xfId="0" applyFont="1" applyFill="1"/>
    <xf numFmtId="167" fontId="6" fillId="0" borderId="0" xfId="0" applyNumberFormat="1" applyFont="1" applyFill="1" applyAlignment="1">
      <alignment horizontal="center"/>
    </xf>
    <xf numFmtId="0" fontId="48" fillId="0" borderId="0" xfId="0" applyFont="1" applyFill="1"/>
    <xf numFmtId="0" fontId="48" fillId="0" borderId="0" xfId="0" quotePrefix="1" applyFont="1" applyFill="1"/>
    <xf numFmtId="0" fontId="0" fillId="0" borderId="0" xfId="0" quotePrefix="1" applyFill="1"/>
    <xf numFmtId="167" fontId="0" fillId="0" borderId="0" xfId="0" quotePrefix="1" applyNumberFormat="1" applyFill="1" applyAlignment="1">
      <alignment horizontal="right"/>
    </xf>
    <xf numFmtId="167" fontId="0" fillId="0" borderId="0" xfId="0" quotePrefix="1" applyNumberFormat="1" applyFill="1"/>
    <xf numFmtId="167" fontId="0" fillId="0" borderId="0" xfId="0" quotePrefix="1" applyNumberFormat="1" applyFill="1"/>
    <xf numFmtId="0" fontId="5" fillId="0" borderId="0" xfId="0" applyFont="1" applyFill="1" applyAlignment="1">
      <alignment horizontal="center"/>
    </xf>
    <xf numFmtId="0" fontId="4" fillId="0" borderId="0" xfId="0" quotePrefix="1" applyFont="1" applyFill="1" applyAlignment="1"/>
    <xf numFmtId="167" fontId="49" fillId="0" borderId="0" xfId="0" quotePrefix="1" applyNumberFormat="1" applyFont="1" applyFill="1" applyAlignment="1"/>
    <xf numFmtId="0" fontId="4" fillId="0" borderId="0" xfId="0" applyFont="1" applyFill="1" applyAlignment="1"/>
    <xf numFmtId="0" fontId="50" fillId="0" borderId="0" xfId="0" applyFont="1" applyFill="1" applyAlignment="1">
      <alignment horizontal="left" indent="1"/>
    </xf>
    <xf numFmtId="0" fontId="6" fillId="0" borderId="0" xfId="0" quotePrefix="1" applyFont="1" applyFill="1" applyAlignment="1"/>
    <xf numFmtId="0" fontId="6" fillId="0" borderId="0" xfId="0" applyFont="1" applyFill="1" applyAlignment="1">
      <alignment horizontal="center"/>
    </xf>
    <xf numFmtId="0" fontId="52" fillId="0" borderId="0" xfId="0" applyFont="1" applyFill="1" applyAlignment="1">
      <alignment horizontal="left"/>
    </xf>
    <xf numFmtId="0" fontId="48" fillId="0" borderId="0" xfId="0" quotePrefix="1" applyFont="1" applyFill="1" applyAlignment="1">
      <alignment horizontal="center"/>
    </xf>
    <xf numFmtId="167" fontId="0" fillId="0" borderId="0" xfId="0" applyNumberFormat="1" applyFill="1"/>
    <xf numFmtId="0" fontId="17" fillId="2" borderId="0" xfId="0" applyFont="1" applyFill="1"/>
    <xf numFmtId="0" fontId="41" fillId="0" borderId="0" xfId="0" applyFont="1" applyAlignment="1">
      <alignment horizontal="right"/>
    </xf>
    <xf numFmtId="0" fontId="17" fillId="2" borderId="0" xfId="0" applyFont="1" applyFill="1"/>
    <xf numFmtId="0" fontId="50" fillId="0" borderId="0" xfId="0" applyFont="1"/>
    <xf numFmtId="0" fontId="47" fillId="0" borderId="0" xfId="0" applyFont="1" applyFill="1" applyBorder="1"/>
    <xf numFmtId="0" fontId="4" fillId="0" borderId="49" xfId="0" applyFont="1" applyBorder="1" applyAlignment="1">
      <alignment horizontal="right"/>
    </xf>
    <xf numFmtId="176" fontId="0" fillId="0" borderId="50" xfId="0" applyNumberFormat="1" applyBorder="1" applyAlignment="1">
      <alignment horizontal="center"/>
    </xf>
    <xf numFmtId="176" fontId="0" fillId="0" borderId="51" xfId="0" applyNumberFormat="1" applyBorder="1" applyAlignment="1">
      <alignment horizontal="center"/>
    </xf>
    <xf numFmtId="0" fontId="69" fillId="11" borderId="52" xfId="0" applyFont="1" applyFill="1" applyBorder="1" applyAlignment="1">
      <alignment horizontal="left" vertical="top"/>
    </xf>
    <xf numFmtId="0" fontId="8" fillId="2" borderId="35" xfId="0" applyFont="1" applyFill="1" applyBorder="1" applyAlignment="1">
      <alignment horizontal="left" vertical="top" wrapText="1"/>
    </xf>
    <xf numFmtId="0" fontId="4" fillId="0" borderId="0" xfId="0" applyFont="1" applyBorder="1" applyAlignment="1" applyProtection="1">
      <alignment horizontal="left" vertical="top" wrapText="1" indent="1"/>
      <protection locked="0"/>
    </xf>
    <xf numFmtId="0" fontId="13" fillId="0" borderId="0" xfId="0" applyFont="1" applyBorder="1" applyAlignment="1" applyProtection="1">
      <alignment horizontal="left" vertical="top" wrapText="1" indent="1"/>
      <protection locked="0"/>
    </xf>
    <xf numFmtId="0" fontId="4" fillId="0" borderId="0" xfId="0" applyFont="1" applyBorder="1" applyAlignment="1">
      <alignment horizontal="left" vertical="top" wrapText="1" indent="1"/>
    </xf>
    <xf numFmtId="0" fontId="4" fillId="0" borderId="36"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0" borderId="35" xfId="0" applyFont="1" applyFill="1" applyBorder="1" applyAlignment="1">
      <alignment horizontal="left" vertical="top" wrapText="1"/>
    </xf>
    <xf numFmtId="0" fontId="8" fillId="2" borderId="52" xfId="0" applyFont="1" applyFill="1" applyBorder="1" applyAlignment="1">
      <alignment horizontal="left" vertical="top"/>
    </xf>
    <xf numFmtId="0" fontId="8" fillId="2" borderId="52" xfId="0" applyFont="1" applyFill="1" applyBorder="1" applyAlignment="1">
      <alignment horizontal="left" vertical="top" wrapText="1"/>
    </xf>
    <xf numFmtId="0" fontId="74" fillId="0" borderId="7" xfId="0" applyFont="1" applyBorder="1" applyAlignment="1" applyProtection="1">
      <alignment horizontal="left" vertical="top" wrapText="1" indent="1"/>
      <protection locked="0"/>
    </xf>
    <xf numFmtId="0" fontId="12" fillId="0" borderId="7" xfId="0" applyFont="1" applyBorder="1" applyAlignment="1" applyProtection="1">
      <alignment horizontal="left" vertical="top" wrapText="1" indent="2"/>
      <protection locked="0"/>
    </xf>
    <xf numFmtId="0" fontId="12" fillId="0" borderId="0" xfId="0" applyFont="1" applyBorder="1" applyAlignment="1" applyProtection="1">
      <alignment horizontal="left" vertical="top" wrapText="1" indent="2"/>
      <protection locked="0"/>
    </xf>
    <xf numFmtId="176" fontId="10" fillId="0" borderId="0" xfId="1" applyNumberFormat="1" applyFont="1" applyFill="1"/>
    <xf numFmtId="0" fontId="17" fillId="0" borderId="0" xfId="0" applyFont="1" applyFill="1"/>
    <xf numFmtId="0" fontId="26" fillId="0" borderId="0" xfId="0" applyFont="1" applyFill="1"/>
    <xf numFmtId="0" fontId="6" fillId="0" borderId="0" xfId="5" applyFont="1" applyFill="1" applyBorder="1" applyAlignment="1">
      <alignment horizontal="center" vertical="top" wrapText="1"/>
    </xf>
    <xf numFmtId="0" fontId="12" fillId="0" borderId="0" xfId="4" applyFont="1" applyFill="1" applyAlignment="1">
      <alignment vertical="center"/>
    </xf>
    <xf numFmtId="0" fontId="19" fillId="0" borderId="0" xfId="0" applyFont="1" applyFill="1"/>
    <xf numFmtId="176" fontId="6" fillId="0" borderId="14" xfId="0" applyNumberFormat="1" applyFont="1" applyFill="1" applyBorder="1"/>
    <xf numFmtId="0" fontId="6" fillId="0" borderId="0" xfId="5" applyFont="1" applyFill="1" applyAlignment="1">
      <alignment vertical="center"/>
    </xf>
    <xf numFmtId="0" fontId="6" fillId="0" borderId="0" xfId="0" applyFont="1" applyFill="1"/>
    <xf numFmtId="0" fontId="21" fillId="2" borderId="5" xfId="0" applyFont="1" applyFill="1" applyBorder="1" applyAlignment="1">
      <alignment horizontal="left" vertical="top" wrapText="1"/>
    </xf>
    <xf numFmtId="0" fontId="4" fillId="0" borderId="53" xfId="0" applyFont="1" applyFill="1" applyBorder="1" applyAlignment="1">
      <alignment horizontal="left" vertical="top" wrapText="1"/>
    </xf>
    <xf numFmtId="0" fontId="8" fillId="2" borderId="5" xfId="0" applyFont="1" applyFill="1" applyBorder="1" applyAlignment="1">
      <alignment horizontal="left" vertical="top" wrapText="1"/>
    </xf>
    <xf numFmtId="0" fontId="5" fillId="14" borderId="4" xfId="0" applyFont="1" applyFill="1" applyBorder="1" applyAlignment="1">
      <alignment horizontal="center" vertical="top" wrapText="1"/>
    </xf>
    <xf numFmtId="0" fontId="4" fillId="2" borderId="53" xfId="0" applyFont="1" applyFill="1" applyBorder="1" applyAlignment="1">
      <alignment horizontal="left" vertical="top" wrapText="1"/>
    </xf>
    <xf numFmtId="0" fontId="68" fillId="2" borderId="54" xfId="0" applyFont="1" applyFill="1" applyBorder="1"/>
    <xf numFmtId="0" fontId="0" fillId="2" borderId="0" xfId="0" applyFill="1" applyBorder="1" applyAlignment="1">
      <alignment horizontal="center"/>
    </xf>
    <xf numFmtId="0" fontId="77" fillId="2" borderId="0" xfId="0" applyFont="1" applyFill="1"/>
    <xf numFmtId="0" fontId="5" fillId="12" borderId="9" xfId="0" applyFont="1" applyFill="1" applyBorder="1" applyAlignment="1">
      <alignment horizontal="center" vertical="top" wrapText="1"/>
    </xf>
    <xf numFmtId="0" fontId="5" fillId="12" borderId="21" xfId="0" applyFont="1" applyFill="1" applyBorder="1" applyAlignment="1">
      <alignment horizontal="center" vertical="top" wrapText="1"/>
    </xf>
    <xf numFmtId="3" fontId="18" fillId="2" borderId="1" xfId="0" applyNumberFormat="1" applyFont="1" applyFill="1" applyBorder="1" applyAlignment="1" applyProtection="1">
      <alignment horizontal="right" vertical="top" wrapText="1"/>
      <protection locked="0"/>
    </xf>
    <xf numFmtId="3" fontId="18" fillId="2" borderId="0" xfId="0" applyNumberFormat="1" applyFont="1" applyFill="1" applyBorder="1" applyAlignment="1" applyProtection="1">
      <alignment horizontal="right" vertical="top" wrapText="1"/>
      <protection locked="0"/>
    </xf>
    <xf numFmtId="3" fontId="3" fillId="11" borderId="6" xfId="0" applyNumberFormat="1" applyFont="1" applyFill="1" applyBorder="1" applyAlignment="1" applyProtection="1">
      <alignment horizontal="right" vertical="top" wrapText="1"/>
      <protection locked="0"/>
    </xf>
    <xf numFmtId="0" fontId="68" fillId="2" borderId="25" xfId="0" applyFont="1" applyFill="1" applyBorder="1"/>
    <xf numFmtId="0" fontId="0" fillId="0" borderId="6" xfId="0" applyBorder="1"/>
    <xf numFmtId="0" fontId="79" fillId="2" borderId="55" xfId="0" applyFont="1" applyFill="1" applyBorder="1" applyAlignment="1">
      <alignment horizontal="left" vertical="top" wrapText="1"/>
    </xf>
    <xf numFmtId="174" fontId="27" fillId="2" borderId="56" xfId="0" applyNumberFormat="1" applyFont="1" applyFill="1" applyBorder="1" applyAlignment="1" applyProtection="1">
      <alignment horizontal="right" vertical="top" wrapText="1"/>
      <protection locked="0"/>
    </xf>
    <xf numFmtId="0" fontId="5" fillId="14" borderId="32" xfId="0" applyFont="1" applyFill="1" applyBorder="1" applyAlignment="1">
      <alignment horizontal="center" vertical="top" wrapText="1"/>
    </xf>
    <xf numFmtId="0" fontId="80" fillId="11" borderId="28" xfId="0" applyFont="1" applyFill="1" applyBorder="1" applyAlignment="1">
      <alignment horizontal="left" vertical="top"/>
    </xf>
    <xf numFmtId="0" fontId="81" fillId="11" borderId="24" xfId="0" applyFont="1" applyFill="1" applyBorder="1" applyAlignment="1">
      <alignment horizontal="left" vertical="top" wrapText="1"/>
    </xf>
    <xf numFmtId="175" fontId="82" fillId="11" borderId="6" xfId="0" applyNumberFormat="1" applyFont="1" applyFill="1" applyBorder="1" applyAlignment="1" applyProtection="1">
      <alignment horizontal="right" vertical="top" wrapText="1"/>
      <protection locked="0"/>
    </xf>
    <xf numFmtId="0" fontId="83" fillId="0" borderId="0" xfId="0" applyFont="1" applyFill="1" applyBorder="1" applyAlignment="1">
      <alignment horizontal="left" vertical="top" wrapText="1"/>
    </xf>
    <xf numFmtId="175" fontId="82" fillId="0" borderId="0" xfId="0" applyNumberFormat="1" applyFont="1" applyFill="1" applyBorder="1" applyAlignment="1" applyProtection="1">
      <alignment horizontal="right" vertical="top" wrapText="1"/>
      <protection locked="0"/>
    </xf>
    <xf numFmtId="0" fontId="80" fillId="11" borderId="24" xfId="0" applyFont="1" applyFill="1" applyBorder="1" applyAlignment="1">
      <alignment horizontal="left" vertical="top"/>
    </xf>
    <xf numFmtId="175" fontId="53" fillId="11" borderId="6" xfId="0" applyNumberFormat="1" applyFont="1" applyFill="1" applyBorder="1" applyAlignment="1" applyProtection="1">
      <alignment horizontal="right" vertical="top" wrapText="1"/>
      <protection locked="0"/>
    </xf>
    <xf numFmtId="175" fontId="82" fillId="11" borderId="30" xfId="0" applyNumberFormat="1" applyFont="1" applyFill="1" applyBorder="1" applyAlignment="1" applyProtection="1">
      <alignment horizontal="right" vertical="top" wrapText="1"/>
      <protection locked="0"/>
    </xf>
    <xf numFmtId="0" fontId="84" fillId="0" borderId="7" xfId="0" applyFont="1" applyBorder="1" applyAlignment="1">
      <alignment horizontal="left" vertical="top" wrapText="1" indent="1"/>
    </xf>
    <xf numFmtId="3" fontId="53" fillId="0" borderId="6" xfId="0" applyNumberFormat="1" applyFont="1" applyBorder="1" applyAlignment="1">
      <alignment horizontal="right" vertical="top" wrapText="1"/>
    </xf>
    <xf numFmtId="0" fontId="84" fillId="0" borderId="0" xfId="0" applyFont="1"/>
    <xf numFmtId="3" fontId="84" fillId="0" borderId="0" xfId="0" applyNumberFormat="1" applyFont="1"/>
    <xf numFmtId="0" fontId="81" fillId="11" borderId="7" xfId="0" applyFont="1" applyFill="1" applyBorder="1" applyAlignment="1">
      <alignment horizontal="left" vertical="top" wrapText="1"/>
    </xf>
    <xf numFmtId="0" fontId="81" fillId="11" borderId="35" xfId="0" applyFont="1" applyFill="1" applyBorder="1" applyAlignment="1">
      <alignment horizontal="left" vertical="top" wrapText="1"/>
    </xf>
    <xf numFmtId="0" fontId="80" fillId="11" borderId="7" xfId="0" applyFont="1" applyFill="1" applyBorder="1" applyAlignment="1">
      <alignment horizontal="left" vertical="top"/>
    </xf>
    <xf numFmtId="0" fontId="80" fillId="11" borderId="35" xfId="0" applyFont="1" applyFill="1" applyBorder="1" applyAlignment="1">
      <alignment horizontal="left" vertical="top"/>
    </xf>
    <xf numFmtId="0" fontId="84" fillId="0" borderId="0" xfId="0" applyFont="1" applyBorder="1" applyAlignment="1">
      <alignment horizontal="left" vertical="top" wrapText="1" indent="1"/>
    </xf>
    <xf numFmtId="0" fontId="21" fillId="2" borderId="9" xfId="0" applyFont="1" applyFill="1" applyBorder="1" applyAlignment="1">
      <alignment horizontal="left" vertical="top" wrapText="1"/>
    </xf>
    <xf numFmtId="0" fontId="85" fillId="2" borderId="0" xfId="0" applyFont="1" applyFill="1"/>
    <xf numFmtId="0" fontId="86" fillId="2" borderId="0" xfId="0" applyFont="1" applyFill="1"/>
    <xf numFmtId="0" fontId="6" fillId="0" borderId="0" xfId="0" applyFont="1" applyFill="1" applyAlignment="1">
      <alignment horizontal="right"/>
    </xf>
    <xf numFmtId="0" fontId="0" fillId="0" borderId="35" xfId="0" applyBorder="1"/>
    <xf numFmtId="0" fontId="4" fillId="0" borderId="38" xfId="0" applyFont="1" applyBorder="1"/>
    <xf numFmtId="2" fontId="0" fillId="0" borderId="61" xfId="0" applyNumberFormat="1" applyBorder="1"/>
    <xf numFmtId="9" fontId="0" fillId="0" borderId="62" xfId="8" applyNumberFormat="1" applyFont="1" applyBorder="1"/>
    <xf numFmtId="2" fontId="0" fillId="0" borderId="63" xfId="0" applyNumberFormat="1" applyBorder="1"/>
    <xf numFmtId="9" fontId="0" fillId="0" borderId="52" xfId="8" applyNumberFormat="1" applyFont="1" applyBorder="1"/>
    <xf numFmtId="0" fontId="0" fillId="0" borderId="35" xfId="0" applyFill="1" applyBorder="1"/>
    <xf numFmtId="0" fontId="0" fillId="0" borderId="60" xfId="0" applyFill="1" applyBorder="1"/>
    <xf numFmtId="0" fontId="19" fillId="0" borderId="1" xfId="0" applyFont="1" applyFill="1" applyBorder="1"/>
    <xf numFmtId="0" fontId="19" fillId="0" borderId="57" xfId="0" applyFont="1" applyFill="1" applyBorder="1"/>
    <xf numFmtId="176" fontId="0" fillId="0" borderId="0" xfId="0" applyNumberFormat="1" applyFill="1"/>
    <xf numFmtId="174" fontId="6" fillId="0" borderId="30" xfId="0" applyNumberFormat="1" applyFont="1" applyFill="1" applyBorder="1" applyAlignment="1" applyProtection="1">
      <alignment horizontal="right" vertical="top" wrapText="1"/>
      <protection locked="0"/>
    </xf>
    <xf numFmtId="174" fontId="72" fillId="0" borderId="0" xfId="0" applyNumberFormat="1" applyFont="1" applyFill="1" applyBorder="1" applyAlignment="1" applyProtection="1">
      <alignment horizontal="right" vertical="top" wrapText="1"/>
      <protection locked="0"/>
    </xf>
    <xf numFmtId="175" fontId="3" fillId="0" borderId="0" xfId="0" applyNumberFormat="1" applyFont="1" applyFill="1" applyBorder="1"/>
    <xf numFmtId="0" fontId="67" fillId="0" borderId="0" xfId="0" applyFont="1"/>
    <xf numFmtId="180" fontId="12" fillId="0" borderId="0" xfId="4" applyNumberFormat="1" applyFont="1" applyFill="1" applyAlignment="1">
      <alignment vertical="center"/>
    </xf>
    <xf numFmtId="174" fontId="3" fillId="0" borderId="6" xfId="0" applyNumberFormat="1" applyFont="1" applyFill="1" applyBorder="1" applyAlignment="1" applyProtection="1">
      <alignment vertical="center"/>
      <protection locked="0"/>
    </xf>
    <xf numFmtId="174" fontId="3" fillId="0" borderId="35" xfId="0" applyNumberFormat="1" applyFont="1" applyFill="1" applyBorder="1" applyAlignment="1" applyProtection="1">
      <alignment vertical="center"/>
      <protection locked="0"/>
    </xf>
    <xf numFmtId="174" fontId="6" fillId="0" borderId="6" xfId="0" applyNumberFormat="1" applyFont="1" applyFill="1" applyBorder="1" applyAlignment="1" applyProtection="1">
      <alignment vertical="center"/>
      <protection locked="0"/>
    </xf>
    <xf numFmtId="174" fontId="6" fillId="0" borderId="35" xfId="0" applyNumberFormat="1" applyFont="1" applyFill="1" applyBorder="1" applyAlignment="1" applyProtection="1">
      <alignment vertical="center"/>
      <protection locked="0"/>
    </xf>
    <xf numFmtId="0" fontId="5" fillId="0" borderId="0" xfId="0" applyFont="1" applyFill="1" applyBorder="1" applyAlignment="1">
      <alignment horizontal="center" vertical="top" wrapText="1"/>
    </xf>
    <xf numFmtId="0" fontId="87" fillId="0" borderId="0" xfId="0" applyFont="1" applyFill="1"/>
    <xf numFmtId="174" fontId="72" fillId="11" borderId="1" xfId="0" applyNumberFormat="1" applyFont="1" applyFill="1" applyBorder="1" applyAlignment="1" applyProtection="1">
      <alignment horizontal="right" vertical="top" wrapText="1"/>
      <protection locked="0"/>
    </xf>
    <xf numFmtId="174" fontId="70" fillId="11" borderId="1" xfId="0" applyNumberFormat="1" applyFont="1" applyFill="1" applyBorder="1" applyAlignment="1" applyProtection="1">
      <alignment horizontal="right" vertical="top" wrapText="1"/>
      <protection locked="0"/>
    </xf>
    <xf numFmtId="174" fontId="3" fillId="2" borderId="63" xfId="0" applyNumberFormat="1" applyFont="1" applyFill="1" applyBorder="1" applyAlignment="1" applyProtection="1">
      <alignment horizontal="right" vertical="top" wrapText="1"/>
      <protection locked="0"/>
    </xf>
    <xf numFmtId="174" fontId="4" fillId="0" borderId="21" xfId="0" applyNumberFormat="1" applyFont="1" applyFill="1" applyBorder="1" applyAlignment="1">
      <alignment vertical="center"/>
    </xf>
    <xf numFmtId="175" fontId="72" fillId="11" borderId="64" xfId="0" applyNumberFormat="1" applyFont="1" applyFill="1" applyBorder="1" applyAlignment="1" applyProtection="1">
      <alignment horizontal="right" vertical="top" wrapText="1"/>
      <protection locked="0"/>
    </xf>
    <xf numFmtId="3" fontId="3" fillId="0" borderId="1" xfId="0" applyNumberFormat="1" applyFont="1" applyBorder="1" applyAlignment="1">
      <alignment horizontal="right" vertical="top" wrapText="1"/>
    </xf>
    <xf numFmtId="0" fontId="5" fillId="12" borderId="65" xfId="0" applyFont="1" applyFill="1" applyBorder="1" applyAlignment="1">
      <alignment horizontal="center" vertical="top" wrapText="1"/>
    </xf>
    <xf numFmtId="43" fontId="0" fillId="0" borderId="6" xfId="0" applyNumberFormat="1" applyBorder="1"/>
    <xf numFmtId="3" fontId="10" fillId="11" borderId="63" xfId="0" applyNumberFormat="1" applyFont="1" applyFill="1" applyBorder="1" applyAlignment="1" applyProtection="1">
      <alignment horizontal="center" vertical="top" wrapText="1"/>
      <protection locked="0"/>
    </xf>
    <xf numFmtId="3" fontId="3" fillId="2" borderId="1" xfId="0" applyNumberFormat="1" applyFont="1" applyFill="1" applyBorder="1" applyAlignment="1" applyProtection="1">
      <alignment horizontal="right" vertical="top" wrapText="1"/>
      <protection locked="0"/>
    </xf>
    <xf numFmtId="3" fontId="3" fillId="0" borderId="1" xfId="0" applyNumberFormat="1" applyFont="1" applyFill="1" applyBorder="1" applyAlignment="1" applyProtection="1">
      <alignment horizontal="right" vertical="top" wrapText="1"/>
      <protection locked="0"/>
    </xf>
    <xf numFmtId="174" fontId="3" fillId="0" borderId="0" xfId="0" applyNumberFormat="1" applyFont="1" applyFill="1" applyBorder="1" applyAlignment="1" applyProtection="1">
      <alignment vertical="center"/>
      <protection locked="0"/>
    </xf>
    <xf numFmtId="174" fontId="3" fillId="0" borderId="1" xfId="0" applyNumberFormat="1" applyFont="1" applyFill="1" applyBorder="1" applyAlignment="1" applyProtection="1">
      <alignment horizontal="right" vertical="top" wrapText="1"/>
      <protection locked="0"/>
    </xf>
    <xf numFmtId="174" fontId="6" fillId="0" borderId="0" xfId="0" applyNumberFormat="1" applyFont="1" applyFill="1" applyBorder="1" applyAlignment="1" applyProtection="1">
      <alignment vertical="center"/>
      <protection locked="0"/>
    </xf>
    <xf numFmtId="174" fontId="6" fillId="0" borderId="64" xfId="0" applyNumberFormat="1" applyFont="1" applyFill="1" applyBorder="1" applyAlignment="1" applyProtection="1">
      <alignment horizontal="right" vertical="top" wrapText="1"/>
      <protection locked="0"/>
    </xf>
    <xf numFmtId="174" fontId="3" fillId="2" borderId="1" xfId="0" applyNumberFormat="1" applyFont="1" applyFill="1" applyBorder="1" applyAlignment="1" applyProtection="1">
      <alignment horizontal="right" vertical="top" wrapText="1"/>
      <protection locked="0"/>
    </xf>
    <xf numFmtId="174" fontId="4" fillId="0" borderId="0" xfId="0" applyNumberFormat="1" applyFont="1" applyFill="1" applyBorder="1" applyAlignment="1">
      <alignment vertical="center"/>
    </xf>
    <xf numFmtId="0" fontId="5" fillId="12" borderId="55" xfId="0" applyFont="1" applyFill="1" applyBorder="1" applyAlignment="1">
      <alignment horizontal="center" vertical="top" wrapText="1"/>
    </xf>
    <xf numFmtId="0" fontId="0" fillId="0" borderId="24" xfId="0" applyBorder="1"/>
    <xf numFmtId="0" fontId="48" fillId="0" borderId="0" xfId="0" quotePrefix="1" applyFont="1" applyFill="1" applyAlignment="1"/>
    <xf numFmtId="0" fontId="48" fillId="0" borderId="0" xfId="0" applyFont="1" applyFill="1" applyAlignment="1"/>
    <xf numFmtId="168" fontId="10" fillId="7" borderId="0" xfId="0" applyNumberFormat="1" applyFont="1" applyFill="1"/>
    <xf numFmtId="0" fontId="0" fillId="0" borderId="45" xfId="0" applyBorder="1"/>
    <xf numFmtId="176" fontId="13" fillId="0" borderId="45" xfId="0" applyNumberFormat="1" applyFont="1" applyFill="1" applyBorder="1"/>
    <xf numFmtId="179" fontId="13" fillId="0" borderId="0" xfId="0" applyNumberFormat="1" applyFont="1" applyFill="1" applyBorder="1"/>
    <xf numFmtId="181" fontId="13" fillId="0" borderId="35" xfId="0" applyNumberFormat="1" applyFont="1" applyFill="1" applyBorder="1" applyAlignment="1" applyProtection="1">
      <alignment vertical="center"/>
      <protection locked="0"/>
    </xf>
    <xf numFmtId="181" fontId="4" fillId="0" borderId="35" xfId="0" applyNumberFormat="1" applyFont="1" applyFill="1" applyBorder="1" applyAlignment="1" applyProtection="1">
      <alignment vertical="center"/>
      <protection locked="0"/>
    </xf>
    <xf numFmtId="180" fontId="0" fillId="17" borderId="21" xfId="0" applyNumberFormat="1" applyFill="1" applyBorder="1"/>
    <xf numFmtId="180" fontId="0" fillId="18" borderId="21" xfId="0" applyNumberFormat="1" applyFill="1" applyBorder="1"/>
    <xf numFmtId="0" fontId="0" fillId="18" borderId="21" xfId="0" applyFill="1" applyBorder="1"/>
    <xf numFmtId="0" fontId="0" fillId="18" borderId="66" xfId="0" applyFill="1" applyBorder="1"/>
    <xf numFmtId="0" fontId="0" fillId="17" borderId="5" xfId="0" applyFill="1" applyBorder="1"/>
    <xf numFmtId="0" fontId="0" fillId="17" borderId="9" xfId="0" applyFill="1" applyBorder="1"/>
    <xf numFmtId="0" fontId="4" fillId="17" borderId="9" xfId="0" applyFont="1" applyFill="1" applyBorder="1" applyAlignment="1">
      <alignment horizontal="right"/>
    </xf>
    <xf numFmtId="180" fontId="0" fillId="17" borderId="67" xfId="0" applyNumberFormat="1" applyFill="1" applyBorder="1"/>
    <xf numFmtId="0" fontId="0" fillId="0" borderId="0" xfId="0" applyAlignment="1">
      <alignment vertical="center"/>
    </xf>
    <xf numFmtId="0" fontId="23" fillId="0" borderId="0" xfId="0" applyFont="1" applyAlignment="1">
      <alignment vertical="center"/>
    </xf>
    <xf numFmtId="0" fontId="0" fillId="0" borderId="0" xfId="0" applyAlignment="1">
      <alignment horizontal="right" vertical="center"/>
    </xf>
    <xf numFmtId="0" fontId="0" fillId="0" borderId="0" xfId="0" applyFill="1" applyAlignment="1">
      <alignment horizontal="right" vertical="center"/>
    </xf>
    <xf numFmtId="0" fontId="0" fillId="0" borderId="0" xfId="0" applyFill="1" applyAlignment="1">
      <alignment vertical="center"/>
    </xf>
    <xf numFmtId="0" fontId="90" fillId="0" borderId="0" xfId="0" applyFont="1" applyAlignment="1">
      <alignment vertical="center"/>
    </xf>
    <xf numFmtId="0" fontId="91" fillId="0" borderId="0" xfId="0" applyFont="1"/>
    <xf numFmtId="0" fontId="0" fillId="17" borderId="53" xfId="0" applyFill="1" applyBorder="1"/>
    <xf numFmtId="0" fontId="0" fillId="17" borderId="21" xfId="0" applyFill="1" applyBorder="1"/>
    <xf numFmtId="0" fontId="0" fillId="0" borderId="0" xfId="0"/>
    <xf numFmtId="0" fontId="0" fillId="0" borderId="0" xfId="0" applyAlignment="1">
      <alignment horizontal="right"/>
    </xf>
    <xf numFmtId="0" fontId="23" fillId="0" borderId="0" xfId="0" applyFont="1"/>
    <xf numFmtId="0" fontId="0" fillId="2" borderId="0" xfId="0" applyFill="1"/>
    <xf numFmtId="0" fontId="13" fillId="0" borderId="0" xfId="0" applyFont="1"/>
    <xf numFmtId="0" fontId="88" fillId="0" borderId="0" xfId="0" applyFont="1"/>
    <xf numFmtId="0" fontId="89" fillId="0" borderId="0" xfId="0" applyFont="1"/>
    <xf numFmtId="0" fontId="13" fillId="2" borderId="2" xfId="0" applyFont="1" applyFill="1" applyBorder="1" applyAlignment="1">
      <alignment horizontal="right" vertical="center"/>
    </xf>
    <xf numFmtId="0" fontId="91" fillId="0" borderId="0" xfId="0" quotePrefix="1" applyFont="1" applyAlignment="1">
      <alignment horizontal="left"/>
    </xf>
    <xf numFmtId="0" fontId="89" fillId="0" borderId="0" xfId="0" applyFont="1" applyAlignment="1">
      <alignment horizontal="left" vertical="center"/>
    </xf>
    <xf numFmtId="0" fontId="13" fillId="0" borderId="0" xfId="0" applyFont="1" applyAlignment="1">
      <alignment horizontal="right" vertical="center"/>
    </xf>
    <xf numFmtId="0" fontId="95" fillId="0" borderId="0" xfId="0" applyFont="1" applyFill="1" applyAlignment="1">
      <alignment horizontal="right" vertical="center"/>
    </xf>
    <xf numFmtId="0" fontId="96" fillId="0" borderId="0" xfId="0" applyFont="1"/>
    <xf numFmtId="0" fontId="89" fillId="0" borderId="0" xfId="0" applyFont="1" applyAlignment="1">
      <alignment horizontal="right"/>
    </xf>
    <xf numFmtId="0" fontId="13" fillId="0" borderId="0" xfId="0" applyFont="1" applyFill="1" applyBorder="1" applyAlignment="1">
      <alignment horizontal="right" vertical="center" wrapText="1"/>
    </xf>
    <xf numFmtId="0" fontId="84" fillId="0" borderId="0" xfId="0" applyFont="1" applyFill="1" applyBorder="1"/>
    <xf numFmtId="0" fontId="2" fillId="0" borderId="0" xfId="0" applyFont="1" applyFill="1" applyBorder="1"/>
    <xf numFmtId="0" fontId="13" fillId="0" borderId="0" xfId="0" applyFont="1" applyFill="1" applyAlignment="1">
      <alignment horizontal="left" vertical="center"/>
    </xf>
    <xf numFmtId="0" fontId="89" fillId="0" borderId="0" xfId="0" applyFont="1" applyAlignment="1">
      <alignment horizontal="right" vertical="center" wrapText="1"/>
    </xf>
    <xf numFmtId="0" fontId="0" fillId="0" borderId="0" xfId="0" applyAlignment="1">
      <alignment vertical="center"/>
    </xf>
    <xf numFmtId="0" fontId="0" fillId="0" borderId="0" xfId="0" applyAlignment="1">
      <alignment horizontal="left" vertical="center"/>
    </xf>
    <xf numFmtId="0" fontId="93" fillId="6" borderId="2" xfId="0" applyFont="1" applyFill="1" applyBorder="1" applyAlignment="1">
      <alignment horizontal="right" vertical="center" wrapText="1"/>
    </xf>
    <xf numFmtId="0" fontId="94" fillId="6" borderId="2" xfId="0" applyFont="1" applyFill="1" applyBorder="1" applyAlignment="1">
      <alignment horizontal="right" vertical="center" wrapText="1"/>
    </xf>
    <xf numFmtId="0" fontId="94" fillId="11" borderId="2" xfId="0" applyFont="1" applyFill="1" applyBorder="1" applyAlignment="1">
      <alignment horizontal="right" vertical="center" wrapText="1"/>
    </xf>
    <xf numFmtId="0" fontId="4" fillId="19" borderId="0" xfId="0" applyFont="1" applyFill="1"/>
    <xf numFmtId="171" fontId="13" fillId="15" borderId="2" xfId="0" applyNumberFormat="1" applyFont="1" applyFill="1" applyBorder="1" applyAlignment="1" applyProtection="1">
      <alignment horizontal="right" vertical="center" wrapText="1"/>
      <protection locked="0"/>
    </xf>
    <xf numFmtId="171" fontId="95" fillId="11" borderId="2" xfId="0" applyNumberFormat="1" applyFont="1" applyFill="1" applyBorder="1" applyAlignment="1">
      <alignment horizontal="right" wrapText="1"/>
    </xf>
    <xf numFmtId="171" fontId="95" fillId="11" borderId="2" xfId="0" applyNumberFormat="1" applyFont="1" applyFill="1" applyBorder="1" applyAlignment="1">
      <alignment horizontal="right" vertical="center" wrapText="1"/>
    </xf>
    <xf numFmtId="171" fontId="13" fillId="2" borderId="2" xfId="0" applyNumberFormat="1" applyFont="1" applyFill="1" applyBorder="1" applyAlignment="1">
      <alignment horizontal="right" vertical="center"/>
    </xf>
    <xf numFmtId="171" fontId="95" fillId="2" borderId="2" xfId="0" applyNumberFormat="1" applyFont="1" applyFill="1" applyBorder="1" applyAlignment="1">
      <alignment horizontal="right" vertical="center" wrapText="1"/>
    </xf>
    <xf numFmtId="171" fontId="95" fillId="2" borderId="2" xfId="0" applyNumberFormat="1" applyFont="1" applyFill="1" applyBorder="1" applyAlignment="1">
      <alignment horizontal="right" vertical="center"/>
    </xf>
    <xf numFmtId="170" fontId="13" fillId="0" borderId="33" xfId="0" applyNumberFormat="1" applyFont="1" applyFill="1" applyBorder="1"/>
    <xf numFmtId="0" fontId="94" fillId="11" borderId="68" xfId="0" applyFont="1" applyFill="1" applyBorder="1" applyAlignment="1">
      <alignment horizontal="right" vertical="center" wrapText="1"/>
    </xf>
    <xf numFmtId="171" fontId="95" fillId="11" borderId="68" xfId="0" applyNumberFormat="1" applyFont="1" applyFill="1" applyBorder="1" applyAlignment="1">
      <alignment horizontal="right" vertical="center" wrapText="1"/>
    </xf>
    <xf numFmtId="0" fontId="89" fillId="0" borderId="38" xfId="0" applyFont="1" applyBorder="1" applyAlignment="1">
      <alignment horizontal="right" vertical="center"/>
    </xf>
    <xf numFmtId="0" fontId="0" fillId="0" borderId="38" xfId="0" applyFill="1" applyBorder="1" applyAlignment="1">
      <alignment horizontal="right" vertical="center"/>
    </xf>
    <xf numFmtId="0" fontId="0" fillId="0" borderId="38" xfId="0" applyFill="1"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89" fillId="0" borderId="0" xfId="0" applyFont="1" applyBorder="1" applyAlignment="1">
      <alignment horizontal="right" vertical="center"/>
    </xf>
    <xf numFmtId="0" fontId="0" fillId="0" borderId="45" xfId="0" applyBorder="1" applyAlignment="1">
      <alignment vertical="center"/>
    </xf>
    <xf numFmtId="0" fontId="89" fillId="0" borderId="42" xfId="0" applyFont="1" applyBorder="1" applyAlignment="1">
      <alignment horizontal="right" vertical="center"/>
    </xf>
    <xf numFmtId="0" fontId="89" fillId="0" borderId="43" xfId="0" applyFont="1" applyBorder="1" applyAlignment="1">
      <alignment vertical="center"/>
    </xf>
    <xf numFmtId="0" fontId="89" fillId="0" borderId="43" xfId="0" applyFont="1" applyBorder="1" applyAlignment="1">
      <alignment horizontal="right" vertical="center"/>
    </xf>
    <xf numFmtId="0" fontId="0" fillId="0" borderId="43" xfId="0" applyFill="1" applyBorder="1" applyAlignment="1">
      <alignment horizontal="right" vertical="center"/>
    </xf>
    <xf numFmtId="0" fontId="0" fillId="0" borderId="43" xfId="0" applyFill="1" applyBorder="1" applyAlignment="1">
      <alignment vertical="center"/>
    </xf>
    <xf numFmtId="0" fontId="0" fillId="0" borderId="43" xfId="0" applyBorder="1" applyAlignment="1">
      <alignment vertical="center"/>
    </xf>
    <xf numFmtId="0" fontId="0" fillId="0" borderId="44" xfId="0" applyBorder="1" applyAlignment="1">
      <alignment vertical="center"/>
    </xf>
    <xf numFmtId="2" fontId="0" fillId="0" borderId="0" xfId="0" applyNumberFormat="1"/>
    <xf numFmtId="43" fontId="0" fillId="0" borderId="0" xfId="0" applyNumberFormat="1"/>
    <xf numFmtId="182" fontId="13" fillId="0" borderId="0" xfId="8" applyNumberFormat="1" applyFont="1" applyFill="1"/>
    <xf numFmtId="10" fontId="2" fillId="0" borderId="0" xfId="8" applyNumberFormat="1"/>
    <xf numFmtId="0" fontId="13" fillId="7" borderId="7" xfId="0" applyFont="1" applyFill="1" applyBorder="1" applyAlignment="1" applyProtection="1">
      <alignment horizontal="left" vertical="top" wrapText="1" indent="1"/>
      <protection locked="0"/>
    </xf>
    <xf numFmtId="174" fontId="3" fillId="7" borderId="6" xfId="0" applyNumberFormat="1" applyFont="1" applyFill="1" applyBorder="1" applyAlignment="1" applyProtection="1">
      <alignment vertical="center"/>
      <protection locked="0"/>
    </xf>
    <xf numFmtId="0" fontId="0" fillId="7" borderId="24" xfId="0" applyFill="1" applyBorder="1"/>
    <xf numFmtId="0" fontId="0" fillId="7" borderId="6" xfId="0" applyFill="1" applyBorder="1"/>
    <xf numFmtId="43" fontId="4" fillId="7" borderId="0" xfId="1" applyFont="1" applyFill="1" applyBorder="1" applyAlignment="1">
      <alignment horizontal="right" vertical="top" wrapText="1"/>
    </xf>
    <xf numFmtId="43" fontId="13" fillId="7" borderId="0" xfId="1" applyFont="1" applyFill="1" applyBorder="1" applyAlignment="1" applyProtection="1">
      <alignment horizontal="right" vertical="top" wrapText="1"/>
      <protection locked="0"/>
    </xf>
    <xf numFmtId="43" fontId="4" fillId="7" borderId="14" xfId="1" applyFont="1" applyFill="1" applyBorder="1" applyAlignment="1">
      <alignment horizontal="right" vertical="top" wrapText="1"/>
    </xf>
    <xf numFmtId="43" fontId="13" fillId="7" borderId="0" xfId="1" applyFont="1" applyFill="1"/>
    <xf numFmtId="4" fontId="4" fillId="0" borderId="14" xfId="2" applyNumberFormat="1" applyFont="1" applyFill="1" applyBorder="1" applyAlignment="1">
      <alignment horizontal="right" vertical="top" wrapText="1"/>
    </xf>
    <xf numFmtId="43" fontId="4" fillId="0" borderId="14" xfId="2" applyNumberFormat="1" applyFont="1" applyFill="1" applyBorder="1" applyAlignment="1">
      <alignment horizontal="right" vertical="top" wrapText="1"/>
    </xf>
    <xf numFmtId="176" fontId="13" fillId="0" borderId="69" xfId="0" applyNumberFormat="1" applyFont="1" applyFill="1" applyBorder="1"/>
    <xf numFmtId="0" fontId="0" fillId="0" borderId="17" xfId="0" applyBorder="1"/>
    <xf numFmtId="0" fontId="0" fillId="0" borderId="70" xfId="0" applyBorder="1"/>
    <xf numFmtId="0" fontId="26" fillId="0" borderId="17" xfId="0" applyFont="1" applyFill="1" applyBorder="1"/>
    <xf numFmtId="0" fontId="26" fillId="0" borderId="0" xfId="0" applyFont="1" applyFill="1" applyBorder="1"/>
    <xf numFmtId="176" fontId="10" fillId="0" borderId="17" xfId="1" applyNumberFormat="1" applyFont="1" applyFill="1" applyBorder="1"/>
    <xf numFmtId="176" fontId="10" fillId="0" borderId="0" xfId="1" applyNumberFormat="1" applyFont="1" applyFill="1" applyBorder="1"/>
    <xf numFmtId="176" fontId="10" fillId="0" borderId="70" xfId="1" applyNumberFormat="1" applyFont="1" applyFill="1" applyBorder="1"/>
    <xf numFmtId="176" fontId="6" fillId="0" borderId="71" xfId="0" applyNumberFormat="1" applyFont="1" applyFill="1" applyBorder="1"/>
    <xf numFmtId="176" fontId="6" fillId="0" borderId="34" xfId="0" applyNumberFormat="1" applyFont="1" applyFill="1" applyBorder="1"/>
    <xf numFmtId="176" fontId="6" fillId="0" borderId="72" xfId="0" applyNumberFormat="1" applyFont="1" applyFill="1" applyBorder="1"/>
    <xf numFmtId="176" fontId="6" fillId="0" borderId="73" xfId="0" applyNumberFormat="1" applyFont="1" applyFill="1" applyBorder="1"/>
    <xf numFmtId="176" fontId="6" fillId="0" borderId="74" xfId="0" applyNumberFormat="1" applyFont="1" applyFill="1" applyBorder="1"/>
    <xf numFmtId="0" fontId="4" fillId="16" borderId="15" xfId="0" applyFont="1" applyFill="1" applyBorder="1"/>
    <xf numFmtId="0" fontId="0" fillId="16" borderId="75" xfId="0" applyFill="1" applyBorder="1"/>
    <xf numFmtId="0" fontId="0" fillId="16" borderId="76" xfId="0" applyFill="1" applyBorder="1"/>
    <xf numFmtId="174" fontId="4" fillId="0" borderId="14" xfId="0" applyNumberFormat="1" applyFont="1" applyFill="1" applyBorder="1" applyAlignment="1">
      <alignment vertical="center"/>
    </xf>
    <xf numFmtId="176" fontId="0" fillId="0" borderId="0" xfId="0" applyNumberFormat="1"/>
    <xf numFmtId="0" fontId="4" fillId="0" borderId="0" xfId="0" applyFont="1" applyFill="1"/>
    <xf numFmtId="0" fontId="30" fillId="0" borderId="0" xfId="0" applyFont="1" applyFill="1"/>
    <xf numFmtId="10" fontId="2" fillId="0" borderId="0" xfId="8" applyNumberFormat="1" applyFill="1" applyAlignment="1">
      <alignment vertical="center"/>
    </xf>
    <xf numFmtId="171" fontId="0" fillId="0" borderId="0" xfId="0" applyNumberFormat="1" applyFill="1" applyAlignment="1">
      <alignment vertical="center"/>
    </xf>
    <xf numFmtId="0" fontId="67" fillId="0" borderId="0" xfId="0" applyFont="1" applyAlignment="1">
      <alignment horizontal="left"/>
    </xf>
    <xf numFmtId="183" fontId="13" fillId="0" borderId="0" xfId="0" applyNumberFormat="1" applyFont="1" applyFill="1"/>
    <xf numFmtId="3" fontId="10" fillId="11" borderId="6" xfId="0" applyNumberFormat="1" applyFont="1" applyFill="1" applyBorder="1" applyAlignment="1" applyProtection="1">
      <alignment horizontal="center" vertical="top" wrapText="1"/>
      <protection locked="0"/>
    </xf>
    <xf numFmtId="0" fontId="0" fillId="0" borderId="0" xfId="0" applyFill="1" applyAlignment="1">
      <alignment wrapText="1"/>
    </xf>
    <xf numFmtId="10" fontId="10" fillId="0" borderId="0" xfId="8" applyNumberFormat="1" applyFont="1" applyFill="1" applyAlignment="1">
      <alignment horizontal="right"/>
    </xf>
    <xf numFmtId="168" fontId="10" fillId="20" borderId="0" xfId="0" applyNumberFormat="1" applyFont="1" applyFill="1"/>
    <xf numFmtId="0" fontId="19" fillId="20" borderId="0" xfId="0" applyFont="1" applyFill="1"/>
    <xf numFmtId="0" fontId="4" fillId="0" borderId="0" xfId="0" applyFont="1"/>
    <xf numFmtId="0" fontId="0" fillId="0" borderId="0" xfId="0" applyFill="1"/>
    <xf numFmtId="0" fontId="0" fillId="0" borderId="0" xfId="0"/>
    <xf numFmtId="0" fontId="4" fillId="0" borderId="0" xfId="0" applyFont="1" applyAlignment="1">
      <alignment horizontal="center" vertical="center"/>
    </xf>
    <xf numFmtId="0" fontId="4" fillId="0" borderId="5" xfId="0" applyFont="1" applyFill="1" applyBorder="1" applyAlignment="1">
      <alignment horizontal="left"/>
    </xf>
    <xf numFmtId="0" fontId="0" fillId="0" borderId="67" xfId="0" applyFill="1" applyBorder="1"/>
    <xf numFmtId="0" fontId="4" fillId="0" borderId="7" xfId="0" applyFont="1" applyFill="1" applyBorder="1" applyAlignment="1">
      <alignment horizontal="left"/>
    </xf>
    <xf numFmtId="0" fontId="0" fillId="0" borderId="77" xfId="0" applyFill="1" applyBorder="1"/>
    <xf numFmtId="0" fontId="4" fillId="0" borderId="53" xfId="0" applyFont="1" applyFill="1" applyBorder="1" applyAlignment="1">
      <alignment horizontal="left"/>
    </xf>
    <xf numFmtId="0" fontId="0" fillId="0" borderId="66" xfId="0" applyFill="1" applyBorder="1"/>
    <xf numFmtId="0" fontId="2" fillId="0" borderId="3" xfId="0" applyFont="1" applyBorder="1" applyAlignment="1"/>
    <xf numFmtId="0" fontId="0" fillId="0" borderId="10" xfId="0" applyBorder="1" applyAlignment="1">
      <alignment horizontal="right"/>
    </xf>
    <xf numFmtId="0" fontId="4" fillId="20" borderId="0" xfId="0" applyFont="1" applyFill="1" applyAlignment="1">
      <alignment horizontal="center" vertical="center"/>
    </xf>
    <xf numFmtId="0" fontId="4" fillId="20" borderId="80" xfId="0" applyFont="1" applyFill="1" applyBorder="1" applyAlignment="1">
      <alignment horizontal="center" vertical="center"/>
    </xf>
    <xf numFmtId="0" fontId="4" fillId="20" borderId="79" xfId="0" applyFont="1" applyFill="1" applyBorder="1" applyAlignment="1">
      <alignment horizontal="center" vertical="center"/>
    </xf>
    <xf numFmtId="0" fontId="2" fillId="0" borderId="0" xfId="0" applyFont="1"/>
    <xf numFmtId="0" fontId="99" fillId="0" borderId="0" xfId="0" applyFont="1"/>
    <xf numFmtId="0" fontId="99" fillId="0" borderId="0" xfId="0" quotePrefix="1" applyFont="1" applyAlignment="1">
      <alignment horizontal="right"/>
    </xf>
    <xf numFmtId="0" fontId="100" fillId="0" borderId="0" xfId="0" applyFont="1"/>
    <xf numFmtId="0" fontId="6" fillId="12" borderId="0" xfId="0" applyFont="1" applyFill="1" applyBorder="1" applyAlignment="1">
      <alignment horizontal="center" vertical="center" wrapText="1"/>
    </xf>
    <xf numFmtId="0" fontId="59" fillId="2" borderId="0" xfId="0" applyFont="1" applyFill="1" applyAlignment="1">
      <alignment horizontal="right"/>
    </xf>
    <xf numFmtId="0" fontId="4" fillId="0" borderId="81" xfId="0" applyFont="1" applyFill="1" applyBorder="1" applyAlignment="1">
      <alignment horizontal="center"/>
    </xf>
    <xf numFmtId="43" fontId="13" fillId="0" borderId="0" xfId="0" applyNumberFormat="1" applyFont="1" applyFill="1" applyBorder="1"/>
    <xf numFmtId="0" fontId="4" fillId="0" borderId="70" xfId="0" applyFont="1" applyBorder="1" applyAlignment="1">
      <alignment horizontal="right"/>
    </xf>
    <xf numFmtId="0" fontId="102" fillId="0" borderId="0" xfId="0" applyFont="1"/>
    <xf numFmtId="0" fontId="101" fillId="25" borderId="5" xfId="0" applyFont="1" applyFill="1" applyBorder="1"/>
    <xf numFmtId="0" fontId="102" fillId="25" borderId="81" xfId="0" applyFont="1" applyFill="1" applyBorder="1"/>
    <xf numFmtId="0" fontId="102" fillId="0" borderId="81" xfId="0" applyFont="1" applyBorder="1"/>
    <xf numFmtId="0" fontId="102" fillId="0" borderId="67" xfId="0" applyFont="1" applyBorder="1"/>
    <xf numFmtId="0" fontId="102" fillId="25" borderId="7" xfId="0" applyFont="1" applyFill="1" applyBorder="1"/>
    <xf numFmtId="0" fontId="102" fillId="25" borderId="0" xfId="0" applyFont="1" applyFill="1" applyBorder="1"/>
    <xf numFmtId="0" fontId="102" fillId="0" borderId="0" xfId="0" applyFont="1" applyBorder="1"/>
    <xf numFmtId="0" fontId="102" fillId="0" borderId="77" xfId="0" applyFont="1" applyBorder="1"/>
    <xf numFmtId="0" fontId="103" fillId="0" borderId="7" xfId="6" applyFont="1" applyBorder="1"/>
    <xf numFmtId="0" fontId="104" fillId="26" borderId="0" xfId="15" applyBorder="1" applyAlignment="1">
      <alignment horizontal="left"/>
    </xf>
    <xf numFmtId="0" fontId="104" fillId="0" borderId="0" xfId="15" applyFill="1" applyBorder="1" applyAlignment="1">
      <alignment horizontal="left"/>
    </xf>
    <xf numFmtId="0" fontId="105" fillId="0" borderId="0" xfId="0" applyFont="1" applyBorder="1"/>
    <xf numFmtId="0" fontId="103" fillId="0" borderId="0" xfId="0" applyFont="1" applyBorder="1"/>
    <xf numFmtId="0" fontId="102" fillId="0" borderId="53" xfId="0" applyFont="1" applyBorder="1"/>
    <xf numFmtId="0" fontId="102" fillId="0" borderId="21" xfId="0" applyFont="1" applyBorder="1"/>
    <xf numFmtId="0" fontId="102" fillId="0" borderId="66" xfId="0" applyFont="1" applyBorder="1"/>
    <xf numFmtId="0" fontId="107" fillId="0" borderId="0" xfId="0" applyFont="1" applyFill="1"/>
    <xf numFmtId="0" fontId="0" fillId="0" borderId="0" xfId="0"/>
    <xf numFmtId="0" fontId="0" fillId="0" borderId="0" xfId="0" quotePrefix="1"/>
    <xf numFmtId="0" fontId="104" fillId="26" borderId="0" xfId="15" applyFont="1">
      <alignment horizontal="center"/>
    </xf>
    <xf numFmtId="0" fontId="110" fillId="0" borderId="0" xfId="0" applyFont="1" applyAlignment="1">
      <alignment horizontal="left" indent="1"/>
    </xf>
    <xf numFmtId="0" fontId="112" fillId="0" borderId="0" xfId="0" applyFont="1" applyFill="1"/>
    <xf numFmtId="0" fontId="110" fillId="0" borderId="0" xfId="0" applyFont="1" applyFill="1"/>
    <xf numFmtId="0" fontId="113" fillId="0" borderId="0" xfId="0" applyFont="1" applyFill="1"/>
    <xf numFmtId="17" fontId="110" fillId="0" borderId="0" xfId="0" applyNumberFormat="1" applyFont="1" applyFill="1"/>
    <xf numFmtId="0" fontId="113" fillId="0" borderId="0" xfId="0" applyNumberFormat="1" applyFont="1" applyFill="1" applyBorder="1"/>
    <xf numFmtId="0" fontId="114" fillId="0" borderId="0" xfId="0" applyFont="1" applyFill="1" applyAlignment="1">
      <alignment horizontal="center"/>
    </xf>
    <xf numFmtId="0" fontId="113" fillId="0" borderId="0" xfId="0" applyNumberFormat="1" applyFont="1" applyFill="1" applyBorder="1" applyAlignment="1">
      <alignment horizontal="left" indent="1"/>
    </xf>
    <xf numFmtId="165" fontId="110" fillId="0" borderId="0" xfId="0" applyNumberFormat="1" applyFont="1" applyFill="1"/>
    <xf numFmtId="0" fontId="115" fillId="0" borderId="0" xfId="0" applyFont="1" applyFill="1"/>
    <xf numFmtId="17" fontId="113" fillId="0" borderId="0" xfId="0" applyNumberFormat="1" applyFont="1" applyFill="1" applyBorder="1" applyAlignment="1">
      <alignment horizontal="center"/>
    </xf>
    <xf numFmtId="17" fontId="113" fillId="0" borderId="22" xfId="0" applyNumberFormat="1" applyFont="1" applyFill="1" applyBorder="1" applyAlignment="1">
      <alignment horizontal="center"/>
    </xf>
    <xf numFmtId="177" fontId="110" fillId="0" borderId="0" xfId="0" applyNumberFormat="1" applyFont="1" applyFill="1"/>
    <xf numFmtId="177" fontId="116" fillId="0" borderId="0" xfId="0" applyNumberFormat="1" applyFont="1" applyFill="1"/>
    <xf numFmtId="0" fontId="115" fillId="0" borderId="0" xfId="0" applyNumberFormat="1" applyFont="1" applyFill="1" applyBorder="1" applyAlignment="1">
      <alignment horizontal="left" indent="1"/>
    </xf>
    <xf numFmtId="0" fontId="116" fillId="0" borderId="0" xfId="0" applyFont="1" applyFill="1"/>
    <xf numFmtId="165" fontId="117" fillId="0" borderId="0" xfId="0" applyNumberFormat="1" applyFont="1" applyFill="1"/>
    <xf numFmtId="165" fontId="118" fillId="0" borderId="0" xfId="0" applyNumberFormat="1" applyFont="1" applyFill="1" applyAlignment="1">
      <alignment horizontal="right" vertical="top" wrapText="1"/>
    </xf>
    <xf numFmtId="165" fontId="118" fillId="0" borderId="0" xfId="0" applyNumberFormat="1" applyFont="1" applyFill="1"/>
    <xf numFmtId="10" fontId="104" fillId="26" borderId="0" xfId="0" applyNumberFormat="1" applyFont="1" applyFill="1"/>
    <xf numFmtId="0" fontId="108" fillId="27" borderId="0" xfId="16" applyFont="1"/>
    <xf numFmtId="0" fontId="1" fillId="28" borderId="0" xfId="17"/>
    <xf numFmtId="0" fontId="1" fillId="28" borderId="0" xfId="17" applyAlignment="1">
      <alignment horizontal="center"/>
    </xf>
    <xf numFmtId="0" fontId="101" fillId="28" borderId="0" xfId="17" applyFont="1" applyAlignment="1">
      <alignment horizontal="center"/>
    </xf>
    <xf numFmtId="0" fontId="101" fillId="28" borderId="0" xfId="17" applyNumberFormat="1" applyFont="1" applyBorder="1" applyAlignment="1">
      <alignment horizontal="center"/>
    </xf>
    <xf numFmtId="0" fontId="101" fillId="28" borderId="0" xfId="17" applyFont="1" applyAlignment="1"/>
    <xf numFmtId="10" fontId="111" fillId="0" borderId="0" xfId="8" applyNumberFormat="1" applyFont="1" applyFill="1" applyBorder="1" applyAlignment="1"/>
    <xf numFmtId="0" fontId="119" fillId="0" borderId="0" xfId="0" applyFont="1"/>
    <xf numFmtId="0" fontId="0" fillId="0" borderId="0" xfId="0"/>
    <xf numFmtId="0" fontId="0" fillId="0" borderId="0" xfId="0"/>
    <xf numFmtId="0" fontId="2" fillId="17" borderId="9" xfId="0" applyFont="1" applyFill="1" applyBorder="1" applyAlignment="1">
      <alignment horizontal="right"/>
    </xf>
    <xf numFmtId="0" fontId="2" fillId="17" borderId="21" xfId="0" applyFont="1" applyFill="1" applyBorder="1" applyAlignment="1">
      <alignment horizontal="right"/>
    </xf>
    <xf numFmtId="0" fontId="97" fillId="21" borderId="12" xfId="13" applyBorder="1"/>
    <xf numFmtId="0" fontId="97" fillId="21" borderId="59" xfId="13" applyBorder="1"/>
    <xf numFmtId="0" fontId="98" fillId="23" borderId="1" xfId="10" applyBorder="1"/>
    <xf numFmtId="0" fontId="98" fillId="23" borderId="0" xfId="10" applyBorder="1"/>
    <xf numFmtId="0" fontId="98" fillId="23" borderId="35" xfId="10" applyBorder="1"/>
    <xf numFmtId="0" fontId="98" fillId="23" borderId="57" xfId="10" applyBorder="1"/>
    <xf numFmtId="0" fontId="98" fillId="23" borderId="11" xfId="10" applyBorder="1"/>
    <xf numFmtId="0" fontId="98" fillId="23" borderId="60" xfId="10" applyBorder="1"/>
    <xf numFmtId="0" fontId="120" fillId="21" borderId="58" xfId="13" applyFont="1" applyBorder="1"/>
    <xf numFmtId="0" fontId="122" fillId="0" borderId="0" xfId="0" applyFont="1"/>
    <xf numFmtId="0" fontId="123" fillId="0" borderId="0" xfId="0" applyFont="1"/>
    <xf numFmtId="0" fontId="124" fillId="21" borderId="58" xfId="13" applyFont="1" applyBorder="1"/>
    <xf numFmtId="0" fontId="124" fillId="21" borderId="12" xfId="13" applyFont="1" applyBorder="1"/>
    <xf numFmtId="0" fontId="124" fillId="21" borderId="59" xfId="13" applyFont="1" applyBorder="1"/>
    <xf numFmtId="0" fontId="2" fillId="0" borderId="1" xfId="0" applyFont="1" applyBorder="1"/>
    <xf numFmtId="0" fontId="110" fillId="0" borderId="0" xfId="0" applyFont="1" applyFill="1" applyBorder="1"/>
    <xf numFmtId="180" fontId="0" fillId="0" borderId="35" xfId="0" applyNumberFormat="1" applyBorder="1"/>
    <xf numFmtId="0" fontId="110" fillId="0" borderId="1" xfId="0" applyFont="1" applyFill="1" applyBorder="1"/>
    <xf numFmtId="0" fontId="110" fillId="0" borderId="11" xfId="0" applyFont="1" applyFill="1" applyBorder="1"/>
    <xf numFmtId="0" fontId="110" fillId="0" borderId="60" xfId="0" applyFont="1" applyFill="1" applyBorder="1"/>
    <xf numFmtId="0" fontId="125" fillId="0" borderId="57" xfId="0" applyFont="1" applyFill="1" applyBorder="1"/>
    <xf numFmtId="165" fontId="55" fillId="0" borderId="0" xfId="0" applyNumberFormat="1" applyFont="1" applyAlignment="1">
      <alignment horizontal="left"/>
    </xf>
    <xf numFmtId="0" fontId="48" fillId="0" borderId="0" xfId="0" quotePrefix="1" applyFont="1" applyFill="1"/>
    <xf numFmtId="0" fontId="0" fillId="0" borderId="0" xfId="0" applyFill="1"/>
    <xf numFmtId="0" fontId="0" fillId="0" borderId="0" xfId="0"/>
    <xf numFmtId="0" fontId="127" fillId="2" borderId="0" xfId="18" applyFont="1" applyFill="1"/>
    <xf numFmtId="0" fontId="102" fillId="0" borderId="0" xfId="18" applyFont="1"/>
    <xf numFmtId="0" fontId="128" fillId="29" borderId="0" xfId="19" applyFont="1"/>
    <xf numFmtId="0" fontId="102" fillId="0" borderId="0" xfId="18" applyFont="1" applyAlignment="1">
      <alignment horizontal="left" indent="1"/>
    </xf>
    <xf numFmtId="0" fontId="102" fillId="0" borderId="0" xfId="18" applyFont="1" applyAlignment="1">
      <alignment horizontal="left" indent="2"/>
    </xf>
    <xf numFmtId="0" fontId="103" fillId="0" borderId="0" xfId="18" applyFont="1"/>
    <xf numFmtId="0" fontId="129" fillId="0" borderId="0" xfId="18" applyFont="1"/>
    <xf numFmtId="184" fontId="102" fillId="0" borderId="0" xfId="20" applyFont="1"/>
    <xf numFmtId="0" fontId="130" fillId="0" borderId="0" xfId="18" applyFont="1"/>
    <xf numFmtId="0" fontId="131" fillId="0" borderId="0" xfId="22" applyFont="1" applyAlignment="1" applyProtection="1"/>
    <xf numFmtId="0" fontId="104" fillId="0" borderId="0" xfId="24">
      <alignment horizontal="center"/>
    </xf>
    <xf numFmtId="0" fontId="132" fillId="29" borderId="0" xfId="19" applyFont="1"/>
    <xf numFmtId="0" fontId="102" fillId="30" borderId="0" xfId="25" applyFont="1"/>
    <xf numFmtId="0" fontId="103" fillId="0" borderId="0" xfId="0" applyFont="1" applyFill="1" applyBorder="1"/>
    <xf numFmtId="0" fontId="102" fillId="0" borderId="0" xfId="0" applyFont="1" applyFill="1" applyBorder="1"/>
    <xf numFmtId="0" fontId="134" fillId="0" borderId="7" xfId="6" applyFont="1" applyFill="1" applyBorder="1"/>
    <xf numFmtId="0" fontId="73" fillId="11" borderId="7" xfId="0" applyFont="1" applyFill="1" applyBorder="1" applyAlignment="1">
      <alignment horizontal="left" vertical="top" wrapText="1"/>
    </xf>
    <xf numFmtId="0" fontId="69" fillId="11" borderId="7" xfId="0" applyFont="1" applyFill="1" applyBorder="1" applyAlignment="1">
      <alignment horizontal="left" vertical="top"/>
    </xf>
    <xf numFmtId="0" fontId="8" fillId="2" borderId="5" xfId="0" applyFont="1" applyFill="1" applyBorder="1" applyAlignment="1">
      <alignment horizontal="left" vertical="top"/>
    </xf>
    <xf numFmtId="174" fontId="72" fillId="2" borderId="1" xfId="0" applyNumberFormat="1" applyFont="1" applyFill="1" applyBorder="1" applyAlignment="1" applyProtection="1">
      <alignment horizontal="right" vertical="top" wrapText="1"/>
      <protection locked="0"/>
    </xf>
    <xf numFmtId="0" fontId="0" fillId="2" borderId="21" xfId="0" applyFill="1" applyBorder="1" applyAlignment="1"/>
    <xf numFmtId="0" fontId="0" fillId="2" borderId="0" xfId="0" applyFill="1" applyBorder="1"/>
    <xf numFmtId="0" fontId="0" fillId="2" borderId="21" xfId="0" applyFill="1" applyBorder="1" applyAlignment="1">
      <alignment horizontal="center"/>
    </xf>
    <xf numFmtId="0" fontId="4" fillId="0" borderId="81" xfId="0" applyFont="1" applyBorder="1" applyAlignment="1"/>
    <xf numFmtId="0" fontId="4" fillId="0" borderId="81" xfId="0" quotePrefix="1" applyFont="1" applyBorder="1" applyAlignment="1"/>
    <xf numFmtId="0" fontId="0" fillId="0" borderId="0" xfId="0"/>
    <xf numFmtId="0" fontId="135" fillId="0" borderId="0" xfId="0" applyFont="1" applyAlignment="1">
      <alignment horizontal="right"/>
    </xf>
    <xf numFmtId="0" fontId="135" fillId="0" borderId="0" xfId="0" applyFont="1"/>
    <xf numFmtId="0" fontId="136" fillId="0" borderId="0" xfId="0" applyFont="1"/>
    <xf numFmtId="165" fontId="136" fillId="0" borderId="0" xfId="0" applyNumberFormat="1" applyFont="1" applyAlignment="1">
      <alignment horizontal="left"/>
    </xf>
    <xf numFmtId="0" fontId="137" fillId="0" borderId="0" xfId="0" applyFont="1"/>
    <xf numFmtId="0" fontId="7" fillId="0" borderId="0" xfId="7" applyAlignment="1" applyProtection="1"/>
    <xf numFmtId="0" fontId="0" fillId="0" borderId="0" xfId="0"/>
    <xf numFmtId="0" fontId="0" fillId="0" borderId="0" xfId="0"/>
    <xf numFmtId="174" fontId="2" fillId="0" borderId="35" xfId="0" applyNumberFormat="1" applyFont="1" applyFill="1" applyBorder="1" applyAlignment="1" applyProtection="1">
      <alignment vertical="center"/>
      <protection locked="0"/>
    </xf>
    <xf numFmtId="180" fontId="0" fillId="17" borderId="81" xfId="0" applyNumberFormat="1" applyFill="1" applyBorder="1"/>
    <xf numFmtId="0" fontId="0" fillId="0" borderId="0" xfId="0"/>
    <xf numFmtId="175" fontId="140" fillId="0" borderId="6" xfId="0" applyNumberFormat="1" applyFont="1" applyFill="1" applyBorder="1" applyAlignment="1" applyProtection="1">
      <alignment horizontal="right" vertical="top" wrapText="1"/>
      <protection locked="0"/>
    </xf>
    <xf numFmtId="174" fontId="6" fillId="2" borderId="6" xfId="0" applyNumberFormat="1" applyFont="1" applyFill="1" applyBorder="1" applyAlignment="1" applyProtection="1">
      <alignment horizontal="right" vertical="top" wrapText="1"/>
    </xf>
    <xf numFmtId="176" fontId="3" fillId="0" borderId="14" xfId="0" applyNumberFormat="1" applyFont="1" applyFill="1" applyBorder="1"/>
    <xf numFmtId="0" fontId="141" fillId="0" borderId="0" xfId="0" applyFont="1" applyFill="1"/>
    <xf numFmtId="165" fontId="104" fillId="26" borderId="0" xfId="15" applyNumberFormat="1" applyFont="1">
      <alignment horizontal="center"/>
    </xf>
    <xf numFmtId="177" fontId="141" fillId="0" borderId="0" xfId="0" applyNumberFormat="1" applyFont="1" applyFill="1"/>
    <xf numFmtId="0" fontId="142" fillId="0" borderId="0" xfId="0" applyFont="1" applyFill="1"/>
    <xf numFmtId="0" fontId="141" fillId="0" borderId="0" xfId="0" applyFont="1" applyFill="1" applyAlignment="1">
      <alignment horizontal="right"/>
    </xf>
    <xf numFmtId="177" fontId="141" fillId="0" borderId="14" xfId="0" applyNumberFormat="1" applyFont="1" applyFill="1" applyBorder="1"/>
    <xf numFmtId="0" fontId="0" fillId="0" borderId="0" xfId="0"/>
    <xf numFmtId="0" fontId="110" fillId="0" borderId="0" xfId="0" applyFont="1" applyFill="1" applyAlignment="1">
      <alignment horizontal="center"/>
    </xf>
    <xf numFmtId="0" fontId="143" fillId="0" borderId="0" xfId="0" applyFont="1" applyFill="1"/>
    <xf numFmtId="0" fontId="0" fillId="0" borderId="0" xfId="0"/>
    <xf numFmtId="0" fontId="13" fillId="0" borderId="0" xfId="0" applyFont="1" applyFill="1" applyBorder="1" applyAlignment="1">
      <alignment vertical="top"/>
    </xf>
    <xf numFmtId="0" fontId="2" fillId="0" borderId="0" xfId="0" applyFont="1" applyFill="1"/>
    <xf numFmtId="0" fontId="13" fillId="0" borderId="0" xfId="0" applyFont="1" applyFill="1" applyAlignment="1"/>
    <xf numFmtId="187" fontId="0" fillId="17" borderId="81" xfId="0" applyNumberFormat="1" applyFill="1" applyBorder="1"/>
    <xf numFmtId="0" fontId="0" fillId="0" borderId="0" xfId="0"/>
    <xf numFmtId="0" fontId="0" fillId="0" borderId="0" xfId="0"/>
    <xf numFmtId="0" fontId="0" fillId="0" borderId="0" xfId="0"/>
    <xf numFmtId="182" fontId="0" fillId="32" borderId="0" xfId="8" applyNumberFormat="1" applyFont="1" applyFill="1"/>
    <xf numFmtId="182" fontId="0" fillId="0" borderId="0" xfId="8" applyNumberFormat="1" applyFont="1" applyFill="1"/>
    <xf numFmtId="0" fontId="0" fillId="0" borderId="0" xfId="0"/>
    <xf numFmtId="0" fontId="12" fillId="0" borderId="7" xfId="0" applyFont="1" applyFill="1" applyBorder="1" applyAlignment="1" applyProtection="1">
      <alignment horizontal="left" vertical="top" wrapText="1" indent="2"/>
      <protection locked="0"/>
    </xf>
    <xf numFmtId="0" fontId="12" fillId="0" borderId="0" xfId="0" applyFont="1" applyFill="1" applyBorder="1" applyAlignment="1" applyProtection="1">
      <alignment horizontal="left" vertical="top" wrapText="1" indent="2"/>
      <protection locked="0"/>
    </xf>
    <xf numFmtId="185" fontId="13" fillId="0" borderId="0" xfId="21" applyFont="1" applyFill="1" applyBorder="1"/>
    <xf numFmtId="185" fontId="4" fillId="0" borderId="14" xfId="21" applyFont="1" applyFill="1" applyBorder="1" applyAlignment="1">
      <alignment horizontal="right" vertical="top" wrapText="1"/>
    </xf>
    <xf numFmtId="185" fontId="4" fillId="0" borderId="14" xfId="21" applyFont="1" applyFill="1" applyBorder="1" applyAlignment="1">
      <alignment vertical="center"/>
    </xf>
    <xf numFmtId="185" fontId="4" fillId="0" borderId="34" xfId="21" applyFont="1" applyFill="1" applyBorder="1" applyAlignment="1">
      <alignment vertical="center"/>
    </xf>
    <xf numFmtId="185" fontId="4" fillId="0" borderId="12" xfId="21" applyFont="1" applyFill="1" applyBorder="1" applyAlignment="1">
      <alignment horizontal="right" vertical="top" wrapText="1"/>
    </xf>
    <xf numFmtId="185" fontId="4" fillId="0" borderId="0" xfId="21" applyFont="1" applyFill="1" applyBorder="1" applyAlignment="1">
      <alignment horizontal="right" vertical="top" wrapText="1"/>
    </xf>
    <xf numFmtId="185" fontId="4" fillId="0" borderId="0" xfId="21" applyFont="1" applyFill="1" applyBorder="1" applyAlignment="1">
      <alignment horizontal="center" vertical="top" wrapText="1"/>
    </xf>
    <xf numFmtId="185" fontId="4" fillId="0" borderId="12" xfId="21" applyFont="1" applyFill="1" applyBorder="1" applyAlignment="1">
      <alignment vertical="center"/>
    </xf>
    <xf numFmtId="185" fontId="4" fillId="0" borderId="0" xfId="21" applyFont="1" applyAlignment="1">
      <alignment horizontal="center" vertical="center"/>
    </xf>
    <xf numFmtId="14" fontId="35" fillId="0" borderId="0" xfId="0" applyNumberFormat="1" applyFont="1" applyBorder="1"/>
    <xf numFmtId="176" fontId="3" fillId="0" borderId="0" xfId="0" applyNumberFormat="1" applyFont="1" applyFill="1"/>
    <xf numFmtId="10" fontId="0" fillId="0" borderId="0" xfId="8" applyNumberFormat="1" applyFont="1" applyFill="1"/>
    <xf numFmtId="182" fontId="0" fillId="0" borderId="0" xfId="0" applyNumberFormat="1" applyFill="1"/>
    <xf numFmtId="188" fontId="13" fillId="0" borderId="0" xfId="8" applyNumberFormat="1" applyFont="1" applyFill="1"/>
    <xf numFmtId="188" fontId="13" fillId="0" borderId="0" xfId="8" applyNumberFormat="1" applyFont="1" applyFill="1" applyBorder="1"/>
    <xf numFmtId="0" fontId="0" fillId="0" borderId="25" xfId="0" applyFill="1" applyBorder="1"/>
    <xf numFmtId="0" fontId="0" fillId="0" borderId="26" xfId="0" applyFill="1" applyBorder="1"/>
    <xf numFmtId="168" fontId="3" fillId="0" borderId="0" xfId="0" applyNumberFormat="1" applyFont="1" applyFill="1" applyAlignment="1">
      <alignment horizontal="center"/>
    </xf>
    <xf numFmtId="10" fontId="3" fillId="0" borderId="0" xfId="8" applyNumberFormat="1" applyFont="1" applyFill="1" applyAlignment="1">
      <alignment horizontal="center"/>
    </xf>
    <xf numFmtId="0" fontId="141" fillId="0" borderId="0" xfId="18" applyFont="1" applyFill="1"/>
    <xf numFmtId="0" fontId="0" fillId="0" borderId="0" xfId="0"/>
    <xf numFmtId="181" fontId="13" fillId="0" borderId="0" xfId="21" applyNumberFormat="1" applyFont="1" applyFill="1" applyBorder="1"/>
    <xf numFmtId="0" fontId="0" fillId="0" borderId="0" xfId="0"/>
    <xf numFmtId="0" fontId="2" fillId="0" borderId="0" xfId="4" applyFont="1" applyFill="1" applyAlignment="1">
      <alignment vertical="center"/>
    </xf>
    <xf numFmtId="0" fontId="0" fillId="33" borderId="0" xfId="0" applyFill="1"/>
    <xf numFmtId="0" fontId="2" fillId="0" borderId="0" xfId="0" applyFont="1" applyFill="1" applyAlignment="1">
      <alignment horizontal="right"/>
    </xf>
    <xf numFmtId="0" fontId="144" fillId="26" borderId="0" xfId="0" applyFont="1" applyFill="1"/>
    <xf numFmtId="0" fontId="144" fillId="26" borderId="0" xfId="0" applyFont="1" applyFill="1" applyBorder="1"/>
    <xf numFmtId="0" fontId="0" fillId="0" borderId="0" xfId="0" applyFill="1" applyAlignment="1">
      <alignment horizontal="right"/>
    </xf>
    <xf numFmtId="2" fontId="0" fillId="0" borderId="0" xfId="0" applyNumberFormat="1" applyFill="1"/>
    <xf numFmtId="179" fontId="13" fillId="0" borderId="33" xfId="0" applyNumberFormat="1" applyFont="1" applyFill="1" applyBorder="1"/>
    <xf numFmtId="174" fontId="4" fillId="0" borderId="12" xfId="21" applyNumberFormat="1" applyFont="1" applyFill="1" applyBorder="1" applyAlignment="1">
      <alignment vertical="center"/>
    </xf>
    <xf numFmtId="0" fontId="0" fillId="0" borderId="0" xfId="0"/>
    <xf numFmtId="0" fontId="5" fillId="0" borderId="0" xfId="4" applyFont="1" applyFill="1" applyAlignment="1">
      <alignment vertical="center"/>
    </xf>
    <xf numFmtId="0" fontId="48" fillId="0" borderId="0" xfId="0" quotePrefix="1" applyFont="1" applyFill="1"/>
    <xf numFmtId="0" fontId="0" fillId="0" borderId="0" xfId="0" quotePrefix="1" applyFill="1"/>
    <xf numFmtId="0" fontId="0" fillId="0" borderId="0" xfId="0"/>
    <xf numFmtId="0" fontId="93" fillId="6" borderId="61" xfId="0" applyFont="1" applyFill="1" applyBorder="1" applyAlignment="1">
      <alignment horizontal="right" vertical="center"/>
    </xf>
    <xf numFmtId="0" fontId="93" fillId="6" borderId="14" xfId="0" applyFont="1" applyFill="1" applyBorder="1" applyAlignment="1">
      <alignment horizontal="right" vertical="center"/>
    </xf>
    <xf numFmtId="174" fontId="13" fillId="0" borderId="0" xfId="0" applyNumberFormat="1" applyFont="1" applyFill="1" applyBorder="1" applyAlignment="1">
      <alignment vertical="center"/>
    </xf>
    <xf numFmtId="175" fontId="3" fillId="0" borderId="1" xfId="0" applyNumberFormat="1" applyFont="1" applyFill="1" applyBorder="1" applyAlignment="1" applyProtection="1">
      <alignment horizontal="right" vertical="top" wrapText="1"/>
      <protection locked="0"/>
    </xf>
    <xf numFmtId="175" fontId="6" fillId="0" borderId="1" xfId="0" applyNumberFormat="1" applyFont="1" applyFill="1" applyBorder="1" applyAlignment="1">
      <alignment horizontal="right" vertical="top" wrapText="1"/>
    </xf>
    <xf numFmtId="175" fontId="6" fillId="0" borderId="64" xfId="0" applyNumberFormat="1" applyFont="1" applyFill="1" applyBorder="1" applyAlignment="1" applyProtection="1">
      <alignment horizontal="right" vertical="top" wrapText="1"/>
      <protection locked="0"/>
    </xf>
    <xf numFmtId="175" fontId="3" fillId="2" borderId="1" xfId="0" applyNumberFormat="1" applyFont="1" applyFill="1" applyBorder="1" applyAlignment="1" applyProtection="1">
      <alignment horizontal="right" vertical="top" wrapText="1"/>
      <protection locked="0"/>
    </xf>
    <xf numFmtId="175" fontId="82" fillId="11" borderId="1" xfId="0" applyNumberFormat="1" applyFont="1" applyFill="1" applyBorder="1" applyAlignment="1" applyProtection="1">
      <alignment horizontal="right" vertical="top" wrapText="1"/>
      <protection locked="0"/>
    </xf>
    <xf numFmtId="175" fontId="53" fillId="11" borderId="1" xfId="0" applyNumberFormat="1" applyFont="1" applyFill="1" applyBorder="1" applyAlignment="1" applyProtection="1">
      <alignment horizontal="right" vertical="top" wrapText="1"/>
      <protection locked="0"/>
    </xf>
    <xf numFmtId="175" fontId="3" fillId="2" borderId="63" xfId="0" applyNumberFormat="1" applyFont="1" applyFill="1" applyBorder="1" applyAlignment="1" applyProtection="1">
      <alignment horizontal="right" vertical="top" wrapText="1"/>
      <protection locked="0"/>
    </xf>
    <xf numFmtId="174" fontId="4" fillId="0" borderId="64" xfId="0" applyNumberFormat="1" applyFont="1" applyFill="1" applyBorder="1" applyAlignment="1">
      <alignment vertical="center"/>
    </xf>
    <xf numFmtId="175" fontId="82" fillId="0" borderId="1" xfId="0" applyNumberFormat="1" applyFont="1" applyFill="1" applyBorder="1" applyAlignment="1" applyProtection="1">
      <alignment horizontal="right" vertical="top" wrapText="1"/>
      <protection locked="0"/>
    </xf>
    <xf numFmtId="0" fontId="4" fillId="20" borderId="63" xfId="0" applyFont="1" applyFill="1" applyBorder="1" applyAlignment="1">
      <alignment horizontal="center" vertical="center"/>
    </xf>
    <xf numFmtId="174" fontId="72" fillId="0" borderId="1" xfId="0" applyNumberFormat="1" applyFont="1" applyFill="1" applyBorder="1" applyAlignment="1" applyProtection="1">
      <alignment horizontal="right" vertical="top" wrapText="1"/>
      <protection locked="0"/>
    </xf>
    <xf numFmtId="174" fontId="13" fillId="0" borderId="1" xfId="0" applyNumberFormat="1" applyFont="1" applyFill="1" applyBorder="1" applyAlignment="1" applyProtection="1">
      <alignment vertical="center"/>
      <protection locked="0"/>
    </xf>
    <xf numFmtId="174" fontId="4" fillId="0" borderId="1" xfId="0" applyNumberFormat="1" applyFont="1" applyFill="1" applyBorder="1" applyAlignment="1" applyProtection="1">
      <alignment vertical="center"/>
      <protection locked="0"/>
    </xf>
    <xf numFmtId="0" fontId="145" fillId="14" borderId="32" xfId="0" applyFont="1" applyFill="1" applyBorder="1" applyAlignment="1">
      <alignment horizontal="center" vertical="top" wrapText="1"/>
    </xf>
    <xf numFmtId="174" fontId="3" fillId="0" borderId="1" xfId="0" applyNumberFormat="1" applyFont="1" applyFill="1" applyBorder="1" applyAlignment="1" applyProtection="1">
      <alignment vertical="center"/>
      <protection locked="0"/>
    </xf>
    <xf numFmtId="174" fontId="3" fillId="7" borderId="1" xfId="0" applyNumberFormat="1" applyFont="1" applyFill="1" applyBorder="1" applyAlignment="1" applyProtection="1">
      <alignment vertical="center"/>
      <protection locked="0"/>
    </xf>
    <xf numFmtId="179" fontId="0" fillId="0" borderId="62" xfId="1" applyNumberFormat="1" applyFont="1" applyBorder="1"/>
    <xf numFmtId="187" fontId="110" fillId="0" borderId="2" xfId="0" applyNumberFormat="1" applyFont="1" applyFill="1" applyBorder="1"/>
    <xf numFmtId="0" fontId="12" fillId="0" borderId="0" xfId="4" applyFont="1" applyFill="1" applyBorder="1" applyAlignment="1">
      <alignment horizontal="left" vertical="center" indent="1"/>
    </xf>
    <xf numFmtId="0" fontId="0" fillId="0" borderId="0" xfId="0" applyFill="1" applyBorder="1"/>
    <xf numFmtId="182" fontId="0" fillId="0" borderId="0" xfId="8" applyNumberFormat="1" applyFont="1" applyFill="1" applyBorder="1"/>
    <xf numFmtId="0" fontId="4" fillId="0" borderId="0" xfId="0" applyFont="1" applyFill="1" applyBorder="1" applyAlignment="1">
      <alignment horizontal="center"/>
    </xf>
    <xf numFmtId="185" fontId="4" fillId="0" borderId="34" xfId="21" applyNumberFormat="1" applyFont="1" applyFill="1" applyBorder="1" applyAlignment="1">
      <alignment vertical="center"/>
    </xf>
    <xf numFmtId="174" fontId="4" fillId="0" borderId="14" xfId="21" applyNumberFormat="1" applyFont="1" applyFill="1" applyBorder="1" applyAlignment="1">
      <alignment vertical="center"/>
    </xf>
    <xf numFmtId="174" fontId="4" fillId="0" borderId="34" xfId="21" applyNumberFormat="1" applyFont="1" applyFill="1" applyBorder="1" applyAlignment="1">
      <alignment vertical="center"/>
    </xf>
    <xf numFmtId="166" fontId="13" fillId="0" borderId="0" xfId="8" applyNumberFormat="1" applyFont="1" applyFill="1" applyBorder="1"/>
    <xf numFmtId="182" fontId="4" fillId="0" borderId="12" xfId="8" applyNumberFormat="1" applyFont="1" applyFill="1" applyBorder="1" applyAlignment="1">
      <alignment horizontal="right" vertical="top" wrapText="1"/>
    </xf>
    <xf numFmtId="182" fontId="13" fillId="0" borderId="0" xfId="8" applyNumberFormat="1" applyFont="1" applyFill="1" applyBorder="1"/>
    <xf numFmtId="174" fontId="4" fillId="0" borderId="12" xfId="21" applyNumberFormat="1" applyFont="1" applyFill="1" applyBorder="1" applyAlignment="1">
      <alignment horizontal="right" vertical="top" wrapText="1"/>
    </xf>
    <xf numFmtId="185" fontId="4" fillId="0" borderId="0" xfId="21" applyNumberFormat="1" applyFont="1" applyFill="1" applyBorder="1" applyAlignment="1">
      <alignment horizontal="right" vertical="top" wrapText="1"/>
    </xf>
    <xf numFmtId="185" fontId="13" fillId="0" borderId="0" xfId="21" applyNumberFormat="1" applyFont="1" applyFill="1" applyBorder="1"/>
    <xf numFmtId="175" fontId="3" fillId="31" borderId="6" xfId="0" applyNumberFormat="1" applyFont="1" applyFill="1" applyBorder="1" applyAlignment="1" applyProtection="1">
      <alignment horizontal="right" vertical="top" wrapText="1"/>
      <protection locked="0"/>
    </xf>
    <xf numFmtId="180" fontId="4" fillId="0" borderId="14" xfId="21" applyNumberFormat="1" applyFont="1" applyFill="1" applyBorder="1" applyAlignment="1">
      <alignment vertical="center"/>
    </xf>
    <xf numFmtId="180" fontId="4" fillId="0" borderId="34" xfId="21" applyNumberFormat="1" applyFont="1" applyFill="1" applyBorder="1" applyAlignment="1">
      <alignment vertical="center"/>
    </xf>
    <xf numFmtId="180" fontId="0" fillId="0" borderId="0" xfId="0" applyNumberFormat="1"/>
    <xf numFmtId="165" fontId="104" fillId="26" borderId="0" xfId="15" applyNumberFormat="1" applyBorder="1" applyAlignment="1">
      <alignment horizontal="left"/>
    </xf>
    <xf numFmtId="0" fontId="104" fillId="26" borderId="0" xfId="15" applyBorder="1" applyAlignment="1">
      <alignment horizontal="left"/>
    </xf>
    <xf numFmtId="0" fontId="13" fillId="0" borderId="0" xfId="0" applyFont="1" applyFill="1" applyAlignment="1">
      <alignment horizontal="left" wrapText="1"/>
    </xf>
    <xf numFmtId="0" fontId="104" fillId="26" borderId="0" xfId="15" applyBorder="1" applyAlignment="1">
      <alignment horizontal="center"/>
    </xf>
    <xf numFmtId="0" fontId="48" fillId="0" borderId="0" xfId="0" applyFont="1" applyFill="1"/>
    <xf numFmtId="0" fontId="48" fillId="0" borderId="0" xfId="0" quotePrefix="1" applyFont="1" applyFill="1"/>
    <xf numFmtId="0" fontId="4" fillId="0" borderId="22" xfId="0" applyFont="1" applyBorder="1" applyAlignment="1">
      <alignment horizontal="center" wrapText="1"/>
    </xf>
    <xf numFmtId="0" fontId="48" fillId="0" borderId="0" xfId="0" applyFont="1"/>
    <xf numFmtId="0" fontId="48" fillId="0" borderId="0" xfId="0" quotePrefix="1" applyFont="1"/>
    <xf numFmtId="0" fontId="0" fillId="0" borderId="0" xfId="0" quotePrefix="1"/>
    <xf numFmtId="0" fontId="0" fillId="0" borderId="0" xfId="0" quotePrefix="1" applyFill="1"/>
    <xf numFmtId="0" fontId="0" fillId="0" borderId="0" xfId="0"/>
    <xf numFmtId="0" fontId="5" fillId="12" borderId="1" xfId="0" applyFont="1" applyFill="1" applyBorder="1" applyAlignment="1">
      <alignment horizontal="center" vertical="top" wrapText="1"/>
    </xf>
    <xf numFmtId="0" fontId="5" fillId="12" borderId="0" xfId="0" applyFont="1" applyFill="1" applyBorder="1" applyAlignment="1">
      <alignment horizontal="center" vertical="top" wrapText="1"/>
    </xf>
    <xf numFmtId="0" fontId="93" fillId="6" borderId="2" xfId="0" applyFont="1" applyFill="1" applyBorder="1" applyAlignment="1">
      <alignment horizontal="right" vertical="center"/>
    </xf>
    <xf numFmtId="0" fontId="0" fillId="6" borderId="2" xfId="0" applyFill="1" applyBorder="1" applyAlignment="1">
      <alignment horizontal="right" vertical="center"/>
    </xf>
    <xf numFmtId="0" fontId="93" fillId="6" borderId="2" xfId="0" applyFont="1" applyFill="1" applyBorder="1" applyAlignment="1">
      <alignment horizontal="right" vertical="center" wrapText="1"/>
    </xf>
    <xf numFmtId="0" fontId="0" fillId="6" borderId="2" xfId="0" applyFill="1" applyBorder="1" applyAlignment="1">
      <alignment horizontal="right" vertical="center" wrapText="1"/>
    </xf>
    <xf numFmtId="0" fontId="93" fillId="11" borderId="2" xfId="0" applyFont="1" applyFill="1" applyBorder="1" applyAlignment="1">
      <alignment horizontal="right" vertical="center" wrapText="1"/>
    </xf>
    <xf numFmtId="0" fontId="0" fillId="11" borderId="2" xfId="0" applyFill="1" applyBorder="1" applyAlignment="1">
      <alignment vertical="center"/>
    </xf>
    <xf numFmtId="0" fontId="0" fillId="11" borderId="2" xfId="0" applyFill="1" applyBorder="1" applyAlignment="1">
      <alignment vertical="center" wrapText="1"/>
    </xf>
    <xf numFmtId="0" fontId="93" fillId="6" borderId="61" xfId="0" applyFont="1" applyFill="1" applyBorder="1" applyAlignment="1">
      <alignment horizontal="right" vertical="center" wrapText="1"/>
    </xf>
    <xf numFmtId="0" fontId="93" fillId="6" borderId="62" xfId="0" applyFont="1" applyFill="1" applyBorder="1" applyAlignment="1">
      <alignment horizontal="right" vertical="center" wrapText="1"/>
    </xf>
    <xf numFmtId="0" fontId="92" fillId="6" borderId="68" xfId="0" applyFont="1" applyFill="1" applyBorder="1" applyAlignment="1">
      <alignment horizontal="right" vertical="center" wrapText="1"/>
    </xf>
    <xf numFmtId="0" fontId="0" fillId="6" borderId="6" xfId="0" applyFill="1" applyBorder="1" applyAlignment="1"/>
    <xf numFmtId="0" fontId="0" fillId="6" borderId="78" xfId="0" applyFill="1" applyBorder="1" applyAlignment="1"/>
  </cellXfs>
  <cellStyles count="27">
    <cellStyle name="20% - Accent 7" xfId="9"/>
    <cellStyle name="40% - Accent 7" xfId="10"/>
    <cellStyle name="40% - Accent1" xfId="17" builtinId="31"/>
    <cellStyle name="40% - Accent2 2" xfId="25"/>
    <cellStyle name="60% - Accent 7" xfId="11"/>
    <cellStyle name="80% - Accent 7" xfId="12"/>
    <cellStyle name="Accent 7" xfId="13"/>
    <cellStyle name="Accent1" xfId="16" builtinId="29"/>
    <cellStyle name="Accent2 2" xfId="19"/>
    <cellStyle name="Comma" xfId="1" builtinId="3"/>
    <cellStyle name="Currency" xfId="2" builtinId="4"/>
    <cellStyle name="Heading 1" xfId="3" builtinId="16" customBuiltin="1"/>
    <cellStyle name="Heading 2" xfId="4" builtinId="17" customBuiltin="1"/>
    <cellStyle name="Heading 3" xfId="5" builtinId="18" customBuiltin="1"/>
    <cellStyle name="Heading 4" xfId="6" builtinId="19" customBuiltin="1"/>
    <cellStyle name="Hyperlink" xfId="7" builtinId="8"/>
    <cellStyle name="Hyperlink 2" xfId="22"/>
    <cellStyle name="Input_Linked" xfId="24"/>
    <cellStyle name="Input1" xfId="26"/>
    <cellStyle name="Input2" xfId="15"/>
    <cellStyle name="Nbr-Comma$()" xfId="20"/>
    <cellStyle name="Nbr-Comma()" xfId="21"/>
    <cellStyle name="Nbr-Percent()" xfId="23"/>
    <cellStyle name="Normal" xfId="0" builtinId="0"/>
    <cellStyle name="Normal 2" xfId="18"/>
    <cellStyle name="Percent" xfId="8" builtinId="5"/>
    <cellStyle name="Title" xfId="14" builtinId="15" customBuiltin="1"/>
  </cellStyles>
  <dxfs count="387">
    <dxf>
      <font>
        <b/>
        <i val="0"/>
        <condense val="0"/>
        <extend val="0"/>
      </font>
      <fill>
        <patternFill>
          <bgColor indexed="11"/>
        </patternFill>
      </fill>
    </dxf>
    <dxf>
      <font>
        <b/>
        <i val="0"/>
        <condense val="0"/>
        <extend val="0"/>
        <color auto="1"/>
      </font>
      <fill>
        <patternFill>
          <bgColor indexed="53"/>
        </patternFill>
      </fill>
    </dxf>
    <dxf>
      <font>
        <b/>
        <i val="0"/>
        <condense val="0"/>
        <extend val="0"/>
      </font>
      <fill>
        <patternFill>
          <bgColor indexed="11"/>
        </patternFill>
      </fill>
    </dxf>
    <dxf>
      <font>
        <b/>
        <i val="0"/>
        <condense val="0"/>
        <extend val="0"/>
        <color auto="1"/>
      </font>
      <fill>
        <patternFill>
          <bgColor indexed="53"/>
        </patternFill>
      </fill>
    </dxf>
    <dxf>
      <font>
        <b/>
        <i val="0"/>
        <condense val="0"/>
        <extend val="0"/>
      </font>
      <fill>
        <patternFill>
          <bgColor indexed="11"/>
        </patternFill>
      </fill>
    </dxf>
    <dxf>
      <font>
        <b/>
        <i val="0"/>
        <condense val="0"/>
        <extend val="0"/>
        <color auto="1"/>
      </font>
      <fill>
        <patternFill>
          <bgColor indexed="53"/>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ont>
        <b/>
        <i val="0"/>
        <condense val="0"/>
        <extend val="0"/>
      </font>
      <fill>
        <patternFill>
          <bgColor indexed="11"/>
        </patternFill>
      </fill>
    </dxf>
    <dxf>
      <font>
        <b/>
        <i val="0"/>
        <condense val="0"/>
        <extend val="0"/>
        <color auto="1"/>
      </font>
      <fill>
        <patternFill>
          <bgColor indexed="53"/>
        </patternFill>
      </fill>
    </dxf>
    <dxf>
      <fill>
        <patternFill>
          <bgColor indexed="10"/>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C0C0C0"/>
      <rgbColor rgb="00808000"/>
      <rgbColor rgb="00800080"/>
      <rgbColor rgb="00008080"/>
      <rgbColor rgb="00C0C0C0"/>
      <rgbColor rgb="00808080"/>
      <rgbColor rgb="000069B3"/>
      <rgbColor rgb="00DAAF5B"/>
      <rgbColor rgb="0007275C"/>
      <rgbColor rgb="008E8C8C"/>
      <rgbColor rgb="00007767"/>
      <rgbColor rgb="00CB2840"/>
      <rgbColor rgb="00E66904"/>
      <rgbColor rgb="009C7936"/>
      <rgbColor rgb="000069B3"/>
      <rgbColor rgb="00DAAF5B"/>
      <rgbColor rgb="0007275C"/>
      <rgbColor rgb="008E8C8C"/>
      <rgbColor rgb="00007767"/>
      <rgbColor rgb="00CB2840"/>
      <rgbColor rgb="00E66904"/>
      <rgbColor rgb="009C793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FFFF99"/>
      <color rgb="FF008000"/>
      <color rgb="FFFF6699"/>
      <color rgb="FF339966"/>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title>
      <c:tx>
        <c:strRef>
          <c:f>'A-1'!$B$2</c:f>
          <c:strCache>
            <c:ptCount val="1"/>
            <c:pt idx="0">
              <c:v>CEO</c:v>
            </c:pt>
          </c:strCache>
        </c:strRef>
      </c:tx>
      <c:layout>
        <c:manualLayout>
          <c:xMode val="edge"/>
          <c:yMode val="edge"/>
          <c:x val="0.4702907711757269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'A-1'!$A$204</c:f>
              <c:strCache>
                <c:ptCount val="1"/>
                <c:pt idx="0">
                  <c:v>Historic Expenditure</c:v>
                </c:pt>
              </c:strCache>
            </c:strRef>
          </c:tx>
          <c:spPr>
            <a:ln w="25400">
              <a:solidFill>
                <a:srgbClr val="33CCCC"/>
              </a:solidFill>
              <a:prstDash val="solid"/>
            </a:ln>
          </c:spPr>
          <c:marker>
            <c:symbol val="none"/>
          </c:marker>
          <c:cat>
            <c:strRef>
              <c:f>('A-1'!$B$203:$H$203,'A-1'!$B$205:$I$205)</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('A-1'!$B$204:$H$204,'A-1'!$B$206,'A-1'!$C$201:$I$201)</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'A-1'!$A$14</c:f>
              <c:strCache>
                <c:ptCount val="1"/>
                <c:pt idx="0">
                  <c:v>Baseline Expenditure</c:v>
                </c:pt>
              </c:strCache>
            </c:strRef>
          </c:tx>
          <c:spPr>
            <a:ln w="25400">
              <a:solidFill>
                <a:srgbClr val="0000FF"/>
              </a:solidFill>
              <a:prstDash val="solid"/>
            </a:ln>
          </c:spPr>
          <c:marker>
            <c:symbol val="none"/>
          </c:marker>
          <c:cat>
            <c:strRef>
              <c:f>('A-1'!$B$203:$H$203,'A-1'!$B$205:$I$205)</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('A-1'!$B$201:$H$201,'A-1'!$B$206:$I$206)</c:f>
              <c:numCache>
                <c:formatCode>General</c:formatCode>
                <c:ptCount val="15"/>
                <c:pt idx="7" formatCode="_-* #,##0.0_-;\-* #,##0.0_-;_-* &quot;-&quot;??_-;_-@_-">
                  <c:v>0</c:v>
                </c:pt>
                <c:pt idx="8" formatCode="_-* #,##0.0_-;\-* #,##0.0_-;_-* &quot;-&quot;??_-;_-@_-">
                  <c:v>0</c:v>
                </c:pt>
                <c:pt idx="9" formatCode="_-* #,##0.0_-;\-* #,##0.0_-;_-* &quot;-&quot;??_-;_-@_-">
                  <c:v>2.04</c:v>
                </c:pt>
                <c:pt idx="10" formatCode="_-* #,##0.0_-;\-* #,##0.0_-;_-* &quot;-&quot;??_-;_-@_-">
                  <c:v>2.04</c:v>
                </c:pt>
                <c:pt idx="11" formatCode="_-* #,##0.0_-;\-* #,##0.0_-;_-* &quot;-&quot;??_-;_-@_-">
                  <c:v>2.04</c:v>
                </c:pt>
                <c:pt idx="12" formatCode="_-* #,##0.0_-;\-* #,##0.0_-;_-* &quot;-&quot;??_-;_-@_-">
                  <c:v>2.04</c:v>
                </c:pt>
                <c:pt idx="13" formatCode="_-* #,##0.0_-;\-* #,##0.0_-;_-* &quot;-&quot;??_-;_-@_-">
                  <c:v>2.04</c:v>
                </c:pt>
                <c:pt idx="14" formatCode="_-* #,##0.0_-;\-* #,##0.0_-;_-* &quot;-&quot;??_-;_-@_-">
                  <c:v>2.04</c:v>
                </c:pt>
              </c:numCache>
            </c:numRef>
          </c:val>
        </c:ser>
        <c:ser>
          <c:idx val="0"/>
          <c:order val="2"/>
          <c:tx>
            <c:strRef>
              <c:f>'A-1'!$A$207</c:f>
              <c:strCache>
                <c:ptCount val="1"/>
                <c:pt idx="0">
                  <c:v>Total with Variations</c:v>
                </c:pt>
              </c:strCache>
            </c:strRef>
          </c:tx>
          <c:spPr>
            <a:ln w="25400">
              <a:solidFill>
                <a:srgbClr val="993366"/>
              </a:solidFill>
              <a:prstDash val="solid"/>
            </a:ln>
          </c:spPr>
          <c:marker>
            <c:symbol val="none"/>
          </c:marker>
          <c:cat>
            <c:strRef>
              <c:f>('A-1'!$B$203:$H$203,'A-1'!$B$205:$I$205)</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('A-1'!$B$201:$H$201,'A-1'!$B$207:$I$207)</c:f>
              <c:numCache>
                <c:formatCode>General</c:formatCode>
                <c:ptCount val="15"/>
                <c:pt idx="7" formatCode="_-* #,##0.0_-;\-* #,##0.0_-;_-* &quot;-&quot;??_-;_-@_-">
                  <c:v>0</c:v>
                </c:pt>
                <c:pt idx="8" formatCode="_-* #,##0.0_-;\-* #,##0.0_-;_-* &quot;-&quot;??_-;_-@_-">
                  <c:v>0</c:v>
                </c:pt>
                <c:pt idx="9" formatCode="_-* #,##0.0_-;\-* #,##0.0_-;_-* &quot;-&quot;??_-;_-@_-">
                  <c:v>2.04</c:v>
                </c:pt>
                <c:pt idx="10" formatCode="_-* #,##0.0_-;\-* #,##0.0_-;_-* &quot;-&quot;??_-;_-@_-">
                  <c:v>2.04</c:v>
                </c:pt>
                <c:pt idx="11" formatCode="_-* #,##0.0_-;\-* #,##0.0_-;_-* &quot;-&quot;??_-;_-@_-">
                  <c:v>2.04</c:v>
                </c:pt>
                <c:pt idx="12" formatCode="_-* #,##0.0_-;\-* #,##0.0_-;_-* &quot;-&quot;??_-;_-@_-">
                  <c:v>2.04</c:v>
                </c:pt>
                <c:pt idx="13" formatCode="_-* #,##0.0_-;\-* #,##0.0_-;_-* &quot;-&quot;??_-;_-@_-">
                  <c:v>2.04</c:v>
                </c:pt>
                <c:pt idx="14" formatCode="_-* #,##0.0_-;\-* #,##0.0_-;_-* &quot;-&quot;??_-;_-@_-">
                  <c:v>2.04</c:v>
                </c:pt>
              </c:numCache>
            </c:numRef>
          </c:val>
        </c:ser>
        <c:ser>
          <c:idx val="3"/>
          <c:order val="3"/>
          <c:tx>
            <c:strRef>
              <c:f>'A-1'!$A$208</c:f>
              <c:strCache>
                <c:ptCount val="1"/>
                <c:pt idx="0">
                  <c:v>Total with Specific Escalations</c:v>
                </c:pt>
              </c:strCache>
            </c:strRef>
          </c:tx>
          <c:spPr>
            <a:ln w="25400">
              <a:solidFill>
                <a:srgbClr val="FF0000"/>
              </a:solidFill>
              <a:prstDash val="solid"/>
            </a:ln>
          </c:spPr>
          <c:marker>
            <c:symbol val="none"/>
          </c:marker>
          <c:cat>
            <c:strRef>
              <c:f>('A-1'!$B$203:$H$203,'A-1'!$B$205:$I$205)</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('A-1'!$B$201:$H$201,'A-1'!$B$208:$I$208)</c:f>
              <c:numCache>
                <c:formatCode>General</c:formatCode>
                <c:ptCount val="15"/>
                <c:pt idx="7" formatCode="_-* #,##0.0_-;\-* #,##0.0_-;_-* &quot;-&quot;??_-;_-@_-">
                  <c:v>0</c:v>
                </c:pt>
                <c:pt idx="8" formatCode="_-* #,##0.0_-;\-* #,##0.0_-;_-* &quot;-&quot;??_-;_-@_-">
                  <c:v>0</c:v>
                </c:pt>
                <c:pt idx="9" formatCode="_-* #,##0.0_-;\-* #,##0.0_-;_-* &quot;-&quot;??_-;_-@_-">
                  <c:v>2.04</c:v>
                </c:pt>
                <c:pt idx="10" formatCode="_-* #,##0.0_-;\-* #,##0.0_-;_-* &quot;-&quot;??_-;_-@_-">
                  <c:v>2.0616443148937198</c:v>
                </c:pt>
                <c:pt idx="11" formatCode="_-* #,##0.0_-;\-* #,##0.0_-;_-* &quot;-&quot;??_-;_-@_-">
                  <c:v>2.0816996300521682</c:v>
                </c:pt>
                <c:pt idx="12" formatCode="_-* #,##0.0_-;\-* #,##0.0_-;_-* &quot;-&quot;??_-;_-@_-">
                  <c:v>2.1015240863874745</c:v>
                </c:pt>
                <c:pt idx="13" formatCode="_-* #,##0.0_-;\-* #,##0.0_-;_-* &quot;-&quot;??_-;_-@_-">
                  <c:v>2.1230320292998712</c:v>
                </c:pt>
                <c:pt idx="14" formatCode="_-* #,##0.0_-;\-* #,##0.0_-;_-* &quot;-&quot;??_-;_-@_-">
                  <c:v>2.1427334659737602</c:v>
                </c:pt>
              </c:numCache>
            </c:numRef>
          </c:val>
        </c:ser>
        <c:ser>
          <c:idx val="2"/>
          <c:order val="4"/>
          <c:tx>
            <c:strRef>
              <c:f>'A-1'!$A$209</c:f>
              <c:strCache>
                <c:ptCount val="1"/>
                <c:pt idx="0">
                  <c:v>Total with All Escalations</c:v>
                </c:pt>
              </c:strCache>
            </c:strRef>
          </c:tx>
          <c:spPr>
            <a:ln w="38100">
              <a:solidFill>
                <a:srgbClr val="00FF00"/>
              </a:solidFill>
              <a:prstDash val="solid"/>
            </a:ln>
          </c:spPr>
          <c:marker>
            <c:symbol val="none"/>
          </c:marker>
          <c:cat>
            <c:strRef>
              <c:f>('A-1'!$B$203:$H$203,'A-1'!$B$205:$I$205)</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('A-1'!$B$201:$H$201,'A-1'!$B$209:$I$209)</c:f>
              <c:numCache>
                <c:formatCode>General</c:formatCode>
                <c:ptCount val="15"/>
                <c:pt idx="7" formatCode="_-* #,##0.0_-;\-* #,##0.0_-;_-* &quot;-&quot;??_-;_-@_-">
                  <c:v>0</c:v>
                </c:pt>
                <c:pt idx="8" formatCode="_-* #,##0.0_-;\-* #,##0.0_-;_-* &quot;-&quot;??_-;_-@_-">
                  <c:v>0</c:v>
                </c:pt>
                <c:pt idx="9" formatCode="_-* #,##0.0_-;\-* #,##0.0_-;_-* &quot;-&quot;??_-;_-@_-">
                  <c:v>2.04</c:v>
                </c:pt>
                <c:pt idx="10" formatCode="_-* #,##0.0_-;\-* #,##0.0_-;_-* &quot;-&quot;??_-;_-@_-">
                  <c:v>2.0892146190103578</c:v>
                </c:pt>
                <c:pt idx="11" formatCode="_-* #,##0.0_-;\-* #,##0.0_-;_-* &quot;-&quot;??_-;_-@_-">
                  <c:v>2.1379028699143259</c:v>
                </c:pt>
                <c:pt idx="12" formatCode="_-* #,##0.0_-;\-* #,##0.0_-;_-* &quot;-&quot;??_-;_-@_-">
                  <c:v>2.192322171680813</c:v>
                </c:pt>
                <c:pt idx="13" formatCode="_-* #,##0.0_-;\-* #,##0.0_-;_-* &quot;-&quot;??_-;_-@_-">
                  <c:v>2.2511846027364117</c:v>
                </c:pt>
                <c:pt idx="14" formatCode="_-* #,##0.0_-;\-* #,##0.0_-;_-* &quot;-&quot;??_-;_-@_-">
                  <c:v>2.3113874558943088</c:v>
                </c:pt>
              </c:numCache>
            </c:numRef>
          </c:val>
        </c:ser>
        <c:marker val="1"/>
        <c:axId val="144972416"/>
        <c:axId val="144974208"/>
      </c:lineChart>
      <c:catAx>
        <c:axId val="144972416"/>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44974208"/>
        <c:crosses val="autoZero"/>
        <c:auto val="1"/>
        <c:lblAlgn val="ctr"/>
        <c:lblOffset val="100"/>
        <c:tickLblSkip val="1"/>
        <c:tickMarkSkip val="1"/>
      </c:catAx>
      <c:valAx>
        <c:axId val="14497420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44972416"/>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AU"/>
  <c:chart>
    <c:title>
      <c:tx>
        <c:strRef>
          <c:f>'A-10'!$B$2</c:f>
          <c:strCache>
            <c:ptCount val="1"/>
            <c:pt idx="0">
              <c:v>Corporate Finance</c:v>
            </c:pt>
          </c:strCache>
        </c:strRef>
      </c:tx>
      <c:layout>
        <c:manualLayout>
          <c:xMode val="edge"/>
          <c:yMode val="edge"/>
          <c:x val="0.3881163084702908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'A-10'!$A$203</c:f>
              <c:strCache>
                <c:ptCount val="1"/>
                <c:pt idx="0">
                  <c:v>Historic Expenditure</c:v>
                </c:pt>
              </c:strCache>
            </c:strRef>
          </c:tx>
          <c:spPr>
            <a:ln w="25400">
              <a:solidFill>
                <a:srgbClr val="33CCCC"/>
              </a:solidFill>
              <a:prstDash val="solid"/>
            </a:ln>
          </c:spPr>
          <c:marker>
            <c:symbol val="none"/>
          </c:marker>
          <c:cat>
            <c:strRef>
              <c:f>('A-10'!$B$202:$H$202,'A-10'!$B$204:$I$204)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('A-10'!$B$203:$H$203,'A-10'!$B$205,'A-10'!$C$200:$I$200)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'A-10'!$A$14</c:f>
              <c:strCache>
                <c:ptCount val="1"/>
                <c:pt idx="0">
                  <c:v>Baseline Expenditure</c:v>
                </c:pt>
              </c:strCache>
            </c:strRef>
          </c:tx>
          <c:spPr>
            <a:ln w="25400">
              <a:solidFill>
                <a:srgbClr val="0000FF"/>
              </a:solidFill>
              <a:prstDash val="solid"/>
            </a:ln>
          </c:spPr>
          <c:marker>
            <c:symbol val="none"/>
          </c:marker>
          <c:cat>
            <c:strRef>
              <c:f>('A-10'!$B$202:$H$202,'A-10'!$B$204:$I$204)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('A-10'!$B$200:$H$200,'A-10'!$B$205:$I$205)</c:f>
              <c:numCache>
                <c:formatCode>General</c:formatCode>
                <c:ptCount val="15"/>
                <c:pt idx="7" formatCode="_-* #,##0.0_-;\-* #,##0.0_-;_-* &quot;-&quot;??_-;_-@_-">
                  <c:v>0</c:v>
                </c:pt>
                <c:pt idx="8" formatCode="_-* #,##0.0_-;\-* #,##0.0_-;_-* &quot;-&quot;??_-;_-@_-">
                  <c:v>0</c:v>
                </c:pt>
                <c:pt idx="9" formatCode="_-* #,##0.0_-;\-* #,##0.0_-;_-* &quot;-&quot;??_-;_-@_-">
                  <c:v>2.9400000000000004</c:v>
                </c:pt>
                <c:pt idx="10" formatCode="_-* #,##0.0_-;\-* #,##0.0_-;_-* &quot;-&quot;??_-;_-@_-">
                  <c:v>2.9400000000000004</c:v>
                </c:pt>
                <c:pt idx="11" formatCode="_-* #,##0.0_-;\-* #,##0.0_-;_-* &quot;-&quot;??_-;_-@_-">
                  <c:v>2.9400000000000004</c:v>
                </c:pt>
                <c:pt idx="12" formatCode="_-* #,##0.0_-;\-* #,##0.0_-;_-* &quot;-&quot;??_-;_-@_-">
                  <c:v>2.9400000000000004</c:v>
                </c:pt>
                <c:pt idx="13" formatCode="_-* #,##0.0_-;\-* #,##0.0_-;_-* &quot;-&quot;??_-;_-@_-">
                  <c:v>2.9400000000000004</c:v>
                </c:pt>
                <c:pt idx="14" formatCode="_-* #,##0.0_-;\-* #,##0.0_-;_-* &quot;-&quot;??_-;_-@_-">
                  <c:v>2.9400000000000004</c:v>
                </c:pt>
              </c:numCache>
            </c:numRef>
          </c:val>
        </c:ser>
        <c:ser>
          <c:idx val="0"/>
          <c:order val="2"/>
          <c:tx>
            <c:strRef>
              <c:f>'A-10'!$A$206</c:f>
              <c:strCache>
                <c:ptCount val="1"/>
                <c:pt idx="0">
                  <c:v>Total with Variations</c:v>
                </c:pt>
              </c:strCache>
            </c:strRef>
          </c:tx>
          <c:spPr>
            <a:ln w="25400">
              <a:solidFill>
                <a:srgbClr val="993366"/>
              </a:solidFill>
              <a:prstDash val="solid"/>
            </a:ln>
          </c:spPr>
          <c:marker>
            <c:symbol val="none"/>
          </c:marker>
          <c:cat>
            <c:strRef>
              <c:f>('A-10'!$B$202:$H$202,'A-10'!$B$204:$I$204)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('A-10'!$B$200:$H$200,'A-10'!$B$206:$I$206)</c:f>
              <c:numCache>
                <c:formatCode>General</c:formatCode>
                <c:ptCount val="15"/>
                <c:pt idx="7" formatCode="_-* #,##0.0_-;\-* #,##0.0_-;_-* &quot;-&quot;??_-;_-@_-">
                  <c:v>0</c:v>
                </c:pt>
                <c:pt idx="8" formatCode="_-* #,##0.0_-;\-* #,##0.0_-;_-* &quot;-&quot;??_-;_-@_-">
                  <c:v>0</c:v>
                </c:pt>
                <c:pt idx="9" formatCode="_-* #,##0.0_-;\-* #,##0.0_-;_-* &quot;-&quot;??_-;_-@_-">
                  <c:v>2.9400000000000004</c:v>
                </c:pt>
                <c:pt idx="10" formatCode="_-* #,##0.0_-;\-* #,##0.0_-;_-* &quot;-&quot;??_-;_-@_-">
                  <c:v>2.9400000000000004</c:v>
                </c:pt>
                <c:pt idx="11" formatCode="_-* #,##0.0_-;\-* #,##0.0_-;_-* &quot;-&quot;??_-;_-@_-">
                  <c:v>2.9400000000000004</c:v>
                </c:pt>
                <c:pt idx="12" formatCode="_-* #,##0.0_-;\-* #,##0.0_-;_-* &quot;-&quot;??_-;_-@_-">
                  <c:v>2.9400000000000004</c:v>
                </c:pt>
                <c:pt idx="13" formatCode="_-* #,##0.0_-;\-* #,##0.0_-;_-* &quot;-&quot;??_-;_-@_-">
                  <c:v>2.9400000000000004</c:v>
                </c:pt>
                <c:pt idx="14" formatCode="_-* #,##0.0_-;\-* #,##0.0_-;_-* &quot;-&quot;??_-;_-@_-">
                  <c:v>2.9400000000000004</c:v>
                </c:pt>
              </c:numCache>
            </c:numRef>
          </c:val>
        </c:ser>
        <c:ser>
          <c:idx val="3"/>
          <c:order val="3"/>
          <c:tx>
            <c:strRef>
              <c:f>'A-10'!$A$207</c:f>
              <c:strCache>
                <c:ptCount val="1"/>
                <c:pt idx="0">
                  <c:v>Total with Specific Escalations</c:v>
                </c:pt>
              </c:strCache>
            </c:strRef>
          </c:tx>
          <c:spPr>
            <a:ln w="25400">
              <a:solidFill>
                <a:srgbClr val="FF0000"/>
              </a:solidFill>
              <a:prstDash val="solid"/>
            </a:ln>
          </c:spPr>
          <c:marker>
            <c:symbol val="none"/>
          </c:marker>
          <c:cat>
            <c:strRef>
              <c:f>('A-10'!$B$202:$H$202,'A-10'!$B$204:$I$204)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('A-10'!$B$200:$H$200,'A-10'!$B$207:$I$207)</c:f>
              <c:numCache>
                <c:formatCode>General</c:formatCode>
                <c:ptCount val="15"/>
                <c:pt idx="7" formatCode="_-* #,##0.0_-;\-* #,##0.0_-;_-* &quot;-&quot;??_-;_-@_-">
                  <c:v>0</c:v>
                </c:pt>
                <c:pt idx="8" formatCode="_-* #,##0.0_-;\-* #,##0.0_-;_-* &quot;-&quot;??_-;_-@_-">
                  <c:v>0</c:v>
                </c:pt>
                <c:pt idx="9" formatCode="_-* #,##0.0_-;\-* #,##0.0_-;_-* &quot;-&quot;??_-;_-@_-">
                  <c:v>2.9400000000000004</c:v>
                </c:pt>
                <c:pt idx="10" formatCode="_-* #,##0.0_-;\-* #,##0.0_-;_-* &quot;-&quot;??_-;_-@_-">
                  <c:v>2.9711932773468317</c:v>
                </c:pt>
                <c:pt idx="11" formatCode="_-* #,##0.0_-;\-* #,##0.0_-;_-* &quot;-&quot;??_-;_-@_-">
                  <c:v>3.0000965256634191</c:v>
                </c:pt>
                <c:pt idx="12" formatCode="_-* #,##0.0_-;\-* #,##0.0_-;_-* &quot;-&quot;??_-;_-@_-">
                  <c:v>3.0286670656760664</c:v>
                </c:pt>
                <c:pt idx="13" formatCode="_-* #,##0.0_-;\-* #,##0.0_-;_-* &quot;-&quot;??_-;_-@_-">
                  <c:v>3.0596638069321678</c:v>
                </c:pt>
                <c:pt idx="14" formatCode="_-* #,##0.0_-;\-* #,##0.0_-;_-* &quot;-&quot;??_-;_-@_-">
                  <c:v>3.0880570539033609</c:v>
                </c:pt>
              </c:numCache>
            </c:numRef>
          </c:val>
        </c:ser>
        <c:ser>
          <c:idx val="2"/>
          <c:order val="4"/>
          <c:tx>
            <c:strRef>
              <c:f>'A-10'!$A$208</c:f>
              <c:strCache>
                <c:ptCount val="1"/>
                <c:pt idx="0">
                  <c:v>Total with All Escalations</c:v>
                </c:pt>
              </c:strCache>
            </c:strRef>
          </c:tx>
          <c:spPr>
            <a:ln w="38100">
              <a:solidFill>
                <a:srgbClr val="00FF00"/>
              </a:solidFill>
              <a:prstDash val="solid"/>
            </a:ln>
          </c:spPr>
          <c:marker>
            <c:symbol val="none"/>
          </c:marker>
          <c:cat>
            <c:strRef>
              <c:f>('A-10'!$B$202:$H$202,'A-10'!$B$204:$I$204)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('A-10'!$B$200:$H$200,'A-10'!$B$208:$I$208)</c:f>
              <c:numCache>
                <c:formatCode>General</c:formatCode>
                <c:ptCount val="15"/>
                <c:pt idx="7" formatCode="_-* #,##0.0_-;\-* #,##0.0_-;_-* &quot;-&quot;??_-;_-@_-">
                  <c:v>0</c:v>
                </c:pt>
                <c:pt idx="8" formatCode="_-* #,##0.0_-;\-* #,##0.0_-;_-* &quot;-&quot;??_-;_-@_-">
                  <c:v>0</c:v>
                </c:pt>
                <c:pt idx="9" formatCode="_-* #,##0.0_-;\-* #,##0.0_-;_-* &quot;-&quot;??_-;_-@_-">
                  <c:v>2.9400000000000004</c:v>
                </c:pt>
                <c:pt idx="10" formatCode="_-* #,##0.0_-;\-* #,##0.0_-;_-* &quot;-&quot;??_-;_-@_-">
                  <c:v>3.0234376028004624</c:v>
                </c:pt>
                <c:pt idx="11" formatCode="_-* #,##0.0_-;\-* #,##0.0_-;_-* &quot;-&quot;??_-;_-@_-">
                  <c:v>3.1066812717804781</c:v>
                </c:pt>
                <c:pt idx="12" formatCode="_-* #,##0.0_-;\-* #,##0.0_-;_-* &quot;-&quot;??_-;_-@_-">
                  <c:v>3.1971788314096408</c:v>
                </c:pt>
                <c:pt idx="13" formatCode="_-* #,##0.0_-;\-* #,##0.0_-;_-* &quot;-&quot;??_-;_-@_-">
                  <c:v>3.2937391388306265</c:v>
                </c:pt>
                <c:pt idx="14" formatCode="_-* #,##0.0_-;\-* #,##0.0_-;_-* &quot;-&quot;??_-;_-@_-">
                  <c:v>3.3914570577475649</c:v>
                </c:pt>
              </c:numCache>
            </c:numRef>
          </c:val>
        </c:ser>
        <c:marker val="1"/>
        <c:axId val="160552448"/>
        <c:axId val="160553984"/>
      </c:lineChart>
      <c:catAx>
        <c:axId val="16055244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0553984"/>
        <c:crosses val="autoZero"/>
        <c:auto val="1"/>
        <c:lblAlgn val="ctr"/>
        <c:lblOffset val="100"/>
        <c:tickLblSkip val="1"/>
        <c:tickMarkSkip val="1"/>
      </c:catAx>
      <c:valAx>
        <c:axId val="16055398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055244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AU"/>
  <c:chart>
    <c:title>
      <c:tx>
        <c:strRef>
          <c:f>'A-11'!$B$2</c:f>
          <c:strCache>
            <c:ptCount val="1"/>
            <c:pt idx="0">
              <c:v>Operational Finance</c:v>
            </c:pt>
          </c:strCache>
        </c:strRef>
      </c:tx>
      <c:layout>
        <c:manualLayout>
          <c:xMode val="edge"/>
          <c:yMode val="edge"/>
          <c:x val="0.3792667509481668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'A-11'!$A$203</c:f>
              <c:strCache>
                <c:ptCount val="1"/>
                <c:pt idx="0">
                  <c:v>Historic Expenditure</c:v>
                </c:pt>
              </c:strCache>
            </c:strRef>
          </c:tx>
          <c:spPr>
            <a:ln w="25400">
              <a:solidFill>
                <a:srgbClr val="33CCCC"/>
              </a:solidFill>
              <a:prstDash val="solid"/>
            </a:ln>
          </c:spPr>
          <c:marker>
            <c:symbol val="none"/>
          </c:marker>
          <c:cat>
            <c:strRef>
              <c:f>('A-11'!$B$202:$H$202,'A-11'!$B$204:$I$204)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('A-11'!$B$203:$H$203,'A-11'!$B$205,'A-11'!$C$200:$I$200)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'A-11'!$A$14</c:f>
              <c:strCache>
                <c:ptCount val="1"/>
                <c:pt idx="0">
                  <c:v>Baseline Expenditure</c:v>
                </c:pt>
              </c:strCache>
            </c:strRef>
          </c:tx>
          <c:spPr>
            <a:ln w="25400">
              <a:solidFill>
                <a:srgbClr val="0000FF"/>
              </a:solidFill>
              <a:prstDash val="solid"/>
            </a:ln>
          </c:spPr>
          <c:marker>
            <c:symbol val="none"/>
          </c:marker>
          <c:cat>
            <c:strRef>
              <c:f>('A-11'!$B$202:$H$202,'A-11'!$B$204:$I$204)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('A-11'!$B$200:$H$200,'A-11'!$B$205:$I$205)</c:f>
              <c:numCache>
                <c:formatCode>General</c:formatCode>
                <c:ptCount val="15"/>
                <c:pt idx="7" formatCode="_-* #,##0.0_-;\-* #,##0.0_-;_-* &quot;-&quot;??_-;_-@_-">
                  <c:v>0</c:v>
                </c:pt>
                <c:pt idx="8" formatCode="_-* #,##0.0_-;\-* #,##0.0_-;_-* &quot;-&quot;??_-;_-@_-">
                  <c:v>0</c:v>
                </c:pt>
                <c:pt idx="9" formatCode="_-* #,##0.0_-;\-* #,##0.0_-;_-* &quot;-&quot;??_-;_-@_-">
                  <c:v>1.258</c:v>
                </c:pt>
                <c:pt idx="10" formatCode="_-* #,##0.0_-;\-* #,##0.0_-;_-* &quot;-&quot;??_-;_-@_-">
                  <c:v>1.258</c:v>
                </c:pt>
                <c:pt idx="11" formatCode="_-* #,##0.0_-;\-* #,##0.0_-;_-* &quot;-&quot;??_-;_-@_-">
                  <c:v>1.258</c:v>
                </c:pt>
                <c:pt idx="12" formatCode="_-* #,##0.0_-;\-* #,##0.0_-;_-* &quot;-&quot;??_-;_-@_-">
                  <c:v>1.258</c:v>
                </c:pt>
                <c:pt idx="13" formatCode="_-* #,##0.0_-;\-* #,##0.0_-;_-* &quot;-&quot;??_-;_-@_-">
                  <c:v>1.258</c:v>
                </c:pt>
                <c:pt idx="14" formatCode="_-* #,##0.0_-;\-* #,##0.0_-;_-* &quot;-&quot;??_-;_-@_-">
                  <c:v>1.258</c:v>
                </c:pt>
              </c:numCache>
            </c:numRef>
          </c:val>
        </c:ser>
        <c:ser>
          <c:idx val="0"/>
          <c:order val="2"/>
          <c:tx>
            <c:strRef>
              <c:f>'A-11'!$A$206</c:f>
              <c:strCache>
                <c:ptCount val="1"/>
                <c:pt idx="0">
                  <c:v>Total with Variations</c:v>
                </c:pt>
              </c:strCache>
            </c:strRef>
          </c:tx>
          <c:spPr>
            <a:ln w="25400">
              <a:solidFill>
                <a:srgbClr val="993366"/>
              </a:solidFill>
              <a:prstDash val="solid"/>
            </a:ln>
          </c:spPr>
          <c:marker>
            <c:symbol val="none"/>
          </c:marker>
          <c:cat>
            <c:strRef>
              <c:f>('A-11'!$B$202:$H$202,'A-11'!$B$204:$I$204)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('A-11'!$B$200:$H$200,'A-11'!$B$206:$I$206)</c:f>
              <c:numCache>
                <c:formatCode>General</c:formatCode>
                <c:ptCount val="15"/>
                <c:pt idx="7" formatCode="_-* #,##0.0_-;\-* #,##0.0_-;_-* &quot;-&quot;??_-;_-@_-">
                  <c:v>0</c:v>
                </c:pt>
                <c:pt idx="8" formatCode="_-* #,##0.0_-;\-* #,##0.0_-;_-* &quot;-&quot;??_-;_-@_-">
                  <c:v>0</c:v>
                </c:pt>
                <c:pt idx="9" formatCode="_-* #,##0.0_-;\-* #,##0.0_-;_-* &quot;-&quot;??_-;_-@_-">
                  <c:v>1.258</c:v>
                </c:pt>
                <c:pt idx="10" formatCode="_-* #,##0.0_-;\-* #,##0.0_-;_-* &quot;-&quot;??_-;_-@_-">
                  <c:v>1.258</c:v>
                </c:pt>
                <c:pt idx="11" formatCode="_-* #,##0.0_-;\-* #,##0.0_-;_-* &quot;-&quot;??_-;_-@_-">
                  <c:v>1.258</c:v>
                </c:pt>
                <c:pt idx="12" formatCode="_-* #,##0.0_-;\-* #,##0.0_-;_-* &quot;-&quot;??_-;_-@_-">
                  <c:v>1.258</c:v>
                </c:pt>
                <c:pt idx="13" formatCode="_-* #,##0.0_-;\-* #,##0.0_-;_-* &quot;-&quot;??_-;_-@_-">
                  <c:v>1.258</c:v>
                </c:pt>
                <c:pt idx="14" formatCode="_-* #,##0.0_-;\-* #,##0.0_-;_-* &quot;-&quot;??_-;_-@_-">
                  <c:v>1.258</c:v>
                </c:pt>
              </c:numCache>
            </c:numRef>
          </c:val>
        </c:ser>
        <c:ser>
          <c:idx val="3"/>
          <c:order val="3"/>
          <c:tx>
            <c:strRef>
              <c:f>'A-11'!$A$207</c:f>
              <c:strCache>
                <c:ptCount val="1"/>
                <c:pt idx="0">
                  <c:v>Total with Specific Escalations</c:v>
                </c:pt>
              </c:strCache>
            </c:strRef>
          </c:tx>
          <c:spPr>
            <a:ln w="25400">
              <a:solidFill>
                <a:srgbClr val="FF0000"/>
              </a:solidFill>
              <a:prstDash val="solid"/>
            </a:ln>
          </c:spPr>
          <c:marker>
            <c:symbol val="none"/>
          </c:marker>
          <c:cat>
            <c:strRef>
              <c:f>('A-11'!$B$202:$H$202,'A-11'!$B$204:$I$204)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('A-11'!$B$200:$H$200,'A-11'!$B$207:$I$207)</c:f>
              <c:numCache>
                <c:formatCode>General</c:formatCode>
                <c:ptCount val="15"/>
                <c:pt idx="7" formatCode="_-* #,##0.0_-;\-* #,##0.0_-;_-* &quot;-&quot;??_-;_-@_-">
                  <c:v>0</c:v>
                </c:pt>
                <c:pt idx="8" formatCode="_-* #,##0.0_-;\-* #,##0.0_-;_-* &quot;-&quot;??_-;_-@_-">
                  <c:v>0</c:v>
                </c:pt>
                <c:pt idx="9" formatCode="_-* #,##0.0_-;\-* #,##0.0_-;_-* &quot;-&quot;??_-;_-@_-">
                  <c:v>1.258</c:v>
                </c:pt>
                <c:pt idx="10" formatCode="_-* #,##0.0_-;\-* #,##0.0_-;_-* &quot;-&quot;??_-;_-@_-">
                  <c:v>1.2713473275177938</c:v>
                </c:pt>
                <c:pt idx="11" formatCode="_-* #,##0.0_-;\-* #,##0.0_-;_-* &quot;-&quot;??_-;_-@_-">
                  <c:v>1.2837147718655035</c:v>
                </c:pt>
                <c:pt idx="12" formatCode="_-* #,##0.0_-;\-* #,##0.0_-;_-* &quot;-&quot;??_-;_-@_-">
                  <c:v>1.2959398532722757</c:v>
                </c:pt>
                <c:pt idx="13" formatCode="_-* #,##0.0_-;\-* #,##0.0_-;_-* &quot;-&quot;??_-;_-@_-">
                  <c:v>1.3092030847349205</c:v>
                </c:pt>
                <c:pt idx="14" formatCode="_-* #,##0.0_-;\-* #,##0.0_-;_-* &quot;-&quot;??_-;_-@_-">
                  <c:v>1.3213523040171522</c:v>
                </c:pt>
              </c:numCache>
            </c:numRef>
          </c:val>
        </c:ser>
        <c:ser>
          <c:idx val="2"/>
          <c:order val="4"/>
          <c:tx>
            <c:strRef>
              <c:f>'A-11'!$A$208</c:f>
              <c:strCache>
                <c:ptCount val="1"/>
                <c:pt idx="0">
                  <c:v>Total with All Escalations</c:v>
                </c:pt>
              </c:strCache>
            </c:strRef>
          </c:tx>
          <c:spPr>
            <a:ln w="38100">
              <a:solidFill>
                <a:srgbClr val="00FF00"/>
              </a:solidFill>
              <a:prstDash val="solid"/>
            </a:ln>
          </c:spPr>
          <c:marker>
            <c:symbol val="none"/>
          </c:marker>
          <c:cat>
            <c:strRef>
              <c:f>('A-11'!$B$202:$H$202,'A-11'!$B$204:$I$204)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('A-11'!$B$200:$H$200,'A-11'!$B$208:$I$208)</c:f>
              <c:numCache>
                <c:formatCode>General</c:formatCode>
                <c:ptCount val="15"/>
                <c:pt idx="7" formatCode="_-* #,##0.0_-;\-* #,##0.0_-;_-* &quot;-&quot;??_-;_-@_-">
                  <c:v>0</c:v>
                </c:pt>
                <c:pt idx="8" formatCode="_-* #,##0.0_-;\-* #,##0.0_-;_-* &quot;-&quot;??_-;_-@_-">
                  <c:v>0</c:v>
                </c:pt>
                <c:pt idx="9" formatCode="_-* #,##0.0_-;\-* #,##0.0_-;_-* &quot;-&quot;??_-;_-@_-">
                  <c:v>1.258</c:v>
                </c:pt>
                <c:pt idx="10" formatCode="_-* #,##0.0_-;\-* #,##0.0_-;_-* &quot;-&quot;??_-;_-@_-">
                  <c:v>1.297656006006354</c:v>
                </c:pt>
                <c:pt idx="11" formatCode="_-* #,##0.0_-;\-* #,##0.0_-;_-* &quot;-&quot;??_-;_-@_-">
                  <c:v>1.3374099730146833</c:v>
                </c:pt>
                <c:pt idx="12" formatCode="_-* #,##0.0_-;\-* #,##0.0_-;_-* &quot;-&quot;??_-;_-@_-">
                  <c:v>1.3798378286292885</c:v>
                </c:pt>
                <c:pt idx="13" formatCode="_-* #,##0.0_-;\-* #,##0.0_-;_-* &quot;-&quot;??_-;_-@_-">
                  <c:v>1.4247040866497185</c:v>
                </c:pt>
                <c:pt idx="14" formatCode="_-* #,##0.0_-;\-* #,##0.0_-;_-* &quot;-&quot;??_-;_-@_-">
                  <c:v>1.4697544319782418</c:v>
                </c:pt>
              </c:numCache>
            </c:numRef>
          </c:val>
        </c:ser>
        <c:marker val="1"/>
        <c:axId val="159402624"/>
        <c:axId val="159424896"/>
      </c:lineChart>
      <c:catAx>
        <c:axId val="1594026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9424896"/>
        <c:crosses val="autoZero"/>
        <c:auto val="1"/>
        <c:lblAlgn val="ctr"/>
        <c:lblOffset val="100"/>
        <c:tickLblSkip val="1"/>
        <c:tickMarkSkip val="1"/>
      </c:catAx>
      <c:valAx>
        <c:axId val="15942489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94026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AU"/>
  <c:chart>
    <c:title>
      <c:tx>
        <c:strRef>
          <c:f>'A-12'!$B$2</c:f>
          <c:strCache>
            <c:ptCount val="1"/>
            <c:pt idx="0">
              <c:v>Regulatory Finance</c:v>
            </c:pt>
          </c:strCache>
        </c:strRef>
      </c:tx>
      <c:layout>
        <c:manualLayout>
          <c:xMode val="edge"/>
          <c:yMode val="edge"/>
          <c:x val="0.3830594184576567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'A-12'!$A$203</c:f>
              <c:strCache>
                <c:ptCount val="1"/>
                <c:pt idx="0">
                  <c:v>Historic Expenditure</c:v>
                </c:pt>
              </c:strCache>
            </c:strRef>
          </c:tx>
          <c:spPr>
            <a:ln w="25400">
              <a:solidFill>
                <a:srgbClr val="33CCCC"/>
              </a:solidFill>
              <a:prstDash val="solid"/>
            </a:ln>
          </c:spPr>
          <c:marker>
            <c:symbol val="none"/>
          </c:marker>
          <c:cat>
            <c:strRef>
              <c:f>('A-12'!$B$202:$H$202,'A-12'!$B$204:$I$204)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('A-12'!$B$203:$H$203,'A-12'!$B$205,'A-12'!$C$200:$I$200)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'A-12'!$A$14</c:f>
              <c:strCache>
                <c:ptCount val="1"/>
                <c:pt idx="0">
                  <c:v>Baseline Expenditure</c:v>
                </c:pt>
              </c:strCache>
            </c:strRef>
          </c:tx>
          <c:spPr>
            <a:ln w="25400">
              <a:solidFill>
                <a:srgbClr val="0000FF"/>
              </a:solidFill>
              <a:prstDash val="solid"/>
            </a:ln>
          </c:spPr>
          <c:marker>
            <c:symbol val="none"/>
          </c:marker>
          <c:cat>
            <c:strRef>
              <c:f>('A-12'!$B$202:$H$202,'A-12'!$B$204:$I$204)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('A-12'!$B$200:$H$200,'A-12'!$B$205:$I$205)</c:f>
              <c:numCache>
                <c:formatCode>General</c:formatCode>
                <c:ptCount val="15"/>
                <c:pt idx="7" formatCode="_-* #,##0.0_-;\-* #,##0.0_-;_-* &quot;-&quot;??_-;_-@_-">
                  <c:v>0</c:v>
                </c:pt>
                <c:pt idx="8" formatCode="_-* #,##0.0_-;\-* #,##0.0_-;_-* &quot;-&quot;??_-;_-@_-">
                  <c:v>0</c:v>
                </c:pt>
                <c:pt idx="9" formatCode="_-* #,##0.0_-;\-* #,##0.0_-;_-* &quot;-&quot;??_-;_-@_-">
                  <c:v>0.13600000000000001</c:v>
                </c:pt>
                <c:pt idx="10" formatCode="_-* #,##0.0_-;\-* #,##0.0_-;_-* &quot;-&quot;??_-;_-@_-">
                  <c:v>0.13600000000000001</c:v>
                </c:pt>
                <c:pt idx="11" formatCode="_-* #,##0.0_-;\-* #,##0.0_-;_-* &quot;-&quot;??_-;_-@_-">
                  <c:v>0.13600000000000001</c:v>
                </c:pt>
                <c:pt idx="12" formatCode="_-* #,##0.0_-;\-* #,##0.0_-;_-* &quot;-&quot;??_-;_-@_-">
                  <c:v>0.13600000000000001</c:v>
                </c:pt>
                <c:pt idx="13" formatCode="_-* #,##0.0_-;\-* #,##0.0_-;_-* &quot;-&quot;??_-;_-@_-">
                  <c:v>0.13600000000000001</c:v>
                </c:pt>
                <c:pt idx="14" formatCode="_-* #,##0.0_-;\-* #,##0.0_-;_-* &quot;-&quot;??_-;_-@_-">
                  <c:v>0.13600000000000001</c:v>
                </c:pt>
              </c:numCache>
            </c:numRef>
          </c:val>
        </c:ser>
        <c:ser>
          <c:idx val="0"/>
          <c:order val="2"/>
          <c:tx>
            <c:strRef>
              <c:f>'A-12'!$A$206</c:f>
              <c:strCache>
                <c:ptCount val="1"/>
                <c:pt idx="0">
                  <c:v>Total with Variations</c:v>
                </c:pt>
              </c:strCache>
            </c:strRef>
          </c:tx>
          <c:spPr>
            <a:ln w="25400">
              <a:solidFill>
                <a:srgbClr val="993366"/>
              </a:solidFill>
              <a:prstDash val="solid"/>
            </a:ln>
          </c:spPr>
          <c:marker>
            <c:symbol val="none"/>
          </c:marker>
          <c:cat>
            <c:strRef>
              <c:f>('A-12'!$B$202:$H$202,'A-12'!$B$204:$I$204)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('A-12'!$B$200:$H$200,'A-12'!$B$206:$I$206)</c:f>
              <c:numCache>
                <c:formatCode>General</c:formatCode>
                <c:ptCount val="15"/>
                <c:pt idx="7" formatCode="_-* #,##0.0_-;\-* #,##0.0_-;_-* &quot;-&quot;??_-;_-@_-">
                  <c:v>0</c:v>
                </c:pt>
                <c:pt idx="8" formatCode="_-* #,##0.0_-;\-* #,##0.0_-;_-* &quot;-&quot;??_-;_-@_-">
                  <c:v>0</c:v>
                </c:pt>
                <c:pt idx="9" formatCode="_-* #,##0.0_-;\-* #,##0.0_-;_-* &quot;-&quot;??_-;_-@_-">
                  <c:v>0.13600000000000001</c:v>
                </c:pt>
                <c:pt idx="10" formatCode="_-* #,##0.0_-;\-* #,##0.0_-;_-* &quot;-&quot;??_-;_-@_-">
                  <c:v>0.13600000000000001</c:v>
                </c:pt>
                <c:pt idx="11" formatCode="_-* #,##0.0_-;\-* #,##0.0_-;_-* &quot;-&quot;??_-;_-@_-">
                  <c:v>0.13600000000000001</c:v>
                </c:pt>
                <c:pt idx="12" formatCode="_-* #,##0.0_-;\-* #,##0.0_-;_-* &quot;-&quot;??_-;_-@_-">
                  <c:v>0.13600000000000001</c:v>
                </c:pt>
                <c:pt idx="13" formatCode="_-* #,##0.0_-;\-* #,##0.0_-;_-* &quot;-&quot;??_-;_-@_-">
                  <c:v>0.13600000000000001</c:v>
                </c:pt>
                <c:pt idx="14" formatCode="_-* #,##0.0_-;\-* #,##0.0_-;_-* &quot;-&quot;??_-;_-@_-">
                  <c:v>0.13600000000000001</c:v>
                </c:pt>
              </c:numCache>
            </c:numRef>
          </c:val>
        </c:ser>
        <c:ser>
          <c:idx val="3"/>
          <c:order val="3"/>
          <c:tx>
            <c:strRef>
              <c:f>'A-12'!$A$207</c:f>
              <c:strCache>
                <c:ptCount val="1"/>
                <c:pt idx="0">
                  <c:v>Total with Specific Escalations</c:v>
                </c:pt>
              </c:strCache>
            </c:strRef>
          </c:tx>
          <c:spPr>
            <a:ln w="25400">
              <a:solidFill>
                <a:srgbClr val="FF0000"/>
              </a:solidFill>
              <a:prstDash val="solid"/>
            </a:ln>
          </c:spPr>
          <c:marker>
            <c:symbol val="none"/>
          </c:marker>
          <c:cat>
            <c:strRef>
              <c:f>('A-12'!$B$202:$H$202,'A-12'!$B$204:$I$204)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('A-12'!$B$200:$H$200,'A-12'!$B$207:$I$207)</c:f>
              <c:numCache>
                <c:formatCode>General</c:formatCode>
                <c:ptCount val="15"/>
                <c:pt idx="7" formatCode="_-* #,##0.0_-;\-* #,##0.0_-;_-* &quot;-&quot;??_-;_-@_-">
                  <c:v>0</c:v>
                </c:pt>
                <c:pt idx="8" formatCode="_-* #,##0.0_-;\-* #,##0.0_-;_-* &quot;-&quot;??_-;_-@_-">
                  <c:v>0</c:v>
                </c:pt>
                <c:pt idx="9" formatCode="_-* #,##0.0_-;\-* #,##0.0_-;_-* &quot;-&quot;??_-;_-@_-">
                  <c:v>0.13600000000000001</c:v>
                </c:pt>
                <c:pt idx="10" formatCode="_-* #,##0.0_-;\-* #,##0.0_-;_-* &quot;-&quot;??_-;_-@_-">
                  <c:v>0.13744295432624798</c:v>
                </c:pt>
                <c:pt idx="11" formatCode="_-* #,##0.0_-;\-* #,##0.0_-;_-* &quot;-&quot;??_-;_-@_-">
                  <c:v>0.13877997533681122</c:v>
                </c:pt>
                <c:pt idx="12" formatCode="_-* #,##0.0_-;\-* #,##0.0_-;_-* &quot;-&quot;??_-;_-@_-">
                  <c:v>0.14010160575916497</c:v>
                </c:pt>
                <c:pt idx="13" formatCode="_-* #,##0.0_-;\-* #,##0.0_-;_-* &quot;-&quot;??_-;_-@_-">
                  <c:v>0.14153546861999142</c:v>
                </c:pt>
                <c:pt idx="14" formatCode="_-* #,##0.0_-;\-* #,##0.0_-;_-* &quot;-&quot;??_-;_-@_-">
                  <c:v>0.14284889773158405</c:v>
                </c:pt>
              </c:numCache>
            </c:numRef>
          </c:val>
        </c:ser>
        <c:ser>
          <c:idx val="2"/>
          <c:order val="4"/>
          <c:tx>
            <c:strRef>
              <c:f>'A-12'!$A$208</c:f>
              <c:strCache>
                <c:ptCount val="1"/>
                <c:pt idx="0">
                  <c:v>Total with All Escalations</c:v>
                </c:pt>
              </c:strCache>
            </c:strRef>
          </c:tx>
          <c:spPr>
            <a:ln w="38100">
              <a:solidFill>
                <a:srgbClr val="00FF00"/>
              </a:solidFill>
              <a:prstDash val="solid"/>
            </a:ln>
          </c:spPr>
          <c:marker>
            <c:symbol val="none"/>
          </c:marker>
          <c:cat>
            <c:strRef>
              <c:f>('A-12'!$B$202:$H$202,'A-12'!$B$204:$I$204)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('A-12'!$B$200:$H$200,'A-12'!$B$208:$I$208)</c:f>
              <c:numCache>
                <c:formatCode>General</c:formatCode>
                <c:ptCount val="15"/>
                <c:pt idx="7" formatCode="_-* #,##0.0_-;\-* #,##0.0_-;_-* &quot;-&quot;??_-;_-@_-">
                  <c:v>0</c:v>
                </c:pt>
                <c:pt idx="8" formatCode="_-* #,##0.0_-;\-* #,##0.0_-;_-* &quot;-&quot;??_-;_-@_-">
                  <c:v>0</c:v>
                </c:pt>
                <c:pt idx="9" formatCode="_-* #,##0.0_-;\-* #,##0.0_-;_-* &quot;-&quot;??_-;_-@_-">
                  <c:v>0.13600000000000001</c:v>
                </c:pt>
                <c:pt idx="10" formatCode="_-* #,##0.0_-;\-* #,##0.0_-;_-* &quot;-&quot;??_-;_-@_-">
                  <c:v>0.14039220055370716</c:v>
                </c:pt>
                <c:pt idx="11" formatCode="_-* #,##0.0_-;\-* #,##0.0_-;_-* &quot;-&quot;??_-;_-@_-">
                  <c:v>0.14479974774293133</c:v>
                </c:pt>
                <c:pt idx="12" formatCode="_-* #,##0.0_-;\-* #,##0.0_-;_-* &quot;-&quot;??_-;_-@_-">
                  <c:v>0.14948727723182742</c:v>
                </c:pt>
                <c:pt idx="13" formatCode="_-* #,##0.0_-;\-* #,##0.0_-;_-* &quot;-&quot;??_-;_-@_-">
                  <c:v>0.1544352819888628</c:v>
                </c:pt>
                <c:pt idx="14" formatCode="_-* #,##0.0_-;\-* #,##0.0_-;_-* &quot;-&quot;??_-;_-@_-">
                  <c:v>0.15939630558131279</c:v>
                </c:pt>
              </c:numCache>
            </c:numRef>
          </c:val>
        </c:ser>
        <c:marker val="1"/>
        <c:axId val="161014144"/>
        <c:axId val="161015680"/>
      </c:lineChart>
      <c:catAx>
        <c:axId val="16101414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1015680"/>
        <c:crosses val="autoZero"/>
        <c:auto val="1"/>
        <c:lblAlgn val="ctr"/>
        <c:lblOffset val="100"/>
        <c:tickLblSkip val="1"/>
        <c:tickMarkSkip val="1"/>
      </c:catAx>
      <c:valAx>
        <c:axId val="16101568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101414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AU"/>
  <c:chart>
    <c:title>
      <c:tx>
        <c:strRef>
          <c:f>'A-13'!$B$2</c:f>
          <c:strCache>
            <c:ptCount val="1"/>
            <c:pt idx="0">
              <c:v>Accounts Payable</c:v>
            </c:pt>
          </c:strCache>
        </c:strRef>
      </c:tx>
      <c:layout>
        <c:manualLayout>
          <c:xMode val="edge"/>
          <c:yMode val="edge"/>
          <c:x val="0.3919089759797965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'A-13'!$A$203</c:f>
              <c:strCache>
                <c:ptCount val="1"/>
                <c:pt idx="0">
                  <c:v>Historic Expenditure</c:v>
                </c:pt>
              </c:strCache>
            </c:strRef>
          </c:tx>
          <c:spPr>
            <a:ln w="25400">
              <a:solidFill>
                <a:srgbClr val="33CCCC"/>
              </a:solidFill>
              <a:prstDash val="solid"/>
            </a:ln>
          </c:spPr>
          <c:marker>
            <c:symbol val="none"/>
          </c:marker>
          <c:cat>
            <c:strRef>
              <c:f>('A-13'!$B$202:$H$202,'A-13'!$B$204:$I$204)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('A-13'!$B$203:$H$203,'A-13'!$B$205,'A-13'!$C$200:$I$200)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'A-13'!$A$14</c:f>
              <c:strCache>
                <c:ptCount val="1"/>
                <c:pt idx="0">
                  <c:v>Baseline Expenditure</c:v>
                </c:pt>
              </c:strCache>
            </c:strRef>
          </c:tx>
          <c:spPr>
            <a:ln w="25400">
              <a:solidFill>
                <a:srgbClr val="0000FF"/>
              </a:solidFill>
              <a:prstDash val="solid"/>
            </a:ln>
          </c:spPr>
          <c:marker>
            <c:symbol val="none"/>
          </c:marker>
          <c:cat>
            <c:strRef>
              <c:f>('A-13'!$B$202:$H$202,'A-13'!$B$204:$I$204)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('A-13'!$B$200:$H$200,'A-13'!$B$205:$I$205)</c:f>
              <c:numCache>
                <c:formatCode>General</c:formatCode>
                <c:ptCount val="15"/>
                <c:pt idx="7" formatCode="_-* #,##0.0_-;\-* #,##0.0_-;_-* &quot;-&quot;??_-;_-@_-">
                  <c:v>0</c:v>
                </c:pt>
                <c:pt idx="8" formatCode="_-* #,##0.0_-;\-* #,##0.0_-;_-* &quot;-&quot;??_-;_-@_-">
                  <c:v>0</c:v>
                </c:pt>
                <c:pt idx="9" formatCode="_-* #,##0.0_-;\-* #,##0.0_-;_-* &quot;-&quot;??_-;_-@_-">
                  <c:v>0.433</c:v>
                </c:pt>
                <c:pt idx="10" formatCode="_-* #,##0.0_-;\-* #,##0.0_-;_-* &quot;-&quot;??_-;_-@_-">
                  <c:v>0.433</c:v>
                </c:pt>
                <c:pt idx="11" formatCode="_-* #,##0.0_-;\-* #,##0.0_-;_-* &quot;-&quot;??_-;_-@_-">
                  <c:v>0.433</c:v>
                </c:pt>
                <c:pt idx="12" formatCode="_-* #,##0.0_-;\-* #,##0.0_-;_-* &quot;-&quot;??_-;_-@_-">
                  <c:v>0.433</c:v>
                </c:pt>
                <c:pt idx="13" formatCode="_-* #,##0.0_-;\-* #,##0.0_-;_-* &quot;-&quot;??_-;_-@_-">
                  <c:v>0.433</c:v>
                </c:pt>
                <c:pt idx="14" formatCode="_-* #,##0.0_-;\-* #,##0.0_-;_-* &quot;-&quot;??_-;_-@_-">
                  <c:v>0.433</c:v>
                </c:pt>
              </c:numCache>
            </c:numRef>
          </c:val>
        </c:ser>
        <c:ser>
          <c:idx val="0"/>
          <c:order val="2"/>
          <c:tx>
            <c:strRef>
              <c:f>'A-13'!$A$206</c:f>
              <c:strCache>
                <c:ptCount val="1"/>
                <c:pt idx="0">
                  <c:v>Total with Variations</c:v>
                </c:pt>
              </c:strCache>
            </c:strRef>
          </c:tx>
          <c:spPr>
            <a:ln w="25400">
              <a:solidFill>
                <a:srgbClr val="993366"/>
              </a:solidFill>
              <a:prstDash val="solid"/>
            </a:ln>
          </c:spPr>
          <c:marker>
            <c:symbol val="none"/>
          </c:marker>
          <c:cat>
            <c:strRef>
              <c:f>('A-13'!$B$202:$H$202,'A-13'!$B$204:$I$204)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('A-13'!$B$200:$H$200,'A-13'!$B$206:$I$206)</c:f>
              <c:numCache>
                <c:formatCode>General</c:formatCode>
                <c:ptCount val="15"/>
                <c:pt idx="7" formatCode="_-* #,##0.0_-;\-* #,##0.0_-;_-* &quot;-&quot;??_-;_-@_-">
                  <c:v>0</c:v>
                </c:pt>
                <c:pt idx="8" formatCode="_-* #,##0.0_-;\-* #,##0.0_-;_-* &quot;-&quot;??_-;_-@_-">
                  <c:v>0</c:v>
                </c:pt>
                <c:pt idx="9" formatCode="_-* #,##0.0_-;\-* #,##0.0_-;_-* &quot;-&quot;??_-;_-@_-">
                  <c:v>0.433</c:v>
                </c:pt>
                <c:pt idx="10" formatCode="_-* #,##0.0_-;\-* #,##0.0_-;_-* &quot;-&quot;??_-;_-@_-">
                  <c:v>0.433</c:v>
                </c:pt>
                <c:pt idx="11" formatCode="_-* #,##0.0_-;\-* #,##0.0_-;_-* &quot;-&quot;??_-;_-@_-">
                  <c:v>0.433</c:v>
                </c:pt>
                <c:pt idx="12" formatCode="_-* #,##0.0_-;\-* #,##0.0_-;_-* &quot;-&quot;??_-;_-@_-">
                  <c:v>0.433</c:v>
                </c:pt>
                <c:pt idx="13" formatCode="_-* #,##0.0_-;\-* #,##0.0_-;_-* &quot;-&quot;??_-;_-@_-">
                  <c:v>0.433</c:v>
                </c:pt>
                <c:pt idx="14" formatCode="_-* #,##0.0_-;\-* #,##0.0_-;_-* &quot;-&quot;??_-;_-@_-">
                  <c:v>0.433</c:v>
                </c:pt>
              </c:numCache>
            </c:numRef>
          </c:val>
        </c:ser>
        <c:ser>
          <c:idx val="3"/>
          <c:order val="3"/>
          <c:tx>
            <c:strRef>
              <c:f>'A-13'!$A$207</c:f>
              <c:strCache>
                <c:ptCount val="1"/>
                <c:pt idx="0">
                  <c:v>Total with Specific Escalations</c:v>
                </c:pt>
              </c:strCache>
            </c:strRef>
          </c:tx>
          <c:spPr>
            <a:ln w="25400">
              <a:solidFill>
                <a:srgbClr val="FF0000"/>
              </a:solidFill>
              <a:prstDash val="solid"/>
            </a:ln>
          </c:spPr>
          <c:marker>
            <c:symbol val="none"/>
          </c:marker>
          <c:cat>
            <c:strRef>
              <c:f>('A-13'!$B$202:$H$202,'A-13'!$B$204:$I$204)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('A-13'!$B$200:$H$200,'A-13'!$B$207:$I$207)</c:f>
              <c:numCache>
                <c:formatCode>General</c:formatCode>
                <c:ptCount val="15"/>
                <c:pt idx="7" formatCode="_-* #,##0.0_-;\-* #,##0.0_-;_-* &quot;-&quot;??_-;_-@_-">
                  <c:v>0</c:v>
                </c:pt>
                <c:pt idx="8" formatCode="_-* #,##0.0_-;\-* #,##0.0_-;_-* &quot;-&quot;??_-;_-@_-">
                  <c:v>0</c:v>
                </c:pt>
                <c:pt idx="9" formatCode="_-* #,##0.0_-;\-* #,##0.0_-;_-* &quot;-&quot;??_-;_-@_-">
                  <c:v>0.433</c:v>
                </c:pt>
                <c:pt idx="10" formatCode="_-* #,##0.0_-;\-* #,##0.0_-;_-* &quot;-&quot;??_-;_-@_-">
                  <c:v>0.4375941119357748</c:v>
                </c:pt>
                <c:pt idx="11" formatCode="_-* #,##0.0_-;\-* #,##0.0_-;_-* &quot;-&quot;??_-;_-@_-">
                  <c:v>0.44185095088852389</c:v>
                </c:pt>
                <c:pt idx="12" formatCode="_-* #,##0.0_-;\-* #,##0.0_-;_-* &quot;-&quot;??_-;_-@_-">
                  <c:v>0.44605878892440015</c:v>
                </c:pt>
                <c:pt idx="13" formatCode="_-* #,##0.0_-;\-* #,##0.0_-;_-* &quot;-&quot;??_-;_-@_-">
                  <c:v>0.45062395523864912</c:v>
                </c:pt>
                <c:pt idx="14" formatCode="_-* #,##0.0_-;\-* #,##0.0_-;_-* &quot;-&quot;??_-;_-@_-">
                  <c:v>0.45480568174835206</c:v>
                </c:pt>
              </c:numCache>
            </c:numRef>
          </c:val>
        </c:ser>
        <c:ser>
          <c:idx val="2"/>
          <c:order val="4"/>
          <c:tx>
            <c:strRef>
              <c:f>'A-13'!$A$208</c:f>
              <c:strCache>
                <c:ptCount val="1"/>
                <c:pt idx="0">
                  <c:v>Total with All Escalations</c:v>
                </c:pt>
              </c:strCache>
            </c:strRef>
          </c:tx>
          <c:spPr>
            <a:ln w="38100">
              <a:solidFill>
                <a:srgbClr val="00FF00"/>
              </a:solidFill>
              <a:prstDash val="solid"/>
            </a:ln>
          </c:spPr>
          <c:marker>
            <c:symbol val="none"/>
          </c:marker>
          <c:cat>
            <c:strRef>
              <c:f>('A-13'!$B$202:$H$202,'A-13'!$B$204:$I$204)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('A-13'!$B$200:$H$200,'A-13'!$B$208:$I$208)</c:f>
              <c:numCache>
                <c:formatCode>General</c:formatCode>
                <c:ptCount val="15"/>
                <c:pt idx="7" formatCode="_-* #,##0.0_-;\-* #,##0.0_-;_-* &quot;-&quot;??_-;_-@_-">
                  <c:v>0</c:v>
                </c:pt>
                <c:pt idx="8" formatCode="_-* #,##0.0_-;\-* #,##0.0_-;_-* &quot;-&quot;??_-;_-@_-">
                  <c:v>0</c:v>
                </c:pt>
                <c:pt idx="9" formatCode="_-* #,##0.0_-;\-* #,##0.0_-;_-* &quot;-&quot;??_-;_-@_-">
                  <c:v>0.433</c:v>
                </c:pt>
                <c:pt idx="10" formatCode="_-* #,##0.0_-;\-* #,##0.0_-;_-* &quot;-&quot;??_-;_-@_-">
                  <c:v>0.44696735888455419</c:v>
                </c:pt>
                <c:pt idx="11" formatCode="_-* #,##0.0_-;\-* #,##0.0_-;_-* &quot;-&quot;??_-;_-@_-">
                  <c:v>0.46098281080541093</c:v>
                </c:pt>
                <c:pt idx="12" formatCode="_-* #,##0.0_-;\-* #,##0.0_-;_-* &quot;-&quot;??_-;_-@_-">
                  <c:v>0.47589179002665843</c:v>
                </c:pt>
                <c:pt idx="13" formatCode="_-* #,##0.0_-;\-* #,##0.0_-;_-* &quot;-&quot;??_-;_-@_-">
                  <c:v>0.49163086250089577</c:v>
                </c:pt>
                <c:pt idx="14" formatCode="_-* #,##0.0_-;\-* #,##0.0_-;_-* &quot;-&quot;??_-;_-@_-">
                  <c:v>0.5074128745086629</c:v>
                </c:pt>
              </c:numCache>
            </c:numRef>
          </c:val>
        </c:ser>
        <c:marker val="1"/>
        <c:axId val="161712000"/>
        <c:axId val="161713536"/>
      </c:lineChart>
      <c:catAx>
        <c:axId val="16171200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1713536"/>
        <c:crosses val="autoZero"/>
        <c:auto val="1"/>
        <c:lblAlgn val="ctr"/>
        <c:lblOffset val="100"/>
        <c:tickLblSkip val="1"/>
        <c:tickMarkSkip val="1"/>
      </c:catAx>
      <c:valAx>
        <c:axId val="16171353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171200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AU"/>
  <c:chart>
    <c:title>
      <c:tx>
        <c:strRef>
          <c:f>'A-14'!$B$2</c:f>
          <c:strCache>
            <c:ptCount val="1"/>
            <c:pt idx="0">
              <c:v>Payroll</c:v>
            </c:pt>
          </c:strCache>
        </c:strRef>
      </c:tx>
      <c:layout>
        <c:manualLayout>
          <c:xMode val="edge"/>
          <c:yMode val="edge"/>
          <c:x val="0.45638432364097287"/>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'A-14'!$A$203</c:f>
              <c:strCache>
                <c:ptCount val="1"/>
                <c:pt idx="0">
                  <c:v>Historic Expenditure</c:v>
                </c:pt>
              </c:strCache>
            </c:strRef>
          </c:tx>
          <c:spPr>
            <a:ln w="25400">
              <a:solidFill>
                <a:srgbClr val="33CCCC"/>
              </a:solidFill>
              <a:prstDash val="solid"/>
            </a:ln>
          </c:spPr>
          <c:marker>
            <c:symbol val="none"/>
          </c:marker>
          <c:cat>
            <c:strRef>
              <c:f>('A-14'!$B$202:$H$202,'A-14'!$B$204:$I$204)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('A-14'!$B$203:$H$203,'A-14'!$B$205,'A-14'!$C$200:$I$200)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'A-14'!$A$14</c:f>
              <c:strCache>
                <c:ptCount val="1"/>
                <c:pt idx="0">
                  <c:v>Baseline Expenditure</c:v>
                </c:pt>
              </c:strCache>
            </c:strRef>
          </c:tx>
          <c:spPr>
            <a:ln w="25400">
              <a:solidFill>
                <a:srgbClr val="0000FF"/>
              </a:solidFill>
              <a:prstDash val="solid"/>
            </a:ln>
          </c:spPr>
          <c:marker>
            <c:symbol val="none"/>
          </c:marker>
          <c:cat>
            <c:strRef>
              <c:f>('A-14'!$B$202:$H$202,'A-14'!$B$204:$I$204)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('A-14'!$B$200:$H$200,'A-14'!$B$205:$I$205)</c:f>
              <c:numCache>
                <c:formatCode>General</c:formatCode>
                <c:ptCount val="15"/>
                <c:pt idx="7" formatCode="_-* #,##0.0_-;\-* #,##0.0_-;_-* &quot;-&quot;??_-;_-@_-">
                  <c:v>0</c:v>
                </c:pt>
                <c:pt idx="8" formatCode="_-* #,##0.0_-;\-* #,##0.0_-;_-* &quot;-&quot;??_-;_-@_-">
                  <c:v>0</c:v>
                </c:pt>
                <c:pt idx="9" formatCode="_-* #,##0.0_-;\-* #,##0.0_-;_-* &quot;-&quot;??_-;_-@_-">
                  <c:v>0.41600000000000004</c:v>
                </c:pt>
                <c:pt idx="10" formatCode="_-* #,##0.0_-;\-* #,##0.0_-;_-* &quot;-&quot;??_-;_-@_-">
                  <c:v>0.41600000000000004</c:v>
                </c:pt>
                <c:pt idx="11" formatCode="_-* #,##0.0_-;\-* #,##0.0_-;_-* &quot;-&quot;??_-;_-@_-">
                  <c:v>0.41600000000000004</c:v>
                </c:pt>
                <c:pt idx="12" formatCode="_-* #,##0.0_-;\-* #,##0.0_-;_-* &quot;-&quot;??_-;_-@_-">
                  <c:v>0.41600000000000004</c:v>
                </c:pt>
                <c:pt idx="13" formatCode="_-* #,##0.0_-;\-* #,##0.0_-;_-* &quot;-&quot;??_-;_-@_-">
                  <c:v>0.41600000000000004</c:v>
                </c:pt>
                <c:pt idx="14" formatCode="_-* #,##0.0_-;\-* #,##0.0_-;_-* &quot;-&quot;??_-;_-@_-">
                  <c:v>0.41600000000000004</c:v>
                </c:pt>
              </c:numCache>
            </c:numRef>
          </c:val>
        </c:ser>
        <c:ser>
          <c:idx val="0"/>
          <c:order val="2"/>
          <c:tx>
            <c:strRef>
              <c:f>'A-14'!$A$206</c:f>
              <c:strCache>
                <c:ptCount val="1"/>
                <c:pt idx="0">
                  <c:v>Total with Variations</c:v>
                </c:pt>
              </c:strCache>
            </c:strRef>
          </c:tx>
          <c:spPr>
            <a:ln w="25400">
              <a:solidFill>
                <a:srgbClr val="993366"/>
              </a:solidFill>
              <a:prstDash val="solid"/>
            </a:ln>
          </c:spPr>
          <c:marker>
            <c:symbol val="none"/>
          </c:marker>
          <c:cat>
            <c:strRef>
              <c:f>('A-14'!$B$202:$H$202,'A-14'!$B$204:$I$204)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('A-14'!$B$200:$H$200,'A-14'!$B$206:$I$206)</c:f>
              <c:numCache>
                <c:formatCode>General</c:formatCode>
                <c:ptCount val="15"/>
                <c:pt idx="7" formatCode="_-* #,##0.0_-;\-* #,##0.0_-;_-* &quot;-&quot;??_-;_-@_-">
                  <c:v>0</c:v>
                </c:pt>
                <c:pt idx="8" formatCode="_-* #,##0.0_-;\-* #,##0.0_-;_-* &quot;-&quot;??_-;_-@_-">
                  <c:v>0</c:v>
                </c:pt>
                <c:pt idx="9" formatCode="_-* #,##0.0_-;\-* #,##0.0_-;_-* &quot;-&quot;??_-;_-@_-">
                  <c:v>0.41600000000000004</c:v>
                </c:pt>
                <c:pt idx="10" formatCode="_-* #,##0.0_-;\-* #,##0.0_-;_-* &quot;-&quot;??_-;_-@_-">
                  <c:v>0.41600000000000004</c:v>
                </c:pt>
                <c:pt idx="11" formatCode="_-* #,##0.0_-;\-* #,##0.0_-;_-* &quot;-&quot;??_-;_-@_-">
                  <c:v>0.41600000000000004</c:v>
                </c:pt>
                <c:pt idx="12" formatCode="_-* #,##0.0_-;\-* #,##0.0_-;_-* &quot;-&quot;??_-;_-@_-">
                  <c:v>0.41600000000000004</c:v>
                </c:pt>
                <c:pt idx="13" formatCode="_-* #,##0.0_-;\-* #,##0.0_-;_-* &quot;-&quot;??_-;_-@_-">
                  <c:v>0.41600000000000004</c:v>
                </c:pt>
                <c:pt idx="14" formatCode="_-* #,##0.0_-;\-* #,##0.0_-;_-* &quot;-&quot;??_-;_-@_-">
                  <c:v>0.41600000000000004</c:v>
                </c:pt>
              </c:numCache>
            </c:numRef>
          </c:val>
        </c:ser>
        <c:ser>
          <c:idx val="3"/>
          <c:order val="3"/>
          <c:tx>
            <c:strRef>
              <c:f>'A-14'!$A$207</c:f>
              <c:strCache>
                <c:ptCount val="1"/>
                <c:pt idx="0">
                  <c:v>Total with Specific Escalations</c:v>
                </c:pt>
              </c:strCache>
            </c:strRef>
          </c:tx>
          <c:spPr>
            <a:ln w="25400">
              <a:solidFill>
                <a:srgbClr val="FF0000"/>
              </a:solidFill>
              <a:prstDash val="solid"/>
            </a:ln>
          </c:spPr>
          <c:marker>
            <c:symbol val="none"/>
          </c:marker>
          <c:cat>
            <c:strRef>
              <c:f>('A-14'!$B$202:$H$202,'A-14'!$B$204:$I$204)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('A-14'!$B$200:$H$200,'A-14'!$B$207:$I$207)</c:f>
              <c:numCache>
                <c:formatCode>General</c:formatCode>
                <c:ptCount val="15"/>
                <c:pt idx="7" formatCode="_-* #,##0.0_-;\-* #,##0.0_-;_-* &quot;-&quot;??_-;_-@_-">
                  <c:v>0</c:v>
                </c:pt>
                <c:pt idx="8" formatCode="_-* #,##0.0_-;\-* #,##0.0_-;_-* &quot;-&quot;??_-;_-@_-">
                  <c:v>0</c:v>
                </c:pt>
                <c:pt idx="9" formatCode="_-* #,##0.0_-;\-* #,##0.0_-;_-* &quot;-&quot;??_-;_-@_-">
                  <c:v>0.41600000000000004</c:v>
                </c:pt>
                <c:pt idx="10" formatCode="_-* #,##0.0_-;\-* #,##0.0_-;_-* &quot;-&quot;??_-;_-@_-">
                  <c:v>0.42041374264499387</c:v>
                </c:pt>
                <c:pt idx="11" formatCode="_-* #,##0.0_-;\-* #,##0.0_-;_-* &quot;-&quot;??_-;_-@_-">
                  <c:v>0.42450345397142253</c:v>
                </c:pt>
                <c:pt idx="12" formatCode="_-* #,##0.0_-;\-* #,##0.0_-;_-* &quot;-&quot;??_-;_-@_-">
                  <c:v>0.42854608820450457</c:v>
                </c:pt>
                <c:pt idx="13" formatCode="_-* #,##0.0_-;\-* #,##0.0_-;_-* &quot;-&quot;??_-;_-@_-">
                  <c:v>0.43293202166115025</c:v>
                </c:pt>
                <c:pt idx="14" formatCode="_-* #,##0.0_-;\-* #,##0.0_-;_-* &quot;-&quot;??_-;_-@_-">
                  <c:v>0.43694956953190411</c:v>
                </c:pt>
              </c:numCache>
            </c:numRef>
          </c:val>
        </c:ser>
        <c:ser>
          <c:idx val="2"/>
          <c:order val="4"/>
          <c:tx>
            <c:strRef>
              <c:f>'A-14'!$A$208</c:f>
              <c:strCache>
                <c:ptCount val="1"/>
                <c:pt idx="0">
                  <c:v>Total with All Escalations</c:v>
                </c:pt>
              </c:strCache>
            </c:strRef>
          </c:tx>
          <c:spPr>
            <a:ln w="38100">
              <a:solidFill>
                <a:srgbClr val="00FF00"/>
              </a:solidFill>
              <a:prstDash val="solid"/>
            </a:ln>
          </c:spPr>
          <c:marker>
            <c:symbol val="none"/>
          </c:marker>
          <c:cat>
            <c:strRef>
              <c:f>('A-14'!$B$202:$H$202,'A-14'!$B$204:$I$204)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('A-14'!$B$200:$H$200,'A-14'!$B$208:$I$208)</c:f>
              <c:numCache>
                <c:formatCode>General</c:formatCode>
                <c:ptCount val="15"/>
                <c:pt idx="7" formatCode="_-* #,##0.0_-;\-* #,##0.0_-;_-* &quot;-&quot;??_-;_-@_-">
                  <c:v>0</c:v>
                </c:pt>
                <c:pt idx="8" formatCode="_-* #,##0.0_-;\-* #,##0.0_-;_-* &quot;-&quot;??_-;_-@_-">
                  <c:v>0</c:v>
                </c:pt>
                <c:pt idx="9" formatCode="_-* #,##0.0_-;\-* #,##0.0_-;_-* &quot;-&quot;??_-;_-@_-">
                  <c:v>0.41600000000000004</c:v>
                </c:pt>
                <c:pt idx="10" formatCode="_-* #,##0.0_-;\-* #,##0.0_-;_-* &quot;-&quot;??_-;_-@_-">
                  <c:v>0.42924190187341771</c:v>
                </c:pt>
                <c:pt idx="11" formatCode="_-* #,##0.0_-;\-* #,##0.0_-;_-* &quot;-&quot;??_-;_-@_-">
                  <c:v>0.44252205138137407</c:v>
                </c:pt>
                <c:pt idx="12" formatCode="_-* #,##0.0_-;\-* #,##0.0_-;_-* &quot;-&quot;??_-;_-@_-">
                  <c:v>0.45667329121833411</c:v>
                </c:pt>
                <c:pt idx="13" formatCode="_-* #,##0.0_-;\-* #,##0.0_-;_-* &quot;-&quot;??_-;_-@_-">
                  <c:v>0.47162617258181844</c:v>
                </c:pt>
                <c:pt idx="14" formatCode="_-* #,##0.0_-;\-* #,##0.0_-;_-* &quot;-&quot;??_-;_-@_-">
                  <c:v>0.48663032245848731</c:v>
                </c:pt>
              </c:numCache>
            </c:numRef>
          </c:val>
        </c:ser>
        <c:marker val="1"/>
        <c:axId val="161348992"/>
        <c:axId val="159327360"/>
      </c:lineChart>
      <c:catAx>
        <c:axId val="1613489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9327360"/>
        <c:crosses val="autoZero"/>
        <c:auto val="1"/>
        <c:lblAlgn val="ctr"/>
        <c:lblOffset val="100"/>
        <c:tickLblSkip val="1"/>
        <c:tickMarkSkip val="1"/>
      </c:catAx>
      <c:valAx>
        <c:axId val="15932736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13489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AU"/>
  <c:chart>
    <c:title>
      <c:tx>
        <c:strRef>
          <c:f>'A-15'!$B$2</c:f>
          <c:strCache>
            <c:ptCount val="1"/>
            <c:pt idx="0">
              <c:v>Purchasing and Contracts</c:v>
            </c:pt>
          </c:strCache>
        </c:strRef>
      </c:tx>
      <c:layout>
        <c:manualLayout>
          <c:xMode val="edge"/>
          <c:yMode val="edge"/>
          <c:x val="0.34386852085968672"/>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'A-15'!$A$203</c:f>
              <c:strCache>
                <c:ptCount val="1"/>
                <c:pt idx="0">
                  <c:v>Historic Expenditure</c:v>
                </c:pt>
              </c:strCache>
            </c:strRef>
          </c:tx>
          <c:spPr>
            <a:ln w="25400">
              <a:solidFill>
                <a:srgbClr val="33CCCC"/>
              </a:solidFill>
              <a:prstDash val="solid"/>
            </a:ln>
          </c:spPr>
          <c:marker>
            <c:symbol val="none"/>
          </c:marker>
          <c:cat>
            <c:strRef>
              <c:f>('A-15'!$B$202:$H$202,'A-15'!$B$204:$I$204)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('A-15'!$B$203:$H$203,'A-15'!$B$205,'A-15'!$C$200:$I$200)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'A-15'!$A$14</c:f>
              <c:strCache>
                <c:ptCount val="1"/>
                <c:pt idx="0">
                  <c:v>Baseline Expenditure</c:v>
                </c:pt>
              </c:strCache>
            </c:strRef>
          </c:tx>
          <c:spPr>
            <a:ln w="25400">
              <a:solidFill>
                <a:srgbClr val="0000FF"/>
              </a:solidFill>
              <a:prstDash val="solid"/>
            </a:ln>
          </c:spPr>
          <c:marker>
            <c:symbol val="none"/>
          </c:marker>
          <c:cat>
            <c:strRef>
              <c:f>('A-15'!$B$202:$H$202,'A-15'!$B$204:$I$204)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('A-15'!$B$200:$H$200,'A-15'!$B$205:$I$205)</c:f>
              <c:numCache>
                <c:formatCode>General</c:formatCode>
                <c:ptCount val="15"/>
                <c:pt idx="7" formatCode="_-* #,##0.0_-;\-* #,##0.0_-;_-* &quot;-&quot;??_-;_-@_-">
                  <c:v>0</c:v>
                </c:pt>
                <c:pt idx="8" formatCode="_-* #,##0.0_-;\-* #,##0.0_-;_-* &quot;-&quot;??_-;_-@_-">
                  <c:v>0</c:v>
                </c:pt>
                <c:pt idx="9" formatCode="_-* #,##0.0_-;\-* #,##0.0_-;_-* &quot;-&quot;??_-;_-@_-">
                  <c:v>3.4939999999999998</c:v>
                </c:pt>
                <c:pt idx="10" formatCode="_-* #,##0.0_-;\-* #,##0.0_-;_-* &quot;-&quot;??_-;_-@_-">
                  <c:v>3.4939999999999998</c:v>
                </c:pt>
                <c:pt idx="11" formatCode="_-* #,##0.0_-;\-* #,##0.0_-;_-* &quot;-&quot;??_-;_-@_-">
                  <c:v>3.4939999999999998</c:v>
                </c:pt>
                <c:pt idx="12" formatCode="_-* #,##0.0_-;\-* #,##0.0_-;_-* &quot;-&quot;??_-;_-@_-">
                  <c:v>3.4939999999999998</c:v>
                </c:pt>
                <c:pt idx="13" formatCode="_-* #,##0.0_-;\-* #,##0.0_-;_-* &quot;-&quot;??_-;_-@_-">
                  <c:v>3.4939999999999998</c:v>
                </c:pt>
                <c:pt idx="14" formatCode="_-* #,##0.0_-;\-* #,##0.0_-;_-* &quot;-&quot;??_-;_-@_-">
                  <c:v>3.4939999999999998</c:v>
                </c:pt>
              </c:numCache>
            </c:numRef>
          </c:val>
        </c:ser>
        <c:ser>
          <c:idx val="0"/>
          <c:order val="2"/>
          <c:tx>
            <c:strRef>
              <c:f>'A-15'!$A$206</c:f>
              <c:strCache>
                <c:ptCount val="1"/>
                <c:pt idx="0">
                  <c:v>Total with Variations</c:v>
                </c:pt>
              </c:strCache>
            </c:strRef>
          </c:tx>
          <c:spPr>
            <a:ln w="25400">
              <a:solidFill>
                <a:srgbClr val="993366"/>
              </a:solidFill>
              <a:prstDash val="solid"/>
            </a:ln>
          </c:spPr>
          <c:marker>
            <c:symbol val="none"/>
          </c:marker>
          <c:cat>
            <c:strRef>
              <c:f>('A-15'!$B$202:$H$202,'A-15'!$B$204:$I$204)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('A-15'!$B$200:$H$200,'A-15'!$B$206:$I$206)</c:f>
              <c:numCache>
                <c:formatCode>General</c:formatCode>
                <c:ptCount val="15"/>
                <c:pt idx="7" formatCode="_-* #,##0.0_-;\-* #,##0.0_-;_-* &quot;-&quot;??_-;_-@_-">
                  <c:v>0</c:v>
                </c:pt>
                <c:pt idx="8" formatCode="_-* #,##0.0_-;\-* #,##0.0_-;_-* &quot;-&quot;??_-;_-@_-">
                  <c:v>0</c:v>
                </c:pt>
                <c:pt idx="9" formatCode="_-* #,##0.0_-;\-* #,##0.0_-;_-* &quot;-&quot;??_-;_-@_-">
                  <c:v>3.4939999999999998</c:v>
                </c:pt>
                <c:pt idx="10" formatCode="_-* #,##0.0_-;\-* #,##0.0_-;_-* &quot;-&quot;??_-;_-@_-">
                  <c:v>3.4939999999999998</c:v>
                </c:pt>
                <c:pt idx="11" formatCode="_-* #,##0.0_-;\-* #,##0.0_-;_-* &quot;-&quot;??_-;_-@_-">
                  <c:v>3.4939999999999998</c:v>
                </c:pt>
                <c:pt idx="12" formatCode="_-* #,##0.0_-;\-* #,##0.0_-;_-* &quot;-&quot;??_-;_-@_-">
                  <c:v>3.4939999999999998</c:v>
                </c:pt>
                <c:pt idx="13" formatCode="_-* #,##0.0_-;\-* #,##0.0_-;_-* &quot;-&quot;??_-;_-@_-">
                  <c:v>3.4939999999999998</c:v>
                </c:pt>
                <c:pt idx="14" formatCode="_-* #,##0.0_-;\-* #,##0.0_-;_-* &quot;-&quot;??_-;_-@_-">
                  <c:v>3.4939999999999998</c:v>
                </c:pt>
              </c:numCache>
            </c:numRef>
          </c:val>
        </c:ser>
        <c:ser>
          <c:idx val="3"/>
          <c:order val="3"/>
          <c:tx>
            <c:strRef>
              <c:f>'A-15'!$A$207</c:f>
              <c:strCache>
                <c:ptCount val="1"/>
                <c:pt idx="0">
                  <c:v>Total with Specific Escalations</c:v>
                </c:pt>
              </c:strCache>
            </c:strRef>
          </c:tx>
          <c:spPr>
            <a:ln w="25400">
              <a:solidFill>
                <a:srgbClr val="FF0000"/>
              </a:solidFill>
              <a:prstDash val="solid"/>
            </a:ln>
          </c:spPr>
          <c:marker>
            <c:symbol val="none"/>
          </c:marker>
          <c:cat>
            <c:strRef>
              <c:f>('A-15'!$B$202:$H$202,'A-15'!$B$204:$I$204)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('A-15'!$B$200:$H$200,'A-15'!$B$207:$I$207)</c:f>
              <c:numCache>
                <c:formatCode>General</c:formatCode>
                <c:ptCount val="15"/>
                <c:pt idx="7" formatCode="_-* #,##0.0_-;\-* #,##0.0_-;_-* &quot;-&quot;??_-;_-@_-">
                  <c:v>0</c:v>
                </c:pt>
                <c:pt idx="8" formatCode="_-* #,##0.0_-;\-* #,##0.0_-;_-* &quot;-&quot;??_-;_-@_-">
                  <c:v>0</c:v>
                </c:pt>
                <c:pt idx="9" formatCode="_-* #,##0.0_-;\-* #,##0.0_-;_-* &quot;-&quot;??_-;_-@_-">
                  <c:v>3.4939999999999998</c:v>
                </c:pt>
                <c:pt idx="10" formatCode="_-* #,##0.0_-;\-* #,##0.0_-;_-* &quot;-&quot;??_-;_-@_-">
                  <c:v>3.5310711942346353</c:v>
                </c:pt>
                <c:pt idx="11" formatCode="_-* #,##0.0_-;\-* #,##0.0_-;_-* &quot;-&quot;??_-;_-@_-">
                  <c:v>3.5654208369618994</c:v>
                </c:pt>
                <c:pt idx="12" formatCode="_-* #,##0.0_-;\-* #,##0.0_-;_-* &quot;-&quot;??_-;_-@_-">
                  <c:v>3.5993750773714877</c:v>
                </c:pt>
                <c:pt idx="13" formatCode="_-* #,##0.0_-;\-* #,##0.0_-;_-* &quot;-&quot;??_-;_-@_-">
                  <c:v>3.6362127011636027</c:v>
                </c:pt>
                <c:pt idx="14" formatCode="_-* #,##0.0_-;\-* #,##0.0_-;_-* &quot;-&quot;??_-;_-@_-">
                  <c:v>3.6699562402511363</c:v>
                </c:pt>
              </c:numCache>
            </c:numRef>
          </c:val>
        </c:ser>
        <c:ser>
          <c:idx val="2"/>
          <c:order val="4"/>
          <c:tx>
            <c:strRef>
              <c:f>'A-15'!$A$208</c:f>
              <c:strCache>
                <c:ptCount val="1"/>
                <c:pt idx="0">
                  <c:v>Total with All Escalations</c:v>
                </c:pt>
              </c:strCache>
            </c:strRef>
          </c:tx>
          <c:spPr>
            <a:ln w="38100">
              <a:solidFill>
                <a:srgbClr val="00FF00"/>
              </a:solidFill>
              <a:prstDash val="solid"/>
            </a:ln>
          </c:spPr>
          <c:marker>
            <c:symbol val="none"/>
          </c:marker>
          <c:cat>
            <c:strRef>
              <c:f>('A-15'!$B$202:$H$202,'A-15'!$B$204:$I$204)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('A-15'!$B$200:$H$200,'A-15'!$B$208:$I$208)</c:f>
              <c:numCache>
                <c:formatCode>General</c:formatCode>
                <c:ptCount val="15"/>
                <c:pt idx="7" formatCode="_-* #,##0.0_-;\-* #,##0.0_-;_-* &quot;-&quot;??_-;_-@_-">
                  <c:v>0</c:v>
                </c:pt>
                <c:pt idx="8" formatCode="_-* #,##0.0_-;\-* #,##0.0_-;_-* &quot;-&quot;??_-;_-@_-">
                  <c:v>0</c:v>
                </c:pt>
                <c:pt idx="9" formatCode="_-* #,##0.0_-;\-* #,##0.0_-;_-* &quot;-&quot;??_-;_-@_-">
                  <c:v>3.4939999999999998</c:v>
                </c:pt>
                <c:pt idx="10" formatCode="_-* #,##0.0_-;\-* #,##0.0_-;_-* &quot;-&quot;??_-;_-@_-">
                  <c:v>3.6040738967972175</c:v>
                </c:pt>
                <c:pt idx="11" formatCode="_-* #,##0.0_-;\-* #,##0.0_-;_-* &quot;-&quot;??_-;_-@_-">
                  <c:v>3.7144130022703106</c:v>
                </c:pt>
                <c:pt idx="12" formatCode="_-* #,##0.0_-;\-* #,##0.0_-;_-* &quot;-&quot;??_-;_-@_-">
                  <c:v>3.8323558228980641</c:v>
                </c:pt>
                <c:pt idx="13" formatCode="_-* #,##0.0_-;\-* #,##0.0_-;_-* &quot;-&quot;??_-;_-@_-">
                  <c:v>3.9571466855688517</c:v>
                </c:pt>
                <c:pt idx="14" formatCode="_-* #,##0.0_-;\-* #,##0.0_-;_-* &quot;-&quot;??_-;_-@_-">
                  <c:v>4.082554947005848</c:v>
                </c:pt>
              </c:numCache>
            </c:numRef>
          </c:val>
        </c:ser>
        <c:marker val="1"/>
        <c:axId val="163370112"/>
        <c:axId val="163371648"/>
      </c:lineChart>
      <c:catAx>
        <c:axId val="16337011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3371648"/>
        <c:crosses val="autoZero"/>
        <c:auto val="1"/>
        <c:lblAlgn val="ctr"/>
        <c:lblOffset val="100"/>
        <c:tickLblSkip val="1"/>
        <c:tickMarkSkip val="1"/>
      </c:catAx>
      <c:valAx>
        <c:axId val="16337164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337011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AU"/>
  <c:chart>
    <c:title>
      <c:tx>
        <c:strRef>
          <c:f>'A-16'!$B$2</c:f>
          <c:strCache>
            <c:ptCount val="1"/>
            <c:pt idx="0">
              <c:v>Finance - Adjustments</c:v>
            </c:pt>
          </c:strCache>
        </c:strRef>
      </c:tx>
      <c:layout>
        <c:manualLayout>
          <c:xMode val="edge"/>
          <c:yMode val="edge"/>
          <c:x val="0.3666245259165709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366624525916877"/>
          <c:y val="0.15643579482112893"/>
          <c:w val="0.87863463969661115"/>
          <c:h val="0.68316897738338678"/>
        </c:manualLayout>
      </c:layout>
      <c:lineChart>
        <c:grouping val="standard"/>
        <c:ser>
          <c:idx val="4"/>
          <c:order val="0"/>
          <c:tx>
            <c:strRef>
              <c:f>'A-16'!$A$203</c:f>
              <c:strCache>
                <c:ptCount val="1"/>
                <c:pt idx="0">
                  <c:v>Historic Expenditure</c:v>
                </c:pt>
              </c:strCache>
            </c:strRef>
          </c:tx>
          <c:spPr>
            <a:ln w="25400">
              <a:solidFill>
                <a:srgbClr val="33CCCC"/>
              </a:solidFill>
              <a:prstDash val="solid"/>
            </a:ln>
          </c:spPr>
          <c:marker>
            <c:symbol val="none"/>
          </c:marker>
          <c:cat>
            <c:strRef>
              <c:f>('A-16'!$B$202:$H$202,'A-16'!$B$204:$I$204)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('A-16'!$B$203:$H$203,'A-16'!$B$205,'A-16'!$C$200:$I$200)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'A-16'!$A$14</c:f>
              <c:strCache>
                <c:ptCount val="1"/>
                <c:pt idx="0">
                  <c:v>Baseline Expenditure</c:v>
                </c:pt>
              </c:strCache>
            </c:strRef>
          </c:tx>
          <c:spPr>
            <a:ln w="25400">
              <a:solidFill>
                <a:srgbClr val="0000FF"/>
              </a:solidFill>
              <a:prstDash val="solid"/>
            </a:ln>
          </c:spPr>
          <c:marker>
            <c:symbol val="none"/>
          </c:marker>
          <c:cat>
            <c:strRef>
              <c:f>('A-16'!$B$202:$H$202,'A-16'!$B$204:$I$204)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('A-16'!$B$200:$H$200,'A-16'!$B$205:$I$205)</c:f>
              <c:numCache>
                <c:formatCode>General</c:formatCode>
                <c:ptCount val="15"/>
                <c:pt idx="7" formatCode="_-* #,##0.0_-;\-* #,##0.0_-;_-* &quot;-&quot;??_-;_-@_-">
                  <c:v>0</c:v>
                </c:pt>
                <c:pt idx="8" formatCode="_-* #,##0.0_-;\-* #,##0.0_-;_-* &quot;-&quot;??_-;_-@_-">
                  <c:v>0</c:v>
                </c:pt>
                <c:pt idx="9" formatCode="_-* #,##0.0_-;\-* #,##0.0_-;_-* &quot;-&quot;??_-;_-@_-">
                  <c:v>-0.88100000000000023</c:v>
                </c:pt>
                <c:pt idx="10" formatCode="_-* #,##0.0_-;\-* #,##0.0_-;_-* &quot;-&quot;??_-;_-@_-">
                  <c:v>-0.88100000000000023</c:v>
                </c:pt>
                <c:pt idx="11" formatCode="_-* #,##0.0_-;\-* #,##0.0_-;_-* &quot;-&quot;??_-;_-@_-">
                  <c:v>-0.88100000000000023</c:v>
                </c:pt>
                <c:pt idx="12" formatCode="_-* #,##0.0_-;\-* #,##0.0_-;_-* &quot;-&quot;??_-;_-@_-">
                  <c:v>-0.88100000000000023</c:v>
                </c:pt>
                <c:pt idx="13" formatCode="_-* #,##0.0_-;\-* #,##0.0_-;_-* &quot;-&quot;??_-;_-@_-">
                  <c:v>-0.88100000000000023</c:v>
                </c:pt>
                <c:pt idx="14" formatCode="_-* #,##0.0_-;\-* #,##0.0_-;_-* &quot;-&quot;??_-;_-@_-">
                  <c:v>-0.88100000000000023</c:v>
                </c:pt>
              </c:numCache>
            </c:numRef>
          </c:val>
        </c:ser>
        <c:ser>
          <c:idx val="0"/>
          <c:order val="2"/>
          <c:tx>
            <c:strRef>
              <c:f>'A-16'!$A$206</c:f>
              <c:strCache>
                <c:ptCount val="1"/>
                <c:pt idx="0">
                  <c:v>Total with Variations</c:v>
                </c:pt>
              </c:strCache>
            </c:strRef>
          </c:tx>
          <c:spPr>
            <a:ln w="25400">
              <a:solidFill>
                <a:srgbClr val="993366"/>
              </a:solidFill>
              <a:prstDash val="solid"/>
            </a:ln>
          </c:spPr>
          <c:marker>
            <c:symbol val="none"/>
          </c:marker>
          <c:cat>
            <c:strRef>
              <c:f>('A-16'!$B$202:$H$202,'A-16'!$B$204:$I$204)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('A-16'!$B$200:$H$200,'A-16'!$B$206:$I$206)</c:f>
              <c:numCache>
                <c:formatCode>General</c:formatCode>
                <c:ptCount val="15"/>
                <c:pt idx="7" formatCode="_-* #,##0.0_-;\-* #,##0.0_-;_-* &quot;-&quot;??_-;_-@_-">
                  <c:v>0</c:v>
                </c:pt>
                <c:pt idx="8" formatCode="_-* #,##0.0_-;\-* #,##0.0_-;_-* &quot;-&quot;??_-;_-@_-">
                  <c:v>0</c:v>
                </c:pt>
                <c:pt idx="9" formatCode="_-* #,##0.0_-;\-* #,##0.0_-;_-* &quot;-&quot;??_-;_-@_-">
                  <c:v>-0.88100000000000023</c:v>
                </c:pt>
                <c:pt idx="10" formatCode="_-* #,##0.0_-;\-* #,##0.0_-;_-* &quot;-&quot;??_-;_-@_-">
                  <c:v>-0.88100000000000023</c:v>
                </c:pt>
                <c:pt idx="11" formatCode="_-* #,##0.0_-;\-* #,##0.0_-;_-* &quot;-&quot;??_-;_-@_-">
                  <c:v>-0.88100000000000023</c:v>
                </c:pt>
                <c:pt idx="12" formatCode="_-* #,##0.0_-;\-* #,##0.0_-;_-* &quot;-&quot;??_-;_-@_-">
                  <c:v>-0.88100000000000023</c:v>
                </c:pt>
                <c:pt idx="13" formatCode="_-* #,##0.0_-;\-* #,##0.0_-;_-* &quot;-&quot;??_-;_-@_-">
                  <c:v>-0.88100000000000023</c:v>
                </c:pt>
                <c:pt idx="14" formatCode="_-* #,##0.0_-;\-* #,##0.0_-;_-* &quot;-&quot;??_-;_-@_-">
                  <c:v>-0.88100000000000023</c:v>
                </c:pt>
              </c:numCache>
            </c:numRef>
          </c:val>
        </c:ser>
        <c:ser>
          <c:idx val="3"/>
          <c:order val="3"/>
          <c:tx>
            <c:strRef>
              <c:f>'A-16'!$A$207</c:f>
              <c:strCache>
                <c:ptCount val="1"/>
                <c:pt idx="0">
                  <c:v>Total with Specific Escalations</c:v>
                </c:pt>
              </c:strCache>
            </c:strRef>
          </c:tx>
          <c:spPr>
            <a:ln w="25400">
              <a:solidFill>
                <a:srgbClr val="FF0000"/>
              </a:solidFill>
              <a:prstDash val="solid"/>
            </a:ln>
          </c:spPr>
          <c:marker>
            <c:symbol val="none"/>
          </c:marker>
          <c:cat>
            <c:strRef>
              <c:f>('A-16'!$B$202:$H$202,'A-16'!$B$204:$I$204)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('A-16'!$B$200:$H$200,'A-16'!$B$207:$I$207)</c:f>
              <c:numCache>
                <c:formatCode>General</c:formatCode>
                <c:ptCount val="15"/>
                <c:pt idx="7" formatCode="_-* #,##0.0_-;\-* #,##0.0_-;_-* &quot;-&quot;??_-;_-@_-">
                  <c:v>0</c:v>
                </c:pt>
                <c:pt idx="8" formatCode="_-* #,##0.0_-;\-* #,##0.0_-;_-* &quot;-&quot;??_-;_-@_-">
                  <c:v>0</c:v>
                </c:pt>
                <c:pt idx="9" formatCode="_-* #,##0.0_-;\-* #,##0.0_-;_-* &quot;-&quot;??_-;_-@_-">
                  <c:v>-0.88100000000000023</c:v>
                </c:pt>
                <c:pt idx="10" formatCode="_-* #,##0.0_-;\-* #,##0.0_-;_-* &quot;-&quot;??_-;_-@_-">
                  <c:v>-0.8903473732457684</c:v>
                </c:pt>
                <c:pt idx="11" formatCode="_-* #,##0.0_-;\-* #,##0.0_-;_-* &quot;-&quot;??_-;_-@_-">
                  <c:v>-0.89900851670390214</c:v>
                </c:pt>
                <c:pt idx="12" formatCode="_-* #,##0.0_-;\-* #,##0.0_-;_-* &quot;-&quot;??_-;_-@_-">
                  <c:v>-0.90756996083694375</c:v>
                </c:pt>
                <c:pt idx="13" formatCode="_-* #,##0.0_-;\-* #,##0.0_-;_-* &quot;-&quot;??_-;_-@_-">
                  <c:v>-0.91685844010450346</c:v>
                </c:pt>
                <c:pt idx="14" formatCode="_-* #,##0.0_-;\-* #,##0.0_-;_-* &quot;-&quot;??_-;_-@_-">
                  <c:v>-0.92536675662886436</c:v>
                </c:pt>
              </c:numCache>
            </c:numRef>
          </c:val>
        </c:ser>
        <c:ser>
          <c:idx val="2"/>
          <c:order val="4"/>
          <c:tx>
            <c:strRef>
              <c:f>'A-16'!$A$208</c:f>
              <c:strCache>
                <c:ptCount val="1"/>
                <c:pt idx="0">
                  <c:v>Total with All Escalations</c:v>
                </c:pt>
              </c:strCache>
            </c:strRef>
          </c:tx>
          <c:spPr>
            <a:ln w="38100">
              <a:solidFill>
                <a:srgbClr val="00FF00"/>
              </a:solidFill>
              <a:prstDash val="solid"/>
            </a:ln>
          </c:spPr>
          <c:marker>
            <c:symbol val="none"/>
          </c:marker>
          <c:cat>
            <c:strRef>
              <c:f>('A-16'!$B$202:$H$202,'A-16'!$B$204:$I$204)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('A-16'!$B$200:$H$200,'A-16'!$B$208:$I$208)</c:f>
              <c:numCache>
                <c:formatCode>General</c:formatCode>
                <c:ptCount val="15"/>
                <c:pt idx="7" formatCode="_-* #,##0.0_-;\-* #,##0.0_-;_-* &quot;-&quot;??_-;_-@_-">
                  <c:v>0</c:v>
                </c:pt>
                <c:pt idx="8" formatCode="_-* #,##0.0_-;\-* #,##0.0_-;_-* &quot;-&quot;??_-;_-@_-">
                  <c:v>0</c:v>
                </c:pt>
                <c:pt idx="9" formatCode="_-* #,##0.0_-;\-* #,##0.0_-;_-* &quot;-&quot;??_-;_-@_-">
                  <c:v>-0.88100000000000023</c:v>
                </c:pt>
                <c:pt idx="10" formatCode="_-* #,##0.0_-;\-* #,##0.0_-;_-* &quot;-&quot;??_-;_-@_-">
                  <c:v>-0.946588476905045</c:v>
                </c:pt>
                <c:pt idx="11" formatCode="_-* #,##0.0_-;\-* #,##0.0_-;_-* &quot;-&quot;??_-;_-@_-">
                  <c:v>-1.0140678342590479</c:v>
                </c:pt>
                <c:pt idx="12" formatCode="_-* #,##0.0_-;\-* #,##0.0_-;_-* &quot;-&quot;??_-;_-@_-">
                  <c:v>-1.0751843206060374</c:v>
                </c:pt>
                <c:pt idx="13" formatCode="_-* #,##0.0_-;\-* #,##0.0_-;_-* &quot;-&quot;??_-;_-@_-">
                  <c:v>-1.1347487365499016</c:v>
                </c:pt>
                <c:pt idx="14" formatCode="_-* #,##0.0_-;\-* #,##0.0_-;_-* &quot;-&quot;??_-;_-@_-">
                  <c:v>-1.1890185607345645</c:v>
                </c:pt>
              </c:numCache>
            </c:numRef>
          </c:val>
        </c:ser>
        <c:marker val="1"/>
        <c:axId val="169892480"/>
        <c:axId val="169902464"/>
      </c:lineChart>
      <c:catAx>
        <c:axId val="16989248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9902464"/>
        <c:crosses val="autoZero"/>
        <c:auto val="1"/>
        <c:lblAlgn val="ctr"/>
        <c:lblOffset val="100"/>
        <c:tickLblSkip val="1"/>
        <c:tickMarkSkip val="1"/>
      </c:catAx>
      <c:valAx>
        <c:axId val="16990246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6534698459448276"/>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989248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AU"/>
  <c:chart>
    <c:title>
      <c:tx>
        <c:strRef>
          <c:f>'A-17'!$B$2</c:f>
          <c:strCache>
            <c:ptCount val="1"/>
            <c:pt idx="0">
              <c:v>General Manager Corporate Services</c:v>
            </c:pt>
          </c:strCache>
        </c:strRef>
      </c:tx>
      <c:layout>
        <c:manualLayout>
          <c:xMode val="edge"/>
          <c:yMode val="edge"/>
          <c:x val="0.2793931731984900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366624525916877"/>
          <c:y val="0.15643579482112893"/>
          <c:w val="0.87863463969661115"/>
          <c:h val="0.68316897738338678"/>
        </c:manualLayout>
      </c:layout>
      <c:lineChart>
        <c:grouping val="standard"/>
        <c:ser>
          <c:idx val="4"/>
          <c:order val="0"/>
          <c:tx>
            <c:strRef>
              <c:f>'A-17'!$A$203</c:f>
              <c:strCache>
                <c:ptCount val="1"/>
                <c:pt idx="0">
                  <c:v>Historic Expenditure</c:v>
                </c:pt>
              </c:strCache>
            </c:strRef>
          </c:tx>
          <c:spPr>
            <a:ln w="25400">
              <a:solidFill>
                <a:srgbClr val="33CCCC"/>
              </a:solidFill>
              <a:prstDash val="solid"/>
            </a:ln>
          </c:spPr>
          <c:marker>
            <c:symbol val="none"/>
          </c:marker>
          <c:cat>
            <c:strRef>
              <c:f>('A-17'!$B$202:$H$202,'A-17'!$B$204:$I$204)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('A-17'!$B$203:$H$203,'A-17'!$B$205,'A-17'!$C$200:$I$200)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'A-17'!$A$14</c:f>
              <c:strCache>
                <c:ptCount val="1"/>
                <c:pt idx="0">
                  <c:v>Baseline Expenditure</c:v>
                </c:pt>
              </c:strCache>
            </c:strRef>
          </c:tx>
          <c:spPr>
            <a:ln w="25400">
              <a:solidFill>
                <a:srgbClr val="0000FF"/>
              </a:solidFill>
              <a:prstDash val="solid"/>
            </a:ln>
          </c:spPr>
          <c:marker>
            <c:symbol val="none"/>
          </c:marker>
          <c:cat>
            <c:strRef>
              <c:f>('A-17'!$B$202:$H$202,'A-17'!$B$204:$I$204)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('A-17'!$B$200:$H$200,'A-17'!$B$205:$I$205)</c:f>
              <c:numCache>
                <c:formatCode>General</c:formatCode>
                <c:ptCount val="15"/>
                <c:pt idx="7" formatCode="_-* #,##0.0_-;\-* #,##0.0_-;_-* &quot;-&quot;??_-;_-@_-">
                  <c:v>0</c:v>
                </c:pt>
                <c:pt idx="8" formatCode="_-* #,##0.0_-;\-* #,##0.0_-;_-* &quot;-&quot;??_-;_-@_-">
                  <c:v>0</c:v>
                </c:pt>
                <c:pt idx="9" formatCode="_-* #,##0.0_-;\-* #,##0.0_-;_-* &quot;-&quot;??_-;_-@_-">
                  <c:v>0.54800000000000004</c:v>
                </c:pt>
                <c:pt idx="10" formatCode="_-* #,##0.0_-;\-* #,##0.0_-;_-* &quot;-&quot;??_-;_-@_-">
                  <c:v>0.54800000000000004</c:v>
                </c:pt>
                <c:pt idx="11" formatCode="_-* #,##0.0_-;\-* #,##0.0_-;_-* &quot;-&quot;??_-;_-@_-">
                  <c:v>0.54800000000000004</c:v>
                </c:pt>
                <c:pt idx="12" formatCode="_-* #,##0.0_-;\-* #,##0.0_-;_-* &quot;-&quot;??_-;_-@_-">
                  <c:v>0.54800000000000004</c:v>
                </c:pt>
                <c:pt idx="13" formatCode="_-* #,##0.0_-;\-* #,##0.0_-;_-* &quot;-&quot;??_-;_-@_-">
                  <c:v>0.54800000000000004</c:v>
                </c:pt>
                <c:pt idx="14" formatCode="_-* #,##0.0_-;\-* #,##0.0_-;_-* &quot;-&quot;??_-;_-@_-">
                  <c:v>0.54800000000000004</c:v>
                </c:pt>
              </c:numCache>
            </c:numRef>
          </c:val>
        </c:ser>
        <c:ser>
          <c:idx val="0"/>
          <c:order val="2"/>
          <c:tx>
            <c:strRef>
              <c:f>'A-17'!$A$206</c:f>
              <c:strCache>
                <c:ptCount val="1"/>
                <c:pt idx="0">
                  <c:v>Total with Variations</c:v>
                </c:pt>
              </c:strCache>
            </c:strRef>
          </c:tx>
          <c:spPr>
            <a:ln w="25400">
              <a:solidFill>
                <a:srgbClr val="993366"/>
              </a:solidFill>
              <a:prstDash val="solid"/>
            </a:ln>
          </c:spPr>
          <c:marker>
            <c:symbol val="none"/>
          </c:marker>
          <c:cat>
            <c:strRef>
              <c:f>('A-17'!$B$202:$H$202,'A-17'!$B$204:$I$204)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('A-17'!$B$200:$H$200,'A-17'!$B$206:$I$206)</c:f>
              <c:numCache>
                <c:formatCode>General</c:formatCode>
                <c:ptCount val="15"/>
                <c:pt idx="7" formatCode="_-* #,##0.0_-;\-* #,##0.0_-;_-* &quot;-&quot;??_-;_-@_-">
                  <c:v>0</c:v>
                </c:pt>
                <c:pt idx="8" formatCode="_-* #,##0.0_-;\-* #,##0.0_-;_-* &quot;-&quot;??_-;_-@_-">
                  <c:v>0</c:v>
                </c:pt>
                <c:pt idx="9" formatCode="_-* #,##0.0_-;\-* #,##0.0_-;_-* &quot;-&quot;??_-;_-@_-">
                  <c:v>0.54800000000000004</c:v>
                </c:pt>
                <c:pt idx="10" formatCode="_-* #,##0.0_-;\-* #,##0.0_-;_-* &quot;-&quot;??_-;_-@_-">
                  <c:v>0.54800000000000004</c:v>
                </c:pt>
                <c:pt idx="11" formatCode="_-* #,##0.0_-;\-* #,##0.0_-;_-* &quot;-&quot;??_-;_-@_-">
                  <c:v>0.54800000000000004</c:v>
                </c:pt>
                <c:pt idx="12" formatCode="_-* #,##0.0_-;\-* #,##0.0_-;_-* &quot;-&quot;??_-;_-@_-">
                  <c:v>0.54800000000000004</c:v>
                </c:pt>
                <c:pt idx="13" formatCode="_-* #,##0.0_-;\-* #,##0.0_-;_-* &quot;-&quot;??_-;_-@_-">
                  <c:v>0.54800000000000004</c:v>
                </c:pt>
                <c:pt idx="14" formatCode="_-* #,##0.0_-;\-* #,##0.0_-;_-* &quot;-&quot;??_-;_-@_-">
                  <c:v>0.54800000000000004</c:v>
                </c:pt>
              </c:numCache>
            </c:numRef>
          </c:val>
        </c:ser>
        <c:ser>
          <c:idx val="3"/>
          <c:order val="3"/>
          <c:tx>
            <c:strRef>
              <c:f>'A-17'!$A$207</c:f>
              <c:strCache>
                <c:ptCount val="1"/>
                <c:pt idx="0">
                  <c:v>Total with Specific Escalations</c:v>
                </c:pt>
              </c:strCache>
            </c:strRef>
          </c:tx>
          <c:spPr>
            <a:ln w="25400">
              <a:solidFill>
                <a:srgbClr val="FF0000"/>
              </a:solidFill>
              <a:prstDash val="solid"/>
            </a:ln>
          </c:spPr>
          <c:marker>
            <c:symbol val="none"/>
          </c:marker>
          <c:cat>
            <c:strRef>
              <c:f>('A-17'!$B$202:$H$202,'A-17'!$B$204:$I$204)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('A-17'!$B$200:$H$200,'A-17'!$B$207:$I$207)</c:f>
              <c:numCache>
                <c:formatCode>General</c:formatCode>
                <c:ptCount val="15"/>
                <c:pt idx="7" formatCode="_-* #,##0.0_-;\-* #,##0.0_-;_-* &quot;-&quot;??_-;_-@_-">
                  <c:v>0</c:v>
                </c:pt>
                <c:pt idx="8" formatCode="_-* #,##0.0_-;\-* #,##0.0_-;_-* &quot;-&quot;??_-;_-@_-">
                  <c:v>0</c:v>
                </c:pt>
                <c:pt idx="9" formatCode="_-* #,##0.0_-;\-* #,##0.0_-;_-* &quot;-&quot;??_-;_-@_-">
                  <c:v>0.54800000000000004</c:v>
                </c:pt>
                <c:pt idx="10" formatCode="_-* #,##0.0_-;\-* #,##0.0_-;_-* &quot;-&quot;??_-;_-@_-">
                  <c:v>0.55381425713811694</c:v>
                </c:pt>
                <c:pt idx="11" formatCode="_-* #,##0.0_-;\-* #,##0.0_-;_-* &quot;-&quot;??_-;_-@_-">
                  <c:v>0.55920166532773929</c:v>
                </c:pt>
                <c:pt idx="12" formatCode="_-* #,##0.0_-;\-* #,##0.0_-;_-* &quot;-&quot;??_-;_-@_-">
                  <c:v>0.56452705850016471</c:v>
                </c:pt>
                <c:pt idx="13" formatCode="_-* #,##0.0_-;\-* #,##0.0_-;_-* &quot;-&quot;??_-;_-@_-">
                  <c:v>0.57030468238055365</c:v>
                </c:pt>
                <c:pt idx="14" formatCode="_-* #,##0.0_-;\-* #,##0.0_-;_-* &quot;-&quot;??_-;_-@_-">
                  <c:v>0.57559702909491217</c:v>
                </c:pt>
              </c:numCache>
            </c:numRef>
          </c:val>
        </c:ser>
        <c:ser>
          <c:idx val="2"/>
          <c:order val="4"/>
          <c:tx>
            <c:strRef>
              <c:f>'A-17'!$A$208</c:f>
              <c:strCache>
                <c:ptCount val="1"/>
                <c:pt idx="0">
                  <c:v>Total with All Escalations</c:v>
                </c:pt>
              </c:strCache>
            </c:strRef>
          </c:tx>
          <c:spPr>
            <a:ln w="38100">
              <a:solidFill>
                <a:srgbClr val="00FF00"/>
              </a:solidFill>
              <a:prstDash val="solid"/>
            </a:ln>
          </c:spPr>
          <c:marker>
            <c:symbol val="none"/>
          </c:marker>
          <c:cat>
            <c:strRef>
              <c:f>('A-17'!$B$202:$H$202,'A-17'!$B$204:$I$204)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('A-17'!$B$200:$H$200,'A-17'!$B$208:$I$208)</c:f>
              <c:numCache>
                <c:formatCode>General</c:formatCode>
                <c:ptCount val="15"/>
                <c:pt idx="7" formatCode="_-* #,##0.0_-;\-* #,##0.0_-;_-* &quot;-&quot;??_-;_-@_-">
                  <c:v>0</c:v>
                </c:pt>
                <c:pt idx="8" formatCode="_-* #,##0.0_-;\-* #,##0.0_-;_-* &quot;-&quot;??_-;_-@_-">
                  <c:v>0</c:v>
                </c:pt>
                <c:pt idx="9" formatCode="_-* #,##0.0_-;\-* #,##0.0_-;_-* &quot;-&quot;??_-;_-@_-">
                  <c:v>0.54800000000000004</c:v>
                </c:pt>
                <c:pt idx="10" formatCode="_-* #,##0.0_-;\-* #,##0.0_-;_-* &quot;-&quot;??_-;_-@_-">
                  <c:v>0.56473118851840987</c:v>
                </c:pt>
                <c:pt idx="11" formatCode="_-* #,##0.0_-;\-* #,##0.0_-;_-* &quot;-&quot;??_-;_-@_-">
                  <c:v>0.58148034339535637</c:v>
                </c:pt>
                <c:pt idx="12" formatCode="_-* #,##0.0_-;\-* #,##0.0_-;_-* &quot;-&quot;??_-;_-@_-">
                  <c:v>0.5994459995051673</c:v>
                </c:pt>
                <c:pt idx="13" formatCode="_-* #,##0.0_-;\-* #,##0.0_-;_-* &quot;-&quot;??_-;_-@_-">
                  <c:v>0.61849209988663412</c:v>
                </c:pt>
                <c:pt idx="14" formatCode="_-* #,##0.0_-;\-* #,##0.0_-;_-* &quot;-&quot;??_-;_-@_-">
                  <c:v>0.63765679272520825</c:v>
                </c:pt>
              </c:numCache>
            </c:numRef>
          </c:val>
        </c:ser>
        <c:marker val="1"/>
        <c:axId val="173408640"/>
        <c:axId val="173410176"/>
      </c:lineChart>
      <c:catAx>
        <c:axId val="17340864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3410176"/>
        <c:crosses val="autoZero"/>
        <c:auto val="1"/>
        <c:lblAlgn val="ctr"/>
        <c:lblOffset val="100"/>
        <c:tickLblSkip val="1"/>
        <c:tickMarkSkip val="1"/>
      </c:catAx>
      <c:valAx>
        <c:axId val="17341017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6534698459448276"/>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340864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AU"/>
  <c:chart>
    <c:title>
      <c:tx>
        <c:strRef>
          <c:f>'A-18'!$B$2</c:f>
          <c:strCache>
            <c:ptCount val="1"/>
            <c:pt idx="0">
              <c:v>Employee Relations</c:v>
            </c:pt>
          </c:strCache>
        </c:strRef>
      </c:tx>
      <c:spPr>
        <a:noFill/>
        <a:ln w="25400">
          <a:noFill/>
        </a:ln>
      </c:spPr>
      <c:txPr>
        <a:bodyPr/>
        <a:lstStyle/>
        <a:p>
          <a:pPr>
            <a:defRPr sz="300" b="1" i="0" u="none" strike="noStrike" baseline="0">
              <a:solidFill>
                <a:srgbClr val="000000"/>
              </a:solidFill>
              <a:latin typeface="Arial"/>
              <a:ea typeface="Arial"/>
              <a:cs typeface="Arial"/>
            </a:defRPr>
          </a:pPr>
          <a:endParaRPr lang="en-US"/>
        </a:p>
      </c:txPr>
    </c:title>
    <c:plotArea>
      <c:layout/>
      <c:lineChart>
        <c:grouping val="standard"/>
        <c:ser>
          <c:idx val="4"/>
          <c:order val="0"/>
          <c:tx>
            <c:strRef>
              <c:f>'A-18'!$A$203</c:f>
              <c:strCache>
                <c:ptCount val="1"/>
                <c:pt idx="0">
                  <c:v>Historic Expenditure</c:v>
                </c:pt>
              </c:strCache>
            </c:strRef>
          </c:tx>
          <c:spPr>
            <a:ln w="25400">
              <a:solidFill>
                <a:srgbClr val="33CCCC"/>
              </a:solidFill>
              <a:prstDash val="solid"/>
            </a:ln>
          </c:spPr>
          <c:marker>
            <c:symbol val="none"/>
          </c:marker>
          <c:cat>
            <c:strRef>
              <c:f>('A-18'!$B$202:$H$202,'A-18'!$B$204:$I$204)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('A-18'!$B$203:$H$203,'A-18'!$B$205,'A-18'!$C$200:$I$200)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'A-18'!$A$14</c:f>
              <c:strCache>
                <c:ptCount val="1"/>
                <c:pt idx="0">
                  <c:v>Baseline Expenditure</c:v>
                </c:pt>
              </c:strCache>
            </c:strRef>
          </c:tx>
          <c:spPr>
            <a:ln w="25400">
              <a:solidFill>
                <a:srgbClr val="0000FF"/>
              </a:solidFill>
              <a:prstDash val="solid"/>
            </a:ln>
          </c:spPr>
          <c:marker>
            <c:symbol val="none"/>
          </c:marker>
          <c:cat>
            <c:strRef>
              <c:f>('A-18'!$B$202:$H$202,'A-18'!$B$204:$I$204)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('A-18'!$B$200:$H$200,'A-18'!$B$205:$I$205)</c:f>
              <c:numCache>
                <c:formatCode>General</c:formatCode>
                <c:ptCount val="15"/>
                <c:pt idx="7" formatCode="_-* #,##0.0_-;\-* #,##0.0_-;_-* &quot;-&quot;??_-;_-@_-">
                  <c:v>0</c:v>
                </c:pt>
                <c:pt idx="8" formatCode="_-* #,##0.0_-;\-* #,##0.0_-;_-* &quot;-&quot;??_-;_-@_-">
                  <c:v>0</c:v>
                </c:pt>
                <c:pt idx="9" formatCode="_-* #,##0.0_-;\-* #,##0.0_-;_-* &quot;-&quot;??_-;_-@_-">
                  <c:v>3.1930000000000005</c:v>
                </c:pt>
                <c:pt idx="10" formatCode="_-* #,##0.0_-;\-* #,##0.0_-;_-* &quot;-&quot;??_-;_-@_-">
                  <c:v>3.1930000000000005</c:v>
                </c:pt>
                <c:pt idx="11" formatCode="_-* #,##0.0_-;\-* #,##0.0_-;_-* &quot;-&quot;??_-;_-@_-">
                  <c:v>3.1930000000000005</c:v>
                </c:pt>
                <c:pt idx="12" formatCode="_-* #,##0.0_-;\-* #,##0.0_-;_-* &quot;-&quot;??_-;_-@_-">
                  <c:v>3.1930000000000005</c:v>
                </c:pt>
                <c:pt idx="13" formatCode="_-* #,##0.0_-;\-* #,##0.0_-;_-* &quot;-&quot;??_-;_-@_-">
                  <c:v>3.1930000000000005</c:v>
                </c:pt>
                <c:pt idx="14" formatCode="_-* #,##0.0_-;\-* #,##0.0_-;_-* &quot;-&quot;??_-;_-@_-">
                  <c:v>3.1930000000000005</c:v>
                </c:pt>
              </c:numCache>
            </c:numRef>
          </c:val>
        </c:ser>
        <c:ser>
          <c:idx val="0"/>
          <c:order val="2"/>
          <c:tx>
            <c:strRef>
              <c:f>'A-18'!$A$206</c:f>
              <c:strCache>
                <c:ptCount val="1"/>
                <c:pt idx="0">
                  <c:v>Total with Variations</c:v>
                </c:pt>
              </c:strCache>
            </c:strRef>
          </c:tx>
          <c:spPr>
            <a:ln w="25400">
              <a:solidFill>
                <a:srgbClr val="993366"/>
              </a:solidFill>
              <a:prstDash val="solid"/>
            </a:ln>
          </c:spPr>
          <c:marker>
            <c:symbol val="none"/>
          </c:marker>
          <c:cat>
            <c:strRef>
              <c:f>('A-18'!$B$202:$H$202,'A-18'!$B$204:$I$204)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('A-18'!$B$200:$H$200,'A-18'!$B$206:$I$206)</c:f>
              <c:numCache>
                <c:formatCode>General</c:formatCode>
                <c:ptCount val="15"/>
                <c:pt idx="7" formatCode="_-* #,##0.0_-;\-* #,##0.0_-;_-* &quot;-&quot;??_-;_-@_-">
                  <c:v>0</c:v>
                </c:pt>
                <c:pt idx="8" formatCode="_-* #,##0.0_-;\-* #,##0.0_-;_-* &quot;-&quot;??_-;_-@_-">
                  <c:v>0</c:v>
                </c:pt>
                <c:pt idx="9" formatCode="_-* #,##0.0_-;\-* #,##0.0_-;_-* &quot;-&quot;??_-;_-@_-">
                  <c:v>3.1930000000000005</c:v>
                </c:pt>
                <c:pt idx="10" formatCode="_-* #,##0.0_-;\-* #,##0.0_-;_-* &quot;-&quot;??_-;_-@_-">
                  <c:v>3.1930000000000005</c:v>
                </c:pt>
                <c:pt idx="11" formatCode="_-* #,##0.0_-;\-* #,##0.0_-;_-* &quot;-&quot;??_-;_-@_-">
                  <c:v>3.1930000000000005</c:v>
                </c:pt>
                <c:pt idx="12" formatCode="_-* #,##0.0_-;\-* #,##0.0_-;_-* &quot;-&quot;??_-;_-@_-">
                  <c:v>3.1930000000000005</c:v>
                </c:pt>
                <c:pt idx="13" formatCode="_-* #,##0.0_-;\-* #,##0.0_-;_-* &quot;-&quot;??_-;_-@_-">
                  <c:v>3.1930000000000005</c:v>
                </c:pt>
                <c:pt idx="14" formatCode="_-* #,##0.0_-;\-* #,##0.0_-;_-* &quot;-&quot;??_-;_-@_-">
                  <c:v>3.1930000000000005</c:v>
                </c:pt>
              </c:numCache>
            </c:numRef>
          </c:val>
        </c:ser>
        <c:ser>
          <c:idx val="3"/>
          <c:order val="3"/>
          <c:tx>
            <c:strRef>
              <c:f>'A-18'!$A$207</c:f>
              <c:strCache>
                <c:ptCount val="1"/>
                <c:pt idx="0">
                  <c:v>Total with Specific Escalations</c:v>
                </c:pt>
              </c:strCache>
            </c:strRef>
          </c:tx>
          <c:spPr>
            <a:ln w="25400">
              <a:solidFill>
                <a:srgbClr val="FF0000"/>
              </a:solidFill>
              <a:prstDash val="solid"/>
            </a:ln>
          </c:spPr>
          <c:marker>
            <c:symbol val="none"/>
          </c:marker>
          <c:cat>
            <c:strRef>
              <c:f>('A-18'!$B$202:$H$202,'A-18'!$B$204:$I$204)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('A-18'!$B$200:$H$200,'A-18'!$B$207:$I$207)</c:f>
              <c:numCache>
                <c:formatCode>General</c:formatCode>
                <c:ptCount val="15"/>
                <c:pt idx="7" formatCode="_-* #,##0.0_-;\-* #,##0.0_-;_-* &quot;-&quot;??_-;_-@_-">
                  <c:v>0</c:v>
                </c:pt>
                <c:pt idx="8" formatCode="_-* #,##0.0_-;\-* #,##0.0_-;_-* &quot;-&quot;??_-;_-@_-">
                  <c:v>0</c:v>
                </c:pt>
                <c:pt idx="9" formatCode="_-* #,##0.0_-;\-* #,##0.0_-;_-* &quot;-&quot;??_-;_-@_-">
                  <c:v>3.1930000000000005</c:v>
                </c:pt>
                <c:pt idx="10" formatCode="_-* #,##0.0_-;\-* #,##0.0_-;_-* &quot;-&quot;??_-;_-@_-">
                  <c:v>3.2268775967919843</c:v>
                </c:pt>
                <c:pt idx="11" formatCode="_-* #,##0.0_-;\-* #,##0.0_-;_-* &quot;-&quot;??_-;_-@_-">
                  <c:v>3.2582680974296929</c:v>
                </c:pt>
                <c:pt idx="12" formatCode="_-* #,##0.0_-;\-* #,##0.0_-;_-* &quot;-&quot;??_-;_-@_-">
                  <c:v>3.289297258742748</c:v>
                </c:pt>
                <c:pt idx="13" formatCode="_-* #,##0.0_-;\-* #,##0.0_-;_-* &quot;-&quot;??_-;_-@_-">
                  <c:v>3.3229614066443576</c:v>
                </c:pt>
                <c:pt idx="14" formatCode="_-* #,##0.0_-;\-* #,##0.0_-;_-* &quot;-&quot;??_-;_-@_-">
                  <c:v>3.3537980180657931</c:v>
                </c:pt>
              </c:numCache>
            </c:numRef>
          </c:val>
        </c:ser>
        <c:ser>
          <c:idx val="2"/>
          <c:order val="4"/>
          <c:tx>
            <c:strRef>
              <c:f>'A-18'!$A$208</c:f>
              <c:strCache>
                <c:ptCount val="1"/>
                <c:pt idx="0">
                  <c:v>Total with All Escalations</c:v>
                </c:pt>
              </c:strCache>
            </c:strRef>
          </c:tx>
          <c:spPr>
            <a:ln w="38100">
              <a:solidFill>
                <a:srgbClr val="00FF00"/>
              </a:solidFill>
              <a:prstDash val="solid"/>
            </a:ln>
          </c:spPr>
          <c:marker>
            <c:symbol val="none"/>
          </c:marker>
          <c:cat>
            <c:strRef>
              <c:f>('A-18'!$B$202:$H$202,'A-18'!$B$204:$I$204)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('A-18'!$B$200:$H$200,'A-18'!$B$208:$I$208)</c:f>
              <c:numCache>
                <c:formatCode>General</c:formatCode>
                <c:ptCount val="15"/>
                <c:pt idx="7" formatCode="_-* #,##0.0_-;\-* #,##0.0_-;_-* &quot;-&quot;??_-;_-@_-">
                  <c:v>0</c:v>
                </c:pt>
                <c:pt idx="8" formatCode="_-* #,##0.0_-;\-* #,##0.0_-;_-* &quot;-&quot;??_-;_-@_-">
                  <c:v>0</c:v>
                </c:pt>
                <c:pt idx="9" formatCode="_-* #,##0.0_-;\-* #,##0.0_-;_-* &quot;-&quot;??_-;_-@_-">
                  <c:v>3.1930000000000005</c:v>
                </c:pt>
                <c:pt idx="10" formatCode="_-* #,##0.0_-;\-* #,##0.0_-;_-* &quot;-&quot;??_-;_-@_-">
                  <c:v>3.2884987309855171</c:v>
                </c:pt>
                <c:pt idx="11" formatCode="_-* #,##0.0_-;\-* #,##0.0_-;_-* &quot;-&quot;??_-;_-@_-">
                  <c:v>3.3840088518701434</c:v>
                </c:pt>
                <c:pt idx="12" formatCode="_-* #,##0.0_-;\-* #,##0.0_-;_-* &quot;-&quot;??_-;_-@_-">
                  <c:v>3.4869275677999685</c:v>
                </c:pt>
                <c:pt idx="13" formatCode="_-* #,##0.0_-;\-* #,##0.0_-;_-* &quot;-&quot;??_-;_-@_-">
                  <c:v>3.5962647395800817</c:v>
                </c:pt>
                <c:pt idx="14" formatCode="_-* #,##0.0_-;\-* #,##0.0_-;_-* &quot;-&quot;??_-;_-@_-">
                  <c:v>3.7065112829109337</c:v>
                </c:pt>
              </c:numCache>
            </c:numRef>
          </c:val>
        </c:ser>
        <c:marker val="1"/>
        <c:axId val="173971328"/>
        <c:axId val="173972864"/>
      </c:lineChart>
      <c:catAx>
        <c:axId val="173971328"/>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3972864"/>
        <c:crosses val="autoZero"/>
        <c:auto val="1"/>
        <c:lblAlgn val="ctr"/>
        <c:lblOffset val="100"/>
        <c:tickLblSkip val="1"/>
        <c:tickMarkSkip val="1"/>
      </c:catAx>
      <c:valAx>
        <c:axId val="173972864"/>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3971328"/>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AU"/>
  <c:chart>
    <c:title>
      <c:tx>
        <c:strRef>
          <c:f>'A-19'!$B$2</c:f>
          <c:strCache>
            <c:ptCount val="1"/>
            <c:pt idx="0">
              <c:v>Workforce Development</c:v>
            </c:pt>
          </c:strCache>
        </c:strRef>
      </c:tx>
      <c:layout>
        <c:manualLayout>
          <c:xMode val="edge"/>
          <c:yMode val="edge"/>
          <c:x val="0.3565107458912849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'A-19'!$A$203</c:f>
              <c:strCache>
                <c:ptCount val="1"/>
                <c:pt idx="0">
                  <c:v>Historic Expenditure</c:v>
                </c:pt>
              </c:strCache>
            </c:strRef>
          </c:tx>
          <c:spPr>
            <a:ln w="25400">
              <a:solidFill>
                <a:srgbClr val="33CCCC"/>
              </a:solidFill>
              <a:prstDash val="solid"/>
            </a:ln>
          </c:spPr>
          <c:marker>
            <c:symbol val="none"/>
          </c:marker>
          <c:cat>
            <c:strRef>
              <c:f>('A-19'!$B$202:$H$202,'A-19'!$B$204:$I$204)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('A-19'!$B$203:$H$203,'A-19'!$B$205,'A-19'!$C$200:$I$200)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'A-19'!$A$14</c:f>
              <c:strCache>
                <c:ptCount val="1"/>
                <c:pt idx="0">
                  <c:v>Baseline Expenditure</c:v>
                </c:pt>
              </c:strCache>
            </c:strRef>
          </c:tx>
          <c:spPr>
            <a:ln w="25400">
              <a:solidFill>
                <a:srgbClr val="0000FF"/>
              </a:solidFill>
              <a:prstDash val="solid"/>
            </a:ln>
          </c:spPr>
          <c:marker>
            <c:symbol val="none"/>
          </c:marker>
          <c:cat>
            <c:strRef>
              <c:f>('A-19'!$B$202:$H$202,'A-19'!$B$204:$I$204)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('A-19'!$B$200:$H$200,'A-19'!$B$205:$I$205)</c:f>
              <c:numCache>
                <c:formatCode>General</c:formatCode>
                <c:ptCount val="15"/>
                <c:pt idx="7" formatCode="_-* #,##0.0_-;\-* #,##0.0_-;_-* &quot;-&quot;??_-;_-@_-">
                  <c:v>0</c:v>
                </c:pt>
                <c:pt idx="8" formatCode="_-* #,##0.0_-;\-* #,##0.0_-;_-* &quot;-&quot;??_-;_-@_-">
                  <c:v>0</c:v>
                </c:pt>
                <c:pt idx="9" formatCode="_-* #,##0.0_-;\-* #,##0.0_-;_-* &quot;-&quot;??_-;_-@_-">
                  <c:v>0.90000000000000013</c:v>
                </c:pt>
                <c:pt idx="10" formatCode="_-* #,##0.0_-;\-* #,##0.0_-;_-* &quot;-&quot;??_-;_-@_-">
                  <c:v>0.90000000000000013</c:v>
                </c:pt>
                <c:pt idx="11" formatCode="_-* #,##0.0_-;\-* #,##0.0_-;_-* &quot;-&quot;??_-;_-@_-">
                  <c:v>0.90000000000000013</c:v>
                </c:pt>
                <c:pt idx="12" formatCode="_-* #,##0.0_-;\-* #,##0.0_-;_-* &quot;-&quot;??_-;_-@_-">
                  <c:v>0.90000000000000013</c:v>
                </c:pt>
                <c:pt idx="13" formatCode="_-* #,##0.0_-;\-* #,##0.0_-;_-* &quot;-&quot;??_-;_-@_-">
                  <c:v>0.90000000000000013</c:v>
                </c:pt>
                <c:pt idx="14" formatCode="_-* #,##0.0_-;\-* #,##0.0_-;_-* &quot;-&quot;??_-;_-@_-">
                  <c:v>0.90000000000000013</c:v>
                </c:pt>
              </c:numCache>
            </c:numRef>
          </c:val>
        </c:ser>
        <c:ser>
          <c:idx val="0"/>
          <c:order val="2"/>
          <c:tx>
            <c:strRef>
              <c:f>'A-19'!$A$206</c:f>
              <c:strCache>
                <c:ptCount val="1"/>
                <c:pt idx="0">
                  <c:v>Total with Variations</c:v>
                </c:pt>
              </c:strCache>
            </c:strRef>
          </c:tx>
          <c:spPr>
            <a:ln w="25400">
              <a:solidFill>
                <a:srgbClr val="993366"/>
              </a:solidFill>
              <a:prstDash val="solid"/>
            </a:ln>
          </c:spPr>
          <c:marker>
            <c:symbol val="none"/>
          </c:marker>
          <c:cat>
            <c:strRef>
              <c:f>('A-19'!$B$202:$H$202,'A-19'!$B$204:$I$204)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('A-19'!$B$200:$H$200,'A-19'!$B$206:$I$206)</c:f>
              <c:numCache>
                <c:formatCode>General</c:formatCode>
                <c:ptCount val="15"/>
                <c:pt idx="7" formatCode="_-* #,##0.0_-;\-* #,##0.0_-;_-* &quot;-&quot;??_-;_-@_-">
                  <c:v>0</c:v>
                </c:pt>
                <c:pt idx="8" formatCode="_-* #,##0.0_-;\-* #,##0.0_-;_-* &quot;-&quot;??_-;_-@_-">
                  <c:v>0</c:v>
                </c:pt>
                <c:pt idx="9" formatCode="_-* #,##0.0_-;\-* #,##0.0_-;_-* &quot;-&quot;??_-;_-@_-">
                  <c:v>0.90000000000000013</c:v>
                </c:pt>
                <c:pt idx="10" formatCode="_-* #,##0.0_-;\-* #,##0.0_-;_-* &quot;-&quot;??_-;_-@_-">
                  <c:v>0.90000000000000013</c:v>
                </c:pt>
                <c:pt idx="11" formatCode="_-* #,##0.0_-;\-* #,##0.0_-;_-* &quot;-&quot;??_-;_-@_-">
                  <c:v>0.90000000000000013</c:v>
                </c:pt>
                <c:pt idx="12" formatCode="_-* #,##0.0_-;\-* #,##0.0_-;_-* &quot;-&quot;??_-;_-@_-">
                  <c:v>0.90000000000000013</c:v>
                </c:pt>
                <c:pt idx="13" formatCode="_-* #,##0.0_-;\-* #,##0.0_-;_-* &quot;-&quot;??_-;_-@_-">
                  <c:v>0.90000000000000013</c:v>
                </c:pt>
                <c:pt idx="14" formatCode="_-* #,##0.0_-;\-* #,##0.0_-;_-* &quot;-&quot;??_-;_-@_-">
                  <c:v>0.90000000000000013</c:v>
                </c:pt>
              </c:numCache>
            </c:numRef>
          </c:val>
        </c:ser>
        <c:ser>
          <c:idx val="3"/>
          <c:order val="3"/>
          <c:tx>
            <c:strRef>
              <c:f>'A-19'!$A$207</c:f>
              <c:strCache>
                <c:ptCount val="1"/>
                <c:pt idx="0">
                  <c:v>Total with Specific Escalations</c:v>
                </c:pt>
              </c:strCache>
            </c:strRef>
          </c:tx>
          <c:spPr>
            <a:ln w="25400">
              <a:solidFill>
                <a:srgbClr val="FF0000"/>
              </a:solidFill>
              <a:prstDash val="solid"/>
            </a:ln>
          </c:spPr>
          <c:marker>
            <c:symbol val="none"/>
          </c:marker>
          <c:cat>
            <c:strRef>
              <c:f>('A-19'!$B$202:$H$202,'A-19'!$B$204:$I$204)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('A-19'!$B$200:$H$200,'A-19'!$B$207:$I$207)</c:f>
              <c:numCache>
                <c:formatCode>General</c:formatCode>
                <c:ptCount val="15"/>
                <c:pt idx="7" formatCode="_-* #,##0.0_-;\-* #,##0.0_-;_-* &quot;-&quot;??_-;_-@_-">
                  <c:v>0</c:v>
                </c:pt>
                <c:pt idx="8" formatCode="_-* #,##0.0_-;\-* #,##0.0_-;_-* &quot;-&quot;??_-;_-@_-">
                  <c:v>0</c:v>
                </c:pt>
                <c:pt idx="9" formatCode="_-* #,##0.0_-;\-* #,##0.0_-;_-* &quot;-&quot;??_-;_-@_-">
                  <c:v>0.90000000000000013</c:v>
                </c:pt>
                <c:pt idx="10" formatCode="_-* #,##0.0_-;\-* #,##0.0_-;_-* &quot;-&quot;??_-;_-@_-">
                  <c:v>0.90954896245311179</c:v>
                </c:pt>
                <c:pt idx="11" formatCode="_-* #,##0.0_-;\-* #,##0.0_-;_-* &quot;-&quot;??_-;_-@_-">
                  <c:v>0.91839689561125071</c:v>
                </c:pt>
                <c:pt idx="12" formatCode="_-* #,##0.0_-;\-* #,##0.0_-;_-* &quot;-&quot;??_-;_-@_-">
                  <c:v>0.92714297928859168</c:v>
                </c:pt>
                <c:pt idx="13" formatCode="_-* #,##0.0_-;\-* #,##0.0_-;_-* &quot;-&quot;??_-;_-@_-">
                  <c:v>0.93663177763229621</c:v>
                </c:pt>
                <c:pt idx="14" formatCode="_-* #,##0.0_-;\-* #,##0.0_-;_-* &quot;-&quot;??_-;_-@_-">
                  <c:v>0.94532358792960025</c:v>
                </c:pt>
              </c:numCache>
            </c:numRef>
          </c:val>
        </c:ser>
        <c:ser>
          <c:idx val="2"/>
          <c:order val="4"/>
          <c:tx>
            <c:strRef>
              <c:f>'A-19'!$A$208</c:f>
              <c:strCache>
                <c:ptCount val="1"/>
                <c:pt idx="0">
                  <c:v>Total with All Escalations</c:v>
                </c:pt>
              </c:strCache>
            </c:strRef>
          </c:tx>
          <c:spPr>
            <a:ln w="38100">
              <a:solidFill>
                <a:srgbClr val="00FF00"/>
              </a:solidFill>
              <a:prstDash val="solid"/>
            </a:ln>
          </c:spPr>
          <c:marker>
            <c:symbol val="none"/>
          </c:marker>
          <c:cat>
            <c:strRef>
              <c:f>('A-19'!$B$202:$H$202,'A-19'!$B$204:$I$204)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('A-19'!$B$200:$H$200,'A-19'!$B$208:$I$208)</c:f>
              <c:numCache>
                <c:formatCode>General</c:formatCode>
                <c:ptCount val="15"/>
                <c:pt idx="7" formatCode="_-* #,##0.0_-;\-* #,##0.0_-;_-* &quot;-&quot;??_-;_-@_-">
                  <c:v>0</c:v>
                </c:pt>
                <c:pt idx="8" formatCode="_-* #,##0.0_-;\-* #,##0.0_-;_-* &quot;-&quot;??_-;_-@_-">
                  <c:v>0</c:v>
                </c:pt>
                <c:pt idx="9" formatCode="_-* #,##0.0_-;\-* #,##0.0_-;_-* &quot;-&quot;??_-;_-@_-">
                  <c:v>0.90000000000000013</c:v>
                </c:pt>
                <c:pt idx="10" formatCode="_-* #,##0.0_-;\-* #,##0.0_-;_-* &quot;-&quot;??_-;_-@_-">
                  <c:v>0.92511588492478269</c:v>
                </c:pt>
                <c:pt idx="11" formatCode="_-* #,##0.0_-;\-* #,##0.0_-;_-* &quot;-&quot;??_-;_-@_-">
                  <c:v>0.95016517898098163</c:v>
                </c:pt>
                <c:pt idx="12" formatCode="_-* #,##0.0_-;\-* #,##0.0_-;_-* &quot;-&quot;??_-;_-@_-">
                  <c:v>0.97692864389566147</c:v>
                </c:pt>
                <c:pt idx="13" formatCode="_-* #,##0.0_-;\-* #,##0.0_-;_-* &quot;-&quot;??_-;_-@_-">
                  <c:v>1.0053275851487593</c:v>
                </c:pt>
                <c:pt idx="14" formatCode="_-* #,##0.0_-;\-* #,##0.0_-;_-* &quot;-&quot;??_-;_-@_-">
                  <c:v>1.0337864259019025</c:v>
                </c:pt>
              </c:numCache>
            </c:numRef>
          </c:val>
        </c:ser>
        <c:marker val="1"/>
        <c:axId val="175254912"/>
        <c:axId val="175273088"/>
      </c:lineChart>
      <c:catAx>
        <c:axId val="17525491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5273088"/>
        <c:crosses val="autoZero"/>
        <c:auto val="1"/>
        <c:lblAlgn val="ctr"/>
        <c:lblOffset val="100"/>
        <c:tickLblSkip val="1"/>
        <c:tickMarkSkip val="1"/>
      </c:catAx>
      <c:valAx>
        <c:axId val="17527308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525491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strRef>
          <c:f>'A-2'!$B$2</c:f>
          <c:strCache>
            <c:ptCount val="1"/>
            <c:pt idx="0">
              <c:v>Strategic Planning  </c:v>
            </c:pt>
          </c:strCache>
        </c:strRef>
      </c:tx>
      <c:layout>
        <c:manualLayout>
          <c:xMode val="edge"/>
          <c:yMode val="edge"/>
          <c:x val="0.38938053097347097"/>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'A-2'!$A$203</c:f>
              <c:strCache>
                <c:ptCount val="1"/>
                <c:pt idx="0">
                  <c:v>Historic Expenditure</c:v>
                </c:pt>
              </c:strCache>
            </c:strRef>
          </c:tx>
          <c:spPr>
            <a:ln w="25400">
              <a:solidFill>
                <a:srgbClr val="33CCCC"/>
              </a:solidFill>
              <a:prstDash val="solid"/>
            </a:ln>
          </c:spPr>
          <c:marker>
            <c:symbol val="none"/>
          </c:marker>
          <c:cat>
            <c:strRef>
              <c:f>('A-2'!$B$202:$H$202,'A-2'!$B$204:$I$204)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('A-2'!$B$203:$H$203,'A-2'!$B$205,'A-2'!$C$200:$I$200)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'A-2'!$A$14</c:f>
              <c:strCache>
                <c:ptCount val="1"/>
                <c:pt idx="0">
                  <c:v>Baseline Expenditure</c:v>
                </c:pt>
              </c:strCache>
            </c:strRef>
          </c:tx>
          <c:spPr>
            <a:ln w="25400">
              <a:solidFill>
                <a:srgbClr val="0000FF"/>
              </a:solidFill>
              <a:prstDash val="solid"/>
            </a:ln>
          </c:spPr>
          <c:marker>
            <c:symbol val="none"/>
          </c:marker>
          <c:cat>
            <c:strRef>
              <c:f>('A-2'!$B$202:$H$202,'A-2'!$B$204:$I$204)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('A-2'!$B$200:$H$200,'A-2'!$B$205:$I$205)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'A-2'!$A$206</c:f>
              <c:strCache>
                <c:ptCount val="1"/>
                <c:pt idx="0">
                  <c:v>Total with Variations</c:v>
                </c:pt>
              </c:strCache>
            </c:strRef>
          </c:tx>
          <c:spPr>
            <a:ln w="25400">
              <a:solidFill>
                <a:srgbClr val="993366"/>
              </a:solidFill>
              <a:prstDash val="solid"/>
            </a:ln>
          </c:spPr>
          <c:marker>
            <c:symbol val="none"/>
          </c:marker>
          <c:cat>
            <c:strRef>
              <c:f>('A-2'!$B$202:$H$202,'A-2'!$B$204:$I$204)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('A-2'!$B$200:$H$200,'A-2'!$B$206:$I$206)</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'A-2'!$A$207</c:f>
              <c:strCache>
                <c:ptCount val="1"/>
                <c:pt idx="0">
                  <c:v>Total with Specific Escalations</c:v>
                </c:pt>
              </c:strCache>
            </c:strRef>
          </c:tx>
          <c:spPr>
            <a:ln w="25400">
              <a:solidFill>
                <a:srgbClr val="FF0000"/>
              </a:solidFill>
              <a:prstDash val="solid"/>
            </a:ln>
          </c:spPr>
          <c:marker>
            <c:symbol val="none"/>
          </c:marker>
          <c:cat>
            <c:strRef>
              <c:f>('A-2'!$B$202:$H$202,'A-2'!$B$204:$I$204)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('A-2'!$B$200:$H$200,'A-2'!$B$207:$I$207)</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'A-2'!$A$208</c:f>
              <c:strCache>
                <c:ptCount val="1"/>
                <c:pt idx="0">
                  <c:v>Total with All Escalations</c:v>
                </c:pt>
              </c:strCache>
            </c:strRef>
          </c:tx>
          <c:spPr>
            <a:ln w="38100">
              <a:solidFill>
                <a:srgbClr val="00FF00"/>
              </a:solidFill>
              <a:prstDash val="solid"/>
            </a:ln>
          </c:spPr>
          <c:marker>
            <c:symbol val="none"/>
          </c:marker>
          <c:cat>
            <c:strRef>
              <c:f>('A-2'!$B$202:$H$202,'A-2'!$B$204:$I$204)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('A-2'!$B$200:$H$200,'A-2'!$B$208:$I$208)</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54071808"/>
        <c:axId val="154073344"/>
      </c:lineChart>
      <c:catAx>
        <c:axId val="15407180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4073344"/>
        <c:crosses val="autoZero"/>
        <c:auto val="1"/>
        <c:lblAlgn val="ctr"/>
        <c:lblOffset val="100"/>
        <c:tickLblSkip val="1"/>
        <c:tickMarkSkip val="1"/>
      </c:catAx>
      <c:valAx>
        <c:axId val="15407334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407180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AU"/>
  <c:chart>
    <c:title>
      <c:tx>
        <c:strRef>
          <c:f>'A-20'!$B$2</c:f>
          <c:strCache>
            <c:ptCount val="1"/>
            <c:pt idx="0">
              <c:v>Training Centre</c:v>
            </c:pt>
          </c:strCache>
        </c:strRef>
      </c:tx>
      <c:layout>
        <c:manualLayout>
          <c:xMode val="edge"/>
          <c:yMode val="edge"/>
          <c:x val="0.4058154235145388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'A-20'!$A$203</c:f>
              <c:strCache>
                <c:ptCount val="1"/>
                <c:pt idx="0">
                  <c:v>Historic Expenditure</c:v>
                </c:pt>
              </c:strCache>
            </c:strRef>
          </c:tx>
          <c:spPr>
            <a:ln w="25400">
              <a:solidFill>
                <a:srgbClr val="33CCCC"/>
              </a:solidFill>
              <a:prstDash val="solid"/>
            </a:ln>
          </c:spPr>
          <c:marker>
            <c:symbol val="none"/>
          </c:marker>
          <c:cat>
            <c:strRef>
              <c:f>('A-20'!$B$202:$H$202,'A-20'!$B$204:$I$204)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('A-20'!$B$203:$H$203,'A-20'!$B$205,'A-20'!$C$200:$I$200)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'A-20'!$A$14</c:f>
              <c:strCache>
                <c:ptCount val="1"/>
                <c:pt idx="0">
                  <c:v>Baseline Expenditure</c:v>
                </c:pt>
              </c:strCache>
            </c:strRef>
          </c:tx>
          <c:spPr>
            <a:ln w="25400">
              <a:solidFill>
                <a:srgbClr val="0000FF"/>
              </a:solidFill>
              <a:prstDash val="solid"/>
            </a:ln>
          </c:spPr>
          <c:marker>
            <c:symbol val="none"/>
          </c:marker>
          <c:cat>
            <c:strRef>
              <c:f>('A-20'!$B$202:$H$202,'A-20'!$B$204:$I$204)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('A-20'!$B$200:$H$200,'A-20'!$B$205:$I$205)</c:f>
              <c:numCache>
                <c:formatCode>General</c:formatCode>
                <c:ptCount val="15"/>
                <c:pt idx="7" formatCode="_-* #,##0.0_-;\-* #,##0.0_-;_-* &quot;-&quot;??_-;_-@_-">
                  <c:v>0</c:v>
                </c:pt>
                <c:pt idx="8" formatCode="_-* #,##0.0_-;\-* #,##0.0_-;_-* &quot;-&quot;??_-;_-@_-">
                  <c:v>0</c:v>
                </c:pt>
                <c:pt idx="9" formatCode="_-* #,##0.0_-;\-* #,##0.0_-;_-* &quot;-&quot;??_-;_-@_-">
                  <c:v>3.488</c:v>
                </c:pt>
                <c:pt idx="10" formatCode="_-* #,##0.0_-;\-* #,##0.0_-;_-* &quot;-&quot;??_-;_-@_-">
                  <c:v>3.488</c:v>
                </c:pt>
                <c:pt idx="11" formatCode="_-* #,##0.0_-;\-* #,##0.0_-;_-* &quot;-&quot;??_-;_-@_-">
                  <c:v>3.488</c:v>
                </c:pt>
                <c:pt idx="12" formatCode="_-* #,##0.0_-;\-* #,##0.0_-;_-* &quot;-&quot;??_-;_-@_-">
                  <c:v>3.488</c:v>
                </c:pt>
                <c:pt idx="13" formatCode="_-* #,##0.0_-;\-* #,##0.0_-;_-* &quot;-&quot;??_-;_-@_-">
                  <c:v>3.488</c:v>
                </c:pt>
                <c:pt idx="14" formatCode="_-* #,##0.0_-;\-* #,##0.0_-;_-* &quot;-&quot;??_-;_-@_-">
                  <c:v>3.488</c:v>
                </c:pt>
              </c:numCache>
            </c:numRef>
          </c:val>
        </c:ser>
        <c:ser>
          <c:idx val="0"/>
          <c:order val="2"/>
          <c:tx>
            <c:strRef>
              <c:f>'A-20'!$A$206</c:f>
              <c:strCache>
                <c:ptCount val="1"/>
                <c:pt idx="0">
                  <c:v>Total with Variations</c:v>
                </c:pt>
              </c:strCache>
            </c:strRef>
          </c:tx>
          <c:spPr>
            <a:ln w="25400">
              <a:solidFill>
                <a:srgbClr val="993366"/>
              </a:solidFill>
              <a:prstDash val="solid"/>
            </a:ln>
          </c:spPr>
          <c:marker>
            <c:symbol val="none"/>
          </c:marker>
          <c:cat>
            <c:strRef>
              <c:f>('A-20'!$B$202:$H$202,'A-20'!$B$204:$I$204)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('A-20'!$B$200:$H$200,'A-20'!$B$206:$I$206)</c:f>
              <c:numCache>
                <c:formatCode>General</c:formatCode>
                <c:ptCount val="15"/>
                <c:pt idx="7" formatCode="_-* #,##0.0_-;\-* #,##0.0_-;_-* &quot;-&quot;??_-;_-@_-">
                  <c:v>0</c:v>
                </c:pt>
                <c:pt idx="8" formatCode="_-* #,##0.0_-;\-* #,##0.0_-;_-* &quot;-&quot;??_-;_-@_-">
                  <c:v>0</c:v>
                </c:pt>
                <c:pt idx="9" formatCode="_-* #,##0.0_-;\-* #,##0.0_-;_-* &quot;-&quot;??_-;_-@_-">
                  <c:v>3.488</c:v>
                </c:pt>
                <c:pt idx="10" formatCode="_-* #,##0.0_-;\-* #,##0.0_-;_-* &quot;-&quot;??_-;_-@_-">
                  <c:v>3.488</c:v>
                </c:pt>
                <c:pt idx="11" formatCode="_-* #,##0.0_-;\-* #,##0.0_-;_-* &quot;-&quot;??_-;_-@_-">
                  <c:v>3.488</c:v>
                </c:pt>
                <c:pt idx="12" formatCode="_-* #,##0.0_-;\-* #,##0.0_-;_-* &quot;-&quot;??_-;_-@_-">
                  <c:v>3.488</c:v>
                </c:pt>
                <c:pt idx="13" formatCode="_-* #,##0.0_-;\-* #,##0.0_-;_-* &quot;-&quot;??_-;_-@_-">
                  <c:v>3.488</c:v>
                </c:pt>
                <c:pt idx="14" formatCode="_-* #,##0.0_-;\-* #,##0.0_-;_-* &quot;-&quot;??_-;_-@_-">
                  <c:v>3.488</c:v>
                </c:pt>
              </c:numCache>
            </c:numRef>
          </c:val>
        </c:ser>
        <c:ser>
          <c:idx val="3"/>
          <c:order val="3"/>
          <c:tx>
            <c:strRef>
              <c:f>'A-20'!$A$207</c:f>
              <c:strCache>
                <c:ptCount val="1"/>
                <c:pt idx="0">
                  <c:v>Total with Specific Escalations</c:v>
                </c:pt>
              </c:strCache>
            </c:strRef>
          </c:tx>
          <c:spPr>
            <a:ln w="25400">
              <a:solidFill>
                <a:srgbClr val="FF0000"/>
              </a:solidFill>
              <a:prstDash val="solid"/>
            </a:ln>
          </c:spPr>
          <c:marker>
            <c:symbol val="none"/>
          </c:marker>
          <c:cat>
            <c:strRef>
              <c:f>('A-20'!$B$202:$H$202,'A-20'!$B$204:$I$204)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('A-20'!$B$200:$H$200,'A-20'!$B$207:$I$207)</c:f>
              <c:numCache>
                <c:formatCode>General</c:formatCode>
                <c:ptCount val="15"/>
                <c:pt idx="7" formatCode="_-* #,##0.0_-;\-* #,##0.0_-;_-* &quot;-&quot;??_-;_-@_-">
                  <c:v>0</c:v>
                </c:pt>
                <c:pt idx="8" formatCode="_-* #,##0.0_-;\-* #,##0.0_-;_-* &quot;-&quot;??_-;_-@_-">
                  <c:v>0</c:v>
                </c:pt>
                <c:pt idx="9" formatCode="_-* #,##0.0_-;\-* #,##0.0_-;_-* &quot;-&quot;??_-;_-@_-">
                  <c:v>3.488</c:v>
                </c:pt>
                <c:pt idx="10" formatCode="_-* #,##0.0_-;\-* #,##0.0_-;_-* &quot;-&quot;??_-;_-@_-">
                  <c:v>3.5250075344849483</c:v>
                </c:pt>
                <c:pt idx="11" formatCode="_-* #,##0.0_-;\-* #,##0.0_-;_-* &quot;-&quot;??_-;_-@_-">
                  <c:v>3.5592981909911576</c:v>
                </c:pt>
                <c:pt idx="12" formatCode="_-* #,##0.0_-;\-* #,##0.0_-;_-* &quot;-&quot;??_-;_-@_-">
                  <c:v>3.5931941241762306</c:v>
                </c:pt>
                <c:pt idx="13" formatCode="_-* #,##0.0_-;\-* #,##0.0_-;_-* &quot;-&quot;??_-;_-@_-">
                  <c:v>3.6299684893127209</c:v>
                </c:pt>
                <c:pt idx="14" formatCode="_-* #,##0.0_-;\-* #,##0.0_-;_-* &quot;-&quot;??_-;_-@_-">
                  <c:v>3.6636540829982724</c:v>
                </c:pt>
              </c:numCache>
            </c:numRef>
          </c:val>
        </c:ser>
        <c:ser>
          <c:idx val="2"/>
          <c:order val="4"/>
          <c:tx>
            <c:strRef>
              <c:f>'A-20'!$A$208</c:f>
              <c:strCache>
                <c:ptCount val="1"/>
                <c:pt idx="0">
                  <c:v>Total with All Escalations</c:v>
                </c:pt>
              </c:strCache>
            </c:strRef>
          </c:tx>
          <c:spPr>
            <a:ln w="38100">
              <a:solidFill>
                <a:srgbClr val="00FF00"/>
              </a:solidFill>
              <a:prstDash val="solid"/>
            </a:ln>
          </c:spPr>
          <c:marker>
            <c:symbol val="none"/>
          </c:marker>
          <c:cat>
            <c:strRef>
              <c:f>('A-20'!$B$202:$H$202,'A-20'!$B$204:$I$204)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('A-20'!$B$200:$H$200,'A-20'!$B$208:$I$208)</c:f>
              <c:numCache>
                <c:formatCode>General</c:formatCode>
                <c:ptCount val="15"/>
                <c:pt idx="7" formatCode="_-* #,##0.0_-;\-* #,##0.0_-;_-* &quot;-&quot;??_-;_-@_-">
                  <c:v>0</c:v>
                </c:pt>
                <c:pt idx="8" formatCode="_-* #,##0.0_-;\-* #,##0.0_-;_-* &quot;-&quot;??_-;_-@_-">
                  <c:v>0</c:v>
                </c:pt>
                <c:pt idx="9" formatCode="_-* #,##0.0_-;\-* #,##0.0_-;_-* &quot;-&quot;??_-;_-@_-">
                  <c:v>3.488</c:v>
                </c:pt>
                <c:pt idx="10" formatCode="_-* #,##0.0_-;\-* #,##0.0_-;_-* &quot;-&quot;??_-;_-@_-">
                  <c:v>3.5913969771832295</c:v>
                </c:pt>
                <c:pt idx="11" formatCode="_-* #,##0.0_-;\-* #,##0.0_-;_-* &quot;-&quot;??_-;_-@_-">
                  <c:v>3.6947760130571741</c:v>
                </c:pt>
                <c:pt idx="12" formatCode="_-* #,##0.0_-;\-* #,##0.0_-;_-* &quot;-&quot;??_-;_-@_-">
                  <c:v>3.8058113152068067</c:v>
                </c:pt>
                <c:pt idx="13" formatCode="_-* #,##0.0_-;\-* #,##0.0_-;_-* &quot;-&quot;??_-;_-@_-">
                  <c:v>3.9236638521109199</c:v>
                </c:pt>
                <c:pt idx="14" formatCode="_-* #,##0.0_-;\-* #,##0.0_-;_-* &quot;-&quot;??_-;_-@_-">
                  <c:v>4.042263681347273</c:v>
                </c:pt>
              </c:numCache>
            </c:numRef>
          </c:val>
        </c:ser>
        <c:marker val="1"/>
        <c:axId val="175422464"/>
        <c:axId val="175178496"/>
      </c:lineChart>
      <c:catAx>
        <c:axId val="17542246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5178496"/>
        <c:crosses val="autoZero"/>
        <c:auto val="1"/>
        <c:lblAlgn val="ctr"/>
        <c:lblOffset val="100"/>
        <c:tickLblSkip val="1"/>
        <c:tickMarkSkip val="1"/>
      </c:catAx>
      <c:valAx>
        <c:axId val="17517849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542246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AU"/>
  <c:chart>
    <c:title>
      <c:tx>
        <c:strRef>
          <c:f>'A-21'!$B$2</c:f>
          <c:strCache>
            <c:ptCount val="1"/>
            <c:pt idx="0">
              <c:v>Apprentice Training</c:v>
            </c:pt>
          </c:strCache>
        </c:strRef>
      </c:tx>
      <c:layout>
        <c:manualLayout>
          <c:xMode val="edge"/>
          <c:yMode val="edge"/>
          <c:x val="0.3805309734513274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'A-21'!$A$203</c:f>
              <c:strCache>
                <c:ptCount val="1"/>
                <c:pt idx="0">
                  <c:v>Historic Expenditure</c:v>
                </c:pt>
              </c:strCache>
            </c:strRef>
          </c:tx>
          <c:spPr>
            <a:ln w="25400">
              <a:solidFill>
                <a:srgbClr val="33CCCC"/>
              </a:solidFill>
              <a:prstDash val="solid"/>
            </a:ln>
          </c:spPr>
          <c:marker>
            <c:symbol val="none"/>
          </c:marker>
          <c:cat>
            <c:strRef>
              <c:f>('A-21'!$B$202:$H$202,'A-21'!$B$204:$I$204)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('A-21'!$B$203:$H$203,'A-21'!$B$205,'A-21'!$C$200:$I$200)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'A-21'!$A$14</c:f>
              <c:strCache>
                <c:ptCount val="1"/>
                <c:pt idx="0">
                  <c:v>Baseline Expenditure</c:v>
                </c:pt>
              </c:strCache>
            </c:strRef>
          </c:tx>
          <c:spPr>
            <a:ln w="25400">
              <a:solidFill>
                <a:srgbClr val="0000FF"/>
              </a:solidFill>
              <a:prstDash val="solid"/>
            </a:ln>
          </c:spPr>
          <c:marker>
            <c:symbol val="none"/>
          </c:marker>
          <c:cat>
            <c:strRef>
              <c:f>('A-21'!$B$202:$H$202,'A-21'!$B$204:$I$204)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('A-21'!$B$200:$H$200,'A-21'!$B$205:$I$205)</c:f>
              <c:numCache>
                <c:formatCode>General</c:formatCode>
                <c:ptCount val="15"/>
                <c:pt idx="7" formatCode="_-* #,##0.0_-;\-* #,##0.0_-;_-* &quot;-&quot;??_-;_-@_-">
                  <c:v>0</c:v>
                </c:pt>
                <c:pt idx="8" formatCode="_-* #,##0.0_-;\-* #,##0.0_-;_-* &quot;-&quot;??_-;_-@_-">
                  <c:v>0</c:v>
                </c:pt>
                <c:pt idx="9" formatCode="_-* #,##0.0_-;\-* #,##0.0_-;_-* &quot;-&quot;??_-;_-@_-">
                  <c:v>1.7000000000000001E-2</c:v>
                </c:pt>
                <c:pt idx="10" formatCode="_-* #,##0.0_-;\-* #,##0.0_-;_-* &quot;-&quot;??_-;_-@_-">
                  <c:v>1.7000000000000001E-2</c:v>
                </c:pt>
                <c:pt idx="11" formatCode="_-* #,##0.0_-;\-* #,##0.0_-;_-* &quot;-&quot;??_-;_-@_-">
                  <c:v>1.7000000000000001E-2</c:v>
                </c:pt>
                <c:pt idx="12" formatCode="_-* #,##0.0_-;\-* #,##0.0_-;_-* &quot;-&quot;??_-;_-@_-">
                  <c:v>1.7000000000000001E-2</c:v>
                </c:pt>
                <c:pt idx="13" formatCode="_-* #,##0.0_-;\-* #,##0.0_-;_-* &quot;-&quot;??_-;_-@_-">
                  <c:v>1.7000000000000001E-2</c:v>
                </c:pt>
                <c:pt idx="14" formatCode="_-* #,##0.0_-;\-* #,##0.0_-;_-* &quot;-&quot;??_-;_-@_-">
                  <c:v>1.7000000000000001E-2</c:v>
                </c:pt>
              </c:numCache>
            </c:numRef>
          </c:val>
        </c:ser>
        <c:ser>
          <c:idx val="0"/>
          <c:order val="2"/>
          <c:tx>
            <c:strRef>
              <c:f>'A-21'!$A$206</c:f>
              <c:strCache>
                <c:ptCount val="1"/>
                <c:pt idx="0">
                  <c:v>Total with Variations</c:v>
                </c:pt>
              </c:strCache>
            </c:strRef>
          </c:tx>
          <c:spPr>
            <a:ln w="25400">
              <a:solidFill>
                <a:srgbClr val="993366"/>
              </a:solidFill>
              <a:prstDash val="solid"/>
            </a:ln>
          </c:spPr>
          <c:marker>
            <c:symbol val="none"/>
          </c:marker>
          <c:cat>
            <c:strRef>
              <c:f>('A-21'!$B$202:$H$202,'A-21'!$B$204:$I$204)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('A-21'!$B$200:$H$200,'A-21'!$B$206:$I$206)</c:f>
              <c:numCache>
                <c:formatCode>General</c:formatCode>
                <c:ptCount val="15"/>
                <c:pt idx="7" formatCode="_-* #,##0.0_-;\-* #,##0.0_-;_-* &quot;-&quot;??_-;_-@_-">
                  <c:v>0</c:v>
                </c:pt>
                <c:pt idx="8" formatCode="_-* #,##0.0_-;\-* #,##0.0_-;_-* &quot;-&quot;??_-;_-@_-">
                  <c:v>0</c:v>
                </c:pt>
                <c:pt idx="9" formatCode="_-* #,##0.0_-;\-* #,##0.0_-;_-* &quot;-&quot;??_-;_-@_-">
                  <c:v>1.7000000000000001E-2</c:v>
                </c:pt>
                <c:pt idx="10" formatCode="_-* #,##0.0_-;\-* #,##0.0_-;_-* &quot;-&quot;??_-;_-@_-">
                  <c:v>1.7000000000000001E-2</c:v>
                </c:pt>
                <c:pt idx="11" formatCode="_-* #,##0.0_-;\-* #,##0.0_-;_-* &quot;-&quot;??_-;_-@_-">
                  <c:v>1.7000000000000001E-2</c:v>
                </c:pt>
                <c:pt idx="12" formatCode="_-* #,##0.0_-;\-* #,##0.0_-;_-* &quot;-&quot;??_-;_-@_-">
                  <c:v>1.7000000000000001E-2</c:v>
                </c:pt>
                <c:pt idx="13" formatCode="_-* #,##0.0_-;\-* #,##0.0_-;_-* &quot;-&quot;??_-;_-@_-">
                  <c:v>1.7000000000000001E-2</c:v>
                </c:pt>
                <c:pt idx="14" formatCode="_-* #,##0.0_-;\-* #,##0.0_-;_-* &quot;-&quot;??_-;_-@_-">
                  <c:v>1.7000000000000001E-2</c:v>
                </c:pt>
              </c:numCache>
            </c:numRef>
          </c:val>
        </c:ser>
        <c:ser>
          <c:idx val="3"/>
          <c:order val="3"/>
          <c:tx>
            <c:strRef>
              <c:f>'A-21'!$A$207</c:f>
              <c:strCache>
                <c:ptCount val="1"/>
                <c:pt idx="0">
                  <c:v>Total with Specific Escalations</c:v>
                </c:pt>
              </c:strCache>
            </c:strRef>
          </c:tx>
          <c:spPr>
            <a:ln w="25400">
              <a:solidFill>
                <a:srgbClr val="FF0000"/>
              </a:solidFill>
              <a:prstDash val="solid"/>
            </a:ln>
          </c:spPr>
          <c:marker>
            <c:symbol val="none"/>
          </c:marker>
          <c:cat>
            <c:strRef>
              <c:f>('A-21'!$B$202:$H$202,'A-21'!$B$204:$I$204)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('A-21'!$B$200:$H$200,'A-21'!$B$207:$I$207)</c:f>
              <c:numCache>
                <c:formatCode>General</c:formatCode>
                <c:ptCount val="15"/>
                <c:pt idx="7" formatCode="_-* #,##0.0_-;\-* #,##0.0_-;_-* &quot;-&quot;??_-;_-@_-">
                  <c:v>0</c:v>
                </c:pt>
                <c:pt idx="8" formatCode="_-* #,##0.0_-;\-* #,##0.0_-;_-* &quot;-&quot;??_-;_-@_-">
                  <c:v>0</c:v>
                </c:pt>
                <c:pt idx="9" formatCode="_-* #,##0.0_-;\-* #,##0.0_-;_-* &quot;-&quot;??_-;_-@_-">
                  <c:v>1.7000000000000001E-2</c:v>
                </c:pt>
                <c:pt idx="10" formatCode="_-* #,##0.0_-;\-* #,##0.0_-;_-* &quot;-&quot;??_-;_-@_-">
                  <c:v>1.7180369290780997E-2</c:v>
                </c:pt>
                <c:pt idx="11" formatCode="_-* #,##0.0_-;\-* #,##0.0_-;_-* &quot;-&quot;??_-;_-@_-">
                  <c:v>1.7347496917101402E-2</c:v>
                </c:pt>
                <c:pt idx="12" formatCode="_-* #,##0.0_-;\-* #,##0.0_-;_-* &quot;-&quot;??_-;_-@_-">
                  <c:v>1.7512700719895621E-2</c:v>
                </c:pt>
                <c:pt idx="13" formatCode="_-* #,##0.0_-;\-* #,##0.0_-;_-* &quot;-&quot;??_-;_-@_-">
                  <c:v>1.7691933577498927E-2</c:v>
                </c:pt>
                <c:pt idx="14" formatCode="_-* #,##0.0_-;\-* #,##0.0_-;_-* &quot;-&quot;??_-;_-@_-">
                  <c:v>1.7856112216448006E-2</c:v>
                </c:pt>
              </c:numCache>
            </c:numRef>
          </c:val>
        </c:ser>
        <c:ser>
          <c:idx val="2"/>
          <c:order val="4"/>
          <c:tx>
            <c:strRef>
              <c:f>'A-21'!$A$208</c:f>
              <c:strCache>
                <c:ptCount val="1"/>
                <c:pt idx="0">
                  <c:v>Total with All Escalations</c:v>
                </c:pt>
              </c:strCache>
            </c:strRef>
          </c:tx>
          <c:spPr>
            <a:ln w="38100">
              <a:solidFill>
                <a:srgbClr val="00FF00"/>
              </a:solidFill>
              <a:prstDash val="solid"/>
            </a:ln>
          </c:spPr>
          <c:marker>
            <c:symbol val="none"/>
          </c:marker>
          <c:cat>
            <c:strRef>
              <c:f>('A-21'!$B$202:$H$202,'A-21'!$B$204:$I$204)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('A-21'!$B$200:$H$200,'A-21'!$B$208:$I$208)</c:f>
              <c:numCache>
                <c:formatCode>General</c:formatCode>
                <c:ptCount val="15"/>
                <c:pt idx="7" formatCode="_-* #,##0.0_-;\-* #,##0.0_-;_-* &quot;-&quot;??_-;_-@_-">
                  <c:v>0</c:v>
                </c:pt>
                <c:pt idx="8" formatCode="_-* #,##0.0_-;\-* #,##0.0_-;_-* &quot;-&quot;??_-;_-@_-">
                  <c:v>0</c:v>
                </c:pt>
                <c:pt idx="9" formatCode="_-* #,##0.0_-;\-* #,##0.0_-;_-* &quot;-&quot;??_-;_-@_-">
                  <c:v>1.7000000000000001E-2</c:v>
                </c:pt>
                <c:pt idx="10" formatCode="_-* #,##0.0_-;\-* #,##0.0_-;_-* &quot;-&quot;??_-;_-@_-">
                  <c:v>1.7494074266719898E-2</c:v>
                </c:pt>
                <c:pt idx="11" formatCode="_-* #,##0.0_-;\-* #,##0.0_-;_-* &quot;-&quot;??_-;_-@_-">
                  <c:v>1.7987639212624817E-2</c:v>
                </c:pt>
                <c:pt idx="12" formatCode="_-* #,##0.0_-;\-* #,##0.0_-;_-* &quot;-&quot;??_-;_-@_-">
                  <c:v>1.8518256220271864E-2</c:v>
                </c:pt>
                <c:pt idx="13" formatCode="_-* #,##0.0_-;\-* #,##0.0_-;_-* &quot;-&quot;??_-;_-@_-">
                  <c:v>1.9081914546546085E-2</c:v>
                </c:pt>
                <c:pt idx="14" formatCode="_-* #,##0.0_-;\-* #,##0.0_-;_-* &quot;-&quot;??_-;_-@_-">
                  <c:v>1.9649198676265137E-2</c:v>
                </c:pt>
              </c:numCache>
            </c:numRef>
          </c:val>
        </c:ser>
        <c:marker val="1"/>
        <c:axId val="175661824"/>
        <c:axId val="175663360"/>
      </c:lineChart>
      <c:catAx>
        <c:axId val="1756618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5663360"/>
        <c:crosses val="autoZero"/>
        <c:auto val="1"/>
        <c:lblAlgn val="ctr"/>
        <c:lblOffset val="100"/>
        <c:tickLblSkip val="1"/>
        <c:tickMarkSkip val="1"/>
      </c:catAx>
      <c:valAx>
        <c:axId val="17566336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56618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AU"/>
  <c:chart>
    <c:title>
      <c:tx>
        <c:strRef>
          <c:f>'A-22'!$B$2</c:f>
          <c:strCache>
            <c:ptCount val="1"/>
            <c:pt idx="0">
              <c:v>Training Centre Management</c:v>
            </c:pt>
          </c:strCache>
        </c:strRef>
      </c:tx>
      <c:layout>
        <c:manualLayout>
          <c:xMode val="edge"/>
          <c:yMode val="edge"/>
          <c:x val="0.3261694058154335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'A-22'!$A$203</c:f>
              <c:strCache>
                <c:ptCount val="1"/>
                <c:pt idx="0">
                  <c:v>Historic Expenditure</c:v>
                </c:pt>
              </c:strCache>
            </c:strRef>
          </c:tx>
          <c:spPr>
            <a:ln w="25400">
              <a:solidFill>
                <a:srgbClr val="33CCCC"/>
              </a:solidFill>
              <a:prstDash val="solid"/>
            </a:ln>
          </c:spPr>
          <c:marker>
            <c:symbol val="none"/>
          </c:marker>
          <c:cat>
            <c:strRef>
              <c:f>('A-22'!$B$202:$H$202,'A-22'!$B$204:$I$204)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('A-22'!$B$203:$H$203,'A-22'!$B$205,'A-22'!$C$200:$I$200)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'A-22'!$A$14</c:f>
              <c:strCache>
                <c:ptCount val="1"/>
                <c:pt idx="0">
                  <c:v>Baseline Expenditure</c:v>
                </c:pt>
              </c:strCache>
            </c:strRef>
          </c:tx>
          <c:spPr>
            <a:ln w="25400">
              <a:solidFill>
                <a:srgbClr val="0000FF"/>
              </a:solidFill>
              <a:prstDash val="solid"/>
            </a:ln>
          </c:spPr>
          <c:marker>
            <c:symbol val="none"/>
          </c:marker>
          <c:cat>
            <c:strRef>
              <c:f>('A-22'!$B$202:$H$202,'A-22'!$B$204:$I$204)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('A-22'!$B$200:$H$200,'A-22'!$B$205:$I$205)</c:f>
              <c:numCache>
                <c:formatCode>General</c:formatCode>
                <c:ptCount val="15"/>
                <c:pt idx="7" formatCode="_-* #,##0.0_-;\-* #,##0.0_-;_-* &quot;-&quot;??_-;_-@_-">
                  <c:v>0</c:v>
                </c:pt>
                <c:pt idx="8" formatCode="_-* #,##0.0_-;\-* #,##0.0_-;_-* &quot;-&quot;??_-;_-@_-">
                  <c:v>0</c:v>
                </c:pt>
                <c:pt idx="9" formatCode="_-* #,##0.0_-;\-* #,##0.0_-;_-* &quot;-&quot;??_-;_-@_-">
                  <c:v>1.0539999999999998</c:v>
                </c:pt>
                <c:pt idx="10" formatCode="_-* #,##0.0_-;\-* #,##0.0_-;_-* &quot;-&quot;??_-;_-@_-">
                  <c:v>1.0539999999999998</c:v>
                </c:pt>
                <c:pt idx="11" formatCode="_-* #,##0.0_-;\-* #,##0.0_-;_-* &quot;-&quot;??_-;_-@_-">
                  <c:v>1.0539999999999998</c:v>
                </c:pt>
                <c:pt idx="12" formatCode="_-* #,##0.0_-;\-* #,##0.0_-;_-* &quot;-&quot;??_-;_-@_-">
                  <c:v>1.0539999999999998</c:v>
                </c:pt>
                <c:pt idx="13" formatCode="_-* #,##0.0_-;\-* #,##0.0_-;_-* &quot;-&quot;??_-;_-@_-">
                  <c:v>1.0539999999999998</c:v>
                </c:pt>
                <c:pt idx="14" formatCode="_-* #,##0.0_-;\-* #,##0.0_-;_-* &quot;-&quot;??_-;_-@_-">
                  <c:v>1.0539999999999998</c:v>
                </c:pt>
              </c:numCache>
            </c:numRef>
          </c:val>
        </c:ser>
        <c:ser>
          <c:idx val="0"/>
          <c:order val="2"/>
          <c:tx>
            <c:strRef>
              <c:f>'A-22'!$A$206</c:f>
              <c:strCache>
                <c:ptCount val="1"/>
                <c:pt idx="0">
                  <c:v>Total with Variations</c:v>
                </c:pt>
              </c:strCache>
            </c:strRef>
          </c:tx>
          <c:spPr>
            <a:ln w="25400">
              <a:solidFill>
                <a:srgbClr val="993366"/>
              </a:solidFill>
              <a:prstDash val="solid"/>
            </a:ln>
          </c:spPr>
          <c:marker>
            <c:symbol val="none"/>
          </c:marker>
          <c:cat>
            <c:strRef>
              <c:f>('A-22'!$B$202:$H$202,'A-22'!$B$204:$I$204)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('A-22'!$B$200:$H$200,'A-22'!$B$206:$I$206)</c:f>
              <c:numCache>
                <c:formatCode>General</c:formatCode>
                <c:ptCount val="15"/>
                <c:pt idx="7" formatCode="_-* #,##0.0_-;\-* #,##0.0_-;_-* &quot;-&quot;??_-;_-@_-">
                  <c:v>0</c:v>
                </c:pt>
                <c:pt idx="8" formatCode="_-* #,##0.0_-;\-* #,##0.0_-;_-* &quot;-&quot;??_-;_-@_-">
                  <c:v>0</c:v>
                </c:pt>
                <c:pt idx="9" formatCode="_-* #,##0.0_-;\-* #,##0.0_-;_-* &quot;-&quot;??_-;_-@_-">
                  <c:v>1.0539999999999998</c:v>
                </c:pt>
                <c:pt idx="10" formatCode="_-* #,##0.0_-;\-* #,##0.0_-;_-* &quot;-&quot;??_-;_-@_-">
                  <c:v>1.0539999999999998</c:v>
                </c:pt>
                <c:pt idx="11" formatCode="_-* #,##0.0_-;\-* #,##0.0_-;_-* &quot;-&quot;??_-;_-@_-">
                  <c:v>1.0539999999999998</c:v>
                </c:pt>
                <c:pt idx="12" formatCode="_-* #,##0.0_-;\-* #,##0.0_-;_-* &quot;-&quot;??_-;_-@_-">
                  <c:v>1.0539999999999998</c:v>
                </c:pt>
                <c:pt idx="13" formatCode="_-* #,##0.0_-;\-* #,##0.0_-;_-* &quot;-&quot;??_-;_-@_-">
                  <c:v>1.0539999999999998</c:v>
                </c:pt>
                <c:pt idx="14" formatCode="_-* #,##0.0_-;\-* #,##0.0_-;_-* &quot;-&quot;??_-;_-@_-">
                  <c:v>1.0539999999999998</c:v>
                </c:pt>
              </c:numCache>
            </c:numRef>
          </c:val>
        </c:ser>
        <c:ser>
          <c:idx val="3"/>
          <c:order val="3"/>
          <c:tx>
            <c:strRef>
              <c:f>'A-22'!$A$207</c:f>
              <c:strCache>
                <c:ptCount val="1"/>
                <c:pt idx="0">
                  <c:v>Total with Specific Escalations</c:v>
                </c:pt>
              </c:strCache>
            </c:strRef>
          </c:tx>
          <c:spPr>
            <a:ln w="25400">
              <a:solidFill>
                <a:srgbClr val="FF0000"/>
              </a:solidFill>
              <a:prstDash val="solid"/>
            </a:ln>
          </c:spPr>
          <c:marker>
            <c:symbol val="none"/>
          </c:marker>
          <c:cat>
            <c:strRef>
              <c:f>('A-22'!$B$202:$H$202,'A-22'!$B$204:$I$204)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('A-22'!$B$200:$H$200,'A-22'!$B$207:$I$207)</c:f>
              <c:numCache>
                <c:formatCode>General</c:formatCode>
                <c:ptCount val="15"/>
                <c:pt idx="7" formatCode="_-* #,##0.0_-;\-* #,##0.0_-;_-* &quot;-&quot;??_-;_-@_-">
                  <c:v>0</c:v>
                </c:pt>
                <c:pt idx="8" formatCode="_-* #,##0.0_-;\-* #,##0.0_-;_-* &quot;-&quot;??_-;_-@_-">
                  <c:v>0</c:v>
                </c:pt>
                <c:pt idx="9" formatCode="_-* #,##0.0_-;\-* #,##0.0_-;_-* &quot;-&quot;??_-;_-@_-">
                  <c:v>1.0539999999999998</c:v>
                </c:pt>
                <c:pt idx="10" formatCode="_-* #,##0.0_-;\-* #,##0.0_-;_-* &quot;-&quot;??_-;_-@_-">
                  <c:v>1.0651828960284218</c:v>
                </c:pt>
                <c:pt idx="11" formatCode="_-* #,##0.0_-;\-* #,##0.0_-;_-* &quot;-&quot;??_-;_-@_-">
                  <c:v>1.0755448088602866</c:v>
                </c:pt>
                <c:pt idx="12" formatCode="_-* #,##0.0_-;\-* #,##0.0_-;_-* &quot;-&quot;??_-;_-@_-">
                  <c:v>1.0857874446335283</c:v>
                </c:pt>
                <c:pt idx="13" formatCode="_-* #,##0.0_-;\-* #,##0.0_-;_-* &quot;-&quot;??_-;_-@_-">
                  <c:v>1.0968998818049334</c:v>
                </c:pt>
                <c:pt idx="14" formatCode="_-* #,##0.0_-;\-* #,##0.0_-;_-* &quot;-&quot;??_-;_-@_-">
                  <c:v>1.1070789574197759</c:v>
                </c:pt>
              </c:numCache>
            </c:numRef>
          </c:val>
        </c:ser>
        <c:ser>
          <c:idx val="2"/>
          <c:order val="4"/>
          <c:tx>
            <c:strRef>
              <c:f>'A-22'!$A$208</c:f>
              <c:strCache>
                <c:ptCount val="1"/>
                <c:pt idx="0">
                  <c:v>Total with All Escalations</c:v>
                </c:pt>
              </c:strCache>
            </c:strRef>
          </c:tx>
          <c:spPr>
            <a:ln w="38100">
              <a:solidFill>
                <a:srgbClr val="00FF00"/>
              </a:solidFill>
              <a:prstDash val="solid"/>
            </a:ln>
          </c:spPr>
          <c:marker>
            <c:symbol val="none"/>
          </c:marker>
          <c:cat>
            <c:strRef>
              <c:f>('A-22'!$B$202:$H$202,'A-22'!$B$204:$I$204)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('A-22'!$B$200:$H$200,'A-22'!$B$208:$I$208)</c:f>
              <c:numCache>
                <c:formatCode>General</c:formatCode>
                <c:ptCount val="15"/>
                <c:pt idx="7" formatCode="_-* #,##0.0_-;\-* #,##0.0_-;_-* &quot;-&quot;??_-;_-@_-">
                  <c:v>0</c:v>
                </c:pt>
                <c:pt idx="8" formatCode="_-* #,##0.0_-;\-* #,##0.0_-;_-* &quot;-&quot;??_-;_-@_-">
                  <c:v>0</c:v>
                </c:pt>
                <c:pt idx="9" formatCode="_-* #,##0.0_-;\-* #,##0.0_-;_-* &quot;-&quot;??_-;_-@_-">
                  <c:v>1.0539999999999998</c:v>
                </c:pt>
                <c:pt idx="10" formatCode="_-* #,##0.0_-;\-* #,##0.0_-;_-* &quot;-&quot;??_-;_-@_-">
                  <c:v>1.0873357247591739</c:v>
                </c:pt>
                <c:pt idx="11" formatCode="_-* #,##0.0_-;\-* #,##0.0_-;_-* &quot;-&quot;??_-;_-@_-">
                  <c:v>1.1207554808095226</c:v>
                </c:pt>
                <c:pt idx="12" formatCode="_-* #,##0.0_-;\-* #,##0.0_-;_-* &quot;-&quot;??_-;_-@_-">
                  <c:v>1.1565429083388887</c:v>
                </c:pt>
                <c:pt idx="13" formatCode="_-* #,##0.0_-;\-* #,##0.0_-;_-* &quot;-&quot;??_-;_-@_-">
                  <c:v>1.1944288032015975</c:v>
                </c:pt>
                <c:pt idx="14" formatCode="_-* #,##0.0_-;\-* #,##0.0_-;_-* &quot;-&quot;??_-;_-@_-">
                  <c:v>1.2325429619466826</c:v>
                </c:pt>
              </c:numCache>
            </c:numRef>
          </c:val>
        </c:ser>
        <c:marker val="1"/>
        <c:axId val="177342720"/>
        <c:axId val="177352704"/>
      </c:lineChart>
      <c:catAx>
        <c:axId val="17734272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7352704"/>
        <c:crosses val="autoZero"/>
        <c:auto val="1"/>
        <c:lblAlgn val="ctr"/>
        <c:lblOffset val="100"/>
        <c:tickLblSkip val="1"/>
        <c:tickMarkSkip val="1"/>
      </c:catAx>
      <c:valAx>
        <c:axId val="17735270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734272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AU"/>
  <c:chart>
    <c:title>
      <c:tx>
        <c:strRef>
          <c:f>'A-23'!$B$2</c:f>
          <c:strCache>
            <c:ptCount val="1"/>
            <c:pt idx="0">
              <c:v>Information Technology</c:v>
            </c:pt>
          </c:strCache>
        </c:strRef>
      </c:tx>
      <c:layout>
        <c:manualLayout>
          <c:xMode val="edge"/>
          <c:yMode val="edge"/>
          <c:x val="0.3565107458912849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'A-23'!$A$203</c:f>
              <c:strCache>
                <c:ptCount val="1"/>
                <c:pt idx="0">
                  <c:v>Historic Expenditure</c:v>
                </c:pt>
              </c:strCache>
            </c:strRef>
          </c:tx>
          <c:spPr>
            <a:ln w="25400">
              <a:solidFill>
                <a:srgbClr val="33CCCC"/>
              </a:solidFill>
              <a:prstDash val="solid"/>
            </a:ln>
          </c:spPr>
          <c:marker>
            <c:symbol val="none"/>
          </c:marker>
          <c:cat>
            <c:strRef>
              <c:f>('A-23'!$B$202:$H$202,'A-23'!$B$204:$I$204)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('A-23'!$B$203:$H$203,'A-23'!$B$205,'A-23'!$C$200:$I$200)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'A-23'!$A$14</c:f>
              <c:strCache>
                <c:ptCount val="1"/>
                <c:pt idx="0">
                  <c:v>Baseline Expenditure</c:v>
                </c:pt>
              </c:strCache>
            </c:strRef>
          </c:tx>
          <c:spPr>
            <a:ln w="25400">
              <a:solidFill>
                <a:srgbClr val="0000FF"/>
              </a:solidFill>
              <a:prstDash val="solid"/>
            </a:ln>
          </c:spPr>
          <c:marker>
            <c:symbol val="none"/>
          </c:marker>
          <c:cat>
            <c:strRef>
              <c:f>('A-23'!$B$202:$H$202,'A-23'!$B$204:$I$204)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('A-23'!$B$200:$H$200,'A-23'!$B$205:$I$205)</c:f>
              <c:numCache>
                <c:formatCode>General</c:formatCode>
                <c:ptCount val="15"/>
                <c:pt idx="7" formatCode="_-* #,##0.0_-;\-* #,##0.0_-;_-* &quot;-&quot;??_-;_-@_-">
                  <c:v>0</c:v>
                </c:pt>
                <c:pt idx="8" formatCode="_-* #,##0.0_-;\-* #,##0.0_-;_-* &quot;-&quot;??_-;_-@_-">
                  <c:v>0</c:v>
                </c:pt>
                <c:pt idx="9" formatCode="_-* #,##0.0_-;\-* #,##0.0_-;_-* &quot;-&quot;??_-;_-@_-">
                  <c:v>15.356999999999996</c:v>
                </c:pt>
                <c:pt idx="10" formatCode="_-* #,##0.0_-;\-* #,##0.0_-;_-* &quot;-&quot;??_-;_-@_-">
                  <c:v>15.356999999999996</c:v>
                </c:pt>
                <c:pt idx="11" formatCode="_-* #,##0.0_-;\-* #,##0.0_-;_-* &quot;-&quot;??_-;_-@_-">
                  <c:v>15.356999999999996</c:v>
                </c:pt>
                <c:pt idx="12" formatCode="_-* #,##0.0_-;\-* #,##0.0_-;_-* &quot;-&quot;??_-;_-@_-">
                  <c:v>15.356999999999996</c:v>
                </c:pt>
                <c:pt idx="13" formatCode="_-* #,##0.0_-;\-* #,##0.0_-;_-* &quot;-&quot;??_-;_-@_-">
                  <c:v>15.356999999999996</c:v>
                </c:pt>
                <c:pt idx="14" formatCode="_-* #,##0.0_-;\-* #,##0.0_-;_-* &quot;-&quot;??_-;_-@_-">
                  <c:v>15.356999999999996</c:v>
                </c:pt>
              </c:numCache>
            </c:numRef>
          </c:val>
        </c:ser>
        <c:ser>
          <c:idx val="0"/>
          <c:order val="2"/>
          <c:tx>
            <c:strRef>
              <c:f>'A-23'!$A$206</c:f>
              <c:strCache>
                <c:ptCount val="1"/>
                <c:pt idx="0">
                  <c:v>Total with Variations</c:v>
                </c:pt>
              </c:strCache>
            </c:strRef>
          </c:tx>
          <c:spPr>
            <a:ln w="25400">
              <a:solidFill>
                <a:srgbClr val="993366"/>
              </a:solidFill>
              <a:prstDash val="solid"/>
            </a:ln>
          </c:spPr>
          <c:marker>
            <c:symbol val="none"/>
          </c:marker>
          <c:cat>
            <c:strRef>
              <c:f>('A-23'!$B$202:$H$202,'A-23'!$B$204:$I$204)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('A-23'!$B$200:$H$200,'A-23'!$B$206:$I$206)</c:f>
              <c:numCache>
                <c:formatCode>General</c:formatCode>
                <c:ptCount val="15"/>
                <c:pt idx="7" formatCode="_-* #,##0.0_-;\-* #,##0.0_-;_-* &quot;-&quot;??_-;_-@_-">
                  <c:v>0</c:v>
                </c:pt>
                <c:pt idx="8" formatCode="_-* #,##0.0_-;\-* #,##0.0_-;_-* &quot;-&quot;??_-;_-@_-">
                  <c:v>0</c:v>
                </c:pt>
                <c:pt idx="9" formatCode="_-* #,##0.0_-;\-* #,##0.0_-;_-* &quot;-&quot;??_-;_-@_-">
                  <c:v>17.169851136659595</c:v>
                </c:pt>
                <c:pt idx="10" formatCode="_-* #,##0.0_-;\-* #,##0.0_-;_-* &quot;-&quot;??_-;_-@_-">
                  <c:v>18.063999999999997</c:v>
                </c:pt>
                <c:pt idx="11" formatCode="_-* #,##0.0_-;\-* #,##0.0_-;_-* &quot;-&quot;??_-;_-@_-">
                  <c:v>18.407999999999998</c:v>
                </c:pt>
                <c:pt idx="12" formatCode="_-* #,##0.0_-;\-* #,##0.0_-;_-* &quot;-&quot;??_-;_-@_-">
                  <c:v>19.572999999999997</c:v>
                </c:pt>
                <c:pt idx="13" formatCode="_-* #,##0.0_-;\-* #,##0.0_-;_-* &quot;-&quot;??_-;_-@_-">
                  <c:v>19.722999999999999</c:v>
                </c:pt>
                <c:pt idx="14" formatCode="_-* #,##0.0_-;\-* #,##0.0_-;_-* &quot;-&quot;??_-;_-@_-">
                  <c:v>19.777999999999999</c:v>
                </c:pt>
              </c:numCache>
            </c:numRef>
          </c:val>
        </c:ser>
        <c:ser>
          <c:idx val="3"/>
          <c:order val="3"/>
          <c:tx>
            <c:strRef>
              <c:f>'A-23'!$A$207</c:f>
              <c:strCache>
                <c:ptCount val="1"/>
                <c:pt idx="0">
                  <c:v>Total with Specific Escalations</c:v>
                </c:pt>
              </c:strCache>
            </c:strRef>
          </c:tx>
          <c:spPr>
            <a:ln w="25400">
              <a:solidFill>
                <a:srgbClr val="FF0000"/>
              </a:solidFill>
              <a:prstDash val="solid"/>
            </a:ln>
          </c:spPr>
          <c:marker>
            <c:symbol val="none"/>
          </c:marker>
          <c:cat>
            <c:strRef>
              <c:f>('A-23'!$B$202:$H$202,'A-23'!$B$204:$I$204)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('A-23'!$B$200:$H$200,'A-23'!$B$207:$I$207)</c:f>
              <c:numCache>
                <c:formatCode>General</c:formatCode>
                <c:ptCount val="15"/>
                <c:pt idx="7" formatCode="_-* #,##0.0_-;\-* #,##0.0_-;_-* &quot;-&quot;??_-;_-@_-">
                  <c:v>0</c:v>
                </c:pt>
                <c:pt idx="8" formatCode="_-* #,##0.0_-;\-* #,##0.0_-;_-* &quot;-&quot;??_-;_-@_-">
                  <c:v>0</c:v>
                </c:pt>
                <c:pt idx="9" formatCode="_-* #,##0.0_-;\-* #,##0.0_-;_-* &quot;-&quot;??_-;_-@_-">
                  <c:v>17.169851136659595</c:v>
                </c:pt>
                <c:pt idx="10" formatCode="_-* #,##0.0_-;\-* #,##0.0_-;_-* &quot;-&quot;??_-;_-@_-">
                  <c:v>18.226937129324924</c:v>
                </c:pt>
                <c:pt idx="11" formatCode="_-* #,##0.0_-;\-* #,##0.0_-;_-* &quot;-&quot;??_-;_-@_-">
                  <c:v>18.721912362113304</c:v>
                </c:pt>
                <c:pt idx="12" formatCode="_-* #,##0.0_-;\-* #,##0.0_-;_-* &quot;-&quot;??_-;_-@_-">
                  <c:v>20.036149703260996</c:v>
                </c:pt>
                <c:pt idx="13" formatCode="_-* #,##0.0_-;\-* #,##0.0_-;_-* &quot;-&quot;??_-;_-@_-">
                  <c:v>20.348060232332411</c:v>
                </c:pt>
                <c:pt idx="14" formatCode="_-* #,##0.0_-;\-* #,##0.0_-;_-* &quot;-&quot;??_-;_-@_-">
                  <c:v>20.55137148870541</c:v>
                </c:pt>
              </c:numCache>
            </c:numRef>
          </c:val>
        </c:ser>
        <c:ser>
          <c:idx val="2"/>
          <c:order val="4"/>
          <c:tx>
            <c:strRef>
              <c:f>'A-23'!$A$208</c:f>
              <c:strCache>
                <c:ptCount val="1"/>
                <c:pt idx="0">
                  <c:v>Total with All Escalations</c:v>
                </c:pt>
              </c:strCache>
            </c:strRef>
          </c:tx>
          <c:spPr>
            <a:ln w="38100">
              <a:solidFill>
                <a:srgbClr val="00FF00"/>
              </a:solidFill>
              <a:prstDash val="solid"/>
            </a:ln>
          </c:spPr>
          <c:marker>
            <c:symbol val="none"/>
          </c:marker>
          <c:cat>
            <c:strRef>
              <c:f>('A-23'!$B$202:$H$202,'A-23'!$B$204:$I$204)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('A-23'!$B$200:$H$200,'A-23'!$B$208:$I$208)</c:f>
              <c:numCache>
                <c:formatCode>General</c:formatCode>
                <c:ptCount val="15"/>
                <c:pt idx="7" formatCode="_-* #,##0.0_-;\-* #,##0.0_-;_-* &quot;-&quot;??_-;_-@_-">
                  <c:v>0</c:v>
                </c:pt>
                <c:pt idx="8" formatCode="_-* #,##0.0_-;\-* #,##0.0_-;_-* &quot;-&quot;??_-;_-@_-">
                  <c:v>0</c:v>
                </c:pt>
                <c:pt idx="9" formatCode="_-* #,##0.0_-;\-* #,##0.0_-;_-* &quot;-&quot;??_-;_-@_-">
                  <c:v>17.169851136659595</c:v>
                </c:pt>
                <c:pt idx="10" formatCode="_-* #,##0.0_-;\-* #,##0.0_-;_-* &quot;-&quot;??_-;_-@_-">
                  <c:v>18.445855630784624</c:v>
                </c:pt>
                <c:pt idx="11" formatCode="_-* #,##0.0_-;\-* #,##0.0_-;_-* &quot;-&quot;??_-;_-@_-">
                  <c:v>19.168215900664347</c:v>
                </c:pt>
                <c:pt idx="12" formatCode="_-* #,##0.0_-;\-* #,##0.0_-;_-* &quot;-&quot;??_-;_-@_-">
                  <c:v>20.755880045159813</c:v>
                </c:pt>
                <c:pt idx="13" formatCode="_-* #,##0.0_-;\-* #,##0.0_-;_-* &quot;-&quot;??_-;_-@_-">
                  <c:v>21.362572821019867</c:v>
                </c:pt>
                <c:pt idx="14" formatCode="_-* #,##0.0_-;\-* #,##0.0_-;_-* &quot;-&quot;??_-;_-@_-">
                  <c:v>21.884883826773667</c:v>
                </c:pt>
              </c:numCache>
            </c:numRef>
          </c:val>
        </c:ser>
        <c:marker val="1"/>
        <c:axId val="177643520"/>
        <c:axId val="177645056"/>
      </c:lineChart>
      <c:catAx>
        <c:axId val="17764352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7645056"/>
        <c:crosses val="autoZero"/>
        <c:auto val="1"/>
        <c:lblAlgn val="ctr"/>
        <c:lblOffset val="100"/>
        <c:tickLblSkip val="1"/>
        <c:tickMarkSkip val="1"/>
      </c:catAx>
      <c:valAx>
        <c:axId val="1776450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764352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AU"/>
  <c:chart>
    <c:title>
      <c:tx>
        <c:strRef>
          <c:f>'A-24'!$B$2</c:f>
          <c:strCache>
            <c:ptCount val="1"/>
            <c:pt idx="0">
              <c:v>Property – Offices and Depots</c:v>
            </c:pt>
          </c:strCache>
        </c:strRef>
      </c:tx>
      <c:spPr>
        <a:noFill/>
        <a:ln w="25400">
          <a:noFill/>
        </a:ln>
      </c:spPr>
      <c:txPr>
        <a:bodyPr/>
        <a:lstStyle/>
        <a:p>
          <a:pPr>
            <a:defRPr sz="300" b="1" i="0" u="none" strike="noStrike" baseline="0">
              <a:solidFill>
                <a:srgbClr val="000000"/>
              </a:solidFill>
              <a:latin typeface="Arial"/>
              <a:ea typeface="Arial"/>
              <a:cs typeface="Arial"/>
            </a:defRPr>
          </a:pPr>
          <a:endParaRPr lang="en-US"/>
        </a:p>
      </c:txPr>
    </c:title>
    <c:plotArea>
      <c:layout/>
      <c:lineChart>
        <c:grouping val="standard"/>
        <c:ser>
          <c:idx val="4"/>
          <c:order val="0"/>
          <c:tx>
            <c:strRef>
              <c:f>'A-24'!$A$203</c:f>
              <c:strCache>
                <c:ptCount val="1"/>
                <c:pt idx="0">
                  <c:v>Historic Expenditure</c:v>
                </c:pt>
              </c:strCache>
            </c:strRef>
          </c:tx>
          <c:spPr>
            <a:ln w="25400">
              <a:solidFill>
                <a:srgbClr val="33CCCC"/>
              </a:solidFill>
              <a:prstDash val="solid"/>
            </a:ln>
          </c:spPr>
          <c:marker>
            <c:symbol val="none"/>
          </c:marker>
          <c:cat>
            <c:strRef>
              <c:f>('A-24'!$B$202:$H$202,'A-24'!$B$204:$I$204)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('A-24'!$B$203:$H$203,'A-24'!$B$205,'A-24'!$C$200:$I$200)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'A-24'!$A$14</c:f>
              <c:strCache>
                <c:ptCount val="1"/>
                <c:pt idx="0">
                  <c:v>Baseline Expenditure</c:v>
                </c:pt>
              </c:strCache>
            </c:strRef>
          </c:tx>
          <c:spPr>
            <a:ln w="25400">
              <a:solidFill>
                <a:srgbClr val="0000FF"/>
              </a:solidFill>
              <a:prstDash val="solid"/>
            </a:ln>
          </c:spPr>
          <c:marker>
            <c:symbol val="none"/>
          </c:marker>
          <c:cat>
            <c:strRef>
              <c:f>('A-24'!$B$202:$H$202,'A-24'!$B$204:$I$204)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('A-24'!$B$200:$H$200,'A-24'!$B$205:$I$205)</c:f>
              <c:numCache>
                <c:formatCode>General</c:formatCode>
                <c:ptCount val="15"/>
                <c:pt idx="7" formatCode="_-* #,##0.0_-;\-* #,##0.0_-;_-* &quot;-&quot;??_-;_-@_-">
                  <c:v>0</c:v>
                </c:pt>
                <c:pt idx="8" formatCode="_-* #,##0.0_-;\-* #,##0.0_-;_-* &quot;-&quot;??_-;_-@_-">
                  <c:v>0</c:v>
                </c:pt>
                <c:pt idx="9" formatCode="_-* #,##0.0_-;\-* #,##0.0_-;_-* &quot;-&quot;??_-;_-@_-">
                  <c:v>3.4620000000000002</c:v>
                </c:pt>
                <c:pt idx="10" formatCode="_-* #,##0.0_-;\-* #,##0.0_-;_-* &quot;-&quot;??_-;_-@_-">
                  <c:v>3.4620000000000002</c:v>
                </c:pt>
                <c:pt idx="11" formatCode="_-* #,##0.0_-;\-* #,##0.0_-;_-* &quot;-&quot;??_-;_-@_-">
                  <c:v>3.4620000000000002</c:v>
                </c:pt>
                <c:pt idx="12" formatCode="_-* #,##0.0_-;\-* #,##0.0_-;_-* &quot;-&quot;??_-;_-@_-">
                  <c:v>3.4620000000000002</c:v>
                </c:pt>
                <c:pt idx="13" formatCode="_-* #,##0.0_-;\-* #,##0.0_-;_-* &quot;-&quot;??_-;_-@_-">
                  <c:v>3.4620000000000002</c:v>
                </c:pt>
                <c:pt idx="14" formatCode="_-* #,##0.0_-;\-* #,##0.0_-;_-* &quot;-&quot;??_-;_-@_-">
                  <c:v>3.4620000000000002</c:v>
                </c:pt>
              </c:numCache>
            </c:numRef>
          </c:val>
        </c:ser>
        <c:ser>
          <c:idx val="0"/>
          <c:order val="2"/>
          <c:tx>
            <c:strRef>
              <c:f>'A-24'!$A$206</c:f>
              <c:strCache>
                <c:ptCount val="1"/>
                <c:pt idx="0">
                  <c:v>Total with Variations</c:v>
                </c:pt>
              </c:strCache>
            </c:strRef>
          </c:tx>
          <c:spPr>
            <a:ln w="25400">
              <a:solidFill>
                <a:srgbClr val="993366"/>
              </a:solidFill>
              <a:prstDash val="solid"/>
            </a:ln>
          </c:spPr>
          <c:marker>
            <c:symbol val="none"/>
          </c:marker>
          <c:cat>
            <c:strRef>
              <c:f>('A-24'!$B$202:$H$202,'A-24'!$B$204:$I$204)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('A-24'!$B$200:$H$200,'A-24'!$B$206:$I$206)</c:f>
              <c:numCache>
                <c:formatCode>General</c:formatCode>
                <c:ptCount val="15"/>
                <c:pt idx="7" formatCode="_-* #,##0.0_-;\-* #,##0.0_-;_-* &quot;-&quot;??_-;_-@_-">
                  <c:v>0</c:v>
                </c:pt>
                <c:pt idx="8" formatCode="_-* #,##0.0_-;\-* #,##0.0_-;_-* &quot;-&quot;??_-;_-@_-">
                  <c:v>0</c:v>
                </c:pt>
                <c:pt idx="9" formatCode="_-* #,##0.0_-;\-* #,##0.0_-;_-* &quot;-&quot;??_-;_-@_-">
                  <c:v>3.4620000000000002</c:v>
                </c:pt>
                <c:pt idx="10" formatCode="_-* #,##0.0_-;\-* #,##0.0_-;_-* &quot;-&quot;??_-;_-@_-">
                  <c:v>3.4620000000000002</c:v>
                </c:pt>
                <c:pt idx="11" formatCode="_-* #,##0.0_-;\-* #,##0.0_-;_-* &quot;-&quot;??_-;_-@_-">
                  <c:v>3.4620000000000002</c:v>
                </c:pt>
                <c:pt idx="12" formatCode="_-* #,##0.0_-;\-* #,##0.0_-;_-* &quot;-&quot;??_-;_-@_-">
                  <c:v>3.4620000000000002</c:v>
                </c:pt>
                <c:pt idx="13" formatCode="_-* #,##0.0_-;\-* #,##0.0_-;_-* &quot;-&quot;??_-;_-@_-">
                  <c:v>3.4620000000000002</c:v>
                </c:pt>
                <c:pt idx="14" formatCode="_-* #,##0.0_-;\-* #,##0.0_-;_-* &quot;-&quot;??_-;_-@_-">
                  <c:v>3.4620000000000002</c:v>
                </c:pt>
              </c:numCache>
            </c:numRef>
          </c:val>
        </c:ser>
        <c:ser>
          <c:idx val="3"/>
          <c:order val="3"/>
          <c:tx>
            <c:strRef>
              <c:f>'A-24'!$A$207</c:f>
              <c:strCache>
                <c:ptCount val="1"/>
                <c:pt idx="0">
                  <c:v>Total with Specific Escalations</c:v>
                </c:pt>
              </c:strCache>
            </c:strRef>
          </c:tx>
          <c:spPr>
            <a:ln w="25400">
              <a:solidFill>
                <a:srgbClr val="FF0000"/>
              </a:solidFill>
              <a:prstDash val="solid"/>
            </a:ln>
          </c:spPr>
          <c:marker>
            <c:symbol val="none"/>
          </c:marker>
          <c:cat>
            <c:strRef>
              <c:f>('A-24'!$B$202:$H$202,'A-24'!$B$204:$I$204)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('A-24'!$B$200:$H$200,'A-24'!$B$207:$I$207)</c:f>
              <c:numCache>
                <c:formatCode>General</c:formatCode>
                <c:ptCount val="15"/>
                <c:pt idx="7" formatCode="_-* #,##0.0_-;\-* #,##0.0_-;_-* &quot;-&quot;??_-;_-@_-">
                  <c:v>0</c:v>
                </c:pt>
                <c:pt idx="8" formatCode="_-* #,##0.0_-;\-* #,##0.0_-;_-* &quot;-&quot;??_-;_-@_-">
                  <c:v>0</c:v>
                </c:pt>
                <c:pt idx="9" formatCode="_-* #,##0.0_-;\-* #,##0.0_-;_-* &quot;-&quot;??_-;_-@_-">
                  <c:v>3.4620000000000002</c:v>
                </c:pt>
                <c:pt idx="10" formatCode="_-* #,##0.0_-;\-* #,##0.0_-;_-* &quot;-&quot;??_-;_-@_-">
                  <c:v>3.498731675569636</c:v>
                </c:pt>
                <c:pt idx="11" formatCode="_-* #,##0.0_-;\-* #,##0.0_-;_-* &quot;-&quot;??_-;_-@_-">
                  <c:v>3.532766725117944</c:v>
                </c:pt>
                <c:pt idx="12" formatCode="_-* #,##0.0_-;\-* #,##0.0_-;_-* &quot;-&quot;??_-;_-@_-">
                  <c:v>3.566409993663449</c:v>
                </c:pt>
                <c:pt idx="13" formatCode="_-* #,##0.0_-;\-* #,##0.0_-;_-* &quot;-&quot;??_-;_-@_-">
                  <c:v>3.6029102379588993</c:v>
                </c:pt>
                <c:pt idx="14" formatCode="_-* #,##0.0_-;\-* #,##0.0_-;_-* &quot;-&quot;??_-;_-@_-">
                  <c:v>3.6363447349025289</c:v>
                </c:pt>
              </c:numCache>
            </c:numRef>
          </c:val>
        </c:ser>
        <c:ser>
          <c:idx val="2"/>
          <c:order val="4"/>
          <c:tx>
            <c:strRef>
              <c:f>'A-24'!$A$208</c:f>
              <c:strCache>
                <c:ptCount val="1"/>
                <c:pt idx="0">
                  <c:v>Total with All Escalations</c:v>
                </c:pt>
              </c:strCache>
            </c:strRef>
          </c:tx>
          <c:spPr>
            <a:ln w="38100">
              <a:solidFill>
                <a:srgbClr val="00FF00"/>
              </a:solidFill>
              <a:prstDash val="solid"/>
            </a:ln>
          </c:spPr>
          <c:marker>
            <c:symbol val="none"/>
          </c:marker>
          <c:cat>
            <c:strRef>
              <c:f>('A-24'!$B$202:$H$202,'A-24'!$B$204:$I$204)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('A-24'!$B$200:$H$200,'A-24'!$B$208:$I$208)</c:f>
              <c:numCache>
                <c:formatCode>General</c:formatCode>
                <c:ptCount val="15"/>
                <c:pt idx="7" formatCode="_-* #,##0.0_-;\-* #,##0.0_-;_-* &quot;-&quot;??_-;_-@_-">
                  <c:v>0</c:v>
                </c:pt>
                <c:pt idx="8" formatCode="_-* #,##0.0_-;\-* #,##0.0_-;_-* &quot;-&quot;??_-;_-@_-">
                  <c:v>0</c:v>
                </c:pt>
                <c:pt idx="9" formatCode="_-* #,##0.0_-;\-* #,##0.0_-;_-* &quot;-&quot;??_-;_-@_-">
                  <c:v>3.4620000000000002</c:v>
                </c:pt>
                <c:pt idx="10" formatCode="_-* #,##0.0_-;\-* #,##0.0_-;_-* &quot;-&quot;??_-;_-@_-">
                  <c:v>3.4625039583714932</c:v>
                </c:pt>
                <c:pt idx="11" formatCode="_-* #,##0.0_-;\-* #,##0.0_-;_-* &quot;-&quot;??_-;_-@_-">
                  <c:v>3.4582822540222642</c:v>
                </c:pt>
                <c:pt idx="12" formatCode="_-* #,##0.0_-;\-* #,##0.0_-;_-* &quot;-&quot;??_-;_-@_-">
                  <c:v>3.4743082867245949</c:v>
                </c:pt>
                <c:pt idx="13" formatCode="_-* #,##0.0_-;\-* #,##0.0_-;_-* &quot;-&quot;??_-;_-@_-">
                  <c:v>3.5017867830732943</c:v>
                </c:pt>
                <c:pt idx="14" formatCode="_-* #,##0.0_-;\-* #,##0.0_-;_-* &quot;-&quot;??_-;_-@_-">
                  <c:v>3.5389614372518396</c:v>
                </c:pt>
              </c:numCache>
            </c:numRef>
          </c:val>
        </c:ser>
        <c:marker val="1"/>
        <c:axId val="176110976"/>
        <c:axId val="176125056"/>
      </c:lineChart>
      <c:catAx>
        <c:axId val="176110976"/>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6125056"/>
        <c:crosses val="autoZero"/>
        <c:auto val="1"/>
        <c:lblAlgn val="ctr"/>
        <c:lblOffset val="100"/>
        <c:tickLblSkip val="1"/>
        <c:tickMarkSkip val="1"/>
      </c:catAx>
      <c:valAx>
        <c:axId val="176125056"/>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6110976"/>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AU"/>
  <c:chart>
    <c:title>
      <c:tx>
        <c:strRef>
          <c:f>'A-25'!$B$2</c:f>
          <c:strCache>
            <c:ptCount val="1"/>
            <c:pt idx="0">
              <c:v>Property – DLC Land Tax</c:v>
            </c:pt>
          </c:strCache>
        </c:strRef>
      </c:tx>
      <c:layout>
        <c:manualLayout>
          <c:xMode val="edge"/>
          <c:yMode val="edge"/>
          <c:x val="0.34892541087231382"/>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'A-25'!$A$203</c:f>
              <c:strCache>
                <c:ptCount val="1"/>
                <c:pt idx="0">
                  <c:v>Historic Expenditure</c:v>
                </c:pt>
              </c:strCache>
            </c:strRef>
          </c:tx>
          <c:spPr>
            <a:ln w="25400">
              <a:solidFill>
                <a:srgbClr val="33CCCC"/>
              </a:solidFill>
              <a:prstDash val="solid"/>
            </a:ln>
          </c:spPr>
          <c:marker>
            <c:symbol val="none"/>
          </c:marker>
          <c:cat>
            <c:strRef>
              <c:f>('A-25'!$B$202:$H$202,'A-25'!$B$204:$I$204)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('A-25'!$B$203:$H$203,'A-25'!$B$205,'A-25'!$C$200:$I$200)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'A-25'!$A$14</c:f>
              <c:strCache>
                <c:ptCount val="1"/>
                <c:pt idx="0">
                  <c:v>Baseline Expenditure</c:v>
                </c:pt>
              </c:strCache>
            </c:strRef>
          </c:tx>
          <c:spPr>
            <a:ln w="25400">
              <a:solidFill>
                <a:srgbClr val="0000FF"/>
              </a:solidFill>
              <a:prstDash val="solid"/>
            </a:ln>
          </c:spPr>
          <c:marker>
            <c:symbol val="none"/>
          </c:marker>
          <c:cat>
            <c:strRef>
              <c:f>('A-25'!$B$202:$H$202,'A-25'!$B$204:$I$204)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('A-25'!$B$200:$H$200,'A-25'!$B$205:$I$205)</c:f>
              <c:numCache>
                <c:formatCode>General</c:formatCode>
                <c:ptCount val="15"/>
                <c:pt idx="7" formatCode="_-* #,##0.0_-;\-* #,##0.0_-;_-* &quot;-&quot;??_-;_-@_-">
                  <c:v>0</c:v>
                </c:pt>
                <c:pt idx="8" formatCode="_-* #,##0.0_-;\-* #,##0.0_-;_-* &quot;-&quot;??_-;_-@_-">
                  <c:v>0</c:v>
                </c:pt>
                <c:pt idx="9" formatCode="_-* #,##0.0_-;\-* #,##0.0_-;_-* &quot;-&quot;??_-;_-@_-">
                  <c:v>2.5339999999999998</c:v>
                </c:pt>
                <c:pt idx="10" formatCode="_-* #,##0.0_-;\-* #,##0.0_-;_-* &quot;-&quot;??_-;_-@_-">
                  <c:v>2.5339999999999998</c:v>
                </c:pt>
                <c:pt idx="11" formatCode="_-* #,##0.0_-;\-* #,##0.0_-;_-* &quot;-&quot;??_-;_-@_-">
                  <c:v>2.5339999999999998</c:v>
                </c:pt>
                <c:pt idx="12" formatCode="_-* #,##0.0_-;\-* #,##0.0_-;_-* &quot;-&quot;??_-;_-@_-">
                  <c:v>2.5339999999999998</c:v>
                </c:pt>
                <c:pt idx="13" formatCode="_-* #,##0.0_-;\-* #,##0.0_-;_-* &quot;-&quot;??_-;_-@_-">
                  <c:v>2.5339999999999998</c:v>
                </c:pt>
                <c:pt idx="14" formatCode="_-* #,##0.0_-;\-* #,##0.0_-;_-* &quot;-&quot;??_-;_-@_-">
                  <c:v>2.5339999999999998</c:v>
                </c:pt>
              </c:numCache>
            </c:numRef>
          </c:val>
        </c:ser>
        <c:ser>
          <c:idx val="0"/>
          <c:order val="2"/>
          <c:tx>
            <c:strRef>
              <c:f>'A-25'!$A$206</c:f>
              <c:strCache>
                <c:ptCount val="1"/>
                <c:pt idx="0">
                  <c:v>Total with Variations</c:v>
                </c:pt>
              </c:strCache>
            </c:strRef>
          </c:tx>
          <c:spPr>
            <a:ln w="25400">
              <a:solidFill>
                <a:srgbClr val="993366"/>
              </a:solidFill>
              <a:prstDash val="solid"/>
            </a:ln>
          </c:spPr>
          <c:marker>
            <c:symbol val="none"/>
          </c:marker>
          <c:cat>
            <c:strRef>
              <c:f>('A-25'!$B$202:$H$202,'A-25'!$B$204:$I$204)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('A-25'!$B$200:$H$200,'A-25'!$B$206:$I$206)</c:f>
              <c:numCache>
                <c:formatCode>General</c:formatCode>
                <c:ptCount val="15"/>
                <c:pt idx="7" formatCode="_-* #,##0.0_-;\-* #,##0.0_-;_-* &quot;-&quot;??_-;_-@_-">
                  <c:v>0</c:v>
                </c:pt>
                <c:pt idx="8" formatCode="_-* #,##0.0_-;\-* #,##0.0_-;_-* &quot;-&quot;??_-;_-@_-">
                  <c:v>0</c:v>
                </c:pt>
                <c:pt idx="9" formatCode="_-* #,##0.0_-;\-* #,##0.0_-;_-* &quot;-&quot;??_-;_-@_-">
                  <c:v>2.5339999999999998</c:v>
                </c:pt>
                <c:pt idx="10" formatCode="_-* #,##0.0_-;\-* #,##0.0_-;_-* &quot;-&quot;??_-;_-@_-">
                  <c:v>2.5339999999999998</c:v>
                </c:pt>
                <c:pt idx="11" formatCode="_-* #,##0.0_-;\-* #,##0.0_-;_-* &quot;-&quot;??_-;_-@_-">
                  <c:v>2.5339999999999998</c:v>
                </c:pt>
                <c:pt idx="12" formatCode="_-* #,##0.0_-;\-* #,##0.0_-;_-* &quot;-&quot;??_-;_-@_-">
                  <c:v>2.5339999999999998</c:v>
                </c:pt>
                <c:pt idx="13" formatCode="_-* #,##0.0_-;\-* #,##0.0_-;_-* &quot;-&quot;??_-;_-@_-">
                  <c:v>2.5339999999999998</c:v>
                </c:pt>
                <c:pt idx="14" formatCode="_-* #,##0.0_-;\-* #,##0.0_-;_-* &quot;-&quot;??_-;_-@_-">
                  <c:v>2.5339999999999998</c:v>
                </c:pt>
              </c:numCache>
            </c:numRef>
          </c:val>
        </c:ser>
        <c:ser>
          <c:idx val="3"/>
          <c:order val="3"/>
          <c:tx>
            <c:strRef>
              <c:f>'A-25'!$A$207</c:f>
              <c:strCache>
                <c:ptCount val="1"/>
                <c:pt idx="0">
                  <c:v>Total with Specific Escalations</c:v>
                </c:pt>
              </c:strCache>
            </c:strRef>
          </c:tx>
          <c:spPr>
            <a:ln w="25400">
              <a:solidFill>
                <a:srgbClr val="FF0000"/>
              </a:solidFill>
              <a:prstDash val="solid"/>
            </a:ln>
          </c:spPr>
          <c:marker>
            <c:symbol val="none"/>
          </c:marker>
          <c:cat>
            <c:strRef>
              <c:f>('A-25'!$B$202:$H$202,'A-25'!$B$204:$I$204)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('A-25'!$B$200:$H$200,'A-25'!$B$207:$I$207)</c:f>
              <c:numCache>
                <c:formatCode>General</c:formatCode>
                <c:ptCount val="15"/>
                <c:pt idx="7" formatCode="_-* #,##0.0_-;\-* #,##0.0_-;_-* &quot;-&quot;??_-;_-@_-">
                  <c:v>0</c:v>
                </c:pt>
                <c:pt idx="8" formatCode="_-* #,##0.0_-;\-* #,##0.0_-;_-* &quot;-&quot;??_-;_-@_-">
                  <c:v>0</c:v>
                </c:pt>
                <c:pt idx="9" formatCode="_-* #,##0.0_-;\-* #,##0.0_-;_-* &quot;-&quot;??_-;_-@_-">
                  <c:v>2.5339999999999998</c:v>
                </c:pt>
                <c:pt idx="10" formatCode="_-* #,##0.0_-;\-* #,##0.0_-;_-* &quot;-&quot;??_-;_-@_-">
                  <c:v>2.5608856342846495</c:v>
                </c:pt>
                <c:pt idx="11" formatCode="_-* #,##0.0_-;\-* #,##0.0_-;_-* &quot;-&quot;??_-;_-@_-">
                  <c:v>2.5857974816432319</c:v>
                </c:pt>
                <c:pt idx="12" formatCode="_-* #,##0.0_-;\-* #,##0.0_-;_-* &quot;-&quot;??_-;_-@_-">
                  <c:v>2.6104225661303233</c:v>
                </c:pt>
                <c:pt idx="13" formatCode="_-* #,##0.0_-;\-* #,##0.0_-;_-* &quot;-&quot;??_-;_-@_-">
                  <c:v>2.6371388050224871</c:v>
                </c:pt>
                <c:pt idx="14" formatCode="_-* #,##0.0_-;\-* #,##0.0_-;_-* &quot;-&quot;??_-;_-@_-">
                  <c:v>2.6616110797928965</c:v>
                </c:pt>
              </c:numCache>
            </c:numRef>
          </c:val>
        </c:ser>
        <c:ser>
          <c:idx val="2"/>
          <c:order val="4"/>
          <c:tx>
            <c:strRef>
              <c:f>'A-25'!$A$208</c:f>
              <c:strCache>
                <c:ptCount val="1"/>
                <c:pt idx="0">
                  <c:v>Total with All Escalations</c:v>
                </c:pt>
              </c:strCache>
            </c:strRef>
          </c:tx>
          <c:spPr>
            <a:ln w="38100">
              <a:solidFill>
                <a:srgbClr val="00FF00"/>
              </a:solidFill>
              <a:prstDash val="solid"/>
            </a:ln>
          </c:spPr>
          <c:marker>
            <c:symbol val="none"/>
          </c:marker>
          <c:cat>
            <c:strRef>
              <c:f>('A-25'!$B$202:$H$202,'A-25'!$B$204:$I$204)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('A-25'!$B$200:$H$200,'A-25'!$B$208:$I$208)</c:f>
              <c:numCache>
                <c:formatCode>General</c:formatCode>
                <c:ptCount val="15"/>
                <c:pt idx="7" formatCode="_-* #,##0.0_-;\-* #,##0.0_-;_-* &quot;-&quot;??_-;_-@_-">
                  <c:v>0</c:v>
                </c:pt>
                <c:pt idx="8" formatCode="_-* #,##0.0_-;\-* #,##0.0_-;_-* &quot;-&quot;??_-;_-@_-">
                  <c:v>0</c:v>
                </c:pt>
                <c:pt idx="9" formatCode="_-* #,##0.0_-;\-* #,##0.0_-;_-* &quot;-&quot;??_-;_-@_-">
                  <c:v>2.5339999999999998</c:v>
                </c:pt>
                <c:pt idx="10" formatCode="_-* #,##0.0_-;\-* #,##0.0_-;_-* &quot;-&quot;??_-;_-@_-">
                  <c:v>2.5608856342846495</c:v>
                </c:pt>
                <c:pt idx="11" formatCode="_-* #,##0.0_-;\-* #,##0.0_-;_-* &quot;-&quot;??_-;_-@_-">
                  <c:v>2.5857974816432319</c:v>
                </c:pt>
                <c:pt idx="12" formatCode="_-* #,##0.0_-;\-* #,##0.0_-;_-* &quot;-&quot;??_-;_-@_-">
                  <c:v>2.6104225661303233</c:v>
                </c:pt>
                <c:pt idx="13" formatCode="_-* #,##0.0_-;\-* #,##0.0_-;_-* &quot;-&quot;??_-;_-@_-">
                  <c:v>2.6371388050224871</c:v>
                </c:pt>
                <c:pt idx="14" formatCode="_-* #,##0.0_-;\-* #,##0.0_-;_-* &quot;-&quot;??_-;_-@_-">
                  <c:v>2.6616110797928965</c:v>
                </c:pt>
              </c:numCache>
            </c:numRef>
          </c:val>
        </c:ser>
        <c:marker val="1"/>
        <c:axId val="179233920"/>
        <c:axId val="179235456"/>
      </c:lineChart>
      <c:catAx>
        <c:axId val="17923392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9235456"/>
        <c:crosses val="autoZero"/>
        <c:auto val="1"/>
        <c:lblAlgn val="ctr"/>
        <c:lblOffset val="100"/>
        <c:tickLblSkip val="1"/>
        <c:tickMarkSkip val="1"/>
      </c:catAx>
      <c:valAx>
        <c:axId val="1792354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923392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AU"/>
  <c:chart>
    <c:title>
      <c:tx>
        <c:strRef>
          <c:f>'A-26'!$B$2</c:f>
          <c:strCache>
            <c:ptCount val="1"/>
            <c:pt idx="0">
              <c:v>OHS</c:v>
            </c:pt>
          </c:strCache>
        </c:strRef>
      </c:tx>
      <c:layout>
        <c:manualLayout>
          <c:xMode val="edge"/>
          <c:yMode val="edge"/>
          <c:x val="0.4715549936788981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'A-26'!$A$203</c:f>
              <c:strCache>
                <c:ptCount val="1"/>
                <c:pt idx="0">
                  <c:v>Historic Expenditure</c:v>
                </c:pt>
              </c:strCache>
            </c:strRef>
          </c:tx>
          <c:spPr>
            <a:ln w="25400">
              <a:solidFill>
                <a:srgbClr val="33CCCC"/>
              </a:solidFill>
              <a:prstDash val="solid"/>
            </a:ln>
          </c:spPr>
          <c:marker>
            <c:symbol val="none"/>
          </c:marker>
          <c:cat>
            <c:strRef>
              <c:f>('A-26'!$B$202:$H$202,'A-26'!$B$204:$I$204)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('A-26'!$B$203:$H$203,'A-26'!$B$205,'A-26'!$C$200:$I$200)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'A-26'!$A$14</c:f>
              <c:strCache>
                <c:ptCount val="1"/>
                <c:pt idx="0">
                  <c:v>Baseline Expenditure</c:v>
                </c:pt>
              </c:strCache>
            </c:strRef>
          </c:tx>
          <c:spPr>
            <a:ln w="25400">
              <a:solidFill>
                <a:srgbClr val="0000FF"/>
              </a:solidFill>
              <a:prstDash val="solid"/>
            </a:ln>
          </c:spPr>
          <c:marker>
            <c:symbol val="none"/>
          </c:marker>
          <c:cat>
            <c:strRef>
              <c:f>('A-26'!$B$202:$H$202,'A-26'!$B$204:$I$204)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('A-26'!$B$200:$H$200,'A-26'!$B$205:$I$205)</c:f>
              <c:numCache>
                <c:formatCode>General</c:formatCode>
                <c:ptCount val="15"/>
                <c:pt idx="7" formatCode="_-* #,##0.0_-;\-* #,##0.0_-;_-* &quot;-&quot;??_-;_-@_-">
                  <c:v>0</c:v>
                </c:pt>
                <c:pt idx="8" formatCode="_-* #,##0.0_-;\-* #,##0.0_-;_-* &quot;-&quot;??_-;_-@_-">
                  <c:v>0</c:v>
                </c:pt>
                <c:pt idx="9" formatCode="_-* #,##0.0_-;\-* #,##0.0_-;_-* &quot;-&quot;??_-;_-@_-">
                  <c:v>2.109</c:v>
                </c:pt>
                <c:pt idx="10" formatCode="_-* #,##0.0_-;\-* #,##0.0_-;_-* &quot;-&quot;??_-;_-@_-">
                  <c:v>2.109</c:v>
                </c:pt>
                <c:pt idx="11" formatCode="_-* #,##0.0_-;\-* #,##0.0_-;_-* &quot;-&quot;??_-;_-@_-">
                  <c:v>2.109</c:v>
                </c:pt>
                <c:pt idx="12" formatCode="_-* #,##0.0_-;\-* #,##0.0_-;_-* &quot;-&quot;??_-;_-@_-">
                  <c:v>2.109</c:v>
                </c:pt>
                <c:pt idx="13" formatCode="_-* #,##0.0_-;\-* #,##0.0_-;_-* &quot;-&quot;??_-;_-@_-">
                  <c:v>2.109</c:v>
                </c:pt>
                <c:pt idx="14" formatCode="_-* #,##0.0_-;\-* #,##0.0_-;_-* &quot;-&quot;??_-;_-@_-">
                  <c:v>2.109</c:v>
                </c:pt>
              </c:numCache>
            </c:numRef>
          </c:val>
        </c:ser>
        <c:ser>
          <c:idx val="0"/>
          <c:order val="2"/>
          <c:tx>
            <c:strRef>
              <c:f>'A-26'!$A$206</c:f>
              <c:strCache>
                <c:ptCount val="1"/>
                <c:pt idx="0">
                  <c:v>Total with Variations</c:v>
                </c:pt>
              </c:strCache>
            </c:strRef>
          </c:tx>
          <c:spPr>
            <a:ln w="25400">
              <a:solidFill>
                <a:srgbClr val="993366"/>
              </a:solidFill>
              <a:prstDash val="solid"/>
            </a:ln>
          </c:spPr>
          <c:marker>
            <c:symbol val="none"/>
          </c:marker>
          <c:cat>
            <c:strRef>
              <c:f>('A-26'!$B$202:$H$202,'A-26'!$B$204:$I$204)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('A-26'!$B$200:$H$200,'A-26'!$B$206:$I$206)</c:f>
              <c:numCache>
                <c:formatCode>General</c:formatCode>
                <c:ptCount val="15"/>
                <c:pt idx="7" formatCode="_-* #,##0.0_-;\-* #,##0.0_-;_-* &quot;-&quot;??_-;_-@_-">
                  <c:v>0</c:v>
                </c:pt>
                <c:pt idx="8" formatCode="_-* #,##0.0_-;\-* #,##0.0_-;_-* &quot;-&quot;??_-;_-@_-">
                  <c:v>0</c:v>
                </c:pt>
                <c:pt idx="9" formatCode="_-* #,##0.0_-;\-* #,##0.0_-;_-* &quot;-&quot;??_-;_-@_-">
                  <c:v>2.3140824124716302</c:v>
                </c:pt>
                <c:pt idx="10" formatCode="_-* #,##0.0_-;\-* #,##0.0_-;_-* &quot;-&quot;??_-;_-@_-">
                  <c:v>2.9890000000000003</c:v>
                </c:pt>
                <c:pt idx="11" formatCode="_-* #,##0.0_-;\-* #,##0.0_-;_-* &quot;-&quot;??_-;_-@_-">
                  <c:v>3.1880000000000002</c:v>
                </c:pt>
                <c:pt idx="12" formatCode="_-* #,##0.0_-;\-* #,##0.0_-;_-* &quot;-&quot;??_-;_-@_-">
                  <c:v>3.3780000000000001</c:v>
                </c:pt>
                <c:pt idx="13" formatCode="_-* #,##0.0_-;\-* #,##0.0_-;_-* &quot;-&quot;??_-;_-@_-">
                  <c:v>3.472</c:v>
                </c:pt>
                <c:pt idx="14" formatCode="_-* #,##0.0_-;\-* #,##0.0_-;_-* &quot;-&quot;??_-;_-@_-">
                  <c:v>3.472</c:v>
                </c:pt>
              </c:numCache>
            </c:numRef>
          </c:val>
        </c:ser>
        <c:ser>
          <c:idx val="3"/>
          <c:order val="3"/>
          <c:tx>
            <c:strRef>
              <c:f>'A-26'!$A$207</c:f>
              <c:strCache>
                <c:ptCount val="1"/>
                <c:pt idx="0">
                  <c:v>Total with Specific Escalations</c:v>
                </c:pt>
              </c:strCache>
            </c:strRef>
          </c:tx>
          <c:spPr>
            <a:ln w="25400">
              <a:solidFill>
                <a:srgbClr val="FF0000"/>
              </a:solidFill>
              <a:prstDash val="solid"/>
            </a:ln>
          </c:spPr>
          <c:marker>
            <c:symbol val="none"/>
          </c:marker>
          <c:cat>
            <c:strRef>
              <c:f>('A-26'!$B$202:$H$202,'A-26'!$B$204:$I$204)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('A-26'!$B$200:$H$200,'A-26'!$B$207:$I$207)</c:f>
              <c:numCache>
                <c:formatCode>General</c:formatCode>
                <c:ptCount val="15"/>
                <c:pt idx="7" formatCode="_-* #,##0.0_-;\-* #,##0.0_-;_-* &quot;-&quot;??_-;_-@_-">
                  <c:v>0</c:v>
                </c:pt>
                <c:pt idx="8" formatCode="_-* #,##0.0_-;\-* #,##0.0_-;_-* &quot;-&quot;??_-;_-@_-">
                  <c:v>0</c:v>
                </c:pt>
                <c:pt idx="9" formatCode="_-* #,##0.0_-;\-* #,##0.0_-;_-* &quot;-&quot;??_-;_-@_-">
                  <c:v>2.3140824124716302</c:v>
                </c:pt>
                <c:pt idx="10" formatCode="_-* #,##0.0_-;\-* #,##0.0_-;_-* &quot;-&quot;??_-;_-@_-">
                  <c:v>3.011376402015125</c:v>
                </c:pt>
                <c:pt idx="11" formatCode="_-* #,##0.0_-;\-* #,##0.0_-;_-* &quot;-&quot;??_-;_-@_-">
                  <c:v>3.2311100587156973</c:v>
                </c:pt>
                <c:pt idx="12" formatCode="_-* #,##0.0_-;\-* #,##0.0_-;_-* &quot;-&quot;??_-;_-@_-">
                  <c:v>3.4416050481329332</c:v>
                </c:pt>
                <c:pt idx="13" formatCode="_-* #,##0.0_-;\-* #,##0.0_-;_-* &quot;-&quot;??_-;_-@_-">
                  <c:v>3.5578404655850138</c:v>
                </c:pt>
                <c:pt idx="14" formatCode="_-* #,##0.0_-;\-* #,##0.0_-;_-* &quot;-&quot;??_-;_-@_-">
                  <c:v>3.5782082743816965</c:v>
                </c:pt>
              </c:numCache>
            </c:numRef>
          </c:val>
        </c:ser>
        <c:ser>
          <c:idx val="2"/>
          <c:order val="4"/>
          <c:tx>
            <c:strRef>
              <c:f>'A-26'!$A$208</c:f>
              <c:strCache>
                <c:ptCount val="1"/>
                <c:pt idx="0">
                  <c:v>Total with All Escalations</c:v>
                </c:pt>
              </c:strCache>
            </c:strRef>
          </c:tx>
          <c:spPr>
            <a:ln w="38100">
              <a:solidFill>
                <a:srgbClr val="00FF00"/>
              </a:solidFill>
              <a:prstDash val="solid"/>
            </a:ln>
          </c:spPr>
          <c:marker>
            <c:symbol val="none"/>
          </c:marker>
          <c:cat>
            <c:strRef>
              <c:f>('A-26'!$B$202:$H$202,'A-26'!$B$204:$I$204)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('A-26'!$B$200:$H$200,'A-26'!$B$208:$I$208)</c:f>
              <c:numCache>
                <c:formatCode>General</c:formatCode>
                <c:ptCount val="15"/>
                <c:pt idx="7" formatCode="_-* #,##0.0_-;\-* #,##0.0_-;_-* &quot;-&quot;??_-;_-@_-">
                  <c:v>0</c:v>
                </c:pt>
                <c:pt idx="8" formatCode="_-* #,##0.0_-;\-* #,##0.0_-;_-* &quot;-&quot;??_-;_-@_-">
                  <c:v>0</c:v>
                </c:pt>
                <c:pt idx="9" formatCode="_-* #,##0.0_-;\-* #,##0.0_-;_-* &quot;-&quot;??_-;_-@_-">
                  <c:v>2.3140824124716302</c:v>
                </c:pt>
                <c:pt idx="10" formatCode="_-* #,##0.0_-;\-* #,##0.0_-;_-* &quot;-&quot;??_-;_-@_-">
                  <c:v>3.0520270943933818</c:v>
                </c:pt>
                <c:pt idx="11" formatCode="_-* #,##0.0_-;\-* #,##0.0_-;_-* &quot;-&quot;??_-;_-@_-">
                  <c:v>3.3140598354663555</c:v>
                </c:pt>
                <c:pt idx="12" formatCode="_-* #,##0.0_-;\-* #,##0.0_-;_-* &quot;-&quot;??_-;_-@_-">
                  <c:v>3.5719718994940619</c:v>
                </c:pt>
                <c:pt idx="13" formatCode="_-* #,##0.0_-;\-* #,##0.0_-;_-* &quot;-&quot;??_-;_-@_-">
                  <c:v>3.7381169774113956</c:v>
                </c:pt>
                <c:pt idx="14" formatCode="_-* #,##0.0_-;\-* #,##0.0_-;_-* &quot;-&quot;??_-;_-@_-">
                  <c:v>3.8108550460324349</c:v>
                </c:pt>
              </c:numCache>
            </c:numRef>
          </c:val>
        </c:ser>
        <c:marker val="1"/>
        <c:axId val="179608192"/>
        <c:axId val="179614080"/>
      </c:lineChart>
      <c:catAx>
        <c:axId val="1796081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79614080"/>
        <c:crosses val="autoZero"/>
        <c:auto val="1"/>
        <c:lblAlgn val="ctr"/>
        <c:lblOffset val="100"/>
        <c:tickLblSkip val="1"/>
        <c:tickMarkSkip val="1"/>
      </c:catAx>
      <c:valAx>
        <c:axId val="17961408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796081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US" sz="800"/>
              <a:t>Environment</a:t>
            </a:r>
            <a:endParaRPr lang="en-US"/>
          </a:p>
        </c:rich>
      </c:tx>
      <c:spPr>
        <a:noFill/>
        <a:ln w="25400">
          <a:noFill/>
        </a:ln>
      </c:spPr>
    </c:title>
    <c:plotArea>
      <c:layout/>
      <c:lineChart>
        <c:grouping val="standard"/>
        <c:ser>
          <c:idx val="4"/>
          <c:order val="0"/>
          <c:tx>
            <c:strRef>
              <c:f>'A-27'!$A$203</c:f>
              <c:strCache>
                <c:ptCount val="1"/>
                <c:pt idx="0">
                  <c:v>Historic Expenditure</c:v>
                </c:pt>
              </c:strCache>
            </c:strRef>
          </c:tx>
          <c:spPr>
            <a:ln w="25400">
              <a:solidFill>
                <a:srgbClr val="33CCCC"/>
              </a:solidFill>
              <a:prstDash val="solid"/>
            </a:ln>
          </c:spPr>
          <c:marker>
            <c:symbol val="none"/>
          </c:marker>
          <c:cat>
            <c:strRef>
              <c:f>('A-27'!$B$202:$H$202,'A-27'!$B$204:$I$204)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('A-27'!$B$203:$H$203,'A-27'!$B$205,'A-27'!$C$200:$I$200)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'A-27'!$A$14</c:f>
              <c:strCache>
                <c:ptCount val="1"/>
                <c:pt idx="0">
                  <c:v>Baseline Expenditure</c:v>
                </c:pt>
              </c:strCache>
            </c:strRef>
          </c:tx>
          <c:spPr>
            <a:ln w="25400">
              <a:solidFill>
                <a:srgbClr val="0000FF"/>
              </a:solidFill>
              <a:prstDash val="solid"/>
            </a:ln>
          </c:spPr>
          <c:marker>
            <c:symbol val="none"/>
          </c:marker>
          <c:cat>
            <c:strRef>
              <c:f>('A-27'!$B$202:$H$202,'A-27'!$B$204:$I$204)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('A-27'!$B$200:$H$200,'A-27'!$B$205:$I$205)</c:f>
              <c:numCache>
                <c:formatCode>General</c:formatCode>
                <c:ptCount val="15"/>
                <c:pt idx="7" formatCode="_-* #,##0.0_-;\-* #,##0.0_-;_-* &quot;-&quot;??_-;_-@_-">
                  <c:v>0</c:v>
                </c:pt>
                <c:pt idx="8" formatCode="_-* #,##0.0_-;\-* #,##0.0_-;_-* &quot;-&quot;??_-;_-@_-">
                  <c:v>0</c:v>
                </c:pt>
                <c:pt idx="9" formatCode="_-* #,##0.0_-;\-* #,##0.0_-;_-* &quot;-&quot;??_-;_-@_-">
                  <c:v>0.60499999999999998</c:v>
                </c:pt>
                <c:pt idx="10" formatCode="_-* #,##0.0_-;\-* #,##0.0_-;_-* &quot;-&quot;??_-;_-@_-">
                  <c:v>0.60499999999999998</c:v>
                </c:pt>
                <c:pt idx="11" formatCode="_-* #,##0.0_-;\-* #,##0.0_-;_-* &quot;-&quot;??_-;_-@_-">
                  <c:v>0.60499999999999998</c:v>
                </c:pt>
                <c:pt idx="12" formatCode="_-* #,##0.0_-;\-* #,##0.0_-;_-* &quot;-&quot;??_-;_-@_-">
                  <c:v>0.60499999999999998</c:v>
                </c:pt>
                <c:pt idx="13" formatCode="_-* #,##0.0_-;\-* #,##0.0_-;_-* &quot;-&quot;??_-;_-@_-">
                  <c:v>0.60499999999999998</c:v>
                </c:pt>
                <c:pt idx="14" formatCode="_-* #,##0.0_-;\-* #,##0.0_-;_-* &quot;-&quot;??_-;_-@_-">
                  <c:v>0.60499999999999998</c:v>
                </c:pt>
              </c:numCache>
            </c:numRef>
          </c:val>
        </c:ser>
        <c:ser>
          <c:idx val="0"/>
          <c:order val="2"/>
          <c:tx>
            <c:strRef>
              <c:f>'A-27'!$A$206</c:f>
              <c:strCache>
                <c:ptCount val="1"/>
                <c:pt idx="0">
                  <c:v>Total with Variations</c:v>
                </c:pt>
              </c:strCache>
            </c:strRef>
          </c:tx>
          <c:spPr>
            <a:ln w="25400">
              <a:solidFill>
                <a:srgbClr val="993366"/>
              </a:solidFill>
              <a:prstDash val="solid"/>
            </a:ln>
          </c:spPr>
          <c:marker>
            <c:symbol val="none"/>
          </c:marker>
          <c:cat>
            <c:strRef>
              <c:f>('A-27'!$B$202:$H$202,'A-27'!$B$204:$I$204)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('A-27'!$B$200:$H$200,'A-27'!$B$206:$I$206)</c:f>
              <c:numCache>
                <c:formatCode>General</c:formatCode>
                <c:ptCount val="15"/>
                <c:pt idx="7" formatCode="_-* #,##0.0_-;\-* #,##0.0_-;_-* &quot;-&quot;??_-;_-@_-">
                  <c:v>0</c:v>
                </c:pt>
                <c:pt idx="8" formatCode="_-* #,##0.0_-;\-* #,##0.0_-;_-* &quot;-&quot;??_-;_-@_-">
                  <c:v>0</c:v>
                </c:pt>
                <c:pt idx="9" formatCode="_-* #,##0.0_-;\-* #,##0.0_-;_-* &quot;-&quot;??_-;_-@_-">
                  <c:v>0.60499999999999998</c:v>
                </c:pt>
                <c:pt idx="10" formatCode="_-* #,##0.0_-;\-* #,##0.0_-;_-* &quot;-&quot;??_-;_-@_-">
                  <c:v>0.60499999999999998</c:v>
                </c:pt>
                <c:pt idx="11" formatCode="_-* #,##0.0_-;\-* #,##0.0_-;_-* &quot;-&quot;??_-;_-@_-">
                  <c:v>0.60499999999999998</c:v>
                </c:pt>
                <c:pt idx="12" formatCode="_-* #,##0.0_-;\-* #,##0.0_-;_-* &quot;-&quot;??_-;_-@_-">
                  <c:v>0.60499999999999998</c:v>
                </c:pt>
                <c:pt idx="13" formatCode="_-* #,##0.0_-;\-* #,##0.0_-;_-* &quot;-&quot;??_-;_-@_-">
                  <c:v>0.60499999999999998</c:v>
                </c:pt>
                <c:pt idx="14" formatCode="_-* #,##0.0_-;\-* #,##0.0_-;_-* &quot;-&quot;??_-;_-@_-">
                  <c:v>0.60499999999999998</c:v>
                </c:pt>
              </c:numCache>
            </c:numRef>
          </c:val>
        </c:ser>
        <c:ser>
          <c:idx val="3"/>
          <c:order val="3"/>
          <c:tx>
            <c:strRef>
              <c:f>'A-27'!$A$207</c:f>
              <c:strCache>
                <c:ptCount val="1"/>
                <c:pt idx="0">
                  <c:v>Total with Specific Escalations</c:v>
                </c:pt>
              </c:strCache>
            </c:strRef>
          </c:tx>
          <c:spPr>
            <a:ln w="25400">
              <a:solidFill>
                <a:srgbClr val="FF0000"/>
              </a:solidFill>
              <a:prstDash val="solid"/>
            </a:ln>
          </c:spPr>
          <c:marker>
            <c:symbol val="none"/>
          </c:marker>
          <c:cat>
            <c:strRef>
              <c:f>('A-27'!$B$202:$H$202,'A-27'!$B$204:$I$204)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('A-27'!$B$200:$H$200,'A-27'!$B$207:$I$207)</c:f>
              <c:numCache>
                <c:formatCode>General</c:formatCode>
                <c:ptCount val="15"/>
                <c:pt idx="7" formatCode="_-* #,##0.0_-;\-* #,##0.0_-;_-* &quot;-&quot;??_-;_-@_-">
                  <c:v>0</c:v>
                </c:pt>
                <c:pt idx="8" formatCode="_-* #,##0.0_-;\-* #,##0.0_-;_-* &quot;-&quot;??_-;_-@_-">
                  <c:v>0</c:v>
                </c:pt>
                <c:pt idx="9" formatCode="_-* #,##0.0_-;\-* #,##0.0_-;_-* &quot;-&quot;??_-;_-@_-">
                  <c:v>0.60499999999999998</c:v>
                </c:pt>
                <c:pt idx="10" formatCode="_-* #,##0.0_-;\-* #,##0.0_-;_-* &quot;-&quot;??_-;_-@_-">
                  <c:v>0.6114190247601472</c:v>
                </c:pt>
                <c:pt idx="11" formatCode="_-* #,##0.0_-;\-* #,##0.0_-;_-* &quot;-&quot;??_-;_-@_-">
                  <c:v>0.61736680204978511</c:v>
                </c:pt>
                <c:pt idx="12" formatCode="_-* #,##0.0_-;\-* #,##0.0_-;_-* &quot;-&quot;??_-;_-@_-">
                  <c:v>0.62324611385510875</c:v>
                </c:pt>
                <c:pt idx="13" formatCode="_-* #,##0.0_-;\-* #,##0.0_-;_-* &quot;-&quot;??_-;_-@_-">
                  <c:v>0.62962469496393236</c:v>
                </c:pt>
                <c:pt idx="14" formatCode="_-* #,##0.0_-;\-* #,##0.0_-;_-* &quot;-&quot;??_-;_-@_-">
                  <c:v>0.63546752299712006</c:v>
                </c:pt>
              </c:numCache>
            </c:numRef>
          </c:val>
        </c:ser>
        <c:ser>
          <c:idx val="2"/>
          <c:order val="4"/>
          <c:tx>
            <c:strRef>
              <c:f>'A-27'!$A$208</c:f>
              <c:strCache>
                <c:ptCount val="1"/>
                <c:pt idx="0">
                  <c:v>Total with All Escalations</c:v>
                </c:pt>
              </c:strCache>
            </c:strRef>
          </c:tx>
          <c:spPr>
            <a:ln w="38100">
              <a:solidFill>
                <a:srgbClr val="00FF00"/>
              </a:solidFill>
              <a:prstDash val="solid"/>
            </a:ln>
          </c:spPr>
          <c:marker>
            <c:symbol val="none"/>
          </c:marker>
          <c:cat>
            <c:strRef>
              <c:f>('A-27'!$B$202:$H$202,'A-27'!$B$204:$I$204)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('A-27'!$B$200:$H$200,'A-27'!$B$208:$I$208)</c:f>
              <c:numCache>
                <c:formatCode>General</c:formatCode>
                <c:ptCount val="15"/>
                <c:pt idx="7" formatCode="_-* #,##0.0_-;\-* #,##0.0_-;_-* &quot;-&quot;??_-;_-@_-">
                  <c:v>0</c:v>
                </c:pt>
                <c:pt idx="8" formatCode="_-* #,##0.0_-;\-* #,##0.0_-;_-* &quot;-&quot;??_-;_-@_-">
                  <c:v>0</c:v>
                </c:pt>
                <c:pt idx="9" formatCode="_-* #,##0.0_-;\-* #,##0.0_-;_-* &quot;-&quot;??_-;_-@_-">
                  <c:v>0.60499999999999998</c:v>
                </c:pt>
                <c:pt idx="10" formatCode="_-* #,##0.0_-;\-* #,##0.0_-;_-* &quot;-&quot;??_-;_-@_-">
                  <c:v>0.62249028655946625</c:v>
                </c:pt>
                <c:pt idx="11" formatCode="_-* #,##0.0_-;\-* #,##0.0_-;_-* &quot;-&quot;??_-;_-@_-">
                  <c:v>0.63995612084617037</c:v>
                </c:pt>
                <c:pt idx="12" formatCode="_-* #,##0.0_-;\-* #,##0.0_-;_-* &quot;-&quot;??_-;_-@_-">
                  <c:v>0.65884396277127288</c:v>
                </c:pt>
                <c:pt idx="13" formatCode="_-* #,##0.0_-;\-* #,##0.0_-;_-* &quot;-&quot;??_-;_-@_-">
                  <c:v>0.67895138874528649</c:v>
                </c:pt>
                <c:pt idx="14" formatCode="_-* #,##0.0_-;\-* #,##0.0_-;_-* &quot;-&quot;??_-;_-@_-">
                  <c:v>0.69925052357861828</c:v>
                </c:pt>
              </c:numCache>
            </c:numRef>
          </c:val>
        </c:ser>
        <c:marker val="1"/>
        <c:axId val="175985024"/>
        <c:axId val="175986560"/>
      </c:lineChart>
      <c:catAx>
        <c:axId val="175985024"/>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5986560"/>
        <c:crosses val="autoZero"/>
        <c:auto val="1"/>
        <c:lblAlgn val="ctr"/>
        <c:lblOffset val="100"/>
        <c:tickLblSkip val="1"/>
        <c:tickMarkSkip val="1"/>
      </c:catAx>
      <c:valAx>
        <c:axId val="175986560"/>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5985024"/>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AU"/>
  <c:chart>
    <c:title>
      <c:tx>
        <c:strRef>
          <c:f>'A-28'!$B$2</c:f>
          <c:strCache>
            <c:ptCount val="1"/>
            <c:pt idx="0">
              <c:v>Printing </c:v>
            </c:pt>
          </c:strCache>
        </c:strRef>
      </c:tx>
      <c:layout>
        <c:manualLayout>
          <c:xMode val="edge"/>
          <c:yMode val="edge"/>
          <c:x val="0.4513274336283185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366624525916877"/>
          <c:y val="0.15643579482112893"/>
          <c:w val="0.87863463969661115"/>
          <c:h val="0.68316897738338678"/>
        </c:manualLayout>
      </c:layout>
      <c:lineChart>
        <c:grouping val="standard"/>
        <c:ser>
          <c:idx val="4"/>
          <c:order val="0"/>
          <c:tx>
            <c:strRef>
              <c:f>'A-28'!$A$203</c:f>
              <c:strCache>
                <c:ptCount val="1"/>
                <c:pt idx="0">
                  <c:v>Historic Expenditure</c:v>
                </c:pt>
              </c:strCache>
            </c:strRef>
          </c:tx>
          <c:spPr>
            <a:ln w="25400">
              <a:solidFill>
                <a:srgbClr val="33CCCC"/>
              </a:solidFill>
              <a:prstDash val="solid"/>
            </a:ln>
          </c:spPr>
          <c:marker>
            <c:symbol val="none"/>
          </c:marker>
          <c:cat>
            <c:strRef>
              <c:f>('A-28'!$B$202:$H$202,'A-28'!$B$204:$I$204)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('A-28'!$B$203:$H$203,'A-28'!$B$205,'A-28'!$C$200:$I$200)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'A-28'!$A$14</c:f>
              <c:strCache>
                <c:ptCount val="1"/>
                <c:pt idx="0">
                  <c:v>Baseline Expenditure</c:v>
                </c:pt>
              </c:strCache>
            </c:strRef>
          </c:tx>
          <c:spPr>
            <a:ln w="25400">
              <a:solidFill>
                <a:srgbClr val="0000FF"/>
              </a:solidFill>
              <a:prstDash val="solid"/>
            </a:ln>
          </c:spPr>
          <c:marker>
            <c:symbol val="none"/>
          </c:marker>
          <c:cat>
            <c:strRef>
              <c:f>('A-28'!$B$202:$H$202,'A-28'!$B$204:$I$204)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('A-28'!$B$200:$H$200,'A-28'!$B$205:$I$205)</c:f>
              <c:numCache>
                <c:formatCode>General</c:formatCode>
                <c:ptCount val="15"/>
                <c:pt idx="7" formatCode="_-* #,##0.0_-;\-* #,##0.0_-;_-* &quot;-&quot;??_-;_-@_-">
                  <c:v>0</c:v>
                </c:pt>
                <c:pt idx="8" formatCode="_-* #,##0.0_-;\-* #,##0.0_-;_-* &quot;-&quot;??_-;_-@_-">
                  <c:v>0</c:v>
                </c:pt>
                <c:pt idx="9" formatCode="_-* #,##0.0_-;\-* #,##0.0_-;_-* &quot;-&quot;??_-;_-@_-">
                  <c:v>-1.9000000000000017E-2</c:v>
                </c:pt>
                <c:pt idx="10" formatCode="_-* #,##0.0_-;\-* #,##0.0_-;_-* &quot;-&quot;??_-;_-@_-">
                  <c:v>-1.9000000000000017E-2</c:v>
                </c:pt>
                <c:pt idx="11" formatCode="_-* #,##0.0_-;\-* #,##0.0_-;_-* &quot;-&quot;??_-;_-@_-">
                  <c:v>-1.9000000000000017E-2</c:v>
                </c:pt>
                <c:pt idx="12" formatCode="_-* #,##0.0_-;\-* #,##0.0_-;_-* &quot;-&quot;??_-;_-@_-">
                  <c:v>-1.9000000000000017E-2</c:v>
                </c:pt>
                <c:pt idx="13" formatCode="_-* #,##0.0_-;\-* #,##0.0_-;_-* &quot;-&quot;??_-;_-@_-">
                  <c:v>-1.9000000000000017E-2</c:v>
                </c:pt>
                <c:pt idx="14" formatCode="_-* #,##0.0_-;\-* #,##0.0_-;_-* &quot;-&quot;??_-;_-@_-">
                  <c:v>-1.9000000000000017E-2</c:v>
                </c:pt>
              </c:numCache>
            </c:numRef>
          </c:val>
        </c:ser>
        <c:ser>
          <c:idx val="0"/>
          <c:order val="2"/>
          <c:tx>
            <c:strRef>
              <c:f>'A-28'!$A$206</c:f>
              <c:strCache>
                <c:ptCount val="1"/>
                <c:pt idx="0">
                  <c:v>Total with Variations</c:v>
                </c:pt>
              </c:strCache>
            </c:strRef>
          </c:tx>
          <c:spPr>
            <a:ln w="25400">
              <a:solidFill>
                <a:srgbClr val="993366"/>
              </a:solidFill>
              <a:prstDash val="solid"/>
            </a:ln>
          </c:spPr>
          <c:marker>
            <c:symbol val="none"/>
          </c:marker>
          <c:cat>
            <c:strRef>
              <c:f>('A-28'!$B$202:$H$202,'A-28'!$B$204:$I$204)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('A-28'!$B$200:$H$200,'A-28'!$B$206:$I$206)</c:f>
              <c:numCache>
                <c:formatCode>General</c:formatCode>
                <c:ptCount val="15"/>
                <c:pt idx="7" formatCode="_-* #,##0.0_-;\-* #,##0.0_-;_-* &quot;-&quot;??_-;_-@_-">
                  <c:v>0</c:v>
                </c:pt>
                <c:pt idx="8" formatCode="_-* #,##0.0_-;\-* #,##0.0_-;_-* &quot;-&quot;??_-;_-@_-">
                  <c:v>0</c:v>
                </c:pt>
                <c:pt idx="9" formatCode="_-* #,##0.0_-;\-* #,##0.0_-;_-* &quot;-&quot;??_-;_-@_-">
                  <c:v>-1.9000000000000017E-2</c:v>
                </c:pt>
                <c:pt idx="10" formatCode="_-* #,##0.0_-;\-* #,##0.0_-;_-* &quot;-&quot;??_-;_-@_-">
                  <c:v>-1.9000000000000017E-2</c:v>
                </c:pt>
                <c:pt idx="11" formatCode="_-* #,##0.0_-;\-* #,##0.0_-;_-* &quot;-&quot;??_-;_-@_-">
                  <c:v>-1.9000000000000017E-2</c:v>
                </c:pt>
                <c:pt idx="12" formatCode="_-* #,##0.0_-;\-* #,##0.0_-;_-* &quot;-&quot;??_-;_-@_-">
                  <c:v>-1.9000000000000017E-2</c:v>
                </c:pt>
                <c:pt idx="13" formatCode="_-* #,##0.0_-;\-* #,##0.0_-;_-* &quot;-&quot;??_-;_-@_-">
                  <c:v>-1.9000000000000017E-2</c:v>
                </c:pt>
                <c:pt idx="14" formatCode="_-* #,##0.0_-;\-* #,##0.0_-;_-* &quot;-&quot;??_-;_-@_-">
                  <c:v>-1.9000000000000017E-2</c:v>
                </c:pt>
              </c:numCache>
            </c:numRef>
          </c:val>
        </c:ser>
        <c:ser>
          <c:idx val="3"/>
          <c:order val="3"/>
          <c:tx>
            <c:strRef>
              <c:f>'A-28'!$A$207</c:f>
              <c:strCache>
                <c:ptCount val="1"/>
                <c:pt idx="0">
                  <c:v>Total with Specific Escalations</c:v>
                </c:pt>
              </c:strCache>
            </c:strRef>
          </c:tx>
          <c:spPr>
            <a:ln w="25400">
              <a:solidFill>
                <a:srgbClr val="FF0000"/>
              </a:solidFill>
              <a:prstDash val="solid"/>
            </a:ln>
          </c:spPr>
          <c:marker>
            <c:symbol val="none"/>
          </c:marker>
          <c:cat>
            <c:strRef>
              <c:f>('A-28'!$B$202:$H$202,'A-28'!$B$204:$I$204)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('A-28'!$B$200:$H$200,'A-28'!$B$207:$I$207)</c:f>
              <c:numCache>
                <c:formatCode>General</c:formatCode>
                <c:ptCount val="15"/>
                <c:pt idx="7" formatCode="_-* #,##0.0_-;\-* #,##0.0_-;_-* &quot;-&quot;??_-;_-@_-">
                  <c:v>0</c:v>
                </c:pt>
                <c:pt idx="8" formatCode="_-* #,##0.0_-;\-* #,##0.0_-;_-* &quot;-&quot;??_-;_-@_-">
                  <c:v>0</c:v>
                </c:pt>
                <c:pt idx="9" formatCode="_-* #,##0.0_-;\-* #,##0.0_-;_-* &quot;-&quot;??_-;_-@_-">
                  <c:v>-1.9000000000000017E-2</c:v>
                </c:pt>
                <c:pt idx="10" formatCode="_-* #,##0.0_-;\-* #,##0.0_-;_-* &quot;-&quot;??_-;_-@_-">
                  <c:v>-1.9201589207343484E-2</c:v>
                </c:pt>
                <c:pt idx="11" formatCode="_-* #,##0.0_-;\-* #,##0.0_-;_-* &quot;-&quot;??_-;_-@_-">
                  <c:v>-1.9388378907348638E-2</c:v>
                </c:pt>
                <c:pt idx="12" formatCode="_-* #,##0.0_-;\-* #,##0.0_-;_-* &quot;-&quot;??_-;_-@_-">
                  <c:v>-1.9573018451648064E-2</c:v>
                </c:pt>
                <c:pt idx="13" formatCode="_-* #,##0.0_-;\-* #,##0.0_-;_-* &quot;-&quot;??_-;_-@_-">
                  <c:v>-1.9773337527792936E-2</c:v>
                </c:pt>
                <c:pt idx="14" formatCode="_-* #,##0.0_-;\-* #,##0.0_-;_-* &quot;-&quot;??_-;_-@_-">
                  <c:v>-1.9956831300736021E-2</c:v>
                </c:pt>
              </c:numCache>
            </c:numRef>
          </c:val>
        </c:ser>
        <c:ser>
          <c:idx val="2"/>
          <c:order val="4"/>
          <c:tx>
            <c:strRef>
              <c:f>'A-28'!$A$208</c:f>
              <c:strCache>
                <c:ptCount val="1"/>
                <c:pt idx="0">
                  <c:v>Total with All Escalations</c:v>
                </c:pt>
              </c:strCache>
            </c:strRef>
          </c:tx>
          <c:spPr>
            <a:ln w="38100">
              <a:solidFill>
                <a:srgbClr val="00FF00"/>
              </a:solidFill>
              <a:prstDash val="solid"/>
            </a:ln>
          </c:spPr>
          <c:marker>
            <c:symbol val="none"/>
          </c:marker>
          <c:cat>
            <c:strRef>
              <c:f>('A-28'!$B$202:$H$202,'A-28'!$B$204:$I$204)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('A-28'!$B$200:$H$200,'A-28'!$B$208:$I$208)</c:f>
              <c:numCache>
                <c:formatCode>General</c:formatCode>
                <c:ptCount val="15"/>
                <c:pt idx="7" formatCode="_-* #,##0.0_-;\-* #,##0.0_-;_-* &quot;-&quot;??_-;_-@_-">
                  <c:v>0</c:v>
                </c:pt>
                <c:pt idx="8" formatCode="_-* #,##0.0_-;\-* #,##0.0_-;_-* &quot;-&quot;??_-;_-@_-">
                  <c:v>0</c:v>
                </c:pt>
                <c:pt idx="9" formatCode="_-* #,##0.0_-;\-* #,##0.0_-;_-* &quot;-&quot;??_-;_-@_-">
                  <c:v>-1.9000000000000017E-2</c:v>
                </c:pt>
                <c:pt idx="10" formatCode="_-* #,##0.0_-;\-* #,##0.0_-;_-* &quot;-&quot;??_-;_-@_-">
                  <c:v>-1.6922934079185881E-2</c:v>
                </c:pt>
                <c:pt idx="11" formatCode="_-* #,##0.0_-;\-* #,##0.0_-;_-* &quot;-&quot;??_-;_-@_-">
                  <c:v>-1.4717211725547297E-2</c:v>
                </c:pt>
                <c:pt idx="12" formatCode="_-* #,##0.0_-;\-* #,##0.0_-;_-* &quot;-&quot;??_-;_-@_-">
                  <c:v>-1.3188052164653907E-2</c:v>
                </c:pt>
                <c:pt idx="13" formatCode="_-* #,##0.0_-;\-* #,##0.0_-;_-* &quot;-&quot;??_-;_-@_-">
                  <c:v>-1.1949315489244355E-2</c:v>
                </c:pt>
                <c:pt idx="14" formatCode="_-* #,##0.0_-;\-* #,##0.0_-;_-* &quot;-&quot;??_-;_-@_-">
                  <c:v>-1.1128839924743367E-2</c:v>
                </c:pt>
              </c:numCache>
            </c:numRef>
          </c:val>
        </c:ser>
        <c:marker val="1"/>
        <c:axId val="183293824"/>
        <c:axId val="183295360"/>
      </c:lineChart>
      <c:catAx>
        <c:axId val="1832938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3295360"/>
        <c:crosses val="autoZero"/>
        <c:auto val="1"/>
        <c:lblAlgn val="ctr"/>
        <c:lblOffset val="100"/>
        <c:tickLblSkip val="1"/>
        <c:tickMarkSkip val="1"/>
      </c:catAx>
      <c:valAx>
        <c:axId val="18329536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6534698459448276"/>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32938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AU"/>
  <c:chart>
    <c:title>
      <c:tx>
        <c:strRef>
          <c:f>'A-29'!$B$2</c:f>
          <c:strCache>
            <c:ptCount val="1"/>
            <c:pt idx="0">
              <c:v>Risk &amp; Insurance – Shared Insurance Premiums </c:v>
            </c:pt>
          </c:strCache>
        </c:strRef>
      </c:tx>
      <c:layout>
        <c:manualLayout>
          <c:xMode val="edge"/>
          <c:yMode val="edge"/>
          <c:x val="0.2174462705436202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'A-29'!$A$203</c:f>
              <c:strCache>
                <c:ptCount val="1"/>
                <c:pt idx="0">
                  <c:v>Historic Expenditure</c:v>
                </c:pt>
              </c:strCache>
            </c:strRef>
          </c:tx>
          <c:spPr>
            <a:ln w="25400">
              <a:solidFill>
                <a:srgbClr val="33CCCC"/>
              </a:solidFill>
              <a:prstDash val="solid"/>
            </a:ln>
          </c:spPr>
          <c:marker>
            <c:symbol val="none"/>
          </c:marker>
          <c:cat>
            <c:strRef>
              <c:f>('A-29'!$B$202:$H$202,'A-29'!$B$204:$I$204)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('A-29'!$B$203:$H$203,'A-29'!$B$205,'A-29'!$C$200:$I$200)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'A-29'!$A$14</c:f>
              <c:strCache>
                <c:ptCount val="1"/>
                <c:pt idx="0">
                  <c:v>Baseline Expenditure</c:v>
                </c:pt>
              </c:strCache>
            </c:strRef>
          </c:tx>
          <c:spPr>
            <a:ln w="25400">
              <a:solidFill>
                <a:srgbClr val="0000FF"/>
              </a:solidFill>
              <a:prstDash val="solid"/>
            </a:ln>
          </c:spPr>
          <c:marker>
            <c:symbol val="none"/>
          </c:marker>
          <c:cat>
            <c:strRef>
              <c:f>('A-29'!$B$202:$H$202,'A-29'!$B$204:$I$204)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('A-29'!$B$200:$H$200,'A-29'!$B$205:$I$205)</c:f>
              <c:numCache>
                <c:formatCode>General</c:formatCode>
                <c:ptCount val="15"/>
                <c:pt idx="7" formatCode="_-* #,##0.0_-;\-* #,##0.0_-;_-* &quot;-&quot;??_-;_-@_-">
                  <c:v>0</c:v>
                </c:pt>
                <c:pt idx="8" formatCode="_-* #,##0.0_-;\-* #,##0.0_-;_-* &quot;-&quot;??_-;_-@_-">
                  <c:v>0</c:v>
                </c:pt>
                <c:pt idx="9" formatCode="_-* #,##0.0_-;\-* #,##0.0_-;_-* &quot;-&quot;??_-;_-@_-">
                  <c:v>0.91200000000000003</c:v>
                </c:pt>
                <c:pt idx="10" formatCode="_-* #,##0.0_-;\-* #,##0.0_-;_-* &quot;-&quot;??_-;_-@_-">
                  <c:v>0.91200000000000003</c:v>
                </c:pt>
                <c:pt idx="11" formatCode="_-* #,##0.0_-;\-* #,##0.0_-;_-* &quot;-&quot;??_-;_-@_-">
                  <c:v>0.91200000000000003</c:v>
                </c:pt>
                <c:pt idx="12" formatCode="_-* #,##0.0_-;\-* #,##0.0_-;_-* &quot;-&quot;??_-;_-@_-">
                  <c:v>0.91200000000000003</c:v>
                </c:pt>
                <c:pt idx="13" formatCode="_-* #,##0.0_-;\-* #,##0.0_-;_-* &quot;-&quot;??_-;_-@_-">
                  <c:v>0.91200000000000003</c:v>
                </c:pt>
                <c:pt idx="14" formatCode="_-* #,##0.0_-;\-* #,##0.0_-;_-* &quot;-&quot;??_-;_-@_-">
                  <c:v>0.91200000000000003</c:v>
                </c:pt>
              </c:numCache>
            </c:numRef>
          </c:val>
        </c:ser>
        <c:ser>
          <c:idx val="0"/>
          <c:order val="2"/>
          <c:tx>
            <c:strRef>
              <c:f>'A-29'!$A$206</c:f>
              <c:strCache>
                <c:ptCount val="1"/>
                <c:pt idx="0">
                  <c:v>Total with Variations</c:v>
                </c:pt>
              </c:strCache>
            </c:strRef>
          </c:tx>
          <c:spPr>
            <a:ln w="25400">
              <a:solidFill>
                <a:srgbClr val="993366"/>
              </a:solidFill>
              <a:prstDash val="solid"/>
            </a:ln>
          </c:spPr>
          <c:marker>
            <c:symbol val="none"/>
          </c:marker>
          <c:cat>
            <c:strRef>
              <c:f>('A-29'!$B$202:$H$202,'A-29'!$B$204:$I$204)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('A-29'!$B$200:$H$200,'A-29'!$B$206:$I$206)</c:f>
              <c:numCache>
                <c:formatCode>General</c:formatCode>
                <c:ptCount val="15"/>
                <c:pt idx="7" formatCode="_-* #,##0.0_-;\-* #,##0.0_-;_-* &quot;-&quot;??_-;_-@_-">
                  <c:v>0</c:v>
                </c:pt>
                <c:pt idx="8" formatCode="_-* #,##0.0_-;\-* #,##0.0_-;_-* &quot;-&quot;??_-;_-@_-">
                  <c:v>0</c:v>
                </c:pt>
                <c:pt idx="9" formatCode="_-* #,##0.0_-;\-* #,##0.0_-;_-* &quot;-&quot;??_-;_-@_-">
                  <c:v>0.91200000000000003</c:v>
                </c:pt>
                <c:pt idx="10" formatCode="_-* #,##0.0_-;\-* #,##0.0_-;_-* &quot;-&quot;??_-;_-@_-">
                  <c:v>0.91200000000000003</c:v>
                </c:pt>
                <c:pt idx="11" formatCode="_-* #,##0.0_-;\-* #,##0.0_-;_-* &quot;-&quot;??_-;_-@_-">
                  <c:v>0.91200000000000003</c:v>
                </c:pt>
                <c:pt idx="12" formatCode="_-* #,##0.0_-;\-* #,##0.0_-;_-* &quot;-&quot;??_-;_-@_-">
                  <c:v>0.91200000000000003</c:v>
                </c:pt>
                <c:pt idx="13" formatCode="_-* #,##0.0_-;\-* #,##0.0_-;_-* &quot;-&quot;??_-;_-@_-">
                  <c:v>0.91200000000000003</c:v>
                </c:pt>
                <c:pt idx="14" formatCode="_-* #,##0.0_-;\-* #,##0.0_-;_-* &quot;-&quot;??_-;_-@_-">
                  <c:v>0.91200000000000003</c:v>
                </c:pt>
              </c:numCache>
            </c:numRef>
          </c:val>
        </c:ser>
        <c:ser>
          <c:idx val="3"/>
          <c:order val="3"/>
          <c:tx>
            <c:strRef>
              <c:f>'A-29'!$A$207</c:f>
              <c:strCache>
                <c:ptCount val="1"/>
                <c:pt idx="0">
                  <c:v>Total with Specific Escalations</c:v>
                </c:pt>
              </c:strCache>
            </c:strRef>
          </c:tx>
          <c:spPr>
            <a:ln w="25400">
              <a:solidFill>
                <a:srgbClr val="FF0000"/>
              </a:solidFill>
              <a:prstDash val="solid"/>
            </a:ln>
          </c:spPr>
          <c:marker>
            <c:symbol val="none"/>
          </c:marker>
          <c:cat>
            <c:strRef>
              <c:f>('A-29'!$B$202:$H$202,'A-29'!$B$204:$I$204)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('A-29'!$B$200:$H$200,'A-29'!$B$207:$I$207)</c:f>
              <c:numCache>
                <c:formatCode>General</c:formatCode>
                <c:ptCount val="15"/>
                <c:pt idx="7" formatCode="_-* #,##0.0_-;\-* #,##0.0_-;_-* &quot;-&quot;??_-;_-@_-">
                  <c:v>0</c:v>
                </c:pt>
                <c:pt idx="8" formatCode="_-* #,##0.0_-;\-* #,##0.0_-;_-* &quot;-&quot;??_-;_-@_-">
                  <c:v>0</c:v>
                </c:pt>
                <c:pt idx="9" formatCode="_-* #,##0.0_-;\-* #,##0.0_-;_-* &quot;-&quot;??_-;_-@_-">
                  <c:v>0.91200000000000003</c:v>
                </c:pt>
                <c:pt idx="10" formatCode="_-* #,##0.0_-;\-* #,##0.0_-;_-* &quot;-&quot;??_-;_-@_-">
                  <c:v>0.92167628195248641</c:v>
                </c:pt>
                <c:pt idx="11" formatCode="_-* #,##0.0_-;\-* #,##0.0_-;_-* &quot;-&quot;??_-;_-@_-">
                  <c:v>0.93064218755273398</c:v>
                </c:pt>
                <c:pt idx="12" formatCode="_-* #,##0.0_-;\-* #,##0.0_-;_-* &quot;-&quot;??_-;_-@_-">
                  <c:v>0.93950488567910617</c:v>
                </c:pt>
                <c:pt idx="13" formatCode="_-* #,##0.0_-;\-* #,##0.0_-;_-* &quot;-&quot;??_-;_-@_-">
                  <c:v>0.94912020133406005</c:v>
                </c:pt>
                <c:pt idx="14" formatCode="_-* #,##0.0_-;\-* #,##0.0_-;_-* &quot;-&quot;??_-;_-@_-">
                  <c:v>0.95792790243532822</c:v>
                </c:pt>
              </c:numCache>
            </c:numRef>
          </c:val>
        </c:ser>
        <c:ser>
          <c:idx val="2"/>
          <c:order val="4"/>
          <c:tx>
            <c:strRef>
              <c:f>'A-29'!$A$208</c:f>
              <c:strCache>
                <c:ptCount val="1"/>
                <c:pt idx="0">
                  <c:v>Total with All Escalations</c:v>
                </c:pt>
              </c:strCache>
            </c:strRef>
          </c:tx>
          <c:spPr>
            <a:ln w="38100">
              <a:solidFill>
                <a:srgbClr val="00FF00"/>
              </a:solidFill>
              <a:prstDash val="solid"/>
            </a:ln>
          </c:spPr>
          <c:marker>
            <c:symbol val="none"/>
          </c:marker>
          <c:cat>
            <c:strRef>
              <c:f>('A-29'!$B$202:$H$202,'A-29'!$B$204:$I$204)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('A-29'!$B$200:$H$200,'A-29'!$B$208:$I$208)</c:f>
              <c:numCache>
                <c:formatCode>General</c:formatCode>
                <c:ptCount val="15"/>
                <c:pt idx="7" formatCode="_-* #,##0.0_-;\-* #,##0.0_-;_-* &quot;-&quot;??_-;_-@_-">
                  <c:v>0</c:v>
                </c:pt>
                <c:pt idx="8" formatCode="_-* #,##0.0_-;\-* #,##0.0_-;_-* &quot;-&quot;??_-;_-@_-">
                  <c:v>0</c:v>
                </c:pt>
                <c:pt idx="9" formatCode="_-* #,##0.0_-;\-* #,##0.0_-;_-* &quot;-&quot;??_-;_-@_-">
                  <c:v>0.91200000000000003</c:v>
                </c:pt>
                <c:pt idx="10" formatCode="_-* #,##0.0_-;\-* #,##0.0_-;_-* &quot;-&quot;??_-;_-@_-">
                  <c:v>0.92474406244965557</c:v>
                </c:pt>
                <c:pt idx="11" formatCode="_-* #,##0.0_-;\-* #,##0.0_-;_-* &quot;-&quot;??_-;_-@_-">
                  <c:v>0.936903734962796</c:v>
                </c:pt>
                <c:pt idx="12" formatCode="_-* #,##0.0_-;\-* #,##0.0_-;_-* &quot;-&quot;??_-;_-@_-">
                  <c:v>0.94927500203998338</c:v>
                </c:pt>
                <c:pt idx="13" formatCode="_-* #,##0.0_-;\-* #,##0.0_-;_-* &quot;-&quot;??_-;_-@_-">
                  <c:v>0.96255633155197984</c:v>
                </c:pt>
                <c:pt idx="14" formatCode="_-* #,##0.0_-;\-* #,##0.0_-;_-* &quot;-&quot;??_-;_-@_-">
                  <c:v>0.97517334769599495</c:v>
                </c:pt>
              </c:numCache>
            </c:numRef>
          </c:val>
        </c:ser>
        <c:marker val="1"/>
        <c:axId val="183696768"/>
        <c:axId val="183526528"/>
      </c:lineChart>
      <c:catAx>
        <c:axId val="18369676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3526528"/>
        <c:crosses val="autoZero"/>
        <c:auto val="1"/>
        <c:lblAlgn val="ctr"/>
        <c:lblOffset val="100"/>
        <c:tickLblSkip val="1"/>
        <c:tickMarkSkip val="1"/>
      </c:catAx>
      <c:valAx>
        <c:axId val="18352652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369676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AU"/>
  <c:chart>
    <c:title>
      <c:tx>
        <c:strRef>
          <c:f>'A-3'!$B$2</c:f>
          <c:strCache>
            <c:ptCount val="1"/>
            <c:pt idx="0">
              <c:v>Communications</c:v>
            </c:pt>
          </c:strCache>
        </c:strRef>
      </c:tx>
      <c:spPr>
        <a:noFill/>
        <a:ln w="25400">
          <a:noFill/>
        </a:ln>
      </c:spPr>
      <c:txPr>
        <a:bodyPr/>
        <a:lstStyle/>
        <a:p>
          <a:pPr>
            <a:defRPr sz="300" b="1" i="0" u="none" strike="noStrike" baseline="0">
              <a:solidFill>
                <a:srgbClr val="000000"/>
              </a:solidFill>
              <a:latin typeface="Arial"/>
              <a:ea typeface="Arial"/>
              <a:cs typeface="Arial"/>
            </a:defRPr>
          </a:pPr>
          <a:endParaRPr lang="en-US"/>
        </a:p>
      </c:txPr>
    </c:title>
    <c:plotArea>
      <c:layout/>
      <c:lineChart>
        <c:grouping val="standard"/>
        <c:ser>
          <c:idx val="4"/>
          <c:order val="0"/>
          <c:tx>
            <c:strRef>
              <c:f>'A-3'!$A$203</c:f>
              <c:strCache>
                <c:ptCount val="1"/>
                <c:pt idx="0">
                  <c:v>Historic Expenditure</c:v>
                </c:pt>
              </c:strCache>
            </c:strRef>
          </c:tx>
          <c:spPr>
            <a:ln w="25400">
              <a:solidFill>
                <a:srgbClr val="33CCCC"/>
              </a:solidFill>
              <a:prstDash val="solid"/>
            </a:ln>
          </c:spPr>
          <c:marker>
            <c:symbol val="none"/>
          </c:marker>
          <c:cat>
            <c:strRef>
              <c:f>('A-3'!$B$202:$H$202,'A-3'!$B$204:$I$204)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('A-3'!$B$203:$H$203,'A-3'!$B$205,'A-3'!$C$200:$I$200)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'A-3'!$A$14</c:f>
              <c:strCache>
                <c:ptCount val="1"/>
                <c:pt idx="0">
                  <c:v>Baseline Expenditure</c:v>
                </c:pt>
              </c:strCache>
            </c:strRef>
          </c:tx>
          <c:spPr>
            <a:ln w="25400">
              <a:solidFill>
                <a:srgbClr val="0000FF"/>
              </a:solidFill>
              <a:prstDash val="solid"/>
            </a:ln>
          </c:spPr>
          <c:marker>
            <c:symbol val="none"/>
          </c:marker>
          <c:cat>
            <c:strRef>
              <c:f>('A-3'!$B$202:$H$202,'A-3'!$B$204:$I$204)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('A-3'!$B$200:$H$200,'A-3'!$B$205:$I$205)</c:f>
              <c:numCache>
                <c:formatCode>General</c:formatCode>
                <c:ptCount val="15"/>
                <c:pt idx="7" formatCode="_-* #,##0.0_-;\-* #,##0.0_-;_-* &quot;-&quot;??_-;_-@_-">
                  <c:v>0</c:v>
                </c:pt>
                <c:pt idx="8" formatCode="_-* #,##0.0_-;\-* #,##0.0_-;_-* &quot;-&quot;??_-;_-@_-">
                  <c:v>0</c:v>
                </c:pt>
                <c:pt idx="9" formatCode="_-* #,##0.0_-;\-* #,##0.0_-;_-* &quot;-&quot;??_-;_-@_-">
                  <c:v>2.1429999999999998</c:v>
                </c:pt>
                <c:pt idx="10" formatCode="_-* #,##0.0_-;\-* #,##0.0_-;_-* &quot;-&quot;??_-;_-@_-">
                  <c:v>2.1429999999999998</c:v>
                </c:pt>
                <c:pt idx="11" formatCode="_-* #,##0.0_-;\-* #,##0.0_-;_-* &quot;-&quot;??_-;_-@_-">
                  <c:v>2.1429999999999998</c:v>
                </c:pt>
                <c:pt idx="12" formatCode="_-* #,##0.0_-;\-* #,##0.0_-;_-* &quot;-&quot;??_-;_-@_-">
                  <c:v>2.1429999999999998</c:v>
                </c:pt>
                <c:pt idx="13" formatCode="_-* #,##0.0_-;\-* #,##0.0_-;_-* &quot;-&quot;??_-;_-@_-">
                  <c:v>2.1429999999999998</c:v>
                </c:pt>
                <c:pt idx="14" formatCode="_-* #,##0.0_-;\-* #,##0.0_-;_-* &quot;-&quot;??_-;_-@_-">
                  <c:v>2.1429999999999998</c:v>
                </c:pt>
              </c:numCache>
            </c:numRef>
          </c:val>
        </c:ser>
        <c:ser>
          <c:idx val="0"/>
          <c:order val="2"/>
          <c:tx>
            <c:strRef>
              <c:f>'A-3'!$A$206</c:f>
              <c:strCache>
                <c:ptCount val="1"/>
                <c:pt idx="0">
                  <c:v>Total with Variations</c:v>
                </c:pt>
              </c:strCache>
            </c:strRef>
          </c:tx>
          <c:spPr>
            <a:ln w="25400">
              <a:solidFill>
                <a:srgbClr val="993366"/>
              </a:solidFill>
              <a:prstDash val="solid"/>
            </a:ln>
          </c:spPr>
          <c:marker>
            <c:symbol val="none"/>
          </c:marker>
          <c:cat>
            <c:strRef>
              <c:f>('A-3'!$B$202:$H$202,'A-3'!$B$204:$I$204)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('A-3'!$B$200:$H$200,'A-3'!$B$206:$I$206)</c:f>
              <c:numCache>
                <c:formatCode>General</c:formatCode>
                <c:ptCount val="15"/>
                <c:pt idx="7" formatCode="_-* #,##0.0_-;\-* #,##0.0_-;_-* &quot;-&quot;??_-;_-@_-">
                  <c:v>0</c:v>
                </c:pt>
                <c:pt idx="8" formatCode="_-* #,##0.0_-;\-* #,##0.0_-;_-* &quot;-&quot;??_-;_-@_-">
                  <c:v>0</c:v>
                </c:pt>
                <c:pt idx="9" formatCode="_-* #,##0.0_-;\-* #,##0.0_-;_-* &quot;-&quot;??_-;_-@_-">
                  <c:v>2.1429999999999998</c:v>
                </c:pt>
                <c:pt idx="10" formatCode="_-* #,##0.0_-;\-* #,##0.0_-;_-* &quot;-&quot;??_-;_-@_-">
                  <c:v>5.0250000000000004</c:v>
                </c:pt>
                <c:pt idx="11" formatCode="_-* #,##0.0_-;\-* #,##0.0_-;_-* &quot;-&quot;??_-;_-@_-">
                  <c:v>4.16</c:v>
                </c:pt>
                <c:pt idx="12" formatCode="_-* #,##0.0_-;\-* #,##0.0_-;_-* &quot;-&quot;??_-;_-@_-">
                  <c:v>4.085</c:v>
                </c:pt>
                <c:pt idx="13" formatCode="_-* #,##0.0_-;\-* #,##0.0_-;_-* &quot;-&quot;??_-;_-@_-">
                  <c:v>3.8759999999999999</c:v>
                </c:pt>
                <c:pt idx="14" formatCode="_-* #,##0.0_-;\-* #,##0.0_-;_-* &quot;-&quot;??_-;_-@_-">
                  <c:v>4.1100000000000003</c:v>
                </c:pt>
              </c:numCache>
            </c:numRef>
          </c:val>
        </c:ser>
        <c:ser>
          <c:idx val="3"/>
          <c:order val="3"/>
          <c:tx>
            <c:strRef>
              <c:f>'A-3'!$A$207</c:f>
              <c:strCache>
                <c:ptCount val="1"/>
                <c:pt idx="0">
                  <c:v>Total with Specific Escalations</c:v>
                </c:pt>
              </c:strCache>
            </c:strRef>
          </c:tx>
          <c:spPr>
            <a:ln w="25400">
              <a:solidFill>
                <a:srgbClr val="FF0000"/>
              </a:solidFill>
              <a:prstDash val="solid"/>
            </a:ln>
          </c:spPr>
          <c:marker>
            <c:symbol val="none"/>
          </c:marker>
          <c:cat>
            <c:strRef>
              <c:f>('A-3'!$B$202:$H$202,'A-3'!$B$204:$I$204)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('A-3'!$B$200:$H$200,'A-3'!$B$207:$I$207)</c:f>
              <c:numCache>
                <c:formatCode>General</c:formatCode>
                <c:ptCount val="15"/>
                <c:pt idx="7" formatCode="_-* #,##0.0_-;\-* #,##0.0_-;_-* &quot;-&quot;??_-;_-@_-">
                  <c:v>0</c:v>
                </c:pt>
                <c:pt idx="8" formatCode="_-* #,##0.0_-;\-* #,##0.0_-;_-* &quot;-&quot;??_-;_-@_-">
                  <c:v>0</c:v>
                </c:pt>
                <c:pt idx="9" formatCode="_-* #,##0.0_-;\-* #,##0.0_-;_-* &quot;-&quot;??_-;_-@_-">
                  <c:v>2.1429999999999998</c:v>
                </c:pt>
                <c:pt idx="10" formatCode="_-* #,##0.0_-;\-* #,##0.0_-;_-* &quot;-&quot;??_-;_-@_-">
                  <c:v>5.0477371405966869</c:v>
                </c:pt>
                <c:pt idx="11" formatCode="_-* #,##0.0_-;\-* #,##0.0_-;_-* &quot;-&quot;??_-;_-@_-">
                  <c:v>4.2038050525499004</c:v>
                </c:pt>
                <c:pt idx="12" formatCode="_-* #,##0.0_-;\-* #,##0.0_-;_-* &quot;-&quot;??_-;_-@_-">
                  <c:v>4.1496304495727241</c:v>
                </c:pt>
                <c:pt idx="13" formatCode="_-* #,##0.0_-;\-* #,##0.0_-;_-* &quot;-&quot;??_-;_-@_-">
                  <c:v>3.9632243327400118</c:v>
                </c:pt>
                <c:pt idx="14" formatCode="_-* #,##0.0_-;\-* #,##0.0_-;_-* &quot;-&quot;??_-;_-@_-">
                  <c:v>4.2179204988145926</c:v>
                </c:pt>
              </c:numCache>
            </c:numRef>
          </c:val>
        </c:ser>
        <c:ser>
          <c:idx val="2"/>
          <c:order val="4"/>
          <c:tx>
            <c:strRef>
              <c:f>'A-3'!$A$208</c:f>
              <c:strCache>
                <c:ptCount val="1"/>
                <c:pt idx="0">
                  <c:v>Total with All Escalations</c:v>
                </c:pt>
              </c:strCache>
            </c:strRef>
          </c:tx>
          <c:spPr>
            <a:ln w="38100">
              <a:solidFill>
                <a:srgbClr val="00FF00"/>
              </a:solidFill>
              <a:prstDash val="solid"/>
            </a:ln>
          </c:spPr>
          <c:marker>
            <c:symbol val="none"/>
          </c:marker>
          <c:cat>
            <c:strRef>
              <c:f>('A-3'!$B$202:$H$202,'A-3'!$B$204:$I$204)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('A-3'!$B$200:$H$200,'A-3'!$B$208:$I$208)</c:f>
              <c:numCache>
                <c:formatCode>General</c:formatCode>
                <c:ptCount val="15"/>
                <c:pt idx="7" formatCode="_-* #,##0.0_-;\-* #,##0.0_-;_-* &quot;-&quot;??_-;_-@_-">
                  <c:v>0</c:v>
                </c:pt>
                <c:pt idx="8" formatCode="_-* #,##0.0_-;\-* #,##0.0_-;_-* &quot;-&quot;??_-;_-@_-">
                  <c:v>0</c:v>
                </c:pt>
                <c:pt idx="9" formatCode="_-* #,##0.0_-;\-* #,##0.0_-;_-* &quot;-&quot;??_-;_-@_-">
                  <c:v>2.1429999999999998</c:v>
                </c:pt>
                <c:pt idx="10" formatCode="_-* #,##0.0_-;\-* #,##0.0_-;_-* &quot;-&quot;??_-;_-@_-">
                  <c:v>5.0687832325977293</c:v>
                </c:pt>
                <c:pt idx="11" formatCode="_-* #,##0.0_-;\-* #,##0.0_-;_-* &quot;-&quot;??_-;_-@_-">
                  <c:v>4.2466861190377552</c:v>
                </c:pt>
                <c:pt idx="12" formatCode="_-* #,##0.0_-;\-* #,##0.0_-;_-* &quot;-&quot;??_-;_-@_-">
                  <c:v>4.2199006128531247</c:v>
                </c:pt>
                <c:pt idx="13" formatCode="_-* #,##0.0_-;\-* #,##0.0_-;_-* &quot;-&quot;??_-;_-@_-">
                  <c:v>4.0634207280573511</c:v>
                </c:pt>
                <c:pt idx="14" formatCode="_-* #,##0.0_-;\-* #,##0.0_-;_-* &quot;-&quot;??_-;_-@_-">
                  <c:v>4.3510405968252206</c:v>
                </c:pt>
              </c:numCache>
            </c:numRef>
          </c:val>
        </c:ser>
        <c:marker val="1"/>
        <c:axId val="154630400"/>
        <c:axId val="154644480"/>
      </c:lineChart>
      <c:catAx>
        <c:axId val="154630400"/>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54644480"/>
        <c:crosses val="autoZero"/>
        <c:auto val="1"/>
        <c:lblAlgn val="ctr"/>
        <c:lblOffset val="100"/>
        <c:tickLblSkip val="1"/>
        <c:tickMarkSkip val="1"/>
      </c:catAx>
      <c:valAx>
        <c:axId val="154644480"/>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54630400"/>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AU"/>
  <c:chart>
    <c:title>
      <c:tx>
        <c:strRef>
          <c:f>'A-30'!$B$2</c:f>
          <c:strCache>
            <c:ptCount val="1"/>
            <c:pt idx="0">
              <c:v>Risk &amp; Insurance – Support Costs</c:v>
            </c:pt>
          </c:strCache>
        </c:strRef>
      </c:tx>
      <c:layout>
        <c:manualLayout>
          <c:xMode val="edge"/>
          <c:yMode val="edge"/>
          <c:x val="0.29962073324906779"/>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'A-30'!$A$203</c:f>
              <c:strCache>
                <c:ptCount val="1"/>
                <c:pt idx="0">
                  <c:v>Historic Expenditure</c:v>
                </c:pt>
              </c:strCache>
            </c:strRef>
          </c:tx>
          <c:spPr>
            <a:ln w="25400">
              <a:solidFill>
                <a:srgbClr val="33CCCC"/>
              </a:solidFill>
              <a:prstDash val="solid"/>
            </a:ln>
          </c:spPr>
          <c:marker>
            <c:symbol val="none"/>
          </c:marker>
          <c:cat>
            <c:strRef>
              <c:f>('A-30'!$B$202:$H$202,'A-30'!$B$204:$I$204)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('A-30'!$B$203:$H$203,'A-30'!$B$205,'A-30'!$C$200:$I$200)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'A-30'!$A$14</c:f>
              <c:strCache>
                <c:ptCount val="1"/>
                <c:pt idx="0">
                  <c:v>Baseline Expenditure</c:v>
                </c:pt>
              </c:strCache>
            </c:strRef>
          </c:tx>
          <c:spPr>
            <a:ln w="25400">
              <a:solidFill>
                <a:srgbClr val="0000FF"/>
              </a:solidFill>
              <a:prstDash val="solid"/>
            </a:ln>
          </c:spPr>
          <c:marker>
            <c:symbol val="none"/>
          </c:marker>
          <c:cat>
            <c:strRef>
              <c:f>('A-30'!$B$202:$H$202,'A-30'!$B$204:$I$204)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('A-30'!$B$200:$H$200,'A-30'!$B$205:$I$205)</c:f>
              <c:numCache>
                <c:formatCode>General</c:formatCode>
                <c:ptCount val="15"/>
                <c:pt idx="7" formatCode="_-* #,##0.0_-;\-* #,##0.0_-;_-* &quot;-&quot;??_-;_-@_-">
                  <c:v>0</c:v>
                </c:pt>
                <c:pt idx="8" formatCode="_-* #,##0.0_-;\-* #,##0.0_-;_-* &quot;-&quot;??_-;_-@_-">
                  <c:v>0</c:v>
                </c:pt>
                <c:pt idx="9" formatCode="_-* #,##0.0_-;\-* #,##0.0_-;_-* &quot;-&quot;??_-;_-@_-">
                  <c:v>3.0160000000000005</c:v>
                </c:pt>
                <c:pt idx="10" formatCode="_-* #,##0.0_-;\-* #,##0.0_-;_-* &quot;-&quot;??_-;_-@_-">
                  <c:v>3.0160000000000005</c:v>
                </c:pt>
                <c:pt idx="11" formatCode="_-* #,##0.0_-;\-* #,##0.0_-;_-* &quot;-&quot;??_-;_-@_-">
                  <c:v>3.0160000000000005</c:v>
                </c:pt>
                <c:pt idx="12" formatCode="_-* #,##0.0_-;\-* #,##0.0_-;_-* &quot;-&quot;??_-;_-@_-">
                  <c:v>3.0160000000000005</c:v>
                </c:pt>
                <c:pt idx="13" formatCode="_-* #,##0.0_-;\-* #,##0.0_-;_-* &quot;-&quot;??_-;_-@_-">
                  <c:v>3.0160000000000005</c:v>
                </c:pt>
                <c:pt idx="14" formatCode="_-* #,##0.0_-;\-* #,##0.0_-;_-* &quot;-&quot;??_-;_-@_-">
                  <c:v>3.0160000000000005</c:v>
                </c:pt>
              </c:numCache>
            </c:numRef>
          </c:val>
        </c:ser>
        <c:ser>
          <c:idx val="0"/>
          <c:order val="2"/>
          <c:tx>
            <c:strRef>
              <c:f>'A-30'!$A$206</c:f>
              <c:strCache>
                <c:ptCount val="1"/>
                <c:pt idx="0">
                  <c:v>Total with Variations</c:v>
                </c:pt>
              </c:strCache>
            </c:strRef>
          </c:tx>
          <c:spPr>
            <a:ln w="25400">
              <a:solidFill>
                <a:srgbClr val="993366"/>
              </a:solidFill>
              <a:prstDash val="solid"/>
            </a:ln>
          </c:spPr>
          <c:marker>
            <c:symbol val="none"/>
          </c:marker>
          <c:cat>
            <c:strRef>
              <c:f>('A-30'!$B$202:$H$202,'A-30'!$B$204:$I$204)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('A-30'!$B$200:$H$200,'A-30'!$B$206:$I$206)</c:f>
              <c:numCache>
                <c:formatCode>General</c:formatCode>
                <c:ptCount val="15"/>
                <c:pt idx="7" formatCode="_-* #,##0.0_-;\-* #,##0.0_-;_-* &quot;-&quot;??_-;_-@_-">
                  <c:v>0</c:v>
                </c:pt>
                <c:pt idx="8" formatCode="_-* #,##0.0_-;\-* #,##0.0_-;_-* &quot;-&quot;??_-;_-@_-">
                  <c:v>0</c:v>
                </c:pt>
                <c:pt idx="9" formatCode="_-* #,##0.0_-;\-* #,##0.0_-;_-* &quot;-&quot;??_-;_-@_-">
                  <c:v>3.0160000000000005</c:v>
                </c:pt>
                <c:pt idx="10" formatCode="_-* #,##0.0_-;\-* #,##0.0_-;_-* &quot;-&quot;??_-;_-@_-">
                  <c:v>3.0160000000000005</c:v>
                </c:pt>
                <c:pt idx="11" formatCode="_-* #,##0.0_-;\-* #,##0.0_-;_-* &quot;-&quot;??_-;_-@_-">
                  <c:v>3.0160000000000005</c:v>
                </c:pt>
                <c:pt idx="12" formatCode="_-* #,##0.0_-;\-* #,##0.0_-;_-* &quot;-&quot;??_-;_-@_-">
                  <c:v>3.0160000000000005</c:v>
                </c:pt>
                <c:pt idx="13" formatCode="_-* #,##0.0_-;\-* #,##0.0_-;_-* &quot;-&quot;??_-;_-@_-">
                  <c:v>3.0160000000000005</c:v>
                </c:pt>
                <c:pt idx="14" formatCode="_-* #,##0.0_-;\-* #,##0.0_-;_-* &quot;-&quot;??_-;_-@_-">
                  <c:v>3.0160000000000005</c:v>
                </c:pt>
              </c:numCache>
            </c:numRef>
          </c:val>
        </c:ser>
        <c:ser>
          <c:idx val="3"/>
          <c:order val="3"/>
          <c:tx>
            <c:strRef>
              <c:f>'A-30'!$A$207</c:f>
              <c:strCache>
                <c:ptCount val="1"/>
                <c:pt idx="0">
                  <c:v>Total with Specific Escalations</c:v>
                </c:pt>
              </c:strCache>
            </c:strRef>
          </c:tx>
          <c:spPr>
            <a:ln w="25400">
              <a:solidFill>
                <a:srgbClr val="FF0000"/>
              </a:solidFill>
              <a:prstDash val="solid"/>
            </a:ln>
          </c:spPr>
          <c:marker>
            <c:symbol val="none"/>
          </c:marker>
          <c:cat>
            <c:strRef>
              <c:f>('A-30'!$B$202:$H$202,'A-30'!$B$204:$I$204)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('A-30'!$B$200:$H$200,'A-30'!$B$207:$I$207)</c:f>
              <c:numCache>
                <c:formatCode>General</c:formatCode>
                <c:ptCount val="15"/>
                <c:pt idx="7" formatCode="_-* #,##0.0_-;\-* #,##0.0_-;_-* &quot;-&quot;??_-;_-@_-">
                  <c:v>0</c:v>
                </c:pt>
                <c:pt idx="8" formatCode="_-* #,##0.0_-;\-* #,##0.0_-;_-* &quot;-&quot;??_-;_-@_-">
                  <c:v>0</c:v>
                </c:pt>
                <c:pt idx="9" formatCode="_-* #,##0.0_-;\-* #,##0.0_-;_-* &quot;-&quot;??_-;_-@_-">
                  <c:v>3.0160000000000005</c:v>
                </c:pt>
                <c:pt idx="10" formatCode="_-* #,##0.0_-;\-* #,##0.0_-;_-* &quot;-&quot;??_-;_-@_-">
                  <c:v>3.0479996341762057</c:v>
                </c:pt>
                <c:pt idx="11" formatCode="_-* #,##0.0_-;\-* #,##0.0_-;_-* &quot;-&quot;??_-;_-@_-">
                  <c:v>3.0776500412928134</c:v>
                </c:pt>
                <c:pt idx="12" formatCode="_-* #,##0.0_-;\-* #,##0.0_-;_-* &quot;-&quot;??_-;_-@_-">
                  <c:v>3.1069591394826586</c:v>
                </c:pt>
                <c:pt idx="13" formatCode="_-* #,##0.0_-;\-* #,##0.0_-;_-* &quot;-&quot;??_-;_-@_-">
                  <c:v>3.1387571570433397</c:v>
                </c:pt>
                <c:pt idx="14" formatCode="_-* #,##0.0_-;\-* #,##0.0_-;_-* &quot;-&quot;??_-;_-@_-">
                  <c:v>3.1678843791063049</c:v>
                </c:pt>
              </c:numCache>
            </c:numRef>
          </c:val>
        </c:ser>
        <c:ser>
          <c:idx val="2"/>
          <c:order val="4"/>
          <c:tx>
            <c:strRef>
              <c:f>'A-30'!$A$208</c:f>
              <c:strCache>
                <c:ptCount val="1"/>
                <c:pt idx="0">
                  <c:v>Total with All Escalations</c:v>
                </c:pt>
              </c:strCache>
            </c:strRef>
          </c:tx>
          <c:spPr>
            <a:ln w="38100">
              <a:solidFill>
                <a:srgbClr val="00FF00"/>
              </a:solidFill>
              <a:prstDash val="solid"/>
            </a:ln>
          </c:spPr>
          <c:marker>
            <c:symbol val="none"/>
          </c:marker>
          <c:cat>
            <c:strRef>
              <c:f>('A-30'!$B$202:$H$202,'A-30'!$B$204:$I$204)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('A-30'!$B$200:$H$200,'A-30'!$B$208:$I$208)</c:f>
              <c:numCache>
                <c:formatCode>General</c:formatCode>
                <c:ptCount val="15"/>
                <c:pt idx="7" formatCode="_-* #,##0.0_-;\-* #,##0.0_-;_-* &quot;-&quot;??_-;_-@_-">
                  <c:v>0</c:v>
                </c:pt>
                <c:pt idx="8" formatCode="_-* #,##0.0_-;\-* #,##0.0_-;_-* &quot;-&quot;??_-;_-@_-">
                  <c:v>0</c:v>
                </c:pt>
                <c:pt idx="9" formatCode="_-* #,##0.0_-;\-* #,##0.0_-;_-* &quot;-&quot;??_-;_-@_-">
                  <c:v>3.0160000000000005</c:v>
                </c:pt>
                <c:pt idx="10" formatCode="_-* #,##0.0_-;\-* #,##0.0_-;_-* &quot;-&quot;??_-;_-@_-">
                  <c:v>3.0709405188474417</c:v>
                </c:pt>
                <c:pt idx="11" formatCode="_-* #,##0.0_-;\-* #,##0.0_-;_-* &quot;-&quot;??_-;_-@_-">
                  <c:v>3.1242608135450798</c:v>
                </c:pt>
                <c:pt idx="12" formatCode="_-* #,##0.0_-;\-* #,##0.0_-;_-* &quot;-&quot;??_-;_-@_-">
                  <c:v>3.1891847872121444</c:v>
                </c:pt>
                <c:pt idx="13" formatCode="_-* #,##0.0_-;\-* #,##0.0_-;_-* &quot;-&quot;??_-;_-@_-">
                  <c:v>3.2618917528164983</c:v>
                </c:pt>
                <c:pt idx="14" formatCode="_-* #,##0.0_-;\-* #,##0.0_-;_-* &quot;-&quot;??_-;_-@_-">
                  <c:v>3.3386910402975971</c:v>
                </c:pt>
              </c:numCache>
            </c:numRef>
          </c:val>
        </c:ser>
        <c:marker val="1"/>
        <c:axId val="183956608"/>
        <c:axId val="183958144"/>
      </c:lineChart>
      <c:catAx>
        <c:axId val="18395660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3958144"/>
        <c:crosses val="autoZero"/>
        <c:auto val="1"/>
        <c:lblAlgn val="ctr"/>
        <c:lblOffset val="100"/>
        <c:tickLblSkip val="1"/>
        <c:tickMarkSkip val="1"/>
      </c:catAx>
      <c:valAx>
        <c:axId val="18395814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395660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700"/>
              <a:t>Legal Services</a:t>
            </a:r>
          </a:p>
        </c:rich>
      </c:tx>
      <c:spPr>
        <a:noFill/>
        <a:ln w="25400">
          <a:noFill/>
        </a:ln>
      </c:spPr>
    </c:title>
    <c:plotArea>
      <c:layout/>
      <c:lineChart>
        <c:grouping val="standard"/>
        <c:ser>
          <c:idx val="4"/>
          <c:order val="0"/>
          <c:tx>
            <c:strRef>
              <c:f>'A-31'!$A$203</c:f>
              <c:strCache>
                <c:ptCount val="1"/>
                <c:pt idx="0">
                  <c:v>Historic Expenditure</c:v>
                </c:pt>
              </c:strCache>
            </c:strRef>
          </c:tx>
          <c:spPr>
            <a:ln w="25400">
              <a:solidFill>
                <a:srgbClr val="33CCCC"/>
              </a:solidFill>
              <a:prstDash val="solid"/>
            </a:ln>
          </c:spPr>
          <c:marker>
            <c:symbol val="none"/>
          </c:marker>
          <c:cat>
            <c:strRef>
              <c:f>('A-31'!$B$202:$H$202,'A-31'!$B$204:$I$204)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('A-31'!$B$203:$H$203,'A-31'!$B$205,'A-31'!$C$200:$I$200)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'A-31'!$A$14</c:f>
              <c:strCache>
                <c:ptCount val="1"/>
                <c:pt idx="0">
                  <c:v>Baseline Expenditure</c:v>
                </c:pt>
              </c:strCache>
            </c:strRef>
          </c:tx>
          <c:spPr>
            <a:ln w="25400">
              <a:solidFill>
                <a:srgbClr val="0000FF"/>
              </a:solidFill>
              <a:prstDash val="solid"/>
            </a:ln>
          </c:spPr>
          <c:marker>
            <c:symbol val="none"/>
          </c:marker>
          <c:cat>
            <c:strRef>
              <c:f>('A-31'!$B$202:$H$202,'A-31'!$B$204:$I$204)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('A-31'!$B$200:$H$200,'A-31'!$B$205:$I$205)</c:f>
              <c:numCache>
                <c:formatCode>General</c:formatCode>
                <c:ptCount val="15"/>
                <c:pt idx="7" formatCode="_-* #,##0.0_-;\-* #,##0.0_-;_-* &quot;-&quot;??_-;_-@_-">
                  <c:v>0</c:v>
                </c:pt>
                <c:pt idx="8" formatCode="_-* #,##0.0_-;\-* #,##0.0_-;_-* &quot;-&quot;??_-;_-@_-">
                  <c:v>0</c:v>
                </c:pt>
                <c:pt idx="9" formatCode="_-* #,##0.0_-;\-* #,##0.0_-;_-* &quot;-&quot;??_-;_-@_-">
                  <c:v>0.93700000000000006</c:v>
                </c:pt>
                <c:pt idx="10" formatCode="_-* #,##0.0_-;\-* #,##0.0_-;_-* &quot;-&quot;??_-;_-@_-">
                  <c:v>0.93700000000000006</c:v>
                </c:pt>
                <c:pt idx="11" formatCode="_-* #,##0.0_-;\-* #,##0.0_-;_-* &quot;-&quot;??_-;_-@_-">
                  <c:v>0.93700000000000006</c:v>
                </c:pt>
                <c:pt idx="12" formatCode="_-* #,##0.0_-;\-* #,##0.0_-;_-* &quot;-&quot;??_-;_-@_-">
                  <c:v>0.93700000000000006</c:v>
                </c:pt>
                <c:pt idx="13" formatCode="_-* #,##0.0_-;\-* #,##0.0_-;_-* &quot;-&quot;??_-;_-@_-">
                  <c:v>0.93700000000000006</c:v>
                </c:pt>
                <c:pt idx="14" formatCode="_-* #,##0.0_-;\-* #,##0.0_-;_-* &quot;-&quot;??_-;_-@_-">
                  <c:v>0.93700000000000006</c:v>
                </c:pt>
              </c:numCache>
            </c:numRef>
          </c:val>
        </c:ser>
        <c:ser>
          <c:idx val="0"/>
          <c:order val="2"/>
          <c:tx>
            <c:strRef>
              <c:f>'A-31'!$A$206</c:f>
              <c:strCache>
                <c:ptCount val="1"/>
                <c:pt idx="0">
                  <c:v>Total with Variations</c:v>
                </c:pt>
              </c:strCache>
            </c:strRef>
          </c:tx>
          <c:spPr>
            <a:ln w="25400">
              <a:solidFill>
                <a:srgbClr val="993366"/>
              </a:solidFill>
              <a:prstDash val="solid"/>
            </a:ln>
          </c:spPr>
          <c:marker>
            <c:symbol val="none"/>
          </c:marker>
          <c:cat>
            <c:strRef>
              <c:f>('A-31'!$B$202:$H$202,'A-31'!$B$204:$I$204)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('A-31'!$B$200:$H$200,'A-31'!$B$206:$I$206)</c:f>
              <c:numCache>
                <c:formatCode>General</c:formatCode>
                <c:ptCount val="15"/>
                <c:pt idx="7" formatCode="_-* #,##0.0_-;\-* #,##0.0_-;_-* &quot;-&quot;??_-;_-@_-">
                  <c:v>0</c:v>
                </c:pt>
                <c:pt idx="8" formatCode="_-* #,##0.0_-;\-* #,##0.0_-;_-* &quot;-&quot;??_-;_-@_-">
                  <c:v>0</c:v>
                </c:pt>
                <c:pt idx="9" formatCode="_-* #,##0.0_-;\-* #,##0.0_-;_-* &quot;-&quot;??_-;_-@_-">
                  <c:v>0.93700000000000006</c:v>
                </c:pt>
                <c:pt idx="10" formatCode="_-* #,##0.0_-;\-* #,##0.0_-;_-* &quot;-&quot;??_-;_-@_-">
                  <c:v>0.93700000000000006</c:v>
                </c:pt>
                <c:pt idx="11" formatCode="_-* #,##0.0_-;\-* #,##0.0_-;_-* &quot;-&quot;??_-;_-@_-">
                  <c:v>0.93700000000000006</c:v>
                </c:pt>
                <c:pt idx="12" formatCode="_-* #,##0.0_-;\-* #,##0.0_-;_-* &quot;-&quot;??_-;_-@_-">
                  <c:v>0.93700000000000006</c:v>
                </c:pt>
                <c:pt idx="13" formatCode="_-* #,##0.0_-;\-* #,##0.0_-;_-* &quot;-&quot;??_-;_-@_-">
                  <c:v>0.93700000000000006</c:v>
                </c:pt>
                <c:pt idx="14" formatCode="_-* #,##0.0_-;\-* #,##0.0_-;_-* &quot;-&quot;??_-;_-@_-">
                  <c:v>0.93700000000000006</c:v>
                </c:pt>
              </c:numCache>
            </c:numRef>
          </c:val>
        </c:ser>
        <c:ser>
          <c:idx val="3"/>
          <c:order val="3"/>
          <c:tx>
            <c:strRef>
              <c:f>'A-31'!$A$207</c:f>
              <c:strCache>
                <c:ptCount val="1"/>
                <c:pt idx="0">
                  <c:v>Total with Specific Escalations</c:v>
                </c:pt>
              </c:strCache>
            </c:strRef>
          </c:tx>
          <c:spPr>
            <a:ln w="25400">
              <a:solidFill>
                <a:srgbClr val="FF0000"/>
              </a:solidFill>
              <a:prstDash val="solid"/>
            </a:ln>
          </c:spPr>
          <c:marker>
            <c:symbol val="none"/>
          </c:marker>
          <c:cat>
            <c:strRef>
              <c:f>('A-31'!$B$202:$H$202,'A-31'!$B$204:$I$204)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('A-31'!$B$200:$H$200,'A-31'!$B$207:$I$207)</c:f>
              <c:numCache>
                <c:formatCode>General</c:formatCode>
                <c:ptCount val="15"/>
                <c:pt idx="7" formatCode="_-* #,##0.0_-;\-* #,##0.0_-;_-* &quot;-&quot;??_-;_-@_-">
                  <c:v>0</c:v>
                </c:pt>
                <c:pt idx="8" formatCode="_-* #,##0.0_-;\-* #,##0.0_-;_-* &quot;-&quot;??_-;_-@_-">
                  <c:v>0</c:v>
                </c:pt>
                <c:pt idx="9" formatCode="_-* #,##0.0_-;\-* #,##0.0_-;_-* &quot;-&quot;??_-;_-@_-">
                  <c:v>0.93700000000000006</c:v>
                </c:pt>
                <c:pt idx="10" formatCode="_-* #,##0.0_-;\-* #,##0.0_-;_-* &quot;-&quot;??_-;_-@_-">
                  <c:v>0.94694153090951738</c:v>
                </c:pt>
                <c:pt idx="11" formatCode="_-* #,##0.0_-;\-* #,##0.0_-;_-* &quot;-&quot;??_-;_-@_-">
                  <c:v>0.9561532124308243</c:v>
                </c:pt>
                <c:pt idx="12" formatCode="_-* #,##0.0_-;\-* #,##0.0_-;_-* &quot;-&quot;??_-;_-@_-">
                  <c:v>0.96525885732601147</c:v>
                </c:pt>
                <c:pt idx="13" formatCode="_-* #,##0.0_-;\-* #,##0.0_-;_-* &quot;-&quot;??_-;_-@_-">
                  <c:v>0.97513775071273501</c:v>
                </c:pt>
                <c:pt idx="14" formatCode="_-* #,##0.0_-;\-* #,##0.0_-;_-* &quot;-&quot;??_-;_-@_-">
                  <c:v>0.9841868909889282</c:v>
                </c:pt>
              </c:numCache>
            </c:numRef>
          </c:val>
        </c:ser>
        <c:ser>
          <c:idx val="2"/>
          <c:order val="4"/>
          <c:tx>
            <c:strRef>
              <c:f>'A-31'!$A$208</c:f>
              <c:strCache>
                <c:ptCount val="1"/>
                <c:pt idx="0">
                  <c:v>Total with All Escalations</c:v>
                </c:pt>
              </c:strCache>
            </c:strRef>
          </c:tx>
          <c:spPr>
            <a:ln w="38100">
              <a:solidFill>
                <a:srgbClr val="00FF00"/>
              </a:solidFill>
              <a:prstDash val="solid"/>
            </a:ln>
          </c:spPr>
          <c:marker>
            <c:symbol val="none"/>
          </c:marker>
          <c:cat>
            <c:strRef>
              <c:f>('A-31'!$B$202:$H$202,'A-31'!$B$204:$I$204)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('A-31'!$B$200:$H$200,'A-31'!$B$208:$I$208)</c:f>
              <c:numCache>
                <c:formatCode>General</c:formatCode>
                <c:ptCount val="15"/>
                <c:pt idx="7" formatCode="_-* #,##0.0_-;\-* #,##0.0_-;_-* &quot;-&quot;??_-;_-@_-">
                  <c:v>0</c:v>
                </c:pt>
                <c:pt idx="8" formatCode="_-* #,##0.0_-;\-* #,##0.0_-;_-* &quot;-&quot;??_-;_-@_-">
                  <c:v>0</c:v>
                </c:pt>
                <c:pt idx="9" formatCode="_-* #,##0.0_-;\-* #,##0.0_-;_-* &quot;-&quot;??_-;_-@_-">
                  <c:v>0.93700000000000006</c:v>
                </c:pt>
                <c:pt idx="10" formatCode="_-* #,##0.0_-;\-* #,##0.0_-;_-* &quot;-&quot;??_-;_-@_-">
                  <c:v>0.96283606983988634</c:v>
                </c:pt>
                <c:pt idx="11" formatCode="_-* #,##0.0_-;\-* #,##0.0_-;_-* &quot;-&quot;??_-;_-@_-">
                  <c:v>0.98857466627399393</c:v>
                </c:pt>
                <c:pt idx="12" formatCode="_-* #,##0.0_-;\-* #,##0.0_-;_-* &quot;-&quot;??_-;_-@_-">
                  <c:v>1.0167551457301456</c:v>
                </c:pt>
                <c:pt idx="13" formatCode="_-* #,##0.0_-;\-* #,##0.0_-;_-* &quot;-&quot;??_-;_-@_-">
                  <c:v>1.0469181722262304</c:v>
                </c:pt>
                <c:pt idx="14" formatCode="_-* #,##0.0_-;\-* #,##0.0_-;_-* &quot;-&quot;??_-;_-@_-">
                  <c:v>1.0775380163090864</c:v>
                </c:pt>
              </c:numCache>
            </c:numRef>
          </c:val>
        </c:ser>
        <c:marker val="1"/>
        <c:axId val="183794304"/>
        <c:axId val="183816576"/>
      </c:lineChart>
      <c:catAx>
        <c:axId val="183794304"/>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3816576"/>
        <c:crosses val="autoZero"/>
        <c:auto val="1"/>
        <c:lblAlgn val="ctr"/>
        <c:lblOffset val="100"/>
        <c:tickLblSkip val="1"/>
        <c:tickMarkSkip val="1"/>
      </c:catAx>
      <c:valAx>
        <c:axId val="183816576"/>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3794304"/>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AU"/>
  <c:chart>
    <c:title>
      <c:tx>
        <c:strRef>
          <c:f>'A-32'!$B$2</c:f>
          <c:strCache>
            <c:ptCount val="1"/>
            <c:pt idx="0">
              <c:v>General Manager Services</c:v>
            </c:pt>
          </c:strCache>
        </c:strRef>
      </c:tx>
      <c:layout>
        <c:manualLayout>
          <c:xMode val="edge"/>
          <c:yMode val="edge"/>
          <c:x val="0.3413400758533593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'A-32'!$A$203</c:f>
              <c:strCache>
                <c:ptCount val="1"/>
                <c:pt idx="0">
                  <c:v>Historic Expenditure</c:v>
                </c:pt>
              </c:strCache>
            </c:strRef>
          </c:tx>
          <c:spPr>
            <a:ln w="25400">
              <a:solidFill>
                <a:srgbClr val="33CCCC"/>
              </a:solidFill>
              <a:prstDash val="solid"/>
            </a:ln>
          </c:spPr>
          <c:marker>
            <c:symbol val="none"/>
          </c:marker>
          <c:cat>
            <c:strRef>
              <c:f>('A-32'!$B$202:$H$202,'A-32'!$B$204:$I$204)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('A-32'!$B$203:$H$203,'A-32'!$B$205,'A-32'!$C$200:$I$200)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'A-32'!$A$14</c:f>
              <c:strCache>
                <c:ptCount val="1"/>
                <c:pt idx="0">
                  <c:v>Baseline Expenditure</c:v>
                </c:pt>
              </c:strCache>
            </c:strRef>
          </c:tx>
          <c:spPr>
            <a:ln w="25400">
              <a:solidFill>
                <a:srgbClr val="0000FF"/>
              </a:solidFill>
              <a:prstDash val="solid"/>
            </a:ln>
          </c:spPr>
          <c:marker>
            <c:symbol val="none"/>
          </c:marker>
          <c:cat>
            <c:strRef>
              <c:f>('A-32'!$B$202:$H$202,'A-32'!$B$204:$I$204)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('A-32'!$B$200:$H$200,'A-32'!$B$205:$I$205)</c:f>
              <c:numCache>
                <c:formatCode>General</c:formatCode>
                <c:ptCount val="15"/>
                <c:pt idx="7" formatCode="_-* #,##0.0_-;\-* #,##0.0_-;_-* &quot;-&quot;??_-;_-@_-">
                  <c:v>0</c:v>
                </c:pt>
                <c:pt idx="8" formatCode="_-* #,##0.0_-;\-* #,##0.0_-;_-* &quot;-&quot;??_-;_-@_-">
                  <c:v>0</c:v>
                </c:pt>
                <c:pt idx="9" formatCode="_-* #,##0.0_-;\-* #,##0.0_-;_-* &quot;-&quot;??_-;_-@_-">
                  <c:v>0.58499999999999996</c:v>
                </c:pt>
                <c:pt idx="10" formatCode="_-* #,##0.0_-;\-* #,##0.0_-;_-* &quot;-&quot;??_-;_-@_-">
                  <c:v>0.58499999999999996</c:v>
                </c:pt>
                <c:pt idx="11" formatCode="_-* #,##0.0_-;\-* #,##0.0_-;_-* &quot;-&quot;??_-;_-@_-">
                  <c:v>0.58499999999999996</c:v>
                </c:pt>
                <c:pt idx="12" formatCode="_-* #,##0.0_-;\-* #,##0.0_-;_-* &quot;-&quot;??_-;_-@_-">
                  <c:v>0.58499999999999996</c:v>
                </c:pt>
                <c:pt idx="13" formatCode="_-* #,##0.0_-;\-* #,##0.0_-;_-* &quot;-&quot;??_-;_-@_-">
                  <c:v>0.58499999999999996</c:v>
                </c:pt>
                <c:pt idx="14" formatCode="_-* #,##0.0_-;\-* #,##0.0_-;_-* &quot;-&quot;??_-;_-@_-">
                  <c:v>0.58499999999999996</c:v>
                </c:pt>
              </c:numCache>
            </c:numRef>
          </c:val>
        </c:ser>
        <c:ser>
          <c:idx val="0"/>
          <c:order val="2"/>
          <c:tx>
            <c:strRef>
              <c:f>'A-32'!$A$206</c:f>
              <c:strCache>
                <c:ptCount val="1"/>
                <c:pt idx="0">
                  <c:v>Total with Variations</c:v>
                </c:pt>
              </c:strCache>
            </c:strRef>
          </c:tx>
          <c:spPr>
            <a:ln w="25400">
              <a:solidFill>
                <a:srgbClr val="993366"/>
              </a:solidFill>
              <a:prstDash val="solid"/>
            </a:ln>
          </c:spPr>
          <c:marker>
            <c:symbol val="none"/>
          </c:marker>
          <c:cat>
            <c:strRef>
              <c:f>('A-32'!$B$202:$H$202,'A-32'!$B$204:$I$204)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('A-32'!$B$200:$H$200,'A-32'!$B$206:$I$206)</c:f>
              <c:numCache>
                <c:formatCode>General</c:formatCode>
                <c:ptCount val="15"/>
                <c:pt idx="7" formatCode="_-* #,##0.0_-;\-* #,##0.0_-;_-* &quot;-&quot;??_-;_-@_-">
                  <c:v>0</c:v>
                </c:pt>
                <c:pt idx="8" formatCode="_-* #,##0.0_-;\-* #,##0.0_-;_-* &quot;-&quot;??_-;_-@_-">
                  <c:v>0</c:v>
                </c:pt>
                <c:pt idx="9" formatCode="_-* #,##0.0_-;\-* #,##0.0_-;_-* &quot;-&quot;??_-;_-@_-">
                  <c:v>0.58499999999999996</c:v>
                </c:pt>
                <c:pt idx="10" formatCode="_-* #,##0.0_-;\-* #,##0.0_-;_-* &quot;-&quot;??_-;_-@_-">
                  <c:v>0.58499999999999996</c:v>
                </c:pt>
                <c:pt idx="11" formatCode="_-* #,##0.0_-;\-* #,##0.0_-;_-* &quot;-&quot;??_-;_-@_-">
                  <c:v>0.58499999999999996</c:v>
                </c:pt>
                <c:pt idx="12" formatCode="_-* #,##0.0_-;\-* #,##0.0_-;_-* &quot;-&quot;??_-;_-@_-">
                  <c:v>0.58499999999999996</c:v>
                </c:pt>
                <c:pt idx="13" formatCode="_-* #,##0.0_-;\-* #,##0.0_-;_-* &quot;-&quot;??_-;_-@_-">
                  <c:v>0.58499999999999996</c:v>
                </c:pt>
                <c:pt idx="14" formatCode="_-* #,##0.0_-;\-* #,##0.0_-;_-* &quot;-&quot;??_-;_-@_-">
                  <c:v>0.58499999999999996</c:v>
                </c:pt>
              </c:numCache>
            </c:numRef>
          </c:val>
        </c:ser>
        <c:ser>
          <c:idx val="3"/>
          <c:order val="3"/>
          <c:tx>
            <c:strRef>
              <c:f>'A-32'!$A$207</c:f>
              <c:strCache>
                <c:ptCount val="1"/>
                <c:pt idx="0">
                  <c:v>Total with Specific Escalations</c:v>
                </c:pt>
              </c:strCache>
            </c:strRef>
          </c:tx>
          <c:spPr>
            <a:ln w="25400">
              <a:solidFill>
                <a:srgbClr val="FF0000"/>
              </a:solidFill>
              <a:prstDash val="solid"/>
            </a:ln>
          </c:spPr>
          <c:marker>
            <c:symbol val="none"/>
          </c:marker>
          <c:cat>
            <c:strRef>
              <c:f>('A-32'!$B$202:$H$202,'A-32'!$B$204:$I$204)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('A-32'!$B$200:$H$200,'A-32'!$B$207:$I$207)</c:f>
              <c:numCache>
                <c:formatCode>General</c:formatCode>
                <c:ptCount val="15"/>
                <c:pt idx="7" formatCode="_-* #,##0.0_-;\-* #,##0.0_-;_-* &quot;-&quot;??_-;_-@_-">
                  <c:v>0</c:v>
                </c:pt>
                <c:pt idx="8" formatCode="_-* #,##0.0_-;\-* #,##0.0_-;_-* &quot;-&quot;??_-;_-@_-">
                  <c:v>0</c:v>
                </c:pt>
                <c:pt idx="9" formatCode="_-* #,##0.0_-;\-* #,##0.0_-;_-* &quot;-&quot;??_-;_-@_-">
                  <c:v>0.58499999999999996</c:v>
                </c:pt>
                <c:pt idx="10" formatCode="_-* #,##0.0_-;\-* #,##0.0_-;_-* &quot;-&quot;??_-;_-@_-">
                  <c:v>0.59120682559452253</c:v>
                </c:pt>
                <c:pt idx="11" formatCode="_-* #,##0.0_-;\-* #,##0.0_-;_-* &quot;-&quot;??_-;_-@_-">
                  <c:v>0.59695798214731288</c:v>
                </c:pt>
                <c:pt idx="12" formatCode="_-* #,##0.0_-;\-* #,##0.0_-;_-* &quot;-&quot;??_-;_-@_-">
                  <c:v>0.60264293653758449</c:v>
                </c:pt>
                <c:pt idx="13" formatCode="_-* #,##0.0_-;\-* #,##0.0_-;_-* &quot;-&quot;??_-;_-@_-">
                  <c:v>0.60881065546099244</c:v>
                </c:pt>
                <c:pt idx="14" formatCode="_-* #,##0.0_-;\-* #,##0.0_-;_-* &quot;-&quot;??_-;_-@_-">
                  <c:v>0.61446033215424012</c:v>
                </c:pt>
              </c:numCache>
            </c:numRef>
          </c:val>
        </c:ser>
        <c:ser>
          <c:idx val="2"/>
          <c:order val="4"/>
          <c:tx>
            <c:strRef>
              <c:f>'A-32'!$A$208</c:f>
              <c:strCache>
                <c:ptCount val="1"/>
                <c:pt idx="0">
                  <c:v>Total with All Escalations</c:v>
                </c:pt>
              </c:strCache>
            </c:strRef>
          </c:tx>
          <c:spPr>
            <a:ln w="38100">
              <a:solidFill>
                <a:srgbClr val="00FF00"/>
              </a:solidFill>
              <a:prstDash val="solid"/>
            </a:ln>
          </c:spPr>
          <c:marker>
            <c:symbol val="none"/>
          </c:marker>
          <c:cat>
            <c:strRef>
              <c:f>('A-32'!$B$202:$H$202,'A-32'!$B$204:$I$204)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('A-32'!$B$200:$H$200,'A-32'!$B$208:$I$208)</c:f>
              <c:numCache>
                <c:formatCode>General</c:formatCode>
                <c:ptCount val="15"/>
                <c:pt idx="7" formatCode="_-* #,##0.0_-;\-* #,##0.0_-;_-* &quot;-&quot;??_-;_-@_-">
                  <c:v>0</c:v>
                </c:pt>
                <c:pt idx="8" formatCode="_-* #,##0.0_-;\-* #,##0.0_-;_-* &quot;-&quot;??_-;_-@_-">
                  <c:v>0</c:v>
                </c:pt>
                <c:pt idx="9" formatCode="_-* #,##0.0_-;\-* #,##0.0_-;_-* &quot;-&quot;??_-;_-@_-">
                  <c:v>0.58499999999999996</c:v>
                </c:pt>
                <c:pt idx="10" formatCode="_-* #,##0.0_-;\-* #,##0.0_-;_-* &quot;-&quot;??_-;_-@_-">
                  <c:v>0.60246693955985497</c:v>
                </c:pt>
                <c:pt idx="11" formatCode="_-* #,##0.0_-;\-* #,##0.0_-;_-* &quot;-&quot;??_-;_-@_-">
                  <c:v>0.61993503856331211</c:v>
                </c:pt>
                <c:pt idx="12" formatCode="_-* #,##0.0_-;\-* #,##0.0_-;_-* &quot;-&quot;??_-;_-@_-">
                  <c:v>0.63874429340766292</c:v>
                </c:pt>
                <c:pt idx="13" formatCode="_-* #,##0.0_-;\-* #,##0.0_-;_-* &quot;-&quot;??_-;_-@_-">
                  <c:v>0.65872232621351712</c:v>
                </c:pt>
                <c:pt idx="14" formatCode="_-* #,##0.0_-;\-* #,##0.0_-;_-* &quot;-&quot;??_-;_-@_-">
                  <c:v>0.67885777730280006</c:v>
                </c:pt>
              </c:numCache>
            </c:numRef>
          </c:val>
        </c:ser>
        <c:marker val="1"/>
        <c:axId val="184435072"/>
        <c:axId val="184436608"/>
      </c:lineChart>
      <c:catAx>
        <c:axId val="18443507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4436608"/>
        <c:crosses val="autoZero"/>
        <c:auto val="1"/>
        <c:lblAlgn val="ctr"/>
        <c:lblOffset val="100"/>
        <c:tickLblSkip val="1"/>
        <c:tickMarkSkip val="1"/>
      </c:catAx>
      <c:valAx>
        <c:axId val="18443660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443507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US" sz="700"/>
              <a:t>Customer Relations, excluding Call Centre</a:t>
            </a:r>
          </a:p>
        </c:rich>
      </c:tx>
      <c:spPr>
        <a:noFill/>
        <a:ln w="25400">
          <a:noFill/>
        </a:ln>
      </c:spPr>
    </c:title>
    <c:plotArea>
      <c:layout/>
      <c:lineChart>
        <c:grouping val="standard"/>
        <c:ser>
          <c:idx val="4"/>
          <c:order val="0"/>
          <c:tx>
            <c:strRef>
              <c:f>'A-33'!$A$203</c:f>
              <c:strCache>
                <c:ptCount val="1"/>
                <c:pt idx="0">
                  <c:v>Historic Expenditure</c:v>
                </c:pt>
              </c:strCache>
            </c:strRef>
          </c:tx>
          <c:spPr>
            <a:ln w="25400">
              <a:solidFill>
                <a:srgbClr val="33CCCC"/>
              </a:solidFill>
              <a:prstDash val="solid"/>
            </a:ln>
          </c:spPr>
          <c:marker>
            <c:symbol val="none"/>
          </c:marker>
          <c:cat>
            <c:strRef>
              <c:f>('A-33'!$B$202:$H$202,'A-33'!$B$204:$I$204)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('A-33'!$B$203:$H$203,'A-33'!$B$205,'A-33'!$C$200:$I$200)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'A-33'!$A$14</c:f>
              <c:strCache>
                <c:ptCount val="1"/>
                <c:pt idx="0">
                  <c:v>Baseline Expenditure</c:v>
                </c:pt>
              </c:strCache>
            </c:strRef>
          </c:tx>
          <c:spPr>
            <a:ln w="25400">
              <a:solidFill>
                <a:srgbClr val="0000FF"/>
              </a:solidFill>
              <a:prstDash val="solid"/>
            </a:ln>
          </c:spPr>
          <c:marker>
            <c:symbol val="none"/>
          </c:marker>
          <c:cat>
            <c:strRef>
              <c:f>('A-33'!$B$202:$H$202,'A-33'!$B$204:$I$204)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('A-33'!$B$200:$H$200,'A-33'!$B$205:$I$205)</c:f>
              <c:numCache>
                <c:formatCode>General</c:formatCode>
                <c:ptCount val="15"/>
                <c:pt idx="7" formatCode="_-* #,##0.0_-;\-* #,##0.0_-;_-* &quot;-&quot;??_-;_-@_-">
                  <c:v>0</c:v>
                </c:pt>
                <c:pt idx="8" formatCode="_-* #,##0.0_-;\-* #,##0.0_-;_-* &quot;-&quot;??_-;_-@_-">
                  <c:v>0</c:v>
                </c:pt>
                <c:pt idx="9" formatCode="_-* #,##0.0_-;\-* #,##0.0_-;_-* &quot;-&quot;??_-;_-@_-">
                  <c:v>2.1360000000000001</c:v>
                </c:pt>
                <c:pt idx="10" formatCode="_-* #,##0.0_-;\-* #,##0.0_-;_-* &quot;-&quot;??_-;_-@_-">
                  <c:v>2.1360000000000001</c:v>
                </c:pt>
                <c:pt idx="11" formatCode="_-* #,##0.0_-;\-* #,##0.0_-;_-* &quot;-&quot;??_-;_-@_-">
                  <c:v>2.1360000000000001</c:v>
                </c:pt>
                <c:pt idx="12" formatCode="_-* #,##0.0_-;\-* #,##0.0_-;_-* &quot;-&quot;??_-;_-@_-">
                  <c:v>2.1360000000000001</c:v>
                </c:pt>
                <c:pt idx="13" formatCode="_-* #,##0.0_-;\-* #,##0.0_-;_-* &quot;-&quot;??_-;_-@_-">
                  <c:v>2.1360000000000001</c:v>
                </c:pt>
                <c:pt idx="14" formatCode="_-* #,##0.0_-;\-* #,##0.0_-;_-* &quot;-&quot;??_-;_-@_-">
                  <c:v>2.1360000000000001</c:v>
                </c:pt>
              </c:numCache>
            </c:numRef>
          </c:val>
        </c:ser>
        <c:ser>
          <c:idx val="0"/>
          <c:order val="2"/>
          <c:tx>
            <c:strRef>
              <c:f>'A-33'!$A$206</c:f>
              <c:strCache>
                <c:ptCount val="1"/>
                <c:pt idx="0">
                  <c:v>Total with Variations</c:v>
                </c:pt>
              </c:strCache>
            </c:strRef>
          </c:tx>
          <c:spPr>
            <a:ln w="25400">
              <a:solidFill>
                <a:srgbClr val="993366"/>
              </a:solidFill>
              <a:prstDash val="solid"/>
            </a:ln>
          </c:spPr>
          <c:marker>
            <c:symbol val="none"/>
          </c:marker>
          <c:cat>
            <c:strRef>
              <c:f>('A-33'!$B$202:$H$202,'A-33'!$B$204:$I$204)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('A-33'!$B$200:$H$200,'A-33'!$B$206:$I$206)</c:f>
              <c:numCache>
                <c:formatCode>General</c:formatCode>
                <c:ptCount val="15"/>
                <c:pt idx="7" formatCode="_-* #,##0.0_-;\-* #,##0.0_-;_-* &quot;-&quot;??_-;_-@_-">
                  <c:v>0</c:v>
                </c:pt>
                <c:pt idx="8" formatCode="_-* #,##0.0_-;\-* #,##0.0_-;_-* &quot;-&quot;??_-;_-@_-">
                  <c:v>0</c:v>
                </c:pt>
                <c:pt idx="9" formatCode="_-* #,##0.0_-;\-* #,##0.0_-;_-* &quot;-&quot;??_-;_-@_-">
                  <c:v>2.1360000000000001</c:v>
                </c:pt>
                <c:pt idx="10" formatCode="_-* #,##0.0_-;\-* #,##0.0_-;_-* &quot;-&quot;??_-;_-@_-">
                  <c:v>2.1360000000000001</c:v>
                </c:pt>
                <c:pt idx="11" formatCode="_-* #,##0.0_-;\-* #,##0.0_-;_-* &quot;-&quot;??_-;_-@_-">
                  <c:v>2.7280000000000002</c:v>
                </c:pt>
                <c:pt idx="12" formatCode="_-* #,##0.0_-;\-* #,##0.0_-;_-* &quot;-&quot;??_-;_-@_-">
                  <c:v>3.032</c:v>
                </c:pt>
                <c:pt idx="13" formatCode="_-* #,##0.0_-;\-* #,##0.0_-;_-* &quot;-&quot;??_-;_-@_-">
                  <c:v>3.032</c:v>
                </c:pt>
                <c:pt idx="14" formatCode="_-* #,##0.0_-;\-* #,##0.0_-;_-* &quot;-&quot;??_-;_-@_-">
                  <c:v>3.133</c:v>
                </c:pt>
              </c:numCache>
            </c:numRef>
          </c:val>
        </c:ser>
        <c:ser>
          <c:idx val="3"/>
          <c:order val="3"/>
          <c:tx>
            <c:strRef>
              <c:f>'A-33'!$A$207</c:f>
              <c:strCache>
                <c:ptCount val="1"/>
                <c:pt idx="0">
                  <c:v>Total with Specific Escalations</c:v>
                </c:pt>
              </c:strCache>
            </c:strRef>
          </c:tx>
          <c:spPr>
            <a:ln w="25400">
              <a:solidFill>
                <a:srgbClr val="FF0000"/>
              </a:solidFill>
              <a:prstDash val="solid"/>
            </a:ln>
          </c:spPr>
          <c:marker>
            <c:symbol val="none"/>
          </c:marker>
          <c:cat>
            <c:strRef>
              <c:f>('A-33'!$B$202:$H$202,'A-33'!$B$204:$I$204)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('A-33'!$B$200:$H$200,'A-33'!$B$207:$I$207)</c:f>
              <c:numCache>
                <c:formatCode>General</c:formatCode>
                <c:ptCount val="15"/>
                <c:pt idx="7" formatCode="_-* #,##0.0_-;\-* #,##0.0_-;_-* &quot;-&quot;??_-;_-@_-">
                  <c:v>0</c:v>
                </c:pt>
                <c:pt idx="8" formatCode="_-* #,##0.0_-;\-* #,##0.0_-;_-* &quot;-&quot;??_-;_-@_-">
                  <c:v>0</c:v>
                </c:pt>
                <c:pt idx="9" formatCode="_-* #,##0.0_-;\-* #,##0.0_-;_-* &quot;-&quot;??_-;_-@_-">
                  <c:v>2.1360000000000001</c:v>
                </c:pt>
                <c:pt idx="10" formatCode="_-* #,##0.0_-;\-* #,##0.0_-;_-* &quot;-&quot;??_-;_-@_-">
                  <c:v>2.1586628708887186</c:v>
                </c:pt>
                <c:pt idx="11" formatCode="_-* #,##0.0_-;\-* #,##0.0_-;_-* &quot;-&quot;??_-;_-@_-">
                  <c:v>2.7716619655840349</c:v>
                </c:pt>
                <c:pt idx="12" formatCode="_-* #,##0.0_-;\-* #,##0.0_-;_-* &quot;-&quot;??_-;_-@_-">
                  <c:v>3.0964193375115907</c:v>
                </c:pt>
                <c:pt idx="13" formatCode="_-* #,##0.0_-;\-* #,##0.0_-;_-* &quot;-&quot;??_-;_-@_-">
                  <c:v>3.1189394189139827</c:v>
                </c:pt>
                <c:pt idx="14" formatCode="_-* #,##0.0_-;\-* #,##0.0_-;_-* &quot;-&quot;??_-;_-@_-">
                  <c:v>3.2405679820195843</c:v>
                </c:pt>
              </c:numCache>
            </c:numRef>
          </c:val>
        </c:ser>
        <c:ser>
          <c:idx val="2"/>
          <c:order val="4"/>
          <c:tx>
            <c:strRef>
              <c:f>'A-33'!$A$208</c:f>
              <c:strCache>
                <c:ptCount val="1"/>
                <c:pt idx="0">
                  <c:v>Total with All Escalations</c:v>
                </c:pt>
              </c:strCache>
            </c:strRef>
          </c:tx>
          <c:spPr>
            <a:ln w="38100">
              <a:solidFill>
                <a:srgbClr val="00FF00"/>
              </a:solidFill>
              <a:prstDash val="solid"/>
            </a:ln>
          </c:spPr>
          <c:marker>
            <c:symbol val="none"/>
          </c:marker>
          <c:cat>
            <c:strRef>
              <c:f>('A-33'!$B$202:$H$202,'A-33'!$B$204:$I$204)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('A-33'!$B$200:$H$200,'A-33'!$B$208:$I$208)</c:f>
              <c:numCache>
                <c:formatCode>General</c:formatCode>
                <c:ptCount val="15"/>
                <c:pt idx="7" formatCode="_-* #,##0.0_-;\-* #,##0.0_-;_-* &quot;-&quot;??_-;_-@_-">
                  <c:v>0</c:v>
                </c:pt>
                <c:pt idx="8" formatCode="_-* #,##0.0_-;\-* #,##0.0_-;_-* &quot;-&quot;??_-;_-@_-">
                  <c:v>0</c:v>
                </c:pt>
                <c:pt idx="9" formatCode="_-* #,##0.0_-;\-* #,##0.0_-;_-* &quot;-&quot;??_-;_-@_-">
                  <c:v>2.1360000000000001</c:v>
                </c:pt>
                <c:pt idx="10" formatCode="_-* #,##0.0_-;\-* #,##0.0_-;_-* &quot;-&quot;??_-;_-@_-">
                  <c:v>2.1980065403979139</c:v>
                </c:pt>
                <c:pt idx="11" formatCode="_-* #,##0.0_-;\-* #,##0.0_-;_-* &quot;-&quot;??_-;_-@_-">
                  <c:v>2.851933956079832</c:v>
                </c:pt>
                <c:pt idx="12" formatCode="_-* #,##0.0_-;\-* #,##0.0_-;_-* &quot;-&quot;??_-;_-@_-">
                  <c:v>3.2230564218339142</c:v>
                </c:pt>
                <c:pt idx="13" formatCode="_-* #,##0.0_-;\-* #,##0.0_-;_-* &quot;-&quot;??_-;_-@_-">
                  <c:v>3.2945615034521216</c:v>
                </c:pt>
                <c:pt idx="14" formatCode="_-* #,##0.0_-;\-* #,##0.0_-;_-* &quot;-&quot;??_-;_-@_-">
                  <c:v>3.4678433786941478</c:v>
                </c:pt>
              </c:numCache>
            </c:numRef>
          </c:val>
        </c:ser>
        <c:marker val="1"/>
        <c:axId val="184780672"/>
        <c:axId val="184782208"/>
      </c:lineChart>
      <c:catAx>
        <c:axId val="184780672"/>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4782208"/>
        <c:crosses val="autoZero"/>
        <c:auto val="1"/>
        <c:lblAlgn val="ctr"/>
        <c:lblOffset val="100"/>
        <c:tickLblSkip val="1"/>
        <c:tickMarkSkip val="1"/>
      </c:catAx>
      <c:valAx>
        <c:axId val="184782208"/>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4780672"/>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AU"/>
  <c:chart>
    <c:title>
      <c:tx>
        <c:strRef>
          <c:f>'A-34'!$B$2</c:f>
          <c:strCache>
            <c:ptCount val="1"/>
            <c:pt idx="0">
              <c:v>Business Improvement and Planning</c:v>
            </c:pt>
          </c:strCache>
        </c:strRef>
      </c:tx>
      <c:layout>
        <c:manualLayout>
          <c:xMode val="edge"/>
          <c:yMode val="edge"/>
          <c:x val="0.28192161820481687"/>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'A-34'!$A$203</c:f>
              <c:strCache>
                <c:ptCount val="1"/>
                <c:pt idx="0">
                  <c:v>Historic Expenditure</c:v>
                </c:pt>
              </c:strCache>
            </c:strRef>
          </c:tx>
          <c:spPr>
            <a:ln w="25400">
              <a:solidFill>
                <a:srgbClr val="33CCCC"/>
              </a:solidFill>
              <a:prstDash val="solid"/>
            </a:ln>
          </c:spPr>
          <c:marker>
            <c:symbol val="none"/>
          </c:marker>
          <c:cat>
            <c:strRef>
              <c:f>('A-34'!$B$202:$H$202,'A-34'!$B$204:$I$204)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('A-34'!$B$203:$H$203,'A-34'!$B$205,'A-34'!$C$200:$I$200)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'A-34'!$A$14</c:f>
              <c:strCache>
                <c:ptCount val="1"/>
                <c:pt idx="0">
                  <c:v>Baseline Expenditure</c:v>
                </c:pt>
              </c:strCache>
            </c:strRef>
          </c:tx>
          <c:spPr>
            <a:ln w="25400">
              <a:solidFill>
                <a:srgbClr val="0000FF"/>
              </a:solidFill>
              <a:prstDash val="solid"/>
            </a:ln>
          </c:spPr>
          <c:marker>
            <c:symbol val="none"/>
          </c:marker>
          <c:cat>
            <c:strRef>
              <c:f>('A-34'!$B$202:$H$202,'A-34'!$B$204:$I$204)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('A-34'!$B$200:$H$200,'A-34'!$B$205:$I$205)</c:f>
              <c:numCache>
                <c:formatCode>General</c:formatCode>
                <c:ptCount val="15"/>
                <c:pt idx="7" formatCode="_-* #,##0.0_-;\-* #,##0.0_-;_-* &quot;-&quot;??_-;_-@_-">
                  <c:v>0</c:v>
                </c:pt>
                <c:pt idx="8" formatCode="_-* #,##0.0_-;\-* #,##0.0_-;_-* &quot;-&quot;??_-;_-@_-">
                  <c:v>0</c:v>
                </c:pt>
                <c:pt idx="9" formatCode="_-* #,##0.0_-;\-* #,##0.0_-;_-* &quot;-&quot;??_-;_-@_-">
                  <c:v>0.90799999999999992</c:v>
                </c:pt>
                <c:pt idx="10" formatCode="_-* #,##0.0_-;\-* #,##0.0_-;_-* &quot;-&quot;??_-;_-@_-">
                  <c:v>0.90799999999999992</c:v>
                </c:pt>
                <c:pt idx="11" formatCode="_-* #,##0.0_-;\-* #,##0.0_-;_-* &quot;-&quot;??_-;_-@_-">
                  <c:v>0.90799999999999992</c:v>
                </c:pt>
                <c:pt idx="12" formatCode="_-* #,##0.0_-;\-* #,##0.0_-;_-* &quot;-&quot;??_-;_-@_-">
                  <c:v>0.90799999999999992</c:v>
                </c:pt>
                <c:pt idx="13" formatCode="_-* #,##0.0_-;\-* #,##0.0_-;_-* &quot;-&quot;??_-;_-@_-">
                  <c:v>0.90799999999999992</c:v>
                </c:pt>
                <c:pt idx="14" formatCode="_-* #,##0.0_-;\-* #,##0.0_-;_-* &quot;-&quot;??_-;_-@_-">
                  <c:v>0.90799999999999992</c:v>
                </c:pt>
              </c:numCache>
            </c:numRef>
          </c:val>
        </c:ser>
        <c:ser>
          <c:idx val="0"/>
          <c:order val="2"/>
          <c:tx>
            <c:strRef>
              <c:f>'A-34'!$A$206</c:f>
              <c:strCache>
                <c:ptCount val="1"/>
                <c:pt idx="0">
                  <c:v>Total with Variations</c:v>
                </c:pt>
              </c:strCache>
            </c:strRef>
          </c:tx>
          <c:spPr>
            <a:ln w="25400">
              <a:solidFill>
                <a:srgbClr val="993366"/>
              </a:solidFill>
              <a:prstDash val="solid"/>
            </a:ln>
          </c:spPr>
          <c:marker>
            <c:symbol val="none"/>
          </c:marker>
          <c:cat>
            <c:strRef>
              <c:f>('A-34'!$B$202:$H$202,'A-34'!$B$204:$I$204)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('A-34'!$B$200:$H$200,'A-34'!$B$206:$I$206)</c:f>
              <c:numCache>
                <c:formatCode>General</c:formatCode>
                <c:ptCount val="15"/>
                <c:pt idx="7" formatCode="_-* #,##0.0_-;\-* #,##0.0_-;_-* &quot;-&quot;??_-;_-@_-">
                  <c:v>0</c:v>
                </c:pt>
                <c:pt idx="8" formatCode="_-* #,##0.0_-;\-* #,##0.0_-;_-* &quot;-&quot;??_-;_-@_-">
                  <c:v>0</c:v>
                </c:pt>
                <c:pt idx="9" formatCode="_-* #,##0.0_-;\-* #,##0.0_-;_-* &quot;-&quot;??_-;_-@_-">
                  <c:v>0.90799999999999992</c:v>
                </c:pt>
                <c:pt idx="10" formatCode="_-* #,##0.0_-;\-* #,##0.0_-;_-* &quot;-&quot;??_-;_-@_-">
                  <c:v>0.90799999999999992</c:v>
                </c:pt>
                <c:pt idx="11" formatCode="_-* #,##0.0_-;\-* #,##0.0_-;_-* &quot;-&quot;??_-;_-@_-">
                  <c:v>1.3079999999999998</c:v>
                </c:pt>
                <c:pt idx="12" formatCode="_-* #,##0.0_-;\-* #,##0.0_-;_-* &quot;-&quot;??_-;_-@_-">
                  <c:v>1.3079999999999998</c:v>
                </c:pt>
                <c:pt idx="13" formatCode="_-* #,##0.0_-;\-* #,##0.0_-;_-* &quot;-&quot;??_-;_-@_-">
                  <c:v>1.3079999999999998</c:v>
                </c:pt>
                <c:pt idx="14" formatCode="_-* #,##0.0_-;\-* #,##0.0_-;_-* &quot;-&quot;??_-;_-@_-">
                  <c:v>1.3079999999999998</c:v>
                </c:pt>
              </c:numCache>
            </c:numRef>
          </c:val>
        </c:ser>
        <c:ser>
          <c:idx val="3"/>
          <c:order val="3"/>
          <c:tx>
            <c:strRef>
              <c:f>'A-34'!$A$207</c:f>
              <c:strCache>
                <c:ptCount val="1"/>
                <c:pt idx="0">
                  <c:v>Total with Specific Escalations</c:v>
                </c:pt>
              </c:strCache>
            </c:strRef>
          </c:tx>
          <c:spPr>
            <a:ln w="25400">
              <a:solidFill>
                <a:srgbClr val="FF0000"/>
              </a:solidFill>
              <a:prstDash val="solid"/>
            </a:ln>
          </c:spPr>
          <c:marker>
            <c:symbol val="none"/>
          </c:marker>
          <c:cat>
            <c:strRef>
              <c:f>('A-34'!$B$202:$H$202,'A-34'!$B$204:$I$204)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('A-34'!$B$200:$H$200,'A-34'!$B$207:$I$207)</c:f>
              <c:numCache>
                <c:formatCode>General</c:formatCode>
                <c:ptCount val="15"/>
                <c:pt idx="7" formatCode="_-* #,##0.0_-;\-* #,##0.0_-;_-* &quot;-&quot;??_-;_-@_-">
                  <c:v>0</c:v>
                </c:pt>
                <c:pt idx="8" formatCode="_-* #,##0.0_-;\-* #,##0.0_-;_-* &quot;-&quot;??_-;_-@_-">
                  <c:v>0</c:v>
                </c:pt>
                <c:pt idx="9" formatCode="_-* #,##0.0_-;\-* #,##0.0_-;_-* &quot;-&quot;??_-;_-@_-">
                  <c:v>0.90799999999999992</c:v>
                </c:pt>
                <c:pt idx="10" formatCode="_-* #,##0.0_-;\-* #,##0.0_-;_-* &quot;-&quot;??_-;_-@_-">
                  <c:v>0.91763384211936139</c:v>
                </c:pt>
                <c:pt idx="11" formatCode="_-* #,##0.0_-;\-* #,##0.0_-;_-* &quot;-&quot;??_-;_-@_-">
                  <c:v>1.3265604235722392</c:v>
                </c:pt>
                <c:pt idx="12" formatCode="_-* #,##0.0_-;\-* #,##0.0_-;_-* &quot;-&quot;??_-;_-@_-">
                  <c:v>1.335384250215601</c:v>
                </c:pt>
                <c:pt idx="13" formatCode="_-* #,##0.0_-;\-* #,##0.0_-;_-* &quot;-&quot;??_-;_-@_-">
                  <c:v>1.344957393433472</c:v>
                </c:pt>
                <c:pt idx="14" formatCode="_-* #,##0.0_-;\-* #,##0.0_-;_-* &quot;-&quot;??_-;_-@_-">
                  <c:v>1.3537264642667519</c:v>
                </c:pt>
              </c:numCache>
            </c:numRef>
          </c:val>
        </c:ser>
        <c:ser>
          <c:idx val="2"/>
          <c:order val="4"/>
          <c:tx>
            <c:strRef>
              <c:f>'A-34'!$A$208</c:f>
              <c:strCache>
                <c:ptCount val="1"/>
                <c:pt idx="0">
                  <c:v>Total with All Escalations</c:v>
                </c:pt>
              </c:strCache>
            </c:strRef>
          </c:tx>
          <c:spPr>
            <a:ln w="38100">
              <a:solidFill>
                <a:srgbClr val="00FF00"/>
              </a:solidFill>
              <a:prstDash val="solid"/>
            </a:ln>
          </c:spPr>
          <c:marker>
            <c:symbol val="none"/>
          </c:marker>
          <c:cat>
            <c:strRef>
              <c:f>('A-34'!$B$202:$H$202,'A-34'!$B$204:$I$204)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('A-34'!$B$200:$H$200,'A-34'!$B$208:$I$208)</c:f>
              <c:numCache>
                <c:formatCode>General</c:formatCode>
                <c:ptCount val="15"/>
                <c:pt idx="7" formatCode="_-* #,##0.0_-;\-* #,##0.0_-;_-* &quot;-&quot;??_-;_-@_-">
                  <c:v>0</c:v>
                </c:pt>
                <c:pt idx="8" formatCode="_-* #,##0.0_-;\-* #,##0.0_-;_-* &quot;-&quot;??_-;_-@_-">
                  <c:v>0</c:v>
                </c:pt>
                <c:pt idx="9" formatCode="_-* #,##0.0_-;\-* #,##0.0_-;_-* &quot;-&quot;??_-;_-@_-">
                  <c:v>0.90799999999999992</c:v>
                </c:pt>
                <c:pt idx="10" formatCode="_-* #,##0.0_-;\-* #,##0.0_-;_-* &quot;-&quot;??_-;_-@_-">
                  <c:v>0.93266874766378838</c:v>
                </c:pt>
                <c:pt idx="11" formatCode="_-* #,##0.0_-;\-* #,##0.0_-;_-* &quot;-&quot;??_-;_-@_-">
                  <c:v>1.3572253291399523</c:v>
                </c:pt>
                <c:pt idx="12" formatCode="_-* #,##0.0_-;\-* #,##0.0_-;_-* &quot;-&quot;??_-;_-@_-">
                  <c:v>1.3842278950845881</c:v>
                </c:pt>
                <c:pt idx="13" formatCode="_-* #,##0.0_-;\-* #,##0.0_-;_-* &quot;-&quot;??_-;_-@_-">
                  <c:v>1.4131831728999251</c:v>
                </c:pt>
                <c:pt idx="14" formatCode="_-* #,##0.0_-;\-* #,##0.0_-;_-* &quot;-&quot;??_-;_-@_-">
                  <c:v>1.4426336278671301</c:v>
                </c:pt>
              </c:numCache>
            </c:numRef>
          </c:val>
        </c:ser>
        <c:marker val="1"/>
        <c:axId val="184098176"/>
        <c:axId val="184112256"/>
      </c:lineChart>
      <c:catAx>
        <c:axId val="184098176"/>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4112256"/>
        <c:crosses val="autoZero"/>
        <c:auto val="1"/>
        <c:lblAlgn val="ctr"/>
        <c:lblOffset val="100"/>
        <c:tickLblSkip val="1"/>
        <c:tickMarkSkip val="1"/>
      </c:catAx>
      <c:valAx>
        <c:axId val="1841122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4098176"/>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AU"/>
  <c:chart>
    <c:title>
      <c:tx>
        <c:strRef>
          <c:f>'A-35'!$B$2</c:f>
          <c:strCache>
            <c:ptCount val="1"/>
            <c:pt idx="0">
              <c:v>Works Coordination</c:v>
            </c:pt>
          </c:strCache>
        </c:strRef>
      </c:tx>
      <c:layout>
        <c:manualLayout>
          <c:xMode val="edge"/>
          <c:yMode val="edge"/>
          <c:x val="0.3805309734513274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'A-35'!$A$203</c:f>
              <c:strCache>
                <c:ptCount val="1"/>
                <c:pt idx="0">
                  <c:v>Historic Expenditure</c:v>
                </c:pt>
              </c:strCache>
            </c:strRef>
          </c:tx>
          <c:spPr>
            <a:ln w="25400">
              <a:solidFill>
                <a:srgbClr val="33CCCC"/>
              </a:solidFill>
              <a:prstDash val="solid"/>
            </a:ln>
          </c:spPr>
          <c:marker>
            <c:symbol val="none"/>
          </c:marker>
          <c:cat>
            <c:strRef>
              <c:f>('A-35'!$B$202:$H$202,'A-35'!$B$204:$I$204)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('A-35'!$B$203:$H$203,'A-35'!$B$205,'A-35'!$C$200:$I$200)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'A-35'!$A$14</c:f>
              <c:strCache>
                <c:ptCount val="1"/>
                <c:pt idx="0">
                  <c:v>Baseline Expenditure</c:v>
                </c:pt>
              </c:strCache>
            </c:strRef>
          </c:tx>
          <c:spPr>
            <a:ln w="25400">
              <a:solidFill>
                <a:srgbClr val="0000FF"/>
              </a:solidFill>
              <a:prstDash val="solid"/>
            </a:ln>
          </c:spPr>
          <c:marker>
            <c:symbol val="none"/>
          </c:marker>
          <c:cat>
            <c:strRef>
              <c:f>('A-35'!$B$202:$H$202,'A-35'!$B$204:$I$204)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('A-35'!$B$200:$H$200,'A-35'!$B$205:$I$205)</c:f>
              <c:numCache>
                <c:formatCode>General</c:formatCode>
                <c:ptCount val="15"/>
                <c:pt idx="7" formatCode="_-* #,##0.0_-;\-* #,##0.0_-;_-* &quot;-&quot;??_-;_-@_-">
                  <c:v>0</c:v>
                </c:pt>
                <c:pt idx="8" formatCode="_-* #,##0.0_-;\-* #,##0.0_-;_-* &quot;-&quot;??_-;_-@_-">
                  <c:v>0</c:v>
                </c:pt>
                <c:pt idx="9" formatCode="_-* #,##0.0_-;\-* #,##0.0_-;_-* &quot;-&quot;??_-;_-@_-">
                  <c:v>2.9649999999999999</c:v>
                </c:pt>
                <c:pt idx="10" formatCode="_-* #,##0.0_-;\-* #,##0.0_-;_-* &quot;-&quot;??_-;_-@_-">
                  <c:v>2.9649999999999999</c:v>
                </c:pt>
                <c:pt idx="11" formatCode="_-* #,##0.0_-;\-* #,##0.0_-;_-* &quot;-&quot;??_-;_-@_-">
                  <c:v>2.9649999999999999</c:v>
                </c:pt>
                <c:pt idx="12" formatCode="_-* #,##0.0_-;\-* #,##0.0_-;_-* &quot;-&quot;??_-;_-@_-">
                  <c:v>2.9649999999999999</c:v>
                </c:pt>
                <c:pt idx="13" formatCode="_-* #,##0.0_-;\-* #,##0.0_-;_-* &quot;-&quot;??_-;_-@_-">
                  <c:v>2.9649999999999999</c:v>
                </c:pt>
                <c:pt idx="14" formatCode="_-* #,##0.0_-;\-* #,##0.0_-;_-* &quot;-&quot;??_-;_-@_-">
                  <c:v>2.9649999999999999</c:v>
                </c:pt>
              </c:numCache>
            </c:numRef>
          </c:val>
        </c:ser>
        <c:ser>
          <c:idx val="0"/>
          <c:order val="2"/>
          <c:tx>
            <c:strRef>
              <c:f>'A-35'!$A$206</c:f>
              <c:strCache>
                <c:ptCount val="1"/>
                <c:pt idx="0">
                  <c:v>Total with Variations</c:v>
                </c:pt>
              </c:strCache>
            </c:strRef>
          </c:tx>
          <c:spPr>
            <a:ln w="25400">
              <a:solidFill>
                <a:srgbClr val="993366"/>
              </a:solidFill>
              <a:prstDash val="solid"/>
            </a:ln>
          </c:spPr>
          <c:marker>
            <c:symbol val="none"/>
          </c:marker>
          <c:cat>
            <c:strRef>
              <c:f>('A-35'!$B$202:$H$202,'A-35'!$B$204:$I$204)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('A-35'!$B$200:$H$200,'A-35'!$B$206:$I$206)</c:f>
              <c:numCache>
                <c:formatCode>General</c:formatCode>
                <c:ptCount val="15"/>
                <c:pt idx="7" formatCode="_-* #,##0.0_-;\-* #,##0.0_-;_-* &quot;-&quot;??_-;_-@_-">
                  <c:v>0</c:v>
                </c:pt>
                <c:pt idx="8" formatCode="_-* #,##0.0_-;\-* #,##0.0_-;_-* &quot;-&quot;??_-;_-@_-">
                  <c:v>0</c:v>
                </c:pt>
                <c:pt idx="9" formatCode="_-* #,##0.0_-;\-* #,##0.0_-;_-* &quot;-&quot;??_-;_-@_-">
                  <c:v>2.9649999999999999</c:v>
                </c:pt>
                <c:pt idx="10" formatCode="_-* #,##0.0_-;\-* #,##0.0_-;_-* &quot;-&quot;??_-;_-@_-">
                  <c:v>2.9649999999999999</c:v>
                </c:pt>
                <c:pt idx="11" formatCode="_-* #,##0.0_-;\-* #,##0.0_-;_-* &quot;-&quot;??_-;_-@_-">
                  <c:v>2.9649999999999999</c:v>
                </c:pt>
                <c:pt idx="12" formatCode="_-* #,##0.0_-;\-* #,##0.0_-;_-* &quot;-&quot;??_-;_-@_-">
                  <c:v>2.9649999999999999</c:v>
                </c:pt>
                <c:pt idx="13" formatCode="_-* #,##0.0_-;\-* #,##0.0_-;_-* &quot;-&quot;??_-;_-@_-">
                  <c:v>2.9649999999999999</c:v>
                </c:pt>
                <c:pt idx="14" formatCode="_-* #,##0.0_-;\-* #,##0.0_-;_-* &quot;-&quot;??_-;_-@_-">
                  <c:v>2.9649999999999999</c:v>
                </c:pt>
              </c:numCache>
            </c:numRef>
          </c:val>
        </c:ser>
        <c:ser>
          <c:idx val="3"/>
          <c:order val="3"/>
          <c:tx>
            <c:strRef>
              <c:f>'A-35'!$A$207</c:f>
              <c:strCache>
                <c:ptCount val="1"/>
                <c:pt idx="0">
                  <c:v>Total with Specific Escalations</c:v>
                </c:pt>
              </c:strCache>
            </c:strRef>
          </c:tx>
          <c:spPr>
            <a:ln w="25400">
              <a:solidFill>
                <a:srgbClr val="FF0000"/>
              </a:solidFill>
              <a:prstDash val="solid"/>
            </a:ln>
          </c:spPr>
          <c:marker>
            <c:symbol val="none"/>
          </c:marker>
          <c:cat>
            <c:strRef>
              <c:f>('A-35'!$B$202:$H$202,'A-35'!$B$204:$I$204)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('A-35'!$B$200:$H$200,'A-35'!$B$207:$I$207)</c:f>
              <c:numCache>
                <c:formatCode>General</c:formatCode>
                <c:ptCount val="15"/>
                <c:pt idx="7" formatCode="_-* #,##0.0_-;\-* #,##0.0_-;_-* &quot;-&quot;??_-;_-@_-">
                  <c:v>0</c:v>
                </c:pt>
                <c:pt idx="8" formatCode="_-* #,##0.0_-;\-* #,##0.0_-;_-* &quot;-&quot;??_-;_-@_-">
                  <c:v>0</c:v>
                </c:pt>
                <c:pt idx="9" formatCode="_-* #,##0.0_-;\-* #,##0.0_-;_-* &quot;-&quot;??_-;_-@_-">
                  <c:v>2.9649999999999999</c:v>
                </c:pt>
                <c:pt idx="10" formatCode="_-* #,##0.0_-;\-* #,##0.0_-;_-* &quot;-&quot;??_-;_-@_-">
                  <c:v>2.9964585263038619</c:v>
                </c:pt>
                <c:pt idx="11" formatCode="_-* #,##0.0_-;\-* #,##0.0_-;_-* &quot;-&quot;??_-;_-@_-">
                  <c:v>3.0256075505415088</c:v>
                </c:pt>
                <c:pt idx="12" formatCode="_-* #,##0.0_-;\-* #,##0.0_-;_-* &quot;-&quot;??_-;_-@_-">
                  <c:v>3.054421037322971</c:v>
                </c:pt>
                <c:pt idx="13" formatCode="_-* #,##0.0_-;\-* #,##0.0_-;_-* &quot;-&quot;??_-;_-@_-">
                  <c:v>3.0856813563108423</c:v>
                </c:pt>
                <c:pt idx="14" formatCode="_-* #,##0.0_-;\-* #,##0.0_-;_-* &quot;-&quot;??_-;_-@_-">
                  <c:v>3.1143160424569603</c:v>
                </c:pt>
              </c:numCache>
            </c:numRef>
          </c:val>
        </c:ser>
        <c:ser>
          <c:idx val="2"/>
          <c:order val="4"/>
          <c:tx>
            <c:strRef>
              <c:f>'A-35'!$A$208</c:f>
              <c:strCache>
                <c:ptCount val="1"/>
                <c:pt idx="0">
                  <c:v>Total with All Escalations</c:v>
                </c:pt>
              </c:strCache>
            </c:strRef>
          </c:tx>
          <c:spPr>
            <a:ln w="38100">
              <a:solidFill>
                <a:srgbClr val="00FF00"/>
              </a:solidFill>
              <a:prstDash val="solid"/>
            </a:ln>
          </c:spPr>
          <c:marker>
            <c:symbol val="none"/>
          </c:marker>
          <c:cat>
            <c:strRef>
              <c:f>('A-35'!$B$202:$H$202,'A-35'!$B$204:$I$204)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('A-35'!$B$200:$H$200,'A-35'!$B$208:$I$208)</c:f>
              <c:numCache>
                <c:formatCode>General</c:formatCode>
                <c:ptCount val="15"/>
                <c:pt idx="7" formatCode="_-* #,##0.0_-;\-* #,##0.0_-;_-* &quot;-&quot;??_-;_-@_-">
                  <c:v>0</c:v>
                </c:pt>
                <c:pt idx="8" formatCode="_-* #,##0.0_-;\-* #,##0.0_-;_-* &quot;-&quot;??_-;_-@_-">
                  <c:v>0</c:v>
                </c:pt>
                <c:pt idx="9" formatCode="_-* #,##0.0_-;\-* #,##0.0_-;_-* &quot;-&quot;??_-;_-@_-">
                  <c:v>2.9649999999999999</c:v>
                </c:pt>
                <c:pt idx="10" formatCode="_-* #,##0.0_-;\-* #,##0.0_-;_-* &quot;-&quot;??_-;_-@_-">
                  <c:v>3.0588626307111051</c:v>
                </c:pt>
                <c:pt idx="11" formatCode="_-* #,##0.0_-;\-* #,##0.0_-;_-* &quot;-&quot;??_-;_-@_-">
                  <c:v>3.1529741537208094</c:v>
                </c:pt>
                <c:pt idx="12" formatCode="_-* #,##0.0_-;\-* #,##0.0_-;_-* &quot;-&quot;??_-;_-@_-">
                  <c:v>3.2533514680700302</c:v>
                </c:pt>
                <c:pt idx="13" formatCode="_-* #,##0.0_-;\-* #,##0.0_-;_-* &quot;-&quot;??_-;_-@_-">
                  <c:v>3.3594631807712507</c:v>
                </c:pt>
                <c:pt idx="14" formatCode="_-* #,##0.0_-;\-* #,##0.0_-;_-* &quot;-&quot;??_-;_-@_-">
                  <c:v>3.4659815798138389</c:v>
                </c:pt>
              </c:numCache>
            </c:numRef>
          </c:val>
        </c:ser>
        <c:marker val="1"/>
        <c:axId val="185525376"/>
        <c:axId val="185526912"/>
      </c:lineChart>
      <c:catAx>
        <c:axId val="185525376"/>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5526912"/>
        <c:crosses val="autoZero"/>
        <c:auto val="1"/>
        <c:lblAlgn val="ctr"/>
        <c:lblOffset val="100"/>
        <c:tickLblSkip val="1"/>
        <c:tickMarkSkip val="1"/>
      </c:catAx>
      <c:valAx>
        <c:axId val="185526912"/>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5525376"/>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AU"/>
  <c:chart>
    <c:title>
      <c:tx>
        <c:strRef>
          <c:f>'A-36'!$B$2</c:f>
          <c:strCache>
            <c:ptCount val="1"/>
            <c:pt idx="0">
              <c:v>Employee Bonuses</c:v>
            </c:pt>
          </c:strCache>
        </c:strRef>
      </c:tx>
      <c:layout>
        <c:manualLayout>
          <c:xMode val="edge"/>
          <c:yMode val="edge"/>
          <c:x val="0.3830594184576567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'A-36'!$A$203</c:f>
              <c:strCache>
                <c:ptCount val="1"/>
                <c:pt idx="0">
                  <c:v>Historic Expenditure</c:v>
                </c:pt>
              </c:strCache>
            </c:strRef>
          </c:tx>
          <c:spPr>
            <a:ln w="25400">
              <a:solidFill>
                <a:srgbClr val="33CCCC"/>
              </a:solidFill>
              <a:prstDash val="solid"/>
            </a:ln>
          </c:spPr>
          <c:marker>
            <c:symbol val="none"/>
          </c:marker>
          <c:cat>
            <c:strRef>
              <c:f>('A-36'!$B$202:$H$202,'A-36'!$B$204:$I$204)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('A-36'!$B$203:$H$203,'A-36'!$B$205,'A-36'!$C$200:$I$200)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'A-36'!$A$14</c:f>
              <c:strCache>
                <c:ptCount val="1"/>
                <c:pt idx="0">
                  <c:v>Baseline Expenditure</c:v>
                </c:pt>
              </c:strCache>
            </c:strRef>
          </c:tx>
          <c:spPr>
            <a:ln w="25400">
              <a:solidFill>
                <a:srgbClr val="0000FF"/>
              </a:solidFill>
              <a:prstDash val="solid"/>
            </a:ln>
          </c:spPr>
          <c:marker>
            <c:symbol val="none"/>
          </c:marker>
          <c:cat>
            <c:strRef>
              <c:f>('A-36'!$B$202:$H$202,'A-36'!$B$204:$I$204)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('A-36'!$B$200:$H$200,'A-36'!$B$205:$I$205)</c:f>
              <c:numCache>
                <c:formatCode>General</c:formatCode>
                <c:ptCount val="15"/>
                <c:pt idx="7" formatCode="_-* #,##0.0_-;\-* #,##0.0_-;_-* &quot;-&quot;??_-;_-@_-">
                  <c:v>0</c:v>
                </c:pt>
                <c:pt idx="8" formatCode="_-* #,##0.0_-;\-* #,##0.0_-;_-* &quot;-&quot;??_-;_-@_-">
                  <c:v>0</c:v>
                </c:pt>
                <c:pt idx="9" formatCode="_-* #,##0.0_-;\-* #,##0.0_-;_-* &quot;-&quot;??_-;_-@_-">
                  <c:v>3.403</c:v>
                </c:pt>
                <c:pt idx="10" formatCode="_-* #,##0.0_-;\-* #,##0.0_-;_-* &quot;-&quot;??_-;_-@_-">
                  <c:v>3.403</c:v>
                </c:pt>
                <c:pt idx="11" formatCode="_-* #,##0.0_-;\-* #,##0.0_-;_-* &quot;-&quot;??_-;_-@_-">
                  <c:v>3.403</c:v>
                </c:pt>
                <c:pt idx="12" formatCode="_-* #,##0.0_-;\-* #,##0.0_-;_-* &quot;-&quot;??_-;_-@_-">
                  <c:v>3.403</c:v>
                </c:pt>
                <c:pt idx="13" formatCode="_-* #,##0.0_-;\-* #,##0.0_-;_-* &quot;-&quot;??_-;_-@_-">
                  <c:v>3.403</c:v>
                </c:pt>
                <c:pt idx="14" formatCode="_-* #,##0.0_-;\-* #,##0.0_-;_-* &quot;-&quot;??_-;_-@_-">
                  <c:v>3.403</c:v>
                </c:pt>
              </c:numCache>
            </c:numRef>
          </c:val>
        </c:ser>
        <c:ser>
          <c:idx val="0"/>
          <c:order val="2"/>
          <c:tx>
            <c:strRef>
              <c:f>'A-36'!$A$206</c:f>
              <c:strCache>
                <c:ptCount val="1"/>
                <c:pt idx="0">
                  <c:v>Total with Variations</c:v>
                </c:pt>
              </c:strCache>
            </c:strRef>
          </c:tx>
          <c:spPr>
            <a:ln w="25400">
              <a:solidFill>
                <a:srgbClr val="993366"/>
              </a:solidFill>
              <a:prstDash val="solid"/>
            </a:ln>
          </c:spPr>
          <c:marker>
            <c:symbol val="none"/>
          </c:marker>
          <c:cat>
            <c:strRef>
              <c:f>('A-36'!$B$202:$H$202,'A-36'!$B$204:$I$204)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('A-36'!$B$200:$H$200,'A-36'!$B$206:$I$206)</c:f>
              <c:numCache>
                <c:formatCode>General</c:formatCode>
                <c:ptCount val="15"/>
                <c:pt idx="7" formatCode="_-* #,##0.0_-;\-* #,##0.0_-;_-* &quot;-&quot;??_-;_-@_-">
                  <c:v>0</c:v>
                </c:pt>
                <c:pt idx="8" formatCode="_-* #,##0.0_-;\-* #,##0.0_-;_-* &quot;-&quot;??_-;_-@_-">
                  <c:v>0</c:v>
                </c:pt>
                <c:pt idx="9" formatCode="_-* #,##0.0_-;\-* #,##0.0_-;_-* &quot;-&quot;??_-;_-@_-">
                  <c:v>3.403</c:v>
                </c:pt>
                <c:pt idx="10" formatCode="_-* #,##0.0_-;\-* #,##0.0_-;_-* &quot;-&quot;??_-;_-@_-">
                  <c:v>3.403</c:v>
                </c:pt>
                <c:pt idx="11" formatCode="_-* #,##0.0_-;\-* #,##0.0_-;_-* &quot;-&quot;??_-;_-@_-">
                  <c:v>3.403</c:v>
                </c:pt>
                <c:pt idx="12" formatCode="_-* #,##0.0_-;\-* #,##0.0_-;_-* &quot;-&quot;??_-;_-@_-">
                  <c:v>3.403</c:v>
                </c:pt>
                <c:pt idx="13" formatCode="_-* #,##0.0_-;\-* #,##0.0_-;_-* &quot;-&quot;??_-;_-@_-">
                  <c:v>3.403</c:v>
                </c:pt>
                <c:pt idx="14" formatCode="_-* #,##0.0_-;\-* #,##0.0_-;_-* &quot;-&quot;??_-;_-@_-">
                  <c:v>3.403</c:v>
                </c:pt>
              </c:numCache>
            </c:numRef>
          </c:val>
        </c:ser>
        <c:ser>
          <c:idx val="3"/>
          <c:order val="3"/>
          <c:tx>
            <c:strRef>
              <c:f>'A-36'!$A$207</c:f>
              <c:strCache>
                <c:ptCount val="1"/>
                <c:pt idx="0">
                  <c:v>Total with Specific Escalations</c:v>
                </c:pt>
              </c:strCache>
            </c:strRef>
          </c:tx>
          <c:spPr>
            <a:ln w="25400">
              <a:solidFill>
                <a:srgbClr val="FF0000"/>
              </a:solidFill>
              <a:prstDash val="solid"/>
            </a:ln>
          </c:spPr>
          <c:marker>
            <c:symbol val="none"/>
          </c:marker>
          <c:cat>
            <c:strRef>
              <c:f>('A-36'!$B$202:$H$202,'A-36'!$B$204:$I$204)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('A-36'!$B$200:$H$200,'A-36'!$B$207:$I$207)</c:f>
              <c:numCache>
                <c:formatCode>General</c:formatCode>
                <c:ptCount val="15"/>
                <c:pt idx="7" formatCode="_-* #,##0.0_-;\-* #,##0.0_-;_-* &quot;-&quot;??_-;_-@_-">
                  <c:v>0</c:v>
                </c:pt>
                <c:pt idx="8" formatCode="_-* #,##0.0_-;\-* #,##0.0_-;_-* &quot;-&quot;??_-;_-@_-">
                  <c:v>0</c:v>
                </c:pt>
                <c:pt idx="9" formatCode="_-* #,##0.0_-;\-* #,##0.0_-;_-* &quot;-&quot;??_-;_-@_-">
                  <c:v>3.403</c:v>
                </c:pt>
                <c:pt idx="10" formatCode="_-* #,##0.0_-;\-* #,##0.0_-;_-* &quot;-&quot;??_-;_-@_-">
                  <c:v>3.4391056880310433</c:v>
                </c:pt>
                <c:pt idx="11" formatCode="_-* #,##0.0_-;\-* #,##0.0_-;_-* &quot;-&quot;??_-;_-@_-">
                  <c:v>3.472560706405651</c:v>
                </c:pt>
                <c:pt idx="12" formatCode="_-* #,##0.0_-;\-* #,##0.0_-;_-* &quot;-&quot;??_-;_-@_-">
                  <c:v>3.5056306205767522</c:v>
                </c:pt>
                <c:pt idx="13" formatCode="_-* #,##0.0_-;\-* #,##0.0_-;_-* &quot;-&quot;??_-;_-@_-">
                  <c:v>3.5415088214252264</c:v>
                </c:pt>
                <c:pt idx="14" formatCode="_-* #,##0.0_-;\-* #,##0.0_-;_-* &quot;-&quot;??_-;_-@_-">
                  <c:v>3.5743735219160326</c:v>
                </c:pt>
              </c:numCache>
            </c:numRef>
          </c:val>
        </c:ser>
        <c:ser>
          <c:idx val="2"/>
          <c:order val="4"/>
          <c:tx>
            <c:strRef>
              <c:f>'A-36'!$A$208</c:f>
              <c:strCache>
                <c:ptCount val="1"/>
                <c:pt idx="0">
                  <c:v>Total with All Escalations</c:v>
                </c:pt>
              </c:strCache>
            </c:strRef>
          </c:tx>
          <c:spPr>
            <a:ln w="38100">
              <a:solidFill>
                <a:srgbClr val="00FF00"/>
              </a:solidFill>
              <a:prstDash val="solid"/>
            </a:ln>
          </c:spPr>
          <c:marker>
            <c:symbol val="none"/>
          </c:marker>
          <c:cat>
            <c:strRef>
              <c:f>('A-36'!$B$202:$H$202,'A-36'!$B$204:$I$204)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('A-36'!$B$200:$H$200,'A-36'!$B$208:$I$208)</c:f>
              <c:numCache>
                <c:formatCode>General</c:formatCode>
                <c:ptCount val="15"/>
                <c:pt idx="7" formatCode="_-* #,##0.0_-;\-* #,##0.0_-;_-* &quot;-&quot;??_-;_-@_-">
                  <c:v>0</c:v>
                </c:pt>
                <c:pt idx="8" formatCode="_-* #,##0.0_-;\-* #,##0.0_-;_-* &quot;-&quot;??_-;_-@_-">
                  <c:v>0</c:v>
                </c:pt>
                <c:pt idx="9" formatCode="_-* #,##0.0_-;\-* #,##0.0_-;_-* &quot;-&quot;??_-;_-@_-">
                  <c:v>3.403</c:v>
                </c:pt>
                <c:pt idx="10" formatCode="_-* #,##0.0_-;\-* #,##0.0_-;_-* &quot;-&quot;??_-;_-@_-">
                  <c:v>3.5129019006195987</c:v>
                </c:pt>
                <c:pt idx="11" formatCode="_-* #,##0.0_-;\-* #,##0.0_-;_-* &quot;-&quot;??_-;_-@_-">
                  <c:v>3.6231878056558475</c:v>
                </c:pt>
                <c:pt idx="12" formatCode="_-* #,##0.0_-;\-* #,##0.0_-;_-* &quot;-&quot;??_-;_-@_-">
                  <c:v>3.7404794442640337</c:v>
                </c:pt>
                <c:pt idx="13" formatCode="_-* #,##0.0_-;\-* #,##0.0_-;_-* &quot;-&quot;??_-;_-@_-">
                  <c:v>3.8642887103536769</c:v>
                </c:pt>
                <c:pt idx="14" formatCode="_-* #,##0.0_-;\-* #,##0.0_-;_-* &quot;-&quot;??_-;_-@_-">
                  <c:v>3.9884237345088773</c:v>
                </c:pt>
              </c:numCache>
            </c:numRef>
          </c:val>
        </c:ser>
        <c:marker val="1"/>
        <c:axId val="185764480"/>
        <c:axId val="185782656"/>
      </c:lineChart>
      <c:catAx>
        <c:axId val="18576448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5782656"/>
        <c:crosses val="autoZero"/>
        <c:auto val="1"/>
        <c:lblAlgn val="ctr"/>
        <c:lblOffset val="100"/>
        <c:tickLblSkip val="1"/>
        <c:tickMarkSkip val="1"/>
      </c:catAx>
      <c:valAx>
        <c:axId val="1857826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576448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AU"/>
  <c:chart>
    <c:title>
      <c:tx>
        <c:strRef>
          <c:f>'A-37'!$B$2</c:f>
          <c:strCache>
            <c:ptCount val="1"/>
            <c:pt idx="0">
              <c:v>Voluntary Separation Packages (VSP’s)</c:v>
            </c:pt>
          </c:strCache>
        </c:strRef>
      </c:tx>
      <c:layout>
        <c:manualLayout>
          <c:xMode val="edge"/>
          <c:yMode val="edge"/>
          <c:x val="0.26675094816687739"/>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'A-37'!$A$203</c:f>
              <c:strCache>
                <c:ptCount val="1"/>
                <c:pt idx="0">
                  <c:v>Historic Expenditure</c:v>
                </c:pt>
              </c:strCache>
            </c:strRef>
          </c:tx>
          <c:spPr>
            <a:ln w="25400">
              <a:solidFill>
                <a:srgbClr val="33CCCC"/>
              </a:solidFill>
              <a:prstDash val="solid"/>
            </a:ln>
          </c:spPr>
          <c:marker>
            <c:symbol val="none"/>
          </c:marker>
          <c:cat>
            <c:strRef>
              <c:f>('A-37'!$B$202:$H$202,'A-37'!$B$204:$I$204)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('A-37'!$B$203:$H$203,'A-37'!$B$205,'A-37'!$C$200:$I$200)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'A-37'!$A$14</c:f>
              <c:strCache>
                <c:ptCount val="1"/>
                <c:pt idx="0">
                  <c:v>Baseline Expenditure</c:v>
                </c:pt>
              </c:strCache>
            </c:strRef>
          </c:tx>
          <c:spPr>
            <a:ln w="25400">
              <a:solidFill>
                <a:srgbClr val="0000FF"/>
              </a:solidFill>
              <a:prstDash val="solid"/>
            </a:ln>
          </c:spPr>
          <c:marker>
            <c:symbol val="none"/>
          </c:marker>
          <c:cat>
            <c:strRef>
              <c:f>('A-37'!$B$202:$H$202,'A-37'!$B$204:$I$204)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('A-37'!$B$200:$H$200,'A-37'!$B$205:$I$205)</c:f>
              <c:numCache>
                <c:formatCode>General</c:formatCode>
                <c:ptCount val="15"/>
                <c:pt idx="7" formatCode="_-* #,##0.0_-;\-* #,##0.0_-;_-* &quot;-&quot;??_-;_-@_-">
                  <c:v>0</c:v>
                </c:pt>
                <c:pt idx="8" formatCode="_-* #,##0.0_-;\-* #,##0.0_-;_-* &quot;-&quot;??_-;_-@_-">
                  <c:v>0</c:v>
                </c:pt>
                <c:pt idx="9" formatCode="_-* #,##0.0_-;\-* #,##0.0_-;_-* &quot;-&quot;??_-;_-@_-">
                  <c:v>0.40400000000000003</c:v>
                </c:pt>
                <c:pt idx="10" formatCode="_-* #,##0.0_-;\-* #,##0.0_-;_-* &quot;-&quot;??_-;_-@_-">
                  <c:v>0.40400000000000003</c:v>
                </c:pt>
                <c:pt idx="11" formatCode="_-* #,##0.0_-;\-* #,##0.0_-;_-* &quot;-&quot;??_-;_-@_-">
                  <c:v>0.40400000000000003</c:v>
                </c:pt>
                <c:pt idx="12" formatCode="_-* #,##0.0_-;\-* #,##0.0_-;_-* &quot;-&quot;??_-;_-@_-">
                  <c:v>0.40400000000000003</c:v>
                </c:pt>
                <c:pt idx="13" formatCode="_-* #,##0.0_-;\-* #,##0.0_-;_-* &quot;-&quot;??_-;_-@_-">
                  <c:v>0.40400000000000003</c:v>
                </c:pt>
                <c:pt idx="14" formatCode="_-* #,##0.0_-;\-* #,##0.0_-;_-* &quot;-&quot;??_-;_-@_-">
                  <c:v>0.40400000000000003</c:v>
                </c:pt>
              </c:numCache>
            </c:numRef>
          </c:val>
        </c:ser>
        <c:ser>
          <c:idx val="0"/>
          <c:order val="2"/>
          <c:tx>
            <c:strRef>
              <c:f>'A-37'!$A$206</c:f>
              <c:strCache>
                <c:ptCount val="1"/>
                <c:pt idx="0">
                  <c:v>Total with Variations</c:v>
                </c:pt>
              </c:strCache>
            </c:strRef>
          </c:tx>
          <c:spPr>
            <a:ln w="25400">
              <a:solidFill>
                <a:srgbClr val="993366"/>
              </a:solidFill>
              <a:prstDash val="solid"/>
            </a:ln>
          </c:spPr>
          <c:marker>
            <c:symbol val="none"/>
          </c:marker>
          <c:cat>
            <c:strRef>
              <c:f>('A-37'!$B$202:$H$202,'A-37'!$B$204:$I$204)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('A-37'!$B$200:$H$200,'A-37'!$B$206:$I$206)</c:f>
              <c:numCache>
                <c:formatCode>General</c:formatCode>
                <c:ptCount val="15"/>
                <c:pt idx="7" formatCode="_-* #,##0.0_-;\-* #,##0.0_-;_-* &quot;-&quot;??_-;_-@_-">
                  <c:v>0</c:v>
                </c:pt>
                <c:pt idx="8" formatCode="_-* #,##0.0_-;\-* #,##0.0_-;_-* &quot;-&quot;??_-;_-@_-">
                  <c:v>0</c:v>
                </c:pt>
                <c:pt idx="9" formatCode="_-* #,##0.0_-;\-* #,##0.0_-;_-* &quot;-&quot;??_-;_-@_-">
                  <c:v>0.40400000000000003</c:v>
                </c:pt>
                <c:pt idx="10" formatCode="_-* #,##0.0_-;\-* #,##0.0_-;_-* &quot;-&quot;??_-;_-@_-">
                  <c:v>0.40400000000000003</c:v>
                </c:pt>
                <c:pt idx="11" formatCode="_-* #,##0.0_-;\-* #,##0.0_-;_-* &quot;-&quot;??_-;_-@_-">
                  <c:v>0.40400000000000003</c:v>
                </c:pt>
                <c:pt idx="12" formatCode="_-* #,##0.0_-;\-* #,##0.0_-;_-* &quot;-&quot;??_-;_-@_-">
                  <c:v>0.40400000000000003</c:v>
                </c:pt>
                <c:pt idx="13" formatCode="_-* #,##0.0_-;\-* #,##0.0_-;_-* &quot;-&quot;??_-;_-@_-">
                  <c:v>0.40400000000000003</c:v>
                </c:pt>
                <c:pt idx="14" formatCode="_-* #,##0.0_-;\-* #,##0.0_-;_-* &quot;-&quot;??_-;_-@_-">
                  <c:v>0.40400000000000003</c:v>
                </c:pt>
              </c:numCache>
            </c:numRef>
          </c:val>
        </c:ser>
        <c:ser>
          <c:idx val="3"/>
          <c:order val="3"/>
          <c:tx>
            <c:strRef>
              <c:f>'A-37'!$A$207</c:f>
              <c:strCache>
                <c:ptCount val="1"/>
                <c:pt idx="0">
                  <c:v>Total with Specific Escalations</c:v>
                </c:pt>
              </c:strCache>
            </c:strRef>
          </c:tx>
          <c:spPr>
            <a:ln w="25400">
              <a:solidFill>
                <a:srgbClr val="FF0000"/>
              </a:solidFill>
              <a:prstDash val="solid"/>
            </a:ln>
          </c:spPr>
          <c:marker>
            <c:symbol val="none"/>
          </c:marker>
          <c:cat>
            <c:strRef>
              <c:f>('A-37'!$B$202:$H$202,'A-37'!$B$204:$I$204)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('A-37'!$B$200:$H$200,'A-37'!$B$207:$I$207)</c:f>
              <c:numCache>
                <c:formatCode>General</c:formatCode>
                <c:ptCount val="15"/>
                <c:pt idx="7" formatCode="_-* #,##0.0_-;\-* #,##0.0_-;_-* &quot;-&quot;??_-;_-@_-">
                  <c:v>0</c:v>
                </c:pt>
                <c:pt idx="8" formatCode="_-* #,##0.0_-;\-* #,##0.0_-;_-* &quot;-&quot;??_-;_-@_-">
                  <c:v>0</c:v>
                </c:pt>
                <c:pt idx="9" formatCode="_-* #,##0.0_-;\-* #,##0.0_-;_-* &quot;-&quot;??_-;_-@_-">
                  <c:v>0.40400000000000003</c:v>
                </c:pt>
                <c:pt idx="10" formatCode="_-* #,##0.0_-;\-* #,##0.0_-;_-* &quot;-&quot;??_-;_-@_-">
                  <c:v>0.40828642314561903</c:v>
                </c:pt>
                <c:pt idx="11" formatCode="_-* #,##0.0_-;\-* #,##0.0_-;_-* &quot;-&quot;??_-;_-@_-">
                  <c:v>0.41225816202993915</c:v>
                </c:pt>
                <c:pt idx="12" formatCode="_-* #,##0.0_-;\-* #,##0.0_-;_-* &quot;-&quot;??_-;_-@_-">
                  <c:v>0.41618418181399003</c:v>
                </c:pt>
                <c:pt idx="13" formatCode="_-* #,##0.0_-;\-* #,##0.0_-;_-* &quot;-&quot;??_-;_-@_-">
                  <c:v>0.42044359795938629</c:v>
                </c:pt>
                <c:pt idx="14" formatCode="_-* #,##0.0_-;\-* #,##0.0_-;_-* &quot;-&quot;??_-;_-@_-">
                  <c:v>0.42434525502617609</c:v>
                </c:pt>
              </c:numCache>
            </c:numRef>
          </c:val>
        </c:ser>
        <c:ser>
          <c:idx val="2"/>
          <c:order val="4"/>
          <c:tx>
            <c:strRef>
              <c:f>'A-37'!$A$208</c:f>
              <c:strCache>
                <c:ptCount val="1"/>
                <c:pt idx="0">
                  <c:v>Total with All Escalations</c:v>
                </c:pt>
              </c:strCache>
            </c:strRef>
          </c:tx>
          <c:spPr>
            <a:ln w="38100">
              <a:solidFill>
                <a:srgbClr val="00FF00"/>
              </a:solidFill>
              <a:prstDash val="solid"/>
            </a:ln>
          </c:spPr>
          <c:marker>
            <c:symbol val="none"/>
          </c:marker>
          <c:cat>
            <c:strRef>
              <c:f>('A-37'!$B$202:$H$202,'A-37'!$B$204:$I$204)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('A-37'!$B$200:$H$200,'A-37'!$B$208:$I$208)</c:f>
              <c:numCache>
                <c:formatCode>General</c:formatCode>
                <c:ptCount val="15"/>
                <c:pt idx="7" formatCode="_-* #,##0.0_-;\-* #,##0.0_-;_-* &quot;-&quot;??_-;_-@_-">
                  <c:v>0</c:v>
                </c:pt>
                <c:pt idx="8" formatCode="_-* #,##0.0_-;\-* #,##0.0_-;_-* &quot;-&quot;??_-;_-@_-">
                  <c:v>0</c:v>
                </c:pt>
                <c:pt idx="9" formatCode="_-* #,##0.0_-;\-* #,##0.0_-;_-* &quot;-&quot;??_-;_-@_-">
                  <c:v>0.40400000000000003</c:v>
                </c:pt>
                <c:pt idx="10" formatCode="_-* #,##0.0_-;\-* #,##0.0_-;_-* &quot;-&quot;??_-;_-@_-">
                  <c:v>0.41704741929189482</c:v>
                </c:pt>
                <c:pt idx="11" formatCode="_-* #,##0.0_-;\-* #,##0.0_-;_-* &quot;-&quot;??_-;_-@_-">
                  <c:v>0.4301404271187077</c:v>
                </c:pt>
                <c:pt idx="12" formatCode="_-* #,##0.0_-;\-* #,##0.0_-;_-* &quot;-&quot;??_-;_-@_-">
                  <c:v>0.44406514707101669</c:v>
                </c:pt>
                <c:pt idx="13" formatCode="_-* #,##0.0_-;\-* #,##0.0_-;_-* &quot;-&quot;??_-;_-@_-">
                  <c:v>0.45876363179044538</c:v>
                </c:pt>
                <c:pt idx="14" formatCode="_-* #,##0.0_-;\-* #,##0.0_-;_-* &quot;-&quot;??_-;_-@_-">
                  <c:v>0.47350079010919383</c:v>
                </c:pt>
              </c:numCache>
            </c:numRef>
          </c:val>
        </c:ser>
        <c:marker val="1"/>
        <c:axId val="184062336"/>
        <c:axId val="184063872"/>
      </c:lineChart>
      <c:catAx>
        <c:axId val="184062336"/>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4063872"/>
        <c:crosses val="autoZero"/>
        <c:auto val="1"/>
        <c:lblAlgn val="ctr"/>
        <c:lblOffset val="100"/>
        <c:tickLblSkip val="1"/>
        <c:tickMarkSkip val="1"/>
      </c:catAx>
      <c:valAx>
        <c:axId val="184063872"/>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4062336"/>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AU"/>
  <c:chart>
    <c:title>
      <c:tx>
        <c:strRef>
          <c:f>'A-38'!$B$2</c:f>
          <c:strCache>
            <c:ptCount val="1"/>
            <c:pt idx="0">
              <c:v>Superannuation</c:v>
            </c:pt>
          </c:strCache>
        </c:strRef>
      </c:tx>
      <c:layout>
        <c:manualLayout>
          <c:xMode val="edge"/>
          <c:yMode val="edge"/>
          <c:x val="0.40328697850821782"/>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68316897738338678"/>
        </c:manualLayout>
      </c:layout>
      <c:lineChart>
        <c:grouping val="standard"/>
        <c:ser>
          <c:idx val="4"/>
          <c:order val="0"/>
          <c:tx>
            <c:strRef>
              <c:f>'A-38'!$A$203</c:f>
              <c:strCache>
                <c:ptCount val="1"/>
                <c:pt idx="0">
                  <c:v>Historic Expenditure</c:v>
                </c:pt>
              </c:strCache>
            </c:strRef>
          </c:tx>
          <c:spPr>
            <a:ln w="25400">
              <a:solidFill>
                <a:srgbClr val="33CCCC"/>
              </a:solidFill>
              <a:prstDash val="solid"/>
            </a:ln>
          </c:spPr>
          <c:marker>
            <c:symbol val="none"/>
          </c:marker>
          <c:cat>
            <c:multiLvlStrRef>
              <c:f>('A-38'!$B$202:$H$202,'A-38'!$B$204:$I$204)</c:f>
            </c:multiLvlStrRef>
          </c:cat>
          <c:val>
            <c:numRef>
              <c:f>('A-38'!$B$203:$H$203,'A-38'!$B$205,'A-38'!$C$200:$I$200)</c:f>
              <c:numCache>
                <c:formatCode>General</c:formatCode>
                <c:ptCount val="7"/>
              </c:numCache>
            </c:numRef>
          </c:val>
        </c:ser>
        <c:ser>
          <c:idx val="1"/>
          <c:order val="1"/>
          <c:tx>
            <c:strRef>
              <c:f>'A-38'!$A$14</c:f>
              <c:strCache>
                <c:ptCount val="1"/>
                <c:pt idx="0">
                  <c:v>Baseline Expenditure</c:v>
                </c:pt>
              </c:strCache>
            </c:strRef>
          </c:tx>
          <c:spPr>
            <a:ln w="25400">
              <a:solidFill>
                <a:srgbClr val="0000FF"/>
              </a:solidFill>
              <a:prstDash val="solid"/>
            </a:ln>
          </c:spPr>
          <c:marker>
            <c:symbol val="none"/>
          </c:marker>
          <c:cat>
            <c:multiLvlStrRef>
              <c:f>('A-38'!$B$202:$H$202,'A-38'!$B$204:$I$204)</c:f>
            </c:multiLvlStrRef>
          </c:cat>
          <c:val>
            <c:numRef>
              <c:f>('A-38'!$B$200:$H$200,'A-38'!$B$205:$I$205)</c:f>
              <c:numCache>
                <c:formatCode>General</c:formatCode>
                <c:ptCount val="7"/>
              </c:numCache>
            </c:numRef>
          </c:val>
        </c:ser>
        <c:ser>
          <c:idx val="0"/>
          <c:order val="2"/>
          <c:tx>
            <c:strRef>
              <c:f>'A-38'!$A$206</c:f>
              <c:strCache>
                <c:ptCount val="1"/>
                <c:pt idx="0">
                  <c:v>Total with Variations</c:v>
                </c:pt>
              </c:strCache>
            </c:strRef>
          </c:tx>
          <c:spPr>
            <a:ln w="25400">
              <a:solidFill>
                <a:srgbClr val="993366"/>
              </a:solidFill>
              <a:prstDash val="solid"/>
            </a:ln>
          </c:spPr>
          <c:marker>
            <c:symbol val="none"/>
          </c:marker>
          <c:cat>
            <c:multiLvlStrRef>
              <c:f>('A-38'!$B$202:$H$202,'A-38'!$B$204:$I$204)</c:f>
            </c:multiLvlStrRef>
          </c:cat>
          <c:val>
            <c:numRef>
              <c:f>('A-38'!$B$200:$H$200,'A-38'!$B$206:$I$206)</c:f>
              <c:numCache>
                <c:formatCode>General</c:formatCode>
                <c:ptCount val="7"/>
              </c:numCache>
            </c:numRef>
          </c:val>
        </c:ser>
        <c:ser>
          <c:idx val="3"/>
          <c:order val="3"/>
          <c:tx>
            <c:strRef>
              <c:f>'A-38'!$A$207</c:f>
              <c:strCache>
                <c:ptCount val="1"/>
                <c:pt idx="0">
                  <c:v>Total with Specific Escalations</c:v>
                </c:pt>
              </c:strCache>
            </c:strRef>
          </c:tx>
          <c:spPr>
            <a:ln w="25400">
              <a:solidFill>
                <a:srgbClr val="FF0000"/>
              </a:solidFill>
              <a:prstDash val="solid"/>
            </a:ln>
          </c:spPr>
          <c:marker>
            <c:symbol val="none"/>
          </c:marker>
          <c:cat>
            <c:multiLvlStrRef>
              <c:f>('A-38'!$B$202:$H$202,'A-38'!$B$204:$I$204)</c:f>
            </c:multiLvlStrRef>
          </c:cat>
          <c:val>
            <c:numRef>
              <c:f>('A-38'!$B$200:$H$200,'A-38'!$B$207:$I$207)</c:f>
              <c:numCache>
                <c:formatCode>General</c:formatCode>
                <c:ptCount val="7"/>
              </c:numCache>
            </c:numRef>
          </c:val>
        </c:ser>
        <c:ser>
          <c:idx val="2"/>
          <c:order val="4"/>
          <c:tx>
            <c:strRef>
              <c:f>'A-38'!$A$208</c:f>
              <c:strCache>
                <c:ptCount val="1"/>
                <c:pt idx="0">
                  <c:v>Total with All Escalations</c:v>
                </c:pt>
              </c:strCache>
            </c:strRef>
          </c:tx>
          <c:spPr>
            <a:ln w="38100">
              <a:solidFill>
                <a:srgbClr val="00FF00"/>
              </a:solidFill>
              <a:prstDash val="solid"/>
            </a:ln>
          </c:spPr>
          <c:marker>
            <c:symbol val="none"/>
          </c:marker>
          <c:cat>
            <c:multiLvlStrRef>
              <c:f>('A-38'!$B$202:$H$202,'A-38'!$B$204:$I$204)</c:f>
            </c:multiLvlStrRef>
          </c:cat>
          <c:val>
            <c:numRef>
              <c:f>('A-38'!$B$200:$H$200,'A-38'!$B$208:$I$208)</c:f>
              <c:numCache>
                <c:formatCode>General</c:formatCode>
                <c:ptCount val="7"/>
              </c:numCache>
            </c:numRef>
          </c:val>
        </c:ser>
        <c:marker val="1"/>
        <c:axId val="186292096"/>
        <c:axId val="186293632"/>
      </c:lineChart>
      <c:catAx>
        <c:axId val="186292096"/>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6293632"/>
        <c:crosses val="autoZero"/>
        <c:auto val="1"/>
        <c:lblAlgn val="ctr"/>
        <c:lblOffset val="100"/>
        <c:tickLblSkip val="1"/>
        <c:tickMarkSkip val="1"/>
      </c:catAx>
      <c:valAx>
        <c:axId val="186293632"/>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6534698459448276"/>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6292096"/>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AU"/>
  <c:chart>
    <c:title>
      <c:tx>
        <c:strRef>
          <c:f>'A-39'!$B$2</c:f>
          <c:strCache>
            <c:ptCount val="1"/>
            <c:pt idx="0">
              <c:v>Self Insurance</c:v>
            </c:pt>
          </c:strCache>
        </c:strRef>
      </c:tx>
      <c:layout>
        <c:manualLayout>
          <c:xMode val="edge"/>
          <c:yMode val="edge"/>
          <c:x val="0.41340075853350189"/>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366624525916877"/>
          <c:y val="0.15643579482112893"/>
          <c:w val="0.87863463969661115"/>
          <c:h val="0.68316897738338678"/>
        </c:manualLayout>
      </c:layout>
      <c:lineChart>
        <c:grouping val="standard"/>
        <c:ser>
          <c:idx val="4"/>
          <c:order val="0"/>
          <c:tx>
            <c:strRef>
              <c:f>'A-39'!$A$203</c:f>
              <c:strCache>
                <c:ptCount val="1"/>
                <c:pt idx="0">
                  <c:v>Historic Expenditure</c:v>
                </c:pt>
              </c:strCache>
            </c:strRef>
          </c:tx>
          <c:spPr>
            <a:ln w="25400">
              <a:solidFill>
                <a:srgbClr val="33CCCC"/>
              </a:solidFill>
              <a:prstDash val="solid"/>
            </a:ln>
          </c:spPr>
          <c:marker>
            <c:symbol val="none"/>
          </c:marker>
          <c:cat>
            <c:strRef>
              <c:f>('A-39'!$B$202:$H$202,'A-39'!$B$204:$I$204)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('A-39'!$B$203:$H$203,'A-39'!$B$205,'A-39'!$C$200:$I$200)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'A-39'!$A$14</c:f>
              <c:strCache>
                <c:ptCount val="1"/>
                <c:pt idx="0">
                  <c:v>Baseline Expenditure</c:v>
                </c:pt>
              </c:strCache>
            </c:strRef>
          </c:tx>
          <c:spPr>
            <a:ln w="25400">
              <a:solidFill>
                <a:srgbClr val="0000FF"/>
              </a:solidFill>
              <a:prstDash val="solid"/>
            </a:ln>
          </c:spPr>
          <c:marker>
            <c:symbol val="none"/>
          </c:marker>
          <c:cat>
            <c:strRef>
              <c:f>('A-39'!$B$202:$H$202,'A-39'!$B$204:$I$204)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('A-39'!$B$200:$H$200,'A-39'!$B$205:$I$205)</c:f>
              <c:numCache>
                <c:formatCode>General</c:formatCode>
                <c:ptCount val="15"/>
                <c:pt idx="7" formatCode="_-* #,##0.0_-;\-* #,##0.0_-;_-* &quot;-&quot;??_-;_-@_-">
                  <c:v>0</c:v>
                </c:pt>
                <c:pt idx="8" formatCode="_-* #,##0.0_-;\-* #,##0.0_-;_-* &quot;-&quot;??_-;_-@_-">
                  <c:v>0</c:v>
                </c:pt>
                <c:pt idx="9" formatCode="_-* #,##0.0_-;\-* #,##0.0_-;_-* &quot;-&quot;??_-;_-@_-">
                  <c:v>2.0110000000000006</c:v>
                </c:pt>
                <c:pt idx="10" formatCode="_-* #,##0.0_-;\-* #,##0.0_-;_-* &quot;-&quot;??_-;_-@_-">
                  <c:v>2.0110000000000006</c:v>
                </c:pt>
                <c:pt idx="11" formatCode="_-* #,##0.0_-;\-* #,##0.0_-;_-* &quot;-&quot;??_-;_-@_-">
                  <c:v>2.0110000000000006</c:v>
                </c:pt>
                <c:pt idx="12" formatCode="_-* #,##0.0_-;\-* #,##0.0_-;_-* &quot;-&quot;??_-;_-@_-">
                  <c:v>2.0110000000000006</c:v>
                </c:pt>
                <c:pt idx="13" formatCode="_-* #,##0.0_-;\-* #,##0.0_-;_-* &quot;-&quot;??_-;_-@_-">
                  <c:v>2.0110000000000006</c:v>
                </c:pt>
                <c:pt idx="14" formatCode="_-* #,##0.0_-;\-* #,##0.0_-;_-* &quot;-&quot;??_-;_-@_-">
                  <c:v>2.0110000000000006</c:v>
                </c:pt>
              </c:numCache>
            </c:numRef>
          </c:val>
        </c:ser>
        <c:ser>
          <c:idx val="0"/>
          <c:order val="2"/>
          <c:tx>
            <c:strRef>
              <c:f>'A-39'!$A$206</c:f>
              <c:strCache>
                <c:ptCount val="1"/>
                <c:pt idx="0">
                  <c:v>Total with Variations</c:v>
                </c:pt>
              </c:strCache>
            </c:strRef>
          </c:tx>
          <c:spPr>
            <a:ln w="25400">
              <a:solidFill>
                <a:srgbClr val="993366"/>
              </a:solidFill>
              <a:prstDash val="solid"/>
            </a:ln>
          </c:spPr>
          <c:marker>
            <c:symbol val="none"/>
          </c:marker>
          <c:cat>
            <c:strRef>
              <c:f>('A-39'!$B$202:$H$202,'A-39'!$B$204:$I$204)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('A-39'!$B$200:$H$200,'A-39'!$B$206:$I$206)</c:f>
              <c:numCache>
                <c:formatCode>General</c:formatCode>
                <c:ptCount val="15"/>
                <c:pt idx="7" formatCode="_-* #,##0.0_-;\-* #,##0.0_-;_-* &quot;-&quot;??_-;_-@_-">
                  <c:v>0</c:v>
                </c:pt>
                <c:pt idx="8" formatCode="_-* #,##0.0_-;\-* #,##0.0_-;_-* &quot;-&quot;??_-;_-@_-">
                  <c:v>0</c:v>
                </c:pt>
                <c:pt idx="9" formatCode="_-* #,##0.0_-;\-* #,##0.0_-;_-* &quot;-&quot;??_-;_-@_-">
                  <c:v>2.0110000000000006</c:v>
                </c:pt>
                <c:pt idx="10" formatCode="_-* #,##0.0_-;\-* #,##0.0_-;_-* &quot;-&quot;??_-;_-@_-">
                  <c:v>2.0110000000000006</c:v>
                </c:pt>
                <c:pt idx="11" formatCode="_-* #,##0.0_-;\-* #,##0.0_-;_-* &quot;-&quot;??_-;_-@_-">
                  <c:v>2.0110000000000006</c:v>
                </c:pt>
                <c:pt idx="12" formatCode="_-* #,##0.0_-;\-* #,##0.0_-;_-* &quot;-&quot;??_-;_-@_-">
                  <c:v>2.0110000000000006</c:v>
                </c:pt>
                <c:pt idx="13" formatCode="_-* #,##0.0_-;\-* #,##0.0_-;_-* &quot;-&quot;??_-;_-@_-">
                  <c:v>2.0110000000000006</c:v>
                </c:pt>
                <c:pt idx="14" formatCode="_-* #,##0.0_-;\-* #,##0.0_-;_-* &quot;-&quot;??_-;_-@_-">
                  <c:v>2.0110000000000006</c:v>
                </c:pt>
              </c:numCache>
            </c:numRef>
          </c:val>
        </c:ser>
        <c:ser>
          <c:idx val="3"/>
          <c:order val="3"/>
          <c:tx>
            <c:strRef>
              <c:f>'A-39'!$A$207</c:f>
              <c:strCache>
                <c:ptCount val="1"/>
                <c:pt idx="0">
                  <c:v>Total with Specific Escalations</c:v>
                </c:pt>
              </c:strCache>
            </c:strRef>
          </c:tx>
          <c:spPr>
            <a:ln w="25400">
              <a:solidFill>
                <a:srgbClr val="FF0000"/>
              </a:solidFill>
              <a:prstDash val="solid"/>
            </a:ln>
          </c:spPr>
          <c:marker>
            <c:symbol val="none"/>
          </c:marker>
          <c:cat>
            <c:strRef>
              <c:f>('A-39'!$B$202:$H$202,'A-39'!$B$204:$I$204)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('A-39'!$B$200:$H$200,'A-39'!$B$207:$I$207)</c:f>
              <c:numCache>
                <c:formatCode>General</c:formatCode>
                <c:ptCount val="15"/>
                <c:pt idx="7" formatCode="_-* #,##0.0_-;\-* #,##0.0_-;_-* &quot;-&quot;??_-;_-@_-">
                  <c:v>0</c:v>
                </c:pt>
                <c:pt idx="8" formatCode="_-* #,##0.0_-;\-* #,##0.0_-;_-* &quot;-&quot;??_-;_-@_-">
                  <c:v>0</c:v>
                </c:pt>
                <c:pt idx="9" formatCode="_-* #,##0.0_-;\-* #,##0.0_-;_-* &quot;-&quot;??_-;_-@_-">
                  <c:v>2.0110000000000006</c:v>
                </c:pt>
                <c:pt idx="10" formatCode="_-* #,##0.0_-;\-* #,##0.0_-;_-* &quot;-&quot;??_-;_-@_-">
                  <c:v>2.0323366261035645</c:v>
                </c:pt>
                <c:pt idx="11" formatCode="_-* #,##0.0_-;\-* #,##0.0_-;_-* &quot;-&quot;??_-;_-@_-">
                  <c:v>2.0521068411935839</c:v>
                </c:pt>
                <c:pt idx="12" formatCode="_-* #,##0.0_-;\-* #,##0.0_-;_-* &quot;-&quot;??_-;_-@_-">
                  <c:v>2.0716494792770646</c:v>
                </c:pt>
                <c:pt idx="13" formatCode="_-* #,##0.0_-;\-* #,##0.0_-;_-* &quot;-&quot;??_-;_-@_-">
                  <c:v>2.092851672020609</c:v>
                </c:pt>
                <c:pt idx="14" formatCode="_-* #,##0.0_-;\-* #,##0.0_-;_-* &quot;-&quot;??_-;_-@_-">
                  <c:v>2.1122730392515852</c:v>
                </c:pt>
              </c:numCache>
            </c:numRef>
          </c:val>
        </c:ser>
        <c:ser>
          <c:idx val="2"/>
          <c:order val="4"/>
          <c:tx>
            <c:strRef>
              <c:f>'A-39'!$A$208</c:f>
              <c:strCache>
                <c:ptCount val="1"/>
                <c:pt idx="0">
                  <c:v>Total with All Escalations</c:v>
                </c:pt>
              </c:strCache>
            </c:strRef>
          </c:tx>
          <c:spPr>
            <a:ln w="38100">
              <a:solidFill>
                <a:srgbClr val="00FF00"/>
              </a:solidFill>
              <a:prstDash val="solid"/>
            </a:ln>
          </c:spPr>
          <c:marker>
            <c:symbol val="none"/>
          </c:marker>
          <c:cat>
            <c:strRef>
              <c:f>('A-39'!$B$202:$H$202,'A-39'!$B$204:$I$204)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('A-39'!$B$200:$H$200,'A-39'!$B$208:$I$208)</c:f>
              <c:numCache>
                <c:formatCode>General</c:formatCode>
                <c:ptCount val="15"/>
                <c:pt idx="7" formatCode="_-* #,##0.0_-;\-* #,##0.0_-;_-* &quot;-&quot;??_-;_-@_-">
                  <c:v>0</c:v>
                </c:pt>
                <c:pt idx="8" formatCode="_-* #,##0.0_-;\-* #,##0.0_-;_-* &quot;-&quot;??_-;_-@_-">
                  <c:v>0</c:v>
                </c:pt>
                <c:pt idx="9" formatCode="_-* #,##0.0_-;\-* #,##0.0_-;_-* &quot;-&quot;??_-;_-@_-">
                  <c:v>2.0110000000000006</c:v>
                </c:pt>
                <c:pt idx="10" formatCode="_-* #,##0.0_-;\-* #,##0.0_-;_-* &quot;-&quot;??_-;_-@_-">
                  <c:v>2.0323366261035645</c:v>
                </c:pt>
                <c:pt idx="11" formatCode="_-* #,##0.0_-;\-* #,##0.0_-;_-* &quot;-&quot;??_-;_-@_-">
                  <c:v>2.0521068411935839</c:v>
                </c:pt>
                <c:pt idx="12" formatCode="_-* #,##0.0_-;\-* #,##0.0_-;_-* &quot;-&quot;??_-;_-@_-">
                  <c:v>2.0716494792770646</c:v>
                </c:pt>
                <c:pt idx="13" formatCode="_-* #,##0.0_-;\-* #,##0.0_-;_-* &quot;-&quot;??_-;_-@_-">
                  <c:v>2.092851672020609</c:v>
                </c:pt>
                <c:pt idx="14" formatCode="_-* #,##0.0_-;\-* #,##0.0_-;_-* &quot;-&quot;??_-;_-@_-">
                  <c:v>2.1122730392515852</c:v>
                </c:pt>
              </c:numCache>
            </c:numRef>
          </c:val>
        </c:ser>
        <c:marker val="1"/>
        <c:axId val="186666368"/>
        <c:axId val="186672256"/>
      </c:lineChart>
      <c:catAx>
        <c:axId val="18666636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6672256"/>
        <c:crosses val="autoZero"/>
        <c:auto val="1"/>
        <c:lblAlgn val="ctr"/>
        <c:lblOffset val="100"/>
        <c:tickLblSkip val="1"/>
        <c:tickMarkSkip val="1"/>
      </c:catAx>
      <c:valAx>
        <c:axId val="1866722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6534698459448276"/>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666636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AU"/>
  <c:chart>
    <c:title>
      <c:tx>
        <c:strRef>
          <c:f>'A-4'!$B$2</c:f>
          <c:strCache>
            <c:ptCount val="1"/>
            <c:pt idx="0">
              <c:v>Audit Services</c:v>
            </c:pt>
          </c:strCache>
        </c:strRef>
      </c:tx>
      <c:layout>
        <c:manualLayout>
          <c:xMode val="edge"/>
          <c:yMode val="edge"/>
          <c:x val="0.4121365360303413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'A-4'!$A$203</c:f>
              <c:strCache>
                <c:ptCount val="1"/>
                <c:pt idx="0">
                  <c:v>Historic Expenditure</c:v>
                </c:pt>
              </c:strCache>
            </c:strRef>
          </c:tx>
          <c:spPr>
            <a:ln w="25400">
              <a:solidFill>
                <a:srgbClr val="33CCCC"/>
              </a:solidFill>
              <a:prstDash val="solid"/>
            </a:ln>
          </c:spPr>
          <c:marker>
            <c:symbol val="none"/>
          </c:marker>
          <c:cat>
            <c:strRef>
              <c:f>('A-4'!$B$202:$H$202,'A-4'!$B$204:$I$204)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('A-4'!$B$203:$H$203,'A-4'!$B$205,'A-4'!$C$200:$I$200)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'A-4'!$A$14</c:f>
              <c:strCache>
                <c:ptCount val="1"/>
                <c:pt idx="0">
                  <c:v>Baseline Expenditure</c:v>
                </c:pt>
              </c:strCache>
            </c:strRef>
          </c:tx>
          <c:spPr>
            <a:ln w="25400">
              <a:solidFill>
                <a:srgbClr val="0000FF"/>
              </a:solidFill>
              <a:prstDash val="solid"/>
            </a:ln>
          </c:spPr>
          <c:marker>
            <c:symbol val="none"/>
          </c:marker>
          <c:cat>
            <c:strRef>
              <c:f>('A-4'!$B$202:$H$202,'A-4'!$B$204:$I$204)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('A-4'!$B$200:$H$200,'A-4'!$B$205:$I$205)</c:f>
              <c:numCache>
                <c:formatCode>General</c:formatCode>
                <c:ptCount val="15"/>
                <c:pt idx="7" formatCode="_-* #,##0.0_-;\-* #,##0.0_-;_-* &quot;-&quot;??_-;_-@_-">
                  <c:v>0</c:v>
                </c:pt>
                <c:pt idx="8" formatCode="_-* #,##0.0_-;\-* #,##0.0_-;_-* &quot;-&quot;??_-;_-@_-">
                  <c:v>0</c:v>
                </c:pt>
                <c:pt idx="9" formatCode="_-* #,##0.0_-;\-* #,##0.0_-;_-* &quot;-&quot;??_-;_-@_-">
                  <c:v>0.78499999999999992</c:v>
                </c:pt>
                <c:pt idx="10" formatCode="_-* #,##0.0_-;\-* #,##0.0_-;_-* &quot;-&quot;??_-;_-@_-">
                  <c:v>0.78499999999999992</c:v>
                </c:pt>
                <c:pt idx="11" formatCode="_-* #,##0.0_-;\-* #,##0.0_-;_-* &quot;-&quot;??_-;_-@_-">
                  <c:v>0.78499999999999992</c:v>
                </c:pt>
                <c:pt idx="12" formatCode="_-* #,##0.0_-;\-* #,##0.0_-;_-* &quot;-&quot;??_-;_-@_-">
                  <c:v>0.78499999999999992</c:v>
                </c:pt>
                <c:pt idx="13" formatCode="_-* #,##0.0_-;\-* #,##0.0_-;_-* &quot;-&quot;??_-;_-@_-">
                  <c:v>0.78499999999999992</c:v>
                </c:pt>
                <c:pt idx="14" formatCode="_-* #,##0.0_-;\-* #,##0.0_-;_-* &quot;-&quot;??_-;_-@_-">
                  <c:v>0.78499999999999992</c:v>
                </c:pt>
              </c:numCache>
            </c:numRef>
          </c:val>
        </c:ser>
        <c:ser>
          <c:idx val="0"/>
          <c:order val="2"/>
          <c:tx>
            <c:strRef>
              <c:f>'A-4'!$A$206</c:f>
              <c:strCache>
                <c:ptCount val="1"/>
                <c:pt idx="0">
                  <c:v>Total with Variations</c:v>
                </c:pt>
              </c:strCache>
            </c:strRef>
          </c:tx>
          <c:spPr>
            <a:ln w="25400">
              <a:solidFill>
                <a:srgbClr val="993366"/>
              </a:solidFill>
              <a:prstDash val="solid"/>
            </a:ln>
          </c:spPr>
          <c:marker>
            <c:symbol val="none"/>
          </c:marker>
          <c:cat>
            <c:strRef>
              <c:f>('A-4'!$B$202:$H$202,'A-4'!$B$204:$I$204)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('A-4'!$B$200:$H$200,'A-4'!$B$206:$I$206)</c:f>
              <c:numCache>
                <c:formatCode>General</c:formatCode>
                <c:ptCount val="15"/>
                <c:pt idx="7" formatCode="_-* #,##0.0_-;\-* #,##0.0_-;_-* &quot;-&quot;??_-;_-@_-">
                  <c:v>0</c:v>
                </c:pt>
                <c:pt idx="8" formatCode="_-* #,##0.0_-;\-* #,##0.0_-;_-* &quot;-&quot;??_-;_-@_-">
                  <c:v>0</c:v>
                </c:pt>
                <c:pt idx="9" formatCode="_-* #,##0.0_-;\-* #,##0.0_-;_-* &quot;-&quot;??_-;_-@_-">
                  <c:v>0.78499999999999992</c:v>
                </c:pt>
                <c:pt idx="10" formatCode="_-* #,##0.0_-;\-* #,##0.0_-;_-* &quot;-&quot;??_-;_-@_-">
                  <c:v>0.99</c:v>
                </c:pt>
                <c:pt idx="11" formatCode="_-* #,##0.0_-;\-* #,##0.0_-;_-* &quot;-&quot;??_-;_-@_-">
                  <c:v>0.99</c:v>
                </c:pt>
                <c:pt idx="12" formatCode="_-* #,##0.0_-;\-* #,##0.0_-;_-* &quot;-&quot;??_-;_-@_-">
                  <c:v>0.99</c:v>
                </c:pt>
                <c:pt idx="13" formatCode="_-* #,##0.0_-;\-* #,##0.0_-;_-* &quot;-&quot;??_-;_-@_-">
                  <c:v>0.99</c:v>
                </c:pt>
                <c:pt idx="14" formatCode="_-* #,##0.0_-;\-* #,##0.0_-;_-* &quot;-&quot;??_-;_-@_-">
                  <c:v>0.99</c:v>
                </c:pt>
              </c:numCache>
            </c:numRef>
          </c:val>
        </c:ser>
        <c:ser>
          <c:idx val="3"/>
          <c:order val="3"/>
          <c:tx>
            <c:strRef>
              <c:f>'A-4'!$A$207</c:f>
              <c:strCache>
                <c:ptCount val="1"/>
                <c:pt idx="0">
                  <c:v>Total with Specific Escalations</c:v>
                </c:pt>
              </c:strCache>
            </c:strRef>
          </c:tx>
          <c:spPr>
            <a:ln w="25400">
              <a:solidFill>
                <a:srgbClr val="FF0000"/>
              </a:solidFill>
              <a:prstDash val="solid"/>
            </a:ln>
          </c:spPr>
          <c:marker>
            <c:symbol val="none"/>
          </c:marker>
          <c:cat>
            <c:strRef>
              <c:f>('A-4'!$B$202:$H$202,'A-4'!$B$204:$I$204)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('A-4'!$B$200:$H$200,'A-4'!$B$207:$I$207)</c:f>
              <c:numCache>
                <c:formatCode>General</c:formatCode>
                <c:ptCount val="15"/>
                <c:pt idx="7" formatCode="_-* #,##0.0_-;\-* #,##0.0_-;_-* &quot;-&quot;??_-;_-@_-">
                  <c:v>0</c:v>
                </c:pt>
                <c:pt idx="8" formatCode="_-* #,##0.0_-;\-* #,##0.0_-;_-* &quot;-&quot;??_-;_-@_-">
                  <c:v>0</c:v>
                </c:pt>
                <c:pt idx="9" formatCode="_-* #,##0.0_-;\-* #,##0.0_-;_-* &quot;-&quot;??_-;_-@_-">
                  <c:v>0.78499999999999992</c:v>
                </c:pt>
                <c:pt idx="10" formatCode="_-* #,##0.0_-;\-* #,##0.0_-;_-* &quot;-&quot;??_-;_-@_-">
                  <c:v>0.99832881725076961</c:v>
                </c:pt>
                <c:pt idx="11" formatCode="_-* #,##0.0_-;\-* #,##0.0_-;_-* &quot;-&quot;??_-;_-@_-">
                  <c:v>1.0060461811720351</c:v>
                </c:pt>
                <c:pt idx="12" formatCode="_-* #,##0.0_-;\-* #,##0.0_-;_-* &quot;-&quot;??_-;_-@_-">
                  <c:v>1.0136747097128271</c:v>
                </c:pt>
                <c:pt idx="13" formatCode="_-* #,##0.0_-;\-* #,##0.0_-;_-* &quot;-&quot;??_-;_-@_-">
                  <c:v>1.0219510504903917</c:v>
                </c:pt>
                <c:pt idx="14" formatCode="_-* #,##0.0_-;\-* #,##0.0_-;_-* &quot;-&quot;??_-;_-@_-">
                  <c:v>1.02953224058304</c:v>
                </c:pt>
              </c:numCache>
            </c:numRef>
          </c:val>
        </c:ser>
        <c:ser>
          <c:idx val="2"/>
          <c:order val="4"/>
          <c:tx>
            <c:strRef>
              <c:f>'A-4'!$A$208</c:f>
              <c:strCache>
                <c:ptCount val="1"/>
                <c:pt idx="0">
                  <c:v>Total with All Escalations</c:v>
                </c:pt>
              </c:strCache>
            </c:strRef>
          </c:tx>
          <c:spPr>
            <a:ln w="38100">
              <a:solidFill>
                <a:srgbClr val="00FF00"/>
              </a:solidFill>
              <a:prstDash val="solid"/>
            </a:ln>
          </c:spPr>
          <c:marker>
            <c:symbol val="none"/>
          </c:marker>
          <c:cat>
            <c:strRef>
              <c:f>('A-4'!$B$202:$H$202,'A-4'!$B$204:$I$204)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('A-4'!$B$200:$H$200,'A-4'!$B$208:$I$208)</c:f>
              <c:numCache>
                <c:formatCode>General</c:formatCode>
                <c:ptCount val="15"/>
                <c:pt idx="7" formatCode="_-* #,##0.0_-;\-* #,##0.0_-;_-* &quot;-&quot;??_-;_-@_-">
                  <c:v>0</c:v>
                </c:pt>
                <c:pt idx="8" formatCode="_-* #,##0.0_-;\-* #,##0.0_-;_-* &quot;-&quot;??_-;_-@_-">
                  <c:v>0</c:v>
                </c:pt>
                <c:pt idx="9" formatCode="_-* #,##0.0_-;\-* #,##0.0_-;_-* &quot;-&quot;??_-;_-@_-">
                  <c:v>0.78499999999999992</c:v>
                </c:pt>
                <c:pt idx="10" formatCode="_-* #,##0.0_-;\-* #,##0.0_-;_-* &quot;-&quot;??_-;_-@_-">
                  <c:v>1.0102538365204001</c:v>
                </c:pt>
                <c:pt idx="11" formatCode="_-* #,##0.0_-;\-* #,##0.0_-;_-* &quot;-&quot;??_-;_-@_-">
                  <c:v>1.0303614130158816</c:v>
                </c:pt>
                <c:pt idx="12" formatCode="_-* #,##0.0_-;\-* #,##0.0_-;_-* &quot;-&quot;??_-;_-@_-">
                  <c:v>1.0527081245801968</c:v>
                </c:pt>
                <c:pt idx="13" formatCode="_-* #,##0.0_-;\-* #,##0.0_-;_-* &quot;-&quot;??_-;_-@_-">
                  <c:v>1.0767886542476737</c:v>
                </c:pt>
                <c:pt idx="14" formatCode="_-* #,##0.0_-;\-* #,##0.0_-;_-* &quot;-&quot;??_-;_-@_-">
                  <c:v>1.1013863807573707</c:v>
                </c:pt>
              </c:numCache>
            </c:numRef>
          </c:val>
        </c:ser>
        <c:marker val="1"/>
        <c:axId val="154869120"/>
        <c:axId val="154879104"/>
      </c:lineChart>
      <c:catAx>
        <c:axId val="15486912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4879104"/>
        <c:crosses val="autoZero"/>
        <c:auto val="1"/>
        <c:lblAlgn val="ctr"/>
        <c:lblOffset val="100"/>
        <c:tickLblSkip val="1"/>
        <c:tickMarkSkip val="1"/>
      </c:catAx>
      <c:valAx>
        <c:axId val="15487910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486912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AU"/>
  <c:chart>
    <c:title>
      <c:tx>
        <c:strRef>
          <c:f>'A-40'!$B$2</c:f>
          <c:strCache>
            <c:ptCount val="1"/>
            <c:pt idx="0">
              <c:v>Debt Raising Costs</c:v>
            </c:pt>
          </c:strCache>
        </c:strRef>
      </c:tx>
      <c:layout>
        <c:manualLayout>
          <c:xMode val="edge"/>
          <c:yMode val="edge"/>
          <c:x val="0.38558786346398377"/>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'A-40'!$A$203</c:f>
              <c:strCache>
                <c:ptCount val="1"/>
                <c:pt idx="0">
                  <c:v>Historic Expenditure</c:v>
                </c:pt>
              </c:strCache>
            </c:strRef>
          </c:tx>
          <c:spPr>
            <a:ln w="25400">
              <a:solidFill>
                <a:srgbClr val="33CCCC"/>
              </a:solidFill>
              <a:prstDash val="solid"/>
            </a:ln>
          </c:spPr>
          <c:marker>
            <c:symbol val="none"/>
          </c:marker>
          <c:cat>
            <c:strRef>
              <c:f>('A-40'!$B$202:$H$202,'A-40'!$B$204:$I$204)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('A-40'!$B$203:$H$203,'A-40'!$B$205,'A-40'!$C$200:$I$200)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'A-40'!$A$14</c:f>
              <c:strCache>
                <c:ptCount val="1"/>
                <c:pt idx="0">
                  <c:v>Baseline Expenditure</c:v>
                </c:pt>
              </c:strCache>
            </c:strRef>
          </c:tx>
          <c:spPr>
            <a:ln w="25400">
              <a:solidFill>
                <a:srgbClr val="0000FF"/>
              </a:solidFill>
              <a:prstDash val="solid"/>
            </a:ln>
          </c:spPr>
          <c:marker>
            <c:symbol val="none"/>
          </c:marker>
          <c:cat>
            <c:strRef>
              <c:f>('A-40'!$B$202:$H$202,'A-40'!$B$204:$I$204)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('A-40'!$B$200:$H$200,'A-40'!$B$205:$I$205)</c:f>
              <c:numCache>
                <c:formatCode>General</c:formatCode>
                <c:ptCount val="15"/>
                <c:pt idx="7" formatCode="_-* #,##0.0_-;\-* #,##0.0_-;_-* &quot;-&quot;??_-;_-@_-">
                  <c:v>0</c:v>
                </c:pt>
                <c:pt idx="8" formatCode="_-* #,##0.0_-;\-* #,##0.0_-;_-* &quot;-&quot;??_-;_-@_-">
                  <c:v>0</c:v>
                </c:pt>
                <c:pt idx="9" formatCode="_-* #,##0.0_-;\-* #,##0.0_-;_-* &quot;-&quot;??_-;_-@_-">
                  <c:v>2.0175539353381176</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'A-40'!$A$206</c:f>
              <c:strCache>
                <c:ptCount val="1"/>
                <c:pt idx="0">
                  <c:v>Total with Variations</c:v>
                </c:pt>
              </c:strCache>
            </c:strRef>
          </c:tx>
          <c:spPr>
            <a:ln w="25400">
              <a:solidFill>
                <a:srgbClr val="993366"/>
              </a:solidFill>
              <a:prstDash val="solid"/>
            </a:ln>
          </c:spPr>
          <c:marker>
            <c:symbol val="none"/>
          </c:marker>
          <c:cat>
            <c:strRef>
              <c:f>('A-40'!$B$202:$H$202,'A-40'!$B$204:$I$204)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('A-40'!$B$200:$H$200,'A-40'!$B$206:$I$206)</c:f>
              <c:numCache>
                <c:formatCode>General</c:formatCode>
                <c:ptCount val="15"/>
                <c:pt idx="7" formatCode="_-* #,##0.0_-;\-* #,##0.0_-;_-* &quot;-&quot;??_-;_-@_-">
                  <c:v>0</c:v>
                </c:pt>
                <c:pt idx="8" formatCode="_-* #,##0.0_-;\-* #,##0.0_-;_-* &quot;-&quot;??_-;_-@_-">
                  <c:v>0</c:v>
                </c:pt>
                <c:pt idx="9" formatCode="_-* #,##0.0_-;\-* #,##0.0_-;_-* &quot;-&quot;??_-;_-@_-">
                  <c:v>2.0175539353381176</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'A-40'!$A$207</c:f>
              <c:strCache>
                <c:ptCount val="1"/>
                <c:pt idx="0">
                  <c:v>Total with Specific Escalations</c:v>
                </c:pt>
              </c:strCache>
            </c:strRef>
          </c:tx>
          <c:spPr>
            <a:ln w="25400">
              <a:solidFill>
                <a:srgbClr val="FF0000"/>
              </a:solidFill>
              <a:prstDash val="solid"/>
            </a:ln>
          </c:spPr>
          <c:marker>
            <c:symbol val="none"/>
          </c:marker>
          <c:cat>
            <c:strRef>
              <c:f>('A-40'!$B$202:$H$202,'A-40'!$B$204:$I$204)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('A-40'!$B$200:$H$200,'A-40'!$B$207:$I$207)</c:f>
              <c:numCache>
                <c:formatCode>General</c:formatCode>
                <c:ptCount val="15"/>
                <c:pt idx="7" formatCode="_-* #,##0.0_-;\-* #,##0.0_-;_-* &quot;-&quot;??_-;_-@_-">
                  <c:v>0</c:v>
                </c:pt>
                <c:pt idx="8" formatCode="_-* #,##0.0_-;\-* #,##0.0_-;_-* &quot;-&quot;??_-;_-@_-">
                  <c:v>0</c:v>
                </c:pt>
                <c:pt idx="9" formatCode="_-* #,##0.0_-;\-* #,##0.0_-;_-* &quot;-&quot;??_-;_-@_-">
                  <c:v>2.0175539353381176</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'A-40'!$A$208</c:f>
              <c:strCache>
                <c:ptCount val="1"/>
                <c:pt idx="0">
                  <c:v>Total with All Escalations</c:v>
                </c:pt>
              </c:strCache>
            </c:strRef>
          </c:tx>
          <c:spPr>
            <a:ln w="38100">
              <a:solidFill>
                <a:srgbClr val="00FF00"/>
              </a:solidFill>
              <a:prstDash val="solid"/>
            </a:ln>
          </c:spPr>
          <c:marker>
            <c:symbol val="none"/>
          </c:marker>
          <c:cat>
            <c:strRef>
              <c:f>('A-40'!$B$202:$H$202,'A-40'!$B$204:$I$204)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('A-40'!$B$200:$H$200,'A-40'!$B$208:$I$208)</c:f>
              <c:numCache>
                <c:formatCode>General</c:formatCode>
                <c:ptCount val="15"/>
                <c:pt idx="7" formatCode="_-* #,##0.0_-;\-* #,##0.0_-;_-* &quot;-&quot;??_-;_-@_-">
                  <c:v>0</c:v>
                </c:pt>
                <c:pt idx="8" formatCode="_-* #,##0.0_-;\-* #,##0.0_-;_-* &quot;-&quot;??_-;_-@_-">
                  <c:v>0</c:v>
                </c:pt>
                <c:pt idx="9" formatCode="_-* #,##0.0_-;\-* #,##0.0_-;_-* &quot;-&quot;??_-;_-@_-">
                  <c:v>2.0175539353381176</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86123392"/>
        <c:axId val="186124928"/>
      </c:lineChart>
      <c:catAx>
        <c:axId val="1861233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6124928"/>
        <c:crosses val="autoZero"/>
        <c:auto val="1"/>
        <c:lblAlgn val="ctr"/>
        <c:lblOffset val="100"/>
        <c:tickLblSkip val="1"/>
        <c:tickMarkSkip val="1"/>
      </c:catAx>
      <c:valAx>
        <c:axId val="18612492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61233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AU"/>
  <c:chart>
    <c:title>
      <c:tx>
        <c:strRef>
          <c:f>'A-41'!$B$2</c:f>
          <c:strCache>
            <c:ptCount val="1"/>
            <c:pt idx="0">
              <c:v>Spare, not in use</c:v>
            </c:pt>
          </c:strCache>
        </c:strRef>
      </c:tx>
      <c:layout>
        <c:manualLayout>
          <c:xMode val="edge"/>
          <c:yMode val="edge"/>
          <c:x val="0.3805309734513274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'A-41'!$A$203</c:f>
              <c:strCache>
                <c:ptCount val="1"/>
                <c:pt idx="0">
                  <c:v>Historic Expenditure</c:v>
                </c:pt>
              </c:strCache>
            </c:strRef>
          </c:tx>
          <c:spPr>
            <a:ln w="25400">
              <a:solidFill>
                <a:srgbClr val="33CCCC"/>
              </a:solidFill>
              <a:prstDash val="solid"/>
            </a:ln>
          </c:spPr>
          <c:marker>
            <c:symbol val="none"/>
          </c:marker>
          <c:cat>
            <c:strRef>
              <c:f>('A-41'!$B$202:$H$202,'A-41'!$B$204:$I$204)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('A-41'!$B$203:$H$203,'A-41'!$B$205,'A-41'!$C$200:$I$200)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'A-41'!$A$14</c:f>
              <c:strCache>
                <c:ptCount val="1"/>
                <c:pt idx="0">
                  <c:v>Baseline Expenditure</c:v>
                </c:pt>
              </c:strCache>
            </c:strRef>
          </c:tx>
          <c:spPr>
            <a:ln w="25400">
              <a:solidFill>
                <a:srgbClr val="0000FF"/>
              </a:solidFill>
              <a:prstDash val="solid"/>
            </a:ln>
          </c:spPr>
          <c:marker>
            <c:symbol val="none"/>
          </c:marker>
          <c:cat>
            <c:strRef>
              <c:f>('A-41'!$B$202:$H$202,'A-41'!$B$204:$I$204)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('A-41'!$B$200:$H$200,'A-41'!$B$205:$I$205)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'A-41'!$A$206</c:f>
              <c:strCache>
                <c:ptCount val="1"/>
                <c:pt idx="0">
                  <c:v>Total with Variations</c:v>
                </c:pt>
              </c:strCache>
            </c:strRef>
          </c:tx>
          <c:spPr>
            <a:ln w="25400">
              <a:solidFill>
                <a:srgbClr val="993366"/>
              </a:solidFill>
              <a:prstDash val="solid"/>
            </a:ln>
          </c:spPr>
          <c:marker>
            <c:symbol val="none"/>
          </c:marker>
          <c:cat>
            <c:strRef>
              <c:f>('A-41'!$B$202:$H$202,'A-41'!$B$204:$I$204)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('A-41'!$B$200:$H$200,'A-41'!$B$206:$I$206)</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'A-41'!$A$207</c:f>
              <c:strCache>
                <c:ptCount val="1"/>
                <c:pt idx="0">
                  <c:v>Total with Specific Escalations</c:v>
                </c:pt>
              </c:strCache>
            </c:strRef>
          </c:tx>
          <c:spPr>
            <a:ln w="25400">
              <a:solidFill>
                <a:srgbClr val="FF0000"/>
              </a:solidFill>
              <a:prstDash val="solid"/>
            </a:ln>
          </c:spPr>
          <c:marker>
            <c:symbol val="none"/>
          </c:marker>
          <c:cat>
            <c:strRef>
              <c:f>('A-41'!$B$202:$H$202,'A-41'!$B$204:$I$204)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('A-41'!$B$200:$H$200,'A-41'!$B$207:$I$207)</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'A-41'!$A$208</c:f>
              <c:strCache>
                <c:ptCount val="1"/>
                <c:pt idx="0">
                  <c:v>Total with All Escalations</c:v>
                </c:pt>
              </c:strCache>
            </c:strRef>
          </c:tx>
          <c:spPr>
            <a:ln w="38100">
              <a:solidFill>
                <a:srgbClr val="00FF00"/>
              </a:solidFill>
              <a:prstDash val="solid"/>
            </a:ln>
          </c:spPr>
          <c:marker>
            <c:symbol val="none"/>
          </c:marker>
          <c:cat>
            <c:strRef>
              <c:f>('A-41'!$B$202:$H$202,'A-41'!$B$204:$I$204)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('A-41'!$B$200:$H$200,'A-41'!$B$208:$I$208)</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87288192"/>
        <c:axId val="187289984"/>
      </c:lineChart>
      <c:catAx>
        <c:axId val="1872881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7289984"/>
        <c:crosses val="autoZero"/>
        <c:auto val="1"/>
        <c:lblAlgn val="ctr"/>
        <c:lblOffset val="100"/>
        <c:tickLblSkip val="1"/>
        <c:tickMarkSkip val="1"/>
      </c:catAx>
      <c:valAx>
        <c:axId val="18728998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72881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AU"/>
  <c:chart>
    <c:title>
      <c:tx>
        <c:strRef>
          <c:f>'DA-1'!$B$2</c:f>
          <c:strCache>
            <c:ptCount val="1"/>
            <c:pt idx="0">
              <c:v>Distribution Licence Fee</c:v>
            </c:pt>
          </c:strCache>
        </c:strRef>
      </c:tx>
      <c:layout>
        <c:manualLayout>
          <c:xMode val="edge"/>
          <c:yMode val="edge"/>
          <c:x val="0.355246523388116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'DA-1'!$A$203</c:f>
              <c:strCache>
                <c:ptCount val="1"/>
                <c:pt idx="0">
                  <c:v>Historic Expenditure</c:v>
                </c:pt>
              </c:strCache>
            </c:strRef>
          </c:tx>
          <c:spPr>
            <a:ln w="25400">
              <a:solidFill>
                <a:srgbClr val="33CCCC"/>
              </a:solidFill>
              <a:prstDash val="solid"/>
            </a:ln>
          </c:spPr>
          <c:marker>
            <c:symbol val="none"/>
          </c:marker>
          <c:cat>
            <c:strRef>
              <c:f>('DA-1'!$B$202:$H$202,'DA-1'!$B$204:$I$204)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('DA-1'!$B$203:$H$203,'DA-1'!$B$205,'DA-1'!$C$200:$I$200)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'DA-1'!$A$14</c:f>
              <c:strCache>
                <c:ptCount val="1"/>
                <c:pt idx="0">
                  <c:v>Baseline Expenditure</c:v>
                </c:pt>
              </c:strCache>
            </c:strRef>
          </c:tx>
          <c:spPr>
            <a:ln w="25400">
              <a:solidFill>
                <a:srgbClr val="0000FF"/>
              </a:solidFill>
              <a:prstDash val="solid"/>
            </a:ln>
          </c:spPr>
          <c:marker>
            <c:symbol val="none"/>
          </c:marker>
          <c:cat>
            <c:strRef>
              <c:f>('DA-1'!$B$202:$H$202,'DA-1'!$B$204:$I$204)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('DA-1'!$B$200:$H$200,'DA-1'!$B$205:$I$205)</c:f>
              <c:numCache>
                <c:formatCode>General</c:formatCode>
                <c:ptCount val="15"/>
                <c:pt idx="7" formatCode="_-* #,##0.0_-;\-* #,##0.0_-;_-* &quot;-&quot;??_-;_-@_-">
                  <c:v>0</c:v>
                </c:pt>
                <c:pt idx="8" formatCode="_-* #,##0.0_-;\-* #,##0.0_-;_-* &quot;-&quot;??_-;_-@_-">
                  <c:v>0</c:v>
                </c:pt>
                <c:pt idx="9" formatCode="_-* #,##0.0_-;\-* #,##0.0_-;_-* &quot;-&quot;??_-;_-@_-">
                  <c:v>3.3239999999999998</c:v>
                </c:pt>
                <c:pt idx="10" formatCode="_-* #,##0.0_-;\-* #,##0.0_-;_-* &quot;-&quot;??_-;_-@_-">
                  <c:v>3.3239999999999998</c:v>
                </c:pt>
                <c:pt idx="11" formatCode="_-* #,##0.0_-;\-* #,##0.0_-;_-* &quot;-&quot;??_-;_-@_-">
                  <c:v>3.3239999999999998</c:v>
                </c:pt>
                <c:pt idx="12" formatCode="_-* #,##0.0_-;\-* #,##0.0_-;_-* &quot;-&quot;??_-;_-@_-">
                  <c:v>3.3239999999999998</c:v>
                </c:pt>
                <c:pt idx="13" formatCode="_-* #,##0.0_-;\-* #,##0.0_-;_-* &quot;-&quot;??_-;_-@_-">
                  <c:v>3.3239999999999998</c:v>
                </c:pt>
                <c:pt idx="14" formatCode="_-* #,##0.0_-;\-* #,##0.0_-;_-* &quot;-&quot;??_-;_-@_-">
                  <c:v>3.3239999999999998</c:v>
                </c:pt>
              </c:numCache>
            </c:numRef>
          </c:val>
        </c:ser>
        <c:ser>
          <c:idx val="0"/>
          <c:order val="2"/>
          <c:tx>
            <c:strRef>
              <c:f>'DA-1'!$A$206</c:f>
              <c:strCache>
                <c:ptCount val="1"/>
                <c:pt idx="0">
                  <c:v>Total with Variations</c:v>
                </c:pt>
              </c:strCache>
            </c:strRef>
          </c:tx>
          <c:spPr>
            <a:ln w="25400">
              <a:solidFill>
                <a:srgbClr val="993366"/>
              </a:solidFill>
              <a:prstDash val="solid"/>
            </a:ln>
          </c:spPr>
          <c:marker>
            <c:symbol val="none"/>
          </c:marker>
          <c:cat>
            <c:strRef>
              <c:f>('DA-1'!$B$202:$H$202,'DA-1'!$B$204:$I$204)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('DA-1'!$B$200:$H$200,'DA-1'!$B$206:$I$206)</c:f>
              <c:numCache>
                <c:formatCode>General</c:formatCode>
                <c:ptCount val="15"/>
                <c:pt idx="7" formatCode="_-* #,##0.0_-;\-* #,##0.0_-;_-* &quot;-&quot;??_-;_-@_-">
                  <c:v>0</c:v>
                </c:pt>
                <c:pt idx="8" formatCode="_-* #,##0.0_-;\-* #,##0.0_-;_-* &quot;-&quot;??_-;_-@_-">
                  <c:v>0</c:v>
                </c:pt>
                <c:pt idx="9" formatCode="_-* #,##0.0_-;\-* #,##0.0_-;_-* &quot;-&quot;??_-;_-@_-">
                  <c:v>3.3239999999999998</c:v>
                </c:pt>
                <c:pt idx="10" formatCode="_-* #,##0.0_-;\-* #,##0.0_-;_-* &quot;-&quot;??_-;_-@_-">
                  <c:v>2.5829999999999997</c:v>
                </c:pt>
                <c:pt idx="11" formatCode="_-* #,##0.0_-;\-* #,##0.0_-;_-* &quot;-&quot;??_-;_-@_-">
                  <c:v>2.2959999999999998</c:v>
                </c:pt>
                <c:pt idx="12" formatCode="_-* #,##0.0_-;\-* #,##0.0_-;_-* &quot;-&quot;??_-;_-@_-">
                  <c:v>2.2959999999999998</c:v>
                </c:pt>
                <c:pt idx="13" formatCode="_-* #,##0.0_-;\-* #,##0.0_-;_-* &quot;-&quot;??_-;_-@_-">
                  <c:v>2.2959999999999998</c:v>
                </c:pt>
                <c:pt idx="14" formatCode="_-* #,##0.0_-;\-* #,##0.0_-;_-* &quot;-&quot;??_-;_-@_-">
                  <c:v>2.2959999999999998</c:v>
                </c:pt>
              </c:numCache>
            </c:numRef>
          </c:val>
        </c:ser>
        <c:ser>
          <c:idx val="3"/>
          <c:order val="3"/>
          <c:tx>
            <c:strRef>
              <c:f>'DA-1'!$A$207</c:f>
              <c:strCache>
                <c:ptCount val="1"/>
                <c:pt idx="0">
                  <c:v>Total with Specific Escalations</c:v>
                </c:pt>
              </c:strCache>
            </c:strRef>
          </c:tx>
          <c:spPr>
            <a:ln w="25400">
              <a:solidFill>
                <a:srgbClr val="FF0000"/>
              </a:solidFill>
              <a:prstDash val="solid"/>
            </a:ln>
          </c:spPr>
          <c:marker>
            <c:symbol val="none"/>
          </c:marker>
          <c:cat>
            <c:strRef>
              <c:f>('DA-1'!$B$202:$H$202,'DA-1'!$B$204:$I$204)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('DA-1'!$B$200:$H$200,'DA-1'!$B$207:$I$207)</c:f>
              <c:numCache>
                <c:formatCode>General</c:formatCode>
                <c:ptCount val="15"/>
                <c:pt idx="7" formatCode="_-* #,##0.0_-;\-* #,##0.0_-;_-* &quot;-&quot;??_-;_-@_-">
                  <c:v>0</c:v>
                </c:pt>
                <c:pt idx="8" formatCode="_-* #,##0.0_-;\-* #,##0.0_-;_-* &quot;-&quot;??_-;_-@_-">
                  <c:v>0</c:v>
                </c:pt>
                <c:pt idx="9" formatCode="_-* #,##0.0_-;\-* #,##0.0_-;_-* &quot;-&quot;??_-;_-@_-">
                  <c:v>3.3239999999999998</c:v>
                </c:pt>
                <c:pt idx="10" formatCode="_-* #,##0.0_-;\-* #,##0.0_-;_-* &quot;-&quot;??_-;_-@_-">
                  <c:v>2.6182675013268253</c:v>
                </c:pt>
                <c:pt idx="11" formatCode="_-* #,##0.0_-;\-* #,##0.0_-;_-* &quot;-&quot;??_-;_-@_-">
                  <c:v>2.3639458677908851</c:v>
                </c:pt>
                <c:pt idx="12" formatCode="_-* #,##0.0_-;\-* #,##0.0_-;_-* &quot;-&quot;??_-;_-@_-">
                  <c:v>2.3962480701725313</c:v>
                </c:pt>
                <c:pt idx="13" formatCode="_-* #,##0.0_-;\-* #,##0.0_-;_-* &quot;-&quot;??_-;_-@_-">
                  <c:v>2.4312933653886137</c:v>
                </c:pt>
                <c:pt idx="14" formatCode="_-* #,##0.0_-;\-* #,##0.0_-;_-* &quot;-&quot;??_-;_-@_-">
                  <c:v>2.4633951180866562</c:v>
                </c:pt>
              </c:numCache>
            </c:numRef>
          </c:val>
        </c:ser>
        <c:ser>
          <c:idx val="2"/>
          <c:order val="4"/>
          <c:tx>
            <c:strRef>
              <c:f>'DA-1'!$A$208</c:f>
              <c:strCache>
                <c:ptCount val="1"/>
                <c:pt idx="0">
                  <c:v>Total with All Escalations</c:v>
                </c:pt>
              </c:strCache>
            </c:strRef>
          </c:tx>
          <c:spPr>
            <a:ln w="38100">
              <a:solidFill>
                <a:srgbClr val="00FF00"/>
              </a:solidFill>
              <a:prstDash val="solid"/>
            </a:ln>
          </c:spPr>
          <c:marker>
            <c:symbol val="none"/>
          </c:marker>
          <c:cat>
            <c:strRef>
              <c:f>('DA-1'!$B$202:$H$202,'DA-1'!$B$204:$I$204)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('DA-1'!$B$200:$H$200,'DA-1'!$B$208:$I$208)</c:f>
              <c:numCache>
                <c:formatCode>General</c:formatCode>
                <c:ptCount val="15"/>
                <c:pt idx="7" formatCode="_-* #,##0.0_-;\-* #,##0.0_-;_-* &quot;-&quot;??_-;_-@_-">
                  <c:v>0</c:v>
                </c:pt>
                <c:pt idx="8" formatCode="_-* #,##0.0_-;\-* #,##0.0_-;_-* &quot;-&quot;??_-;_-@_-">
                  <c:v>0</c:v>
                </c:pt>
                <c:pt idx="9" formatCode="_-* #,##0.0_-;\-* #,##0.0_-;_-* &quot;-&quot;??_-;_-@_-">
                  <c:v>3.3239999999999998</c:v>
                </c:pt>
                <c:pt idx="10" formatCode="_-* #,##0.0_-;\-* #,##0.0_-;_-* &quot;-&quot;??_-;_-@_-">
                  <c:v>2.6182675013268253</c:v>
                </c:pt>
                <c:pt idx="11" formatCode="_-* #,##0.0_-;\-* #,##0.0_-;_-* &quot;-&quot;??_-;_-@_-">
                  <c:v>2.3639458677908851</c:v>
                </c:pt>
                <c:pt idx="12" formatCode="_-* #,##0.0_-;\-* #,##0.0_-;_-* &quot;-&quot;??_-;_-@_-">
                  <c:v>2.3962480701725313</c:v>
                </c:pt>
                <c:pt idx="13" formatCode="_-* #,##0.0_-;\-* #,##0.0_-;_-* &quot;-&quot;??_-;_-@_-">
                  <c:v>2.4312933653886133</c:v>
                </c:pt>
                <c:pt idx="14" formatCode="_-* #,##0.0_-;\-* #,##0.0_-;_-* &quot;-&quot;??_-;_-@_-">
                  <c:v>2.4633951180866562</c:v>
                </c:pt>
              </c:numCache>
            </c:numRef>
          </c:val>
        </c:ser>
        <c:marker val="1"/>
        <c:axId val="187654912"/>
        <c:axId val="187656448"/>
      </c:lineChart>
      <c:catAx>
        <c:axId val="18765491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7656448"/>
        <c:crosses val="autoZero"/>
        <c:auto val="1"/>
        <c:lblAlgn val="ctr"/>
        <c:lblOffset val="100"/>
        <c:tickLblSkip val="1"/>
        <c:tickMarkSkip val="1"/>
      </c:catAx>
      <c:valAx>
        <c:axId val="18765644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765491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700"/>
              <a:t>Network Access, Monitoring and Control</a:t>
            </a:r>
          </a:p>
        </c:rich>
      </c:tx>
      <c:spPr>
        <a:noFill/>
        <a:ln w="25400">
          <a:noFill/>
        </a:ln>
      </c:spPr>
    </c:title>
    <c:plotArea>
      <c:layout/>
      <c:lineChart>
        <c:grouping val="standard"/>
        <c:ser>
          <c:idx val="4"/>
          <c:order val="0"/>
          <c:tx>
            <c:strRef>
              <c:f>'DA-2'!$A$203</c:f>
              <c:strCache>
                <c:ptCount val="1"/>
                <c:pt idx="0">
                  <c:v>Historic Expenditure</c:v>
                </c:pt>
              </c:strCache>
            </c:strRef>
          </c:tx>
          <c:spPr>
            <a:ln w="25400">
              <a:solidFill>
                <a:srgbClr val="33CCCC"/>
              </a:solidFill>
              <a:prstDash val="solid"/>
            </a:ln>
          </c:spPr>
          <c:marker>
            <c:symbol val="none"/>
          </c:marker>
          <c:cat>
            <c:strRef>
              <c:f>('DA-2'!$B$202:$H$202,'DA-2'!$B$204:$I$204)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('DA-2'!$B$203:$H$203,'DA-2'!$B$205,'DA-2'!$C$200:$I$200)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'DA-2'!$A$14</c:f>
              <c:strCache>
                <c:ptCount val="1"/>
                <c:pt idx="0">
                  <c:v>Baseline Expenditure</c:v>
                </c:pt>
              </c:strCache>
            </c:strRef>
          </c:tx>
          <c:spPr>
            <a:ln w="25400">
              <a:solidFill>
                <a:srgbClr val="0000FF"/>
              </a:solidFill>
              <a:prstDash val="solid"/>
            </a:ln>
          </c:spPr>
          <c:marker>
            <c:symbol val="none"/>
          </c:marker>
          <c:cat>
            <c:strRef>
              <c:f>('DA-2'!$B$202:$H$202,'DA-2'!$B$204:$I$204)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('DA-2'!$B$200:$H$200,'DA-2'!$B$205:$I$205)</c:f>
              <c:numCache>
                <c:formatCode>General</c:formatCode>
                <c:ptCount val="15"/>
                <c:pt idx="7" formatCode="_-* #,##0.0_-;\-* #,##0.0_-;_-* &quot;-&quot;??_-;_-@_-">
                  <c:v>0</c:v>
                </c:pt>
                <c:pt idx="8" formatCode="_-* #,##0.0_-;\-* #,##0.0_-;_-* &quot;-&quot;??_-;_-@_-">
                  <c:v>0</c:v>
                </c:pt>
                <c:pt idx="9" formatCode="_-* #,##0.0_-;\-* #,##0.0_-;_-* &quot;-&quot;??_-;_-@_-">
                  <c:v>9.2050000000000001</c:v>
                </c:pt>
                <c:pt idx="10" formatCode="_-* #,##0.0_-;\-* #,##0.0_-;_-* &quot;-&quot;??_-;_-@_-">
                  <c:v>9.2050000000000001</c:v>
                </c:pt>
                <c:pt idx="11" formatCode="_-* #,##0.0_-;\-* #,##0.0_-;_-* &quot;-&quot;??_-;_-@_-">
                  <c:v>9.2050000000000001</c:v>
                </c:pt>
                <c:pt idx="12" formatCode="_-* #,##0.0_-;\-* #,##0.0_-;_-* &quot;-&quot;??_-;_-@_-">
                  <c:v>9.2050000000000001</c:v>
                </c:pt>
                <c:pt idx="13" formatCode="_-* #,##0.0_-;\-* #,##0.0_-;_-* &quot;-&quot;??_-;_-@_-">
                  <c:v>9.2050000000000001</c:v>
                </c:pt>
                <c:pt idx="14" formatCode="_-* #,##0.0_-;\-* #,##0.0_-;_-* &quot;-&quot;??_-;_-@_-">
                  <c:v>9.2050000000000001</c:v>
                </c:pt>
              </c:numCache>
            </c:numRef>
          </c:val>
        </c:ser>
        <c:ser>
          <c:idx val="0"/>
          <c:order val="2"/>
          <c:tx>
            <c:strRef>
              <c:f>'DA-2'!$A$206</c:f>
              <c:strCache>
                <c:ptCount val="1"/>
                <c:pt idx="0">
                  <c:v>Total with Variations</c:v>
                </c:pt>
              </c:strCache>
            </c:strRef>
          </c:tx>
          <c:spPr>
            <a:ln w="25400">
              <a:solidFill>
                <a:srgbClr val="993366"/>
              </a:solidFill>
              <a:prstDash val="solid"/>
            </a:ln>
          </c:spPr>
          <c:marker>
            <c:symbol val="none"/>
          </c:marker>
          <c:cat>
            <c:strRef>
              <c:f>('DA-2'!$B$202:$H$202,'DA-2'!$B$204:$I$204)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('DA-2'!$B$200:$H$200,'DA-2'!$B$206:$I$206)</c:f>
              <c:numCache>
                <c:formatCode>General</c:formatCode>
                <c:ptCount val="15"/>
                <c:pt idx="7" formatCode="_-* #,##0.0_-;\-* #,##0.0_-;_-* &quot;-&quot;??_-;_-@_-">
                  <c:v>0</c:v>
                </c:pt>
                <c:pt idx="8" formatCode="_-* #,##0.0_-;\-* #,##0.0_-;_-* &quot;-&quot;??_-;_-@_-">
                  <c:v>0</c:v>
                </c:pt>
                <c:pt idx="9" formatCode="_-* #,##0.0_-;\-* #,##0.0_-;_-* &quot;-&quot;??_-;_-@_-">
                  <c:v>9.2050000000000001</c:v>
                </c:pt>
                <c:pt idx="10" formatCode="_-* #,##0.0_-;\-* #,##0.0_-;_-* &quot;-&quot;??_-;_-@_-">
                  <c:v>9.2050000000000001</c:v>
                </c:pt>
                <c:pt idx="11" formatCode="_-* #,##0.0_-;\-* #,##0.0_-;_-* &quot;-&quot;??_-;_-@_-">
                  <c:v>9.2050000000000001</c:v>
                </c:pt>
                <c:pt idx="12" formatCode="_-* #,##0.0_-;\-* #,##0.0_-;_-* &quot;-&quot;??_-;_-@_-">
                  <c:v>9.2050000000000001</c:v>
                </c:pt>
                <c:pt idx="13" formatCode="_-* #,##0.0_-;\-* #,##0.0_-;_-* &quot;-&quot;??_-;_-@_-">
                  <c:v>9.2050000000000001</c:v>
                </c:pt>
                <c:pt idx="14" formatCode="_-* #,##0.0_-;\-* #,##0.0_-;_-* &quot;-&quot;??_-;_-@_-">
                  <c:v>9.2050000000000001</c:v>
                </c:pt>
              </c:numCache>
            </c:numRef>
          </c:val>
        </c:ser>
        <c:ser>
          <c:idx val="3"/>
          <c:order val="3"/>
          <c:tx>
            <c:strRef>
              <c:f>'DA-2'!$A$207</c:f>
              <c:strCache>
                <c:ptCount val="1"/>
                <c:pt idx="0">
                  <c:v>Total with Specific Escalations</c:v>
                </c:pt>
              </c:strCache>
            </c:strRef>
          </c:tx>
          <c:spPr>
            <a:ln w="25400">
              <a:solidFill>
                <a:srgbClr val="FF0000"/>
              </a:solidFill>
              <a:prstDash val="solid"/>
            </a:ln>
          </c:spPr>
          <c:marker>
            <c:symbol val="none"/>
          </c:marker>
          <c:cat>
            <c:strRef>
              <c:f>('DA-2'!$B$202:$H$202,'DA-2'!$B$204:$I$204)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('DA-2'!$B$200:$H$200,'DA-2'!$B$207:$I$207)</c:f>
              <c:numCache>
                <c:formatCode>General</c:formatCode>
                <c:ptCount val="15"/>
                <c:pt idx="7" formatCode="_-* #,##0.0_-;\-* #,##0.0_-;_-* &quot;-&quot;??_-;_-@_-">
                  <c:v>0</c:v>
                </c:pt>
                <c:pt idx="8" formatCode="_-* #,##0.0_-;\-* #,##0.0_-;_-* &quot;-&quot;??_-;_-@_-">
                  <c:v>0</c:v>
                </c:pt>
                <c:pt idx="9" formatCode="_-* #,##0.0_-;\-* #,##0.0_-;_-* &quot;-&quot;??_-;_-@_-">
                  <c:v>9.2050000000000001</c:v>
                </c:pt>
                <c:pt idx="10" formatCode="_-* #,##0.0_-;\-* #,##0.0_-;_-* &quot;-&quot;??_-;_-@_-">
                  <c:v>9.3026646659787691</c:v>
                </c:pt>
                <c:pt idx="11" formatCode="_-* #,##0.0_-;\-* #,##0.0_-;_-* &quot;-&quot;??_-;_-@_-">
                  <c:v>9.3931593601128469</c:v>
                </c:pt>
                <c:pt idx="12" formatCode="_-* #,##0.0_-;\-* #,##0.0_-;_-* &quot;-&quot;??_-;_-@_-">
                  <c:v>9.4826123603905401</c:v>
                </c:pt>
                <c:pt idx="13" formatCode="_-* #,##0.0_-;\-* #,##0.0_-;_-* &quot;-&quot;??_-;_-@_-">
                  <c:v>9.5796616812280959</c:v>
                </c:pt>
                <c:pt idx="14" formatCode="_-* #,##0.0_-;\-* #,##0.0_-;_-* &quot;-&quot;??_-;_-@_-">
                  <c:v>9.6685595854355224</c:v>
                </c:pt>
              </c:numCache>
            </c:numRef>
          </c:val>
        </c:ser>
        <c:ser>
          <c:idx val="2"/>
          <c:order val="4"/>
          <c:tx>
            <c:strRef>
              <c:f>'DA-2'!$A$208</c:f>
              <c:strCache>
                <c:ptCount val="1"/>
                <c:pt idx="0">
                  <c:v>Total with All Escalations</c:v>
                </c:pt>
              </c:strCache>
            </c:strRef>
          </c:tx>
          <c:spPr>
            <a:ln w="38100">
              <a:solidFill>
                <a:srgbClr val="00FF00"/>
              </a:solidFill>
              <a:prstDash val="solid"/>
            </a:ln>
          </c:spPr>
          <c:marker>
            <c:symbol val="none"/>
          </c:marker>
          <c:cat>
            <c:strRef>
              <c:f>('DA-2'!$B$202:$H$202,'DA-2'!$B$204:$I$204)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('DA-2'!$B$200:$H$200,'DA-2'!$B$208:$I$208)</c:f>
              <c:numCache>
                <c:formatCode>General</c:formatCode>
                <c:ptCount val="15"/>
                <c:pt idx="7" formatCode="_-* #,##0.0_-;\-* #,##0.0_-;_-* &quot;-&quot;??_-;_-@_-">
                  <c:v>0</c:v>
                </c:pt>
                <c:pt idx="8" formatCode="_-* #,##0.0_-;\-* #,##0.0_-;_-* &quot;-&quot;??_-;_-@_-">
                  <c:v>0</c:v>
                </c:pt>
                <c:pt idx="9" formatCode="_-* #,##0.0_-;\-* #,##0.0_-;_-* &quot;-&quot;??_-;_-@_-">
                  <c:v>9.2050000000000001</c:v>
                </c:pt>
                <c:pt idx="10" formatCode="_-* #,##0.0_-;\-* #,##0.0_-;_-* &quot;-&quot;??_-;_-@_-">
                  <c:v>9.490824787583291</c:v>
                </c:pt>
                <c:pt idx="11" formatCode="_-* #,##0.0_-;\-* #,##0.0_-;_-* &quot;-&quot;??_-;_-@_-">
                  <c:v>9.7771557998316965</c:v>
                </c:pt>
                <c:pt idx="12" formatCode="_-* #,##0.0_-;\-* #,##0.0_-;_-* &quot;-&quot;??_-;_-@_-">
                  <c:v>10.084052403863506</c:v>
                </c:pt>
                <c:pt idx="13" formatCode="_-* #,##0.0_-;\-* #,##0.0_-;_-* &quot;-&quot;??_-;_-@_-">
                  <c:v>10.409188953341008</c:v>
                </c:pt>
                <c:pt idx="14" formatCode="_-* #,##0.0_-;\-* #,##0.0_-;_-* &quot;-&quot;??_-;_-@_-">
                  <c:v>10.736327729669757</c:v>
                </c:pt>
              </c:numCache>
            </c:numRef>
          </c:val>
        </c:ser>
        <c:marker val="1"/>
        <c:axId val="187803904"/>
        <c:axId val="187817984"/>
      </c:lineChart>
      <c:catAx>
        <c:axId val="187803904"/>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7817984"/>
        <c:crosses val="autoZero"/>
        <c:auto val="1"/>
        <c:lblAlgn val="ctr"/>
        <c:lblOffset val="100"/>
        <c:tickLblSkip val="1"/>
        <c:tickMarkSkip val="1"/>
      </c:catAx>
      <c:valAx>
        <c:axId val="187817984"/>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7803904"/>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AU"/>
  <c:chart>
    <c:title>
      <c:tx>
        <c:strRef>
          <c:f>'DA-3'!$B$2</c:f>
          <c:strCache>
            <c:ptCount val="1"/>
            <c:pt idx="0">
              <c:v>Customer Service</c:v>
            </c:pt>
          </c:strCache>
        </c:strRef>
      </c:tx>
      <c:layout>
        <c:manualLayout>
          <c:xMode val="edge"/>
          <c:yMode val="edge"/>
          <c:x val="0.3919089759797965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'DA-3'!$A$203</c:f>
              <c:strCache>
                <c:ptCount val="1"/>
                <c:pt idx="0">
                  <c:v>Historic Expenditure</c:v>
                </c:pt>
              </c:strCache>
            </c:strRef>
          </c:tx>
          <c:spPr>
            <a:ln w="25400">
              <a:solidFill>
                <a:srgbClr val="33CCCC"/>
              </a:solidFill>
              <a:prstDash val="solid"/>
            </a:ln>
          </c:spPr>
          <c:marker>
            <c:symbol val="none"/>
          </c:marker>
          <c:cat>
            <c:strRef>
              <c:f>('DA-3'!$B$202:$H$202,'DA-3'!$B$204:$I$204)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('DA-3'!$B$203:$H$203,'DA-3'!$B$205,'DA-3'!$C$200:$I$200)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'DA-3'!$A$14</c:f>
              <c:strCache>
                <c:ptCount val="1"/>
                <c:pt idx="0">
                  <c:v>Baseline Expenditure</c:v>
                </c:pt>
              </c:strCache>
            </c:strRef>
          </c:tx>
          <c:spPr>
            <a:ln w="25400">
              <a:solidFill>
                <a:srgbClr val="0000FF"/>
              </a:solidFill>
              <a:prstDash val="solid"/>
            </a:ln>
          </c:spPr>
          <c:marker>
            <c:symbol val="none"/>
          </c:marker>
          <c:cat>
            <c:strRef>
              <c:f>('DA-3'!$B$202:$H$202,'DA-3'!$B$204:$I$204)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('DA-3'!$B$200:$H$200,'DA-3'!$B$205:$I$205)</c:f>
              <c:numCache>
                <c:formatCode>General</c:formatCode>
                <c:ptCount val="15"/>
                <c:pt idx="7" formatCode="_-* #,##0.0_-;\-* #,##0.0_-;_-* &quot;-&quot;??_-;_-@_-">
                  <c:v>0</c:v>
                </c:pt>
                <c:pt idx="8" formatCode="_-* #,##0.0_-;\-* #,##0.0_-;_-* &quot;-&quot;??_-;_-@_-">
                  <c:v>0</c:v>
                </c:pt>
                <c:pt idx="9" formatCode="_-* #,##0.0_-;\-* #,##0.0_-;_-* &quot;-&quot;??_-;_-@_-">
                  <c:v>2.9210000000000003</c:v>
                </c:pt>
                <c:pt idx="10" formatCode="_-* #,##0.0_-;\-* #,##0.0_-;_-* &quot;-&quot;??_-;_-@_-">
                  <c:v>2.9210000000000003</c:v>
                </c:pt>
                <c:pt idx="11" formatCode="_-* #,##0.0_-;\-* #,##0.0_-;_-* &quot;-&quot;??_-;_-@_-">
                  <c:v>2.9210000000000003</c:v>
                </c:pt>
                <c:pt idx="12" formatCode="_-* #,##0.0_-;\-* #,##0.0_-;_-* &quot;-&quot;??_-;_-@_-">
                  <c:v>2.9210000000000003</c:v>
                </c:pt>
                <c:pt idx="13" formatCode="_-* #,##0.0_-;\-* #,##0.0_-;_-* &quot;-&quot;??_-;_-@_-">
                  <c:v>2.9210000000000003</c:v>
                </c:pt>
                <c:pt idx="14" formatCode="_-* #,##0.0_-;\-* #,##0.0_-;_-* &quot;-&quot;??_-;_-@_-">
                  <c:v>2.9210000000000003</c:v>
                </c:pt>
              </c:numCache>
            </c:numRef>
          </c:val>
        </c:ser>
        <c:ser>
          <c:idx val="0"/>
          <c:order val="2"/>
          <c:tx>
            <c:strRef>
              <c:f>'DA-3'!$A$206</c:f>
              <c:strCache>
                <c:ptCount val="1"/>
                <c:pt idx="0">
                  <c:v>Total with Variations</c:v>
                </c:pt>
              </c:strCache>
            </c:strRef>
          </c:tx>
          <c:spPr>
            <a:ln w="25400">
              <a:solidFill>
                <a:srgbClr val="993366"/>
              </a:solidFill>
              <a:prstDash val="solid"/>
            </a:ln>
          </c:spPr>
          <c:marker>
            <c:symbol val="none"/>
          </c:marker>
          <c:cat>
            <c:strRef>
              <c:f>('DA-3'!$B$202:$H$202,'DA-3'!$B$204:$I$204)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('DA-3'!$B$200:$H$200,'DA-3'!$B$206:$I$206)</c:f>
              <c:numCache>
                <c:formatCode>General</c:formatCode>
                <c:ptCount val="15"/>
                <c:pt idx="7" formatCode="_-* #,##0.0_-;\-* #,##0.0_-;_-* &quot;-&quot;??_-;_-@_-">
                  <c:v>0</c:v>
                </c:pt>
                <c:pt idx="8" formatCode="_-* #,##0.0_-;\-* #,##0.0_-;_-* &quot;-&quot;??_-;_-@_-">
                  <c:v>0</c:v>
                </c:pt>
                <c:pt idx="9" formatCode="_-* #,##0.0_-;\-* #,##0.0_-;_-* &quot;-&quot;??_-;_-@_-">
                  <c:v>2.9838790415596987</c:v>
                </c:pt>
                <c:pt idx="10" formatCode="_-* #,##0.0_-;\-* #,##0.0_-;_-* &quot;-&quot;??_-;_-@_-">
                  <c:v>3.1710000000000003</c:v>
                </c:pt>
                <c:pt idx="11" formatCode="_-* #,##0.0_-;\-* #,##0.0_-;_-* &quot;-&quot;??_-;_-@_-">
                  <c:v>3.1710000000000003</c:v>
                </c:pt>
                <c:pt idx="12" formatCode="_-* #,##0.0_-;\-* #,##0.0_-;_-* &quot;-&quot;??_-;_-@_-">
                  <c:v>3.1710000000000003</c:v>
                </c:pt>
                <c:pt idx="13" formatCode="_-* #,##0.0_-;\-* #,##0.0_-;_-* &quot;-&quot;??_-;_-@_-">
                  <c:v>3.1710000000000003</c:v>
                </c:pt>
                <c:pt idx="14" formatCode="_-* #,##0.0_-;\-* #,##0.0_-;_-* &quot;-&quot;??_-;_-@_-">
                  <c:v>3.1710000000000003</c:v>
                </c:pt>
              </c:numCache>
            </c:numRef>
          </c:val>
        </c:ser>
        <c:ser>
          <c:idx val="3"/>
          <c:order val="3"/>
          <c:tx>
            <c:strRef>
              <c:f>'DA-3'!$A$207</c:f>
              <c:strCache>
                <c:ptCount val="1"/>
                <c:pt idx="0">
                  <c:v>Total with Specific Escalations</c:v>
                </c:pt>
              </c:strCache>
            </c:strRef>
          </c:tx>
          <c:spPr>
            <a:ln w="25400">
              <a:solidFill>
                <a:srgbClr val="FF0000"/>
              </a:solidFill>
              <a:prstDash val="solid"/>
            </a:ln>
          </c:spPr>
          <c:marker>
            <c:symbol val="none"/>
          </c:marker>
          <c:cat>
            <c:strRef>
              <c:f>('DA-3'!$B$202:$H$202,'DA-3'!$B$204:$I$204)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('DA-3'!$B$200:$H$200,'DA-3'!$B$207:$I$207)</c:f>
              <c:numCache>
                <c:formatCode>General</c:formatCode>
                <c:ptCount val="15"/>
                <c:pt idx="7" formatCode="_-* #,##0.0_-;\-* #,##0.0_-;_-* &quot;-&quot;??_-;_-@_-">
                  <c:v>0</c:v>
                </c:pt>
                <c:pt idx="8" formatCode="_-* #,##0.0_-;\-* #,##0.0_-;_-* &quot;-&quot;??_-;_-@_-">
                  <c:v>0</c:v>
                </c:pt>
                <c:pt idx="9" formatCode="_-* #,##0.0_-;\-* #,##0.0_-;_-* &quot;-&quot;??_-;_-@_-">
                  <c:v>2.9838790415596987</c:v>
                </c:pt>
                <c:pt idx="10" formatCode="_-* #,##0.0_-;\-* #,##0.0_-;_-* &quot;-&quot;??_-;_-@_-">
                  <c:v>3.2019916881394881</c:v>
                </c:pt>
                <c:pt idx="11" formatCode="_-* #,##0.0_-;\-* #,##0.0_-;_-* &quot;-&quot;??_-;_-@_-">
                  <c:v>3.2307081467560703</c:v>
                </c:pt>
                <c:pt idx="12" formatCode="_-* #,##0.0_-;\-* #,##0.0_-;_-* &quot;-&quot;??_-;_-@_-">
                  <c:v>3.2590940472244179</c:v>
                </c:pt>
                <c:pt idx="13" formatCode="_-* #,##0.0_-;\-* #,##0.0_-;_-* &quot;-&quot;??_-;_-@_-">
                  <c:v>3.2898904694043747</c:v>
                </c:pt>
                <c:pt idx="14" formatCode="_-* #,##0.0_-;\-* #,##0.0_-;_-* &quot;-&quot;??_-;_-@_-">
                  <c:v>3.3181002226026246</c:v>
                </c:pt>
              </c:numCache>
            </c:numRef>
          </c:val>
        </c:ser>
        <c:ser>
          <c:idx val="2"/>
          <c:order val="4"/>
          <c:tx>
            <c:strRef>
              <c:f>'DA-3'!$A$208</c:f>
              <c:strCache>
                <c:ptCount val="1"/>
                <c:pt idx="0">
                  <c:v>Total with All Escalations</c:v>
                </c:pt>
              </c:strCache>
            </c:strRef>
          </c:tx>
          <c:spPr>
            <a:ln w="38100">
              <a:solidFill>
                <a:srgbClr val="00FF00"/>
              </a:solidFill>
              <a:prstDash val="solid"/>
            </a:ln>
          </c:spPr>
          <c:marker>
            <c:symbol val="none"/>
          </c:marker>
          <c:cat>
            <c:strRef>
              <c:f>('DA-3'!$B$202:$H$202,'DA-3'!$B$204:$I$204)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('DA-3'!$B$200:$H$200,'DA-3'!$B$208:$I$208)</c:f>
              <c:numCache>
                <c:formatCode>General</c:formatCode>
                <c:ptCount val="15"/>
                <c:pt idx="7" formatCode="_-* #,##0.0_-;\-* #,##0.0_-;_-* &quot;-&quot;??_-;_-@_-">
                  <c:v>0</c:v>
                </c:pt>
                <c:pt idx="8" formatCode="_-* #,##0.0_-;\-* #,##0.0_-;_-* &quot;-&quot;??_-;_-@_-">
                  <c:v>0</c:v>
                </c:pt>
                <c:pt idx="9" formatCode="_-* #,##0.0_-;\-* #,##0.0_-;_-* &quot;-&quot;??_-;_-@_-">
                  <c:v>2.9838790415596987</c:v>
                </c:pt>
                <c:pt idx="10" formatCode="_-* #,##0.0_-;\-* #,##0.0_-;_-* &quot;-&quot;??_-;_-@_-">
                  <c:v>3.2650082512936707</c:v>
                </c:pt>
                <c:pt idx="11" formatCode="_-* #,##0.0_-;\-* #,##0.0_-;_-* &quot;-&quot;??_-;_-@_-">
                  <c:v>3.3593272883609919</c:v>
                </c:pt>
                <c:pt idx="12" formatCode="_-* #,##0.0_-;\-* #,##0.0_-;_-* &quot;-&quot;??_-;_-@_-">
                  <c:v>3.4598688482931808</c:v>
                </c:pt>
                <c:pt idx="13" formatCode="_-* #,##0.0_-;\-* #,##0.0_-;_-* &quot;-&quot;??_-;_-@_-">
                  <c:v>3.5660922432091242</c:v>
                </c:pt>
                <c:pt idx="14" formatCode="_-* #,##0.0_-;\-* #,##0.0_-;_-* &quot;-&quot;??_-;_-@_-">
                  <c:v>3.6727239700291796</c:v>
                </c:pt>
              </c:numCache>
            </c:numRef>
          </c:val>
        </c:ser>
        <c:marker val="1"/>
        <c:axId val="188198912"/>
        <c:axId val="188200448"/>
      </c:lineChart>
      <c:catAx>
        <c:axId val="18819891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819891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800"/>
              <a:t>Standards Development and Maintenance</a:t>
            </a:r>
          </a:p>
        </c:rich>
      </c:tx>
      <c:spPr>
        <a:noFill/>
        <a:ln w="25400">
          <a:noFill/>
        </a:ln>
      </c:spPr>
    </c:title>
    <c:plotArea>
      <c:layout/>
      <c:lineChart>
        <c:grouping val="standard"/>
        <c:ser>
          <c:idx val="4"/>
          <c:order val="0"/>
          <c:tx>
            <c:strRef>
              <c:f>'DA-4'!$A$203</c:f>
              <c:strCache>
                <c:ptCount val="1"/>
                <c:pt idx="0">
                  <c:v>Historic Expenditure</c:v>
                </c:pt>
              </c:strCache>
            </c:strRef>
          </c:tx>
          <c:spPr>
            <a:ln w="25400">
              <a:solidFill>
                <a:srgbClr val="33CCCC"/>
              </a:solidFill>
              <a:prstDash val="solid"/>
            </a:ln>
          </c:spPr>
          <c:marker>
            <c:symbol val="none"/>
          </c:marker>
          <c:cat>
            <c:strRef>
              <c:f>('DA-4'!$B$202:$H$202,'DA-4'!$B$204:$I$204)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('DA-4'!$B$203:$H$203,'DA-4'!$B$205,'DA-4'!$C$200:$I$200)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'DA-4'!$A$14</c:f>
              <c:strCache>
                <c:ptCount val="1"/>
                <c:pt idx="0">
                  <c:v>Baseline Expenditure</c:v>
                </c:pt>
              </c:strCache>
            </c:strRef>
          </c:tx>
          <c:spPr>
            <a:ln w="25400">
              <a:solidFill>
                <a:srgbClr val="0000FF"/>
              </a:solidFill>
              <a:prstDash val="solid"/>
            </a:ln>
          </c:spPr>
          <c:marker>
            <c:symbol val="none"/>
          </c:marker>
          <c:cat>
            <c:strRef>
              <c:f>('DA-4'!$B$202:$H$202,'DA-4'!$B$204:$I$204)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('DA-4'!$B$200:$H$200,'DA-4'!$B$205:$I$205)</c:f>
              <c:numCache>
                <c:formatCode>General</c:formatCode>
                <c:ptCount val="15"/>
                <c:pt idx="7" formatCode="_-* #,##0.0_-;\-* #,##0.0_-;_-* &quot;-&quot;??_-;_-@_-">
                  <c:v>0</c:v>
                </c:pt>
                <c:pt idx="8" formatCode="_-* #,##0.0_-;\-* #,##0.0_-;_-* &quot;-&quot;??_-;_-@_-">
                  <c:v>0</c:v>
                </c:pt>
                <c:pt idx="9" formatCode="_-* #,##0.0_-;\-* #,##0.0_-;_-* &quot;-&quot;??_-;_-@_-">
                  <c:v>0.75900000000000012</c:v>
                </c:pt>
                <c:pt idx="10" formatCode="_-* #,##0.0_-;\-* #,##0.0_-;_-* &quot;-&quot;??_-;_-@_-">
                  <c:v>0.75900000000000012</c:v>
                </c:pt>
                <c:pt idx="11" formatCode="_-* #,##0.0_-;\-* #,##0.0_-;_-* &quot;-&quot;??_-;_-@_-">
                  <c:v>0.75900000000000012</c:v>
                </c:pt>
                <c:pt idx="12" formatCode="_-* #,##0.0_-;\-* #,##0.0_-;_-* &quot;-&quot;??_-;_-@_-">
                  <c:v>0.75900000000000012</c:v>
                </c:pt>
                <c:pt idx="13" formatCode="_-* #,##0.0_-;\-* #,##0.0_-;_-* &quot;-&quot;??_-;_-@_-">
                  <c:v>0.75900000000000012</c:v>
                </c:pt>
                <c:pt idx="14" formatCode="_-* #,##0.0_-;\-* #,##0.0_-;_-* &quot;-&quot;??_-;_-@_-">
                  <c:v>0.75900000000000012</c:v>
                </c:pt>
              </c:numCache>
            </c:numRef>
          </c:val>
        </c:ser>
        <c:ser>
          <c:idx val="0"/>
          <c:order val="2"/>
          <c:tx>
            <c:strRef>
              <c:f>'DA-4'!$A$206</c:f>
              <c:strCache>
                <c:ptCount val="1"/>
                <c:pt idx="0">
                  <c:v>Total with Variations</c:v>
                </c:pt>
              </c:strCache>
            </c:strRef>
          </c:tx>
          <c:spPr>
            <a:ln w="25400">
              <a:solidFill>
                <a:srgbClr val="993366"/>
              </a:solidFill>
              <a:prstDash val="solid"/>
            </a:ln>
          </c:spPr>
          <c:marker>
            <c:symbol val="none"/>
          </c:marker>
          <c:cat>
            <c:strRef>
              <c:f>('DA-4'!$B$202:$H$202,'DA-4'!$B$204:$I$204)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('DA-4'!$B$200:$H$200,'DA-4'!$B$206:$I$206)</c:f>
              <c:numCache>
                <c:formatCode>General</c:formatCode>
                <c:ptCount val="15"/>
                <c:pt idx="7" formatCode="_-* #,##0.0_-;\-* #,##0.0_-;_-* &quot;-&quot;??_-;_-@_-">
                  <c:v>0</c:v>
                </c:pt>
                <c:pt idx="8" formatCode="_-* #,##0.0_-;\-* #,##0.0_-;_-* &quot;-&quot;??_-;_-@_-">
                  <c:v>0</c:v>
                </c:pt>
                <c:pt idx="9" formatCode="_-* #,##0.0_-;\-* #,##0.0_-;_-* &quot;-&quot;??_-;_-@_-">
                  <c:v>0.75900000000000012</c:v>
                </c:pt>
                <c:pt idx="10" formatCode="_-* #,##0.0_-;\-* #,##0.0_-;_-* &quot;-&quot;??_-;_-@_-">
                  <c:v>0.75900000000000012</c:v>
                </c:pt>
                <c:pt idx="11" formatCode="_-* #,##0.0_-;\-* #,##0.0_-;_-* &quot;-&quot;??_-;_-@_-">
                  <c:v>0.75900000000000012</c:v>
                </c:pt>
                <c:pt idx="12" formatCode="_-* #,##0.0_-;\-* #,##0.0_-;_-* &quot;-&quot;??_-;_-@_-">
                  <c:v>0.75900000000000012</c:v>
                </c:pt>
                <c:pt idx="13" formatCode="_-* #,##0.0_-;\-* #,##0.0_-;_-* &quot;-&quot;??_-;_-@_-">
                  <c:v>0.75900000000000012</c:v>
                </c:pt>
                <c:pt idx="14" formatCode="_-* #,##0.0_-;\-* #,##0.0_-;_-* &quot;-&quot;??_-;_-@_-">
                  <c:v>0.75900000000000012</c:v>
                </c:pt>
              </c:numCache>
            </c:numRef>
          </c:val>
        </c:ser>
        <c:ser>
          <c:idx val="3"/>
          <c:order val="3"/>
          <c:tx>
            <c:strRef>
              <c:f>'DA-4'!$A$207</c:f>
              <c:strCache>
                <c:ptCount val="1"/>
                <c:pt idx="0">
                  <c:v>Total with Specific Escalations</c:v>
                </c:pt>
              </c:strCache>
            </c:strRef>
          </c:tx>
          <c:spPr>
            <a:ln w="25400">
              <a:solidFill>
                <a:srgbClr val="FF0000"/>
              </a:solidFill>
              <a:prstDash val="solid"/>
            </a:ln>
          </c:spPr>
          <c:marker>
            <c:symbol val="none"/>
          </c:marker>
          <c:cat>
            <c:strRef>
              <c:f>('DA-4'!$B$202:$H$202,'DA-4'!$B$204:$I$204)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('DA-4'!$B$200:$H$200,'DA-4'!$B$207:$I$207)</c:f>
              <c:numCache>
                <c:formatCode>General</c:formatCode>
                <c:ptCount val="15"/>
                <c:pt idx="7" formatCode="_-* #,##0.0_-;\-* #,##0.0_-;_-* &quot;-&quot;??_-;_-@_-">
                  <c:v>0</c:v>
                </c:pt>
                <c:pt idx="8" formatCode="_-* #,##0.0_-;\-* #,##0.0_-;_-* &quot;-&quot;??_-;_-@_-">
                  <c:v>0</c:v>
                </c:pt>
                <c:pt idx="9" formatCode="_-* #,##0.0_-;\-* #,##0.0_-;_-* &quot;-&quot;??_-;_-@_-">
                  <c:v>0.75900000000000012</c:v>
                </c:pt>
                <c:pt idx="10" formatCode="_-* #,##0.0_-;\-* #,##0.0_-;_-* &quot;-&quot;??_-;_-@_-">
                  <c:v>0.76705295833545761</c:v>
                </c:pt>
                <c:pt idx="11" formatCode="_-* #,##0.0_-;\-* #,##0.0_-;_-* &quot;-&quot;??_-;_-@_-">
                  <c:v>0.77451471529882143</c:v>
                </c:pt>
                <c:pt idx="12" formatCode="_-* #,##0.0_-;\-* #,##0.0_-;_-* &quot;-&quot;??_-;_-@_-">
                  <c:v>0.78189057920004568</c:v>
                </c:pt>
                <c:pt idx="13" formatCode="_-* #,##0.0_-;\-* #,##0.0_-;_-* &quot;-&quot;??_-;_-@_-">
                  <c:v>0.78989279913656985</c:v>
                </c:pt>
                <c:pt idx="14" formatCode="_-* #,##0.0_-;\-* #,##0.0_-;_-* &quot;-&quot;??_-;_-@_-">
                  <c:v>0.79722289248729628</c:v>
                </c:pt>
              </c:numCache>
            </c:numRef>
          </c:val>
        </c:ser>
        <c:ser>
          <c:idx val="2"/>
          <c:order val="4"/>
          <c:tx>
            <c:strRef>
              <c:f>'DA-4'!$A$208</c:f>
              <c:strCache>
                <c:ptCount val="1"/>
                <c:pt idx="0">
                  <c:v>Total with All Escalations</c:v>
                </c:pt>
              </c:strCache>
            </c:strRef>
          </c:tx>
          <c:spPr>
            <a:ln w="38100">
              <a:solidFill>
                <a:srgbClr val="00FF00"/>
              </a:solidFill>
              <a:prstDash val="solid"/>
            </a:ln>
          </c:spPr>
          <c:marker>
            <c:symbol val="none"/>
          </c:marker>
          <c:cat>
            <c:strRef>
              <c:f>('DA-4'!$B$202:$H$202,'DA-4'!$B$204:$I$204)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('DA-4'!$B$200:$H$200,'DA-4'!$B$208:$I$208)</c:f>
              <c:numCache>
                <c:formatCode>General</c:formatCode>
                <c:ptCount val="15"/>
                <c:pt idx="7" formatCode="_-* #,##0.0_-;\-* #,##0.0_-;_-* &quot;-&quot;??_-;_-@_-">
                  <c:v>0</c:v>
                </c:pt>
                <c:pt idx="8" formatCode="_-* #,##0.0_-;\-* #,##0.0_-;_-* &quot;-&quot;??_-;_-@_-">
                  <c:v>0</c:v>
                </c:pt>
                <c:pt idx="9" formatCode="_-* #,##0.0_-;\-* #,##0.0_-;_-* &quot;-&quot;??_-;_-@_-">
                  <c:v>0.75900000000000012</c:v>
                </c:pt>
                <c:pt idx="10" formatCode="_-* #,##0.0_-;\-* #,##0.0_-;_-* &quot;-&quot;??_-;_-@_-">
                  <c:v>0.78260640303704998</c:v>
                </c:pt>
                <c:pt idx="11" formatCode="_-* #,##0.0_-;\-* #,##0.0_-;_-* &quot;-&quot;??_-;_-@_-">
                  <c:v>0.80625859585161974</c:v>
                </c:pt>
                <c:pt idx="12" formatCode="_-* #,##0.0_-;\-* #,##0.0_-;_-* &quot;-&quot;??_-;_-@_-">
                  <c:v>0.83149974854427866</c:v>
                </c:pt>
                <c:pt idx="13" formatCode="_-* #,##0.0_-;\-* #,##0.0_-;_-* &quot;-&quot;??_-;_-@_-">
                  <c:v>0.85819932761895945</c:v>
                </c:pt>
                <c:pt idx="14" formatCode="_-* #,##0.0_-;\-* #,##0.0_-;_-* &quot;-&quot;??_-;_-@_-">
                  <c:v>0.88500008606972846</c:v>
                </c:pt>
              </c:numCache>
            </c:numRef>
          </c:val>
        </c:ser>
        <c:marker val="1"/>
        <c:axId val="188352000"/>
        <c:axId val="188353536"/>
      </c:lineChart>
      <c:catAx>
        <c:axId val="188352000"/>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8353536"/>
        <c:crosses val="autoZero"/>
        <c:auto val="1"/>
        <c:lblAlgn val="ctr"/>
        <c:lblOffset val="100"/>
        <c:tickLblSkip val="1"/>
        <c:tickMarkSkip val="1"/>
      </c:catAx>
      <c:valAx>
        <c:axId val="188353536"/>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8352000"/>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AU"/>
  <c:chart>
    <c:title>
      <c:tx>
        <c:strRef>
          <c:f>'DA-5'!$B$2</c:f>
          <c:strCache>
            <c:ptCount val="1"/>
            <c:pt idx="0">
              <c:v>Strategic Asset Management</c:v>
            </c:pt>
          </c:strCache>
        </c:strRef>
      </c:tx>
      <c:layout>
        <c:manualLayout>
          <c:xMode val="edge"/>
          <c:yMode val="edge"/>
          <c:x val="0.3312262958280808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'DA-5'!$A$203</c:f>
              <c:strCache>
                <c:ptCount val="1"/>
                <c:pt idx="0">
                  <c:v>Historic Expenditure</c:v>
                </c:pt>
              </c:strCache>
            </c:strRef>
          </c:tx>
          <c:spPr>
            <a:ln w="25400">
              <a:solidFill>
                <a:srgbClr val="33CCCC"/>
              </a:solidFill>
              <a:prstDash val="solid"/>
            </a:ln>
          </c:spPr>
          <c:marker>
            <c:symbol val="none"/>
          </c:marker>
          <c:cat>
            <c:strRef>
              <c:f>('DA-5'!$B$202:$H$202,'DA-5'!$B$204:$I$204)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('DA-5'!$B$203:$H$203,'DA-5'!$B$205,'DA-5'!$C$200:$I$200)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'DA-5'!$A$14</c:f>
              <c:strCache>
                <c:ptCount val="1"/>
                <c:pt idx="0">
                  <c:v>Baseline Expenditure</c:v>
                </c:pt>
              </c:strCache>
            </c:strRef>
          </c:tx>
          <c:spPr>
            <a:ln w="25400">
              <a:solidFill>
                <a:srgbClr val="0000FF"/>
              </a:solidFill>
              <a:prstDash val="solid"/>
            </a:ln>
          </c:spPr>
          <c:marker>
            <c:symbol val="none"/>
          </c:marker>
          <c:cat>
            <c:strRef>
              <c:f>('DA-5'!$B$202:$H$202,'DA-5'!$B$204:$I$204)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('DA-5'!$B$200:$H$200,'DA-5'!$B$205:$I$205)</c:f>
              <c:numCache>
                <c:formatCode>General</c:formatCode>
                <c:ptCount val="15"/>
                <c:pt idx="7" formatCode="_-* #,##0.0_-;\-* #,##0.0_-;_-* &quot;-&quot;??_-;_-@_-">
                  <c:v>0</c:v>
                </c:pt>
                <c:pt idx="8" formatCode="_-* #,##0.0_-;\-* #,##0.0_-;_-* &quot;-&quot;??_-;_-@_-">
                  <c:v>0</c:v>
                </c:pt>
                <c:pt idx="9" formatCode="_-* #,##0.0_-;\-* #,##0.0_-;_-* &quot;-&quot;??_-;_-@_-">
                  <c:v>1.8669999999999998</c:v>
                </c:pt>
                <c:pt idx="10" formatCode="_-* #,##0.0_-;\-* #,##0.0_-;_-* &quot;-&quot;??_-;_-@_-">
                  <c:v>1.8669999999999998</c:v>
                </c:pt>
                <c:pt idx="11" formatCode="_-* #,##0.0_-;\-* #,##0.0_-;_-* &quot;-&quot;??_-;_-@_-">
                  <c:v>1.8669999999999998</c:v>
                </c:pt>
                <c:pt idx="12" formatCode="_-* #,##0.0_-;\-* #,##0.0_-;_-* &quot;-&quot;??_-;_-@_-">
                  <c:v>1.8669999999999998</c:v>
                </c:pt>
                <c:pt idx="13" formatCode="_-* #,##0.0_-;\-* #,##0.0_-;_-* &quot;-&quot;??_-;_-@_-">
                  <c:v>1.8669999999999998</c:v>
                </c:pt>
                <c:pt idx="14" formatCode="_-* #,##0.0_-;\-* #,##0.0_-;_-* &quot;-&quot;??_-;_-@_-">
                  <c:v>1.8669999999999998</c:v>
                </c:pt>
              </c:numCache>
            </c:numRef>
          </c:val>
        </c:ser>
        <c:ser>
          <c:idx val="0"/>
          <c:order val="2"/>
          <c:tx>
            <c:strRef>
              <c:f>'DA-5'!$A$206</c:f>
              <c:strCache>
                <c:ptCount val="1"/>
                <c:pt idx="0">
                  <c:v>Total with Variations</c:v>
                </c:pt>
              </c:strCache>
            </c:strRef>
          </c:tx>
          <c:spPr>
            <a:ln w="25400">
              <a:solidFill>
                <a:srgbClr val="993366"/>
              </a:solidFill>
              <a:prstDash val="solid"/>
            </a:ln>
          </c:spPr>
          <c:marker>
            <c:symbol val="none"/>
          </c:marker>
          <c:cat>
            <c:strRef>
              <c:f>('DA-5'!$B$202:$H$202,'DA-5'!$B$204:$I$204)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('DA-5'!$B$200:$H$200,'DA-5'!$B$206:$I$206)</c:f>
              <c:numCache>
                <c:formatCode>General</c:formatCode>
                <c:ptCount val="15"/>
                <c:pt idx="7" formatCode="_-* #,##0.0_-;\-* #,##0.0_-;_-* &quot;-&quot;??_-;_-@_-">
                  <c:v>0</c:v>
                </c:pt>
                <c:pt idx="8" formatCode="_-* #,##0.0_-;\-* #,##0.0_-;_-* &quot;-&quot;??_-;_-@_-">
                  <c:v>0</c:v>
                </c:pt>
                <c:pt idx="9" formatCode="_-* #,##0.0_-;\-* #,##0.0_-;_-* &quot;-&quot;??_-;_-@_-">
                  <c:v>1.8669999999999998</c:v>
                </c:pt>
                <c:pt idx="10" formatCode="_-* #,##0.0_-;\-* #,##0.0_-;_-* &quot;-&quot;??_-;_-@_-">
                  <c:v>1.8669999999999998</c:v>
                </c:pt>
                <c:pt idx="11" formatCode="_-* #,##0.0_-;\-* #,##0.0_-;_-* &quot;-&quot;??_-;_-@_-">
                  <c:v>1.8669999999999998</c:v>
                </c:pt>
                <c:pt idx="12" formatCode="_-* #,##0.0_-;\-* #,##0.0_-;_-* &quot;-&quot;??_-;_-@_-">
                  <c:v>1.8669999999999998</c:v>
                </c:pt>
                <c:pt idx="13" formatCode="_-* #,##0.0_-;\-* #,##0.0_-;_-* &quot;-&quot;??_-;_-@_-">
                  <c:v>1.8669999999999998</c:v>
                </c:pt>
                <c:pt idx="14" formatCode="_-* #,##0.0_-;\-* #,##0.0_-;_-* &quot;-&quot;??_-;_-@_-">
                  <c:v>1.8669999999999998</c:v>
                </c:pt>
              </c:numCache>
            </c:numRef>
          </c:val>
        </c:ser>
        <c:ser>
          <c:idx val="3"/>
          <c:order val="3"/>
          <c:tx>
            <c:strRef>
              <c:f>'DA-5'!$A$207</c:f>
              <c:strCache>
                <c:ptCount val="1"/>
                <c:pt idx="0">
                  <c:v>Total with Specific Escalations</c:v>
                </c:pt>
              </c:strCache>
            </c:strRef>
          </c:tx>
          <c:spPr>
            <a:ln w="25400">
              <a:solidFill>
                <a:srgbClr val="FF0000"/>
              </a:solidFill>
              <a:prstDash val="solid"/>
            </a:ln>
          </c:spPr>
          <c:marker>
            <c:symbol val="none"/>
          </c:marker>
          <c:cat>
            <c:strRef>
              <c:f>('DA-5'!$B$202:$H$202,'DA-5'!$B$204:$I$204)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('DA-5'!$B$200:$H$200,'DA-5'!$B$207:$I$207)</c:f>
              <c:numCache>
                <c:formatCode>General</c:formatCode>
                <c:ptCount val="15"/>
                <c:pt idx="7" formatCode="_-* #,##0.0_-;\-* #,##0.0_-;_-* &quot;-&quot;??_-;_-@_-">
                  <c:v>0</c:v>
                </c:pt>
                <c:pt idx="8" formatCode="_-* #,##0.0_-;\-* #,##0.0_-;_-* &quot;-&quot;??_-;_-@_-">
                  <c:v>0</c:v>
                </c:pt>
                <c:pt idx="9" formatCode="_-* #,##0.0_-;\-* #,##0.0_-;_-* &quot;-&quot;??_-;_-@_-">
                  <c:v>1.8669999999999998</c:v>
                </c:pt>
                <c:pt idx="10" formatCode="_-* #,##0.0_-;\-* #,##0.0_-;_-* &quot;-&quot;??_-;_-@_-">
                  <c:v>1.8868087921110657</c:v>
                </c:pt>
                <c:pt idx="11" formatCode="_-* #,##0.0_-;\-* #,##0.0_-;_-* &quot;-&quot;??_-;_-@_-">
                  <c:v>1.9051633378957828</c:v>
                </c:pt>
                <c:pt idx="12" formatCode="_-* #,##0.0_-;\-* #,##0.0_-;_-* &quot;-&quot;??_-;_-@_-">
                  <c:v>1.9233066025908891</c:v>
                </c:pt>
                <c:pt idx="13" formatCode="_-* #,##0.0_-;\-* #,##0.0_-;_-* &quot;-&quot;??_-;_-@_-">
                  <c:v>1.9429905875994407</c:v>
                </c:pt>
                <c:pt idx="14" formatCode="_-* #,##0.0_-;\-* #,##0.0_-;_-* &quot;-&quot;??_-;_-@_-">
                  <c:v>1.961021265182848</c:v>
                </c:pt>
              </c:numCache>
            </c:numRef>
          </c:val>
        </c:ser>
        <c:ser>
          <c:idx val="2"/>
          <c:order val="4"/>
          <c:tx>
            <c:strRef>
              <c:f>'DA-5'!$A$208</c:f>
              <c:strCache>
                <c:ptCount val="1"/>
                <c:pt idx="0">
                  <c:v>Total with All Escalations</c:v>
                </c:pt>
              </c:strCache>
            </c:strRef>
          </c:tx>
          <c:spPr>
            <a:ln w="38100">
              <a:solidFill>
                <a:srgbClr val="00FF00"/>
              </a:solidFill>
              <a:prstDash val="solid"/>
            </a:ln>
          </c:spPr>
          <c:marker>
            <c:symbol val="none"/>
          </c:marker>
          <c:cat>
            <c:strRef>
              <c:f>('DA-5'!$B$202:$H$202,'DA-5'!$B$204:$I$204)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('DA-5'!$B$200:$H$200,'DA-5'!$B$208:$I$208)</c:f>
              <c:numCache>
                <c:formatCode>General</c:formatCode>
                <c:ptCount val="15"/>
                <c:pt idx="7" formatCode="_-* #,##0.0_-;\-* #,##0.0_-;_-* &quot;-&quot;??_-;_-@_-">
                  <c:v>0</c:v>
                </c:pt>
                <c:pt idx="8" formatCode="_-* #,##0.0_-;\-* #,##0.0_-;_-* &quot;-&quot;??_-;_-@_-">
                  <c:v>0</c:v>
                </c:pt>
                <c:pt idx="9" formatCode="_-* #,##0.0_-;\-* #,##0.0_-;_-* &quot;-&quot;??_-;_-@_-">
                  <c:v>1.8669999999999998</c:v>
                </c:pt>
                <c:pt idx="10" formatCode="_-* #,##0.0_-;\-* #,##0.0_-;_-* &quot;-&quot;??_-;_-@_-">
                  <c:v>1.9186751391535346</c:v>
                </c:pt>
                <c:pt idx="11" formatCode="_-* #,##0.0_-;\-* #,##0.0_-;_-* &quot;-&quot;??_-;_-@_-">
                  <c:v>1.9701630377452577</c:v>
                </c:pt>
                <c:pt idx="12" formatCode="_-* #,##0.0_-;\-* #,##0.0_-;_-* &quot;-&quot;??_-;_-@_-">
                  <c:v>2.0265848005929747</c:v>
                </c:pt>
                <c:pt idx="13" formatCode="_-* #,##0.0_-;\-* #,##0.0_-;_-* &quot;-&quot;??_-;_-@_-">
                  <c:v>2.0869876067206454</c:v>
                </c:pt>
                <c:pt idx="14" formatCode="_-* #,##0.0_-;\-* #,##0.0_-;_-* &quot;-&quot;??_-;_-@_-">
                  <c:v>2.1483384104949579</c:v>
                </c:pt>
              </c:numCache>
            </c:numRef>
          </c:val>
        </c:ser>
        <c:marker val="1"/>
        <c:axId val="186825728"/>
        <c:axId val="186827520"/>
      </c:lineChart>
      <c:catAx>
        <c:axId val="18682572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6827520"/>
        <c:crosses val="autoZero"/>
        <c:auto val="1"/>
        <c:lblAlgn val="ctr"/>
        <c:lblOffset val="100"/>
        <c:tickLblSkip val="1"/>
        <c:tickMarkSkip val="1"/>
      </c:catAx>
      <c:valAx>
        <c:axId val="18682752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682572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AU"/>
  <c:chart>
    <c:title>
      <c:tx>
        <c:strRef>
          <c:f>'DA-6'!$B$2</c:f>
          <c:strCache>
            <c:ptCount val="1"/>
            <c:pt idx="0">
              <c:v>Operational Asset Management</c:v>
            </c:pt>
          </c:strCache>
        </c:strRef>
      </c:tx>
      <c:layout>
        <c:manualLayout>
          <c:xMode val="edge"/>
          <c:yMode val="edge"/>
          <c:x val="0.3666245259165709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'DA-6'!$A$203</c:f>
              <c:strCache>
                <c:ptCount val="1"/>
                <c:pt idx="0">
                  <c:v>Historic Expenditure</c:v>
                </c:pt>
              </c:strCache>
            </c:strRef>
          </c:tx>
          <c:spPr>
            <a:ln w="25400">
              <a:solidFill>
                <a:srgbClr val="33CCCC"/>
              </a:solidFill>
              <a:prstDash val="solid"/>
            </a:ln>
          </c:spPr>
          <c:marker>
            <c:symbol val="none"/>
          </c:marker>
          <c:cat>
            <c:strRef>
              <c:f>('DA-6'!$B$202:$H$202,'DA-6'!$B$204:$I$204)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('DA-6'!$B$203:$H$203,'DA-6'!$B$205,'DA-6'!$C$200:$I$200)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'DA-6'!$A$14</c:f>
              <c:strCache>
                <c:ptCount val="1"/>
                <c:pt idx="0">
                  <c:v>Baseline Expenditure</c:v>
                </c:pt>
              </c:strCache>
            </c:strRef>
          </c:tx>
          <c:spPr>
            <a:ln w="25400">
              <a:solidFill>
                <a:srgbClr val="0000FF"/>
              </a:solidFill>
              <a:prstDash val="solid"/>
            </a:ln>
          </c:spPr>
          <c:marker>
            <c:symbol val="none"/>
          </c:marker>
          <c:cat>
            <c:strRef>
              <c:f>('DA-6'!$B$202:$H$202,'DA-6'!$B$204:$I$204)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('DA-6'!$B$200:$H$200,'DA-6'!$B$205:$I$205)</c:f>
              <c:numCache>
                <c:formatCode>General</c:formatCode>
                <c:ptCount val="15"/>
                <c:pt idx="7" formatCode="_-* #,##0.0_-;\-* #,##0.0_-;_-* &quot;-&quot;??_-;_-@_-">
                  <c:v>0</c:v>
                </c:pt>
                <c:pt idx="8" formatCode="_-* #,##0.0_-;\-* #,##0.0_-;_-* &quot;-&quot;??_-;_-@_-">
                  <c:v>0</c:v>
                </c:pt>
                <c:pt idx="9" formatCode="_-* #,##0.0_-;\-* #,##0.0_-;_-* &quot;-&quot;??_-;_-@_-">
                  <c:v>0.2</c:v>
                </c:pt>
                <c:pt idx="10" formatCode="_-* #,##0.0_-;\-* #,##0.0_-;_-* &quot;-&quot;??_-;_-@_-">
                  <c:v>0.2</c:v>
                </c:pt>
                <c:pt idx="11" formatCode="_-* #,##0.0_-;\-* #,##0.0_-;_-* &quot;-&quot;??_-;_-@_-">
                  <c:v>0.2</c:v>
                </c:pt>
                <c:pt idx="12" formatCode="_-* #,##0.0_-;\-* #,##0.0_-;_-* &quot;-&quot;??_-;_-@_-">
                  <c:v>0.2</c:v>
                </c:pt>
                <c:pt idx="13" formatCode="_-* #,##0.0_-;\-* #,##0.0_-;_-* &quot;-&quot;??_-;_-@_-">
                  <c:v>0.2</c:v>
                </c:pt>
                <c:pt idx="14" formatCode="_-* #,##0.0_-;\-* #,##0.0_-;_-* &quot;-&quot;??_-;_-@_-">
                  <c:v>0.2</c:v>
                </c:pt>
              </c:numCache>
            </c:numRef>
          </c:val>
        </c:ser>
        <c:ser>
          <c:idx val="0"/>
          <c:order val="2"/>
          <c:tx>
            <c:strRef>
              <c:f>'DA-6'!$A$206</c:f>
              <c:strCache>
                <c:ptCount val="1"/>
                <c:pt idx="0">
                  <c:v>Total with Variations</c:v>
                </c:pt>
              </c:strCache>
            </c:strRef>
          </c:tx>
          <c:spPr>
            <a:ln w="25400">
              <a:solidFill>
                <a:srgbClr val="993366"/>
              </a:solidFill>
              <a:prstDash val="solid"/>
            </a:ln>
          </c:spPr>
          <c:marker>
            <c:symbol val="none"/>
          </c:marker>
          <c:cat>
            <c:strRef>
              <c:f>('DA-6'!$B$202:$H$202,'DA-6'!$B$204:$I$204)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('DA-6'!$B$200:$H$200,'DA-6'!$B$206:$I$206)</c:f>
              <c:numCache>
                <c:formatCode>General</c:formatCode>
                <c:ptCount val="15"/>
                <c:pt idx="7" formatCode="_-* #,##0.0_-;\-* #,##0.0_-;_-* &quot;-&quot;??_-;_-@_-">
                  <c:v>0</c:v>
                </c:pt>
                <c:pt idx="8" formatCode="_-* #,##0.0_-;\-* #,##0.0_-;_-* &quot;-&quot;??_-;_-@_-">
                  <c:v>0</c:v>
                </c:pt>
                <c:pt idx="9" formatCode="_-* #,##0.0_-;\-* #,##0.0_-;_-* &quot;-&quot;??_-;_-@_-">
                  <c:v>0.2</c:v>
                </c:pt>
                <c:pt idx="10" formatCode="_-* #,##0.0_-;\-* #,##0.0_-;_-* &quot;-&quot;??_-;_-@_-">
                  <c:v>0.2</c:v>
                </c:pt>
                <c:pt idx="11" formatCode="_-* #,##0.0_-;\-* #,##0.0_-;_-* &quot;-&quot;??_-;_-@_-">
                  <c:v>0.2</c:v>
                </c:pt>
                <c:pt idx="12" formatCode="_-* #,##0.0_-;\-* #,##0.0_-;_-* &quot;-&quot;??_-;_-@_-">
                  <c:v>0.2</c:v>
                </c:pt>
                <c:pt idx="13" formatCode="_-* #,##0.0_-;\-* #,##0.0_-;_-* &quot;-&quot;??_-;_-@_-">
                  <c:v>0.2</c:v>
                </c:pt>
                <c:pt idx="14" formatCode="_-* #,##0.0_-;\-* #,##0.0_-;_-* &quot;-&quot;??_-;_-@_-">
                  <c:v>0.2</c:v>
                </c:pt>
              </c:numCache>
            </c:numRef>
          </c:val>
        </c:ser>
        <c:ser>
          <c:idx val="3"/>
          <c:order val="3"/>
          <c:tx>
            <c:strRef>
              <c:f>'DA-6'!$A$207</c:f>
              <c:strCache>
                <c:ptCount val="1"/>
                <c:pt idx="0">
                  <c:v>Total with Specific Escalations</c:v>
                </c:pt>
              </c:strCache>
            </c:strRef>
          </c:tx>
          <c:spPr>
            <a:ln w="25400">
              <a:solidFill>
                <a:srgbClr val="FF0000"/>
              </a:solidFill>
              <a:prstDash val="solid"/>
            </a:ln>
          </c:spPr>
          <c:marker>
            <c:symbol val="none"/>
          </c:marker>
          <c:cat>
            <c:strRef>
              <c:f>('DA-6'!$B$202:$H$202,'DA-6'!$B$204:$I$204)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('DA-6'!$B$200:$H$200,'DA-6'!$B$207:$I$207)</c:f>
              <c:numCache>
                <c:formatCode>General</c:formatCode>
                <c:ptCount val="15"/>
                <c:pt idx="7" formatCode="_-* #,##0.0_-;\-* #,##0.0_-;_-* &quot;-&quot;??_-;_-@_-">
                  <c:v>0</c:v>
                </c:pt>
                <c:pt idx="8" formatCode="_-* #,##0.0_-;\-* #,##0.0_-;_-* &quot;-&quot;??_-;_-@_-">
                  <c:v>0</c:v>
                </c:pt>
                <c:pt idx="9" formatCode="_-* #,##0.0_-;\-* #,##0.0_-;_-* &quot;-&quot;??_-;_-@_-">
                  <c:v>0.2</c:v>
                </c:pt>
                <c:pt idx="10" formatCode="_-* #,##0.0_-;\-* #,##0.0_-;_-* &quot;-&quot;??_-;_-@_-">
                  <c:v>0.20212199165624703</c:v>
                </c:pt>
                <c:pt idx="11" formatCode="_-* #,##0.0_-;\-* #,##0.0_-;_-* &quot;-&quot;??_-;_-@_-">
                  <c:v>0.20408819902472236</c:v>
                </c:pt>
                <c:pt idx="12" formatCode="_-* #,##0.0_-;\-* #,##0.0_-;_-* &quot;-&quot;??_-;_-@_-">
                  <c:v>0.20603177317524257</c:v>
                </c:pt>
                <c:pt idx="13" formatCode="_-* #,##0.0_-;\-* #,##0.0_-;_-* &quot;-&quot;??_-;_-@_-">
                  <c:v>0.20814039502939916</c:v>
                </c:pt>
                <c:pt idx="14" formatCode="_-* #,##0.0_-;\-* #,##0.0_-;_-* &quot;-&quot;??_-;_-@_-">
                  <c:v>0.21007190842880005</c:v>
                </c:pt>
              </c:numCache>
            </c:numRef>
          </c:val>
        </c:ser>
        <c:ser>
          <c:idx val="2"/>
          <c:order val="4"/>
          <c:tx>
            <c:strRef>
              <c:f>'DA-6'!$A$208</c:f>
              <c:strCache>
                <c:ptCount val="1"/>
                <c:pt idx="0">
                  <c:v>Total with All Escalations</c:v>
                </c:pt>
              </c:strCache>
            </c:strRef>
          </c:tx>
          <c:spPr>
            <a:ln w="38100">
              <a:solidFill>
                <a:srgbClr val="00FF00"/>
              </a:solidFill>
              <a:prstDash val="solid"/>
            </a:ln>
          </c:spPr>
          <c:marker>
            <c:symbol val="none"/>
          </c:marker>
          <c:cat>
            <c:strRef>
              <c:f>('DA-6'!$B$202:$H$202,'DA-6'!$B$204:$I$204)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('DA-6'!$B$200:$H$200,'DA-6'!$B$208:$I$208)</c:f>
              <c:numCache>
                <c:formatCode>General</c:formatCode>
                <c:ptCount val="15"/>
                <c:pt idx="7" formatCode="_-* #,##0.0_-;\-* #,##0.0_-;_-* &quot;-&quot;??_-;_-@_-">
                  <c:v>0</c:v>
                </c:pt>
                <c:pt idx="8" formatCode="_-* #,##0.0_-;\-* #,##0.0_-;_-* &quot;-&quot;??_-;_-@_-">
                  <c:v>0</c:v>
                </c:pt>
                <c:pt idx="9" formatCode="_-* #,##0.0_-;\-* #,##0.0_-;_-* &quot;-&quot;??_-;_-@_-">
                  <c:v>0.2</c:v>
                </c:pt>
                <c:pt idx="10" formatCode="_-* #,##0.0_-;\-* #,##0.0_-;_-* &quot;-&quot;??_-;_-@_-">
                  <c:v>0.20645911846133402</c:v>
                </c:pt>
                <c:pt idx="11" formatCode="_-* #,##0.0_-;\-* #,##0.0_-;_-* &quot;-&quot;??_-;_-@_-">
                  <c:v>0.21294080550431074</c:v>
                </c:pt>
                <c:pt idx="12" formatCode="_-* #,##0.0_-;\-* #,##0.0_-;_-* &quot;-&quot;??_-;_-@_-">
                  <c:v>0.21983423122327558</c:v>
                </c:pt>
                <c:pt idx="13" formatCode="_-* #,##0.0_-;\-* #,##0.0_-;_-* &quot;-&quot;??_-;_-@_-">
                  <c:v>0.22711070880715112</c:v>
                </c:pt>
                <c:pt idx="14" formatCode="_-* #,##0.0_-;\-* #,##0.0_-;_-* &quot;-&quot;??_-;_-@_-">
                  <c:v>0.23440633173722464</c:v>
                </c:pt>
              </c:numCache>
            </c:numRef>
          </c:val>
        </c:ser>
        <c:marker val="1"/>
        <c:axId val="188105472"/>
        <c:axId val="188107008"/>
      </c:lineChart>
      <c:catAx>
        <c:axId val="18810547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8107008"/>
        <c:crosses val="autoZero"/>
        <c:auto val="1"/>
        <c:lblAlgn val="ctr"/>
        <c:lblOffset val="100"/>
        <c:tickLblSkip val="1"/>
        <c:tickMarkSkip val="1"/>
      </c:catAx>
      <c:valAx>
        <c:axId val="18810700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810547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AU"/>
  <c:chart>
    <c:title>
      <c:tx>
        <c:strRef>
          <c:f>'DA-7'!$B$2</c:f>
          <c:strCache>
            <c:ptCount val="1"/>
            <c:pt idx="0">
              <c:v>Maintenance of Asset Information</c:v>
            </c:pt>
          </c:strCache>
        </c:strRef>
      </c:tx>
      <c:layout>
        <c:manualLayout>
          <c:xMode val="edge"/>
          <c:yMode val="edge"/>
          <c:x val="0.3008849557522284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'DA-7'!$A$203</c:f>
              <c:strCache>
                <c:ptCount val="1"/>
                <c:pt idx="0">
                  <c:v>Historic Expenditure</c:v>
                </c:pt>
              </c:strCache>
            </c:strRef>
          </c:tx>
          <c:spPr>
            <a:ln w="25400">
              <a:solidFill>
                <a:srgbClr val="33CCCC"/>
              </a:solidFill>
              <a:prstDash val="solid"/>
            </a:ln>
          </c:spPr>
          <c:marker>
            <c:symbol val="none"/>
          </c:marker>
          <c:cat>
            <c:strRef>
              <c:f>('DA-7'!$B$202:$H$202,'DA-7'!$B$204:$I$204)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('DA-7'!$B$203:$H$203,'DA-7'!$B$205,'DA-7'!$C$200:$I$200)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'DA-7'!$A$14</c:f>
              <c:strCache>
                <c:ptCount val="1"/>
                <c:pt idx="0">
                  <c:v>Baseline Expenditure</c:v>
                </c:pt>
              </c:strCache>
            </c:strRef>
          </c:tx>
          <c:spPr>
            <a:ln w="25400">
              <a:solidFill>
                <a:srgbClr val="0000FF"/>
              </a:solidFill>
              <a:prstDash val="solid"/>
            </a:ln>
          </c:spPr>
          <c:marker>
            <c:symbol val="none"/>
          </c:marker>
          <c:cat>
            <c:strRef>
              <c:f>('DA-7'!$B$202:$H$202,'DA-7'!$B$204:$I$204)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('DA-7'!$B$200:$H$200,'DA-7'!$B$205:$I$205)</c:f>
              <c:numCache>
                <c:formatCode>General</c:formatCode>
                <c:ptCount val="15"/>
                <c:pt idx="7" formatCode="_-* #,##0.0_-;\-* #,##0.0_-;_-* &quot;-&quot;??_-;_-@_-">
                  <c:v>0</c:v>
                </c:pt>
                <c:pt idx="8" formatCode="_-* #,##0.0_-;\-* #,##0.0_-;_-* &quot;-&quot;??_-;_-@_-">
                  <c:v>0</c:v>
                </c:pt>
                <c:pt idx="9" formatCode="_-* #,##0.0_-;\-* #,##0.0_-;_-* &quot;-&quot;??_-;_-@_-">
                  <c:v>2.3449999999999998</c:v>
                </c:pt>
                <c:pt idx="10" formatCode="_-* #,##0.0_-;\-* #,##0.0_-;_-* &quot;-&quot;??_-;_-@_-">
                  <c:v>2.3449999999999998</c:v>
                </c:pt>
                <c:pt idx="11" formatCode="_-* #,##0.0_-;\-* #,##0.0_-;_-* &quot;-&quot;??_-;_-@_-">
                  <c:v>2.3449999999999998</c:v>
                </c:pt>
                <c:pt idx="12" formatCode="_-* #,##0.0_-;\-* #,##0.0_-;_-* &quot;-&quot;??_-;_-@_-">
                  <c:v>2.3449999999999998</c:v>
                </c:pt>
                <c:pt idx="13" formatCode="_-* #,##0.0_-;\-* #,##0.0_-;_-* &quot;-&quot;??_-;_-@_-">
                  <c:v>2.3449999999999998</c:v>
                </c:pt>
                <c:pt idx="14" formatCode="_-* #,##0.0_-;\-* #,##0.0_-;_-* &quot;-&quot;??_-;_-@_-">
                  <c:v>2.3449999999999998</c:v>
                </c:pt>
              </c:numCache>
            </c:numRef>
          </c:val>
        </c:ser>
        <c:ser>
          <c:idx val="0"/>
          <c:order val="2"/>
          <c:tx>
            <c:strRef>
              <c:f>'DA-7'!$A$206</c:f>
              <c:strCache>
                <c:ptCount val="1"/>
                <c:pt idx="0">
                  <c:v>Total with Variations</c:v>
                </c:pt>
              </c:strCache>
            </c:strRef>
          </c:tx>
          <c:spPr>
            <a:ln w="25400">
              <a:solidFill>
                <a:srgbClr val="993366"/>
              </a:solidFill>
              <a:prstDash val="solid"/>
            </a:ln>
          </c:spPr>
          <c:marker>
            <c:symbol val="none"/>
          </c:marker>
          <c:cat>
            <c:strRef>
              <c:f>('DA-7'!$B$202:$H$202,'DA-7'!$B$204:$I$204)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('DA-7'!$B$200:$H$200,'DA-7'!$B$206:$I$206)</c:f>
              <c:numCache>
                <c:formatCode>General</c:formatCode>
                <c:ptCount val="15"/>
                <c:pt idx="7" formatCode="_-* #,##0.0_-;\-* #,##0.0_-;_-* &quot;-&quot;??_-;_-@_-">
                  <c:v>0</c:v>
                </c:pt>
                <c:pt idx="8" formatCode="_-* #,##0.0_-;\-* #,##0.0_-;_-* &quot;-&quot;??_-;_-@_-">
                  <c:v>0</c:v>
                </c:pt>
                <c:pt idx="9" formatCode="_-* #,##0.0_-;\-* #,##0.0_-;_-* &quot;-&quot;??_-;_-@_-">
                  <c:v>2.3449999999999998</c:v>
                </c:pt>
                <c:pt idx="10" formatCode="_-* #,##0.0_-;\-* #,##0.0_-;_-* &quot;-&quot;??_-;_-@_-">
                  <c:v>2.3449999999999998</c:v>
                </c:pt>
                <c:pt idx="11" formatCode="_-* #,##0.0_-;\-* #,##0.0_-;_-* &quot;-&quot;??_-;_-@_-">
                  <c:v>2.3449999999999998</c:v>
                </c:pt>
                <c:pt idx="12" formatCode="_-* #,##0.0_-;\-* #,##0.0_-;_-* &quot;-&quot;??_-;_-@_-">
                  <c:v>2.3449999999999998</c:v>
                </c:pt>
                <c:pt idx="13" formatCode="_-* #,##0.0_-;\-* #,##0.0_-;_-* &quot;-&quot;??_-;_-@_-">
                  <c:v>2.3449999999999998</c:v>
                </c:pt>
                <c:pt idx="14" formatCode="_-* #,##0.0_-;\-* #,##0.0_-;_-* &quot;-&quot;??_-;_-@_-">
                  <c:v>2.3449999999999998</c:v>
                </c:pt>
              </c:numCache>
            </c:numRef>
          </c:val>
        </c:ser>
        <c:ser>
          <c:idx val="3"/>
          <c:order val="3"/>
          <c:tx>
            <c:strRef>
              <c:f>'DA-7'!$A$207</c:f>
              <c:strCache>
                <c:ptCount val="1"/>
                <c:pt idx="0">
                  <c:v>Total with Specific Escalations</c:v>
                </c:pt>
              </c:strCache>
            </c:strRef>
          </c:tx>
          <c:spPr>
            <a:ln w="25400">
              <a:solidFill>
                <a:srgbClr val="FF0000"/>
              </a:solidFill>
              <a:prstDash val="solid"/>
            </a:ln>
          </c:spPr>
          <c:marker>
            <c:symbol val="none"/>
          </c:marker>
          <c:cat>
            <c:strRef>
              <c:f>('DA-7'!$B$202:$H$202,'DA-7'!$B$204:$I$204)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('DA-7'!$B$200:$H$200,'DA-7'!$B$207:$I$207)</c:f>
              <c:numCache>
                <c:formatCode>General</c:formatCode>
                <c:ptCount val="15"/>
                <c:pt idx="7" formatCode="_-* #,##0.0_-;\-* #,##0.0_-;_-* &quot;-&quot;??_-;_-@_-">
                  <c:v>0</c:v>
                </c:pt>
                <c:pt idx="8" formatCode="_-* #,##0.0_-;\-* #,##0.0_-;_-* &quot;-&quot;??_-;_-@_-">
                  <c:v>0</c:v>
                </c:pt>
                <c:pt idx="9" formatCode="_-* #,##0.0_-;\-* #,##0.0_-;_-* &quot;-&quot;??_-;_-@_-">
                  <c:v>2.3449999999999998</c:v>
                </c:pt>
                <c:pt idx="10" formatCode="_-* #,##0.0_-;\-* #,##0.0_-;_-* &quot;-&quot;??_-;_-@_-">
                  <c:v>2.369880352169496</c:v>
                </c:pt>
                <c:pt idx="11" formatCode="_-* #,##0.0_-;\-* #,##0.0_-;_-* &quot;-&quot;??_-;_-@_-">
                  <c:v>2.3929341335648693</c:v>
                </c:pt>
                <c:pt idx="12" formatCode="_-* #,##0.0_-;\-* #,##0.0_-;_-* &quot;-&quot;??_-;_-@_-">
                  <c:v>2.4157225404797189</c:v>
                </c:pt>
                <c:pt idx="13" formatCode="_-* #,##0.0_-;\-* #,##0.0_-;_-* &quot;-&quot;??_-;_-@_-">
                  <c:v>2.4404461317197046</c:v>
                </c:pt>
                <c:pt idx="14" formatCode="_-* #,##0.0_-;\-* #,##0.0_-;_-* &quot;-&quot;??_-;_-@_-">
                  <c:v>2.4630931263276801</c:v>
                </c:pt>
              </c:numCache>
            </c:numRef>
          </c:val>
        </c:ser>
        <c:ser>
          <c:idx val="2"/>
          <c:order val="4"/>
          <c:tx>
            <c:strRef>
              <c:f>'DA-7'!$A$208</c:f>
              <c:strCache>
                <c:ptCount val="1"/>
                <c:pt idx="0">
                  <c:v>Total with All Escalations</c:v>
                </c:pt>
              </c:strCache>
            </c:strRef>
          </c:tx>
          <c:spPr>
            <a:ln w="38100">
              <a:solidFill>
                <a:srgbClr val="00FF00"/>
              </a:solidFill>
              <a:prstDash val="solid"/>
            </a:ln>
          </c:spPr>
          <c:marker>
            <c:symbol val="none"/>
          </c:marker>
          <c:cat>
            <c:strRef>
              <c:f>('DA-7'!$B$202:$H$202,'DA-7'!$B$204:$I$204)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('DA-7'!$B$200:$H$200,'DA-7'!$B$208:$I$208)</c:f>
              <c:numCache>
                <c:formatCode>General</c:formatCode>
                <c:ptCount val="15"/>
                <c:pt idx="7" formatCode="_-* #,##0.0_-;\-* #,##0.0_-;_-* &quot;-&quot;??_-;_-@_-">
                  <c:v>0</c:v>
                </c:pt>
                <c:pt idx="8" formatCode="_-* #,##0.0_-;\-* #,##0.0_-;_-* &quot;-&quot;??_-;_-@_-">
                  <c:v>0</c:v>
                </c:pt>
                <c:pt idx="9" formatCode="_-* #,##0.0_-;\-* #,##0.0_-;_-* &quot;-&quot;??_-;_-@_-">
                  <c:v>2.3449999999999998</c:v>
                </c:pt>
                <c:pt idx="10" formatCode="_-* #,##0.0_-;\-* #,##0.0_-;_-* &quot;-&quot;??_-;_-@_-">
                  <c:v>2.4184241816203311</c:v>
                </c:pt>
                <c:pt idx="11" formatCode="_-* #,##0.0_-;\-* #,##0.0_-;_-* &quot;-&quot;??_-;_-@_-">
                  <c:v>2.4920070287473965</c:v>
                </c:pt>
                <c:pt idx="12" formatCode="_-* #,##0.0_-;\-* #,##0.0_-;_-* &quot;-&quot;??_-;_-@_-">
                  <c:v>2.5706812924544167</c:v>
                </c:pt>
                <c:pt idx="13" formatCode="_-* #,##0.0_-;\-* #,##0.0_-;_-* &quot;-&quot;??_-;_-@_-">
                  <c:v>2.6539432606276834</c:v>
                </c:pt>
                <c:pt idx="14" formatCode="_-* #,##0.0_-;\-* #,##0.0_-;_-* &quot;-&quot;??_-;_-@_-">
                  <c:v>2.7376189919015839</c:v>
                </c:pt>
              </c:numCache>
            </c:numRef>
          </c:val>
        </c:ser>
        <c:marker val="1"/>
        <c:axId val="189262080"/>
        <c:axId val="189267968"/>
      </c:lineChart>
      <c:catAx>
        <c:axId val="18926208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9267968"/>
        <c:crosses val="autoZero"/>
        <c:auto val="1"/>
        <c:lblAlgn val="ctr"/>
        <c:lblOffset val="100"/>
        <c:tickLblSkip val="1"/>
        <c:tickMarkSkip val="1"/>
      </c:catAx>
      <c:valAx>
        <c:axId val="18926796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926208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AU"/>
  <c:chart>
    <c:title>
      <c:tx>
        <c:strRef>
          <c:f>'DA-8'!$B$2</c:f>
          <c:strCache>
            <c:ptCount val="1"/>
            <c:pt idx="0">
              <c:v>Network Telephony</c:v>
            </c:pt>
          </c:strCache>
        </c:strRef>
      </c:tx>
      <c:layout>
        <c:manualLayout>
          <c:xMode val="edge"/>
          <c:yMode val="edge"/>
          <c:x val="0.3830594184576567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'DA-8'!$A$203</c:f>
              <c:strCache>
                <c:ptCount val="1"/>
                <c:pt idx="0">
                  <c:v>Historic Expenditure</c:v>
                </c:pt>
              </c:strCache>
            </c:strRef>
          </c:tx>
          <c:spPr>
            <a:ln w="25400">
              <a:solidFill>
                <a:srgbClr val="33CCCC"/>
              </a:solidFill>
              <a:prstDash val="solid"/>
            </a:ln>
          </c:spPr>
          <c:marker>
            <c:symbol val="none"/>
          </c:marker>
          <c:cat>
            <c:strRef>
              <c:f>('DA-8'!$B$202:$H$202,'DA-8'!$B$204:$I$204)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('DA-8'!$B$203:$H$203,'DA-8'!$B$205,'DA-8'!$C$200:$I$200)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'DA-8'!$A$14</c:f>
              <c:strCache>
                <c:ptCount val="1"/>
                <c:pt idx="0">
                  <c:v>Baseline Expenditure</c:v>
                </c:pt>
              </c:strCache>
            </c:strRef>
          </c:tx>
          <c:spPr>
            <a:ln w="25400">
              <a:solidFill>
                <a:srgbClr val="0000FF"/>
              </a:solidFill>
              <a:prstDash val="solid"/>
            </a:ln>
          </c:spPr>
          <c:marker>
            <c:symbol val="none"/>
          </c:marker>
          <c:cat>
            <c:strRef>
              <c:f>('DA-8'!$B$202:$H$202,'DA-8'!$B$204:$I$204)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('DA-8'!$B$200:$H$200,'DA-8'!$B$205:$I$205)</c:f>
              <c:numCache>
                <c:formatCode>General</c:formatCode>
                <c:ptCount val="15"/>
                <c:pt idx="7" formatCode="_-* #,##0.0_-;\-* #,##0.0_-;_-* &quot;-&quot;??_-;_-@_-">
                  <c:v>0</c:v>
                </c:pt>
                <c:pt idx="8" formatCode="_-* #,##0.0_-;\-* #,##0.0_-;_-* &quot;-&quot;??_-;_-@_-">
                  <c:v>0</c:v>
                </c:pt>
                <c:pt idx="9" formatCode="_-* #,##0.0_-;\-* #,##0.0_-;_-* &quot;-&quot;??_-;_-@_-">
                  <c:v>6.160000000000001</c:v>
                </c:pt>
                <c:pt idx="10" formatCode="_-* #,##0.0_-;\-* #,##0.0_-;_-* &quot;-&quot;??_-;_-@_-">
                  <c:v>6.160000000000001</c:v>
                </c:pt>
                <c:pt idx="11" formatCode="_-* #,##0.0_-;\-* #,##0.0_-;_-* &quot;-&quot;??_-;_-@_-">
                  <c:v>6.160000000000001</c:v>
                </c:pt>
                <c:pt idx="12" formatCode="_-* #,##0.0_-;\-* #,##0.0_-;_-* &quot;-&quot;??_-;_-@_-">
                  <c:v>6.160000000000001</c:v>
                </c:pt>
                <c:pt idx="13" formatCode="_-* #,##0.0_-;\-* #,##0.0_-;_-* &quot;-&quot;??_-;_-@_-">
                  <c:v>6.160000000000001</c:v>
                </c:pt>
                <c:pt idx="14" formatCode="_-* #,##0.0_-;\-* #,##0.0_-;_-* &quot;-&quot;??_-;_-@_-">
                  <c:v>6.160000000000001</c:v>
                </c:pt>
              </c:numCache>
            </c:numRef>
          </c:val>
        </c:ser>
        <c:ser>
          <c:idx val="0"/>
          <c:order val="2"/>
          <c:tx>
            <c:strRef>
              <c:f>'DA-8'!$A$206</c:f>
              <c:strCache>
                <c:ptCount val="1"/>
                <c:pt idx="0">
                  <c:v>Total with Variations</c:v>
                </c:pt>
              </c:strCache>
            </c:strRef>
          </c:tx>
          <c:spPr>
            <a:ln w="25400">
              <a:solidFill>
                <a:srgbClr val="993366"/>
              </a:solidFill>
              <a:prstDash val="solid"/>
            </a:ln>
          </c:spPr>
          <c:marker>
            <c:symbol val="none"/>
          </c:marker>
          <c:cat>
            <c:strRef>
              <c:f>('DA-8'!$B$202:$H$202,'DA-8'!$B$204:$I$204)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('DA-8'!$B$200:$H$200,'DA-8'!$B$206:$I$206)</c:f>
              <c:numCache>
                <c:formatCode>General</c:formatCode>
                <c:ptCount val="15"/>
                <c:pt idx="7" formatCode="_-* #,##0.0_-;\-* #,##0.0_-;_-* &quot;-&quot;??_-;_-@_-">
                  <c:v>0</c:v>
                </c:pt>
                <c:pt idx="8" formatCode="_-* #,##0.0_-;\-* #,##0.0_-;_-* &quot;-&quot;??_-;_-@_-">
                  <c:v>0</c:v>
                </c:pt>
                <c:pt idx="9" formatCode="_-* #,##0.0_-;\-* #,##0.0_-;_-* &quot;-&quot;??_-;_-@_-">
                  <c:v>6.160000000000001</c:v>
                </c:pt>
                <c:pt idx="10" formatCode="_-* #,##0.0_-;\-* #,##0.0_-;_-* &quot;-&quot;??_-;_-@_-">
                  <c:v>6.3310000000000004</c:v>
                </c:pt>
                <c:pt idx="11" formatCode="_-* #,##0.0_-;\-* #,##0.0_-;_-* &quot;-&quot;??_-;_-@_-">
                  <c:v>13.510000000000002</c:v>
                </c:pt>
                <c:pt idx="12" formatCode="_-* #,##0.0_-;\-* #,##0.0_-;_-* &quot;-&quot;??_-;_-@_-">
                  <c:v>8.7630000000000017</c:v>
                </c:pt>
                <c:pt idx="13" formatCode="_-* #,##0.0_-;\-* #,##0.0_-;_-* &quot;-&quot;??_-;_-@_-">
                  <c:v>8.7630000000000017</c:v>
                </c:pt>
                <c:pt idx="14" formatCode="_-* #,##0.0_-;\-* #,##0.0_-;_-* &quot;-&quot;??_-;_-@_-">
                  <c:v>8.7640000000000011</c:v>
                </c:pt>
              </c:numCache>
            </c:numRef>
          </c:val>
        </c:ser>
        <c:ser>
          <c:idx val="3"/>
          <c:order val="3"/>
          <c:tx>
            <c:strRef>
              <c:f>'DA-8'!$A$207</c:f>
              <c:strCache>
                <c:ptCount val="1"/>
                <c:pt idx="0">
                  <c:v>Total with Specific Escalations</c:v>
                </c:pt>
              </c:strCache>
            </c:strRef>
          </c:tx>
          <c:spPr>
            <a:ln w="25400">
              <a:solidFill>
                <a:srgbClr val="FF0000"/>
              </a:solidFill>
              <a:prstDash val="solid"/>
            </a:ln>
          </c:spPr>
          <c:marker>
            <c:symbol val="none"/>
          </c:marker>
          <c:cat>
            <c:strRef>
              <c:f>('DA-8'!$B$202:$H$202,'DA-8'!$B$204:$I$204)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('DA-8'!$B$200:$H$200,'DA-8'!$B$207:$I$207)</c:f>
              <c:numCache>
                <c:formatCode>General</c:formatCode>
                <c:ptCount val="15"/>
                <c:pt idx="7" formatCode="_-* #,##0.0_-;\-* #,##0.0_-;_-* &quot;-&quot;??_-;_-@_-">
                  <c:v>0</c:v>
                </c:pt>
                <c:pt idx="8" formatCode="_-* #,##0.0_-;\-* #,##0.0_-;_-* &quot;-&quot;??_-;_-@_-">
                  <c:v>0</c:v>
                </c:pt>
                <c:pt idx="9" formatCode="_-* #,##0.0_-;\-* #,##0.0_-;_-* &quot;-&quot;??_-;_-@_-">
                  <c:v>6.160000000000001</c:v>
                </c:pt>
                <c:pt idx="10" formatCode="_-* #,##0.0_-;\-* #,##0.0_-;_-* &quot;-&quot;??_-;_-@_-">
                  <c:v>6.3963573430124088</c:v>
                </c:pt>
                <c:pt idx="11" formatCode="_-* #,##0.0_-;\-* #,##0.0_-;_-* &quot;-&quot;??_-;_-@_-">
                  <c:v>13.635916529961451</c:v>
                </c:pt>
                <c:pt idx="12" formatCode="_-* #,##0.0_-;\-* #,##0.0_-;_-* &quot;-&quot;??_-;_-@_-">
                  <c:v>8.9487786137974723</c:v>
                </c:pt>
                <c:pt idx="13" formatCode="_-* #,##0.0_-;\-* #,##0.0_-;_-* &quot;-&quot;??_-;_-@_-">
                  <c:v>9.0137241669054955</c:v>
                </c:pt>
                <c:pt idx="14" formatCode="_-* #,##0.0_-;\-* #,##0.0_-;_-* &quot;-&quot;??_-;_-@_-">
                  <c:v>9.0742147796070416</c:v>
                </c:pt>
              </c:numCache>
            </c:numRef>
          </c:val>
        </c:ser>
        <c:ser>
          <c:idx val="2"/>
          <c:order val="4"/>
          <c:tx>
            <c:strRef>
              <c:f>'DA-8'!$A$208</c:f>
              <c:strCache>
                <c:ptCount val="1"/>
                <c:pt idx="0">
                  <c:v>Total with All Escalations</c:v>
                </c:pt>
              </c:strCache>
            </c:strRef>
          </c:tx>
          <c:spPr>
            <a:ln w="38100">
              <a:solidFill>
                <a:srgbClr val="00FF00"/>
              </a:solidFill>
              <a:prstDash val="solid"/>
            </a:ln>
          </c:spPr>
          <c:marker>
            <c:symbol val="none"/>
          </c:marker>
          <c:cat>
            <c:strRef>
              <c:f>('DA-8'!$B$202:$H$202,'DA-8'!$B$204:$I$204)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('DA-8'!$B$200:$H$200,'DA-8'!$B$208:$I$208)</c:f>
              <c:numCache>
                <c:formatCode>General</c:formatCode>
                <c:ptCount val="15"/>
                <c:pt idx="7" formatCode="_-* #,##0.0_-;\-* #,##0.0_-;_-* &quot;-&quot;??_-;_-@_-">
                  <c:v>0</c:v>
                </c:pt>
                <c:pt idx="8" formatCode="_-* #,##0.0_-;\-* #,##0.0_-;_-* &quot;-&quot;??_-;_-@_-">
                  <c:v>0</c:v>
                </c:pt>
                <c:pt idx="9" formatCode="_-* #,##0.0_-;\-* #,##0.0_-;_-* &quot;-&quot;??_-;_-@_-">
                  <c:v>6.160000000000001</c:v>
                </c:pt>
                <c:pt idx="10" formatCode="_-* #,##0.0_-;\-* #,##0.0_-;_-* &quot;-&quot;??_-;_-@_-">
                  <c:v>6.4652729273945031</c:v>
                </c:pt>
                <c:pt idx="11" formatCode="_-* #,##0.0_-;\-* #,##0.0_-;_-* &quot;-&quot;??_-;_-@_-">
                  <c:v>13.776267446963722</c:v>
                </c:pt>
                <c:pt idx="12" formatCode="_-* #,##0.0_-;\-* #,##0.0_-;_-* &quot;-&quot;??_-;_-@_-">
                  <c:v>9.1816073657443678</c:v>
                </c:pt>
                <c:pt idx="13" formatCode="_-* #,##0.0_-;\-* #,##0.0_-;_-* &quot;-&quot;??_-;_-@_-">
                  <c:v>9.3485642823780228</c:v>
                </c:pt>
                <c:pt idx="14" formatCode="_-* #,##0.0_-;\-* #,##0.0_-;_-* &quot;-&quot;??_-;_-@_-">
                  <c:v>9.5225760259666608</c:v>
                </c:pt>
              </c:numCache>
            </c:numRef>
          </c:val>
        </c:ser>
        <c:marker val="1"/>
        <c:axId val="189632512"/>
        <c:axId val="189634048"/>
      </c:lineChart>
      <c:catAx>
        <c:axId val="18963251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9634048"/>
        <c:crosses val="autoZero"/>
        <c:auto val="1"/>
        <c:lblAlgn val="ctr"/>
        <c:lblOffset val="100"/>
        <c:tickLblSkip val="1"/>
        <c:tickMarkSkip val="1"/>
      </c:catAx>
      <c:valAx>
        <c:axId val="18963404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963251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AU"/>
  <c:chart>
    <c:title>
      <c:tx>
        <c:strRef>
          <c:f>'A-5'!$B$2</c:f>
          <c:strCache>
            <c:ptCount val="1"/>
            <c:pt idx="0">
              <c:v>General Manager Regulation &amp; Company Secretary</c:v>
            </c:pt>
          </c:strCache>
        </c:strRef>
      </c:tx>
      <c:layout>
        <c:manualLayout>
          <c:xMode val="edge"/>
          <c:yMode val="edge"/>
          <c:x val="0.1984829329962114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'A-5'!$A$203</c:f>
              <c:strCache>
                <c:ptCount val="1"/>
                <c:pt idx="0">
                  <c:v>Historic Expenditure</c:v>
                </c:pt>
              </c:strCache>
            </c:strRef>
          </c:tx>
          <c:spPr>
            <a:ln w="25400">
              <a:solidFill>
                <a:srgbClr val="33CCCC"/>
              </a:solidFill>
              <a:prstDash val="solid"/>
            </a:ln>
          </c:spPr>
          <c:marker>
            <c:symbol val="none"/>
          </c:marker>
          <c:cat>
            <c:strRef>
              <c:f>('A-5'!$B$202:$H$202,'A-5'!$B$204:$I$204)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('A-5'!$B$203:$H$203,'A-5'!$B$205,'A-5'!$C$200:$I$200)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'A-5'!$A$14</c:f>
              <c:strCache>
                <c:ptCount val="1"/>
                <c:pt idx="0">
                  <c:v>Baseline Expenditure</c:v>
                </c:pt>
              </c:strCache>
            </c:strRef>
          </c:tx>
          <c:spPr>
            <a:ln w="25400">
              <a:solidFill>
                <a:srgbClr val="0000FF"/>
              </a:solidFill>
              <a:prstDash val="solid"/>
            </a:ln>
          </c:spPr>
          <c:marker>
            <c:symbol val="none"/>
          </c:marker>
          <c:cat>
            <c:strRef>
              <c:f>('A-5'!$B$202:$H$202,'A-5'!$B$204:$I$204)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('A-5'!$B$200:$H$200,'A-5'!$B$205:$I$205)</c:f>
              <c:numCache>
                <c:formatCode>General</c:formatCode>
                <c:ptCount val="15"/>
                <c:pt idx="7" formatCode="_-* #,##0.0_-;\-* #,##0.0_-;_-* &quot;-&quot;??_-;_-@_-">
                  <c:v>0</c:v>
                </c:pt>
                <c:pt idx="8" formatCode="_-* #,##0.0_-;\-* #,##0.0_-;_-* &quot;-&quot;??_-;_-@_-">
                  <c:v>0</c:v>
                </c:pt>
                <c:pt idx="9" formatCode="_-* #,##0.0_-;\-* #,##0.0_-;_-* &quot;-&quot;??_-;_-@_-">
                  <c:v>1.726</c:v>
                </c:pt>
                <c:pt idx="10" formatCode="_-* #,##0.0_-;\-* #,##0.0_-;_-* &quot;-&quot;??_-;_-@_-">
                  <c:v>1.726</c:v>
                </c:pt>
                <c:pt idx="11" formatCode="_-* #,##0.0_-;\-* #,##0.0_-;_-* &quot;-&quot;??_-;_-@_-">
                  <c:v>1.726</c:v>
                </c:pt>
                <c:pt idx="12" formatCode="_-* #,##0.0_-;\-* #,##0.0_-;_-* &quot;-&quot;??_-;_-@_-">
                  <c:v>1.726</c:v>
                </c:pt>
                <c:pt idx="13" formatCode="_-* #,##0.0_-;\-* #,##0.0_-;_-* &quot;-&quot;??_-;_-@_-">
                  <c:v>1.726</c:v>
                </c:pt>
                <c:pt idx="14" formatCode="_-* #,##0.0_-;\-* #,##0.0_-;_-* &quot;-&quot;??_-;_-@_-">
                  <c:v>1.726</c:v>
                </c:pt>
              </c:numCache>
            </c:numRef>
          </c:val>
        </c:ser>
        <c:ser>
          <c:idx val="0"/>
          <c:order val="2"/>
          <c:tx>
            <c:strRef>
              <c:f>'A-5'!$A$206</c:f>
              <c:strCache>
                <c:ptCount val="1"/>
                <c:pt idx="0">
                  <c:v>Total with Variations</c:v>
                </c:pt>
              </c:strCache>
            </c:strRef>
          </c:tx>
          <c:spPr>
            <a:ln w="25400">
              <a:solidFill>
                <a:srgbClr val="993366"/>
              </a:solidFill>
              <a:prstDash val="solid"/>
            </a:ln>
          </c:spPr>
          <c:marker>
            <c:symbol val="none"/>
          </c:marker>
          <c:cat>
            <c:strRef>
              <c:f>('A-5'!$B$202:$H$202,'A-5'!$B$204:$I$204)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('A-5'!$B$200:$H$200,'A-5'!$B$206:$I$206)</c:f>
              <c:numCache>
                <c:formatCode>General</c:formatCode>
                <c:ptCount val="15"/>
                <c:pt idx="7" formatCode="_-* #,##0.0_-;\-* #,##0.0_-;_-* &quot;-&quot;??_-;_-@_-">
                  <c:v>0</c:v>
                </c:pt>
                <c:pt idx="8" formatCode="_-* #,##0.0_-;\-* #,##0.0_-;_-* &quot;-&quot;??_-;_-@_-">
                  <c:v>0</c:v>
                </c:pt>
                <c:pt idx="9" formatCode="_-* #,##0.0_-;\-* #,##0.0_-;_-* &quot;-&quot;??_-;_-@_-">
                  <c:v>1.726</c:v>
                </c:pt>
                <c:pt idx="10" formatCode="_-* #,##0.0_-;\-* #,##0.0_-;_-* &quot;-&quot;??_-;_-@_-">
                  <c:v>1.726</c:v>
                </c:pt>
                <c:pt idx="11" formatCode="_-* #,##0.0_-;\-* #,##0.0_-;_-* &quot;-&quot;??_-;_-@_-">
                  <c:v>1.726</c:v>
                </c:pt>
                <c:pt idx="12" formatCode="_-* #,##0.0_-;\-* #,##0.0_-;_-* &quot;-&quot;??_-;_-@_-">
                  <c:v>1.726</c:v>
                </c:pt>
                <c:pt idx="13" formatCode="_-* #,##0.0_-;\-* #,##0.0_-;_-* &quot;-&quot;??_-;_-@_-">
                  <c:v>1.726</c:v>
                </c:pt>
                <c:pt idx="14" formatCode="_-* #,##0.0_-;\-* #,##0.0_-;_-* &quot;-&quot;??_-;_-@_-">
                  <c:v>1.726</c:v>
                </c:pt>
              </c:numCache>
            </c:numRef>
          </c:val>
        </c:ser>
        <c:ser>
          <c:idx val="3"/>
          <c:order val="3"/>
          <c:tx>
            <c:strRef>
              <c:f>'A-5'!$A$207</c:f>
              <c:strCache>
                <c:ptCount val="1"/>
                <c:pt idx="0">
                  <c:v>Total with Specific Escalations</c:v>
                </c:pt>
              </c:strCache>
            </c:strRef>
          </c:tx>
          <c:spPr>
            <a:ln w="25400">
              <a:solidFill>
                <a:srgbClr val="FF0000"/>
              </a:solidFill>
              <a:prstDash val="solid"/>
            </a:ln>
          </c:spPr>
          <c:marker>
            <c:symbol val="none"/>
          </c:marker>
          <c:cat>
            <c:strRef>
              <c:f>('A-5'!$B$202:$H$202,'A-5'!$B$204:$I$204)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('A-5'!$B$200:$H$200,'A-5'!$B$207:$I$207)</c:f>
              <c:numCache>
                <c:formatCode>General</c:formatCode>
                <c:ptCount val="15"/>
                <c:pt idx="7" formatCode="_-* #,##0.0_-;\-* #,##0.0_-;_-* &quot;-&quot;??_-;_-@_-">
                  <c:v>0</c:v>
                </c:pt>
                <c:pt idx="8" formatCode="_-* #,##0.0_-;\-* #,##0.0_-;_-* &quot;-&quot;??_-;_-@_-">
                  <c:v>0</c:v>
                </c:pt>
                <c:pt idx="9" formatCode="_-* #,##0.0_-;\-* #,##0.0_-;_-* &quot;-&quot;??_-;_-@_-">
                  <c:v>1.726</c:v>
                </c:pt>
                <c:pt idx="10" formatCode="_-* #,##0.0_-;\-* #,##0.0_-;_-* &quot;-&quot;??_-;_-@_-">
                  <c:v>1.7443127879934117</c:v>
                </c:pt>
                <c:pt idx="11" formatCode="_-* #,##0.0_-;\-* #,##0.0_-;_-* &quot;-&quot;??_-;_-@_-">
                  <c:v>1.7612811575833538</c:v>
                </c:pt>
                <c:pt idx="12" formatCode="_-* #,##0.0_-;\-* #,##0.0_-;_-* &quot;-&quot;??_-;_-@_-">
                  <c:v>1.7780542025023434</c:v>
                </c:pt>
                <c:pt idx="13" formatCode="_-* #,##0.0_-;\-* #,##0.0_-;_-* &quot;-&quot;??_-;_-@_-">
                  <c:v>1.7962516091037146</c:v>
                </c:pt>
                <c:pt idx="14" formatCode="_-* #,##0.0_-;\-* #,##0.0_-;_-* &quot;-&quot;??_-;_-@_-">
                  <c:v>1.8129205697405444</c:v>
                </c:pt>
              </c:numCache>
            </c:numRef>
          </c:val>
        </c:ser>
        <c:ser>
          <c:idx val="2"/>
          <c:order val="4"/>
          <c:tx>
            <c:strRef>
              <c:f>'A-5'!$A$208</c:f>
              <c:strCache>
                <c:ptCount val="1"/>
                <c:pt idx="0">
                  <c:v>Total with All Escalations</c:v>
                </c:pt>
              </c:strCache>
            </c:strRef>
          </c:tx>
          <c:spPr>
            <a:ln w="38100">
              <a:solidFill>
                <a:srgbClr val="00FF00"/>
              </a:solidFill>
              <a:prstDash val="solid"/>
            </a:ln>
          </c:spPr>
          <c:marker>
            <c:symbol val="none"/>
          </c:marker>
          <c:cat>
            <c:strRef>
              <c:f>('A-5'!$B$202:$H$202,'A-5'!$B$204:$I$204)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('A-5'!$B$200:$H$200,'A-5'!$B$208:$I$208)</c:f>
              <c:numCache>
                <c:formatCode>General</c:formatCode>
                <c:ptCount val="15"/>
                <c:pt idx="7" formatCode="_-* #,##0.0_-;\-* #,##0.0_-;_-* &quot;-&quot;??_-;_-@_-">
                  <c:v>0</c:v>
                </c:pt>
                <c:pt idx="8" formatCode="_-* #,##0.0_-;\-* #,##0.0_-;_-* &quot;-&quot;??_-;_-@_-">
                  <c:v>0</c:v>
                </c:pt>
                <c:pt idx="9" formatCode="_-* #,##0.0_-;\-* #,##0.0_-;_-* &quot;-&quot;??_-;_-@_-">
                  <c:v>1.726</c:v>
                </c:pt>
                <c:pt idx="10" formatCode="_-* #,##0.0_-;\-* #,##0.0_-;_-* &quot;-&quot;??_-;_-@_-">
                  <c:v>1.7782106066131311</c:v>
                </c:pt>
                <c:pt idx="11" formatCode="_-* #,##0.0_-;\-* #,##0.0_-;_-* &quot;-&quot;??_-;_-@_-">
                  <c:v>1.8304566456818043</c:v>
                </c:pt>
                <c:pt idx="12" formatCode="_-* #,##0.0_-;\-* #,##0.0_-;_-* &quot;-&quot;??_-;_-@_-">
                  <c:v>1.8865371415375256</c:v>
                </c:pt>
                <c:pt idx="13" formatCode="_-* #,##0.0_-;\-* #,##0.0_-;_-* &quot;-&quot;??_-;_-@_-">
                  <c:v>1.9460183564769642</c:v>
                </c:pt>
                <c:pt idx="14" formatCode="_-* #,##0.0_-;\-* #,##0.0_-;_-* &quot;-&quot;??_-;_-@_-">
                  <c:v>2.0058817289218425</c:v>
                </c:pt>
              </c:numCache>
            </c:numRef>
          </c:val>
        </c:ser>
        <c:marker val="1"/>
        <c:axId val="155169920"/>
        <c:axId val="155171456"/>
      </c:lineChart>
      <c:catAx>
        <c:axId val="15516992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5171456"/>
        <c:crosses val="autoZero"/>
        <c:auto val="1"/>
        <c:lblAlgn val="ctr"/>
        <c:lblOffset val="100"/>
        <c:tickLblSkip val="1"/>
        <c:tickMarkSkip val="1"/>
      </c:catAx>
      <c:valAx>
        <c:axId val="15517145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516992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800"/>
              <a:t>Feed-in Tariffs</a:t>
            </a:r>
          </a:p>
        </c:rich>
      </c:tx>
      <c:spPr>
        <a:noFill/>
        <a:ln w="25400">
          <a:noFill/>
        </a:ln>
      </c:spPr>
    </c:title>
    <c:plotArea>
      <c:layout/>
      <c:lineChart>
        <c:grouping val="standard"/>
        <c:ser>
          <c:idx val="4"/>
          <c:order val="0"/>
          <c:tx>
            <c:strRef>
              <c:f>'DA-9'!$A$203</c:f>
              <c:strCache>
                <c:ptCount val="1"/>
                <c:pt idx="0">
                  <c:v>Historic Expenditure</c:v>
                </c:pt>
              </c:strCache>
            </c:strRef>
          </c:tx>
          <c:spPr>
            <a:ln w="25400">
              <a:solidFill>
                <a:srgbClr val="33CCCC"/>
              </a:solidFill>
              <a:prstDash val="solid"/>
            </a:ln>
          </c:spPr>
          <c:marker>
            <c:symbol val="none"/>
          </c:marker>
          <c:cat>
            <c:strRef>
              <c:f>('DA-9'!$B$202:$H$202,'DA-9'!$B$204:$I$204)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('DA-9'!$B$203:$H$203,'DA-9'!$B$205,'DA-9'!$C$200:$I$200)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'DA-9'!$A$14</c:f>
              <c:strCache>
                <c:ptCount val="1"/>
                <c:pt idx="0">
                  <c:v>Baseline Expenditure</c:v>
                </c:pt>
              </c:strCache>
            </c:strRef>
          </c:tx>
          <c:spPr>
            <a:ln w="25400">
              <a:solidFill>
                <a:srgbClr val="0000FF"/>
              </a:solidFill>
              <a:prstDash val="solid"/>
            </a:ln>
          </c:spPr>
          <c:marker>
            <c:symbol val="none"/>
          </c:marker>
          <c:cat>
            <c:strRef>
              <c:f>('DA-9'!$B$202:$H$202,'DA-9'!$B$204:$I$204)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('DA-9'!$B$200:$H$200,'DA-9'!$B$205:$I$205)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'DA-9'!$A$206</c:f>
              <c:strCache>
                <c:ptCount val="1"/>
                <c:pt idx="0">
                  <c:v>Total with Variations</c:v>
                </c:pt>
              </c:strCache>
            </c:strRef>
          </c:tx>
          <c:spPr>
            <a:ln w="25400">
              <a:solidFill>
                <a:srgbClr val="993366"/>
              </a:solidFill>
              <a:prstDash val="solid"/>
            </a:ln>
          </c:spPr>
          <c:marker>
            <c:symbol val="none"/>
          </c:marker>
          <c:cat>
            <c:strRef>
              <c:f>('DA-9'!$B$202:$H$202,'DA-9'!$B$204:$I$204)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('DA-9'!$B$200:$H$200,'DA-9'!$B$206:$I$206)</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'DA-9'!$A$207</c:f>
              <c:strCache>
                <c:ptCount val="1"/>
                <c:pt idx="0">
                  <c:v>Total with Specific Escalations</c:v>
                </c:pt>
              </c:strCache>
            </c:strRef>
          </c:tx>
          <c:spPr>
            <a:ln w="25400">
              <a:solidFill>
                <a:srgbClr val="FF0000"/>
              </a:solidFill>
              <a:prstDash val="solid"/>
            </a:ln>
          </c:spPr>
          <c:marker>
            <c:symbol val="none"/>
          </c:marker>
          <c:cat>
            <c:strRef>
              <c:f>('DA-9'!$B$202:$H$202,'DA-9'!$B$204:$I$204)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('DA-9'!$B$200:$H$200,'DA-9'!$B$207:$I$207)</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'DA-9'!$A$208</c:f>
              <c:strCache>
                <c:ptCount val="1"/>
                <c:pt idx="0">
                  <c:v>Total with All Escalations</c:v>
                </c:pt>
              </c:strCache>
            </c:strRef>
          </c:tx>
          <c:spPr>
            <a:ln w="38100">
              <a:solidFill>
                <a:srgbClr val="00FF00"/>
              </a:solidFill>
              <a:prstDash val="solid"/>
            </a:ln>
          </c:spPr>
          <c:marker>
            <c:symbol val="none"/>
          </c:marker>
          <c:cat>
            <c:strRef>
              <c:f>('DA-9'!$B$202:$H$202,'DA-9'!$B$204:$I$204)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('DA-9'!$B$200:$H$200,'DA-9'!$B$208:$I$208)</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89081088"/>
        <c:axId val="189082624"/>
      </c:lineChart>
      <c:catAx>
        <c:axId val="189081088"/>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9082624"/>
        <c:crosses val="autoZero"/>
        <c:auto val="1"/>
        <c:lblAlgn val="ctr"/>
        <c:lblOffset val="100"/>
        <c:tickLblSkip val="1"/>
        <c:tickMarkSkip val="1"/>
      </c:catAx>
      <c:valAx>
        <c:axId val="189082624"/>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9081088"/>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700"/>
              <a:t>Regulatory Compliance</a:t>
            </a:r>
          </a:p>
        </c:rich>
      </c:tx>
      <c:spPr>
        <a:noFill/>
        <a:ln w="25400">
          <a:noFill/>
        </a:ln>
      </c:spPr>
    </c:title>
    <c:plotArea>
      <c:layout/>
      <c:lineChart>
        <c:grouping val="standard"/>
        <c:ser>
          <c:idx val="4"/>
          <c:order val="0"/>
          <c:tx>
            <c:strRef>
              <c:f>'DA-10'!$A$203</c:f>
              <c:strCache>
                <c:ptCount val="1"/>
                <c:pt idx="0">
                  <c:v>Historic Expenditure</c:v>
                </c:pt>
              </c:strCache>
            </c:strRef>
          </c:tx>
          <c:spPr>
            <a:ln w="25400">
              <a:solidFill>
                <a:srgbClr val="33CCCC"/>
              </a:solidFill>
              <a:prstDash val="solid"/>
            </a:ln>
          </c:spPr>
          <c:marker>
            <c:symbol val="none"/>
          </c:marker>
          <c:cat>
            <c:strRef>
              <c:f>('DA-10'!$B$202:$H$202,'DA-10'!$B$204:$I$204)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('DA-10'!$B$203:$H$203,'DA-10'!$B$205,'DA-10'!$C$200:$I$200)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'DA-10'!$A$14</c:f>
              <c:strCache>
                <c:ptCount val="1"/>
                <c:pt idx="0">
                  <c:v>Baseline Expenditure</c:v>
                </c:pt>
              </c:strCache>
            </c:strRef>
          </c:tx>
          <c:spPr>
            <a:ln w="25400">
              <a:solidFill>
                <a:srgbClr val="0000FF"/>
              </a:solidFill>
              <a:prstDash val="solid"/>
            </a:ln>
          </c:spPr>
          <c:marker>
            <c:symbol val="none"/>
          </c:marker>
          <c:cat>
            <c:strRef>
              <c:f>('DA-10'!$B$202:$H$202,'DA-10'!$B$204:$I$204)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('DA-10'!$B$200:$H$200,'DA-10'!$B$205:$I$205)</c:f>
              <c:numCache>
                <c:formatCode>General</c:formatCode>
                <c:ptCount val="15"/>
                <c:pt idx="7" formatCode="_-* #,##0.0_-;\-* #,##0.0_-;_-* &quot;-&quot;??_-;_-@_-">
                  <c:v>0</c:v>
                </c:pt>
                <c:pt idx="8" formatCode="_-* #,##0.0_-;\-* #,##0.0_-;_-* &quot;-&quot;??_-;_-@_-">
                  <c:v>0</c:v>
                </c:pt>
                <c:pt idx="9" formatCode="_-* #,##0.0_-;\-* #,##0.0_-;_-* &quot;-&quot;??_-;_-@_-">
                  <c:v>3.677</c:v>
                </c:pt>
                <c:pt idx="10" formatCode="_-* #,##0.0_-;\-* #,##0.0_-;_-* &quot;-&quot;??_-;_-@_-">
                  <c:v>3.677</c:v>
                </c:pt>
                <c:pt idx="11" formatCode="_-* #,##0.0_-;\-* #,##0.0_-;_-* &quot;-&quot;??_-;_-@_-">
                  <c:v>3.677</c:v>
                </c:pt>
                <c:pt idx="12" formatCode="_-* #,##0.0_-;\-* #,##0.0_-;_-* &quot;-&quot;??_-;_-@_-">
                  <c:v>3.677</c:v>
                </c:pt>
                <c:pt idx="13" formatCode="_-* #,##0.0_-;\-* #,##0.0_-;_-* &quot;-&quot;??_-;_-@_-">
                  <c:v>3.677</c:v>
                </c:pt>
                <c:pt idx="14" formatCode="_-* #,##0.0_-;\-* #,##0.0_-;_-* &quot;-&quot;??_-;_-@_-">
                  <c:v>3.677</c:v>
                </c:pt>
              </c:numCache>
            </c:numRef>
          </c:val>
        </c:ser>
        <c:ser>
          <c:idx val="0"/>
          <c:order val="2"/>
          <c:tx>
            <c:strRef>
              <c:f>'DA-10'!$A$206</c:f>
              <c:strCache>
                <c:ptCount val="1"/>
                <c:pt idx="0">
                  <c:v>Total with Variations</c:v>
                </c:pt>
              </c:strCache>
            </c:strRef>
          </c:tx>
          <c:spPr>
            <a:ln w="25400">
              <a:solidFill>
                <a:srgbClr val="993366"/>
              </a:solidFill>
              <a:prstDash val="solid"/>
            </a:ln>
          </c:spPr>
          <c:marker>
            <c:symbol val="none"/>
          </c:marker>
          <c:cat>
            <c:strRef>
              <c:f>('DA-10'!$B$202:$H$202,'DA-10'!$B$204:$I$204)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('DA-10'!$B$200:$H$200,'DA-10'!$B$206:$I$206)</c:f>
              <c:numCache>
                <c:formatCode>General</c:formatCode>
                <c:ptCount val="15"/>
                <c:pt idx="7" formatCode="_-* #,##0.0_-;\-* #,##0.0_-;_-* &quot;-&quot;??_-;_-@_-">
                  <c:v>0</c:v>
                </c:pt>
                <c:pt idx="8" formatCode="_-* #,##0.0_-;\-* #,##0.0_-;_-* &quot;-&quot;??_-;_-@_-">
                  <c:v>0</c:v>
                </c:pt>
                <c:pt idx="9" formatCode="_-* #,##0.0_-;\-* #,##0.0_-;_-* &quot;-&quot;??_-;_-@_-">
                  <c:v>3.677</c:v>
                </c:pt>
                <c:pt idx="10" formatCode="_-* #,##0.0_-;\-* #,##0.0_-;_-* &quot;-&quot;??_-;_-@_-">
                  <c:v>3.677</c:v>
                </c:pt>
                <c:pt idx="11" formatCode="_-* #,##0.0_-;\-* #,##0.0_-;_-* &quot;-&quot;??_-;_-@_-">
                  <c:v>3.677</c:v>
                </c:pt>
                <c:pt idx="12" formatCode="_-* #,##0.0_-;\-* #,##0.0_-;_-* &quot;-&quot;??_-;_-@_-">
                  <c:v>3.677</c:v>
                </c:pt>
                <c:pt idx="13" formatCode="_-* #,##0.0_-;\-* #,##0.0_-;_-* &quot;-&quot;??_-;_-@_-">
                  <c:v>3.677</c:v>
                </c:pt>
                <c:pt idx="14" formatCode="_-* #,##0.0_-;\-* #,##0.0_-;_-* &quot;-&quot;??_-;_-@_-">
                  <c:v>3.677</c:v>
                </c:pt>
              </c:numCache>
            </c:numRef>
          </c:val>
        </c:ser>
        <c:ser>
          <c:idx val="3"/>
          <c:order val="3"/>
          <c:tx>
            <c:strRef>
              <c:f>'DA-10'!$A$207</c:f>
              <c:strCache>
                <c:ptCount val="1"/>
                <c:pt idx="0">
                  <c:v>Total with Specific Escalations</c:v>
                </c:pt>
              </c:strCache>
            </c:strRef>
          </c:tx>
          <c:spPr>
            <a:ln w="25400">
              <a:solidFill>
                <a:srgbClr val="FF0000"/>
              </a:solidFill>
              <a:prstDash val="solid"/>
            </a:ln>
          </c:spPr>
          <c:marker>
            <c:symbol val="none"/>
          </c:marker>
          <c:cat>
            <c:strRef>
              <c:f>('DA-10'!$B$202:$H$202,'DA-10'!$B$204:$I$204)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('DA-10'!$B$200:$H$200,'DA-10'!$B$207:$I$207)</c:f>
              <c:numCache>
                <c:formatCode>General</c:formatCode>
                <c:ptCount val="15"/>
                <c:pt idx="7" formatCode="_-* #,##0.0_-;\-* #,##0.0_-;_-* &quot;-&quot;??_-;_-@_-">
                  <c:v>0</c:v>
                </c:pt>
                <c:pt idx="8" formatCode="_-* #,##0.0_-;\-* #,##0.0_-;_-* &quot;-&quot;??_-;_-@_-">
                  <c:v>0</c:v>
                </c:pt>
                <c:pt idx="9" formatCode="_-* #,##0.0_-;\-* #,##0.0_-;_-* &quot;-&quot;??_-;_-@_-">
                  <c:v>3.677</c:v>
                </c:pt>
                <c:pt idx="10" formatCode="_-* #,##0.0_-;\-* #,##0.0_-;_-* &quot;-&quot;??_-;_-@_-">
                  <c:v>3.7160128166001014</c:v>
                </c:pt>
                <c:pt idx="11" formatCode="_-* #,##0.0_-;\-* #,##0.0_-;_-* &quot;-&quot;??_-;_-@_-">
                  <c:v>3.7521615390695207</c:v>
                </c:pt>
                <c:pt idx="12" formatCode="_-* #,##0.0_-;\-* #,##0.0_-;_-* &quot;-&quot;??_-;_-@_-">
                  <c:v>3.7878941498268346</c:v>
                </c:pt>
                <c:pt idx="13" formatCode="_-* #,##0.0_-;\-* #,##0.0_-;_-* &quot;-&quot;??_-;_-@_-">
                  <c:v>3.8266611626155034</c:v>
                </c:pt>
                <c:pt idx="14" formatCode="_-* #,##0.0_-;\-* #,##0.0_-;_-* &quot;-&quot;??_-;_-@_-">
                  <c:v>3.8621720364634888</c:v>
                </c:pt>
              </c:numCache>
            </c:numRef>
          </c:val>
        </c:ser>
        <c:ser>
          <c:idx val="2"/>
          <c:order val="4"/>
          <c:tx>
            <c:strRef>
              <c:f>'DA-10'!$A$208</c:f>
              <c:strCache>
                <c:ptCount val="1"/>
                <c:pt idx="0">
                  <c:v>Total with All Escalations</c:v>
                </c:pt>
              </c:strCache>
            </c:strRef>
          </c:tx>
          <c:spPr>
            <a:ln w="38100">
              <a:solidFill>
                <a:srgbClr val="00FF00"/>
              </a:solidFill>
              <a:prstDash val="solid"/>
            </a:ln>
          </c:spPr>
          <c:marker>
            <c:symbol val="none"/>
          </c:marker>
          <c:cat>
            <c:strRef>
              <c:f>('DA-10'!$B$202:$H$202,'DA-10'!$B$204:$I$204)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('DA-10'!$B$200:$H$200,'DA-10'!$B$208:$I$208)</c:f>
              <c:numCache>
                <c:formatCode>General</c:formatCode>
                <c:ptCount val="15"/>
                <c:pt idx="7" formatCode="_-* #,##0.0_-;\-* #,##0.0_-;_-* &quot;-&quot;??_-;_-@_-">
                  <c:v>0</c:v>
                </c:pt>
                <c:pt idx="8" formatCode="_-* #,##0.0_-;\-* #,##0.0_-;_-* &quot;-&quot;??_-;_-@_-">
                  <c:v>0</c:v>
                </c:pt>
                <c:pt idx="9" formatCode="_-* #,##0.0_-;\-* #,##0.0_-;_-* &quot;-&quot;??_-;_-@_-">
                  <c:v>3.677</c:v>
                </c:pt>
                <c:pt idx="10" formatCode="_-* #,##0.0_-;\-* #,##0.0_-;_-* &quot;-&quot;??_-;_-@_-">
                  <c:v>3.7888849983815631</c:v>
                </c:pt>
                <c:pt idx="11" formatCode="_-* #,##0.0_-;\-* #,##0.0_-;_-* &quot;-&quot;??_-;_-@_-">
                  <c:v>3.9008736080715294</c:v>
                </c:pt>
                <c:pt idx="12" formatCode="_-* #,##0.0_-;\-* #,##0.0_-;_-* &quot;-&quot;??_-;_-@_-">
                  <c:v>4.0210481046994797</c:v>
                </c:pt>
                <c:pt idx="13" formatCode="_-* #,##0.0_-;\-* #,##0.0_-;_-* &quot;-&quot;??_-;_-@_-">
                  <c:v>4.1484794868649146</c:v>
                </c:pt>
                <c:pt idx="14" formatCode="_-* #,##0.0_-;\-* #,##0.0_-;_-* &quot;-&quot;??_-;_-@_-">
                  <c:v>4.2767258315908805</c:v>
                </c:pt>
              </c:numCache>
            </c:numRef>
          </c:val>
        </c:ser>
        <c:marker val="1"/>
        <c:axId val="188009472"/>
        <c:axId val="188011264"/>
      </c:lineChart>
      <c:catAx>
        <c:axId val="188009472"/>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8011264"/>
        <c:crosses val="autoZero"/>
        <c:auto val="1"/>
        <c:lblAlgn val="ctr"/>
        <c:lblOffset val="100"/>
        <c:tickLblSkip val="1"/>
        <c:tickMarkSkip val="1"/>
      </c:catAx>
      <c:valAx>
        <c:axId val="188011264"/>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8009472"/>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AU"/>
  <c:chart>
    <c:title>
      <c:tx>
        <c:strRef>
          <c:f>'DA-11'!$B$2</c:f>
          <c:strCache>
            <c:ptCount val="1"/>
            <c:pt idx="0">
              <c:v>Outage Management System</c:v>
            </c:pt>
          </c:strCache>
        </c:strRef>
      </c:tx>
      <c:layout>
        <c:manualLayout>
          <c:xMode val="edge"/>
          <c:yMode val="edge"/>
          <c:x val="0.328697850821744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'DA-11'!$A$203</c:f>
              <c:strCache>
                <c:ptCount val="1"/>
                <c:pt idx="0">
                  <c:v>Historic Expenditure</c:v>
                </c:pt>
              </c:strCache>
            </c:strRef>
          </c:tx>
          <c:spPr>
            <a:ln w="25400">
              <a:solidFill>
                <a:srgbClr val="33CCCC"/>
              </a:solidFill>
              <a:prstDash val="solid"/>
            </a:ln>
          </c:spPr>
          <c:marker>
            <c:symbol val="none"/>
          </c:marker>
          <c:cat>
            <c:strRef>
              <c:f>('DA-11'!$B$202:$H$202,'DA-11'!$B$204:$I$204)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('DA-11'!$B$203:$H$203,'DA-11'!$B$205,'DA-11'!$C$200:$I$200)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'DA-11'!$A$14</c:f>
              <c:strCache>
                <c:ptCount val="1"/>
                <c:pt idx="0">
                  <c:v>Baseline Expenditure</c:v>
                </c:pt>
              </c:strCache>
            </c:strRef>
          </c:tx>
          <c:spPr>
            <a:ln w="25400">
              <a:solidFill>
                <a:srgbClr val="0000FF"/>
              </a:solidFill>
              <a:prstDash val="solid"/>
            </a:ln>
          </c:spPr>
          <c:marker>
            <c:symbol val="none"/>
          </c:marker>
          <c:cat>
            <c:strRef>
              <c:f>('DA-11'!$B$202:$H$202,'DA-11'!$B$204:$I$204)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('DA-11'!$B$200:$H$200,'DA-11'!$B$205:$I$205)</c:f>
              <c:numCache>
                <c:formatCode>General</c:formatCode>
                <c:ptCount val="15"/>
                <c:pt idx="7" formatCode="_-* #,##0.0_-;\-* #,##0.0_-;_-* &quot;-&quot;??_-;_-@_-">
                  <c:v>0</c:v>
                </c:pt>
                <c:pt idx="8" formatCode="_-* #,##0.0_-;\-* #,##0.0_-;_-* &quot;-&quot;??_-;_-@_-">
                  <c:v>0</c:v>
                </c:pt>
                <c:pt idx="9" formatCode="_-* #,##0.0_-;\-* #,##0.0_-;_-* &quot;-&quot;??_-;_-@_-">
                  <c:v>1.0259999999999998</c:v>
                </c:pt>
                <c:pt idx="10" formatCode="_-* #,##0.0_-;\-* #,##0.0_-;_-* &quot;-&quot;??_-;_-@_-">
                  <c:v>1.0259999999999998</c:v>
                </c:pt>
                <c:pt idx="11" formatCode="_-* #,##0.0_-;\-* #,##0.0_-;_-* &quot;-&quot;??_-;_-@_-">
                  <c:v>1.0259999999999998</c:v>
                </c:pt>
                <c:pt idx="12" formatCode="_-* #,##0.0_-;\-* #,##0.0_-;_-* &quot;-&quot;??_-;_-@_-">
                  <c:v>1.0259999999999998</c:v>
                </c:pt>
                <c:pt idx="13" formatCode="_-* #,##0.0_-;\-* #,##0.0_-;_-* &quot;-&quot;??_-;_-@_-">
                  <c:v>1.0259999999999998</c:v>
                </c:pt>
                <c:pt idx="14" formatCode="_-* #,##0.0_-;\-* #,##0.0_-;_-* &quot;-&quot;??_-;_-@_-">
                  <c:v>1.0259999999999998</c:v>
                </c:pt>
              </c:numCache>
            </c:numRef>
          </c:val>
        </c:ser>
        <c:ser>
          <c:idx val="0"/>
          <c:order val="2"/>
          <c:tx>
            <c:strRef>
              <c:f>'DA-11'!$A$206</c:f>
              <c:strCache>
                <c:ptCount val="1"/>
                <c:pt idx="0">
                  <c:v>Total with Variations</c:v>
                </c:pt>
              </c:strCache>
            </c:strRef>
          </c:tx>
          <c:spPr>
            <a:ln w="25400">
              <a:solidFill>
                <a:srgbClr val="993366"/>
              </a:solidFill>
              <a:prstDash val="solid"/>
            </a:ln>
          </c:spPr>
          <c:marker>
            <c:symbol val="none"/>
          </c:marker>
          <c:cat>
            <c:strRef>
              <c:f>('DA-11'!$B$202:$H$202,'DA-11'!$B$204:$I$204)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('DA-11'!$B$200:$H$200,'DA-11'!$B$206:$I$206)</c:f>
              <c:numCache>
                <c:formatCode>General</c:formatCode>
                <c:ptCount val="15"/>
                <c:pt idx="7" formatCode="_-* #,##0.0_-;\-* #,##0.0_-;_-* &quot;-&quot;??_-;_-@_-">
                  <c:v>0</c:v>
                </c:pt>
                <c:pt idx="8" formatCode="_-* #,##0.0_-;\-* #,##0.0_-;_-* &quot;-&quot;??_-;_-@_-">
                  <c:v>0</c:v>
                </c:pt>
                <c:pt idx="9" formatCode="_-* #,##0.0_-;\-* #,##0.0_-;_-* &quot;-&quot;??_-;_-@_-">
                  <c:v>1.0259999999999998</c:v>
                </c:pt>
                <c:pt idx="10" formatCode="_-* #,##0.0_-;\-* #,##0.0_-;_-* &quot;-&quot;??_-;_-@_-">
                  <c:v>1.0259999999999998</c:v>
                </c:pt>
                <c:pt idx="11" formatCode="_-* #,##0.0_-;\-* #,##0.0_-;_-* &quot;-&quot;??_-;_-@_-">
                  <c:v>1.0259999999999998</c:v>
                </c:pt>
                <c:pt idx="12" formatCode="_-* #,##0.0_-;\-* #,##0.0_-;_-* &quot;-&quot;??_-;_-@_-">
                  <c:v>1.0259999999999998</c:v>
                </c:pt>
                <c:pt idx="13" formatCode="_-* #,##0.0_-;\-* #,##0.0_-;_-* &quot;-&quot;??_-;_-@_-">
                  <c:v>1.0259999999999998</c:v>
                </c:pt>
                <c:pt idx="14" formatCode="_-* #,##0.0_-;\-* #,##0.0_-;_-* &quot;-&quot;??_-;_-@_-">
                  <c:v>1.0259999999999998</c:v>
                </c:pt>
              </c:numCache>
            </c:numRef>
          </c:val>
        </c:ser>
        <c:ser>
          <c:idx val="3"/>
          <c:order val="3"/>
          <c:tx>
            <c:strRef>
              <c:f>'DA-11'!$A$207</c:f>
              <c:strCache>
                <c:ptCount val="1"/>
                <c:pt idx="0">
                  <c:v>Total with Specific Escalations</c:v>
                </c:pt>
              </c:strCache>
            </c:strRef>
          </c:tx>
          <c:spPr>
            <a:ln w="25400">
              <a:solidFill>
                <a:srgbClr val="FF0000"/>
              </a:solidFill>
              <a:prstDash val="solid"/>
            </a:ln>
          </c:spPr>
          <c:marker>
            <c:symbol val="none"/>
          </c:marker>
          <c:cat>
            <c:strRef>
              <c:f>('DA-11'!$B$202:$H$202,'DA-11'!$B$204:$I$204)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('DA-11'!$B$200:$H$200,'DA-11'!$B$207:$I$207)</c:f>
              <c:numCache>
                <c:formatCode>General</c:formatCode>
                <c:ptCount val="15"/>
                <c:pt idx="7" formatCode="_-* #,##0.0_-;\-* #,##0.0_-;_-* &quot;-&quot;??_-;_-@_-">
                  <c:v>0</c:v>
                </c:pt>
                <c:pt idx="8" formatCode="_-* #,##0.0_-;\-* #,##0.0_-;_-* &quot;-&quot;??_-;_-@_-">
                  <c:v>0</c:v>
                </c:pt>
                <c:pt idx="9" formatCode="_-* #,##0.0_-;\-* #,##0.0_-;_-* &quot;-&quot;??_-;_-@_-">
                  <c:v>1.0259999999999998</c:v>
                </c:pt>
                <c:pt idx="10" formatCode="_-* #,##0.0_-;\-* #,##0.0_-;_-* &quot;-&quot;??_-;_-@_-">
                  <c:v>1.0368858171965469</c:v>
                </c:pt>
                <c:pt idx="11" formatCode="_-* #,##0.0_-;\-* #,##0.0_-;_-* &quot;-&quot;??_-;_-@_-">
                  <c:v>1.0469724609968254</c:v>
                </c:pt>
                <c:pt idx="12" formatCode="_-* #,##0.0_-;\-* #,##0.0_-;_-* &quot;-&quot;??_-;_-@_-">
                  <c:v>1.0569429963889942</c:v>
                </c:pt>
                <c:pt idx="13" formatCode="_-* #,##0.0_-;\-* #,##0.0_-;_-* &quot;-&quot;??_-;_-@_-">
                  <c:v>1.0677602265008175</c:v>
                </c:pt>
                <c:pt idx="14" formatCode="_-* #,##0.0_-;\-* #,##0.0_-;_-* &quot;-&quot;??_-;_-@_-">
                  <c:v>1.077668890239744</c:v>
                </c:pt>
              </c:numCache>
            </c:numRef>
          </c:val>
        </c:ser>
        <c:ser>
          <c:idx val="2"/>
          <c:order val="4"/>
          <c:tx>
            <c:strRef>
              <c:f>'DA-11'!$A$208</c:f>
              <c:strCache>
                <c:ptCount val="1"/>
                <c:pt idx="0">
                  <c:v>Total with All Escalations</c:v>
                </c:pt>
              </c:strCache>
            </c:strRef>
          </c:tx>
          <c:spPr>
            <a:ln w="38100">
              <a:solidFill>
                <a:srgbClr val="00FF00"/>
              </a:solidFill>
              <a:prstDash val="solid"/>
            </a:ln>
          </c:spPr>
          <c:marker>
            <c:symbol val="none"/>
          </c:marker>
          <c:cat>
            <c:strRef>
              <c:f>('DA-11'!$B$202:$H$202,'DA-11'!$B$204:$I$204)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('DA-11'!$B$200:$H$200,'DA-11'!$B$208:$I$208)</c:f>
              <c:numCache>
                <c:formatCode>General</c:formatCode>
                <c:ptCount val="15"/>
                <c:pt idx="7" formatCode="_-* #,##0.0_-;\-* #,##0.0_-;_-* &quot;-&quot;??_-;_-@_-">
                  <c:v>0</c:v>
                </c:pt>
                <c:pt idx="8" formatCode="_-* #,##0.0_-;\-* #,##0.0_-;_-* &quot;-&quot;??_-;_-@_-">
                  <c:v>0</c:v>
                </c:pt>
                <c:pt idx="9" formatCode="_-* #,##0.0_-;\-* #,##0.0_-;_-* &quot;-&quot;??_-;_-@_-">
                  <c:v>1.0259999999999998</c:v>
                </c:pt>
                <c:pt idx="10" formatCode="_-* #,##0.0_-;\-* #,##0.0_-;_-* &quot;-&quot;??_-;_-@_-">
                  <c:v>1.0475257339112913</c:v>
                </c:pt>
                <c:pt idx="11" formatCode="_-* #,##0.0_-;\-* #,##0.0_-;_-* &quot;-&quot;??_-;_-@_-">
                  <c:v>1.0686312204646782</c:v>
                </c:pt>
                <c:pt idx="12" formatCode="_-* #,##0.0_-;\-* #,##0.0_-;_-* &quot;-&quot;??_-;_-@_-">
                  <c:v>1.0933238471056321</c:v>
                </c:pt>
                <c:pt idx="13" formatCode="_-* #,##0.0_-;\-* #,##0.0_-;_-* &quot;-&quot;??_-;_-@_-">
                  <c:v>1.1205301337033065</c:v>
                </c:pt>
                <c:pt idx="14" formatCode="_-* #,##0.0_-;\-* #,##0.0_-;_-* &quot;-&quot;??_-;_-@_-">
                  <c:v>1.1488745575169266</c:v>
                </c:pt>
              </c:numCache>
            </c:numRef>
          </c:val>
        </c:ser>
        <c:marker val="1"/>
        <c:axId val="190407424"/>
        <c:axId val="190408960"/>
      </c:lineChart>
      <c:catAx>
        <c:axId val="1904074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0408960"/>
        <c:crosses val="autoZero"/>
        <c:auto val="1"/>
        <c:lblAlgn val="ctr"/>
        <c:lblOffset val="100"/>
        <c:tickLblSkip val="1"/>
        <c:tickMarkSkip val="1"/>
      </c:catAx>
      <c:valAx>
        <c:axId val="19040896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04074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AU"/>
  <c:chart>
    <c:title>
      <c:tx>
        <c:strRef>
          <c:f>'DA-12'!$B$2</c:f>
          <c:strCache>
            <c:ptCount val="1"/>
            <c:pt idx="0">
              <c:v>Asset Assessment</c:v>
            </c:pt>
          </c:strCache>
        </c:strRef>
      </c:tx>
      <c:layout>
        <c:manualLayout>
          <c:xMode val="edge"/>
          <c:yMode val="edge"/>
          <c:x val="0.4285714285714285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'DA-12'!$A$203</c:f>
              <c:strCache>
                <c:ptCount val="1"/>
                <c:pt idx="0">
                  <c:v>Historic Expenditure</c:v>
                </c:pt>
              </c:strCache>
            </c:strRef>
          </c:tx>
          <c:spPr>
            <a:ln w="25400">
              <a:solidFill>
                <a:srgbClr val="33CCCC"/>
              </a:solidFill>
              <a:prstDash val="solid"/>
            </a:ln>
          </c:spPr>
          <c:marker>
            <c:symbol val="none"/>
          </c:marker>
          <c:cat>
            <c:strRef>
              <c:f>('DA-12'!$B$202:$H$202,'DA-12'!$B$204:$I$204)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('DA-12'!$B$203:$H$203,'DA-12'!$B$205,'DA-12'!$C$200:$I$200)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'DA-12'!$A$14</c:f>
              <c:strCache>
                <c:ptCount val="1"/>
                <c:pt idx="0">
                  <c:v>Baseline Expenditure</c:v>
                </c:pt>
              </c:strCache>
            </c:strRef>
          </c:tx>
          <c:spPr>
            <a:ln w="25400">
              <a:solidFill>
                <a:srgbClr val="0000FF"/>
              </a:solidFill>
              <a:prstDash val="solid"/>
            </a:ln>
          </c:spPr>
          <c:marker>
            <c:symbol val="none"/>
          </c:marker>
          <c:cat>
            <c:strRef>
              <c:f>('DA-12'!$B$202:$H$202,'DA-12'!$B$204:$I$204)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('DA-12'!$B$200:$H$200,'DA-12'!$B$205:$I$205)</c:f>
              <c:numCache>
                <c:formatCode>General</c:formatCode>
                <c:ptCount val="15"/>
                <c:pt idx="7" formatCode="_-* #,##0.0_-;\-* #,##0.0_-;_-* &quot;-&quot;??_-;_-@_-">
                  <c:v>0</c:v>
                </c:pt>
                <c:pt idx="8" formatCode="_-* #,##0.0_-;\-* #,##0.0_-;_-* &quot;-&quot;??_-;_-@_-">
                  <c:v>0</c:v>
                </c:pt>
                <c:pt idx="9" formatCode="_-* #,##0.0_-;\-* #,##0.0_-;_-* &quot;-&quot;??_-;_-@_-">
                  <c:v>11.969999999999999</c:v>
                </c:pt>
                <c:pt idx="10" formatCode="_-* #,##0.0_-;\-* #,##0.0_-;_-* &quot;-&quot;??_-;_-@_-">
                  <c:v>11.969999999999999</c:v>
                </c:pt>
                <c:pt idx="11" formatCode="_-* #,##0.0_-;\-* #,##0.0_-;_-* &quot;-&quot;??_-;_-@_-">
                  <c:v>11.969999999999999</c:v>
                </c:pt>
                <c:pt idx="12" formatCode="_-* #,##0.0_-;\-* #,##0.0_-;_-* &quot;-&quot;??_-;_-@_-">
                  <c:v>11.969999999999999</c:v>
                </c:pt>
                <c:pt idx="13" formatCode="_-* #,##0.0_-;\-* #,##0.0_-;_-* &quot;-&quot;??_-;_-@_-">
                  <c:v>11.969999999999999</c:v>
                </c:pt>
                <c:pt idx="14" formatCode="_-* #,##0.0_-;\-* #,##0.0_-;_-* &quot;-&quot;??_-;_-@_-">
                  <c:v>11.969999999999999</c:v>
                </c:pt>
              </c:numCache>
            </c:numRef>
          </c:val>
        </c:ser>
        <c:ser>
          <c:idx val="0"/>
          <c:order val="2"/>
          <c:tx>
            <c:strRef>
              <c:f>'DA-12'!$A$206</c:f>
              <c:strCache>
                <c:ptCount val="1"/>
                <c:pt idx="0">
                  <c:v>Total with Variations</c:v>
                </c:pt>
              </c:strCache>
            </c:strRef>
          </c:tx>
          <c:spPr>
            <a:ln w="25400">
              <a:solidFill>
                <a:srgbClr val="993366"/>
              </a:solidFill>
              <a:prstDash val="solid"/>
            </a:ln>
          </c:spPr>
          <c:marker>
            <c:symbol val="none"/>
          </c:marker>
          <c:cat>
            <c:strRef>
              <c:f>('DA-12'!$B$202:$H$202,'DA-12'!$B$204:$I$204)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('DA-12'!$B$200:$H$200,'DA-12'!$B$206:$I$206)</c:f>
              <c:numCache>
                <c:formatCode>General</c:formatCode>
                <c:ptCount val="15"/>
                <c:pt idx="7" formatCode="_-* #,##0.0_-;\-* #,##0.0_-;_-* &quot;-&quot;??_-;_-@_-">
                  <c:v>0</c:v>
                </c:pt>
                <c:pt idx="8" formatCode="_-* #,##0.0_-;\-* #,##0.0_-;_-* &quot;-&quot;??_-;_-@_-">
                  <c:v>0</c:v>
                </c:pt>
                <c:pt idx="9" formatCode="_-* #,##0.0_-;\-* #,##0.0_-;_-* &quot;-&quot;??_-;_-@_-">
                  <c:v>14.123999999999999</c:v>
                </c:pt>
                <c:pt idx="10" formatCode="_-* #,##0.0_-;\-* #,##0.0_-;_-* &quot;-&quot;??_-;_-@_-">
                  <c:v>19.340999999999998</c:v>
                </c:pt>
                <c:pt idx="11" formatCode="_-* #,##0.0_-;\-* #,##0.0_-;_-* &quot;-&quot;??_-;_-@_-">
                  <c:v>19.611000000000001</c:v>
                </c:pt>
                <c:pt idx="12" formatCode="_-* #,##0.0_-;\-* #,##0.0_-;_-* &quot;-&quot;??_-;_-@_-">
                  <c:v>19.681000000000001</c:v>
                </c:pt>
                <c:pt idx="13" formatCode="_-* #,##0.0_-;\-* #,##0.0_-;_-* &quot;-&quot;??_-;_-@_-">
                  <c:v>19.712</c:v>
                </c:pt>
                <c:pt idx="14" formatCode="_-* #,##0.0_-;\-* #,##0.0_-;_-* &quot;-&quot;??_-;_-@_-">
                  <c:v>17.901</c:v>
                </c:pt>
              </c:numCache>
            </c:numRef>
          </c:val>
        </c:ser>
        <c:ser>
          <c:idx val="3"/>
          <c:order val="3"/>
          <c:tx>
            <c:strRef>
              <c:f>'DA-12'!$A$207</c:f>
              <c:strCache>
                <c:ptCount val="1"/>
                <c:pt idx="0">
                  <c:v>Total with Specific Escalations</c:v>
                </c:pt>
              </c:strCache>
            </c:strRef>
          </c:tx>
          <c:spPr>
            <a:ln w="25400">
              <a:solidFill>
                <a:srgbClr val="FF0000"/>
              </a:solidFill>
              <a:prstDash val="solid"/>
            </a:ln>
          </c:spPr>
          <c:marker>
            <c:symbol val="none"/>
          </c:marker>
          <c:cat>
            <c:strRef>
              <c:f>('DA-12'!$B$202:$H$202,'DA-12'!$B$204:$I$204)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('DA-12'!$B$200:$H$200,'DA-12'!$B$207:$I$207)</c:f>
              <c:numCache>
                <c:formatCode>General</c:formatCode>
                <c:ptCount val="15"/>
                <c:pt idx="7" formatCode="_-* #,##0.0_-;\-* #,##0.0_-;_-* &quot;-&quot;??_-;_-@_-">
                  <c:v>0</c:v>
                </c:pt>
                <c:pt idx="8" formatCode="_-* #,##0.0_-;\-* #,##0.0_-;_-* &quot;-&quot;??_-;_-@_-">
                  <c:v>0</c:v>
                </c:pt>
                <c:pt idx="9" formatCode="_-* #,##0.0_-;\-* #,##0.0_-;_-* &quot;-&quot;??_-;_-@_-">
                  <c:v>14.123999999999999</c:v>
                </c:pt>
                <c:pt idx="10" formatCode="_-* #,##0.0_-;\-* #,##0.0_-;_-* &quot;-&quot;??_-;_-@_-">
                  <c:v>19.468001200626382</c:v>
                </c:pt>
                <c:pt idx="11" formatCode="_-* #,##0.0_-;\-* #,##0.0_-;_-* &quot;-&quot;??_-;_-@_-">
                  <c:v>19.855678711629633</c:v>
                </c:pt>
                <c:pt idx="12" formatCode="_-* #,##0.0_-;\-* #,##0.0_-;_-* &quot;-&quot;??_-;_-@_-">
                  <c:v>20.042001624538269</c:v>
                </c:pt>
                <c:pt idx="13" formatCode="_-* #,##0.0_-;\-* #,##0.0_-;_-* &quot;-&quot;??_-;_-@_-">
                  <c:v>20.199202642509537</c:v>
                </c:pt>
                <c:pt idx="14" formatCode="_-* #,##0.0_-;\-* #,##0.0_-;_-* &quot;-&quot;??_-;_-@_-">
                  <c:v>18.503803719463683</c:v>
                </c:pt>
              </c:numCache>
            </c:numRef>
          </c:val>
        </c:ser>
        <c:ser>
          <c:idx val="2"/>
          <c:order val="4"/>
          <c:tx>
            <c:strRef>
              <c:f>'DA-12'!$A$208</c:f>
              <c:strCache>
                <c:ptCount val="1"/>
                <c:pt idx="0">
                  <c:v>Total with All Escalations</c:v>
                </c:pt>
              </c:strCache>
            </c:strRef>
          </c:tx>
          <c:spPr>
            <a:ln w="38100">
              <a:solidFill>
                <a:srgbClr val="00FF00"/>
              </a:solidFill>
              <a:prstDash val="solid"/>
            </a:ln>
          </c:spPr>
          <c:marker>
            <c:symbol val="none"/>
          </c:marker>
          <c:cat>
            <c:strRef>
              <c:f>('DA-12'!$B$202:$H$202,'DA-12'!$B$204:$I$204)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('DA-12'!$B$200:$H$200,'DA-12'!$B$208:$I$208)</c:f>
              <c:numCache>
                <c:formatCode>General</c:formatCode>
                <c:ptCount val="15"/>
                <c:pt idx="7" formatCode="_-* #,##0.0_-;\-* #,##0.0_-;_-* &quot;-&quot;??_-;_-@_-">
                  <c:v>0</c:v>
                </c:pt>
                <c:pt idx="8" formatCode="_-* #,##0.0_-;\-* #,##0.0_-;_-* &quot;-&quot;??_-;_-@_-">
                  <c:v>0</c:v>
                </c:pt>
                <c:pt idx="9" formatCode="_-* #,##0.0_-;\-* #,##0.0_-;_-* &quot;-&quot;??_-;_-@_-">
                  <c:v>14.123999999999999</c:v>
                </c:pt>
                <c:pt idx="10" formatCode="_-* #,##0.0_-;\-* #,##0.0_-;_-* &quot;-&quot;??_-;_-@_-">
                  <c:v>19.58552564759631</c:v>
                </c:pt>
                <c:pt idx="11" formatCode="_-* #,##0.0_-;\-* #,##0.0_-;_-* &quot;-&quot;??_-;_-@_-">
                  <c:v>20.094849665368145</c:v>
                </c:pt>
                <c:pt idx="12" formatCode="_-* #,##0.0_-;\-* #,##0.0_-;_-* &quot;-&quot;??_-;_-@_-">
                  <c:v>20.446577386157596</c:v>
                </c:pt>
                <c:pt idx="13" formatCode="_-* #,##0.0_-;\-* #,##0.0_-;_-* &quot;-&quot;??_-;_-@_-">
                  <c:v>20.788820737457705</c:v>
                </c:pt>
                <c:pt idx="14" formatCode="_-* #,##0.0_-;\-* #,##0.0_-;_-* &quot;-&quot;??_-;_-@_-">
                  <c:v>19.302764680656896</c:v>
                </c:pt>
              </c:numCache>
            </c:numRef>
          </c:val>
        </c:ser>
        <c:marker val="1"/>
        <c:axId val="190703872"/>
        <c:axId val="188891136"/>
      </c:lineChart>
      <c:catAx>
        <c:axId val="19070387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8891136"/>
        <c:crosses val="autoZero"/>
        <c:auto val="1"/>
        <c:lblAlgn val="ctr"/>
        <c:lblOffset val="100"/>
        <c:tickLblSkip val="1"/>
        <c:tickMarkSkip val="1"/>
      </c:catAx>
      <c:valAx>
        <c:axId val="18889113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070387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300" b="1" i="0" u="none" strike="noStrike" baseline="0">
                <a:solidFill>
                  <a:srgbClr val="000000"/>
                </a:solidFill>
                <a:latin typeface="Arial"/>
                <a:ea typeface="Arial"/>
                <a:cs typeface="Arial"/>
              </a:defRPr>
            </a:pPr>
            <a:r>
              <a:rPr lang="en-AU" sz="700"/>
              <a:t>Maintenance</a:t>
            </a:r>
          </a:p>
        </c:rich>
      </c:tx>
      <c:spPr>
        <a:noFill/>
        <a:ln w="25400">
          <a:noFill/>
        </a:ln>
      </c:spPr>
    </c:title>
    <c:plotArea>
      <c:layout/>
      <c:lineChart>
        <c:grouping val="standard"/>
        <c:ser>
          <c:idx val="4"/>
          <c:order val="0"/>
          <c:tx>
            <c:strRef>
              <c:f>'DA-13'!$A$203</c:f>
              <c:strCache>
                <c:ptCount val="1"/>
                <c:pt idx="0">
                  <c:v>Historic Expenditure</c:v>
                </c:pt>
              </c:strCache>
            </c:strRef>
          </c:tx>
          <c:spPr>
            <a:ln w="25400">
              <a:solidFill>
                <a:srgbClr val="33CCCC"/>
              </a:solidFill>
              <a:prstDash val="solid"/>
            </a:ln>
          </c:spPr>
          <c:marker>
            <c:symbol val="none"/>
          </c:marker>
          <c:cat>
            <c:strRef>
              <c:f>('DA-13'!$B$202:$H$202,'DA-13'!$B$204:$I$204)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('DA-13'!$B$203:$H$203,'DA-13'!$B$205,'DA-13'!$C$200:$I$200)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'DA-13'!$A$14</c:f>
              <c:strCache>
                <c:ptCount val="1"/>
                <c:pt idx="0">
                  <c:v>Baseline Expenditure</c:v>
                </c:pt>
              </c:strCache>
            </c:strRef>
          </c:tx>
          <c:spPr>
            <a:ln w="25400">
              <a:solidFill>
                <a:srgbClr val="0000FF"/>
              </a:solidFill>
              <a:prstDash val="solid"/>
            </a:ln>
          </c:spPr>
          <c:marker>
            <c:symbol val="none"/>
          </c:marker>
          <c:cat>
            <c:strRef>
              <c:f>('DA-13'!$B$202:$H$202,'DA-13'!$B$204:$I$204)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('DA-13'!$B$200:$H$200,'DA-13'!$B$205:$I$205)</c:f>
              <c:numCache>
                <c:formatCode>General</c:formatCode>
                <c:ptCount val="15"/>
                <c:pt idx="7" formatCode="_-* #,##0.0_-;\-* #,##0.0_-;_-* &quot;-&quot;??_-;_-@_-">
                  <c:v>0</c:v>
                </c:pt>
                <c:pt idx="8" formatCode="_-* #,##0.0_-;\-* #,##0.0_-;_-* &quot;-&quot;??_-;_-@_-">
                  <c:v>0</c:v>
                </c:pt>
                <c:pt idx="9" formatCode="_-* #,##0.0_-;\-* #,##0.0_-;_-* &quot;-&quot;??_-;_-@_-">
                  <c:v>13.984999999999999</c:v>
                </c:pt>
                <c:pt idx="10" formatCode="_-* #,##0.0_-;\-* #,##0.0_-;_-* &quot;-&quot;??_-;_-@_-">
                  <c:v>13.984999999999999</c:v>
                </c:pt>
                <c:pt idx="11" formatCode="_-* #,##0.0_-;\-* #,##0.0_-;_-* &quot;-&quot;??_-;_-@_-">
                  <c:v>13.984999999999999</c:v>
                </c:pt>
                <c:pt idx="12" formatCode="_-* #,##0.0_-;\-* #,##0.0_-;_-* &quot;-&quot;??_-;_-@_-">
                  <c:v>13.984999999999999</c:v>
                </c:pt>
                <c:pt idx="13" formatCode="_-* #,##0.0_-;\-* #,##0.0_-;_-* &quot;-&quot;??_-;_-@_-">
                  <c:v>13.984999999999999</c:v>
                </c:pt>
                <c:pt idx="14" formatCode="_-* #,##0.0_-;\-* #,##0.0_-;_-* &quot;-&quot;??_-;_-@_-">
                  <c:v>13.984999999999999</c:v>
                </c:pt>
              </c:numCache>
            </c:numRef>
          </c:val>
        </c:ser>
        <c:ser>
          <c:idx val="0"/>
          <c:order val="2"/>
          <c:tx>
            <c:strRef>
              <c:f>'DA-13'!$A$206</c:f>
              <c:strCache>
                <c:ptCount val="1"/>
                <c:pt idx="0">
                  <c:v>Total with Variations</c:v>
                </c:pt>
              </c:strCache>
            </c:strRef>
          </c:tx>
          <c:spPr>
            <a:ln w="25400">
              <a:solidFill>
                <a:srgbClr val="993366"/>
              </a:solidFill>
              <a:prstDash val="solid"/>
            </a:ln>
          </c:spPr>
          <c:marker>
            <c:symbol val="none"/>
          </c:marker>
          <c:cat>
            <c:strRef>
              <c:f>('DA-13'!$B$202:$H$202,'DA-13'!$B$204:$I$204)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('DA-13'!$B$200:$H$200,'DA-13'!$B$206:$I$206)</c:f>
              <c:numCache>
                <c:formatCode>General</c:formatCode>
                <c:ptCount val="15"/>
                <c:pt idx="7" formatCode="_-* #,##0.0_-;\-* #,##0.0_-;_-* &quot;-&quot;??_-;_-@_-">
                  <c:v>0</c:v>
                </c:pt>
                <c:pt idx="8" formatCode="_-* #,##0.0_-;\-* #,##0.0_-;_-* &quot;-&quot;??_-;_-@_-">
                  <c:v>0</c:v>
                </c:pt>
                <c:pt idx="9" formatCode="_-* #,##0.0_-;\-* #,##0.0_-;_-* &quot;-&quot;??_-;_-@_-">
                  <c:v>13.984999999999999</c:v>
                </c:pt>
                <c:pt idx="10" formatCode="_-* #,##0.0_-;\-* #,##0.0_-;_-* &quot;-&quot;??_-;_-@_-">
                  <c:v>13.984999999999999</c:v>
                </c:pt>
                <c:pt idx="11" formatCode="_-* #,##0.0_-;\-* #,##0.0_-;_-* &quot;-&quot;??_-;_-@_-">
                  <c:v>13.984999999999999</c:v>
                </c:pt>
                <c:pt idx="12" formatCode="_-* #,##0.0_-;\-* #,##0.0_-;_-* &quot;-&quot;??_-;_-@_-">
                  <c:v>13.984999999999999</c:v>
                </c:pt>
                <c:pt idx="13" formatCode="_-* #,##0.0_-;\-* #,##0.0_-;_-* &quot;-&quot;??_-;_-@_-">
                  <c:v>13.984999999999999</c:v>
                </c:pt>
                <c:pt idx="14" formatCode="_-* #,##0.0_-;\-* #,##0.0_-;_-* &quot;-&quot;??_-;_-@_-">
                  <c:v>13.984999999999999</c:v>
                </c:pt>
              </c:numCache>
            </c:numRef>
          </c:val>
        </c:ser>
        <c:ser>
          <c:idx val="3"/>
          <c:order val="3"/>
          <c:tx>
            <c:strRef>
              <c:f>'DA-13'!$A$207</c:f>
              <c:strCache>
                <c:ptCount val="1"/>
                <c:pt idx="0">
                  <c:v>Total with Specific Escalations</c:v>
                </c:pt>
              </c:strCache>
            </c:strRef>
          </c:tx>
          <c:spPr>
            <a:ln w="25400">
              <a:solidFill>
                <a:srgbClr val="FF0000"/>
              </a:solidFill>
              <a:prstDash val="solid"/>
            </a:ln>
          </c:spPr>
          <c:marker>
            <c:symbol val="none"/>
          </c:marker>
          <c:cat>
            <c:strRef>
              <c:f>('DA-13'!$B$202:$H$202,'DA-13'!$B$204:$I$204)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('DA-13'!$B$200:$H$200,'DA-13'!$B$207:$I$207)</c:f>
              <c:numCache>
                <c:formatCode>General</c:formatCode>
                <c:ptCount val="15"/>
                <c:pt idx="7" formatCode="_-* #,##0.0_-;\-* #,##0.0_-;_-* &quot;-&quot;??_-;_-@_-">
                  <c:v>0</c:v>
                </c:pt>
                <c:pt idx="8" formatCode="_-* #,##0.0_-;\-* #,##0.0_-;_-* &quot;-&quot;??_-;_-@_-">
                  <c:v>0</c:v>
                </c:pt>
                <c:pt idx="9" formatCode="_-* #,##0.0_-;\-* #,##0.0_-;_-* &quot;-&quot;??_-;_-@_-">
                  <c:v>13.984999999999999</c:v>
                </c:pt>
                <c:pt idx="10" formatCode="_-* #,##0.0_-;\-* #,##0.0_-;_-* &quot;-&quot;??_-;_-@_-">
                  <c:v>14.133380266563073</c:v>
                </c:pt>
                <c:pt idx="11" formatCode="_-* #,##0.0_-;\-* #,##0.0_-;_-* &quot;-&quot;??_-;_-@_-">
                  <c:v>14.270867316803709</c:v>
                </c:pt>
                <c:pt idx="12" formatCode="_-* #,##0.0_-;\-* #,##0.0_-;_-* &quot;-&quot;??_-;_-@_-">
                  <c:v>14.406771739278836</c:v>
                </c:pt>
                <c:pt idx="13" formatCode="_-* #,##0.0_-;\-* #,##0.0_-;_-* &quot;-&quot;??_-;_-@_-">
                  <c:v>14.554217122430734</c:v>
                </c:pt>
                <c:pt idx="14" formatCode="_-* #,##0.0_-;\-* #,##0.0_-;_-* &quot;-&quot;??_-;_-@_-">
                  <c:v>14.689278196883842</c:v>
                </c:pt>
              </c:numCache>
            </c:numRef>
          </c:val>
        </c:ser>
        <c:ser>
          <c:idx val="2"/>
          <c:order val="4"/>
          <c:tx>
            <c:strRef>
              <c:f>'DA-13'!$A$208</c:f>
              <c:strCache>
                <c:ptCount val="1"/>
                <c:pt idx="0">
                  <c:v>Total with All Escalations</c:v>
                </c:pt>
              </c:strCache>
            </c:strRef>
          </c:tx>
          <c:spPr>
            <a:ln w="38100">
              <a:solidFill>
                <a:srgbClr val="00FF00"/>
              </a:solidFill>
              <a:prstDash val="solid"/>
            </a:ln>
          </c:spPr>
          <c:marker>
            <c:symbol val="none"/>
          </c:marker>
          <c:cat>
            <c:strRef>
              <c:f>('DA-13'!$B$202:$H$202,'DA-13'!$B$204:$I$204)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('DA-13'!$B$200:$H$200,'DA-13'!$B$208:$I$208)</c:f>
              <c:numCache>
                <c:formatCode>General</c:formatCode>
                <c:ptCount val="15"/>
                <c:pt idx="7" formatCode="_-* #,##0.0_-;\-* #,##0.0_-;_-* &quot;-&quot;??_-;_-@_-">
                  <c:v>0</c:v>
                </c:pt>
                <c:pt idx="8" formatCode="_-* #,##0.0_-;\-* #,##0.0_-;_-* &quot;-&quot;??_-;_-@_-">
                  <c:v>0</c:v>
                </c:pt>
                <c:pt idx="9" formatCode="_-* #,##0.0_-;\-* #,##0.0_-;_-* &quot;-&quot;??_-;_-@_-">
                  <c:v>13.984999999999999</c:v>
                </c:pt>
                <c:pt idx="10" formatCode="_-* #,##0.0_-;\-* #,##0.0_-;_-* &quot;-&quot;??_-;_-@_-">
                  <c:v>14.351826912391454</c:v>
                </c:pt>
                <c:pt idx="11" formatCode="_-* #,##0.0_-;\-* #,##0.0_-;_-* &quot;-&quot;??_-;_-@_-">
                  <c:v>14.716446220517273</c:v>
                </c:pt>
                <c:pt idx="12" formatCode="_-* #,##0.0_-;\-* #,##0.0_-;_-* &quot;-&quot;??_-;_-@_-">
                  <c:v>15.114745466371561</c:v>
                </c:pt>
                <c:pt idx="13" formatCode="_-* #,##0.0_-;\-* #,##0.0_-;_-* &quot;-&quot;??_-;_-@_-">
                  <c:v>15.541310928668583</c:v>
                </c:pt>
                <c:pt idx="14" formatCode="_-* #,##0.0_-;\-* #,##0.0_-;_-* &quot;-&quot;??_-;_-@_-">
                  <c:v>15.973319593456139</c:v>
                </c:pt>
              </c:numCache>
            </c:numRef>
          </c:val>
        </c:ser>
        <c:marker val="1"/>
        <c:axId val="189964288"/>
        <c:axId val="189965824"/>
      </c:lineChart>
      <c:catAx>
        <c:axId val="189964288"/>
        <c:scaling>
          <c:orientation val="minMax"/>
        </c:scaling>
        <c:axPos val="b"/>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9965824"/>
        <c:crosses val="autoZero"/>
        <c:auto val="1"/>
        <c:lblAlgn val="ctr"/>
        <c:lblOffset val="100"/>
        <c:tickLblSkip val="1"/>
        <c:tickMarkSkip val="1"/>
      </c:catAx>
      <c:valAx>
        <c:axId val="189965824"/>
        <c:scaling>
          <c:orientation val="minMax"/>
        </c:scaling>
        <c:axPos val="l"/>
        <c:majorGridlines>
          <c:spPr>
            <a:ln w="3175">
              <a:solidFill>
                <a:srgbClr val="000000"/>
              </a:solidFill>
              <a:prstDash val="solid"/>
            </a:ln>
          </c:spPr>
        </c:majorGridlines>
        <c:title>
          <c:tx>
            <c:rich>
              <a:bodyPr/>
              <a:lstStyle/>
              <a:p>
                <a:pPr>
                  <a:defRPr sz="225" b="1" i="0" u="none" strike="noStrike" baseline="0">
                    <a:solidFill>
                      <a:srgbClr val="000000"/>
                    </a:solidFill>
                    <a:latin typeface="Arial"/>
                    <a:ea typeface="Arial"/>
                    <a:cs typeface="Arial"/>
                  </a:defRPr>
                </a:pPr>
                <a:r>
                  <a:rPr lang="en-AU"/>
                  <a:t>$'M</a:t>
                </a:r>
              </a:p>
            </c:rich>
          </c:tx>
          <c:spPr>
            <a:noFill/>
            <a:ln w="25400">
              <a:noFill/>
            </a:ln>
          </c:spPr>
        </c:title>
        <c:numFmt formatCode="#,##0.0" sourceLinked="0"/>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9964288"/>
        <c:crosses val="autoZero"/>
        <c:crossBetween val="between"/>
      </c:valAx>
      <c:spPr>
        <a:solidFill>
          <a:srgbClr val="C0C0C0"/>
        </a:solidFill>
        <a:ln w="12700">
          <a:solidFill>
            <a:srgbClr val="808080"/>
          </a:solidFill>
          <a:prstDash val="solid"/>
        </a:ln>
      </c:spPr>
    </c:plotArea>
    <c:legend>
      <c:legendPos val="b"/>
      <c:spPr>
        <a:solidFill>
          <a:srgbClr val="FFFFFF"/>
        </a:solidFill>
        <a:ln w="3175">
          <a:solidFill>
            <a:srgbClr val="000000"/>
          </a:solidFill>
          <a:prstDash val="solid"/>
        </a:ln>
      </c:spPr>
      <c:txPr>
        <a:bodyPr/>
        <a:lstStyle/>
        <a:p>
          <a:pPr>
            <a:defRPr sz="20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AU"/>
  <c:chart>
    <c:title>
      <c:tx>
        <c:strRef>
          <c:f>'DA-14'!$B$2</c:f>
          <c:strCache>
            <c:ptCount val="1"/>
            <c:pt idx="0">
              <c:v>Vegetation Management</c:v>
            </c:pt>
          </c:strCache>
        </c:strRef>
      </c:tx>
      <c:layout>
        <c:manualLayout>
          <c:xMode val="edge"/>
          <c:yMode val="edge"/>
          <c:x val="0.355246523388116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'DA-14'!$A$203</c:f>
              <c:strCache>
                <c:ptCount val="1"/>
                <c:pt idx="0">
                  <c:v>Historic Expenditure</c:v>
                </c:pt>
              </c:strCache>
            </c:strRef>
          </c:tx>
          <c:spPr>
            <a:ln w="25400">
              <a:solidFill>
                <a:srgbClr val="33CCCC"/>
              </a:solidFill>
              <a:prstDash val="solid"/>
            </a:ln>
          </c:spPr>
          <c:marker>
            <c:symbol val="none"/>
          </c:marker>
          <c:cat>
            <c:strRef>
              <c:f>('DA-14'!$B$202:$H$202,'DA-14'!$B$204:$I$204)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('DA-14'!$B$203:$H$203,'DA-14'!$B$205,'DA-14'!$C$200:$I$200)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'DA-14'!$A$14</c:f>
              <c:strCache>
                <c:ptCount val="1"/>
                <c:pt idx="0">
                  <c:v>Baseline Expenditure</c:v>
                </c:pt>
              </c:strCache>
            </c:strRef>
          </c:tx>
          <c:spPr>
            <a:ln w="25400">
              <a:solidFill>
                <a:srgbClr val="0000FF"/>
              </a:solidFill>
              <a:prstDash val="solid"/>
            </a:ln>
          </c:spPr>
          <c:marker>
            <c:symbol val="none"/>
          </c:marker>
          <c:cat>
            <c:strRef>
              <c:f>('DA-14'!$B$202:$H$202,'DA-14'!$B$204:$I$204)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('DA-14'!$B$200:$H$200,'DA-14'!$B$205:$I$205)</c:f>
              <c:numCache>
                <c:formatCode>General</c:formatCode>
                <c:ptCount val="15"/>
                <c:pt idx="7" formatCode="_-* #,##0.0_-;\-* #,##0.0_-;_-* &quot;-&quot;??_-;_-@_-">
                  <c:v>0</c:v>
                </c:pt>
                <c:pt idx="8" formatCode="_-* #,##0.0_-;\-* #,##0.0_-;_-* &quot;-&quot;??_-;_-@_-">
                  <c:v>0</c:v>
                </c:pt>
                <c:pt idx="9" formatCode="_-* #,##0.0_-;\-* #,##0.0_-;_-* &quot;-&quot;??_-;_-@_-">
                  <c:v>33.436999999999998</c:v>
                </c:pt>
                <c:pt idx="10" formatCode="_-* #,##0.0_-;\-* #,##0.0_-;_-* &quot;-&quot;??_-;_-@_-">
                  <c:v>33.436999999999998</c:v>
                </c:pt>
                <c:pt idx="11" formatCode="_-* #,##0.0_-;\-* #,##0.0_-;_-* &quot;-&quot;??_-;_-@_-">
                  <c:v>33.436999999999998</c:v>
                </c:pt>
                <c:pt idx="12" formatCode="_-* #,##0.0_-;\-* #,##0.0_-;_-* &quot;-&quot;??_-;_-@_-">
                  <c:v>33.436999999999998</c:v>
                </c:pt>
                <c:pt idx="13" formatCode="_-* #,##0.0_-;\-* #,##0.0_-;_-* &quot;-&quot;??_-;_-@_-">
                  <c:v>33.436999999999998</c:v>
                </c:pt>
                <c:pt idx="14" formatCode="_-* #,##0.0_-;\-* #,##0.0_-;_-* &quot;-&quot;??_-;_-@_-">
                  <c:v>33.436999999999998</c:v>
                </c:pt>
              </c:numCache>
            </c:numRef>
          </c:val>
        </c:ser>
        <c:ser>
          <c:idx val="0"/>
          <c:order val="2"/>
          <c:tx>
            <c:strRef>
              <c:f>'DA-14'!$A$206</c:f>
              <c:strCache>
                <c:ptCount val="1"/>
                <c:pt idx="0">
                  <c:v>Total with Variations</c:v>
                </c:pt>
              </c:strCache>
            </c:strRef>
          </c:tx>
          <c:spPr>
            <a:ln w="25400">
              <a:solidFill>
                <a:srgbClr val="993366"/>
              </a:solidFill>
              <a:prstDash val="solid"/>
            </a:ln>
          </c:spPr>
          <c:marker>
            <c:symbol val="none"/>
          </c:marker>
          <c:cat>
            <c:strRef>
              <c:f>('DA-14'!$B$202:$H$202,'DA-14'!$B$204:$I$204)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('DA-14'!$B$200:$H$200,'DA-14'!$B$206:$I$206)</c:f>
              <c:numCache>
                <c:formatCode>General</c:formatCode>
                <c:ptCount val="15"/>
                <c:pt idx="7" formatCode="_-* #,##0.0_-;\-* #,##0.0_-;_-* &quot;-&quot;??_-;_-@_-">
                  <c:v>0</c:v>
                </c:pt>
                <c:pt idx="8" formatCode="_-* #,##0.0_-;\-* #,##0.0_-;_-* &quot;-&quot;??_-;_-@_-">
                  <c:v>0</c:v>
                </c:pt>
                <c:pt idx="9" formatCode="_-* #,##0.0_-;\-* #,##0.0_-;_-* &quot;-&quot;??_-;_-@_-">
                  <c:v>36.105000000000004</c:v>
                </c:pt>
                <c:pt idx="10" formatCode="_-* #,##0.0_-;\-* #,##0.0_-;_-* &quot;-&quot;??_-;_-@_-">
                  <c:v>42.784999999999997</c:v>
                </c:pt>
                <c:pt idx="11" formatCode="_-* #,##0.0_-;\-* #,##0.0_-;_-* &quot;-&quot;??_-;_-@_-">
                  <c:v>40.281999999999996</c:v>
                </c:pt>
                <c:pt idx="12" formatCode="_-* #,##0.0_-;\-* #,##0.0_-;_-* &quot;-&quot;??_-;_-@_-">
                  <c:v>39.603999999999999</c:v>
                </c:pt>
                <c:pt idx="13" formatCode="_-* #,##0.0_-;\-* #,##0.0_-;_-* &quot;-&quot;??_-;_-@_-">
                  <c:v>38.927</c:v>
                </c:pt>
                <c:pt idx="14" formatCode="_-* #,##0.0_-;\-* #,##0.0_-;_-* &quot;-&quot;??_-;_-@_-">
                  <c:v>38.247999999999998</c:v>
                </c:pt>
              </c:numCache>
            </c:numRef>
          </c:val>
        </c:ser>
        <c:ser>
          <c:idx val="3"/>
          <c:order val="3"/>
          <c:tx>
            <c:strRef>
              <c:f>'DA-14'!$A$207</c:f>
              <c:strCache>
                <c:ptCount val="1"/>
                <c:pt idx="0">
                  <c:v>Total with Specific Escalations</c:v>
                </c:pt>
              </c:strCache>
            </c:strRef>
          </c:tx>
          <c:spPr>
            <a:ln w="25400">
              <a:solidFill>
                <a:srgbClr val="FF0000"/>
              </a:solidFill>
              <a:prstDash val="solid"/>
            </a:ln>
          </c:spPr>
          <c:marker>
            <c:symbol val="none"/>
          </c:marker>
          <c:cat>
            <c:strRef>
              <c:f>('DA-14'!$B$202:$H$202,'DA-14'!$B$204:$I$204)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('DA-14'!$B$200:$H$200,'DA-14'!$B$207:$I$207)</c:f>
              <c:numCache>
                <c:formatCode>General</c:formatCode>
                <c:ptCount val="15"/>
                <c:pt idx="7" formatCode="_-* #,##0.0_-;\-* #,##0.0_-;_-* &quot;-&quot;??_-;_-@_-">
                  <c:v>0</c:v>
                </c:pt>
                <c:pt idx="8" formatCode="_-* #,##0.0_-;\-* #,##0.0_-;_-* &quot;-&quot;??_-;_-@_-">
                  <c:v>0</c:v>
                </c:pt>
                <c:pt idx="9" formatCode="_-* #,##0.0_-;\-* #,##0.0_-;_-* &quot;-&quot;??_-;_-@_-">
                  <c:v>36.105000000000004</c:v>
                </c:pt>
                <c:pt idx="10" formatCode="_-* #,##0.0_-;\-* #,##0.0_-;_-* &quot;-&quot;??_-;_-@_-">
                  <c:v>43.139765175049654</c:v>
                </c:pt>
                <c:pt idx="11" formatCode="_-* #,##0.0_-;\-* #,##0.0_-;_-* &quot;-&quot;??_-;_-@_-">
                  <c:v>40.965485553948206</c:v>
                </c:pt>
                <c:pt idx="12" formatCode="_-* #,##0.0_-;\-* #,##0.0_-;_-* &quot;-&quot;??_-;_-@_-">
                  <c:v>40.612421998302928</c:v>
                </c:pt>
                <c:pt idx="13" formatCode="_-* #,##0.0_-;\-* #,##0.0_-;_-* &quot;-&quot;??_-;_-@_-">
                  <c:v>40.287951942990091</c:v>
                </c:pt>
                <c:pt idx="14" formatCode="_-* #,##0.0_-;\-* #,##0.0_-;_-* &quot;-&quot;??_-;_-@_-">
                  <c:v>39.931872010668933</c:v>
                </c:pt>
              </c:numCache>
            </c:numRef>
          </c:val>
        </c:ser>
        <c:ser>
          <c:idx val="2"/>
          <c:order val="4"/>
          <c:tx>
            <c:strRef>
              <c:f>'DA-14'!$A$208</c:f>
              <c:strCache>
                <c:ptCount val="1"/>
                <c:pt idx="0">
                  <c:v>Total with All Escalations</c:v>
                </c:pt>
              </c:strCache>
            </c:strRef>
          </c:tx>
          <c:spPr>
            <a:ln w="38100">
              <a:solidFill>
                <a:srgbClr val="00FF00"/>
              </a:solidFill>
              <a:prstDash val="solid"/>
            </a:ln>
          </c:spPr>
          <c:marker>
            <c:symbol val="none"/>
          </c:marker>
          <c:cat>
            <c:strRef>
              <c:f>('DA-14'!$B$202:$H$202,'DA-14'!$B$204:$I$204)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('DA-14'!$B$200:$H$200,'DA-14'!$B$208:$I$208)</c:f>
              <c:numCache>
                <c:formatCode>General</c:formatCode>
                <c:ptCount val="15"/>
                <c:pt idx="7" formatCode="_-* #,##0.0_-;\-* #,##0.0_-;_-* &quot;-&quot;??_-;_-@_-">
                  <c:v>0</c:v>
                </c:pt>
                <c:pt idx="8" formatCode="_-* #,##0.0_-;\-* #,##0.0_-;_-* &quot;-&quot;??_-;_-@_-">
                  <c:v>0</c:v>
                </c:pt>
                <c:pt idx="9" formatCode="_-* #,##0.0_-;\-* #,##0.0_-;_-* &quot;-&quot;??_-;_-@_-">
                  <c:v>36.105000000000004</c:v>
                </c:pt>
                <c:pt idx="10" formatCode="_-* #,##0.0_-;\-* #,##0.0_-;_-* &quot;-&quot;??_-;_-@_-">
                  <c:v>43.368115379609684</c:v>
                </c:pt>
                <c:pt idx="11" formatCode="_-* #,##0.0_-;\-* #,##0.0_-;_-* &quot;-&quot;??_-;_-@_-">
                  <c:v>41.429068775941388</c:v>
                </c:pt>
                <c:pt idx="12" formatCode="_-* #,##0.0_-;\-* #,##0.0_-;_-* &quot;-&quot;??_-;_-@_-">
                  <c:v>41.446948305377376</c:v>
                </c:pt>
                <c:pt idx="13" formatCode="_-* #,##0.0_-;\-* #,##0.0_-;_-* &quot;-&quot;??_-;_-@_-">
                  <c:v>41.553333715308455</c:v>
                </c:pt>
                <c:pt idx="14" formatCode="_-* #,##0.0_-;\-* #,##0.0_-;_-* &quot;-&quot;??_-;_-@_-">
                  <c:v>41.705404694806745</c:v>
                </c:pt>
              </c:numCache>
            </c:numRef>
          </c:val>
        </c:ser>
        <c:marker val="1"/>
        <c:axId val="191313408"/>
        <c:axId val="191314944"/>
      </c:lineChart>
      <c:catAx>
        <c:axId val="19131340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1314944"/>
        <c:crosses val="autoZero"/>
        <c:auto val="1"/>
        <c:lblAlgn val="ctr"/>
        <c:lblOffset val="100"/>
        <c:tickLblSkip val="1"/>
        <c:tickMarkSkip val="1"/>
      </c:catAx>
      <c:valAx>
        <c:axId val="19131494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131340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AU"/>
  <c:chart>
    <c:title>
      <c:tx>
        <c:strRef>
          <c:f>'DA-15'!$B$2</c:f>
          <c:strCache>
            <c:ptCount val="1"/>
            <c:pt idx="0">
              <c:v>Emergency Response</c:v>
            </c:pt>
          </c:strCache>
        </c:strRef>
      </c:tx>
      <c:layout>
        <c:manualLayout>
          <c:xMode val="edge"/>
          <c:yMode val="edge"/>
          <c:x val="0.3678887484197309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'DA-15'!$A$203</c:f>
              <c:strCache>
                <c:ptCount val="1"/>
                <c:pt idx="0">
                  <c:v>Historic Expenditure</c:v>
                </c:pt>
              </c:strCache>
            </c:strRef>
          </c:tx>
          <c:spPr>
            <a:ln w="25400">
              <a:solidFill>
                <a:srgbClr val="33CCCC"/>
              </a:solidFill>
              <a:prstDash val="solid"/>
            </a:ln>
          </c:spPr>
          <c:marker>
            <c:symbol val="none"/>
          </c:marker>
          <c:cat>
            <c:strRef>
              <c:f>('DA-15'!$B$202:$H$202,'DA-15'!$B$204:$I$204)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('DA-15'!$B$203:$H$203,'DA-15'!$B$205,'DA-15'!$C$200:$I$200)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'DA-15'!$A$14</c:f>
              <c:strCache>
                <c:ptCount val="1"/>
                <c:pt idx="0">
                  <c:v>Baseline Expenditure</c:v>
                </c:pt>
              </c:strCache>
            </c:strRef>
          </c:tx>
          <c:spPr>
            <a:ln w="25400">
              <a:solidFill>
                <a:srgbClr val="0000FF"/>
              </a:solidFill>
              <a:prstDash val="solid"/>
            </a:ln>
          </c:spPr>
          <c:marker>
            <c:symbol val="none"/>
          </c:marker>
          <c:cat>
            <c:strRef>
              <c:f>('DA-15'!$B$202:$H$202,'DA-15'!$B$204:$I$204)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('DA-15'!$B$200:$H$200,'DA-15'!$B$205:$I$205)</c:f>
              <c:numCache>
                <c:formatCode>General</c:formatCode>
                <c:ptCount val="15"/>
                <c:pt idx="7" formatCode="_-* #,##0.0_-;\-* #,##0.0_-;_-* &quot;-&quot;??_-;_-@_-">
                  <c:v>0</c:v>
                </c:pt>
                <c:pt idx="8" formatCode="_-* #,##0.0_-;\-* #,##0.0_-;_-* &quot;-&quot;??_-;_-@_-">
                  <c:v>0</c:v>
                </c:pt>
                <c:pt idx="9" formatCode="_-* #,##0.0_-;\-* #,##0.0_-;_-* &quot;-&quot;??_-;_-@_-">
                  <c:v>33.394000000000005</c:v>
                </c:pt>
                <c:pt idx="10" formatCode="_-* #,##0.0_-;\-* #,##0.0_-;_-* &quot;-&quot;??_-;_-@_-">
                  <c:v>33.394000000000005</c:v>
                </c:pt>
                <c:pt idx="11" formatCode="_-* #,##0.0_-;\-* #,##0.0_-;_-* &quot;-&quot;??_-;_-@_-">
                  <c:v>33.394000000000005</c:v>
                </c:pt>
                <c:pt idx="12" formatCode="_-* #,##0.0_-;\-* #,##0.0_-;_-* &quot;-&quot;??_-;_-@_-">
                  <c:v>33.394000000000005</c:v>
                </c:pt>
                <c:pt idx="13" formatCode="_-* #,##0.0_-;\-* #,##0.0_-;_-* &quot;-&quot;??_-;_-@_-">
                  <c:v>33.394000000000005</c:v>
                </c:pt>
                <c:pt idx="14" formatCode="_-* #,##0.0_-;\-* #,##0.0_-;_-* &quot;-&quot;??_-;_-@_-">
                  <c:v>33.394000000000005</c:v>
                </c:pt>
              </c:numCache>
            </c:numRef>
          </c:val>
        </c:ser>
        <c:ser>
          <c:idx val="0"/>
          <c:order val="2"/>
          <c:tx>
            <c:strRef>
              <c:f>'DA-15'!$A$206</c:f>
              <c:strCache>
                <c:ptCount val="1"/>
                <c:pt idx="0">
                  <c:v>Total with Variations</c:v>
                </c:pt>
              </c:strCache>
            </c:strRef>
          </c:tx>
          <c:spPr>
            <a:ln w="25400">
              <a:solidFill>
                <a:srgbClr val="993366"/>
              </a:solidFill>
              <a:prstDash val="solid"/>
            </a:ln>
          </c:spPr>
          <c:marker>
            <c:symbol val="none"/>
          </c:marker>
          <c:cat>
            <c:strRef>
              <c:f>('DA-15'!$B$202:$H$202,'DA-15'!$B$204:$I$204)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('DA-15'!$B$200:$H$200,'DA-15'!$B$206:$I$206)</c:f>
              <c:numCache>
                <c:formatCode>General</c:formatCode>
                <c:ptCount val="15"/>
                <c:pt idx="7" formatCode="_-* #,##0.0_-;\-* #,##0.0_-;_-* &quot;-&quot;??_-;_-@_-">
                  <c:v>0</c:v>
                </c:pt>
                <c:pt idx="8" formatCode="_-* #,##0.0_-;\-* #,##0.0_-;_-* &quot;-&quot;??_-;_-@_-">
                  <c:v>0</c:v>
                </c:pt>
                <c:pt idx="9" formatCode="_-* #,##0.0_-;\-* #,##0.0_-;_-* &quot;-&quot;??_-;_-@_-">
                  <c:v>33.394000000000005</c:v>
                </c:pt>
                <c:pt idx="10" formatCode="_-* #,##0.0_-;\-* #,##0.0_-;_-* &quot;-&quot;??_-;_-@_-">
                  <c:v>33.394000000000005</c:v>
                </c:pt>
                <c:pt idx="11" formatCode="_-* #,##0.0_-;\-* #,##0.0_-;_-* &quot;-&quot;??_-;_-@_-">
                  <c:v>33.394000000000005</c:v>
                </c:pt>
                <c:pt idx="12" formatCode="_-* #,##0.0_-;\-* #,##0.0_-;_-* &quot;-&quot;??_-;_-@_-">
                  <c:v>33.394000000000005</c:v>
                </c:pt>
                <c:pt idx="13" formatCode="_-* #,##0.0_-;\-* #,##0.0_-;_-* &quot;-&quot;??_-;_-@_-">
                  <c:v>33.394000000000005</c:v>
                </c:pt>
                <c:pt idx="14" formatCode="_-* #,##0.0_-;\-* #,##0.0_-;_-* &quot;-&quot;??_-;_-@_-">
                  <c:v>33.394000000000005</c:v>
                </c:pt>
              </c:numCache>
            </c:numRef>
          </c:val>
        </c:ser>
        <c:ser>
          <c:idx val="3"/>
          <c:order val="3"/>
          <c:tx>
            <c:strRef>
              <c:f>'DA-15'!$A$207</c:f>
              <c:strCache>
                <c:ptCount val="1"/>
                <c:pt idx="0">
                  <c:v>Total with Specific Escalations</c:v>
                </c:pt>
              </c:strCache>
            </c:strRef>
          </c:tx>
          <c:spPr>
            <a:ln w="25400">
              <a:solidFill>
                <a:srgbClr val="FF0000"/>
              </a:solidFill>
              <a:prstDash val="solid"/>
            </a:ln>
          </c:spPr>
          <c:marker>
            <c:symbol val="none"/>
          </c:marker>
          <c:cat>
            <c:strRef>
              <c:f>('DA-15'!$B$202:$H$202,'DA-15'!$B$204:$I$204)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('DA-15'!$B$200:$H$200,'DA-15'!$B$207:$I$207)</c:f>
              <c:numCache>
                <c:formatCode>General</c:formatCode>
                <c:ptCount val="15"/>
                <c:pt idx="7" formatCode="_-* #,##0.0_-;\-* #,##0.0_-;_-* &quot;-&quot;??_-;_-@_-">
                  <c:v>0</c:v>
                </c:pt>
                <c:pt idx="8" formatCode="_-* #,##0.0_-;\-* #,##0.0_-;_-* &quot;-&quot;??_-;_-@_-">
                  <c:v>0</c:v>
                </c:pt>
                <c:pt idx="9" formatCode="_-* #,##0.0_-;\-* #,##0.0_-;_-* &quot;-&quot;??_-;_-@_-">
                  <c:v>33.394000000000005</c:v>
                </c:pt>
                <c:pt idx="10" formatCode="_-* #,##0.0_-;\-* #,##0.0_-;_-* &quot;-&quot;??_-;_-@_-">
                  <c:v>33.748308946843572</c:v>
                </c:pt>
                <c:pt idx="11" formatCode="_-* #,##0.0_-;\-* #,##0.0_-;_-* &quot;-&quot;??_-;_-@_-">
                  <c:v>34.076606591157898</c:v>
                </c:pt>
                <c:pt idx="12" formatCode="_-* #,##0.0_-;\-* #,##0.0_-;_-* &quot;-&quot;??_-;_-@_-">
                  <c:v>34.401125167070255</c:v>
                </c:pt>
                <c:pt idx="13" formatCode="_-* #,##0.0_-;\-* #,##0.0_-;_-* &quot;-&quot;??_-;_-@_-">
                  <c:v>34.753201758058779</c:v>
                </c:pt>
                <c:pt idx="14" formatCode="_-* #,##0.0_-;\-* #,##0.0_-;_-* &quot;-&quot;??_-;_-@_-">
                  <c:v>35.075706550356749</c:v>
                </c:pt>
              </c:numCache>
            </c:numRef>
          </c:val>
        </c:ser>
        <c:ser>
          <c:idx val="2"/>
          <c:order val="4"/>
          <c:tx>
            <c:strRef>
              <c:f>'DA-15'!$A$208</c:f>
              <c:strCache>
                <c:ptCount val="1"/>
                <c:pt idx="0">
                  <c:v>Total with All Escalations</c:v>
                </c:pt>
              </c:strCache>
            </c:strRef>
          </c:tx>
          <c:spPr>
            <a:ln w="38100">
              <a:solidFill>
                <a:srgbClr val="00FF00"/>
              </a:solidFill>
              <a:prstDash val="solid"/>
            </a:ln>
          </c:spPr>
          <c:marker>
            <c:symbol val="none"/>
          </c:marker>
          <c:cat>
            <c:strRef>
              <c:f>('DA-15'!$B$202:$H$202,'DA-15'!$B$204:$I$204)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('DA-15'!$B$200:$H$200,'DA-15'!$B$208:$I$208)</c:f>
              <c:numCache>
                <c:formatCode>General</c:formatCode>
                <c:ptCount val="15"/>
                <c:pt idx="7" formatCode="_-* #,##0.0_-;\-* #,##0.0_-;_-* &quot;-&quot;??_-;_-@_-">
                  <c:v>0</c:v>
                </c:pt>
                <c:pt idx="8" formatCode="_-* #,##0.0_-;\-* #,##0.0_-;_-* &quot;-&quot;??_-;_-@_-">
                  <c:v>0</c:v>
                </c:pt>
                <c:pt idx="9" formatCode="_-* #,##0.0_-;\-* #,##0.0_-;_-* &quot;-&quot;??_-;_-@_-">
                  <c:v>33.394000000000005</c:v>
                </c:pt>
                <c:pt idx="10" formatCode="_-* #,##0.0_-;\-* #,##0.0_-;_-* &quot;-&quot;??_-;_-@_-">
                  <c:v>34.3608802243998</c:v>
                </c:pt>
                <c:pt idx="11" formatCode="_-* #,##0.0_-;\-* #,##0.0_-;_-* &quot;-&quot;??_-;_-@_-">
                  <c:v>35.326210559787562</c:v>
                </c:pt>
                <c:pt idx="12" formatCode="_-* #,##0.0_-;\-* #,##0.0_-;_-* &quot;-&quot;??_-;_-@_-">
                  <c:v>36.381916286977571</c:v>
                </c:pt>
                <c:pt idx="13" formatCode="_-* #,##0.0_-;\-* #,##0.0_-;_-* &quot;-&quot;??_-;_-@_-">
                  <c:v>37.510051261652407</c:v>
                </c:pt>
                <c:pt idx="14" formatCode="_-* #,##0.0_-;\-* #,##0.0_-;_-* &quot;-&quot;??_-;_-@_-">
                  <c:v>38.655800079595004</c:v>
                </c:pt>
              </c:numCache>
            </c:numRef>
          </c:val>
        </c:ser>
        <c:marker val="1"/>
        <c:axId val="189713408"/>
        <c:axId val="189793024"/>
      </c:lineChart>
      <c:catAx>
        <c:axId val="18971340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89793024"/>
        <c:crosses val="autoZero"/>
        <c:auto val="1"/>
        <c:lblAlgn val="ctr"/>
        <c:lblOffset val="100"/>
        <c:tickLblSkip val="1"/>
        <c:tickMarkSkip val="1"/>
      </c:catAx>
      <c:valAx>
        <c:axId val="189793024"/>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8971340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AU"/>
  <c:chart>
    <c:title>
      <c:tx>
        <c:strRef>
          <c:f>'DA-16'!$B$2</c:f>
          <c:strCache>
            <c:ptCount val="1"/>
            <c:pt idx="0">
              <c:v>Meter Reading Charges</c:v>
            </c:pt>
          </c:strCache>
        </c:strRef>
      </c:tx>
      <c:layout>
        <c:manualLayout>
          <c:xMode val="edge"/>
          <c:yMode val="edge"/>
          <c:x val="0.35903919089759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'DA-16'!$A$203</c:f>
              <c:strCache>
                <c:ptCount val="1"/>
                <c:pt idx="0">
                  <c:v>Historic Expenditure</c:v>
                </c:pt>
              </c:strCache>
            </c:strRef>
          </c:tx>
          <c:spPr>
            <a:ln w="25400">
              <a:solidFill>
                <a:srgbClr val="33CCCC"/>
              </a:solidFill>
              <a:prstDash val="solid"/>
            </a:ln>
          </c:spPr>
          <c:marker>
            <c:symbol val="none"/>
          </c:marker>
          <c:cat>
            <c:strRef>
              <c:f>('DA-16'!$B$202:$H$202,'DA-16'!$B$204:$I$204)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('DA-16'!$B$203:$H$203,'DA-16'!$B$205,'DA-16'!$C$200:$I$200)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'DA-16'!$A$14</c:f>
              <c:strCache>
                <c:ptCount val="1"/>
                <c:pt idx="0">
                  <c:v>Baseline Expenditure</c:v>
                </c:pt>
              </c:strCache>
            </c:strRef>
          </c:tx>
          <c:spPr>
            <a:ln w="25400">
              <a:solidFill>
                <a:srgbClr val="0000FF"/>
              </a:solidFill>
              <a:prstDash val="solid"/>
            </a:ln>
          </c:spPr>
          <c:marker>
            <c:symbol val="none"/>
          </c:marker>
          <c:cat>
            <c:strRef>
              <c:f>('DA-16'!$B$202:$H$202,'DA-16'!$B$204:$I$204)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('DA-16'!$B$200:$H$200,'DA-16'!$B$205:$I$205)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'DA-16'!$A$206</c:f>
              <c:strCache>
                <c:ptCount val="1"/>
                <c:pt idx="0">
                  <c:v>Total with Variations</c:v>
                </c:pt>
              </c:strCache>
            </c:strRef>
          </c:tx>
          <c:spPr>
            <a:ln w="25400">
              <a:solidFill>
                <a:srgbClr val="993366"/>
              </a:solidFill>
              <a:prstDash val="solid"/>
            </a:ln>
          </c:spPr>
          <c:marker>
            <c:symbol val="none"/>
          </c:marker>
          <c:cat>
            <c:strRef>
              <c:f>('DA-16'!$B$202:$H$202,'DA-16'!$B$204:$I$204)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('DA-16'!$B$200:$H$200,'DA-16'!$B$206:$I$206)</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'DA-16'!$A$207</c:f>
              <c:strCache>
                <c:ptCount val="1"/>
                <c:pt idx="0">
                  <c:v>Total with Specific Escalations</c:v>
                </c:pt>
              </c:strCache>
            </c:strRef>
          </c:tx>
          <c:spPr>
            <a:ln w="25400">
              <a:solidFill>
                <a:srgbClr val="FF0000"/>
              </a:solidFill>
              <a:prstDash val="solid"/>
            </a:ln>
          </c:spPr>
          <c:marker>
            <c:symbol val="none"/>
          </c:marker>
          <c:cat>
            <c:strRef>
              <c:f>('DA-16'!$B$202:$H$202,'DA-16'!$B$204:$I$204)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('DA-16'!$B$200:$H$200,'DA-16'!$B$207:$I$207)</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'DA-16'!$A$208</c:f>
              <c:strCache>
                <c:ptCount val="1"/>
                <c:pt idx="0">
                  <c:v>Total with All Escalations</c:v>
                </c:pt>
              </c:strCache>
            </c:strRef>
          </c:tx>
          <c:spPr>
            <a:ln w="38100">
              <a:solidFill>
                <a:srgbClr val="00FF00"/>
              </a:solidFill>
              <a:prstDash val="solid"/>
            </a:ln>
          </c:spPr>
          <c:marker>
            <c:symbol val="none"/>
          </c:marker>
          <c:cat>
            <c:strRef>
              <c:f>('DA-16'!$B$202:$H$202,'DA-16'!$B$204:$I$204)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('DA-16'!$B$200:$H$200,'DA-16'!$B$208:$I$208)</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91062784"/>
        <c:axId val="191064320"/>
      </c:lineChart>
      <c:catAx>
        <c:axId val="19106278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1064320"/>
        <c:crosses val="autoZero"/>
        <c:auto val="1"/>
        <c:lblAlgn val="ctr"/>
        <c:lblOffset val="100"/>
        <c:tickLblSkip val="1"/>
        <c:tickMarkSkip val="1"/>
      </c:catAx>
      <c:valAx>
        <c:axId val="19106432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106278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AU"/>
  <c:chart>
    <c:title>
      <c:tx>
        <c:strRef>
          <c:f>'DA-17'!$B$2</c:f>
          <c:strCache>
            <c:ptCount val="1"/>
            <c:pt idx="0">
              <c:v>Call Centre Charges</c:v>
            </c:pt>
          </c:strCache>
        </c:strRef>
      </c:tx>
      <c:layout>
        <c:manualLayout>
          <c:xMode val="edge"/>
          <c:yMode val="edge"/>
          <c:x val="0.3792667509481668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'DA-17'!$A$203</c:f>
              <c:strCache>
                <c:ptCount val="1"/>
                <c:pt idx="0">
                  <c:v>Historic Expenditure</c:v>
                </c:pt>
              </c:strCache>
            </c:strRef>
          </c:tx>
          <c:spPr>
            <a:ln w="25400">
              <a:solidFill>
                <a:srgbClr val="33CCCC"/>
              </a:solidFill>
              <a:prstDash val="solid"/>
            </a:ln>
          </c:spPr>
          <c:marker>
            <c:symbol val="none"/>
          </c:marker>
          <c:cat>
            <c:strRef>
              <c:f>('DA-17'!$B$202:$H$202,'DA-17'!$B$204:$I$204)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('DA-17'!$B$203:$H$203,'DA-17'!$B$205,'DA-17'!$C$200:$I$200)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'DA-17'!$A$14</c:f>
              <c:strCache>
                <c:ptCount val="1"/>
                <c:pt idx="0">
                  <c:v>Baseline Expenditure</c:v>
                </c:pt>
              </c:strCache>
            </c:strRef>
          </c:tx>
          <c:spPr>
            <a:ln w="25400">
              <a:solidFill>
                <a:srgbClr val="0000FF"/>
              </a:solidFill>
              <a:prstDash val="solid"/>
            </a:ln>
          </c:spPr>
          <c:marker>
            <c:symbol val="none"/>
          </c:marker>
          <c:cat>
            <c:strRef>
              <c:f>('DA-17'!$B$202:$H$202,'DA-17'!$B$204:$I$204)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('DA-17'!$B$200:$H$200,'DA-17'!$B$205:$I$205)</c:f>
              <c:numCache>
                <c:formatCode>General</c:formatCode>
                <c:ptCount val="15"/>
                <c:pt idx="7" formatCode="_-* #,##0.0_-;\-* #,##0.0_-;_-* &quot;-&quot;??_-;_-@_-">
                  <c:v>0</c:v>
                </c:pt>
                <c:pt idx="8" formatCode="_-* #,##0.0_-;\-* #,##0.0_-;_-* &quot;-&quot;??_-;_-@_-">
                  <c:v>0</c:v>
                </c:pt>
                <c:pt idx="9" formatCode="_-* #,##0.0_-;\-* #,##0.0_-;_-* &quot;-&quot;??_-;_-@_-">
                  <c:v>2.9550000000000001</c:v>
                </c:pt>
                <c:pt idx="10" formatCode="_-* #,##0.0_-;\-* #,##0.0_-;_-* &quot;-&quot;??_-;_-@_-">
                  <c:v>2.9550000000000001</c:v>
                </c:pt>
                <c:pt idx="11" formatCode="_-* #,##0.0_-;\-* #,##0.0_-;_-* &quot;-&quot;??_-;_-@_-">
                  <c:v>2.9550000000000001</c:v>
                </c:pt>
                <c:pt idx="12" formatCode="_-* #,##0.0_-;\-* #,##0.0_-;_-* &quot;-&quot;??_-;_-@_-">
                  <c:v>2.9550000000000001</c:v>
                </c:pt>
                <c:pt idx="13" formatCode="_-* #,##0.0_-;\-* #,##0.0_-;_-* &quot;-&quot;??_-;_-@_-">
                  <c:v>2.9550000000000001</c:v>
                </c:pt>
                <c:pt idx="14" formatCode="_-* #,##0.0_-;\-* #,##0.0_-;_-* &quot;-&quot;??_-;_-@_-">
                  <c:v>2.9550000000000001</c:v>
                </c:pt>
              </c:numCache>
            </c:numRef>
          </c:val>
        </c:ser>
        <c:ser>
          <c:idx val="0"/>
          <c:order val="2"/>
          <c:tx>
            <c:strRef>
              <c:f>'DA-17'!$A$206</c:f>
              <c:strCache>
                <c:ptCount val="1"/>
                <c:pt idx="0">
                  <c:v>Total with Variations</c:v>
                </c:pt>
              </c:strCache>
            </c:strRef>
          </c:tx>
          <c:spPr>
            <a:ln w="25400">
              <a:solidFill>
                <a:srgbClr val="993366"/>
              </a:solidFill>
              <a:prstDash val="solid"/>
            </a:ln>
          </c:spPr>
          <c:marker>
            <c:symbol val="none"/>
          </c:marker>
          <c:cat>
            <c:strRef>
              <c:f>('DA-17'!$B$202:$H$202,'DA-17'!$B$204:$I$204)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('DA-17'!$B$200:$H$200,'DA-17'!$B$206:$I$206)</c:f>
              <c:numCache>
                <c:formatCode>General</c:formatCode>
                <c:ptCount val="15"/>
                <c:pt idx="7" formatCode="_-* #,##0.0_-;\-* #,##0.0_-;_-* &quot;-&quot;??_-;_-@_-">
                  <c:v>0</c:v>
                </c:pt>
                <c:pt idx="8" formatCode="_-* #,##0.0_-;\-* #,##0.0_-;_-* &quot;-&quot;??_-;_-@_-">
                  <c:v>0</c:v>
                </c:pt>
                <c:pt idx="9" formatCode="_-* #,##0.0_-;\-* #,##0.0_-;_-* &quot;-&quot;??_-;_-@_-">
                  <c:v>2.9550000000000001</c:v>
                </c:pt>
                <c:pt idx="10" formatCode="_-* #,##0.0_-;\-* #,##0.0_-;_-* &quot;-&quot;??_-;_-@_-">
                  <c:v>2.9550000000000001</c:v>
                </c:pt>
                <c:pt idx="11" formatCode="_-* #,##0.0_-;\-* #,##0.0_-;_-* &quot;-&quot;??_-;_-@_-">
                  <c:v>2.9550000000000001</c:v>
                </c:pt>
                <c:pt idx="12" formatCode="_-* #,##0.0_-;\-* #,##0.0_-;_-* &quot;-&quot;??_-;_-@_-">
                  <c:v>2.9550000000000001</c:v>
                </c:pt>
                <c:pt idx="13" formatCode="_-* #,##0.0_-;\-* #,##0.0_-;_-* &quot;-&quot;??_-;_-@_-">
                  <c:v>2.9550000000000001</c:v>
                </c:pt>
                <c:pt idx="14" formatCode="_-* #,##0.0_-;\-* #,##0.0_-;_-* &quot;-&quot;??_-;_-@_-">
                  <c:v>2.9550000000000001</c:v>
                </c:pt>
              </c:numCache>
            </c:numRef>
          </c:val>
        </c:ser>
        <c:ser>
          <c:idx val="3"/>
          <c:order val="3"/>
          <c:tx>
            <c:strRef>
              <c:f>'DA-17'!$A$207</c:f>
              <c:strCache>
                <c:ptCount val="1"/>
                <c:pt idx="0">
                  <c:v>Total with Specific Escalations</c:v>
                </c:pt>
              </c:strCache>
            </c:strRef>
          </c:tx>
          <c:spPr>
            <a:ln w="25400">
              <a:solidFill>
                <a:srgbClr val="FF0000"/>
              </a:solidFill>
              <a:prstDash val="solid"/>
            </a:ln>
          </c:spPr>
          <c:marker>
            <c:symbol val="none"/>
          </c:marker>
          <c:cat>
            <c:strRef>
              <c:f>('DA-17'!$B$202:$H$202,'DA-17'!$B$204:$I$204)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('DA-17'!$B$200:$H$200,'DA-17'!$B$207:$I$207)</c:f>
              <c:numCache>
                <c:formatCode>General</c:formatCode>
                <c:ptCount val="15"/>
                <c:pt idx="7" formatCode="_-* #,##0.0_-;\-* #,##0.0_-;_-* &quot;-&quot;??_-;_-@_-">
                  <c:v>0</c:v>
                </c:pt>
                <c:pt idx="8" formatCode="_-* #,##0.0_-;\-* #,##0.0_-;_-* &quot;-&quot;??_-;_-@_-">
                  <c:v>0</c:v>
                </c:pt>
                <c:pt idx="9" formatCode="_-* #,##0.0_-;\-* #,##0.0_-;_-* &quot;-&quot;??_-;_-@_-">
                  <c:v>2.9550000000000001</c:v>
                </c:pt>
                <c:pt idx="10" formatCode="_-* #,##0.0_-;\-* #,##0.0_-;_-* &quot;-&quot;??_-;_-@_-">
                  <c:v>2.9863524267210497</c:v>
                </c:pt>
                <c:pt idx="11" formatCode="_-* #,##0.0_-;\-* #,##0.0_-;_-* &quot;-&quot;??_-;_-@_-">
                  <c:v>3.0154031405902728</c:v>
                </c:pt>
                <c:pt idx="12" formatCode="_-* #,##0.0_-;\-* #,##0.0_-;_-* &quot;-&quot;??_-;_-@_-">
                  <c:v>3.0441194486642091</c:v>
                </c:pt>
                <c:pt idx="13" formatCode="_-* #,##0.0_-;\-* #,##0.0_-;_-* &quot;-&quot;??_-;_-@_-">
                  <c:v>3.0752743365593722</c:v>
                </c:pt>
                <c:pt idx="14" formatCode="_-* #,##0.0_-;\-* #,##0.0_-;_-* &quot;-&quot;??_-;_-@_-">
                  <c:v>3.1038124470355206</c:v>
                </c:pt>
              </c:numCache>
            </c:numRef>
          </c:val>
        </c:ser>
        <c:ser>
          <c:idx val="2"/>
          <c:order val="4"/>
          <c:tx>
            <c:strRef>
              <c:f>'DA-17'!$A$208</c:f>
              <c:strCache>
                <c:ptCount val="1"/>
                <c:pt idx="0">
                  <c:v>Total with All Escalations</c:v>
                </c:pt>
              </c:strCache>
            </c:strRef>
          </c:tx>
          <c:spPr>
            <a:ln w="38100">
              <a:solidFill>
                <a:srgbClr val="00FF00"/>
              </a:solidFill>
              <a:prstDash val="solid"/>
            </a:ln>
          </c:spPr>
          <c:marker>
            <c:symbol val="none"/>
          </c:marker>
          <c:cat>
            <c:strRef>
              <c:f>('DA-17'!$B$202:$H$202,'DA-17'!$B$204:$I$204)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('DA-17'!$B$200:$H$200,'DA-17'!$B$208:$I$208)</c:f>
              <c:numCache>
                <c:formatCode>General</c:formatCode>
                <c:ptCount val="15"/>
                <c:pt idx="7" formatCode="_-* #,##0.0_-;\-* #,##0.0_-;_-* &quot;-&quot;??_-;_-@_-">
                  <c:v>0</c:v>
                </c:pt>
                <c:pt idx="8" formatCode="_-* #,##0.0_-;\-* #,##0.0_-;_-* &quot;-&quot;??_-;_-@_-">
                  <c:v>0</c:v>
                </c:pt>
                <c:pt idx="9" formatCode="_-* #,##0.0_-;\-* #,##0.0_-;_-* &quot;-&quot;??_-;_-@_-">
                  <c:v>2.9550000000000001</c:v>
                </c:pt>
                <c:pt idx="10" formatCode="_-* #,##0.0_-;\-* #,##0.0_-;_-* &quot;-&quot;??_-;_-@_-">
                  <c:v>3.0012841888546546</c:v>
                </c:pt>
                <c:pt idx="11" formatCode="_-* #,##0.0_-;\-* #,##0.0_-;_-* &quot;-&quot;??_-;_-@_-">
                  <c:v>3.0456325570746894</c:v>
                </c:pt>
                <c:pt idx="12" formatCode="_-* #,##0.0_-;\-* #,##0.0_-;_-* &quot;-&quot;??_-;_-@_-">
                  <c:v>3.1023084768523002</c:v>
                </c:pt>
                <c:pt idx="13" formatCode="_-* #,##0.0_-;\-* #,##0.0_-;_-* &quot;-&quot;??_-;_-@_-">
                  <c:v>3.1669665158625429</c:v>
                </c:pt>
                <c:pt idx="14" formatCode="_-* #,##0.0_-;\-* #,##0.0_-;_-* &quot;-&quot;??_-;_-@_-">
                  <c:v>3.2363099607415191</c:v>
                </c:pt>
              </c:numCache>
            </c:numRef>
          </c:val>
        </c:ser>
        <c:marker val="1"/>
        <c:axId val="192149760"/>
        <c:axId val="192167936"/>
      </c:lineChart>
      <c:catAx>
        <c:axId val="19214976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2167936"/>
        <c:crosses val="autoZero"/>
        <c:auto val="1"/>
        <c:lblAlgn val="ctr"/>
        <c:lblOffset val="100"/>
        <c:tickLblSkip val="1"/>
        <c:tickMarkSkip val="1"/>
      </c:catAx>
      <c:valAx>
        <c:axId val="19216793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214976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AU"/>
  <c:chart>
    <c:title>
      <c:tx>
        <c:strRef>
          <c:f>'DA-18'!$B$2</c:f>
          <c:strCache>
            <c:ptCount val="1"/>
            <c:pt idx="0">
              <c:v>Demand Management</c:v>
            </c:pt>
          </c:strCache>
        </c:strRef>
      </c:tx>
      <c:layout>
        <c:manualLayout>
          <c:xMode val="edge"/>
          <c:yMode val="edge"/>
          <c:x val="0.36915297092289839"/>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'DA-18'!$A$203</c:f>
              <c:strCache>
                <c:ptCount val="1"/>
                <c:pt idx="0">
                  <c:v>Historic Expenditure</c:v>
                </c:pt>
              </c:strCache>
            </c:strRef>
          </c:tx>
          <c:spPr>
            <a:ln w="25400">
              <a:solidFill>
                <a:srgbClr val="33CCCC"/>
              </a:solidFill>
              <a:prstDash val="solid"/>
            </a:ln>
          </c:spPr>
          <c:marker>
            <c:symbol val="none"/>
          </c:marker>
          <c:cat>
            <c:strRef>
              <c:f>('DA-18'!$B$202:$H$202,'DA-18'!$B$204:$I$204)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('DA-18'!$B$203:$H$203,'DA-18'!$B$205,'DA-18'!$C$200:$I$200)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'DA-18'!$A$14</c:f>
              <c:strCache>
                <c:ptCount val="1"/>
                <c:pt idx="0">
                  <c:v>Baseline Expenditure</c:v>
                </c:pt>
              </c:strCache>
            </c:strRef>
          </c:tx>
          <c:spPr>
            <a:ln w="25400">
              <a:solidFill>
                <a:srgbClr val="0000FF"/>
              </a:solidFill>
              <a:prstDash val="solid"/>
            </a:ln>
          </c:spPr>
          <c:marker>
            <c:symbol val="none"/>
          </c:marker>
          <c:cat>
            <c:strRef>
              <c:f>('DA-18'!$B$202:$H$202,'DA-18'!$B$204:$I$204)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('DA-18'!$B$200:$H$200,'DA-18'!$B$205:$I$205)</c:f>
              <c:numCache>
                <c:formatCode>General</c:formatCode>
                <c:ptCount val="15"/>
                <c:pt idx="7" formatCode="_-* #,##0.0_-;\-* #,##0.0_-;_-* &quot;-&quot;??_-;_-@_-">
                  <c:v>0</c:v>
                </c:pt>
                <c:pt idx="8" formatCode="_-* #,##0.0_-;\-* #,##0.0_-;_-* &quot;-&quot;??_-;_-@_-">
                  <c:v>0</c:v>
                </c:pt>
                <c:pt idx="9" formatCode="_-* #,##0.0_-;\-* #,##0.0_-;_-* &quot;-&quot;??_-;_-@_-">
                  <c:v>1.1959999999999997</c:v>
                </c:pt>
                <c:pt idx="10" formatCode="_-* #,##0.0_-;\-* #,##0.0_-;_-* &quot;-&quot;??_-;_-@_-">
                  <c:v>1.1959999999999997</c:v>
                </c:pt>
                <c:pt idx="11" formatCode="_-* #,##0.0_-;\-* #,##0.0_-;_-* &quot;-&quot;??_-;_-@_-">
                  <c:v>1.1959999999999997</c:v>
                </c:pt>
                <c:pt idx="12" formatCode="_-* #,##0.0_-;\-* #,##0.0_-;_-* &quot;-&quot;??_-;_-@_-">
                  <c:v>1.1959999999999997</c:v>
                </c:pt>
                <c:pt idx="13" formatCode="_-* #,##0.0_-;\-* #,##0.0_-;_-* &quot;-&quot;??_-;_-@_-">
                  <c:v>1.1959999999999997</c:v>
                </c:pt>
                <c:pt idx="14" formatCode="_-* #,##0.0_-;\-* #,##0.0_-;_-* &quot;-&quot;??_-;_-@_-">
                  <c:v>1.1959999999999997</c:v>
                </c:pt>
              </c:numCache>
            </c:numRef>
          </c:val>
        </c:ser>
        <c:ser>
          <c:idx val="0"/>
          <c:order val="2"/>
          <c:tx>
            <c:strRef>
              <c:f>'DA-18'!$A$206</c:f>
              <c:strCache>
                <c:ptCount val="1"/>
                <c:pt idx="0">
                  <c:v>Total with Variations</c:v>
                </c:pt>
              </c:strCache>
            </c:strRef>
          </c:tx>
          <c:spPr>
            <a:ln w="25400">
              <a:solidFill>
                <a:srgbClr val="993366"/>
              </a:solidFill>
              <a:prstDash val="solid"/>
            </a:ln>
          </c:spPr>
          <c:marker>
            <c:symbol val="none"/>
          </c:marker>
          <c:cat>
            <c:strRef>
              <c:f>('DA-18'!$B$202:$H$202,'DA-18'!$B$204:$I$204)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('DA-18'!$B$200:$H$200,'DA-18'!$B$206:$I$206)</c:f>
              <c:numCache>
                <c:formatCode>General</c:formatCode>
                <c:ptCount val="15"/>
                <c:pt idx="7" formatCode="_-* #,##0.0_-;\-* #,##0.0_-;_-* &quot;-&quot;??_-;_-@_-">
                  <c:v>0</c:v>
                </c:pt>
                <c:pt idx="8" formatCode="_-* #,##0.0_-;\-* #,##0.0_-;_-* &quot;-&quot;??_-;_-@_-">
                  <c:v>0</c:v>
                </c:pt>
                <c:pt idx="9" formatCode="_-* #,##0.0_-;\-* #,##0.0_-;_-* &quot;-&quot;??_-;_-@_-">
                  <c:v>1.1959999999999997</c:v>
                </c:pt>
                <c:pt idx="10" formatCode="_-* #,##0.0_-;\-* #,##0.0_-;_-* &quot;-&quot;??_-;_-@_-">
                  <c:v>1.1959999999999997</c:v>
                </c:pt>
                <c:pt idx="11" formatCode="_-* #,##0.0_-;\-* #,##0.0_-;_-* &quot;-&quot;??_-;_-@_-">
                  <c:v>1.1959999999999997</c:v>
                </c:pt>
                <c:pt idx="12" formatCode="_-* #,##0.0_-;\-* #,##0.0_-;_-* &quot;-&quot;??_-;_-@_-">
                  <c:v>1.1959999999999997</c:v>
                </c:pt>
                <c:pt idx="13" formatCode="_-* #,##0.0_-;\-* #,##0.0_-;_-* &quot;-&quot;??_-;_-@_-">
                  <c:v>1.1959999999999997</c:v>
                </c:pt>
                <c:pt idx="14" formatCode="_-* #,##0.0_-;\-* #,##0.0_-;_-* &quot;-&quot;??_-;_-@_-">
                  <c:v>1.1959999999999997</c:v>
                </c:pt>
              </c:numCache>
            </c:numRef>
          </c:val>
        </c:ser>
        <c:ser>
          <c:idx val="3"/>
          <c:order val="3"/>
          <c:tx>
            <c:strRef>
              <c:f>'DA-18'!$A$207</c:f>
              <c:strCache>
                <c:ptCount val="1"/>
                <c:pt idx="0">
                  <c:v>Total with Specific Escalations</c:v>
                </c:pt>
              </c:strCache>
            </c:strRef>
          </c:tx>
          <c:spPr>
            <a:ln w="25400">
              <a:solidFill>
                <a:srgbClr val="FF0000"/>
              </a:solidFill>
              <a:prstDash val="solid"/>
            </a:ln>
          </c:spPr>
          <c:marker>
            <c:symbol val="none"/>
          </c:marker>
          <c:cat>
            <c:strRef>
              <c:f>('DA-18'!$B$202:$H$202,'DA-18'!$B$204:$I$204)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('DA-18'!$B$200:$H$200,'DA-18'!$B$207:$I$207)</c:f>
              <c:numCache>
                <c:formatCode>General</c:formatCode>
                <c:ptCount val="15"/>
                <c:pt idx="7" formatCode="_-* #,##0.0_-;\-* #,##0.0_-;_-* &quot;-&quot;??_-;_-@_-">
                  <c:v>0</c:v>
                </c:pt>
                <c:pt idx="8" formatCode="_-* #,##0.0_-;\-* #,##0.0_-;_-* &quot;-&quot;??_-;_-@_-">
                  <c:v>0</c:v>
                </c:pt>
                <c:pt idx="9" formatCode="_-* #,##0.0_-;\-* #,##0.0_-;_-* &quot;-&quot;??_-;_-@_-">
                  <c:v>1.1959999999999997</c:v>
                </c:pt>
                <c:pt idx="10" formatCode="_-* #,##0.0_-;\-* #,##0.0_-;_-* &quot;-&quot;??_-;_-@_-">
                  <c:v>1.2086895101043569</c:v>
                </c:pt>
                <c:pt idx="11" formatCode="_-* #,##0.0_-;\-* #,##0.0_-;_-* &quot;-&quot;??_-;_-@_-">
                  <c:v>1.2204474301678394</c:v>
                </c:pt>
                <c:pt idx="12" formatCode="_-* #,##0.0_-;\-* #,##0.0_-;_-* &quot;-&quot;??_-;_-@_-">
                  <c:v>1.2320700035879504</c:v>
                </c:pt>
                <c:pt idx="13" formatCode="_-* #,##0.0_-;\-* #,##0.0_-;_-* &quot;-&quot;??_-;_-@_-">
                  <c:v>1.2446795622758067</c:v>
                </c:pt>
                <c:pt idx="14" formatCode="_-* #,##0.0_-;\-* #,##0.0_-;_-* &quot;-&quot;??_-;_-@_-">
                  <c:v>1.2562300124042238</c:v>
                </c:pt>
              </c:numCache>
            </c:numRef>
          </c:val>
        </c:ser>
        <c:ser>
          <c:idx val="2"/>
          <c:order val="4"/>
          <c:tx>
            <c:strRef>
              <c:f>'DA-18'!$A$208</c:f>
              <c:strCache>
                <c:ptCount val="1"/>
                <c:pt idx="0">
                  <c:v>Total with All Escalations</c:v>
                </c:pt>
              </c:strCache>
            </c:strRef>
          </c:tx>
          <c:spPr>
            <a:ln w="38100">
              <a:solidFill>
                <a:srgbClr val="00FF00"/>
              </a:solidFill>
              <a:prstDash val="solid"/>
            </a:ln>
          </c:spPr>
          <c:marker>
            <c:symbol val="none"/>
          </c:marker>
          <c:cat>
            <c:strRef>
              <c:f>('DA-18'!$B$202:$H$202,'DA-18'!$B$204:$I$204)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('DA-18'!$B$200:$H$200,'DA-18'!$B$208:$I$208)</c:f>
              <c:numCache>
                <c:formatCode>General</c:formatCode>
                <c:ptCount val="15"/>
                <c:pt idx="7" formatCode="_-* #,##0.0_-;\-* #,##0.0_-;_-* &quot;-&quot;??_-;_-@_-">
                  <c:v>0</c:v>
                </c:pt>
                <c:pt idx="8" formatCode="_-* #,##0.0_-;\-* #,##0.0_-;_-* &quot;-&quot;??_-;_-@_-">
                  <c:v>0</c:v>
                </c:pt>
                <c:pt idx="9" formatCode="_-* #,##0.0_-;\-* #,##0.0_-;_-* &quot;-&quot;??_-;_-@_-">
                  <c:v>1.1959999999999997</c:v>
                </c:pt>
                <c:pt idx="10" formatCode="_-* #,##0.0_-;\-* #,##0.0_-;_-* &quot;-&quot;??_-;_-@_-">
                  <c:v>1.2234568297780841</c:v>
                </c:pt>
                <c:pt idx="11" formatCode="_-* #,##0.0_-;\-* #,##0.0_-;_-* &quot;-&quot;??_-;_-@_-">
                  <c:v>1.2505558316872991</c:v>
                </c:pt>
                <c:pt idx="12" formatCode="_-* #,##0.0_-;\-* #,##0.0_-;_-* &quot;-&quot;??_-;_-@_-">
                  <c:v>1.2805062259334479</c:v>
                </c:pt>
                <c:pt idx="13" formatCode="_-* #,##0.0_-;\-* #,##0.0_-;_-* &quot;-&quot;??_-;_-@_-">
                  <c:v>1.3128330562009984</c:v>
                </c:pt>
                <c:pt idx="14" formatCode="_-* #,##0.0_-;\-* #,##0.0_-;_-* &quot;-&quot;??_-;_-@_-">
                  <c:v>1.3456637441623611</c:v>
                </c:pt>
              </c:numCache>
            </c:numRef>
          </c:val>
        </c:ser>
        <c:marker val="1"/>
        <c:axId val="190820352"/>
        <c:axId val="190821888"/>
      </c:lineChart>
      <c:catAx>
        <c:axId val="19082035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0821888"/>
        <c:crosses val="autoZero"/>
        <c:auto val="1"/>
        <c:lblAlgn val="ctr"/>
        <c:lblOffset val="100"/>
        <c:tickLblSkip val="1"/>
        <c:tickMarkSkip val="1"/>
      </c:catAx>
      <c:valAx>
        <c:axId val="19082188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082035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AU"/>
  <c:chart>
    <c:title>
      <c:tx>
        <c:strRef>
          <c:f>'A-6'!$B$2</c:f>
          <c:strCache>
            <c:ptCount val="1"/>
            <c:pt idx="0">
              <c:v>Regulation</c:v>
            </c:pt>
          </c:strCache>
        </c:strRef>
      </c:tx>
      <c:layout>
        <c:manualLayout>
          <c:xMode val="edge"/>
          <c:yMode val="edge"/>
          <c:x val="0.43489254108724079"/>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'A-6'!$A$203</c:f>
              <c:strCache>
                <c:ptCount val="1"/>
                <c:pt idx="0">
                  <c:v>Historic Expenditure</c:v>
                </c:pt>
              </c:strCache>
            </c:strRef>
          </c:tx>
          <c:spPr>
            <a:ln w="25400">
              <a:solidFill>
                <a:srgbClr val="33CCCC"/>
              </a:solidFill>
              <a:prstDash val="solid"/>
            </a:ln>
          </c:spPr>
          <c:marker>
            <c:symbol val="none"/>
          </c:marker>
          <c:cat>
            <c:strRef>
              <c:f>('A-6'!$B$202:$H$202,'A-6'!$B$204:$I$204)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('A-6'!$B$203:$H$203,'A-6'!$B$205,'A-6'!$C$200:$I$200)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'A-6'!$A$14</c:f>
              <c:strCache>
                <c:ptCount val="1"/>
                <c:pt idx="0">
                  <c:v>Baseline Expenditure</c:v>
                </c:pt>
              </c:strCache>
            </c:strRef>
          </c:tx>
          <c:spPr>
            <a:ln w="25400">
              <a:solidFill>
                <a:srgbClr val="0000FF"/>
              </a:solidFill>
              <a:prstDash val="solid"/>
            </a:ln>
          </c:spPr>
          <c:marker>
            <c:symbol val="none"/>
          </c:marker>
          <c:cat>
            <c:strRef>
              <c:f>('A-6'!$B$202:$H$202,'A-6'!$B$204:$I$204)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('A-6'!$B$200:$H$200,'A-6'!$B$205:$I$205)</c:f>
              <c:numCache>
                <c:formatCode>General</c:formatCode>
                <c:ptCount val="15"/>
                <c:pt idx="7" formatCode="_-* #,##0.0_-;\-* #,##0.0_-;_-* &quot;-&quot;??_-;_-@_-">
                  <c:v>0</c:v>
                </c:pt>
                <c:pt idx="8" formatCode="_-* #,##0.0_-;\-* #,##0.0_-;_-* &quot;-&quot;??_-;_-@_-">
                  <c:v>0</c:v>
                </c:pt>
                <c:pt idx="9" formatCode="_-* #,##0.0_-;\-* #,##0.0_-;_-* &quot;-&quot;??_-;_-@_-">
                  <c:v>6.0359999999999996</c:v>
                </c:pt>
                <c:pt idx="10" formatCode="_-* #,##0.0_-;\-* #,##0.0_-;_-* &quot;-&quot;??_-;_-@_-">
                  <c:v>6.0359999999999996</c:v>
                </c:pt>
                <c:pt idx="11" formatCode="_-* #,##0.0_-;\-* #,##0.0_-;_-* &quot;-&quot;??_-;_-@_-">
                  <c:v>6.0359999999999996</c:v>
                </c:pt>
                <c:pt idx="12" formatCode="_-* #,##0.0_-;\-* #,##0.0_-;_-* &quot;-&quot;??_-;_-@_-">
                  <c:v>6.0359999999999996</c:v>
                </c:pt>
                <c:pt idx="13" formatCode="_-* #,##0.0_-;\-* #,##0.0_-;_-* &quot;-&quot;??_-;_-@_-">
                  <c:v>6.0359999999999996</c:v>
                </c:pt>
                <c:pt idx="14" formatCode="_-* #,##0.0_-;\-* #,##0.0_-;_-* &quot;-&quot;??_-;_-@_-">
                  <c:v>6.0359999999999996</c:v>
                </c:pt>
              </c:numCache>
            </c:numRef>
          </c:val>
        </c:ser>
        <c:ser>
          <c:idx val="0"/>
          <c:order val="2"/>
          <c:tx>
            <c:strRef>
              <c:f>'A-6'!$A$206</c:f>
              <c:strCache>
                <c:ptCount val="1"/>
                <c:pt idx="0">
                  <c:v>Total with Variations</c:v>
                </c:pt>
              </c:strCache>
            </c:strRef>
          </c:tx>
          <c:spPr>
            <a:ln w="25400">
              <a:solidFill>
                <a:srgbClr val="993366"/>
              </a:solidFill>
              <a:prstDash val="solid"/>
            </a:ln>
          </c:spPr>
          <c:marker>
            <c:symbol val="none"/>
          </c:marker>
          <c:cat>
            <c:strRef>
              <c:f>('A-6'!$B$202:$H$202,'A-6'!$B$204:$I$204)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('A-6'!$B$200:$H$200,'A-6'!$B$206:$I$206)</c:f>
              <c:numCache>
                <c:formatCode>General</c:formatCode>
                <c:ptCount val="15"/>
                <c:pt idx="7" formatCode="_-* #,##0.0_-;\-* #,##0.0_-;_-* &quot;-&quot;??_-;_-@_-">
                  <c:v>0</c:v>
                </c:pt>
                <c:pt idx="8" formatCode="_-* #,##0.0_-;\-* #,##0.0_-;_-* &quot;-&quot;??_-;_-@_-">
                  <c:v>0</c:v>
                </c:pt>
                <c:pt idx="9" formatCode="_-* #,##0.0_-;\-* #,##0.0_-;_-* &quot;-&quot;??_-;_-@_-">
                  <c:v>6.0359999999999996</c:v>
                </c:pt>
                <c:pt idx="10" formatCode="_-* #,##0.0_-;\-* #,##0.0_-;_-* &quot;-&quot;??_-;_-@_-">
                  <c:v>6.0359999999999996</c:v>
                </c:pt>
                <c:pt idx="11" formatCode="_-* #,##0.0_-;\-* #,##0.0_-;_-* &quot;-&quot;??_-;_-@_-">
                  <c:v>6.0359999999999996</c:v>
                </c:pt>
                <c:pt idx="12" formatCode="_-* #,##0.0_-;\-* #,##0.0_-;_-* &quot;-&quot;??_-;_-@_-">
                  <c:v>7.1690000000000005</c:v>
                </c:pt>
                <c:pt idx="13" formatCode="_-* #,##0.0_-;\-* #,##0.0_-;_-* &quot;-&quot;??_-;_-@_-">
                  <c:v>7.1690000000000005</c:v>
                </c:pt>
                <c:pt idx="14" formatCode="_-* #,##0.0_-;\-* #,##0.0_-;_-* &quot;-&quot;??_-;_-@_-">
                  <c:v>7.1690000000000005</c:v>
                </c:pt>
              </c:numCache>
            </c:numRef>
          </c:val>
        </c:ser>
        <c:ser>
          <c:idx val="3"/>
          <c:order val="3"/>
          <c:tx>
            <c:strRef>
              <c:f>'A-6'!$A$207</c:f>
              <c:strCache>
                <c:ptCount val="1"/>
                <c:pt idx="0">
                  <c:v>Total with Specific Escalations</c:v>
                </c:pt>
              </c:strCache>
            </c:strRef>
          </c:tx>
          <c:spPr>
            <a:ln w="25400">
              <a:solidFill>
                <a:srgbClr val="FF0000"/>
              </a:solidFill>
              <a:prstDash val="solid"/>
            </a:ln>
          </c:spPr>
          <c:marker>
            <c:symbol val="none"/>
          </c:marker>
          <c:cat>
            <c:strRef>
              <c:f>('A-6'!$B$202:$H$202,'A-6'!$B$204:$I$204)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('A-6'!$B$200:$H$200,'A-6'!$B$207:$I$207)</c:f>
              <c:numCache>
                <c:formatCode>General</c:formatCode>
                <c:ptCount val="15"/>
                <c:pt idx="7" formatCode="_-* #,##0.0_-;\-* #,##0.0_-;_-* &quot;-&quot;??_-;_-@_-">
                  <c:v>0</c:v>
                </c:pt>
                <c:pt idx="8" formatCode="_-* #,##0.0_-;\-* #,##0.0_-;_-* &quot;-&quot;??_-;_-@_-">
                  <c:v>0</c:v>
                </c:pt>
                <c:pt idx="9" formatCode="_-* #,##0.0_-;\-* #,##0.0_-;_-* &quot;-&quot;??_-;_-@_-">
                  <c:v>6.0359999999999996</c:v>
                </c:pt>
                <c:pt idx="10" formatCode="_-* #,##0.0_-;\-* #,##0.0_-;_-* &quot;-&quot;??_-;_-@_-">
                  <c:v>6.1000417081855351</c:v>
                </c:pt>
                <c:pt idx="11" formatCode="_-* #,##0.0_-;\-* #,##0.0_-;_-* &quot;-&quot;??_-;_-@_-">
                  <c:v>6.1593818465661201</c:v>
                </c:pt>
                <c:pt idx="12" formatCode="_-* #,##0.0_-;\-* #,##0.0_-;_-* &quot;-&quot;??_-;_-@_-">
                  <c:v>7.3510389144288215</c:v>
                </c:pt>
                <c:pt idx="13" formatCode="_-* #,##0.0_-;\-* #,##0.0_-;_-* &quot;-&quot;??_-;_-@_-">
                  <c:v>7.4146771219872667</c:v>
                </c:pt>
                <c:pt idx="14" formatCode="_-* #,##0.0_-;\-* #,##0.0_-;_-* &quot;-&quot;??_-;_-@_-">
                  <c:v>7.4729701963811852</c:v>
                </c:pt>
              </c:numCache>
            </c:numRef>
          </c:val>
        </c:ser>
        <c:ser>
          <c:idx val="2"/>
          <c:order val="4"/>
          <c:tx>
            <c:strRef>
              <c:f>'A-6'!$A$208</c:f>
              <c:strCache>
                <c:ptCount val="1"/>
                <c:pt idx="0">
                  <c:v>Total with All Escalations</c:v>
                </c:pt>
              </c:strCache>
            </c:strRef>
          </c:tx>
          <c:spPr>
            <a:ln w="38100">
              <a:solidFill>
                <a:srgbClr val="00FF00"/>
              </a:solidFill>
              <a:prstDash val="solid"/>
            </a:ln>
          </c:spPr>
          <c:marker>
            <c:symbol val="none"/>
          </c:marker>
          <c:cat>
            <c:strRef>
              <c:f>('A-6'!$B$202:$H$202,'A-6'!$B$204:$I$204)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('A-6'!$B$200:$H$200,'A-6'!$B$208:$I$208)</c:f>
              <c:numCache>
                <c:formatCode>General</c:formatCode>
                <c:ptCount val="15"/>
                <c:pt idx="7" formatCode="_-* #,##0.0_-;\-* #,##0.0_-;_-* &quot;-&quot;??_-;_-@_-">
                  <c:v>0</c:v>
                </c:pt>
                <c:pt idx="8" formatCode="_-* #,##0.0_-;\-* #,##0.0_-;_-* &quot;-&quot;??_-;_-@_-">
                  <c:v>0</c:v>
                </c:pt>
                <c:pt idx="9" formatCode="_-* #,##0.0_-;\-* #,##0.0_-;_-* &quot;-&quot;??_-;_-@_-">
                  <c:v>6.0359999999999996</c:v>
                </c:pt>
                <c:pt idx="10" formatCode="_-* #,##0.0_-;\-* #,##0.0_-;_-* &quot;-&quot;??_-;_-@_-">
                  <c:v>6.2107688525828868</c:v>
                </c:pt>
                <c:pt idx="11" formatCode="_-* #,##0.0_-;\-* #,##0.0_-;_-* &quot;-&quot;??_-;_-@_-">
                  <c:v>6.3853055244174053</c:v>
                </c:pt>
                <c:pt idx="12" formatCode="_-* #,##0.0_-;\-* #,##0.0_-;_-* &quot;-&quot;??_-;_-@_-">
                  <c:v>7.7070275232761132</c:v>
                </c:pt>
                <c:pt idx="13" formatCode="_-* #,##0.0_-;\-* #,##0.0_-;_-* &quot;-&quot;??_-;_-@_-">
                  <c:v>7.9079183194844518</c:v>
                </c:pt>
                <c:pt idx="14" formatCode="_-* #,##0.0_-;\-* #,##0.0_-;_-* &quot;-&quot;??_-;_-@_-">
                  <c:v>8.1107168344046556</c:v>
                </c:pt>
              </c:numCache>
            </c:numRef>
          </c:val>
        </c:ser>
        <c:marker val="1"/>
        <c:axId val="156772992"/>
        <c:axId val="156791168"/>
      </c:lineChart>
      <c:catAx>
        <c:axId val="1567729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6791168"/>
        <c:crosses val="autoZero"/>
        <c:auto val="1"/>
        <c:lblAlgn val="ctr"/>
        <c:lblOffset val="100"/>
        <c:tickLblSkip val="1"/>
        <c:tickMarkSkip val="1"/>
      </c:catAx>
      <c:valAx>
        <c:axId val="15679116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67729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AU"/>
  <c:chart>
    <c:title>
      <c:tx>
        <c:strRef>
          <c:f>'DA-19'!$B$2</c:f>
          <c:strCache>
            <c:ptCount val="1"/>
            <c:pt idx="0">
              <c:v>Demand Management Innovation Fund</c:v>
            </c:pt>
          </c:strCache>
        </c:strRef>
      </c:tx>
      <c:layout>
        <c:manualLayout>
          <c:xMode val="edge"/>
          <c:yMode val="edge"/>
          <c:x val="0.2705436156763590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'DA-19'!$A$203</c:f>
              <c:strCache>
                <c:ptCount val="1"/>
                <c:pt idx="0">
                  <c:v>Historic Expenditure</c:v>
                </c:pt>
              </c:strCache>
            </c:strRef>
          </c:tx>
          <c:spPr>
            <a:ln w="25400">
              <a:solidFill>
                <a:srgbClr val="33CCCC"/>
              </a:solidFill>
              <a:prstDash val="solid"/>
            </a:ln>
          </c:spPr>
          <c:marker>
            <c:symbol val="none"/>
          </c:marker>
          <c:cat>
            <c:strRef>
              <c:f>('DA-19'!$B$202:$H$202,'DA-19'!$B$204:$I$204)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('DA-19'!$B$203:$H$203,'DA-19'!$B$205,'DA-19'!$C$200:$I$200)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'DA-19'!$A$14</c:f>
              <c:strCache>
                <c:ptCount val="1"/>
                <c:pt idx="0">
                  <c:v>Baseline Expenditure</c:v>
                </c:pt>
              </c:strCache>
            </c:strRef>
          </c:tx>
          <c:spPr>
            <a:ln w="25400">
              <a:solidFill>
                <a:srgbClr val="0000FF"/>
              </a:solidFill>
              <a:prstDash val="solid"/>
            </a:ln>
          </c:spPr>
          <c:marker>
            <c:symbol val="none"/>
          </c:marker>
          <c:cat>
            <c:strRef>
              <c:f>('DA-19'!$B$202:$H$202,'DA-19'!$B$204:$I$204)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('DA-19'!$B$200:$H$200,'DA-19'!$B$205:$I$205)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'DA-19'!$A$206</c:f>
              <c:strCache>
                <c:ptCount val="1"/>
                <c:pt idx="0">
                  <c:v>Total with Variations</c:v>
                </c:pt>
              </c:strCache>
            </c:strRef>
          </c:tx>
          <c:spPr>
            <a:ln w="25400">
              <a:solidFill>
                <a:srgbClr val="993366"/>
              </a:solidFill>
              <a:prstDash val="solid"/>
            </a:ln>
          </c:spPr>
          <c:marker>
            <c:symbol val="none"/>
          </c:marker>
          <c:cat>
            <c:strRef>
              <c:f>('DA-19'!$B$202:$H$202,'DA-19'!$B$204:$I$204)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('DA-19'!$B$200:$H$200,'DA-19'!$B$206:$I$206)</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3"/>
          <c:order val="3"/>
          <c:tx>
            <c:strRef>
              <c:f>'DA-19'!$A$207</c:f>
              <c:strCache>
                <c:ptCount val="1"/>
                <c:pt idx="0">
                  <c:v>Total with Specific Escalations</c:v>
                </c:pt>
              </c:strCache>
            </c:strRef>
          </c:tx>
          <c:spPr>
            <a:ln w="25400">
              <a:solidFill>
                <a:srgbClr val="FF0000"/>
              </a:solidFill>
              <a:prstDash val="solid"/>
            </a:ln>
          </c:spPr>
          <c:marker>
            <c:symbol val="none"/>
          </c:marker>
          <c:cat>
            <c:strRef>
              <c:f>('DA-19'!$B$202:$H$202,'DA-19'!$B$204:$I$204)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('DA-19'!$B$200:$H$200,'DA-19'!$B$207:$I$207)</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2"/>
          <c:order val="4"/>
          <c:tx>
            <c:strRef>
              <c:f>'DA-19'!$A$208</c:f>
              <c:strCache>
                <c:ptCount val="1"/>
                <c:pt idx="0">
                  <c:v>Total with All Escalations</c:v>
                </c:pt>
              </c:strCache>
            </c:strRef>
          </c:tx>
          <c:spPr>
            <a:ln w="38100">
              <a:solidFill>
                <a:srgbClr val="00FF00"/>
              </a:solidFill>
              <a:prstDash val="solid"/>
            </a:ln>
          </c:spPr>
          <c:marker>
            <c:symbol val="none"/>
          </c:marker>
          <c:cat>
            <c:strRef>
              <c:f>('DA-19'!$B$202:$H$202,'DA-19'!$B$204:$I$204)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('DA-19'!$B$200:$H$200,'DA-19'!$B$208:$I$208)</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marker val="1"/>
        <c:axId val="192751104"/>
        <c:axId val="192752640"/>
      </c:lineChart>
      <c:catAx>
        <c:axId val="19275110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2752640"/>
        <c:crosses val="autoZero"/>
        <c:auto val="1"/>
        <c:lblAlgn val="ctr"/>
        <c:lblOffset val="100"/>
        <c:tickLblSkip val="1"/>
        <c:tickMarkSkip val="1"/>
      </c:catAx>
      <c:valAx>
        <c:axId val="19275264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275110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AU"/>
  <c:chart>
    <c:title>
      <c:tx>
        <c:strRef>
          <c:f>'DA-20'!$B$2</c:f>
          <c:strCache>
            <c:ptCount val="1"/>
            <c:pt idx="0">
              <c:v>Guaranteed Service Level Payments</c:v>
            </c:pt>
          </c:strCache>
        </c:strRef>
      </c:tx>
      <c:layout>
        <c:manualLayout>
          <c:xMode val="edge"/>
          <c:yMode val="edge"/>
          <c:x val="0.2844500632111253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'DA-20'!$A$203</c:f>
              <c:strCache>
                <c:ptCount val="1"/>
                <c:pt idx="0">
                  <c:v>Historic Expenditure</c:v>
                </c:pt>
              </c:strCache>
            </c:strRef>
          </c:tx>
          <c:spPr>
            <a:ln w="25400">
              <a:solidFill>
                <a:srgbClr val="33CCCC"/>
              </a:solidFill>
              <a:prstDash val="solid"/>
            </a:ln>
          </c:spPr>
          <c:marker>
            <c:symbol val="none"/>
          </c:marker>
          <c:cat>
            <c:strRef>
              <c:f>('DA-20'!$B$202:$H$202,'DA-20'!$B$204:$I$204)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('DA-20'!$B$203:$H$203,'DA-20'!$B$205,'DA-20'!$C$200:$I$200)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'DA-20'!$A$14</c:f>
              <c:strCache>
                <c:ptCount val="1"/>
                <c:pt idx="0">
                  <c:v>Baseline Expenditure</c:v>
                </c:pt>
              </c:strCache>
            </c:strRef>
          </c:tx>
          <c:spPr>
            <a:ln w="25400">
              <a:solidFill>
                <a:srgbClr val="0000FF"/>
              </a:solidFill>
              <a:prstDash val="solid"/>
            </a:ln>
          </c:spPr>
          <c:marker>
            <c:symbol val="none"/>
          </c:marker>
          <c:cat>
            <c:strRef>
              <c:f>('DA-20'!$B$202:$H$202,'DA-20'!$B$204:$I$204)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('DA-20'!$B$200:$H$200,'DA-20'!$B$205:$I$205)</c:f>
              <c:numCache>
                <c:formatCode>General</c:formatCode>
                <c:ptCount val="15"/>
                <c:pt idx="7" formatCode="_-* #,##0.0_-;\-* #,##0.0_-;_-* &quot;-&quot;??_-;_-@_-">
                  <c:v>0</c:v>
                </c:pt>
                <c:pt idx="8" formatCode="_-* #,##0.0_-;\-* #,##0.0_-;_-* &quot;-&quot;??_-;_-@_-">
                  <c:v>0</c:v>
                </c:pt>
                <c:pt idx="9" formatCode="_-* #,##0.0_-;\-* #,##0.0_-;_-* &quot;-&quot;??_-;_-@_-">
                  <c:v>9.9329999999999998</c:v>
                </c:pt>
                <c:pt idx="10" formatCode="_-* #,##0.0_-;\-* #,##0.0_-;_-* &quot;-&quot;??_-;_-@_-">
                  <c:v>9.9329999999999998</c:v>
                </c:pt>
                <c:pt idx="11" formatCode="_-* #,##0.0_-;\-* #,##0.0_-;_-* &quot;-&quot;??_-;_-@_-">
                  <c:v>9.9329999999999998</c:v>
                </c:pt>
                <c:pt idx="12" formatCode="_-* #,##0.0_-;\-* #,##0.0_-;_-* &quot;-&quot;??_-;_-@_-">
                  <c:v>9.9329999999999998</c:v>
                </c:pt>
                <c:pt idx="13" formatCode="_-* #,##0.0_-;\-* #,##0.0_-;_-* &quot;-&quot;??_-;_-@_-">
                  <c:v>9.9329999999999998</c:v>
                </c:pt>
                <c:pt idx="14" formatCode="_-* #,##0.0_-;\-* #,##0.0_-;_-* &quot;-&quot;??_-;_-@_-">
                  <c:v>9.9329999999999998</c:v>
                </c:pt>
              </c:numCache>
            </c:numRef>
          </c:val>
        </c:ser>
        <c:ser>
          <c:idx val="0"/>
          <c:order val="2"/>
          <c:tx>
            <c:strRef>
              <c:f>'DA-20'!$A$206</c:f>
              <c:strCache>
                <c:ptCount val="1"/>
                <c:pt idx="0">
                  <c:v>Total with Variations</c:v>
                </c:pt>
              </c:strCache>
            </c:strRef>
          </c:tx>
          <c:spPr>
            <a:ln w="25400">
              <a:solidFill>
                <a:srgbClr val="993366"/>
              </a:solidFill>
              <a:prstDash val="solid"/>
            </a:ln>
          </c:spPr>
          <c:marker>
            <c:symbol val="none"/>
          </c:marker>
          <c:cat>
            <c:strRef>
              <c:f>('DA-20'!$B$202:$H$202,'DA-20'!$B$204:$I$204)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('DA-20'!$B$200:$H$200,'DA-20'!$B$206:$I$206)</c:f>
              <c:numCache>
                <c:formatCode>General</c:formatCode>
                <c:ptCount val="15"/>
                <c:pt idx="7" formatCode="_-* #,##0.0_-;\-* #,##0.0_-;_-* &quot;-&quot;??_-;_-@_-">
                  <c:v>0</c:v>
                </c:pt>
                <c:pt idx="8" formatCode="_-* #,##0.0_-;\-* #,##0.0_-;_-* &quot;-&quot;??_-;_-@_-">
                  <c:v>0</c:v>
                </c:pt>
                <c:pt idx="9" formatCode="_-* #,##0.0_-;\-* #,##0.0_-;_-* &quot;-&quot;??_-;_-@_-">
                  <c:v>9.9329999999999998</c:v>
                </c:pt>
                <c:pt idx="10" formatCode="_-* #,##0.0_-;\-* #,##0.0_-;_-* &quot;-&quot;??_-;_-@_-">
                  <c:v>9.9329999999999998</c:v>
                </c:pt>
                <c:pt idx="11" formatCode="_-* #,##0.0_-;\-* #,##0.0_-;_-* &quot;-&quot;??_-;_-@_-">
                  <c:v>9.9329999999999998</c:v>
                </c:pt>
                <c:pt idx="12" formatCode="_-* #,##0.0_-;\-* #,##0.0_-;_-* &quot;-&quot;??_-;_-@_-">
                  <c:v>9.9329999999999998</c:v>
                </c:pt>
                <c:pt idx="13" formatCode="_-* #,##0.0_-;\-* #,##0.0_-;_-* &quot;-&quot;??_-;_-@_-">
                  <c:v>9.9329999999999998</c:v>
                </c:pt>
                <c:pt idx="14" formatCode="_-* #,##0.0_-;\-* #,##0.0_-;_-* &quot;-&quot;??_-;_-@_-">
                  <c:v>9.9329999999999998</c:v>
                </c:pt>
              </c:numCache>
            </c:numRef>
          </c:val>
        </c:ser>
        <c:ser>
          <c:idx val="3"/>
          <c:order val="3"/>
          <c:tx>
            <c:strRef>
              <c:f>'DA-20'!$A$207</c:f>
              <c:strCache>
                <c:ptCount val="1"/>
                <c:pt idx="0">
                  <c:v>Total with Specific Escalations</c:v>
                </c:pt>
              </c:strCache>
            </c:strRef>
          </c:tx>
          <c:spPr>
            <a:ln w="25400">
              <a:solidFill>
                <a:srgbClr val="FF0000"/>
              </a:solidFill>
              <a:prstDash val="solid"/>
            </a:ln>
          </c:spPr>
          <c:marker>
            <c:symbol val="none"/>
          </c:marker>
          <c:cat>
            <c:strRef>
              <c:f>('DA-20'!$B$202:$H$202,'DA-20'!$B$204:$I$204)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('DA-20'!$B$200:$H$200,'DA-20'!$B$207:$I$207)</c:f>
              <c:numCache>
                <c:formatCode>General</c:formatCode>
                <c:ptCount val="15"/>
                <c:pt idx="7" formatCode="_-* #,##0.0_-;\-* #,##0.0_-;_-* &quot;-&quot;??_-;_-@_-">
                  <c:v>0</c:v>
                </c:pt>
                <c:pt idx="8" formatCode="_-* #,##0.0_-;\-* #,##0.0_-;_-* &quot;-&quot;??_-;_-@_-">
                  <c:v>0</c:v>
                </c:pt>
                <c:pt idx="9" formatCode="_-* #,##0.0_-;\-* #,##0.0_-;_-* &quot;-&quot;??_-;_-@_-">
                  <c:v>9.9329999999999998</c:v>
                </c:pt>
                <c:pt idx="10" formatCode="_-* #,##0.0_-;\-* #,##0.0_-;_-* &quot;-&quot;??_-;_-@_-">
                  <c:v>10.038388715607509</c:v>
                </c:pt>
                <c:pt idx="11" formatCode="_-* #,##0.0_-;\-* #,##0.0_-;_-* &quot;-&quot;??_-;_-@_-">
                  <c:v>10.136040404562836</c:v>
                </c:pt>
                <c:pt idx="12" formatCode="_-* #,##0.0_-;\-* #,##0.0_-;_-* &quot;-&quot;??_-;_-@_-">
                  <c:v>10.232568014748422</c:v>
                </c:pt>
                <c:pt idx="13" formatCode="_-* #,##0.0_-;\-* #,##0.0_-;_-* &quot;-&quot;??_-;_-@_-">
                  <c:v>10.337292719135108</c:v>
                </c:pt>
                <c:pt idx="14" formatCode="_-* #,##0.0_-;\-* #,##0.0_-;_-* &quot;-&quot;??_-;_-@_-">
                  <c:v>10.433221332116354</c:v>
                </c:pt>
              </c:numCache>
            </c:numRef>
          </c:val>
        </c:ser>
        <c:ser>
          <c:idx val="2"/>
          <c:order val="4"/>
          <c:tx>
            <c:strRef>
              <c:f>'DA-20'!$A$208</c:f>
              <c:strCache>
                <c:ptCount val="1"/>
                <c:pt idx="0">
                  <c:v>Total with All Escalations</c:v>
                </c:pt>
              </c:strCache>
            </c:strRef>
          </c:tx>
          <c:spPr>
            <a:ln w="38100">
              <a:solidFill>
                <a:srgbClr val="00FF00"/>
              </a:solidFill>
              <a:prstDash val="solid"/>
            </a:ln>
          </c:spPr>
          <c:marker>
            <c:symbol val="none"/>
          </c:marker>
          <c:cat>
            <c:strRef>
              <c:f>('DA-20'!$B$202:$H$202,'DA-20'!$B$204:$I$204)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('DA-20'!$B$200:$H$200,'DA-20'!$B$208:$I$208)</c:f>
              <c:numCache>
                <c:formatCode>General</c:formatCode>
                <c:ptCount val="15"/>
                <c:pt idx="7" formatCode="_-* #,##0.0_-;\-* #,##0.0_-;_-* &quot;-&quot;??_-;_-@_-">
                  <c:v>0</c:v>
                </c:pt>
                <c:pt idx="8" formatCode="_-* #,##0.0_-;\-* #,##0.0_-;_-* &quot;-&quot;??_-;_-@_-">
                  <c:v>0</c:v>
                </c:pt>
                <c:pt idx="9" formatCode="_-* #,##0.0_-;\-* #,##0.0_-;_-* &quot;-&quot;??_-;_-@_-">
                  <c:v>9.9329999999999998</c:v>
                </c:pt>
                <c:pt idx="10" formatCode="_-* #,##0.0_-;\-* #,##0.0_-;_-* &quot;-&quot;??_-;_-@_-">
                  <c:v>10.038388715607509</c:v>
                </c:pt>
                <c:pt idx="11" formatCode="_-* #,##0.0_-;\-* #,##0.0_-;_-* &quot;-&quot;??_-;_-@_-">
                  <c:v>10.136040404562836</c:v>
                </c:pt>
                <c:pt idx="12" formatCode="_-* #,##0.0_-;\-* #,##0.0_-;_-* &quot;-&quot;??_-;_-@_-">
                  <c:v>10.232568014748422</c:v>
                </c:pt>
                <c:pt idx="13" formatCode="_-* #,##0.0_-;\-* #,##0.0_-;_-* &quot;-&quot;??_-;_-@_-">
                  <c:v>10.337292719135108</c:v>
                </c:pt>
                <c:pt idx="14" formatCode="_-* #,##0.0_-;\-* #,##0.0_-;_-* &quot;-&quot;??_-;_-@_-">
                  <c:v>10.433221332116354</c:v>
                </c:pt>
              </c:numCache>
            </c:numRef>
          </c:val>
        </c:ser>
        <c:marker val="1"/>
        <c:axId val="193035264"/>
        <c:axId val="193053440"/>
      </c:lineChart>
      <c:catAx>
        <c:axId val="19303526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3053440"/>
        <c:crosses val="autoZero"/>
        <c:auto val="1"/>
        <c:lblAlgn val="ctr"/>
        <c:lblOffset val="100"/>
        <c:tickLblSkip val="1"/>
        <c:tickMarkSkip val="1"/>
      </c:catAx>
      <c:valAx>
        <c:axId val="19305344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303526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AU"/>
  <c:chart>
    <c:title>
      <c:tx>
        <c:strRef>
          <c:f>'DA-21'!$B$2</c:f>
          <c:strCache>
            <c:ptCount val="1"/>
            <c:pt idx="0">
              <c:v>Property – Substation Sites</c:v>
            </c:pt>
          </c:strCache>
        </c:strRef>
      </c:tx>
      <c:layout>
        <c:manualLayout>
          <c:xMode val="edge"/>
          <c:yMode val="edge"/>
          <c:x val="0.33754740834387953"/>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'DA-21'!$A$203</c:f>
              <c:strCache>
                <c:ptCount val="1"/>
                <c:pt idx="0">
                  <c:v>Historic Expenditure</c:v>
                </c:pt>
              </c:strCache>
            </c:strRef>
          </c:tx>
          <c:spPr>
            <a:ln w="25400">
              <a:solidFill>
                <a:srgbClr val="33CCCC"/>
              </a:solidFill>
              <a:prstDash val="solid"/>
            </a:ln>
          </c:spPr>
          <c:marker>
            <c:symbol val="none"/>
          </c:marker>
          <c:cat>
            <c:strRef>
              <c:f>('DA-21'!$B$202:$H$202,'DA-21'!$B$204:$I$204)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('DA-21'!$B$203:$H$203,'DA-21'!$B$205,'DA-21'!$C$200:$I$200)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'DA-21'!$A$14</c:f>
              <c:strCache>
                <c:ptCount val="1"/>
                <c:pt idx="0">
                  <c:v>Baseline Expenditure</c:v>
                </c:pt>
              </c:strCache>
            </c:strRef>
          </c:tx>
          <c:spPr>
            <a:ln w="25400">
              <a:solidFill>
                <a:srgbClr val="0000FF"/>
              </a:solidFill>
              <a:prstDash val="solid"/>
            </a:ln>
          </c:spPr>
          <c:marker>
            <c:symbol val="none"/>
          </c:marker>
          <c:cat>
            <c:strRef>
              <c:f>('DA-21'!$B$202:$H$202,'DA-21'!$B$204:$I$204)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('DA-21'!$B$200:$H$200,'DA-21'!$B$205:$I$205)</c:f>
              <c:numCache>
                <c:formatCode>General</c:formatCode>
                <c:ptCount val="15"/>
                <c:pt idx="7" formatCode="_-* #,##0.0_-;\-* #,##0.0_-;_-* &quot;-&quot;??_-;_-@_-">
                  <c:v>0</c:v>
                </c:pt>
                <c:pt idx="8" formatCode="_-* #,##0.0_-;\-* #,##0.0_-;_-* &quot;-&quot;??_-;_-@_-">
                  <c:v>0</c:v>
                </c:pt>
                <c:pt idx="9" formatCode="_-* #,##0.0_-;\-* #,##0.0_-;_-* &quot;-&quot;??_-;_-@_-">
                  <c:v>6.7369999999999992</c:v>
                </c:pt>
                <c:pt idx="10" formatCode="_-* #,##0.0_-;\-* #,##0.0_-;_-* &quot;-&quot;??_-;_-@_-">
                  <c:v>6.7369999999999992</c:v>
                </c:pt>
                <c:pt idx="11" formatCode="_-* #,##0.0_-;\-* #,##0.0_-;_-* &quot;-&quot;??_-;_-@_-">
                  <c:v>6.7369999999999992</c:v>
                </c:pt>
                <c:pt idx="12" formatCode="_-* #,##0.0_-;\-* #,##0.0_-;_-* &quot;-&quot;??_-;_-@_-">
                  <c:v>6.7369999999999992</c:v>
                </c:pt>
                <c:pt idx="13" formatCode="_-* #,##0.0_-;\-* #,##0.0_-;_-* &quot;-&quot;??_-;_-@_-">
                  <c:v>6.7369999999999992</c:v>
                </c:pt>
                <c:pt idx="14" formatCode="_-* #,##0.0_-;\-* #,##0.0_-;_-* &quot;-&quot;??_-;_-@_-">
                  <c:v>6.7369999999999992</c:v>
                </c:pt>
              </c:numCache>
            </c:numRef>
          </c:val>
        </c:ser>
        <c:ser>
          <c:idx val="0"/>
          <c:order val="2"/>
          <c:tx>
            <c:strRef>
              <c:f>'DA-21'!$A$206</c:f>
              <c:strCache>
                <c:ptCount val="1"/>
                <c:pt idx="0">
                  <c:v>Total with Variations</c:v>
                </c:pt>
              </c:strCache>
            </c:strRef>
          </c:tx>
          <c:spPr>
            <a:ln w="25400">
              <a:solidFill>
                <a:srgbClr val="993366"/>
              </a:solidFill>
              <a:prstDash val="solid"/>
            </a:ln>
          </c:spPr>
          <c:marker>
            <c:symbol val="none"/>
          </c:marker>
          <c:cat>
            <c:strRef>
              <c:f>('DA-21'!$B$202:$H$202,'DA-21'!$B$204:$I$204)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('DA-21'!$B$200:$H$200,'DA-21'!$B$206:$I$206)</c:f>
              <c:numCache>
                <c:formatCode>General</c:formatCode>
                <c:ptCount val="15"/>
                <c:pt idx="7" formatCode="_-* #,##0.0_-;\-* #,##0.0_-;_-* &quot;-&quot;??_-;_-@_-">
                  <c:v>0</c:v>
                </c:pt>
                <c:pt idx="8" formatCode="_-* #,##0.0_-;\-* #,##0.0_-;_-* &quot;-&quot;??_-;_-@_-">
                  <c:v>0</c:v>
                </c:pt>
                <c:pt idx="9" formatCode="_-* #,##0.0_-;\-* #,##0.0_-;_-* &quot;-&quot;??_-;_-@_-">
                  <c:v>6.7369999999999992</c:v>
                </c:pt>
                <c:pt idx="10" formatCode="_-* #,##0.0_-;\-* #,##0.0_-;_-* &quot;-&quot;??_-;_-@_-">
                  <c:v>6.7369999999999992</c:v>
                </c:pt>
                <c:pt idx="11" formatCode="_-* #,##0.0_-;\-* #,##0.0_-;_-* &quot;-&quot;??_-;_-@_-">
                  <c:v>6.7369999999999992</c:v>
                </c:pt>
                <c:pt idx="12" formatCode="_-* #,##0.0_-;\-* #,##0.0_-;_-* &quot;-&quot;??_-;_-@_-">
                  <c:v>6.7369999999999992</c:v>
                </c:pt>
                <c:pt idx="13" formatCode="_-* #,##0.0_-;\-* #,##0.0_-;_-* &quot;-&quot;??_-;_-@_-">
                  <c:v>6.7369999999999992</c:v>
                </c:pt>
                <c:pt idx="14" formatCode="_-* #,##0.0_-;\-* #,##0.0_-;_-* &quot;-&quot;??_-;_-@_-">
                  <c:v>6.7369999999999992</c:v>
                </c:pt>
              </c:numCache>
            </c:numRef>
          </c:val>
        </c:ser>
        <c:ser>
          <c:idx val="3"/>
          <c:order val="3"/>
          <c:tx>
            <c:strRef>
              <c:f>'DA-21'!$A$207</c:f>
              <c:strCache>
                <c:ptCount val="1"/>
                <c:pt idx="0">
                  <c:v>Total with Specific Escalations</c:v>
                </c:pt>
              </c:strCache>
            </c:strRef>
          </c:tx>
          <c:spPr>
            <a:ln w="25400">
              <a:solidFill>
                <a:srgbClr val="FF0000"/>
              </a:solidFill>
              <a:prstDash val="solid"/>
            </a:ln>
          </c:spPr>
          <c:marker>
            <c:symbol val="none"/>
          </c:marker>
          <c:cat>
            <c:strRef>
              <c:f>('DA-21'!$B$202:$H$202,'DA-21'!$B$204:$I$204)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('DA-21'!$B$200:$H$200,'DA-21'!$B$207:$I$207)</c:f>
              <c:numCache>
                <c:formatCode>General</c:formatCode>
                <c:ptCount val="15"/>
                <c:pt idx="7" formatCode="_-* #,##0.0_-;\-* #,##0.0_-;_-* &quot;-&quot;??_-;_-@_-">
                  <c:v>0</c:v>
                </c:pt>
                <c:pt idx="8" formatCode="_-* #,##0.0_-;\-* #,##0.0_-;_-* &quot;-&quot;??_-;_-@_-">
                  <c:v>0</c:v>
                </c:pt>
                <c:pt idx="9" formatCode="_-* #,##0.0_-;\-* #,##0.0_-;_-* &quot;-&quot;??_-;_-@_-">
                  <c:v>6.7369999999999992</c:v>
                </c:pt>
                <c:pt idx="10" formatCode="_-* #,##0.0_-;\-* #,##0.0_-;_-* &quot;-&quot;??_-;_-@_-">
                  <c:v>6.8084792889406804</c:v>
                </c:pt>
                <c:pt idx="11" formatCode="_-* #,##0.0_-;\-* #,##0.0_-;_-* &quot;-&quot;??_-;_-@_-">
                  <c:v>6.8747109841477716</c:v>
                </c:pt>
                <c:pt idx="12" formatCode="_-* #,##0.0_-;\-* #,##0.0_-;_-* &quot;-&quot;??_-;_-@_-">
                  <c:v>6.9401802794080449</c:v>
                </c:pt>
                <c:pt idx="13" formatCode="_-* #,##0.0_-;\-* #,##0.0_-;_-* &quot;-&quot;??_-;_-@_-">
                  <c:v>7.0112092065653089</c:v>
                </c:pt>
                <c:pt idx="14" formatCode="_-* #,##0.0_-;\-* #,##0.0_-;_-* &quot;-&quot;??_-;_-@_-">
                  <c:v>7.0762722354241285</c:v>
                </c:pt>
              </c:numCache>
            </c:numRef>
          </c:val>
        </c:ser>
        <c:ser>
          <c:idx val="2"/>
          <c:order val="4"/>
          <c:tx>
            <c:strRef>
              <c:f>'DA-21'!$A$208</c:f>
              <c:strCache>
                <c:ptCount val="1"/>
                <c:pt idx="0">
                  <c:v>Total with All Escalations</c:v>
                </c:pt>
              </c:strCache>
            </c:strRef>
          </c:tx>
          <c:spPr>
            <a:ln w="38100">
              <a:solidFill>
                <a:srgbClr val="00FF00"/>
              </a:solidFill>
              <a:prstDash val="solid"/>
            </a:ln>
          </c:spPr>
          <c:marker>
            <c:symbol val="none"/>
          </c:marker>
          <c:cat>
            <c:strRef>
              <c:f>('DA-21'!$B$202:$H$202,'DA-21'!$B$204:$I$204)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('DA-21'!$B$200:$H$200,'DA-21'!$B$208:$I$208)</c:f>
              <c:numCache>
                <c:formatCode>General</c:formatCode>
                <c:ptCount val="15"/>
                <c:pt idx="7" formatCode="_-* #,##0.0_-;\-* #,##0.0_-;_-* &quot;-&quot;??_-;_-@_-">
                  <c:v>0</c:v>
                </c:pt>
                <c:pt idx="8" formatCode="_-* #,##0.0_-;\-* #,##0.0_-;_-* &quot;-&quot;??_-;_-@_-">
                  <c:v>0</c:v>
                </c:pt>
                <c:pt idx="9" formatCode="_-* #,##0.0_-;\-* #,##0.0_-;_-* &quot;-&quot;??_-;_-@_-">
                  <c:v>6.7369999999999992</c:v>
                </c:pt>
                <c:pt idx="10" formatCode="_-* #,##0.0_-;\-* #,##0.0_-;_-* &quot;-&quot;??_-;_-@_-">
                  <c:v>6.8446016198987287</c:v>
                </c:pt>
                <c:pt idx="11" formatCode="_-* #,##0.0_-;\-* #,##0.0_-;_-* &quot;-&quot;??_-;_-@_-">
                  <c:v>6.9480714370193084</c:v>
                </c:pt>
                <c:pt idx="12" formatCode="_-* #,##0.0_-;\-* #,##0.0_-;_-* &quot;-&quot;??_-;_-@_-">
                  <c:v>7.0710310900294244</c:v>
                </c:pt>
                <c:pt idx="13" formatCode="_-* #,##0.0_-;\-* #,##0.0_-;_-* &quot;-&quot;??_-;_-@_-">
                  <c:v>7.2085060797886529</c:v>
                </c:pt>
                <c:pt idx="14" formatCode="_-* #,##0.0_-;\-* #,##0.0_-;_-* &quot;-&quot;??_-;_-@_-">
                  <c:v>7.3515210889396165</c:v>
                </c:pt>
              </c:numCache>
            </c:numRef>
          </c:val>
        </c:ser>
        <c:marker val="1"/>
        <c:axId val="191718144"/>
        <c:axId val="191719680"/>
      </c:lineChart>
      <c:catAx>
        <c:axId val="19171814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1719680"/>
        <c:crosses val="autoZero"/>
        <c:auto val="1"/>
        <c:lblAlgn val="ctr"/>
        <c:lblOffset val="100"/>
        <c:tickLblSkip val="1"/>
        <c:tickMarkSkip val="1"/>
      </c:catAx>
      <c:valAx>
        <c:axId val="19171968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171814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AU"/>
  <c:chart>
    <c:title>
      <c:tx>
        <c:strRef>
          <c:f>'DA-22'!$B$2</c:f>
          <c:strCache>
            <c:ptCount val="1"/>
            <c:pt idx="0">
              <c:v>Network Insurance</c:v>
            </c:pt>
          </c:strCache>
        </c:strRef>
      </c:tx>
      <c:layout>
        <c:manualLayout>
          <c:xMode val="edge"/>
          <c:yMode val="edge"/>
          <c:x val="0.3868520859671456"/>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'DA-22'!$A$203</c:f>
              <c:strCache>
                <c:ptCount val="1"/>
                <c:pt idx="0">
                  <c:v>Historic Expenditure</c:v>
                </c:pt>
              </c:strCache>
            </c:strRef>
          </c:tx>
          <c:spPr>
            <a:ln w="25400">
              <a:solidFill>
                <a:srgbClr val="33CCCC"/>
              </a:solidFill>
              <a:prstDash val="solid"/>
            </a:ln>
          </c:spPr>
          <c:marker>
            <c:symbol val="none"/>
          </c:marker>
          <c:cat>
            <c:strRef>
              <c:f>('DA-22'!$B$202:$H$202,'DA-22'!$B$204:$I$204)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('DA-22'!$B$203:$H$203,'DA-22'!$B$205,'DA-22'!$C$200:$I$200)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'DA-22'!$A$14</c:f>
              <c:strCache>
                <c:ptCount val="1"/>
                <c:pt idx="0">
                  <c:v>Baseline Expenditure</c:v>
                </c:pt>
              </c:strCache>
            </c:strRef>
          </c:tx>
          <c:spPr>
            <a:ln w="25400">
              <a:solidFill>
                <a:srgbClr val="0000FF"/>
              </a:solidFill>
              <a:prstDash val="solid"/>
            </a:ln>
          </c:spPr>
          <c:marker>
            <c:symbol val="none"/>
          </c:marker>
          <c:cat>
            <c:strRef>
              <c:f>('DA-22'!$B$202:$H$202,'DA-22'!$B$204:$I$204)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('DA-22'!$B$200:$H$200,'DA-22'!$B$205:$I$205)</c:f>
              <c:numCache>
                <c:formatCode>General</c:formatCode>
                <c:ptCount val="15"/>
                <c:pt idx="7" formatCode="_-* #,##0.0_-;\-* #,##0.0_-;_-* &quot;-&quot;??_-;_-@_-">
                  <c:v>0</c:v>
                </c:pt>
                <c:pt idx="8" formatCode="_-* #,##0.0_-;\-* #,##0.0_-;_-* &quot;-&quot;??_-;_-@_-">
                  <c:v>0</c:v>
                </c:pt>
                <c:pt idx="9" formatCode="_-* #,##0.0_-;\-* #,##0.0_-;_-* &quot;-&quot;??_-;_-@_-">
                  <c:v>3.0029999999999997</c:v>
                </c:pt>
                <c:pt idx="10" formatCode="_-* #,##0.0_-;\-* #,##0.0_-;_-* &quot;-&quot;??_-;_-@_-">
                  <c:v>3.0029999999999997</c:v>
                </c:pt>
                <c:pt idx="11" formatCode="_-* #,##0.0_-;\-* #,##0.0_-;_-* &quot;-&quot;??_-;_-@_-">
                  <c:v>3.0029999999999997</c:v>
                </c:pt>
                <c:pt idx="12" formatCode="_-* #,##0.0_-;\-* #,##0.0_-;_-* &quot;-&quot;??_-;_-@_-">
                  <c:v>3.0029999999999997</c:v>
                </c:pt>
                <c:pt idx="13" formatCode="_-* #,##0.0_-;\-* #,##0.0_-;_-* &quot;-&quot;??_-;_-@_-">
                  <c:v>3.0029999999999997</c:v>
                </c:pt>
                <c:pt idx="14" formatCode="_-* #,##0.0_-;\-* #,##0.0_-;_-* &quot;-&quot;??_-;_-@_-">
                  <c:v>3.0029999999999997</c:v>
                </c:pt>
              </c:numCache>
            </c:numRef>
          </c:val>
        </c:ser>
        <c:ser>
          <c:idx val="0"/>
          <c:order val="2"/>
          <c:tx>
            <c:strRef>
              <c:f>'DA-22'!$A$206</c:f>
              <c:strCache>
                <c:ptCount val="1"/>
                <c:pt idx="0">
                  <c:v>Total with Variations</c:v>
                </c:pt>
              </c:strCache>
            </c:strRef>
          </c:tx>
          <c:spPr>
            <a:ln w="25400">
              <a:solidFill>
                <a:srgbClr val="993366"/>
              </a:solidFill>
              <a:prstDash val="solid"/>
            </a:ln>
          </c:spPr>
          <c:marker>
            <c:symbol val="none"/>
          </c:marker>
          <c:cat>
            <c:strRef>
              <c:f>('DA-22'!$B$202:$H$202,'DA-22'!$B$204:$I$204)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('DA-22'!$B$200:$H$200,'DA-22'!$B$206:$I$206)</c:f>
              <c:numCache>
                <c:formatCode>General</c:formatCode>
                <c:ptCount val="15"/>
                <c:pt idx="7" formatCode="_-* #,##0.0_-;\-* #,##0.0_-;_-* &quot;-&quot;??_-;_-@_-">
                  <c:v>0</c:v>
                </c:pt>
                <c:pt idx="8" formatCode="_-* #,##0.0_-;\-* #,##0.0_-;_-* &quot;-&quot;??_-;_-@_-">
                  <c:v>0</c:v>
                </c:pt>
                <c:pt idx="9" formatCode="_-* #,##0.0_-;\-* #,##0.0_-;_-* &quot;-&quot;??_-;_-@_-">
                  <c:v>3.0029999999999997</c:v>
                </c:pt>
                <c:pt idx="10" formatCode="_-* #,##0.0_-;\-* #,##0.0_-;_-* &quot;-&quot;??_-;_-@_-">
                  <c:v>3.0029999999999997</c:v>
                </c:pt>
                <c:pt idx="11" formatCode="_-* #,##0.0_-;\-* #,##0.0_-;_-* &quot;-&quot;??_-;_-@_-">
                  <c:v>3.0029999999999997</c:v>
                </c:pt>
                <c:pt idx="12" formatCode="_-* #,##0.0_-;\-* #,##0.0_-;_-* &quot;-&quot;??_-;_-@_-">
                  <c:v>3.0029999999999997</c:v>
                </c:pt>
                <c:pt idx="13" formatCode="_-* #,##0.0_-;\-* #,##0.0_-;_-* &quot;-&quot;??_-;_-@_-">
                  <c:v>3.0029999999999997</c:v>
                </c:pt>
                <c:pt idx="14" formatCode="_-* #,##0.0_-;\-* #,##0.0_-;_-* &quot;-&quot;??_-;_-@_-">
                  <c:v>3.0029999999999997</c:v>
                </c:pt>
              </c:numCache>
            </c:numRef>
          </c:val>
        </c:ser>
        <c:ser>
          <c:idx val="3"/>
          <c:order val="3"/>
          <c:tx>
            <c:strRef>
              <c:f>'DA-22'!$A$207</c:f>
              <c:strCache>
                <c:ptCount val="1"/>
                <c:pt idx="0">
                  <c:v>Total with Specific Escalations</c:v>
                </c:pt>
              </c:strCache>
            </c:strRef>
          </c:tx>
          <c:spPr>
            <a:ln w="25400">
              <a:solidFill>
                <a:srgbClr val="FF0000"/>
              </a:solidFill>
              <a:prstDash val="solid"/>
            </a:ln>
          </c:spPr>
          <c:marker>
            <c:symbol val="none"/>
          </c:marker>
          <c:cat>
            <c:strRef>
              <c:f>('DA-22'!$B$202:$H$202,'DA-22'!$B$204:$I$204)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('DA-22'!$B$200:$H$200,'DA-22'!$B$207:$I$207)</c:f>
              <c:numCache>
                <c:formatCode>General</c:formatCode>
                <c:ptCount val="15"/>
                <c:pt idx="7" formatCode="_-* #,##0.0_-;\-* #,##0.0_-;_-* &quot;-&quot;??_-;_-@_-">
                  <c:v>0</c:v>
                </c:pt>
                <c:pt idx="8" formatCode="_-* #,##0.0_-;\-* #,##0.0_-;_-* &quot;-&quot;??_-;_-@_-">
                  <c:v>0</c:v>
                </c:pt>
                <c:pt idx="9" formatCode="_-* #,##0.0_-;\-* #,##0.0_-;_-* &quot;-&quot;??_-;_-@_-">
                  <c:v>3.0029999999999997</c:v>
                </c:pt>
                <c:pt idx="10" formatCode="_-* #,##0.0_-;\-* #,##0.0_-;_-* &quot;-&quot;??_-;_-@_-">
                  <c:v>3.0348617047185487</c:v>
                </c:pt>
                <c:pt idx="11" formatCode="_-* #,##0.0_-;\-* #,##0.0_-;_-* &quot;-&quot;??_-;_-@_-">
                  <c:v>3.0643843083562059</c:v>
                </c:pt>
                <c:pt idx="12" formatCode="_-* #,##0.0_-;\-* #,##0.0_-;_-* &quot;-&quot;??_-;_-@_-">
                  <c:v>3.0935670742262671</c:v>
                </c:pt>
                <c:pt idx="13" formatCode="_-* #,##0.0_-;\-* #,##0.0_-;_-* &quot;-&quot;??_-;_-@_-">
                  <c:v>3.1252280313664276</c:v>
                </c:pt>
                <c:pt idx="14" formatCode="_-* #,##0.0_-;\-* #,##0.0_-;_-* &quot;-&quot;??_-;_-@_-">
                  <c:v>3.154229705058432</c:v>
                </c:pt>
              </c:numCache>
            </c:numRef>
          </c:val>
        </c:ser>
        <c:ser>
          <c:idx val="2"/>
          <c:order val="4"/>
          <c:tx>
            <c:strRef>
              <c:f>'DA-22'!$A$208</c:f>
              <c:strCache>
                <c:ptCount val="1"/>
                <c:pt idx="0">
                  <c:v>Total with All Escalations</c:v>
                </c:pt>
              </c:strCache>
            </c:strRef>
          </c:tx>
          <c:spPr>
            <a:ln w="38100">
              <a:solidFill>
                <a:srgbClr val="00FF00"/>
              </a:solidFill>
              <a:prstDash val="solid"/>
            </a:ln>
          </c:spPr>
          <c:marker>
            <c:symbol val="none"/>
          </c:marker>
          <c:cat>
            <c:strRef>
              <c:f>('DA-22'!$B$202:$H$202,'DA-22'!$B$204:$I$204)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('DA-22'!$B$200:$H$200,'DA-22'!$B$208:$I$208)</c:f>
              <c:numCache>
                <c:formatCode>General</c:formatCode>
                <c:ptCount val="15"/>
                <c:pt idx="7" formatCode="_-* #,##0.0_-;\-* #,##0.0_-;_-* &quot;-&quot;??_-;_-@_-">
                  <c:v>0</c:v>
                </c:pt>
                <c:pt idx="8" formatCode="_-* #,##0.0_-;\-* #,##0.0_-;_-* &quot;-&quot;??_-;_-@_-">
                  <c:v>0</c:v>
                </c:pt>
                <c:pt idx="9" formatCode="_-* #,##0.0_-;\-* #,##0.0_-;_-* &quot;-&quot;??_-;_-@_-">
                  <c:v>3.0029999999999997</c:v>
                </c:pt>
                <c:pt idx="10" formatCode="_-* #,##0.0_-;\-* #,##0.0_-;_-* &quot;-&quot;??_-;_-@_-">
                  <c:v>3.0448608888638105</c:v>
                </c:pt>
                <c:pt idx="11" formatCode="_-* #,##0.0_-;\-* #,##0.0_-;_-* &quot;-&quot;??_-;_-@_-">
                  <c:v>3.0847932860488401</c:v>
                </c:pt>
                <c:pt idx="12" formatCode="_-* #,##0.0_-;\-* #,##0.0_-;_-* &quot;-&quot;??_-;_-@_-">
                  <c:v>3.1254134115391552</c:v>
                </c:pt>
                <c:pt idx="13" formatCode="_-* #,##0.0_-;\-* #,##0.0_-;_-* &quot;-&quot;??_-;_-@_-">
                  <c:v>3.1690255486443473</c:v>
                </c:pt>
                <c:pt idx="14" formatCode="_-* #,##0.0_-;\-* #,##0.0_-;_-* &quot;-&quot;??_-;_-@_-">
                  <c:v>3.2104463676563473</c:v>
                </c:pt>
              </c:numCache>
            </c:numRef>
          </c:val>
        </c:ser>
        <c:marker val="1"/>
        <c:axId val="192719104"/>
        <c:axId val="193671168"/>
      </c:lineChart>
      <c:catAx>
        <c:axId val="19271910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3671168"/>
        <c:crosses val="autoZero"/>
        <c:auto val="1"/>
        <c:lblAlgn val="ctr"/>
        <c:lblOffset val="100"/>
        <c:tickLblSkip val="1"/>
        <c:tickMarkSkip val="1"/>
      </c:catAx>
      <c:valAx>
        <c:axId val="19367116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271910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AU"/>
  <c:chart>
    <c:title>
      <c:tx>
        <c:strRef>
          <c:f>'DA-23'!$B$2</c:f>
          <c:strCache>
            <c:ptCount val="1"/>
            <c:pt idx="0">
              <c:v>Retail Contestability</c:v>
            </c:pt>
          </c:strCache>
        </c:strRef>
      </c:tx>
      <c:layout>
        <c:manualLayout>
          <c:xMode val="edge"/>
          <c:yMode val="edge"/>
          <c:x val="0.3286978508217448"/>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'DA-23'!$A$203</c:f>
              <c:strCache>
                <c:ptCount val="1"/>
                <c:pt idx="0">
                  <c:v>Historic Expenditure</c:v>
                </c:pt>
              </c:strCache>
            </c:strRef>
          </c:tx>
          <c:spPr>
            <a:ln w="25400">
              <a:solidFill>
                <a:srgbClr val="33CCCC"/>
              </a:solidFill>
              <a:prstDash val="solid"/>
            </a:ln>
          </c:spPr>
          <c:marker>
            <c:symbol val="none"/>
          </c:marker>
          <c:cat>
            <c:strRef>
              <c:f>('DA-23'!$B$202:$H$202,'DA-23'!$B$204:$I$204)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('DA-23'!$B$203:$H$203,'DA-23'!$B$205,'DA-23'!$C$200:$I$200)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'DA-23'!$A$14</c:f>
              <c:strCache>
                <c:ptCount val="1"/>
                <c:pt idx="0">
                  <c:v>Baseline Expenditure</c:v>
                </c:pt>
              </c:strCache>
            </c:strRef>
          </c:tx>
          <c:spPr>
            <a:ln w="25400">
              <a:solidFill>
                <a:srgbClr val="0000FF"/>
              </a:solidFill>
              <a:prstDash val="solid"/>
            </a:ln>
          </c:spPr>
          <c:marker>
            <c:symbol val="none"/>
          </c:marker>
          <c:cat>
            <c:strRef>
              <c:f>('DA-23'!$B$202:$H$202,'DA-23'!$B$204:$I$204)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('DA-23'!$B$200:$H$200,'DA-23'!$B$205:$I$205)</c:f>
              <c:numCache>
                <c:formatCode>General</c:formatCode>
                <c:ptCount val="15"/>
                <c:pt idx="7" formatCode="_-* #,##0.0_-;\-* #,##0.0_-;_-* &quot;-&quot;??_-;_-@_-">
                  <c:v>0</c:v>
                </c:pt>
                <c:pt idx="8" formatCode="_-* #,##0.0_-;\-* #,##0.0_-;_-* &quot;-&quot;??_-;_-@_-">
                  <c:v>0</c:v>
                </c:pt>
                <c:pt idx="9" formatCode="_-* #,##0.0_-;\-* #,##0.0_-;_-* &quot;-&quot;??_-;_-@_-">
                  <c:v>14.864999999999998</c:v>
                </c:pt>
                <c:pt idx="10" formatCode="_-* #,##0.0_-;\-* #,##0.0_-;_-* &quot;-&quot;??_-;_-@_-">
                  <c:v>14.864999999999998</c:v>
                </c:pt>
                <c:pt idx="11" formatCode="_-* #,##0.0_-;\-* #,##0.0_-;_-* &quot;-&quot;??_-;_-@_-">
                  <c:v>14.864999999999998</c:v>
                </c:pt>
                <c:pt idx="12" formatCode="_-* #,##0.0_-;\-* #,##0.0_-;_-* &quot;-&quot;??_-;_-@_-">
                  <c:v>14.864999999999998</c:v>
                </c:pt>
                <c:pt idx="13" formatCode="_-* #,##0.0_-;\-* #,##0.0_-;_-* &quot;-&quot;??_-;_-@_-">
                  <c:v>14.864999999999998</c:v>
                </c:pt>
                <c:pt idx="14" formatCode="_-* #,##0.0_-;\-* #,##0.0_-;_-* &quot;-&quot;??_-;_-@_-">
                  <c:v>14.864999999999998</c:v>
                </c:pt>
              </c:numCache>
            </c:numRef>
          </c:val>
        </c:ser>
        <c:ser>
          <c:idx val="0"/>
          <c:order val="2"/>
          <c:tx>
            <c:strRef>
              <c:f>'DA-23'!$A$206</c:f>
              <c:strCache>
                <c:ptCount val="1"/>
                <c:pt idx="0">
                  <c:v>Total with Variations</c:v>
                </c:pt>
              </c:strCache>
            </c:strRef>
          </c:tx>
          <c:spPr>
            <a:ln w="25400">
              <a:solidFill>
                <a:srgbClr val="993366"/>
              </a:solidFill>
              <a:prstDash val="solid"/>
            </a:ln>
          </c:spPr>
          <c:marker>
            <c:symbol val="none"/>
          </c:marker>
          <c:cat>
            <c:strRef>
              <c:f>('DA-23'!$B$202:$H$202,'DA-23'!$B$204:$I$204)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('DA-23'!$B$200:$H$200,'DA-23'!$B$206:$I$206)</c:f>
              <c:numCache>
                <c:formatCode>General</c:formatCode>
                <c:ptCount val="15"/>
                <c:pt idx="7" formatCode="_-* #,##0.0_-;\-* #,##0.0_-;_-* &quot;-&quot;??_-;_-@_-">
                  <c:v>0</c:v>
                </c:pt>
                <c:pt idx="8" formatCode="_-* #,##0.0_-;\-* #,##0.0_-;_-* &quot;-&quot;??_-;_-@_-">
                  <c:v>0</c:v>
                </c:pt>
                <c:pt idx="9" formatCode="_-* #,##0.0_-;\-* #,##0.0_-;_-* &quot;-&quot;??_-;_-@_-">
                  <c:v>14.864999999999998</c:v>
                </c:pt>
                <c:pt idx="10" formatCode="_-* #,##0.0_-;\-* #,##0.0_-;_-* &quot;-&quot;??_-;_-@_-">
                  <c:v>16.078999999999997</c:v>
                </c:pt>
                <c:pt idx="11" formatCode="_-* #,##0.0_-;\-* #,##0.0_-;_-* &quot;-&quot;??_-;_-@_-">
                  <c:v>16.421999999999997</c:v>
                </c:pt>
                <c:pt idx="12" formatCode="_-* #,##0.0_-;\-* #,##0.0_-;_-* &quot;-&quot;??_-;_-@_-">
                  <c:v>16.821999999999999</c:v>
                </c:pt>
                <c:pt idx="13" formatCode="_-* #,##0.0_-;\-* #,##0.0_-;_-* &quot;-&quot;??_-;_-@_-">
                  <c:v>16.814999999999998</c:v>
                </c:pt>
                <c:pt idx="14" formatCode="_-* #,##0.0_-;\-* #,##0.0_-;_-* &quot;-&quot;??_-;_-@_-">
                  <c:v>16.924999999999997</c:v>
                </c:pt>
              </c:numCache>
            </c:numRef>
          </c:val>
        </c:ser>
        <c:ser>
          <c:idx val="3"/>
          <c:order val="3"/>
          <c:tx>
            <c:strRef>
              <c:f>'DA-23'!$A$207</c:f>
              <c:strCache>
                <c:ptCount val="1"/>
                <c:pt idx="0">
                  <c:v>Total with Specific Escalations</c:v>
                </c:pt>
              </c:strCache>
            </c:strRef>
          </c:tx>
          <c:spPr>
            <a:ln w="25400">
              <a:solidFill>
                <a:srgbClr val="FF0000"/>
              </a:solidFill>
              <a:prstDash val="solid"/>
            </a:ln>
          </c:spPr>
          <c:marker>
            <c:symbol val="none"/>
          </c:marker>
          <c:cat>
            <c:strRef>
              <c:f>('DA-23'!$B$202:$H$202,'DA-23'!$B$204:$I$204)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('DA-23'!$B$200:$H$200,'DA-23'!$B$207:$I$207)</c:f>
              <c:numCache>
                <c:formatCode>General</c:formatCode>
                <c:ptCount val="15"/>
                <c:pt idx="7" formatCode="_-* #,##0.0_-;\-* #,##0.0_-;_-* &quot;-&quot;??_-;_-@_-">
                  <c:v>0</c:v>
                </c:pt>
                <c:pt idx="8" formatCode="_-* #,##0.0_-;\-* #,##0.0_-;_-* &quot;-&quot;??_-;_-@_-">
                  <c:v>0</c:v>
                </c:pt>
                <c:pt idx="9" formatCode="_-* #,##0.0_-;\-* #,##0.0_-;_-* &quot;-&quot;??_-;_-@_-">
                  <c:v>14.864999999999998</c:v>
                </c:pt>
                <c:pt idx="10" formatCode="_-* #,##0.0_-;\-* #,##0.0_-;_-* &quot;-&quot;??_-;_-@_-">
                  <c:v>16.236717029850556</c:v>
                </c:pt>
                <c:pt idx="11" formatCode="_-* #,##0.0_-;\-* #,##0.0_-;_-* &quot;-&quot;??_-;_-@_-">
                  <c:v>16.725855392512486</c:v>
                </c:pt>
                <c:pt idx="12" formatCode="_-* #,##0.0_-;\-* #,##0.0_-;_-* &quot;-&quot;??_-;_-@_-">
                  <c:v>17.270311541249903</c:v>
                </c:pt>
                <c:pt idx="13" formatCode="_-* #,##0.0_-;\-* #,##0.0_-;_-* &quot;-&quot;??_-;_-@_-">
                  <c:v>17.42003486056009</c:v>
                </c:pt>
                <c:pt idx="14" formatCode="_-* #,##0.0_-;\-* #,##0.0_-;_-* &quot;-&quot;??_-;_-@_-">
                  <c:v>17.673594593970559</c:v>
                </c:pt>
              </c:numCache>
            </c:numRef>
          </c:val>
        </c:ser>
        <c:ser>
          <c:idx val="2"/>
          <c:order val="4"/>
          <c:tx>
            <c:strRef>
              <c:f>'DA-23'!$A$208</c:f>
              <c:strCache>
                <c:ptCount val="1"/>
                <c:pt idx="0">
                  <c:v>Total with All Escalations</c:v>
                </c:pt>
              </c:strCache>
            </c:strRef>
          </c:tx>
          <c:spPr>
            <a:ln w="38100">
              <a:solidFill>
                <a:srgbClr val="00FF00"/>
              </a:solidFill>
              <a:prstDash val="solid"/>
            </a:ln>
          </c:spPr>
          <c:marker>
            <c:symbol val="none"/>
          </c:marker>
          <c:cat>
            <c:strRef>
              <c:f>('DA-23'!$B$202:$H$202,'DA-23'!$B$204:$I$204)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('DA-23'!$B$200:$H$200,'DA-23'!$B$208:$I$208)</c:f>
              <c:numCache>
                <c:formatCode>General</c:formatCode>
                <c:ptCount val="15"/>
                <c:pt idx="7" formatCode="_-* #,##0.0_-;\-* #,##0.0_-;_-* &quot;-&quot;??_-;_-@_-">
                  <c:v>0</c:v>
                </c:pt>
                <c:pt idx="8" formatCode="_-* #,##0.0_-;\-* #,##0.0_-;_-* &quot;-&quot;??_-;_-@_-">
                  <c:v>0</c:v>
                </c:pt>
                <c:pt idx="9" formatCode="_-* #,##0.0_-;\-* #,##0.0_-;_-* &quot;-&quot;??_-;_-@_-">
                  <c:v>14.864999999999998</c:v>
                </c:pt>
                <c:pt idx="10" formatCode="_-* #,##0.0_-;\-* #,##0.0_-;_-* &quot;-&quot;??_-;_-@_-">
                  <c:v>16.379357216698768</c:v>
                </c:pt>
                <c:pt idx="11" formatCode="_-* #,##0.0_-;\-* #,##0.0_-;_-* &quot;-&quot;??_-;_-@_-">
                  <c:v>17.016099944166058</c:v>
                </c:pt>
                <c:pt idx="12" formatCode="_-* #,##0.0_-;\-* #,##0.0_-;_-* &quot;-&quot;??_-;_-@_-">
                  <c:v>17.763015926159628</c:v>
                </c:pt>
                <c:pt idx="13" formatCode="_-* #,##0.0_-;\-* #,##0.0_-;_-* &quot;-&quot;??_-;_-@_-">
                  <c:v>18.139782592067711</c:v>
                </c:pt>
                <c:pt idx="14" formatCode="_-* #,##0.0_-;\-* #,##0.0_-;_-* &quot;-&quot;??_-;_-@_-">
                  <c:v>18.650915354920993</c:v>
                </c:pt>
              </c:numCache>
            </c:numRef>
          </c:val>
        </c:ser>
        <c:marker val="1"/>
        <c:axId val="193966080"/>
        <c:axId val="193967616"/>
      </c:lineChart>
      <c:catAx>
        <c:axId val="19396608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3967616"/>
        <c:crosses val="autoZero"/>
        <c:auto val="1"/>
        <c:lblAlgn val="ctr"/>
        <c:lblOffset val="100"/>
        <c:tickLblSkip val="1"/>
        <c:tickMarkSkip val="1"/>
      </c:catAx>
      <c:valAx>
        <c:axId val="19396761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396608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AU"/>
  <c:chart>
    <c:title>
      <c:tx>
        <c:strRef>
          <c:f>'DA-24'!$B$2</c:f>
          <c:strCache>
            <c:ptCount val="1"/>
            <c:pt idx="0">
              <c:v>Non Network Solutions</c:v>
            </c:pt>
          </c:strCache>
        </c:strRef>
      </c:tx>
      <c:layout>
        <c:manualLayout>
          <c:xMode val="edge"/>
          <c:yMode val="edge"/>
          <c:x val="0.39317319848293297"/>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'DA-24'!$A$203</c:f>
              <c:strCache>
                <c:ptCount val="1"/>
                <c:pt idx="0">
                  <c:v>Historic Expenditure</c:v>
                </c:pt>
              </c:strCache>
            </c:strRef>
          </c:tx>
          <c:spPr>
            <a:ln w="25400">
              <a:solidFill>
                <a:srgbClr val="33CCCC"/>
              </a:solidFill>
              <a:prstDash val="solid"/>
            </a:ln>
          </c:spPr>
          <c:marker>
            <c:symbol val="none"/>
          </c:marker>
          <c:cat>
            <c:strRef>
              <c:f>('DA-24'!$B$202:$H$202,'DA-24'!$B$204:$I$204)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('DA-24'!$B$203:$H$203,'DA-24'!$B$205,'DA-24'!$C$200:$I$200)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'DA-24'!$A$14</c:f>
              <c:strCache>
                <c:ptCount val="1"/>
                <c:pt idx="0">
                  <c:v>Baseline Expenditure</c:v>
                </c:pt>
              </c:strCache>
            </c:strRef>
          </c:tx>
          <c:spPr>
            <a:ln w="25400">
              <a:solidFill>
                <a:srgbClr val="0000FF"/>
              </a:solidFill>
              <a:prstDash val="solid"/>
            </a:ln>
          </c:spPr>
          <c:marker>
            <c:symbol val="none"/>
          </c:marker>
          <c:cat>
            <c:strRef>
              <c:f>('DA-24'!$B$202:$H$202,'DA-24'!$B$204:$I$204)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('DA-24'!$B$200:$H$200,'DA-24'!$B$205:$I$205)</c:f>
              <c:numCache>
                <c:formatCode>General</c:formatCode>
                <c:ptCount val="15"/>
                <c:pt idx="7" formatCode="_-* #,##0.0_-;\-* #,##0.0_-;_-* &quot;-&quot;??_-;_-@_-">
                  <c:v>0</c:v>
                </c:pt>
                <c:pt idx="8" formatCode="_-* #,##0.0_-;\-* #,##0.0_-;_-* &quot;-&quot;??_-;_-@_-">
                  <c:v>0</c:v>
                </c:pt>
                <c:pt idx="9" formatCode="_-* #,##0.0_-;\-* #,##0.0_-;_-* &quot;-&quot;??_-;_-@_-">
                  <c:v>0</c:v>
                </c:pt>
                <c:pt idx="10" formatCode="_-* #,##0.0_-;\-* #,##0.0_-;_-* &quot;-&quot;??_-;_-@_-">
                  <c:v>0</c:v>
                </c:pt>
                <c:pt idx="11" formatCode="_-* #,##0.0_-;\-* #,##0.0_-;_-* &quot;-&quot;??_-;_-@_-">
                  <c:v>0</c:v>
                </c:pt>
                <c:pt idx="12" formatCode="_-* #,##0.0_-;\-* #,##0.0_-;_-* &quot;-&quot;??_-;_-@_-">
                  <c:v>0</c:v>
                </c:pt>
                <c:pt idx="13" formatCode="_-* #,##0.0_-;\-* #,##0.0_-;_-* &quot;-&quot;??_-;_-@_-">
                  <c:v>0</c:v>
                </c:pt>
                <c:pt idx="14" formatCode="_-* #,##0.0_-;\-* #,##0.0_-;_-* &quot;-&quot;??_-;_-@_-">
                  <c:v>0</c:v>
                </c:pt>
              </c:numCache>
            </c:numRef>
          </c:val>
        </c:ser>
        <c:ser>
          <c:idx val="0"/>
          <c:order val="2"/>
          <c:tx>
            <c:strRef>
              <c:f>'DA-24'!$A$206</c:f>
              <c:strCache>
                <c:ptCount val="1"/>
                <c:pt idx="0">
                  <c:v>Total with Variations</c:v>
                </c:pt>
              </c:strCache>
            </c:strRef>
          </c:tx>
          <c:spPr>
            <a:ln w="25400">
              <a:solidFill>
                <a:srgbClr val="993366"/>
              </a:solidFill>
              <a:prstDash val="solid"/>
            </a:ln>
          </c:spPr>
          <c:marker>
            <c:symbol val="none"/>
          </c:marker>
          <c:cat>
            <c:strRef>
              <c:f>('DA-24'!$B$202:$H$202,'DA-24'!$B$204:$I$204)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('DA-24'!$B$200:$H$200,'DA-24'!$B$206:$I$206)</c:f>
              <c:numCache>
                <c:formatCode>General</c:formatCode>
                <c:ptCount val="15"/>
                <c:pt idx="7" formatCode="_-* #,##0.0_-;\-* #,##0.0_-;_-* &quot;-&quot;??_-;_-@_-">
                  <c:v>0</c:v>
                </c:pt>
                <c:pt idx="8" formatCode="_-* #,##0.0_-;\-* #,##0.0_-;_-* &quot;-&quot;??_-;_-@_-">
                  <c:v>0</c:v>
                </c:pt>
                <c:pt idx="9" formatCode="_-* #,##0.0_-;\-* #,##0.0_-;_-* &quot;-&quot;??_-;_-@_-">
                  <c:v>9.6736987014919812E-2</c:v>
                </c:pt>
                <c:pt idx="10" formatCode="_-* #,##0.0_-;\-* #,##0.0_-;_-* &quot;-&quot;??_-;_-@_-">
                  <c:v>0.15</c:v>
                </c:pt>
                <c:pt idx="11" formatCode="_-* #,##0.0_-;\-* #,##0.0_-;_-* &quot;-&quot;??_-;_-@_-">
                  <c:v>0.2</c:v>
                </c:pt>
                <c:pt idx="12" formatCode="_-* #,##0.0_-;\-* #,##0.0_-;_-* &quot;-&quot;??_-;_-@_-">
                  <c:v>0.25</c:v>
                </c:pt>
                <c:pt idx="13" formatCode="_-* #,##0.0_-;\-* #,##0.0_-;_-* &quot;-&quot;??_-;_-@_-">
                  <c:v>0.3</c:v>
                </c:pt>
                <c:pt idx="14" formatCode="_-* #,##0.0_-;\-* #,##0.0_-;_-* &quot;-&quot;??_-;_-@_-">
                  <c:v>0.35</c:v>
                </c:pt>
              </c:numCache>
            </c:numRef>
          </c:val>
        </c:ser>
        <c:ser>
          <c:idx val="3"/>
          <c:order val="3"/>
          <c:tx>
            <c:strRef>
              <c:f>'DA-24'!$A$207</c:f>
              <c:strCache>
                <c:ptCount val="1"/>
                <c:pt idx="0">
                  <c:v>Total with Specific Escalations</c:v>
                </c:pt>
              </c:strCache>
            </c:strRef>
          </c:tx>
          <c:spPr>
            <a:ln w="25400">
              <a:solidFill>
                <a:srgbClr val="FF0000"/>
              </a:solidFill>
              <a:prstDash val="solid"/>
            </a:ln>
          </c:spPr>
          <c:marker>
            <c:symbol val="none"/>
          </c:marker>
          <c:cat>
            <c:strRef>
              <c:f>('DA-24'!$B$202:$H$202,'DA-24'!$B$204:$I$204)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('DA-24'!$B$200:$H$200,'DA-24'!$B$207:$I$207)</c:f>
              <c:numCache>
                <c:formatCode>General</c:formatCode>
                <c:ptCount val="15"/>
                <c:pt idx="7" formatCode="_-* #,##0.0_-;\-* #,##0.0_-;_-* &quot;-&quot;??_-;_-@_-">
                  <c:v>0</c:v>
                </c:pt>
                <c:pt idx="8" formatCode="_-* #,##0.0_-;\-* #,##0.0_-;_-* &quot;-&quot;??_-;_-@_-">
                  <c:v>0</c:v>
                </c:pt>
                <c:pt idx="9" formatCode="_-* #,##0.0_-;\-* #,##0.0_-;_-* &quot;-&quot;??_-;_-@_-">
                  <c:v>9.6736987014919812E-2</c:v>
                </c:pt>
                <c:pt idx="10" formatCode="_-* #,##0.0_-;\-* #,##0.0_-;_-* &quot;-&quot;??_-;_-@_-">
                  <c:v>0.15</c:v>
                </c:pt>
                <c:pt idx="11" formatCode="_-* #,##0.0_-;\-* #,##0.0_-;_-* &quot;-&quot;??_-;_-@_-">
                  <c:v>0.2</c:v>
                </c:pt>
                <c:pt idx="12" formatCode="_-* #,##0.0_-;\-* #,##0.0_-;_-* &quot;-&quot;??_-;_-@_-">
                  <c:v>0.25</c:v>
                </c:pt>
                <c:pt idx="13" formatCode="_-* #,##0.0_-;\-* #,##0.0_-;_-* &quot;-&quot;??_-;_-@_-">
                  <c:v>0.3</c:v>
                </c:pt>
                <c:pt idx="14" formatCode="_-* #,##0.0_-;\-* #,##0.0_-;_-* &quot;-&quot;??_-;_-@_-">
                  <c:v>0.35</c:v>
                </c:pt>
              </c:numCache>
            </c:numRef>
          </c:val>
        </c:ser>
        <c:ser>
          <c:idx val="2"/>
          <c:order val="4"/>
          <c:tx>
            <c:strRef>
              <c:f>'DA-24'!$A$208</c:f>
              <c:strCache>
                <c:ptCount val="1"/>
                <c:pt idx="0">
                  <c:v>Total with All Escalations</c:v>
                </c:pt>
              </c:strCache>
            </c:strRef>
          </c:tx>
          <c:spPr>
            <a:ln w="38100">
              <a:solidFill>
                <a:srgbClr val="00FF00"/>
              </a:solidFill>
              <a:prstDash val="solid"/>
            </a:ln>
          </c:spPr>
          <c:marker>
            <c:symbol val="none"/>
          </c:marker>
          <c:cat>
            <c:strRef>
              <c:f>('DA-24'!$B$202:$H$202,'DA-24'!$B$204:$I$204)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('DA-24'!$B$200:$H$200,'DA-24'!$B$208:$I$208)</c:f>
              <c:numCache>
                <c:formatCode>General</c:formatCode>
                <c:ptCount val="15"/>
                <c:pt idx="7" formatCode="_-* #,##0.0_-;\-* #,##0.0_-;_-* &quot;-&quot;??_-;_-@_-">
                  <c:v>0</c:v>
                </c:pt>
                <c:pt idx="8" formatCode="_-* #,##0.0_-;\-* #,##0.0_-;_-* &quot;-&quot;??_-;_-@_-">
                  <c:v>0</c:v>
                </c:pt>
                <c:pt idx="9" formatCode="_-* #,##0.0_-;\-* #,##0.0_-;_-* &quot;-&quot;??_-;_-@_-">
                  <c:v>9.6736987014919812E-2</c:v>
                </c:pt>
                <c:pt idx="10" formatCode="_-* #,##0.0_-;\-* #,##0.0_-;_-* &quot;-&quot;??_-;_-@_-">
                  <c:v>0.15</c:v>
                </c:pt>
                <c:pt idx="11" formatCode="_-* #,##0.0_-;\-* #,##0.0_-;_-* &quot;-&quot;??_-;_-@_-">
                  <c:v>0.2</c:v>
                </c:pt>
                <c:pt idx="12" formatCode="_-* #,##0.0_-;\-* #,##0.0_-;_-* &quot;-&quot;??_-;_-@_-">
                  <c:v>0.25</c:v>
                </c:pt>
                <c:pt idx="13" formatCode="_-* #,##0.0_-;\-* #,##0.0_-;_-* &quot;-&quot;??_-;_-@_-">
                  <c:v>0.3</c:v>
                </c:pt>
                <c:pt idx="14" formatCode="_-* #,##0.0_-;\-* #,##0.0_-;_-* &quot;-&quot;??_-;_-@_-">
                  <c:v>0.35</c:v>
                </c:pt>
              </c:numCache>
            </c:numRef>
          </c:val>
        </c:ser>
        <c:marker val="1"/>
        <c:axId val="194266624"/>
        <c:axId val="194268160"/>
      </c:lineChart>
      <c:catAx>
        <c:axId val="1942666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4268160"/>
        <c:crosses val="autoZero"/>
        <c:auto val="1"/>
        <c:lblAlgn val="ctr"/>
        <c:lblOffset val="100"/>
        <c:tickLblSkip val="1"/>
        <c:tickMarkSkip val="1"/>
      </c:catAx>
      <c:valAx>
        <c:axId val="194268160"/>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42666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AU"/>
  <c:chart>
    <c:title>
      <c:tx>
        <c:strRef>
          <c:f>'R2'!$B$2</c:f>
          <c:strCache>
            <c:ptCount val="1"/>
            <c:pt idx="0">
              <c:v>Total Directly Attributed Costs</c:v>
            </c:pt>
          </c:strCache>
        </c:strRef>
      </c:tx>
      <c:layout>
        <c:manualLayout>
          <c:xMode val="edge"/>
          <c:yMode val="edge"/>
          <c:x val="0.3211125158027940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1757269279393173"/>
          <c:y val="0.15643579482112893"/>
          <c:w val="0.86472819216184038"/>
          <c:h val="0.58217878072667795"/>
        </c:manualLayout>
      </c:layout>
      <c:lineChart>
        <c:grouping val="standard"/>
        <c:ser>
          <c:idx val="4"/>
          <c:order val="0"/>
          <c:tx>
            <c:strRef>
              <c:f>'R2'!$A$83</c:f>
              <c:strCache>
                <c:ptCount val="1"/>
                <c:pt idx="0">
                  <c:v>Historic Expenditure</c:v>
                </c:pt>
              </c:strCache>
            </c:strRef>
          </c:tx>
          <c:spPr>
            <a:ln w="25400">
              <a:solidFill>
                <a:srgbClr val="33CCCC"/>
              </a:solidFill>
              <a:prstDash val="solid"/>
            </a:ln>
          </c:spPr>
          <c:marker>
            <c:symbol val="none"/>
          </c:marker>
          <c:cat>
            <c:strRef>
              <c:f>('R2'!$B$82:$H$82,'R2'!$B$84:$I$84)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('R2'!$B$83:$H$83,'R2'!$B$85,'R2'!$C$80:$I$80)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'R2'!$A$14</c:f>
              <c:strCache>
                <c:ptCount val="1"/>
                <c:pt idx="0">
                  <c:v>Baseline Expenditure</c:v>
                </c:pt>
              </c:strCache>
            </c:strRef>
          </c:tx>
          <c:spPr>
            <a:ln w="25400">
              <a:solidFill>
                <a:srgbClr val="0000FF"/>
              </a:solidFill>
              <a:prstDash val="solid"/>
            </a:ln>
          </c:spPr>
          <c:marker>
            <c:symbol val="none"/>
          </c:marker>
          <c:cat>
            <c:strRef>
              <c:f>('R2'!$B$82:$H$82,'R2'!$B$84:$I$84)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('R2'!$B$80:$H$80,'R2'!$B$85:$I$85)</c:f>
              <c:numCache>
                <c:formatCode>General</c:formatCode>
                <c:ptCount val="15"/>
                <c:pt idx="7" formatCode="_-* #,##0.0_-;\-* #,##0.0_-;_-* &quot;-&quot;??_-;_-@_-">
                  <c:v>0</c:v>
                </c:pt>
                <c:pt idx="8" formatCode="_-* #,##0.0_-;\-* #,##0.0_-;_-* &quot;-&quot;??_-;_-@_-">
                  <c:v>0</c:v>
                </c:pt>
                <c:pt idx="9" formatCode="_-* #,##0.0_-;\-* #,##0.0_-;_-* &quot;-&quot;??_-;_-@_-">
                  <c:v>162.95899999999997</c:v>
                </c:pt>
                <c:pt idx="10" formatCode="_-* #,##0.0_-;\-* #,##0.0_-;_-* &quot;-&quot;??_-;_-@_-">
                  <c:v>162.95899999999997</c:v>
                </c:pt>
                <c:pt idx="11" formatCode="_-* #,##0.0_-;\-* #,##0.0_-;_-* &quot;-&quot;??_-;_-@_-">
                  <c:v>162.95899999999997</c:v>
                </c:pt>
                <c:pt idx="12" formatCode="_-* #,##0.0_-;\-* #,##0.0_-;_-* &quot;-&quot;??_-;_-@_-">
                  <c:v>162.95899999999997</c:v>
                </c:pt>
                <c:pt idx="13" formatCode="_-* #,##0.0_-;\-* #,##0.0_-;_-* &quot;-&quot;??_-;_-@_-">
                  <c:v>162.95899999999997</c:v>
                </c:pt>
                <c:pt idx="14" formatCode="_-* #,##0.0_-;\-* #,##0.0_-;_-* &quot;-&quot;??_-;_-@_-">
                  <c:v>162.95899999999997</c:v>
                </c:pt>
              </c:numCache>
            </c:numRef>
          </c:val>
        </c:ser>
        <c:ser>
          <c:idx val="0"/>
          <c:order val="2"/>
          <c:tx>
            <c:strRef>
              <c:f>'R2'!$A$86</c:f>
              <c:strCache>
                <c:ptCount val="1"/>
                <c:pt idx="0">
                  <c:v>Total with Variations</c:v>
                </c:pt>
              </c:strCache>
            </c:strRef>
          </c:tx>
          <c:spPr>
            <a:ln w="25400">
              <a:solidFill>
                <a:srgbClr val="993366"/>
              </a:solidFill>
              <a:prstDash val="solid"/>
            </a:ln>
          </c:spPr>
          <c:marker>
            <c:symbol val="none"/>
          </c:marker>
          <c:cat>
            <c:strRef>
              <c:f>('R2'!$B$82:$H$82,'R2'!$B$84:$I$84)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('R2'!$B$80:$H$80,'R2'!$B$86:$I$86)</c:f>
              <c:numCache>
                <c:formatCode>General</c:formatCode>
                <c:ptCount val="15"/>
                <c:pt idx="7" formatCode="_-* #,##0.0_-;\-* #,##0.0_-;_-* &quot;-&quot;??_-;_-@_-">
                  <c:v>0</c:v>
                </c:pt>
                <c:pt idx="8" formatCode="_-* #,##0.0_-;\-* #,##0.0_-;_-* &quot;-&quot;??_-;_-@_-">
                  <c:v>0</c:v>
                </c:pt>
                <c:pt idx="9" formatCode="_-* #,##0.0_-;\-* #,##0.0_-;_-* &quot;-&quot;??_-;_-@_-">
                  <c:v>167.94061602857462</c:v>
                </c:pt>
                <c:pt idx="10" formatCode="_-* #,##0.0_-;\-* #,##0.0_-;_-* &quot;-&quot;??_-;_-@_-">
                  <c:v>180.72199999999998</c:v>
                </c:pt>
                <c:pt idx="11" formatCode="_-* #,##0.0_-;\-* #,##0.0_-;_-* &quot;-&quot;??_-;_-@_-">
                  <c:v>185.774</c:v>
                </c:pt>
                <c:pt idx="12" formatCode="_-* #,##0.0_-;\-* #,##0.0_-;_-* &quot;-&quot;??_-;_-@_-">
                  <c:v>180.869</c:v>
                </c:pt>
                <c:pt idx="13" formatCode="_-* #,##0.0_-;\-* #,##0.0_-;_-* &quot;-&quot;??_-;_-@_-">
                  <c:v>180.26599999999999</c:v>
                </c:pt>
                <c:pt idx="14" formatCode="_-* #,##0.0_-;\-* #,##0.0_-;_-* &quot;-&quot;??_-;_-@_-">
                  <c:v>177.93699999999998</c:v>
                </c:pt>
              </c:numCache>
            </c:numRef>
          </c:val>
        </c:ser>
        <c:ser>
          <c:idx val="3"/>
          <c:order val="3"/>
          <c:tx>
            <c:strRef>
              <c:f>'R2'!$A$87</c:f>
              <c:strCache>
                <c:ptCount val="1"/>
                <c:pt idx="0">
                  <c:v>Total with Specific Escalations</c:v>
                </c:pt>
              </c:strCache>
            </c:strRef>
          </c:tx>
          <c:spPr>
            <a:ln w="25400">
              <a:solidFill>
                <a:srgbClr val="FF0000"/>
              </a:solidFill>
              <a:prstDash val="solid"/>
            </a:ln>
          </c:spPr>
          <c:marker>
            <c:symbol val="none"/>
          </c:marker>
          <c:cat>
            <c:strRef>
              <c:f>('R2'!$B$82:$H$82,'R2'!$B$84:$I$84)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('R2'!$B$80:$H$80,'R2'!$B$87:$I$87)</c:f>
              <c:numCache>
                <c:formatCode>General</c:formatCode>
                <c:ptCount val="15"/>
                <c:pt idx="7" formatCode="_-* #,##0.0_-;\-* #,##0.0_-;_-* &quot;-&quot;??_-;_-@_-">
                  <c:v>0</c:v>
                </c:pt>
                <c:pt idx="8" formatCode="_-* #,##0.0_-;\-* #,##0.0_-;_-* &quot;-&quot;??_-;_-@_-">
                  <c:v>0</c:v>
                </c:pt>
                <c:pt idx="9" formatCode="_-* #,##0.0_-;\-* #,##0.0_-;_-* &quot;-&quot;??_-;_-@_-">
                  <c:v>167.94061602857462</c:v>
                </c:pt>
                <c:pt idx="10" formatCode="_-* #,##0.0_-;\-* #,##0.0_-;_-* &quot;-&quot;??_-;_-@_-">
                  <c:v>182.45098819155177</c:v>
                </c:pt>
                <c:pt idx="11" formatCode="_-* #,##0.0_-;\-* #,##0.0_-;_-* &quot;-&quot;??_-;_-@_-">
                  <c:v>189.10504412434864</c:v>
                </c:pt>
                <c:pt idx="12" formatCode="_-* #,##0.0_-;\-* #,##0.0_-;_-* &quot;-&quot;??_-;_-@_-">
                  <c:v>185.78365862432176</c:v>
                </c:pt>
                <c:pt idx="13" formatCode="_-* #,##0.0_-;\-* #,##0.0_-;_-* &quot;-&quot;??_-;_-@_-">
                  <c:v>186.89875316797927</c:v>
                </c:pt>
                <c:pt idx="14" formatCode="_-* #,##0.0_-;\-* #,##0.0_-;_-* &quot;-&quot;??_-;_-@_-">
                  <c:v>186.1435406282441</c:v>
                </c:pt>
              </c:numCache>
            </c:numRef>
          </c:val>
        </c:ser>
        <c:ser>
          <c:idx val="2"/>
          <c:order val="4"/>
          <c:tx>
            <c:strRef>
              <c:f>'R2'!$A$88</c:f>
              <c:strCache>
                <c:ptCount val="1"/>
                <c:pt idx="0">
                  <c:v>Total with All Escalations</c:v>
                </c:pt>
              </c:strCache>
            </c:strRef>
          </c:tx>
          <c:spPr>
            <a:ln w="38100">
              <a:solidFill>
                <a:srgbClr val="00FF00"/>
              </a:solidFill>
              <a:prstDash val="solid"/>
            </a:ln>
          </c:spPr>
          <c:marker>
            <c:symbol val="none"/>
          </c:marker>
          <c:cat>
            <c:strRef>
              <c:f>('R2'!$B$82:$H$82,'R2'!$B$84:$I$84)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('R2'!$B$80:$H$80,'R2'!$B$88:$I$88)</c:f>
              <c:numCache>
                <c:formatCode>General</c:formatCode>
                <c:ptCount val="15"/>
                <c:pt idx="7" formatCode="_-* #,##0.0_-;\-* #,##0.0_-;_-* &quot;-&quot;??_-;_-@_-">
                  <c:v>0</c:v>
                </c:pt>
                <c:pt idx="8" formatCode="_-* #,##0.0_-;\-* #,##0.0_-;_-* &quot;-&quot;??_-;_-@_-">
                  <c:v>0</c:v>
                </c:pt>
                <c:pt idx="9" formatCode="_-* #,##0.0_-;\-* #,##0.0_-;_-* &quot;-&quot;??_-;_-@_-">
                  <c:v>167.94061602857462</c:v>
                </c:pt>
                <c:pt idx="10" formatCode="_-* #,##0.0_-;\-* #,##0.0_-;_-* &quot;-&quot;??_-;_-@_-">
                  <c:v>184.35024666586219</c:v>
                </c:pt>
                <c:pt idx="11" formatCode="_-* #,##0.0_-;\-* #,##0.0_-;_-* &quot;-&quot;??_-;_-@_-">
                  <c:v>192.97533938150553</c:v>
                </c:pt>
                <c:pt idx="12" formatCode="_-* #,##0.0_-;\-* #,##0.0_-;_-* &quot;-&quot;??_-;_-@_-">
                  <c:v>192.09977930284012</c:v>
                </c:pt>
                <c:pt idx="13" formatCode="_-* #,##0.0_-;\-* #,##0.0_-;_-* &quot;-&quot;??_-;_-@_-">
                  <c:v>195.878312523446</c:v>
                </c:pt>
                <c:pt idx="14" formatCode="_-* #,##0.0_-;\-* #,##0.0_-;_-* &quot;-&quot;??_-;_-@_-">
                  <c:v>198.04135395011554</c:v>
                </c:pt>
              </c:numCache>
            </c:numRef>
          </c:val>
        </c:ser>
        <c:marker val="1"/>
        <c:axId val="195074688"/>
        <c:axId val="195084672"/>
      </c:lineChart>
      <c:catAx>
        <c:axId val="195074688"/>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5084672"/>
        <c:crosses val="autoZero"/>
        <c:auto val="1"/>
        <c:lblAlgn val="ctr"/>
        <c:lblOffset val="100"/>
        <c:tickLblSkip val="1"/>
        <c:tickMarkSkip val="1"/>
      </c:catAx>
      <c:valAx>
        <c:axId val="195084672"/>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5074688"/>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AU"/>
  <c:chart>
    <c:title>
      <c:tx>
        <c:strRef>
          <c:f>'R3'!$B$2</c:f>
          <c:strCache>
            <c:ptCount val="1"/>
            <c:pt idx="0">
              <c:v>Total Allocated Costs</c:v>
            </c:pt>
          </c:strCache>
        </c:strRef>
      </c:tx>
      <c:layout>
        <c:manualLayout>
          <c:xMode val="edge"/>
          <c:yMode val="edge"/>
          <c:x val="0.37294563843236411"/>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0.10745891276864725"/>
          <c:y val="0.15643579482112893"/>
          <c:w val="0.87484197218713633"/>
          <c:h val="0.58217878072667795"/>
        </c:manualLayout>
      </c:layout>
      <c:lineChart>
        <c:grouping val="standard"/>
        <c:ser>
          <c:idx val="4"/>
          <c:order val="0"/>
          <c:tx>
            <c:strRef>
              <c:f>'R3'!$A$83</c:f>
              <c:strCache>
                <c:ptCount val="1"/>
                <c:pt idx="0">
                  <c:v>Historic Expenditure</c:v>
                </c:pt>
              </c:strCache>
            </c:strRef>
          </c:tx>
          <c:spPr>
            <a:ln w="25400">
              <a:solidFill>
                <a:srgbClr val="33CCCC"/>
              </a:solidFill>
              <a:prstDash val="solid"/>
            </a:ln>
          </c:spPr>
          <c:marker>
            <c:symbol val="none"/>
          </c:marker>
          <c:cat>
            <c:strRef>
              <c:f>('R3'!$B$82:$H$82,'R3'!$B$84:$I$84)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('R3'!$B$83:$H$83,'R3'!$B$85,'R3'!$C$80:$I$80)</c:f>
              <c:numCache>
                <c:formatCode>_-* #,##0.0_-;\-* #,##0.0_-;_-* "-"??_-;_-@_-</c:formatCode>
                <c:ptCount val="15"/>
                <c:pt idx="0">
                  <c:v>0</c:v>
                </c:pt>
                <c:pt idx="1">
                  <c:v>0</c:v>
                </c:pt>
                <c:pt idx="2">
                  <c:v>0</c:v>
                </c:pt>
                <c:pt idx="3">
                  <c:v>0</c:v>
                </c:pt>
                <c:pt idx="4">
                  <c:v>0</c:v>
                </c:pt>
                <c:pt idx="5">
                  <c:v>0</c:v>
                </c:pt>
                <c:pt idx="6">
                  <c:v>0</c:v>
                </c:pt>
                <c:pt idx="7">
                  <c:v>0</c:v>
                </c:pt>
              </c:numCache>
            </c:numRef>
          </c:val>
        </c:ser>
        <c:ser>
          <c:idx val="1"/>
          <c:order val="1"/>
          <c:tx>
            <c:strRef>
              <c:f>'R3'!$A$14</c:f>
              <c:strCache>
                <c:ptCount val="1"/>
                <c:pt idx="0">
                  <c:v>Baseline Expenditure</c:v>
                </c:pt>
              </c:strCache>
            </c:strRef>
          </c:tx>
          <c:spPr>
            <a:ln w="25400">
              <a:solidFill>
                <a:srgbClr val="0000FF"/>
              </a:solidFill>
              <a:prstDash val="solid"/>
            </a:ln>
          </c:spPr>
          <c:marker>
            <c:symbol val="none"/>
          </c:marker>
          <c:cat>
            <c:strRef>
              <c:f>('R3'!$B$82:$H$82,'R3'!$B$84:$I$84)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('R3'!$B$80:$H$80,'R3'!$B$85:$I$85)</c:f>
              <c:numCache>
                <c:formatCode>General</c:formatCode>
                <c:ptCount val="15"/>
                <c:pt idx="7" formatCode="_-* #,##0.0_-;\-* #,##0.0_-;_-* &quot;-&quot;??_-;_-@_-">
                  <c:v>0</c:v>
                </c:pt>
                <c:pt idx="8" formatCode="_-* #,##0.0_-;\-* #,##0.0_-;_-* &quot;-&quot;??_-;_-@_-">
                  <c:v>0</c:v>
                </c:pt>
                <c:pt idx="9" formatCode="_-* #,##0.0_-;\-* #,##0.0_-;_-* &quot;-&quot;??_-;_-@_-">
                  <c:v>70.317553935338111</c:v>
                </c:pt>
                <c:pt idx="10" formatCode="_-* #,##0.0_-;\-* #,##0.0_-;_-* &quot;-&quot;??_-;_-@_-">
                  <c:v>68.3</c:v>
                </c:pt>
                <c:pt idx="11" formatCode="_-* #,##0.0_-;\-* #,##0.0_-;_-* &quot;-&quot;??_-;_-@_-">
                  <c:v>68.3</c:v>
                </c:pt>
                <c:pt idx="12" formatCode="_-* #,##0.0_-;\-* #,##0.0_-;_-* &quot;-&quot;??_-;_-@_-">
                  <c:v>68.3</c:v>
                </c:pt>
                <c:pt idx="13" formatCode="_-* #,##0.0_-;\-* #,##0.0_-;_-* &quot;-&quot;??_-;_-@_-">
                  <c:v>68.3</c:v>
                </c:pt>
                <c:pt idx="14" formatCode="_-* #,##0.0_-;\-* #,##0.0_-;_-* &quot;-&quot;??_-;_-@_-">
                  <c:v>68.3</c:v>
                </c:pt>
              </c:numCache>
            </c:numRef>
          </c:val>
        </c:ser>
        <c:ser>
          <c:idx val="0"/>
          <c:order val="2"/>
          <c:tx>
            <c:strRef>
              <c:f>'R3'!$A$86</c:f>
              <c:strCache>
                <c:ptCount val="1"/>
                <c:pt idx="0">
                  <c:v>Total with Variations</c:v>
                </c:pt>
              </c:strCache>
            </c:strRef>
          </c:tx>
          <c:spPr>
            <a:ln w="25400">
              <a:solidFill>
                <a:srgbClr val="993366"/>
              </a:solidFill>
              <a:prstDash val="solid"/>
            </a:ln>
          </c:spPr>
          <c:marker>
            <c:symbol val="none"/>
          </c:marker>
          <c:cat>
            <c:strRef>
              <c:f>('R3'!$B$82:$H$82,'R3'!$B$84:$I$84)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('R3'!$B$80:$H$80,'R3'!$B$86:$I$86)</c:f>
              <c:numCache>
                <c:formatCode>General</c:formatCode>
                <c:ptCount val="15"/>
                <c:pt idx="7" formatCode="_-* #,##0.0_-;\-* #,##0.0_-;_-* &quot;-&quot;??_-;_-@_-">
                  <c:v>0</c:v>
                </c:pt>
                <c:pt idx="8" formatCode="_-* #,##0.0_-;\-* #,##0.0_-;_-* &quot;-&quot;??_-;_-@_-">
                  <c:v>0</c:v>
                </c:pt>
                <c:pt idx="9" formatCode="_-* #,##0.0_-;\-* #,##0.0_-;_-* &quot;-&quot;??_-;_-@_-">
                  <c:v>72.33548748446934</c:v>
                </c:pt>
                <c:pt idx="10" formatCode="_-* #,##0.0_-;\-* #,##0.0_-;_-* &quot;-&quot;??_-;_-@_-">
                  <c:v>74.974000000000004</c:v>
                </c:pt>
                <c:pt idx="11" formatCode="_-* #,##0.0_-;\-* #,##0.0_-;_-* &quot;-&quot;??_-;_-@_-">
                  <c:v>75.644000000000005</c:v>
                </c:pt>
                <c:pt idx="12" formatCode="_-* #,##0.0_-;\-* #,##0.0_-;_-* &quot;-&quot;??_-;_-@_-">
                  <c:v>78.361000000000004</c:v>
                </c:pt>
                <c:pt idx="13" formatCode="_-* #,##0.0_-;\-* #,##0.0_-;_-* &quot;-&quot;??_-;_-@_-">
                  <c:v>78.396000000000001</c:v>
                </c:pt>
                <c:pt idx="14" formatCode="_-* #,##0.0_-;\-* #,##0.0_-;_-* &quot;-&quot;??_-;_-@_-">
                  <c:v>78.786000000000001</c:v>
                </c:pt>
              </c:numCache>
            </c:numRef>
          </c:val>
        </c:ser>
        <c:ser>
          <c:idx val="3"/>
          <c:order val="3"/>
          <c:tx>
            <c:strRef>
              <c:f>'R3'!$A$87</c:f>
              <c:strCache>
                <c:ptCount val="1"/>
                <c:pt idx="0">
                  <c:v>Total with Specific Escalations</c:v>
                </c:pt>
              </c:strCache>
            </c:strRef>
          </c:tx>
          <c:spPr>
            <a:ln w="25400">
              <a:solidFill>
                <a:srgbClr val="FF0000"/>
              </a:solidFill>
              <a:prstDash val="solid"/>
            </a:ln>
          </c:spPr>
          <c:marker>
            <c:symbol val="none"/>
          </c:marker>
          <c:cat>
            <c:strRef>
              <c:f>('R3'!$B$82:$H$82,'R3'!$B$84:$I$84)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('R3'!$B$80:$H$80,'R3'!$B$87:$I$87)</c:f>
              <c:numCache>
                <c:formatCode>General</c:formatCode>
                <c:ptCount val="15"/>
                <c:pt idx="7" formatCode="_-* #,##0.0_-;\-* #,##0.0_-;_-* &quot;-&quot;??_-;_-@_-">
                  <c:v>0</c:v>
                </c:pt>
                <c:pt idx="8" formatCode="_-* #,##0.0_-;\-* #,##0.0_-;_-* &quot;-&quot;??_-;_-@_-">
                  <c:v>0</c:v>
                </c:pt>
                <c:pt idx="9" formatCode="_-* #,##0.0_-;\-* #,##0.0_-;_-* &quot;-&quot;??_-;_-@_-">
                  <c:v>72.33548748446934</c:v>
                </c:pt>
                <c:pt idx="10" formatCode="_-* #,##0.0_-;\-* #,##0.0_-;_-* &quot;-&quot;??_-;_-@_-">
                  <c:v>75.698660150608362</c:v>
                </c:pt>
                <c:pt idx="11" formatCode="_-* #,##0.0_-;\-* #,##0.0_-;_-* &quot;-&quot;??_-;_-@_-">
                  <c:v>77.040119966942683</c:v>
                </c:pt>
                <c:pt idx="12" formatCode="_-* #,##0.0_-;\-* #,##0.0_-;_-* &quot;-&quot;??_-;_-@_-">
                  <c:v>80.420850539345338</c:v>
                </c:pt>
                <c:pt idx="13" formatCode="_-* #,##0.0_-;\-* #,##0.0_-;_-* &quot;-&quot;??_-;_-@_-">
                  <c:v>81.175944902539811</c:v>
                </c:pt>
                <c:pt idx="14" formatCode="_-* #,##0.0_-;\-* #,##0.0_-;_-* &quot;-&quot;??_-;_-@_-">
                  <c:v>82.225556728435208</c:v>
                </c:pt>
              </c:numCache>
            </c:numRef>
          </c:val>
        </c:ser>
        <c:ser>
          <c:idx val="2"/>
          <c:order val="4"/>
          <c:tx>
            <c:strRef>
              <c:f>'R3'!$A$89</c:f>
              <c:strCache>
                <c:ptCount val="1"/>
                <c:pt idx="0">
                  <c:v>Total with All Escalations</c:v>
                </c:pt>
              </c:strCache>
            </c:strRef>
          </c:tx>
          <c:spPr>
            <a:ln w="38100">
              <a:solidFill>
                <a:srgbClr val="00FF00"/>
              </a:solidFill>
              <a:prstDash val="solid"/>
            </a:ln>
          </c:spPr>
          <c:marker>
            <c:symbol val="none"/>
          </c:marker>
          <c:cat>
            <c:strRef>
              <c:f>('R3'!$B$82:$H$82,'R3'!$B$84:$I$84)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('R3'!$B$80:$H$80,'R3'!$B$89:$I$89)</c:f>
              <c:numCache>
                <c:formatCode>General</c:formatCode>
                <c:ptCount val="15"/>
                <c:pt idx="7" formatCode="_-* #,##0.0_-;\-* #,##0.0_-;_-* &quot;-&quot;??_-;_-@_-">
                  <c:v>0</c:v>
                </c:pt>
                <c:pt idx="8" formatCode="_-* #,##0.0_-;\-* #,##0.0_-;_-* &quot;-&quot;??_-;_-@_-">
                  <c:v>0</c:v>
                </c:pt>
                <c:pt idx="9" formatCode="_-* #,##0.0_-;\-* #,##0.0_-;_-* &quot;-&quot;??_-;_-@_-">
                  <c:v>72.33548748446934</c:v>
                </c:pt>
                <c:pt idx="10" formatCode="_-* #,##0.0_-;\-* #,##0.0_-;_-* &quot;-&quot;??_-;_-@_-">
                  <c:v>76.619464673043666</c:v>
                </c:pt>
                <c:pt idx="11" formatCode="_-* #,##0.0_-;\-* #,##0.0_-;_-* &quot;-&quot;??_-;_-@_-">
                  <c:v>78.917475127417504</c:v>
                </c:pt>
                <c:pt idx="12" formatCode="_-* #,##0.0_-;\-* #,##0.0_-;_-* &quot;-&quot;??_-;_-@_-">
                  <c:v>83.442358783164963</c:v>
                </c:pt>
                <c:pt idx="13" formatCode="_-* #,##0.0_-;\-* #,##0.0_-;_-* &quot;-&quot;??_-;_-@_-">
                  <c:v>85.428830960101934</c:v>
                </c:pt>
                <c:pt idx="14" formatCode="_-* #,##0.0_-;\-* #,##0.0_-;_-* &quot;-&quot;??_-;_-@_-">
                  <c:v>87.808089162190115</c:v>
                </c:pt>
              </c:numCache>
            </c:numRef>
          </c:val>
        </c:ser>
        <c:marker val="1"/>
        <c:axId val="195182592"/>
        <c:axId val="195184128"/>
      </c:lineChart>
      <c:catAx>
        <c:axId val="19518259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95184128"/>
        <c:crosses val="autoZero"/>
        <c:auto val="1"/>
        <c:lblAlgn val="ctr"/>
        <c:lblOffset val="100"/>
        <c:tickLblSkip val="1"/>
        <c:tickMarkSkip val="1"/>
      </c:catAx>
      <c:valAx>
        <c:axId val="19518412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9518259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AU"/>
  <c:chart>
    <c:title>
      <c:tx>
        <c:strRef>
          <c:f>'A-7'!$B$2</c:f>
          <c:strCache>
            <c:ptCount val="1"/>
            <c:pt idx="0">
              <c:v>CFO</c:v>
            </c:pt>
          </c:strCache>
        </c:strRef>
      </c:tx>
      <c:layout>
        <c:manualLayout>
          <c:xMode val="edge"/>
          <c:yMode val="edge"/>
          <c:x val="0.4715549936788981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'A-7'!$A$203</c:f>
              <c:strCache>
                <c:ptCount val="1"/>
                <c:pt idx="0">
                  <c:v>Historic Expenditure</c:v>
                </c:pt>
              </c:strCache>
            </c:strRef>
          </c:tx>
          <c:spPr>
            <a:ln w="25400">
              <a:solidFill>
                <a:srgbClr val="33CCCC"/>
              </a:solidFill>
              <a:prstDash val="solid"/>
            </a:ln>
          </c:spPr>
          <c:marker>
            <c:symbol val="none"/>
          </c:marker>
          <c:cat>
            <c:strRef>
              <c:f>('A-7'!$B$202:$H$202,'A-7'!$B$204:$I$204)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('A-7'!$B$203:$H$203,'A-7'!$B$205,'A-7'!$C$200:$I$200)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'A-7'!$A$14</c:f>
              <c:strCache>
                <c:ptCount val="1"/>
                <c:pt idx="0">
                  <c:v>Baseline Expenditure</c:v>
                </c:pt>
              </c:strCache>
            </c:strRef>
          </c:tx>
          <c:spPr>
            <a:ln w="25400">
              <a:solidFill>
                <a:srgbClr val="0000FF"/>
              </a:solidFill>
              <a:prstDash val="solid"/>
            </a:ln>
          </c:spPr>
          <c:marker>
            <c:symbol val="none"/>
          </c:marker>
          <c:cat>
            <c:strRef>
              <c:f>('A-7'!$B$202:$H$202,'A-7'!$B$204:$I$204)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('A-7'!$B$200:$H$200,'A-7'!$B$205:$I$205)</c:f>
              <c:numCache>
                <c:formatCode>General</c:formatCode>
                <c:ptCount val="15"/>
                <c:pt idx="7" formatCode="_-* #,##0.0_-;\-* #,##0.0_-;_-* &quot;-&quot;??_-;_-@_-">
                  <c:v>0</c:v>
                </c:pt>
                <c:pt idx="8" formatCode="_-* #,##0.0_-;\-* #,##0.0_-;_-* &quot;-&quot;??_-;_-@_-">
                  <c:v>0</c:v>
                </c:pt>
                <c:pt idx="9" formatCode="_-* #,##0.0_-;\-* #,##0.0_-;_-* &quot;-&quot;??_-;_-@_-">
                  <c:v>0.66200000000000003</c:v>
                </c:pt>
                <c:pt idx="10" formatCode="_-* #,##0.0_-;\-* #,##0.0_-;_-* &quot;-&quot;??_-;_-@_-">
                  <c:v>0.66200000000000003</c:v>
                </c:pt>
                <c:pt idx="11" formatCode="_-* #,##0.0_-;\-* #,##0.0_-;_-* &quot;-&quot;??_-;_-@_-">
                  <c:v>0.66200000000000003</c:v>
                </c:pt>
                <c:pt idx="12" formatCode="_-* #,##0.0_-;\-* #,##0.0_-;_-* &quot;-&quot;??_-;_-@_-">
                  <c:v>0.66200000000000003</c:v>
                </c:pt>
                <c:pt idx="13" formatCode="_-* #,##0.0_-;\-* #,##0.0_-;_-* &quot;-&quot;??_-;_-@_-">
                  <c:v>0.66200000000000003</c:v>
                </c:pt>
                <c:pt idx="14" formatCode="_-* #,##0.0_-;\-* #,##0.0_-;_-* &quot;-&quot;??_-;_-@_-">
                  <c:v>0.66200000000000003</c:v>
                </c:pt>
              </c:numCache>
            </c:numRef>
          </c:val>
        </c:ser>
        <c:ser>
          <c:idx val="0"/>
          <c:order val="2"/>
          <c:tx>
            <c:strRef>
              <c:f>'A-7'!$A$206</c:f>
              <c:strCache>
                <c:ptCount val="1"/>
                <c:pt idx="0">
                  <c:v>Total with Variations</c:v>
                </c:pt>
              </c:strCache>
            </c:strRef>
          </c:tx>
          <c:spPr>
            <a:ln w="25400">
              <a:solidFill>
                <a:srgbClr val="993366"/>
              </a:solidFill>
              <a:prstDash val="solid"/>
            </a:ln>
          </c:spPr>
          <c:marker>
            <c:symbol val="none"/>
          </c:marker>
          <c:cat>
            <c:strRef>
              <c:f>('A-7'!$B$202:$H$202,'A-7'!$B$204:$I$204)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('A-7'!$B$200:$H$200,'A-7'!$B$206:$I$206)</c:f>
              <c:numCache>
                <c:formatCode>General</c:formatCode>
                <c:ptCount val="15"/>
                <c:pt idx="7" formatCode="_-* #,##0.0_-;\-* #,##0.0_-;_-* &quot;-&quot;??_-;_-@_-">
                  <c:v>0</c:v>
                </c:pt>
                <c:pt idx="8" formatCode="_-* #,##0.0_-;\-* #,##0.0_-;_-* &quot;-&quot;??_-;_-@_-">
                  <c:v>0</c:v>
                </c:pt>
                <c:pt idx="9" formatCode="_-* #,##0.0_-;\-* #,##0.0_-;_-* &quot;-&quot;??_-;_-@_-">
                  <c:v>0.66200000000000003</c:v>
                </c:pt>
                <c:pt idx="10" formatCode="_-* #,##0.0_-;\-* #,##0.0_-;_-* &quot;-&quot;??_-;_-@_-">
                  <c:v>0.66200000000000003</c:v>
                </c:pt>
                <c:pt idx="11" formatCode="_-* #,##0.0_-;\-* #,##0.0_-;_-* &quot;-&quot;??_-;_-@_-">
                  <c:v>0.66200000000000003</c:v>
                </c:pt>
                <c:pt idx="12" formatCode="_-* #,##0.0_-;\-* #,##0.0_-;_-* &quot;-&quot;??_-;_-@_-">
                  <c:v>0.66200000000000003</c:v>
                </c:pt>
                <c:pt idx="13" formatCode="_-* #,##0.0_-;\-* #,##0.0_-;_-* &quot;-&quot;??_-;_-@_-">
                  <c:v>0.66200000000000003</c:v>
                </c:pt>
                <c:pt idx="14" formatCode="_-* #,##0.0_-;\-* #,##0.0_-;_-* &quot;-&quot;??_-;_-@_-">
                  <c:v>0.66200000000000003</c:v>
                </c:pt>
              </c:numCache>
            </c:numRef>
          </c:val>
        </c:ser>
        <c:ser>
          <c:idx val="3"/>
          <c:order val="3"/>
          <c:tx>
            <c:strRef>
              <c:f>'A-7'!$A$207</c:f>
              <c:strCache>
                <c:ptCount val="1"/>
                <c:pt idx="0">
                  <c:v>Total with Specific Escalations</c:v>
                </c:pt>
              </c:strCache>
            </c:strRef>
          </c:tx>
          <c:spPr>
            <a:ln w="25400">
              <a:solidFill>
                <a:srgbClr val="FF0000"/>
              </a:solidFill>
              <a:prstDash val="solid"/>
            </a:ln>
          </c:spPr>
          <c:marker>
            <c:symbol val="none"/>
          </c:marker>
          <c:cat>
            <c:strRef>
              <c:f>('A-7'!$B$202:$H$202,'A-7'!$B$204:$I$204)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('A-7'!$B$200:$H$200,'A-7'!$B$207:$I$207)</c:f>
              <c:numCache>
                <c:formatCode>General</c:formatCode>
                <c:ptCount val="15"/>
                <c:pt idx="7" formatCode="_-* #,##0.0_-;\-* #,##0.0_-;_-* &quot;-&quot;??_-;_-@_-">
                  <c:v>0</c:v>
                </c:pt>
                <c:pt idx="8" formatCode="_-* #,##0.0_-;\-* #,##0.0_-;_-* &quot;-&quot;??_-;_-@_-">
                  <c:v>0</c:v>
                </c:pt>
                <c:pt idx="9" formatCode="_-* #,##0.0_-;\-* #,##0.0_-;_-* &quot;-&quot;??_-;_-@_-">
                  <c:v>0.66200000000000003</c:v>
                </c:pt>
                <c:pt idx="10" formatCode="_-* #,##0.0_-;\-* #,##0.0_-;_-* &quot;-&quot;??_-;_-@_-">
                  <c:v>0.66902379238217768</c:v>
                </c:pt>
                <c:pt idx="11" formatCode="_-* #,##0.0_-;\-* #,##0.0_-;_-* &quot;-&quot;??_-;_-@_-">
                  <c:v>0.67553193877183104</c:v>
                </c:pt>
                <c:pt idx="12" formatCode="_-* #,##0.0_-;\-* #,##0.0_-;_-* &quot;-&quot;??_-;_-@_-">
                  <c:v>0.6819651692100529</c:v>
                </c:pt>
                <c:pt idx="13" formatCode="_-* #,##0.0_-;\-* #,##0.0_-;_-* &quot;-&quot;??_-;_-@_-">
                  <c:v>0.68894470754731119</c:v>
                </c:pt>
                <c:pt idx="14" formatCode="_-* #,##0.0_-;\-* #,##0.0_-;_-* &quot;-&quot;??_-;_-@_-">
                  <c:v>0.69533801689932817</c:v>
                </c:pt>
              </c:numCache>
            </c:numRef>
          </c:val>
        </c:ser>
        <c:ser>
          <c:idx val="2"/>
          <c:order val="4"/>
          <c:tx>
            <c:strRef>
              <c:f>'A-7'!$A$208</c:f>
              <c:strCache>
                <c:ptCount val="1"/>
                <c:pt idx="0">
                  <c:v>Total with All Escalations</c:v>
                </c:pt>
              </c:strCache>
            </c:strRef>
          </c:tx>
          <c:spPr>
            <a:ln w="38100">
              <a:solidFill>
                <a:srgbClr val="00FF00"/>
              </a:solidFill>
              <a:prstDash val="solid"/>
            </a:ln>
          </c:spPr>
          <c:marker>
            <c:symbol val="none"/>
          </c:marker>
          <c:cat>
            <c:strRef>
              <c:f>('A-7'!$B$202:$H$202,'A-7'!$B$204:$I$204)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('A-7'!$B$200:$H$200,'A-7'!$B$208:$I$208)</c:f>
              <c:numCache>
                <c:formatCode>General</c:formatCode>
                <c:ptCount val="15"/>
                <c:pt idx="7" formatCode="_-* #,##0.0_-;\-* #,##0.0_-;_-* &quot;-&quot;??_-;_-@_-">
                  <c:v>0</c:v>
                </c:pt>
                <c:pt idx="8" formatCode="_-* #,##0.0_-;\-* #,##0.0_-;_-* &quot;-&quot;??_-;_-@_-">
                  <c:v>0</c:v>
                </c:pt>
                <c:pt idx="9" formatCode="_-* #,##0.0_-;\-* #,##0.0_-;_-* &quot;-&quot;??_-;_-@_-">
                  <c:v>0.66200000000000003</c:v>
                </c:pt>
                <c:pt idx="10" formatCode="_-* #,##0.0_-;\-* #,##0.0_-;_-* &quot;-&quot;??_-;_-@_-">
                  <c:v>0.68182569254338798</c:v>
                </c:pt>
                <c:pt idx="11" formatCode="_-* #,##0.0_-;\-* #,##0.0_-;_-* &quot;-&quot;??_-;_-@_-">
                  <c:v>0.70165521371207329</c:v>
                </c:pt>
                <c:pt idx="12" formatCode="_-* #,##0.0_-;\-* #,##0.0_-;_-* &quot;-&quot;??_-;_-@_-">
                  <c:v>0.7230055995732656</c:v>
                </c:pt>
                <c:pt idx="13" formatCode="_-* #,##0.0_-;\-* #,##0.0_-;_-* &quot;-&quot;??_-;_-@_-">
                  <c:v>0.74568040207388064</c:v>
                </c:pt>
                <c:pt idx="14" formatCode="_-* #,##0.0_-;\-* #,##0.0_-;_-* &quot;-&quot;??_-;_-@_-">
                  <c:v>0.768534383816318</c:v>
                </c:pt>
              </c:numCache>
            </c:numRef>
          </c:val>
        </c:ser>
        <c:marker val="1"/>
        <c:axId val="156828032"/>
        <c:axId val="156829568"/>
      </c:lineChart>
      <c:catAx>
        <c:axId val="156828032"/>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6829568"/>
        <c:crosses val="autoZero"/>
        <c:auto val="1"/>
        <c:lblAlgn val="ctr"/>
        <c:lblOffset val="100"/>
        <c:tickLblSkip val="1"/>
        <c:tickMarkSkip val="1"/>
      </c:catAx>
      <c:valAx>
        <c:axId val="156829568"/>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6828032"/>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AU"/>
  <c:chart>
    <c:title>
      <c:tx>
        <c:strRef>
          <c:f>'A-8'!$B$2</c:f>
          <c:strCache>
            <c:ptCount val="1"/>
            <c:pt idx="0">
              <c:v>Accounts Receivable – Asset Damage</c:v>
            </c:pt>
          </c:strCache>
        </c:strRef>
      </c:tx>
      <c:layout>
        <c:manualLayout>
          <c:xMode val="edge"/>
          <c:yMode val="edge"/>
          <c:x val="0.27686472819216984"/>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'A-8'!$A$203</c:f>
              <c:strCache>
                <c:ptCount val="1"/>
                <c:pt idx="0">
                  <c:v>Historic Expenditure</c:v>
                </c:pt>
              </c:strCache>
            </c:strRef>
          </c:tx>
          <c:spPr>
            <a:ln w="25400">
              <a:solidFill>
                <a:srgbClr val="33CCCC"/>
              </a:solidFill>
              <a:prstDash val="solid"/>
            </a:ln>
          </c:spPr>
          <c:marker>
            <c:symbol val="none"/>
          </c:marker>
          <c:cat>
            <c:strRef>
              <c:f>('A-8'!$B$202:$H$202,'A-8'!$B$204:$I$204)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('A-8'!$B$203:$H$203,'A-8'!$B$205,'A-8'!$C$200:$I$200)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'A-8'!$A$14</c:f>
              <c:strCache>
                <c:ptCount val="1"/>
                <c:pt idx="0">
                  <c:v>Baseline Expenditure</c:v>
                </c:pt>
              </c:strCache>
            </c:strRef>
          </c:tx>
          <c:spPr>
            <a:ln w="25400">
              <a:solidFill>
                <a:srgbClr val="0000FF"/>
              </a:solidFill>
              <a:prstDash val="solid"/>
            </a:ln>
          </c:spPr>
          <c:marker>
            <c:symbol val="none"/>
          </c:marker>
          <c:cat>
            <c:strRef>
              <c:f>('A-8'!$B$202:$H$202,'A-8'!$B$204:$I$204)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('A-8'!$B$200:$H$200,'A-8'!$B$205:$I$205)</c:f>
              <c:numCache>
                <c:formatCode>General</c:formatCode>
                <c:ptCount val="15"/>
                <c:pt idx="7" formatCode="_-* #,##0.0_-;\-* #,##0.0_-;_-* &quot;-&quot;??_-;_-@_-">
                  <c:v>0</c:v>
                </c:pt>
                <c:pt idx="8" formatCode="_-* #,##0.0_-;\-* #,##0.0_-;_-* &quot;-&quot;??_-;_-@_-">
                  <c:v>0</c:v>
                </c:pt>
                <c:pt idx="9" formatCode="_-* #,##0.0_-;\-* #,##0.0_-;_-* &quot;-&quot;??_-;_-@_-">
                  <c:v>0.34700000000000003</c:v>
                </c:pt>
                <c:pt idx="10" formatCode="_-* #,##0.0_-;\-* #,##0.0_-;_-* &quot;-&quot;??_-;_-@_-">
                  <c:v>0.34700000000000003</c:v>
                </c:pt>
                <c:pt idx="11" formatCode="_-* #,##0.0_-;\-* #,##0.0_-;_-* &quot;-&quot;??_-;_-@_-">
                  <c:v>0.34700000000000003</c:v>
                </c:pt>
                <c:pt idx="12" formatCode="_-* #,##0.0_-;\-* #,##0.0_-;_-* &quot;-&quot;??_-;_-@_-">
                  <c:v>0.34700000000000003</c:v>
                </c:pt>
                <c:pt idx="13" formatCode="_-* #,##0.0_-;\-* #,##0.0_-;_-* &quot;-&quot;??_-;_-@_-">
                  <c:v>0.34700000000000003</c:v>
                </c:pt>
                <c:pt idx="14" formatCode="_-* #,##0.0_-;\-* #,##0.0_-;_-* &quot;-&quot;??_-;_-@_-">
                  <c:v>0.34700000000000003</c:v>
                </c:pt>
              </c:numCache>
            </c:numRef>
          </c:val>
        </c:ser>
        <c:ser>
          <c:idx val="0"/>
          <c:order val="2"/>
          <c:tx>
            <c:strRef>
              <c:f>'A-8'!$A$206</c:f>
              <c:strCache>
                <c:ptCount val="1"/>
                <c:pt idx="0">
                  <c:v>Total with Variations</c:v>
                </c:pt>
              </c:strCache>
            </c:strRef>
          </c:tx>
          <c:spPr>
            <a:ln w="25400">
              <a:solidFill>
                <a:srgbClr val="993366"/>
              </a:solidFill>
              <a:prstDash val="solid"/>
            </a:ln>
          </c:spPr>
          <c:marker>
            <c:symbol val="none"/>
          </c:marker>
          <c:cat>
            <c:strRef>
              <c:f>('A-8'!$B$202:$H$202,'A-8'!$B$204:$I$204)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('A-8'!$B$200:$H$200,'A-8'!$B$206:$I$206)</c:f>
              <c:numCache>
                <c:formatCode>General</c:formatCode>
                <c:ptCount val="15"/>
                <c:pt idx="7" formatCode="_-* #,##0.0_-;\-* #,##0.0_-;_-* &quot;-&quot;??_-;_-@_-">
                  <c:v>0</c:v>
                </c:pt>
                <c:pt idx="8" formatCode="_-* #,##0.0_-;\-* #,##0.0_-;_-* &quot;-&quot;??_-;_-@_-">
                  <c:v>0</c:v>
                </c:pt>
                <c:pt idx="9" formatCode="_-* #,##0.0_-;\-* #,##0.0_-;_-* &quot;-&quot;??_-;_-@_-">
                  <c:v>0.34700000000000003</c:v>
                </c:pt>
                <c:pt idx="10" formatCode="_-* #,##0.0_-;\-* #,##0.0_-;_-* &quot;-&quot;??_-;_-@_-">
                  <c:v>0.34700000000000003</c:v>
                </c:pt>
                <c:pt idx="11" formatCode="_-* #,##0.0_-;\-* #,##0.0_-;_-* &quot;-&quot;??_-;_-@_-">
                  <c:v>0.34700000000000003</c:v>
                </c:pt>
                <c:pt idx="12" formatCode="_-* #,##0.0_-;\-* #,##0.0_-;_-* &quot;-&quot;??_-;_-@_-">
                  <c:v>0.34700000000000003</c:v>
                </c:pt>
                <c:pt idx="13" formatCode="_-* #,##0.0_-;\-* #,##0.0_-;_-* &quot;-&quot;??_-;_-@_-">
                  <c:v>0.34700000000000003</c:v>
                </c:pt>
                <c:pt idx="14" formatCode="_-* #,##0.0_-;\-* #,##0.0_-;_-* &quot;-&quot;??_-;_-@_-">
                  <c:v>0.34700000000000003</c:v>
                </c:pt>
              </c:numCache>
            </c:numRef>
          </c:val>
        </c:ser>
        <c:ser>
          <c:idx val="3"/>
          <c:order val="3"/>
          <c:tx>
            <c:strRef>
              <c:f>'A-8'!$A$207</c:f>
              <c:strCache>
                <c:ptCount val="1"/>
                <c:pt idx="0">
                  <c:v>Total with Specific Escalations</c:v>
                </c:pt>
              </c:strCache>
            </c:strRef>
          </c:tx>
          <c:spPr>
            <a:ln w="25400">
              <a:solidFill>
                <a:srgbClr val="FF0000"/>
              </a:solidFill>
              <a:prstDash val="solid"/>
            </a:ln>
          </c:spPr>
          <c:marker>
            <c:symbol val="none"/>
          </c:marker>
          <c:cat>
            <c:strRef>
              <c:f>('A-8'!$B$202:$H$202,'A-8'!$B$204:$I$204)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('A-8'!$B$200:$H$200,'A-8'!$B$207:$I$207)</c:f>
              <c:numCache>
                <c:formatCode>General</c:formatCode>
                <c:ptCount val="15"/>
                <c:pt idx="7" formatCode="_-* #,##0.0_-;\-* #,##0.0_-;_-* &quot;-&quot;??_-;_-@_-">
                  <c:v>0</c:v>
                </c:pt>
                <c:pt idx="8" formatCode="_-* #,##0.0_-;\-* #,##0.0_-;_-* &quot;-&quot;??_-;_-@_-">
                  <c:v>0</c:v>
                </c:pt>
                <c:pt idx="9" formatCode="_-* #,##0.0_-;\-* #,##0.0_-;_-* &quot;-&quot;??_-;_-@_-">
                  <c:v>0.34700000000000003</c:v>
                </c:pt>
                <c:pt idx="10" formatCode="_-* #,##0.0_-;\-* #,##0.0_-;_-* &quot;-&quot;??_-;_-@_-">
                  <c:v>0.3506816555235886</c:v>
                </c:pt>
                <c:pt idx="11" formatCode="_-* #,##0.0_-;\-* #,##0.0_-;_-* &quot;-&quot;??_-;_-@_-">
                  <c:v>0.35409302530789333</c:v>
                </c:pt>
                <c:pt idx="12" formatCode="_-* #,##0.0_-;\-* #,##0.0_-;_-* &quot;-&quot;??_-;_-@_-">
                  <c:v>0.35746512645904588</c:v>
                </c:pt>
                <c:pt idx="13" formatCode="_-* #,##0.0_-;\-* #,##0.0_-;_-* &quot;-&quot;??_-;_-@_-">
                  <c:v>0.36112358537600753</c:v>
                </c:pt>
                <c:pt idx="14" formatCode="_-* #,##0.0_-;\-* #,##0.0_-;_-* &quot;-&quot;??_-;_-@_-">
                  <c:v>0.36447476112396809</c:v>
                </c:pt>
              </c:numCache>
            </c:numRef>
          </c:val>
        </c:ser>
        <c:ser>
          <c:idx val="2"/>
          <c:order val="4"/>
          <c:tx>
            <c:strRef>
              <c:f>'A-8'!$A$208</c:f>
              <c:strCache>
                <c:ptCount val="1"/>
                <c:pt idx="0">
                  <c:v>Total with All Escalations</c:v>
                </c:pt>
              </c:strCache>
            </c:strRef>
          </c:tx>
          <c:spPr>
            <a:ln w="38100">
              <a:solidFill>
                <a:srgbClr val="00FF00"/>
              </a:solidFill>
              <a:prstDash val="solid"/>
            </a:ln>
          </c:spPr>
          <c:marker>
            <c:symbol val="none"/>
          </c:marker>
          <c:cat>
            <c:strRef>
              <c:f>('A-8'!$B$202:$H$202,'A-8'!$B$204:$I$204)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('A-8'!$B$200:$H$200,'A-8'!$B$208:$I$208)</c:f>
              <c:numCache>
                <c:formatCode>General</c:formatCode>
                <c:ptCount val="15"/>
                <c:pt idx="7" formatCode="_-* #,##0.0_-;\-* #,##0.0_-;_-* &quot;-&quot;??_-;_-@_-">
                  <c:v>0</c:v>
                </c:pt>
                <c:pt idx="8" formatCode="_-* #,##0.0_-;\-* #,##0.0_-;_-* &quot;-&quot;??_-;_-@_-">
                  <c:v>0</c:v>
                </c:pt>
                <c:pt idx="9" formatCode="_-* #,##0.0_-;\-* #,##0.0_-;_-* &quot;-&quot;??_-;_-@_-">
                  <c:v>0.34700000000000003</c:v>
                </c:pt>
                <c:pt idx="10" formatCode="_-* #,##0.0_-;\-* #,##0.0_-;_-* &quot;-&quot;??_-;_-@_-">
                  <c:v>0.35243506380120648</c:v>
                </c:pt>
                <c:pt idx="11" formatCode="_-* #,##0.0_-;\-* #,##0.0_-;_-* &quot;-&quot;??_-;_-@_-">
                  <c:v>0.35764280788660485</c:v>
                </c:pt>
                <c:pt idx="12" formatCode="_-* #,##0.0_-;\-* #,##0.0_-;_-* &quot;-&quot;??_-;_-@_-">
                  <c:v>0.36429815278096384</c:v>
                </c:pt>
                <c:pt idx="13" formatCode="_-* #,##0.0_-;\-* #,##0.0_-;_-* &quot;-&quot;??_-;_-@_-">
                  <c:v>0.37189082267489088</c:v>
                </c:pt>
                <c:pt idx="14" formatCode="_-* #,##0.0_-;\-* #,##0.0_-;_-* &quot;-&quot;??_-;_-@_-">
                  <c:v>0.38003369082142374</c:v>
                </c:pt>
              </c:numCache>
            </c:numRef>
          </c:val>
        </c:ser>
        <c:marker val="1"/>
        <c:axId val="155117824"/>
        <c:axId val="155119616"/>
      </c:lineChart>
      <c:catAx>
        <c:axId val="155117824"/>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55119616"/>
        <c:crosses val="autoZero"/>
        <c:auto val="1"/>
        <c:lblAlgn val="ctr"/>
        <c:lblOffset val="100"/>
        <c:tickLblSkip val="1"/>
        <c:tickMarkSkip val="1"/>
      </c:catAx>
      <c:valAx>
        <c:axId val="15511961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55117824"/>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AU"/>
  <c:chart>
    <c:title>
      <c:tx>
        <c:strRef>
          <c:f>'A-9'!$B$2</c:f>
          <c:strCache>
            <c:ptCount val="1"/>
            <c:pt idx="0">
              <c:v>Taxation – Specific Allocation</c:v>
            </c:pt>
          </c:strCache>
        </c:strRef>
      </c:tx>
      <c:layout>
        <c:manualLayout>
          <c:xMode val="edge"/>
          <c:yMode val="edge"/>
          <c:x val="0.32490518331227985"/>
          <c:y val="2.9702999016668293E-2"/>
        </c:manualLayout>
      </c:layout>
      <c:spPr>
        <a:noFill/>
        <a:ln w="25400">
          <a:noFill/>
        </a:ln>
      </c:spPr>
      <c:txPr>
        <a:bodyPr/>
        <a:lstStyle/>
        <a:p>
          <a:pPr>
            <a:defRPr sz="1400" b="1" i="0" u="none" strike="noStrike" baseline="0">
              <a:solidFill>
                <a:srgbClr val="000000"/>
              </a:solidFill>
              <a:latin typeface="Arial"/>
              <a:ea typeface="Arial"/>
              <a:cs typeface="Arial"/>
            </a:defRPr>
          </a:pPr>
          <a:endParaRPr lang="en-US"/>
        </a:p>
      </c:txPr>
    </c:title>
    <c:plotArea>
      <c:layout>
        <c:manualLayout>
          <c:layoutTarget val="inner"/>
          <c:xMode val="edge"/>
          <c:yMode val="edge"/>
          <c:x val="9.7345132743362844E-2"/>
          <c:y val="0.15643579482112893"/>
          <c:w val="0.88495575221238965"/>
          <c:h val="0.58217878072667795"/>
        </c:manualLayout>
      </c:layout>
      <c:lineChart>
        <c:grouping val="standard"/>
        <c:ser>
          <c:idx val="4"/>
          <c:order val="0"/>
          <c:tx>
            <c:strRef>
              <c:f>'A-9'!$A$203</c:f>
              <c:strCache>
                <c:ptCount val="1"/>
                <c:pt idx="0">
                  <c:v>Historic Expenditure</c:v>
                </c:pt>
              </c:strCache>
            </c:strRef>
          </c:tx>
          <c:spPr>
            <a:ln w="25400">
              <a:solidFill>
                <a:srgbClr val="33CCCC"/>
              </a:solidFill>
              <a:prstDash val="solid"/>
            </a:ln>
          </c:spPr>
          <c:marker>
            <c:symbol val="none"/>
          </c:marker>
          <c:cat>
            <c:strRef>
              <c:f>('A-9'!$B$202:$H$202,'A-9'!$B$204:$I$204)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('A-9'!$B$203:$H$203,'A-9'!$B$205,'A-9'!$C$200:$I$200)</c:f>
              <c:numCache>
                <c:formatCode>0.0</c:formatCode>
                <c:ptCount val="15"/>
                <c:pt idx="0">
                  <c:v>0</c:v>
                </c:pt>
                <c:pt idx="1">
                  <c:v>0</c:v>
                </c:pt>
                <c:pt idx="2">
                  <c:v>0</c:v>
                </c:pt>
                <c:pt idx="3">
                  <c:v>0</c:v>
                </c:pt>
                <c:pt idx="4">
                  <c:v>0</c:v>
                </c:pt>
                <c:pt idx="5">
                  <c:v>0</c:v>
                </c:pt>
                <c:pt idx="6">
                  <c:v>0</c:v>
                </c:pt>
                <c:pt idx="7" formatCode="_-* #,##0.0_-;\-* #,##0.0_-;_-* &quot;-&quot;??_-;_-@_-">
                  <c:v>0</c:v>
                </c:pt>
              </c:numCache>
            </c:numRef>
          </c:val>
        </c:ser>
        <c:ser>
          <c:idx val="1"/>
          <c:order val="1"/>
          <c:tx>
            <c:strRef>
              <c:f>'A-9'!$A$14</c:f>
              <c:strCache>
                <c:ptCount val="1"/>
                <c:pt idx="0">
                  <c:v>Baseline Expenditure</c:v>
                </c:pt>
              </c:strCache>
            </c:strRef>
          </c:tx>
          <c:spPr>
            <a:ln w="25400">
              <a:solidFill>
                <a:srgbClr val="0000FF"/>
              </a:solidFill>
              <a:prstDash val="solid"/>
            </a:ln>
          </c:spPr>
          <c:marker>
            <c:symbol val="none"/>
          </c:marker>
          <c:cat>
            <c:strRef>
              <c:f>('A-9'!$B$202:$H$202,'A-9'!$B$204:$I$204)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('A-9'!$B$200:$H$200,'A-9'!$B$205:$I$205)</c:f>
              <c:numCache>
                <c:formatCode>General</c:formatCode>
                <c:ptCount val="15"/>
                <c:pt idx="7" formatCode="_-* #,##0.0_-;\-* #,##0.0_-;_-* &quot;-&quot;??_-;_-@_-">
                  <c:v>0</c:v>
                </c:pt>
                <c:pt idx="8" formatCode="_-* #,##0.0_-;\-* #,##0.0_-;_-* &quot;-&quot;??_-;_-@_-">
                  <c:v>0</c:v>
                </c:pt>
                <c:pt idx="9" formatCode="_-* #,##0.0_-;\-* #,##0.0_-;_-* &quot;-&quot;??_-;_-@_-">
                  <c:v>0.307</c:v>
                </c:pt>
                <c:pt idx="10" formatCode="_-* #,##0.0_-;\-* #,##0.0_-;_-* &quot;-&quot;??_-;_-@_-">
                  <c:v>0.307</c:v>
                </c:pt>
                <c:pt idx="11" formatCode="_-* #,##0.0_-;\-* #,##0.0_-;_-* &quot;-&quot;??_-;_-@_-">
                  <c:v>0.307</c:v>
                </c:pt>
                <c:pt idx="12" formatCode="_-* #,##0.0_-;\-* #,##0.0_-;_-* &quot;-&quot;??_-;_-@_-">
                  <c:v>0.307</c:v>
                </c:pt>
                <c:pt idx="13" formatCode="_-* #,##0.0_-;\-* #,##0.0_-;_-* &quot;-&quot;??_-;_-@_-">
                  <c:v>0.307</c:v>
                </c:pt>
                <c:pt idx="14" formatCode="_-* #,##0.0_-;\-* #,##0.0_-;_-* &quot;-&quot;??_-;_-@_-">
                  <c:v>0.307</c:v>
                </c:pt>
              </c:numCache>
            </c:numRef>
          </c:val>
        </c:ser>
        <c:ser>
          <c:idx val="0"/>
          <c:order val="2"/>
          <c:tx>
            <c:strRef>
              <c:f>'A-9'!$A$206</c:f>
              <c:strCache>
                <c:ptCount val="1"/>
                <c:pt idx="0">
                  <c:v>Total with Variations</c:v>
                </c:pt>
              </c:strCache>
            </c:strRef>
          </c:tx>
          <c:spPr>
            <a:ln w="25400">
              <a:solidFill>
                <a:srgbClr val="993366"/>
              </a:solidFill>
              <a:prstDash val="solid"/>
            </a:ln>
          </c:spPr>
          <c:marker>
            <c:symbol val="none"/>
          </c:marker>
          <c:cat>
            <c:strRef>
              <c:f>('A-9'!$B$202:$H$202,'A-9'!$B$204:$I$204)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('A-9'!$B$200:$H$200,'A-9'!$B$206:$I$206)</c:f>
              <c:numCache>
                <c:formatCode>General</c:formatCode>
                <c:ptCount val="15"/>
                <c:pt idx="7" formatCode="_-* #,##0.0_-;\-* #,##0.0_-;_-* &quot;-&quot;??_-;_-@_-">
                  <c:v>0</c:v>
                </c:pt>
                <c:pt idx="8" formatCode="_-* #,##0.0_-;\-* #,##0.0_-;_-* &quot;-&quot;??_-;_-@_-">
                  <c:v>0</c:v>
                </c:pt>
                <c:pt idx="9" formatCode="_-* #,##0.0_-;\-* #,##0.0_-;_-* &quot;-&quot;??_-;_-@_-">
                  <c:v>0.307</c:v>
                </c:pt>
                <c:pt idx="10" formatCode="_-* #,##0.0_-;\-* #,##0.0_-;_-* &quot;-&quot;??_-;_-@_-">
                  <c:v>0.307</c:v>
                </c:pt>
                <c:pt idx="11" formatCode="_-* #,##0.0_-;\-* #,##0.0_-;_-* &quot;-&quot;??_-;_-@_-">
                  <c:v>0.307</c:v>
                </c:pt>
                <c:pt idx="12" formatCode="_-* #,##0.0_-;\-* #,##0.0_-;_-* &quot;-&quot;??_-;_-@_-">
                  <c:v>0.307</c:v>
                </c:pt>
                <c:pt idx="13" formatCode="_-* #,##0.0_-;\-* #,##0.0_-;_-* &quot;-&quot;??_-;_-@_-">
                  <c:v>0.307</c:v>
                </c:pt>
                <c:pt idx="14" formatCode="_-* #,##0.0_-;\-* #,##0.0_-;_-* &quot;-&quot;??_-;_-@_-">
                  <c:v>0.307</c:v>
                </c:pt>
              </c:numCache>
            </c:numRef>
          </c:val>
        </c:ser>
        <c:ser>
          <c:idx val="3"/>
          <c:order val="3"/>
          <c:tx>
            <c:strRef>
              <c:f>'A-9'!$A$207</c:f>
              <c:strCache>
                <c:ptCount val="1"/>
                <c:pt idx="0">
                  <c:v>Total with Specific Escalations</c:v>
                </c:pt>
              </c:strCache>
            </c:strRef>
          </c:tx>
          <c:spPr>
            <a:ln w="25400">
              <a:solidFill>
                <a:srgbClr val="FF0000"/>
              </a:solidFill>
              <a:prstDash val="solid"/>
            </a:ln>
          </c:spPr>
          <c:marker>
            <c:symbol val="none"/>
          </c:marker>
          <c:cat>
            <c:strRef>
              <c:f>('A-9'!$B$202:$H$202,'A-9'!$B$204:$I$204)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('A-9'!$B$200:$H$200,'A-9'!$B$207:$I$207)</c:f>
              <c:numCache>
                <c:formatCode>General</c:formatCode>
                <c:ptCount val="15"/>
                <c:pt idx="7" formatCode="_-* #,##0.0_-;\-* #,##0.0_-;_-* &quot;-&quot;??_-;_-@_-">
                  <c:v>0</c:v>
                </c:pt>
                <c:pt idx="8" formatCode="_-* #,##0.0_-;\-* #,##0.0_-;_-* &quot;-&quot;??_-;_-@_-">
                  <c:v>0</c:v>
                </c:pt>
                <c:pt idx="9" formatCode="_-* #,##0.0_-;\-* #,##0.0_-;_-* &quot;-&quot;??_-;_-@_-">
                  <c:v>0.307</c:v>
                </c:pt>
                <c:pt idx="10" formatCode="_-* #,##0.0_-;\-* #,##0.0_-;_-* &quot;-&quot;??_-;_-@_-">
                  <c:v>0.31025725719233915</c:v>
                </c:pt>
                <c:pt idx="11" formatCode="_-* #,##0.0_-;\-* #,##0.0_-;_-* &quot;-&quot;??_-;_-@_-">
                  <c:v>0.31327538550294881</c:v>
                </c:pt>
                <c:pt idx="12" formatCode="_-* #,##0.0_-;\-* #,##0.0_-;_-* &quot;-&quot;??_-;_-@_-">
                  <c:v>0.31625877182399736</c:v>
                </c:pt>
                <c:pt idx="13" formatCode="_-* #,##0.0_-;\-* #,##0.0_-;_-* &quot;-&quot;??_-;_-@_-">
                  <c:v>0.31949550637012769</c:v>
                </c:pt>
                <c:pt idx="14" formatCode="_-* #,##0.0_-;\-* #,##0.0_-;_-* &quot;-&quot;??_-;_-@_-">
                  <c:v>0.32246037943820804</c:v>
                </c:pt>
              </c:numCache>
            </c:numRef>
          </c:val>
        </c:ser>
        <c:ser>
          <c:idx val="2"/>
          <c:order val="4"/>
          <c:tx>
            <c:strRef>
              <c:f>'A-9'!$A$208</c:f>
              <c:strCache>
                <c:ptCount val="1"/>
                <c:pt idx="0">
                  <c:v>Total with All Escalations</c:v>
                </c:pt>
              </c:strCache>
            </c:strRef>
          </c:tx>
          <c:spPr>
            <a:ln w="38100">
              <a:solidFill>
                <a:srgbClr val="00FF00"/>
              </a:solidFill>
              <a:prstDash val="solid"/>
            </a:ln>
          </c:spPr>
          <c:marker>
            <c:symbol val="none"/>
          </c:marker>
          <c:cat>
            <c:strRef>
              <c:f>('A-9'!$B$202:$H$202,'A-9'!$B$204:$I$204)</c:f>
              <c:strCache>
                <c:ptCount val="15"/>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strCache>
            </c:strRef>
          </c:cat>
          <c:val>
            <c:numRef>
              <c:f>('A-9'!$B$200:$H$200,'A-9'!$B$208:$I$208)</c:f>
              <c:numCache>
                <c:formatCode>General</c:formatCode>
                <c:ptCount val="15"/>
                <c:pt idx="7" formatCode="_-* #,##0.0_-;\-* #,##0.0_-;_-* &quot;-&quot;??_-;_-@_-">
                  <c:v>0</c:v>
                </c:pt>
                <c:pt idx="8" formatCode="_-* #,##0.0_-;\-* #,##0.0_-;_-* &quot;-&quot;??_-;_-@_-">
                  <c:v>0</c:v>
                </c:pt>
                <c:pt idx="9" formatCode="_-* #,##0.0_-;\-* #,##0.0_-;_-* &quot;-&quot;??_-;_-@_-">
                  <c:v>0.307</c:v>
                </c:pt>
                <c:pt idx="10" formatCode="_-* #,##0.0_-;\-* #,##0.0_-;_-* &quot;-&quot;??_-;_-@_-">
                  <c:v>0.31691474683814774</c:v>
                </c:pt>
                <c:pt idx="11" formatCode="_-* #,##0.0_-;\-* #,##0.0_-;_-* &quot;-&quot;??_-;_-@_-">
                  <c:v>0.32686413644911699</c:v>
                </c:pt>
                <c:pt idx="12" formatCode="_-* #,##0.0_-;\-* #,##0.0_-;_-* &quot;-&quot;??_-;_-@_-">
                  <c:v>0.33744554492772805</c:v>
                </c:pt>
                <c:pt idx="13" formatCode="_-* #,##0.0_-;\-* #,##0.0_-;_-* &quot;-&quot;??_-;_-@_-">
                  <c:v>0.34861493801897703</c:v>
                </c:pt>
                <c:pt idx="14" formatCode="_-* #,##0.0_-;\-* #,##0.0_-;_-* &quot;-&quot;??_-;_-@_-">
                  <c:v>0.35981371921663985</c:v>
                </c:pt>
              </c:numCache>
            </c:numRef>
          </c:val>
        </c:ser>
        <c:marker val="1"/>
        <c:axId val="160071680"/>
        <c:axId val="160073216"/>
      </c:lineChart>
      <c:catAx>
        <c:axId val="160071680"/>
        <c:scaling>
          <c:orientation val="minMax"/>
        </c:scaling>
        <c:axPos val="b"/>
        <c:numFmt formatCode="General" sourceLinked="1"/>
        <c:tickLblPos val="nextTo"/>
        <c:spPr>
          <a:ln w="3175">
            <a:solidFill>
              <a:srgbClr val="000000"/>
            </a:solidFill>
            <a:prstDash val="solid"/>
          </a:ln>
        </c:spPr>
        <c:txPr>
          <a:bodyPr rot="-2700000" vert="horz"/>
          <a:lstStyle/>
          <a:p>
            <a:pPr>
              <a:defRPr sz="1075" b="0" i="0" u="none" strike="noStrike" baseline="0">
                <a:solidFill>
                  <a:srgbClr val="000000"/>
                </a:solidFill>
                <a:latin typeface="Arial"/>
                <a:ea typeface="Arial"/>
                <a:cs typeface="Arial"/>
              </a:defRPr>
            </a:pPr>
            <a:endParaRPr lang="en-US"/>
          </a:p>
        </c:txPr>
        <c:crossAx val="160073216"/>
        <c:crosses val="autoZero"/>
        <c:auto val="1"/>
        <c:lblAlgn val="ctr"/>
        <c:lblOffset val="100"/>
        <c:tickLblSkip val="1"/>
        <c:tickMarkSkip val="1"/>
      </c:catAx>
      <c:valAx>
        <c:axId val="160073216"/>
        <c:scaling>
          <c:orientation val="minMax"/>
        </c:scaling>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AU"/>
                  <a:t>$'M</a:t>
                </a:r>
              </a:p>
            </c:rich>
          </c:tx>
          <c:layout>
            <c:manualLayout>
              <c:xMode val="edge"/>
              <c:yMode val="edge"/>
              <c:x val="2.0227560050568902E-2"/>
              <c:y val="0.41584198623335838"/>
            </c:manualLayout>
          </c:layout>
          <c:spPr>
            <a:noFill/>
            <a:ln w="25400">
              <a:noFill/>
            </a:ln>
          </c:spPr>
        </c:title>
        <c:numFmt formatCode="#,##0.0" sourceLinked="0"/>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n-US"/>
          </a:p>
        </c:txPr>
        <c:crossAx val="160071680"/>
        <c:crosses val="autoZero"/>
        <c:crossBetween val="between"/>
      </c:valAx>
      <c:spPr>
        <a:solidFill>
          <a:srgbClr val="C0C0C0"/>
        </a:solidFill>
        <a:ln w="12700">
          <a:solidFill>
            <a:srgbClr val="808080"/>
          </a:solidFill>
          <a:prstDash val="solid"/>
        </a:ln>
      </c:spPr>
    </c:plotArea>
    <c:legend>
      <c:legendPos val="b"/>
      <c:layout>
        <c:manualLayout>
          <c:xMode val="edge"/>
          <c:yMode val="edge"/>
          <c:x val="1.6434892541087241E-2"/>
          <c:y val="0.88514937069671562"/>
          <c:w val="0.96586599241466564"/>
          <c:h val="0.10099019665667222"/>
        </c:manualLayout>
      </c:layou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590550</xdr:colOff>
      <xdr:row>8</xdr:row>
      <xdr:rowOff>95250</xdr:rowOff>
    </xdr:to>
    <xdr:pic>
      <xdr:nvPicPr>
        <xdr:cNvPr id="3" name="Picture 2"/>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tretch>
          <a:fillRect/>
        </a:stretch>
      </xdr:blipFill>
      <xdr:spPr>
        <a:xfrm>
          <a:off x="1219200" y="323850"/>
          <a:ext cx="2238375" cy="1171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314325</xdr:colOff>
      <xdr:row>209</xdr:row>
      <xdr:rowOff>19050</xdr:rowOff>
    </xdr:from>
    <xdr:to>
      <xdr:col>8</xdr:col>
      <xdr:colOff>447675</xdr:colOff>
      <xdr:row>238</xdr:row>
      <xdr:rowOff>142875</xdr:rowOff>
    </xdr:to>
    <xdr:graphicFrame macro="">
      <xdr:nvGraphicFramePr>
        <xdr:cNvPr id="501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219075</xdr:colOff>
      <xdr:row>208</xdr:row>
      <xdr:rowOff>152400</xdr:rowOff>
    </xdr:from>
    <xdr:to>
      <xdr:col>8</xdr:col>
      <xdr:colOff>352425</xdr:colOff>
      <xdr:row>238</xdr:row>
      <xdr:rowOff>114300</xdr:rowOff>
    </xdr:to>
    <xdr:graphicFrame macro="">
      <xdr:nvGraphicFramePr>
        <xdr:cNvPr id="512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209</xdr:row>
      <xdr:rowOff>28575</xdr:rowOff>
    </xdr:from>
    <xdr:to>
      <xdr:col>8</xdr:col>
      <xdr:colOff>495300</xdr:colOff>
      <xdr:row>238</xdr:row>
      <xdr:rowOff>152400</xdr:rowOff>
    </xdr:to>
    <xdr:graphicFrame macro="">
      <xdr:nvGraphicFramePr>
        <xdr:cNvPr id="522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209</xdr:row>
      <xdr:rowOff>76200</xdr:rowOff>
    </xdr:from>
    <xdr:to>
      <xdr:col>8</xdr:col>
      <xdr:colOff>495300</xdr:colOff>
      <xdr:row>239</xdr:row>
      <xdr:rowOff>38100</xdr:rowOff>
    </xdr:to>
    <xdr:graphicFrame macro="">
      <xdr:nvGraphicFramePr>
        <xdr:cNvPr id="532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209</xdr:row>
      <xdr:rowOff>28575</xdr:rowOff>
    </xdr:from>
    <xdr:to>
      <xdr:col>8</xdr:col>
      <xdr:colOff>504825</xdr:colOff>
      <xdr:row>238</xdr:row>
      <xdr:rowOff>152400</xdr:rowOff>
    </xdr:to>
    <xdr:graphicFrame macro="">
      <xdr:nvGraphicFramePr>
        <xdr:cNvPr id="5427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314325</xdr:colOff>
      <xdr:row>209</xdr:row>
      <xdr:rowOff>47625</xdr:rowOff>
    </xdr:from>
    <xdr:to>
      <xdr:col>8</xdr:col>
      <xdr:colOff>447675</xdr:colOff>
      <xdr:row>239</xdr:row>
      <xdr:rowOff>9525</xdr:rowOff>
    </xdr:to>
    <xdr:graphicFrame macro="">
      <xdr:nvGraphicFramePr>
        <xdr:cNvPr id="5734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285750</xdr:colOff>
      <xdr:row>209</xdr:row>
      <xdr:rowOff>0</xdr:rowOff>
    </xdr:from>
    <xdr:to>
      <xdr:col>8</xdr:col>
      <xdr:colOff>419100</xdr:colOff>
      <xdr:row>238</xdr:row>
      <xdr:rowOff>123825</xdr:rowOff>
    </xdr:to>
    <xdr:graphicFrame macro="">
      <xdr:nvGraphicFramePr>
        <xdr:cNvPr id="583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276225</xdr:colOff>
      <xdr:row>208</xdr:row>
      <xdr:rowOff>142875</xdr:rowOff>
    </xdr:from>
    <xdr:to>
      <xdr:col>8</xdr:col>
      <xdr:colOff>409575</xdr:colOff>
      <xdr:row>238</xdr:row>
      <xdr:rowOff>104775</xdr:rowOff>
    </xdr:to>
    <xdr:graphicFrame macro="">
      <xdr:nvGraphicFramePr>
        <xdr:cNvPr id="593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352425</xdr:colOff>
      <xdr:row>209</xdr:row>
      <xdr:rowOff>133350</xdr:rowOff>
    </xdr:from>
    <xdr:to>
      <xdr:col>8</xdr:col>
      <xdr:colOff>485775</xdr:colOff>
      <xdr:row>239</xdr:row>
      <xdr:rowOff>95250</xdr:rowOff>
    </xdr:to>
    <xdr:graphicFrame macro="">
      <xdr:nvGraphicFramePr>
        <xdr:cNvPr id="604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304800</xdr:colOff>
      <xdr:row>208</xdr:row>
      <xdr:rowOff>142875</xdr:rowOff>
    </xdr:from>
    <xdr:to>
      <xdr:col>8</xdr:col>
      <xdr:colOff>438150</xdr:colOff>
      <xdr:row>238</xdr:row>
      <xdr:rowOff>104775</xdr:rowOff>
    </xdr:to>
    <xdr:graphicFrame macro="">
      <xdr:nvGraphicFramePr>
        <xdr:cNvPr id="614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25</xdr:row>
      <xdr:rowOff>0</xdr:rowOff>
    </xdr:from>
    <xdr:to>
      <xdr:col>4</xdr:col>
      <xdr:colOff>9525</xdr:colOff>
      <xdr:row>25</xdr:row>
      <xdr:rowOff>9525</xdr:rowOff>
    </xdr:to>
    <xdr:pic>
      <xdr:nvPicPr>
        <xdr:cNvPr id="2" name="Picture 5" descr="ecblank"/>
        <xdr:cNvPicPr>
          <a:picLocks noChangeAspect="1" noChangeArrowheads="1"/>
        </xdr:cNvPicPr>
      </xdr:nvPicPr>
      <xdr:blipFill>
        <a:blip xmlns:r="http://schemas.openxmlformats.org/officeDocument/2006/relationships" r:embed="rId1"/>
        <a:srcRect/>
        <a:stretch>
          <a:fillRect/>
        </a:stretch>
      </xdr:blipFill>
      <xdr:spPr bwMode="auto">
        <a:xfrm>
          <a:off x="2552700" y="3533775"/>
          <a:ext cx="9525" cy="9525"/>
        </a:xfrm>
        <a:prstGeom prst="rect">
          <a:avLst/>
        </a:prstGeom>
        <a:noFill/>
      </xdr:spPr>
    </xdr:pic>
    <xdr:clientData/>
  </xdr:twoCellAnchor>
  <xdr:twoCellAnchor>
    <xdr:from>
      <xdr:col>7</xdr:col>
      <xdr:colOff>257175</xdr:colOff>
      <xdr:row>18</xdr:row>
      <xdr:rowOff>19050</xdr:rowOff>
    </xdr:from>
    <xdr:to>
      <xdr:col>7</xdr:col>
      <xdr:colOff>314325</xdr:colOff>
      <xdr:row>23</xdr:row>
      <xdr:rowOff>114300</xdr:rowOff>
    </xdr:to>
    <xdr:cxnSp macro="">
      <xdr:nvCxnSpPr>
        <xdr:cNvPr id="4" name="Straight Arrow Connector 3"/>
        <xdr:cNvCxnSpPr/>
      </xdr:nvCxnSpPr>
      <xdr:spPr>
        <a:xfrm flipH="1">
          <a:off x="4638675" y="3076575"/>
          <a:ext cx="57150" cy="914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361951</xdr:colOff>
      <xdr:row>13</xdr:row>
      <xdr:rowOff>19050</xdr:rowOff>
    </xdr:from>
    <xdr:to>
      <xdr:col>9</xdr:col>
      <xdr:colOff>323850</xdr:colOff>
      <xdr:row>23</xdr:row>
      <xdr:rowOff>114300</xdr:rowOff>
    </xdr:to>
    <xdr:cxnSp macro="">
      <xdr:nvCxnSpPr>
        <xdr:cNvPr id="5" name="Straight Arrow Connector 4"/>
        <xdr:cNvCxnSpPr/>
      </xdr:nvCxnSpPr>
      <xdr:spPr>
        <a:xfrm flipH="1">
          <a:off x="4743451" y="2238375"/>
          <a:ext cx="1209674" cy="17526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514350</xdr:colOff>
      <xdr:row>208</xdr:row>
      <xdr:rowOff>114300</xdr:rowOff>
    </xdr:from>
    <xdr:to>
      <xdr:col>8</xdr:col>
      <xdr:colOff>647700</xdr:colOff>
      <xdr:row>238</xdr:row>
      <xdr:rowOff>76200</xdr:rowOff>
    </xdr:to>
    <xdr:graphicFrame macro="">
      <xdr:nvGraphicFramePr>
        <xdr:cNvPr id="624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208</xdr:row>
      <xdr:rowOff>123825</xdr:rowOff>
    </xdr:from>
    <xdr:to>
      <xdr:col>8</xdr:col>
      <xdr:colOff>409575</xdr:colOff>
      <xdr:row>238</xdr:row>
      <xdr:rowOff>85725</xdr:rowOff>
    </xdr:to>
    <xdr:graphicFrame macro="">
      <xdr:nvGraphicFramePr>
        <xdr:cNvPr id="63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381000</xdr:colOff>
      <xdr:row>208</xdr:row>
      <xdr:rowOff>85725</xdr:rowOff>
    </xdr:from>
    <xdr:to>
      <xdr:col>8</xdr:col>
      <xdr:colOff>514350</xdr:colOff>
      <xdr:row>238</xdr:row>
      <xdr:rowOff>47625</xdr:rowOff>
    </xdr:to>
    <xdr:graphicFrame macro="">
      <xdr:nvGraphicFramePr>
        <xdr:cNvPr id="645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208</xdr:row>
      <xdr:rowOff>123825</xdr:rowOff>
    </xdr:from>
    <xdr:to>
      <xdr:col>8</xdr:col>
      <xdr:colOff>485775</xdr:colOff>
      <xdr:row>238</xdr:row>
      <xdr:rowOff>85725</xdr:rowOff>
    </xdr:to>
    <xdr:graphicFrame macro="">
      <xdr:nvGraphicFramePr>
        <xdr:cNvPr id="552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314325</xdr:colOff>
      <xdr:row>208</xdr:row>
      <xdr:rowOff>76200</xdr:rowOff>
    </xdr:from>
    <xdr:to>
      <xdr:col>8</xdr:col>
      <xdr:colOff>447675</xdr:colOff>
      <xdr:row>238</xdr:row>
      <xdr:rowOff>38100</xdr:rowOff>
    </xdr:to>
    <xdr:graphicFrame macro="">
      <xdr:nvGraphicFramePr>
        <xdr:cNvPr id="563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314325</xdr:colOff>
      <xdr:row>208</xdr:row>
      <xdr:rowOff>57150</xdr:rowOff>
    </xdr:from>
    <xdr:to>
      <xdr:col>8</xdr:col>
      <xdr:colOff>447675</xdr:colOff>
      <xdr:row>238</xdr:row>
      <xdr:rowOff>19050</xdr:rowOff>
    </xdr:to>
    <xdr:graphicFrame macro="">
      <xdr:nvGraphicFramePr>
        <xdr:cNvPr id="655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485775</xdr:colOff>
      <xdr:row>209</xdr:row>
      <xdr:rowOff>66675</xdr:rowOff>
    </xdr:from>
    <xdr:to>
      <xdr:col>8</xdr:col>
      <xdr:colOff>619125</xdr:colOff>
      <xdr:row>239</xdr:row>
      <xdr:rowOff>28575</xdr:rowOff>
    </xdr:to>
    <xdr:graphicFrame macro="">
      <xdr:nvGraphicFramePr>
        <xdr:cNvPr id="665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285750</xdr:colOff>
      <xdr:row>208</xdr:row>
      <xdr:rowOff>123825</xdr:rowOff>
    </xdr:from>
    <xdr:to>
      <xdr:col>8</xdr:col>
      <xdr:colOff>419100</xdr:colOff>
      <xdr:row>238</xdr:row>
      <xdr:rowOff>85725</xdr:rowOff>
    </xdr:to>
    <xdr:graphicFrame macro="">
      <xdr:nvGraphicFramePr>
        <xdr:cNvPr id="675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295275</xdr:colOff>
      <xdr:row>210</xdr:row>
      <xdr:rowOff>95250</xdr:rowOff>
    </xdr:from>
    <xdr:to>
      <xdr:col>8</xdr:col>
      <xdr:colOff>428625</xdr:colOff>
      <xdr:row>240</xdr:row>
      <xdr:rowOff>57150</xdr:rowOff>
    </xdr:to>
    <xdr:graphicFrame macro="">
      <xdr:nvGraphicFramePr>
        <xdr:cNvPr id="68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323850</xdr:colOff>
      <xdr:row>209</xdr:row>
      <xdr:rowOff>19050</xdr:rowOff>
    </xdr:from>
    <xdr:to>
      <xdr:col>8</xdr:col>
      <xdr:colOff>457200</xdr:colOff>
      <xdr:row>238</xdr:row>
      <xdr:rowOff>142875</xdr:rowOff>
    </xdr:to>
    <xdr:graphicFrame macro="">
      <xdr:nvGraphicFramePr>
        <xdr:cNvPr id="696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352425</xdr:colOff>
      <xdr:row>209</xdr:row>
      <xdr:rowOff>95250</xdr:rowOff>
    </xdr:from>
    <xdr:to>
      <xdr:col>8</xdr:col>
      <xdr:colOff>485775</xdr:colOff>
      <xdr:row>239</xdr:row>
      <xdr:rowOff>47625</xdr:rowOff>
    </xdr:to>
    <xdr:graphicFrame macro="">
      <xdr:nvGraphicFramePr>
        <xdr:cNvPr id="430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200025</xdr:colOff>
      <xdr:row>208</xdr:row>
      <xdr:rowOff>123825</xdr:rowOff>
    </xdr:from>
    <xdr:to>
      <xdr:col>8</xdr:col>
      <xdr:colOff>333375</xdr:colOff>
      <xdr:row>238</xdr:row>
      <xdr:rowOff>85725</xdr:rowOff>
    </xdr:to>
    <xdr:graphicFrame macro="">
      <xdr:nvGraphicFramePr>
        <xdr:cNvPr id="706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161925</xdr:colOff>
      <xdr:row>209</xdr:row>
      <xdr:rowOff>19050</xdr:rowOff>
    </xdr:from>
    <xdr:to>
      <xdr:col>8</xdr:col>
      <xdr:colOff>295275</xdr:colOff>
      <xdr:row>238</xdr:row>
      <xdr:rowOff>142875</xdr:rowOff>
    </xdr:to>
    <xdr:graphicFrame macro="">
      <xdr:nvGraphicFramePr>
        <xdr:cNvPr id="716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152400</xdr:colOff>
      <xdr:row>208</xdr:row>
      <xdr:rowOff>95250</xdr:rowOff>
    </xdr:from>
    <xdr:to>
      <xdr:col>8</xdr:col>
      <xdr:colOff>285750</xdr:colOff>
      <xdr:row>238</xdr:row>
      <xdr:rowOff>57150</xdr:rowOff>
    </xdr:to>
    <xdr:graphicFrame macro="">
      <xdr:nvGraphicFramePr>
        <xdr:cNvPr id="727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209550</xdr:colOff>
      <xdr:row>208</xdr:row>
      <xdr:rowOff>95250</xdr:rowOff>
    </xdr:from>
    <xdr:to>
      <xdr:col>8</xdr:col>
      <xdr:colOff>342900</xdr:colOff>
      <xdr:row>238</xdr:row>
      <xdr:rowOff>57150</xdr:rowOff>
    </xdr:to>
    <xdr:graphicFrame macro="">
      <xdr:nvGraphicFramePr>
        <xdr:cNvPr id="737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266700</xdr:colOff>
      <xdr:row>209</xdr:row>
      <xdr:rowOff>9525</xdr:rowOff>
    </xdr:from>
    <xdr:to>
      <xdr:col>8</xdr:col>
      <xdr:colOff>400050</xdr:colOff>
      <xdr:row>238</xdr:row>
      <xdr:rowOff>133350</xdr:rowOff>
    </xdr:to>
    <xdr:graphicFrame macro="">
      <xdr:nvGraphicFramePr>
        <xdr:cNvPr id="747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190500</xdr:colOff>
      <xdr:row>208</xdr:row>
      <xdr:rowOff>142875</xdr:rowOff>
    </xdr:from>
    <xdr:to>
      <xdr:col>8</xdr:col>
      <xdr:colOff>323850</xdr:colOff>
      <xdr:row>238</xdr:row>
      <xdr:rowOff>104775</xdr:rowOff>
    </xdr:to>
    <xdr:graphicFrame macro="">
      <xdr:nvGraphicFramePr>
        <xdr:cNvPr id="757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247650</xdr:colOff>
      <xdr:row>209</xdr:row>
      <xdr:rowOff>28575</xdr:rowOff>
    </xdr:from>
    <xdr:to>
      <xdr:col>8</xdr:col>
      <xdr:colOff>381000</xdr:colOff>
      <xdr:row>238</xdr:row>
      <xdr:rowOff>152400</xdr:rowOff>
    </xdr:to>
    <xdr:graphicFrame macro="">
      <xdr:nvGraphicFramePr>
        <xdr:cNvPr id="768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209550</xdr:colOff>
      <xdr:row>208</xdr:row>
      <xdr:rowOff>66675</xdr:rowOff>
    </xdr:from>
    <xdr:to>
      <xdr:col>8</xdr:col>
      <xdr:colOff>342900</xdr:colOff>
      <xdr:row>238</xdr:row>
      <xdr:rowOff>28575</xdr:rowOff>
    </xdr:to>
    <xdr:graphicFrame macro="">
      <xdr:nvGraphicFramePr>
        <xdr:cNvPr id="778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180975</xdr:colOff>
      <xdr:row>208</xdr:row>
      <xdr:rowOff>85725</xdr:rowOff>
    </xdr:from>
    <xdr:to>
      <xdr:col>8</xdr:col>
      <xdr:colOff>314325</xdr:colOff>
      <xdr:row>238</xdr:row>
      <xdr:rowOff>47625</xdr:rowOff>
    </xdr:to>
    <xdr:graphicFrame macro="">
      <xdr:nvGraphicFramePr>
        <xdr:cNvPr id="788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228600</xdr:colOff>
      <xdr:row>208</xdr:row>
      <xdr:rowOff>66675</xdr:rowOff>
    </xdr:from>
    <xdr:to>
      <xdr:col>8</xdr:col>
      <xdr:colOff>361950</xdr:colOff>
      <xdr:row>238</xdr:row>
      <xdr:rowOff>28575</xdr:rowOff>
    </xdr:to>
    <xdr:graphicFrame macro="">
      <xdr:nvGraphicFramePr>
        <xdr:cNvPr id="1013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314325</xdr:colOff>
      <xdr:row>209</xdr:row>
      <xdr:rowOff>9525</xdr:rowOff>
    </xdr:from>
    <xdr:to>
      <xdr:col>8</xdr:col>
      <xdr:colOff>447675</xdr:colOff>
      <xdr:row>238</xdr:row>
      <xdr:rowOff>133350</xdr:rowOff>
    </xdr:to>
    <xdr:graphicFrame macro="">
      <xdr:nvGraphicFramePr>
        <xdr:cNvPr id="440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171450</xdr:colOff>
      <xdr:row>208</xdr:row>
      <xdr:rowOff>76200</xdr:rowOff>
    </xdr:from>
    <xdr:to>
      <xdr:col>8</xdr:col>
      <xdr:colOff>304800</xdr:colOff>
      <xdr:row>238</xdr:row>
      <xdr:rowOff>38100</xdr:rowOff>
    </xdr:to>
    <xdr:graphicFrame macro="">
      <xdr:nvGraphicFramePr>
        <xdr:cNvPr id="1024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208</xdr:row>
      <xdr:rowOff>76200</xdr:rowOff>
    </xdr:from>
    <xdr:to>
      <xdr:col>8</xdr:col>
      <xdr:colOff>276225</xdr:colOff>
      <xdr:row>238</xdr:row>
      <xdr:rowOff>38100</xdr:rowOff>
    </xdr:to>
    <xdr:graphicFrame macro="">
      <xdr:nvGraphicFramePr>
        <xdr:cNvPr id="1177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247650</xdr:colOff>
      <xdr:row>208</xdr:row>
      <xdr:rowOff>95250</xdr:rowOff>
    </xdr:from>
    <xdr:to>
      <xdr:col>8</xdr:col>
      <xdr:colOff>381000</xdr:colOff>
      <xdr:row>238</xdr:row>
      <xdr:rowOff>57150</xdr:rowOff>
    </xdr:to>
    <xdr:graphicFrame macro="">
      <xdr:nvGraphicFramePr>
        <xdr:cNvPr id="1187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257175</xdr:colOff>
      <xdr:row>208</xdr:row>
      <xdr:rowOff>95250</xdr:rowOff>
    </xdr:from>
    <xdr:to>
      <xdr:col>8</xdr:col>
      <xdr:colOff>390525</xdr:colOff>
      <xdr:row>238</xdr:row>
      <xdr:rowOff>57150</xdr:rowOff>
    </xdr:to>
    <xdr:graphicFrame macro="">
      <xdr:nvGraphicFramePr>
        <xdr:cNvPr id="1198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257175</xdr:colOff>
      <xdr:row>208</xdr:row>
      <xdr:rowOff>66675</xdr:rowOff>
    </xdr:from>
    <xdr:to>
      <xdr:col>8</xdr:col>
      <xdr:colOff>390525</xdr:colOff>
      <xdr:row>238</xdr:row>
      <xdr:rowOff>28575</xdr:rowOff>
    </xdr:to>
    <xdr:graphicFrame macro="">
      <xdr:nvGraphicFramePr>
        <xdr:cNvPr id="11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257175</xdr:colOff>
      <xdr:row>208</xdr:row>
      <xdr:rowOff>133350</xdr:rowOff>
    </xdr:from>
    <xdr:to>
      <xdr:col>8</xdr:col>
      <xdr:colOff>390525</xdr:colOff>
      <xdr:row>238</xdr:row>
      <xdr:rowOff>95250</xdr:rowOff>
    </xdr:to>
    <xdr:graphicFrame macro="">
      <xdr:nvGraphicFramePr>
        <xdr:cNvPr id="163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200025</xdr:colOff>
      <xdr:row>208</xdr:row>
      <xdr:rowOff>95250</xdr:rowOff>
    </xdr:from>
    <xdr:to>
      <xdr:col>8</xdr:col>
      <xdr:colOff>333375</xdr:colOff>
      <xdr:row>238</xdr:row>
      <xdr:rowOff>57150</xdr:rowOff>
    </xdr:to>
    <xdr:graphicFrame macro="">
      <xdr:nvGraphicFramePr>
        <xdr:cNvPr id="174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209550</xdr:colOff>
      <xdr:row>208</xdr:row>
      <xdr:rowOff>66675</xdr:rowOff>
    </xdr:from>
    <xdr:to>
      <xdr:col>8</xdr:col>
      <xdr:colOff>342900</xdr:colOff>
      <xdr:row>238</xdr:row>
      <xdr:rowOff>28575</xdr:rowOff>
    </xdr:to>
    <xdr:graphicFrame macro="">
      <xdr:nvGraphicFramePr>
        <xdr:cNvPr id="184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180975</xdr:colOff>
      <xdr:row>208</xdr:row>
      <xdr:rowOff>104775</xdr:rowOff>
    </xdr:from>
    <xdr:to>
      <xdr:col>8</xdr:col>
      <xdr:colOff>314325</xdr:colOff>
      <xdr:row>238</xdr:row>
      <xdr:rowOff>66675</xdr:rowOff>
    </xdr:to>
    <xdr:graphicFrame macro="">
      <xdr:nvGraphicFramePr>
        <xdr:cNvPr id="194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209550</xdr:colOff>
      <xdr:row>209</xdr:row>
      <xdr:rowOff>57150</xdr:rowOff>
    </xdr:from>
    <xdr:to>
      <xdr:col>8</xdr:col>
      <xdr:colOff>342900</xdr:colOff>
      <xdr:row>239</xdr:row>
      <xdr:rowOff>19050</xdr:rowOff>
    </xdr:to>
    <xdr:graphicFrame macro="">
      <xdr:nvGraphicFramePr>
        <xdr:cNvPr id="204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209</xdr:row>
      <xdr:rowOff>104775</xdr:rowOff>
    </xdr:from>
    <xdr:to>
      <xdr:col>8</xdr:col>
      <xdr:colOff>457200</xdr:colOff>
      <xdr:row>240</xdr:row>
      <xdr:rowOff>0</xdr:rowOff>
    </xdr:to>
    <xdr:graphicFrame macro="">
      <xdr:nvGraphicFramePr>
        <xdr:cNvPr id="450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266700</xdr:colOff>
      <xdr:row>208</xdr:row>
      <xdr:rowOff>133350</xdr:rowOff>
    </xdr:from>
    <xdr:to>
      <xdr:col>8</xdr:col>
      <xdr:colOff>400050</xdr:colOff>
      <xdr:row>238</xdr:row>
      <xdr:rowOff>95250</xdr:rowOff>
    </xdr:to>
    <xdr:graphicFrame macro="">
      <xdr:nvGraphicFramePr>
        <xdr:cNvPr id="215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209550</xdr:colOff>
      <xdr:row>208</xdr:row>
      <xdr:rowOff>114300</xdr:rowOff>
    </xdr:from>
    <xdr:to>
      <xdr:col>8</xdr:col>
      <xdr:colOff>342900</xdr:colOff>
      <xdr:row>238</xdr:row>
      <xdr:rowOff>76200</xdr:rowOff>
    </xdr:to>
    <xdr:graphicFrame macro="">
      <xdr:nvGraphicFramePr>
        <xdr:cNvPr id="225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219075</xdr:colOff>
      <xdr:row>208</xdr:row>
      <xdr:rowOff>57150</xdr:rowOff>
    </xdr:from>
    <xdr:to>
      <xdr:col>8</xdr:col>
      <xdr:colOff>352425</xdr:colOff>
      <xdr:row>238</xdr:row>
      <xdr:rowOff>19050</xdr:rowOff>
    </xdr:to>
    <xdr:graphicFrame macro="">
      <xdr:nvGraphicFramePr>
        <xdr:cNvPr id="235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247650</xdr:colOff>
      <xdr:row>208</xdr:row>
      <xdr:rowOff>104775</xdr:rowOff>
    </xdr:from>
    <xdr:to>
      <xdr:col>8</xdr:col>
      <xdr:colOff>381000</xdr:colOff>
      <xdr:row>238</xdr:row>
      <xdr:rowOff>66675</xdr:rowOff>
    </xdr:to>
    <xdr:graphicFrame macro="">
      <xdr:nvGraphicFramePr>
        <xdr:cNvPr id="245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171450</xdr:colOff>
      <xdr:row>208</xdr:row>
      <xdr:rowOff>57150</xdr:rowOff>
    </xdr:from>
    <xdr:to>
      <xdr:col>8</xdr:col>
      <xdr:colOff>304800</xdr:colOff>
      <xdr:row>238</xdr:row>
      <xdr:rowOff>19050</xdr:rowOff>
    </xdr:to>
    <xdr:graphicFrame macro="">
      <xdr:nvGraphicFramePr>
        <xdr:cNvPr id="256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219075</xdr:colOff>
      <xdr:row>208</xdr:row>
      <xdr:rowOff>19050</xdr:rowOff>
    </xdr:from>
    <xdr:to>
      <xdr:col>8</xdr:col>
      <xdr:colOff>352425</xdr:colOff>
      <xdr:row>237</xdr:row>
      <xdr:rowOff>142875</xdr:rowOff>
    </xdr:to>
    <xdr:graphicFrame macro="">
      <xdr:nvGraphicFramePr>
        <xdr:cNvPr id="266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171450</xdr:colOff>
      <xdr:row>208</xdr:row>
      <xdr:rowOff>76200</xdr:rowOff>
    </xdr:from>
    <xdr:to>
      <xdr:col>8</xdr:col>
      <xdr:colOff>304800</xdr:colOff>
      <xdr:row>238</xdr:row>
      <xdr:rowOff>38100</xdr:rowOff>
    </xdr:to>
    <xdr:graphicFrame macro="">
      <xdr:nvGraphicFramePr>
        <xdr:cNvPr id="276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208</xdr:row>
      <xdr:rowOff>114300</xdr:rowOff>
    </xdr:from>
    <xdr:to>
      <xdr:col>8</xdr:col>
      <xdr:colOff>200025</xdr:colOff>
      <xdr:row>238</xdr:row>
      <xdr:rowOff>76200</xdr:rowOff>
    </xdr:to>
    <xdr:graphicFrame macro="">
      <xdr:nvGraphicFramePr>
        <xdr:cNvPr id="2867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152400</xdr:colOff>
      <xdr:row>208</xdr:row>
      <xdr:rowOff>57150</xdr:rowOff>
    </xdr:from>
    <xdr:to>
      <xdr:col>8</xdr:col>
      <xdr:colOff>285750</xdr:colOff>
      <xdr:row>238</xdr:row>
      <xdr:rowOff>19050</xdr:rowOff>
    </xdr:to>
    <xdr:graphicFrame macro="">
      <xdr:nvGraphicFramePr>
        <xdr:cNvPr id="29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142875</xdr:colOff>
      <xdr:row>208</xdr:row>
      <xdr:rowOff>85725</xdr:rowOff>
    </xdr:from>
    <xdr:to>
      <xdr:col>8</xdr:col>
      <xdr:colOff>276225</xdr:colOff>
      <xdr:row>238</xdr:row>
      <xdr:rowOff>47625</xdr:rowOff>
    </xdr:to>
    <xdr:graphicFrame macro="">
      <xdr:nvGraphicFramePr>
        <xdr:cNvPr id="307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209550</xdr:colOff>
      <xdr:row>208</xdr:row>
      <xdr:rowOff>123825</xdr:rowOff>
    </xdr:from>
    <xdr:to>
      <xdr:col>8</xdr:col>
      <xdr:colOff>342900</xdr:colOff>
      <xdr:row>238</xdr:row>
      <xdr:rowOff>85725</xdr:rowOff>
    </xdr:to>
    <xdr:graphicFrame macro="">
      <xdr:nvGraphicFramePr>
        <xdr:cNvPr id="460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152400</xdr:colOff>
      <xdr:row>208</xdr:row>
      <xdr:rowOff>66675</xdr:rowOff>
    </xdr:from>
    <xdr:to>
      <xdr:col>8</xdr:col>
      <xdr:colOff>285750</xdr:colOff>
      <xdr:row>238</xdr:row>
      <xdr:rowOff>28575</xdr:rowOff>
    </xdr:to>
    <xdr:graphicFrame macro="">
      <xdr:nvGraphicFramePr>
        <xdr:cNvPr id="3174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200025</xdr:colOff>
      <xdr:row>208</xdr:row>
      <xdr:rowOff>57150</xdr:rowOff>
    </xdr:from>
    <xdr:to>
      <xdr:col>8</xdr:col>
      <xdr:colOff>333375</xdr:colOff>
      <xdr:row>238</xdr:row>
      <xdr:rowOff>19050</xdr:rowOff>
    </xdr:to>
    <xdr:graphicFrame macro="">
      <xdr:nvGraphicFramePr>
        <xdr:cNvPr id="327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190500</xdr:colOff>
      <xdr:row>208</xdr:row>
      <xdr:rowOff>47625</xdr:rowOff>
    </xdr:from>
    <xdr:to>
      <xdr:col>8</xdr:col>
      <xdr:colOff>323850</xdr:colOff>
      <xdr:row>238</xdr:row>
      <xdr:rowOff>9525</xdr:rowOff>
    </xdr:to>
    <xdr:graphicFrame macro="">
      <xdr:nvGraphicFramePr>
        <xdr:cNvPr id="337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123825</xdr:colOff>
      <xdr:row>208</xdr:row>
      <xdr:rowOff>85725</xdr:rowOff>
    </xdr:from>
    <xdr:to>
      <xdr:col>8</xdr:col>
      <xdr:colOff>257175</xdr:colOff>
      <xdr:row>238</xdr:row>
      <xdr:rowOff>47625</xdr:rowOff>
    </xdr:to>
    <xdr:graphicFrame macro="">
      <xdr:nvGraphicFramePr>
        <xdr:cNvPr id="348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114300</xdr:colOff>
      <xdr:row>208</xdr:row>
      <xdr:rowOff>104775</xdr:rowOff>
    </xdr:from>
    <xdr:to>
      <xdr:col>8</xdr:col>
      <xdr:colOff>247650</xdr:colOff>
      <xdr:row>238</xdr:row>
      <xdr:rowOff>66675</xdr:rowOff>
    </xdr:to>
    <xdr:graphicFrame macro="">
      <xdr:nvGraphicFramePr>
        <xdr:cNvPr id="358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171450</xdr:colOff>
      <xdr:row>208</xdr:row>
      <xdr:rowOff>76200</xdr:rowOff>
    </xdr:from>
    <xdr:to>
      <xdr:col>8</xdr:col>
      <xdr:colOff>304800</xdr:colOff>
      <xdr:row>238</xdr:row>
      <xdr:rowOff>38100</xdr:rowOff>
    </xdr:to>
    <xdr:graphicFrame macro="">
      <xdr:nvGraphicFramePr>
        <xdr:cNvPr id="368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219075</xdr:colOff>
      <xdr:row>208</xdr:row>
      <xdr:rowOff>76200</xdr:rowOff>
    </xdr:from>
    <xdr:to>
      <xdr:col>8</xdr:col>
      <xdr:colOff>352425</xdr:colOff>
      <xdr:row>238</xdr:row>
      <xdr:rowOff>38100</xdr:rowOff>
    </xdr:to>
    <xdr:graphicFrame macro="">
      <xdr:nvGraphicFramePr>
        <xdr:cNvPr id="378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171450</xdr:colOff>
      <xdr:row>208</xdr:row>
      <xdr:rowOff>66675</xdr:rowOff>
    </xdr:from>
    <xdr:to>
      <xdr:col>8</xdr:col>
      <xdr:colOff>304800</xdr:colOff>
      <xdr:row>238</xdr:row>
      <xdr:rowOff>28575</xdr:rowOff>
    </xdr:to>
    <xdr:graphicFrame macro="">
      <xdr:nvGraphicFramePr>
        <xdr:cNvPr id="389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352425</xdr:colOff>
      <xdr:row>88</xdr:row>
      <xdr:rowOff>95250</xdr:rowOff>
    </xdr:from>
    <xdr:to>
      <xdr:col>8</xdr:col>
      <xdr:colOff>485775</xdr:colOff>
      <xdr:row>118</xdr:row>
      <xdr:rowOff>47625</xdr:rowOff>
    </xdr:to>
    <xdr:graphicFrame macro="">
      <xdr:nvGraphicFramePr>
        <xdr:cNvPr id="419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352425</xdr:colOff>
      <xdr:row>90</xdr:row>
      <xdr:rowOff>95250</xdr:rowOff>
    </xdr:from>
    <xdr:to>
      <xdr:col>8</xdr:col>
      <xdr:colOff>485775</xdr:colOff>
      <xdr:row>124</xdr:row>
      <xdr:rowOff>47625</xdr:rowOff>
    </xdr:to>
    <xdr:graphicFrame macro="">
      <xdr:nvGraphicFramePr>
        <xdr:cNvPr id="808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257175</xdr:colOff>
      <xdr:row>209</xdr:row>
      <xdr:rowOff>9525</xdr:rowOff>
    </xdr:from>
    <xdr:to>
      <xdr:col>8</xdr:col>
      <xdr:colOff>390525</xdr:colOff>
      <xdr:row>238</xdr:row>
      <xdr:rowOff>133350</xdr:rowOff>
    </xdr:to>
    <xdr:graphicFrame macro="">
      <xdr:nvGraphicFramePr>
        <xdr:cNvPr id="47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219075</xdr:colOff>
      <xdr:row>208</xdr:row>
      <xdr:rowOff>123825</xdr:rowOff>
    </xdr:from>
    <xdr:to>
      <xdr:col>8</xdr:col>
      <xdr:colOff>352425</xdr:colOff>
      <xdr:row>238</xdr:row>
      <xdr:rowOff>85725</xdr:rowOff>
    </xdr:to>
    <xdr:graphicFrame macro="">
      <xdr:nvGraphicFramePr>
        <xdr:cNvPr id="481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247650</xdr:colOff>
      <xdr:row>209</xdr:row>
      <xdr:rowOff>38100</xdr:rowOff>
    </xdr:from>
    <xdr:to>
      <xdr:col>8</xdr:col>
      <xdr:colOff>381000</xdr:colOff>
      <xdr:row>239</xdr:row>
      <xdr:rowOff>0</xdr:rowOff>
    </xdr:to>
    <xdr:graphicFrame macro="">
      <xdr:nvGraphicFramePr>
        <xdr:cNvPr id="491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rpAffairs/2015PriceReset/10%20Modelling/03b-RevisedProposalWorkings/01%20Working%20Folder/01-SEM/Escalation%20Rates%20for%20Revised%20Proposal%20v4%20(TG%2010.06.2015)%202.06%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rpAffairs/2015PriceReset/10%20Modelling/03b-RevisedProposalWorkings/01%20Working%20Folder/01-SEM/2%20Non%20Network%20Opex_2013-14%20Revised%20Proposal_V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pAffairs/2015PriceReset/10%20Modelling/03b-RevisedProposalWorkings/01%20Working%20Folder/01-SEM/1%20Network%20Opex_2013-14%20Revised%20Proposal_V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7">
          <cell r="C7">
            <v>2.1457965902410336E-2</v>
          </cell>
          <cell r="D7">
            <v>2.1457965902410336E-2</v>
          </cell>
          <cell r="E7">
            <v>2.2633744855967253E-2</v>
          </cell>
          <cell r="F7">
            <v>2.2633744855967253E-2</v>
          </cell>
          <cell r="G7">
            <v>2.2633744855967253E-2</v>
          </cell>
        </row>
        <row r="12">
          <cell r="C12">
            <v>5.0000000000000001E-3</v>
          </cell>
          <cell r="D12">
            <v>5.0000000000000001E-3</v>
          </cell>
          <cell r="E12">
            <v>8.9999999999999993E-3</v>
          </cell>
          <cell r="F12">
            <v>1.0499999999999999E-2</v>
          </cell>
          <cell r="G12">
            <v>1.2499999999999999E-2</v>
          </cell>
        </row>
        <row r="14">
          <cell r="C14">
            <v>0</v>
          </cell>
          <cell r="D14">
            <v>0</v>
          </cell>
          <cell r="E14">
            <v>0</v>
          </cell>
          <cell r="F14">
            <v>0</v>
          </cell>
          <cell r="G14">
            <v>0</v>
          </cell>
        </row>
        <row r="15">
          <cell r="C15">
            <v>0</v>
          </cell>
          <cell r="D15">
            <v>0</v>
          </cell>
          <cell r="E15">
            <v>0</v>
          </cell>
          <cell r="F15">
            <v>0</v>
          </cell>
          <cell r="G15">
            <v>0</v>
          </cell>
        </row>
        <row r="35">
          <cell r="B35">
            <v>0.67608294961721682</v>
          </cell>
          <cell r="C35">
            <v>7.4851369579662652E-3</v>
          </cell>
          <cell r="D35">
            <v>7.4935033814986785E-3</v>
          </cell>
          <cell r="E35">
            <v>7.5001154574423357E-3</v>
          </cell>
          <cell r="F35">
            <v>7.5084573283092926E-3</v>
          </cell>
          <cell r="G35">
            <v>7.5150596928004187E-3</v>
          </cell>
        </row>
        <row r="36">
          <cell r="B36">
            <v>0.10702733446151043</v>
          </cell>
          <cell r="C36">
            <v>5.719606632462515E-3</v>
          </cell>
          <cell r="D36">
            <v>5.7115994030898509E-3</v>
          </cell>
          <cell r="E36">
            <v>5.835630060231578E-3</v>
          </cell>
          <cell r="F36">
            <v>6.1858569123738327E-3</v>
          </cell>
          <cell r="G36">
            <v>6.0040142435962007E-3</v>
          </cell>
        </row>
        <row r="37">
          <cell r="B37">
            <v>0.10844485796063649</v>
          </cell>
          <cell r="C37">
            <v>3.3195016113435116E-2</v>
          </cell>
          <cell r="D37">
            <v>3.2722941725128241E-2</v>
          </cell>
          <cell r="E37">
            <v>3.1403514280033296E-2</v>
          </cell>
          <cell r="F37">
            <v>3.1664970467877085E-2</v>
          </cell>
          <cell r="G37">
            <v>3.1676606894164294E-2</v>
          </cell>
        </row>
        <row r="38">
          <cell r="B38">
            <v>0.10844485796063649</v>
          </cell>
          <cell r="C38">
            <v>1.23325510687331E-2</v>
          </cell>
          <cell r="D38">
            <v>4.625974324103499E-3</v>
          </cell>
          <cell r="E38">
            <v>3.8949303586450768E-3</v>
          </cell>
          <cell r="F38">
            <v>9.7943868506906728E-3</v>
          </cell>
          <cell r="G38">
            <v>1.1185032889120539E-3</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OTAL (SEM)"/>
      <sheetName val="CAM"/>
      <sheetName val="Tot Corp Allocated_Pre CAM"/>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4 (a)"/>
      <sheetName val="A-24 (b)"/>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DA SEM Non Network"/>
      <sheetName val="Directly Attributable"/>
      <sheetName val="DA-1"/>
      <sheetName val="DA-9"/>
      <sheetName val="DA-16"/>
      <sheetName val="DA-17"/>
      <sheetName val="DA-22"/>
      <sheetName val="DA-23"/>
      <sheetName val="2014-15 Escalation"/>
    </sheetNames>
    <sheetDataSet>
      <sheetData sheetId="0">
        <row r="7">
          <cell r="N7">
            <v>0</v>
          </cell>
          <cell r="O7">
            <v>0</v>
          </cell>
          <cell r="P7">
            <v>0</v>
          </cell>
          <cell r="Q7">
            <v>0</v>
          </cell>
          <cell r="R7">
            <v>0</v>
          </cell>
        </row>
        <row r="8">
          <cell r="N8">
            <v>0</v>
          </cell>
          <cell r="O8">
            <v>0</v>
          </cell>
          <cell r="P8">
            <v>0</v>
          </cell>
          <cell r="Q8">
            <v>0</v>
          </cell>
          <cell r="R8">
            <v>0</v>
          </cell>
        </row>
        <row r="9">
          <cell r="N9">
            <v>0</v>
          </cell>
          <cell r="O9">
            <v>0</v>
          </cell>
          <cell r="P9">
            <v>0</v>
          </cell>
          <cell r="Q9">
            <v>0</v>
          </cell>
          <cell r="R9">
            <v>0</v>
          </cell>
        </row>
        <row r="10">
          <cell r="N10">
            <v>0</v>
          </cell>
          <cell r="O10">
            <v>0</v>
          </cell>
          <cell r="P10">
            <v>0</v>
          </cell>
          <cell r="Q10">
            <v>0</v>
          </cell>
          <cell r="R10">
            <v>0</v>
          </cell>
        </row>
        <row r="11">
          <cell r="N11">
            <v>0</v>
          </cell>
          <cell r="O11">
            <v>0</v>
          </cell>
          <cell r="P11">
            <v>0</v>
          </cell>
          <cell r="Q11">
            <v>0</v>
          </cell>
          <cell r="R11">
            <v>0</v>
          </cell>
        </row>
        <row r="12">
          <cell r="N12">
            <v>0</v>
          </cell>
          <cell r="O12">
            <v>0</v>
          </cell>
          <cell r="P12">
            <v>0</v>
          </cell>
          <cell r="Q12">
            <v>0</v>
          </cell>
          <cell r="R12">
            <v>0</v>
          </cell>
        </row>
        <row r="16">
          <cell r="N16">
            <v>0</v>
          </cell>
          <cell r="O16">
            <v>0</v>
          </cell>
          <cell r="P16">
            <v>0</v>
          </cell>
          <cell r="Q16">
            <v>0</v>
          </cell>
          <cell r="R16">
            <v>0</v>
          </cell>
        </row>
        <row r="17">
          <cell r="N17">
            <v>0</v>
          </cell>
          <cell r="O17">
            <v>0</v>
          </cell>
          <cell r="P17">
            <v>0</v>
          </cell>
          <cell r="Q17">
            <v>0</v>
          </cell>
          <cell r="R17">
            <v>0</v>
          </cell>
        </row>
        <row r="18">
          <cell r="N18">
            <v>0</v>
          </cell>
          <cell r="O18">
            <v>0</v>
          </cell>
          <cell r="P18">
            <v>0</v>
          </cell>
          <cell r="Q18">
            <v>0</v>
          </cell>
          <cell r="R18">
            <v>0</v>
          </cell>
        </row>
        <row r="19">
          <cell r="N19">
            <v>0</v>
          </cell>
          <cell r="O19">
            <v>0</v>
          </cell>
          <cell r="P19">
            <v>0</v>
          </cell>
          <cell r="Q19">
            <v>0</v>
          </cell>
          <cell r="R19">
            <v>0</v>
          </cell>
        </row>
        <row r="20">
          <cell r="N20">
            <v>0</v>
          </cell>
          <cell r="O20">
            <v>0</v>
          </cell>
          <cell r="P20">
            <v>0</v>
          </cell>
          <cell r="Q20">
            <v>0</v>
          </cell>
          <cell r="R20">
            <v>0</v>
          </cell>
        </row>
        <row r="21">
          <cell r="N21">
            <v>0</v>
          </cell>
          <cell r="O21">
            <v>0</v>
          </cell>
          <cell r="P21">
            <v>0</v>
          </cell>
          <cell r="Q21">
            <v>0</v>
          </cell>
          <cell r="R21">
            <v>0</v>
          </cell>
        </row>
        <row r="25">
          <cell r="N25">
            <v>0</v>
          </cell>
          <cell r="O25">
            <v>0</v>
          </cell>
          <cell r="P25">
            <v>0</v>
          </cell>
          <cell r="Q25">
            <v>0</v>
          </cell>
          <cell r="R25">
            <v>0</v>
          </cell>
        </row>
        <row r="26">
          <cell r="N26">
            <v>0</v>
          </cell>
          <cell r="O26">
            <v>0</v>
          </cell>
          <cell r="P26">
            <v>0</v>
          </cell>
          <cell r="Q26">
            <v>0</v>
          </cell>
          <cell r="R26">
            <v>0</v>
          </cell>
        </row>
        <row r="27">
          <cell r="N27">
            <v>0</v>
          </cell>
          <cell r="O27">
            <v>0</v>
          </cell>
          <cell r="P27">
            <v>0</v>
          </cell>
          <cell r="Q27">
            <v>0</v>
          </cell>
          <cell r="R27">
            <v>0</v>
          </cell>
        </row>
        <row r="28">
          <cell r="N28">
            <v>2.8820000000000001</v>
          </cell>
          <cell r="O28">
            <v>2.0169999999999999</v>
          </cell>
          <cell r="P28">
            <v>1.9419999999999999</v>
          </cell>
          <cell r="Q28">
            <v>1.7330000000000001</v>
          </cell>
          <cell r="R28">
            <v>1.9670000000000001</v>
          </cell>
        </row>
        <row r="29">
          <cell r="N29">
            <v>0</v>
          </cell>
          <cell r="O29">
            <v>0</v>
          </cell>
          <cell r="P29">
            <v>0</v>
          </cell>
          <cell r="Q29">
            <v>0</v>
          </cell>
          <cell r="R29">
            <v>0</v>
          </cell>
        </row>
        <row r="30">
          <cell r="N30">
            <v>0</v>
          </cell>
          <cell r="O30">
            <v>0</v>
          </cell>
          <cell r="P30">
            <v>0</v>
          </cell>
          <cell r="Q30">
            <v>0</v>
          </cell>
          <cell r="R30">
            <v>0</v>
          </cell>
        </row>
        <row r="34">
          <cell r="N34">
            <v>0.20499999999999999</v>
          </cell>
          <cell r="O34">
            <v>0.20499999999999999</v>
          </cell>
          <cell r="P34">
            <v>0.20499999999999999</v>
          </cell>
          <cell r="Q34">
            <v>0.20499999999999999</v>
          </cell>
          <cell r="R34">
            <v>0.20499999999999999</v>
          </cell>
        </row>
        <row r="35">
          <cell r="N35">
            <v>0</v>
          </cell>
          <cell r="O35">
            <v>0</v>
          </cell>
          <cell r="P35">
            <v>0</v>
          </cell>
          <cell r="Q35">
            <v>0</v>
          </cell>
          <cell r="R35">
            <v>0</v>
          </cell>
        </row>
        <row r="36">
          <cell r="N36">
            <v>0</v>
          </cell>
          <cell r="O36">
            <v>0</v>
          </cell>
          <cell r="P36">
            <v>0</v>
          </cell>
          <cell r="Q36">
            <v>0</v>
          </cell>
          <cell r="R36">
            <v>0</v>
          </cell>
        </row>
        <row r="37">
          <cell r="N37">
            <v>0</v>
          </cell>
          <cell r="O37">
            <v>0</v>
          </cell>
          <cell r="P37">
            <v>0</v>
          </cell>
          <cell r="Q37">
            <v>0</v>
          </cell>
          <cell r="R37">
            <v>0</v>
          </cell>
        </row>
        <row r="38">
          <cell r="N38">
            <v>0</v>
          </cell>
          <cell r="O38">
            <v>0</v>
          </cell>
          <cell r="P38">
            <v>0</v>
          </cell>
          <cell r="Q38">
            <v>0</v>
          </cell>
          <cell r="R38">
            <v>0</v>
          </cell>
        </row>
        <row r="39">
          <cell r="N39">
            <v>0</v>
          </cell>
          <cell r="O39">
            <v>0</v>
          </cell>
          <cell r="P39">
            <v>0</v>
          </cell>
          <cell r="Q39">
            <v>0</v>
          </cell>
          <cell r="R39">
            <v>0</v>
          </cell>
        </row>
        <row r="43">
          <cell r="N43">
            <v>0</v>
          </cell>
          <cell r="O43">
            <v>0</v>
          </cell>
          <cell r="P43">
            <v>0</v>
          </cell>
          <cell r="Q43">
            <v>0</v>
          </cell>
          <cell r="R43">
            <v>0</v>
          </cell>
        </row>
        <row r="44">
          <cell r="N44">
            <v>0</v>
          </cell>
          <cell r="O44">
            <v>0</v>
          </cell>
          <cell r="P44">
            <v>0</v>
          </cell>
          <cell r="Q44">
            <v>0</v>
          </cell>
          <cell r="R44">
            <v>0</v>
          </cell>
        </row>
        <row r="45">
          <cell r="N45">
            <v>0</v>
          </cell>
          <cell r="O45">
            <v>0</v>
          </cell>
          <cell r="P45">
            <v>0</v>
          </cell>
          <cell r="Q45">
            <v>0</v>
          </cell>
          <cell r="R45">
            <v>0</v>
          </cell>
        </row>
        <row r="46">
          <cell r="N46">
            <v>0</v>
          </cell>
          <cell r="O46">
            <v>0</v>
          </cell>
          <cell r="P46">
            <v>0</v>
          </cell>
          <cell r="Q46">
            <v>0</v>
          </cell>
          <cell r="R46">
            <v>0</v>
          </cell>
        </row>
        <row r="47">
          <cell r="N47">
            <v>0</v>
          </cell>
          <cell r="O47">
            <v>0</v>
          </cell>
          <cell r="P47">
            <v>0</v>
          </cell>
          <cell r="Q47">
            <v>0</v>
          </cell>
          <cell r="R47">
            <v>0</v>
          </cell>
        </row>
        <row r="48">
          <cell r="N48">
            <v>0</v>
          </cell>
          <cell r="O48">
            <v>0</v>
          </cell>
          <cell r="P48">
            <v>0</v>
          </cell>
          <cell r="Q48">
            <v>0</v>
          </cell>
          <cell r="R48">
            <v>0</v>
          </cell>
        </row>
        <row r="52">
          <cell r="N52">
            <v>0</v>
          </cell>
          <cell r="O52">
            <v>0</v>
          </cell>
          <cell r="P52">
            <v>1.133</v>
          </cell>
          <cell r="Q52">
            <v>1.133</v>
          </cell>
          <cell r="R52">
            <v>1.133</v>
          </cell>
        </row>
        <row r="53">
          <cell r="N53">
            <v>0</v>
          </cell>
          <cell r="O53">
            <v>0</v>
          </cell>
          <cell r="P53">
            <v>0</v>
          </cell>
          <cell r="Q53">
            <v>0</v>
          </cell>
          <cell r="R53">
            <v>0</v>
          </cell>
        </row>
        <row r="54">
          <cell r="N54">
            <v>0</v>
          </cell>
          <cell r="O54">
            <v>0</v>
          </cell>
          <cell r="P54">
            <v>0</v>
          </cell>
          <cell r="Q54">
            <v>0</v>
          </cell>
          <cell r="R54">
            <v>0</v>
          </cell>
        </row>
        <row r="55">
          <cell r="N55">
            <v>0</v>
          </cell>
          <cell r="O55">
            <v>0</v>
          </cell>
          <cell r="P55">
            <v>0</v>
          </cell>
          <cell r="Q55">
            <v>0</v>
          </cell>
          <cell r="R55">
            <v>0</v>
          </cell>
        </row>
        <row r="56">
          <cell r="N56">
            <v>0</v>
          </cell>
          <cell r="O56">
            <v>0</v>
          </cell>
          <cell r="P56">
            <v>0</v>
          </cell>
          <cell r="Q56">
            <v>0</v>
          </cell>
          <cell r="R56">
            <v>0</v>
          </cell>
        </row>
        <row r="57">
          <cell r="N57">
            <v>0</v>
          </cell>
          <cell r="O57">
            <v>0</v>
          </cell>
          <cell r="P57">
            <v>0</v>
          </cell>
          <cell r="Q57">
            <v>0</v>
          </cell>
          <cell r="R57">
            <v>0</v>
          </cell>
        </row>
        <row r="61">
          <cell r="N61">
            <v>0</v>
          </cell>
          <cell r="O61">
            <v>0</v>
          </cell>
          <cell r="P61">
            <v>0</v>
          </cell>
          <cell r="Q61">
            <v>0</v>
          </cell>
          <cell r="R61">
            <v>0</v>
          </cell>
        </row>
        <row r="62">
          <cell r="N62">
            <v>0</v>
          </cell>
          <cell r="O62">
            <v>0</v>
          </cell>
          <cell r="P62">
            <v>0</v>
          </cell>
          <cell r="Q62">
            <v>0</v>
          </cell>
          <cell r="R62">
            <v>0</v>
          </cell>
        </row>
        <row r="63">
          <cell r="N63">
            <v>0</v>
          </cell>
          <cell r="O63">
            <v>0</v>
          </cell>
          <cell r="P63">
            <v>0</v>
          </cell>
          <cell r="Q63">
            <v>0</v>
          </cell>
          <cell r="R63">
            <v>0</v>
          </cell>
        </row>
        <row r="64">
          <cell r="N64">
            <v>0</v>
          </cell>
          <cell r="O64">
            <v>0</v>
          </cell>
          <cell r="P64">
            <v>0</v>
          </cell>
          <cell r="Q64">
            <v>0</v>
          </cell>
          <cell r="R64">
            <v>0</v>
          </cell>
        </row>
        <row r="65">
          <cell r="N65">
            <v>0</v>
          </cell>
          <cell r="O65">
            <v>0</v>
          </cell>
          <cell r="P65">
            <v>0</v>
          </cell>
          <cell r="Q65">
            <v>0</v>
          </cell>
          <cell r="R65">
            <v>0</v>
          </cell>
        </row>
        <row r="66">
          <cell r="N66">
            <v>0</v>
          </cell>
          <cell r="O66">
            <v>0</v>
          </cell>
          <cell r="P66">
            <v>0</v>
          </cell>
          <cell r="Q66">
            <v>0</v>
          </cell>
          <cell r="R66">
            <v>0</v>
          </cell>
        </row>
        <row r="70">
          <cell r="N70">
            <v>0</v>
          </cell>
          <cell r="O70">
            <v>0</v>
          </cell>
          <cell r="P70">
            <v>0</v>
          </cell>
          <cell r="Q70">
            <v>0</v>
          </cell>
          <cell r="R70">
            <v>0</v>
          </cell>
        </row>
        <row r="71">
          <cell r="N71">
            <v>0</v>
          </cell>
          <cell r="O71">
            <v>0</v>
          </cell>
          <cell r="P71">
            <v>0</v>
          </cell>
          <cell r="Q71">
            <v>0</v>
          </cell>
          <cell r="R71">
            <v>0</v>
          </cell>
        </row>
        <row r="72">
          <cell r="N72">
            <v>0</v>
          </cell>
          <cell r="O72">
            <v>0</v>
          </cell>
          <cell r="P72">
            <v>0</v>
          </cell>
          <cell r="Q72">
            <v>0</v>
          </cell>
          <cell r="R72">
            <v>0</v>
          </cell>
        </row>
        <row r="73">
          <cell r="N73">
            <v>0</v>
          </cell>
          <cell r="O73">
            <v>0</v>
          </cell>
          <cell r="P73">
            <v>0</v>
          </cell>
          <cell r="Q73">
            <v>0</v>
          </cell>
          <cell r="R73">
            <v>0</v>
          </cell>
        </row>
        <row r="74">
          <cell r="N74">
            <v>0</v>
          </cell>
          <cell r="O74">
            <v>0</v>
          </cell>
          <cell r="P74">
            <v>0</v>
          </cell>
          <cell r="Q74">
            <v>0</v>
          </cell>
          <cell r="R74">
            <v>0</v>
          </cell>
        </row>
        <row r="75">
          <cell r="N75">
            <v>0</v>
          </cell>
          <cell r="O75">
            <v>0</v>
          </cell>
          <cell r="P75">
            <v>0</v>
          </cell>
          <cell r="Q75">
            <v>0</v>
          </cell>
          <cell r="R75">
            <v>0</v>
          </cell>
        </row>
        <row r="79">
          <cell r="N79">
            <v>0</v>
          </cell>
          <cell r="O79">
            <v>0</v>
          </cell>
          <cell r="P79">
            <v>0</v>
          </cell>
          <cell r="Q79">
            <v>0</v>
          </cell>
          <cell r="R79">
            <v>0</v>
          </cell>
        </row>
        <row r="80">
          <cell r="N80">
            <v>0</v>
          </cell>
          <cell r="O80">
            <v>0</v>
          </cell>
          <cell r="P80">
            <v>0</v>
          </cell>
          <cell r="Q80">
            <v>0</v>
          </cell>
          <cell r="R80">
            <v>0</v>
          </cell>
        </row>
        <row r="81">
          <cell r="N81">
            <v>0</v>
          </cell>
          <cell r="O81">
            <v>0</v>
          </cell>
          <cell r="P81">
            <v>0</v>
          </cell>
          <cell r="Q81">
            <v>0</v>
          </cell>
          <cell r="R81">
            <v>0</v>
          </cell>
        </row>
        <row r="82">
          <cell r="N82">
            <v>0</v>
          </cell>
          <cell r="O82">
            <v>0</v>
          </cell>
          <cell r="P82">
            <v>0</v>
          </cell>
          <cell r="Q82">
            <v>0</v>
          </cell>
          <cell r="R82">
            <v>0</v>
          </cell>
        </row>
        <row r="83">
          <cell r="N83">
            <v>0</v>
          </cell>
          <cell r="O83">
            <v>0</v>
          </cell>
          <cell r="P83">
            <v>0</v>
          </cell>
          <cell r="Q83">
            <v>0</v>
          </cell>
          <cell r="R83">
            <v>0</v>
          </cell>
        </row>
        <row r="84">
          <cell r="N84">
            <v>0</v>
          </cell>
          <cell r="O84">
            <v>0</v>
          </cell>
          <cell r="P84">
            <v>0</v>
          </cell>
          <cell r="Q84">
            <v>0</v>
          </cell>
          <cell r="R84">
            <v>0</v>
          </cell>
        </row>
        <row r="88">
          <cell r="N88">
            <v>0</v>
          </cell>
          <cell r="O88">
            <v>0</v>
          </cell>
          <cell r="P88">
            <v>0</v>
          </cell>
          <cell r="Q88">
            <v>0</v>
          </cell>
          <cell r="R88">
            <v>0</v>
          </cell>
        </row>
        <row r="89">
          <cell r="N89">
            <v>0</v>
          </cell>
          <cell r="O89">
            <v>0</v>
          </cell>
          <cell r="P89">
            <v>0</v>
          </cell>
          <cell r="Q89">
            <v>0</v>
          </cell>
          <cell r="R89">
            <v>0</v>
          </cell>
        </row>
        <row r="90">
          <cell r="N90">
            <v>0</v>
          </cell>
          <cell r="O90">
            <v>0</v>
          </cell>
          <cell r="P90">
            <v>0</v>
          </cell>
          <cell r="Q90">
            <v>0</v>
          </cell>
          <cell r="R90">
            <v>0</v>
          </cell>
        </row>
        <row r="91">
          <cell r="N91">
            <v>0</v>
          </cell>
          <cell r="O91">
            <v>0</v>
          </cell>
          <cell r="P91">
            <v>0</v>
          </cell>
          <cell r="Q91">
            <v>0</v>
          </cell>
          <cell r="R91">
            <v>0</v>
          </cell>
        </row>
        <row r="92">
          <cell r="N92">
            <v>0</v>
          </cell>
          <cell r="O92">
            <v>0</v>
          </cell>
          <cell r="P92">
            <v>0</v>
          </cell>
          <cell r="Q92">
            <v>0</v>
          </cell>
          <cell r="R92">
            <v>0</v>
          </cell>
        </row>
        <row r="93">
          <cell r="N93">
            <v>0</v>
          </cell>
          <cell r="O93">
            <v>0</v>
          </cell>
          <cell r="P93">
            <v>0</v>
          </cell>
          <cell r="Q93">
            <v>0</v>
          </cell>
          <cell r="R93">
            <v>0</v>
          </cell>
        </row>
        <row r="97">
          <cell r="N97">
            <v>0</v>
          </cell>
          <cell r="O97">
            <v>0</v>
          </cell>
          <cell r="P97">
            <v>0</v>
          </cell>
          <cell r="Q97">
            <v>0</v>
          </cell>
          <cell r="R97">
            <v>0</v>
          </cell>
        </row>
        <row r="98">
          <cell r="N98">
            <v>0</v>
          </cell>
          <cell r="O98">
            <v>0</v>
          </cell>
          <cell r="P98">
            <v>0</v>
          </cell>
          <cell r="Q98">
            <v>0</v>
          </cell>
          <cell r="R98">
            <v>0</v>
          </cell>
        </row>
        <row r="99">
          <cell r="N99">
            <v>0</v>
          </cell>
          <cell r="O99">
            <v>0</v>
          </cell>
          <cell r="P99">
            <v>0</v>
          </cell>
          <cell r="Q99">
            <v>0</v>
          </cell>
          <cell r="R99">
            <v>0</v>
          </cell>
        </row>
        <row r="100">
          <cell r="N100">
            <v>0</v>
          </cell>
          <cell r="O100">
            <v>0</v>
          </cell>
          <cell r="P100">
            <v>0</v>
          </cell>
          <cell r="Q100">
            <v>0</v>
          </cell>
          <cell r="R100">
            <v>0</v>
          </cell>
        </row>
        <row r="101">
          <cell r="N101">
            <v>0</v>
          </cell>
          <cell r="O101">
            <v>0</v>
          </cell>
          <cell r="P101">
            <v>0</v>
          </cell>
          <cell r="Q101">
            <v>0</v>
          </cell>
          <cell r="R101">
            <v>0</v>
          </cell>
        </row>
        <row r="102">
          <cell r="N102">
            <v>0</v>
          </cell>
          <cell r="O102">
            <v>0</v>
          </cell>
          <cell r="P102">
            <v>0</v>
          </cell>
          <cell r="Q102">
            <v>0</v>
          </cell>
          <cell r="R102">
            <v>0</v>
          </cell>
        </row>
        <row r="106">
          <cell r="N106">
            <v>0</v>
          </cell>
          <cell r="O106">
            <v>0</v>
          </cell>
          <cell r="P106">
            <v>0</v>
          </cell>
          <cell r="Q106">
            <v>0</v>
          </cell>
          <cell r="R106">
            <v>0</v>
          </cell>
        </row>
        <row r="107">
          <cell r="N107">
            <v>0</v>
          </cell>
          <cell r="O107">
            <v>0</v>
          </cell>
          <cell r="P107">
            <v>0</v>
          </cell>
          <cell r="Q107">
            <v>0</v>
          </cell>
          <cell r="R107">
            <v>0</v>
          </cell>
        </row>
        <row r="108">
          <cell r="N108">
            <v>0</v>
          </cell>
          <cell r="O108">
            <v>0</v>
          </cell>
          <cell r="P108">
            <v>0</v>
          </cell>
          <cell r="Q108">
            <v>0</v>
          </cell>
          <cell r="R108">
            <v>0</v>
          </cell>
        </row>
        <row r="109">
          <cell r="N109">
            <v>0</v>
          </cell>
          <cell r="O109">
            <v>0</v>
          </cell>
          <cell r="P109">
            <v>0</v>
          </cell>
          <cell r="Q109">
            <v>0</v>
          </cell>
          <cell r="R109">
            <v>0</v>
          </cell>
        </row>
        <row r="110">
          <cell r="N110">
            <v>0</v>
          </cell>
          <cell r="O110">
            <v>0</v>
          </cell>
          <cell r="P110">
            <v>0</v>
          </cell>
          <cell r="Q110">
            <v>0</v>
          </cell>
          <cell r="R110">
            <v>0</v>
          </cell>
        </row>
        <row r="111">
          <cell r="N111">
            <v>0</v>
          </cell>
          <cell r="O111">
            <v>0</v>
          </cell>
          <cell r="P111">
            <v>0</v>
          </cell>
          <cell r="Q111">
            <v>0</v>
          </cell>
          <cell r="R111">
            <v>0</v>
          </cell>
        </row>
        <row r="115">
          <cell r="N115">
            <v>0</v>
          </cell>
          <cell r="O115">
            <v>0</v>
          </cell>
          <cell r="P115">
            <v>0</v>
          </cell>
          <cell r="Q115">
            <v>0</v>
          </cell>
          <cell r="R115">
            <v>0</v>
          </cell>
        </row>
        <row r="116">
          <cell r="N116">
            <v>0</v>
          </cell>
          <cell r="O116">
            <v>0</v>
          </cell>
          <cell r="P116">
            <v>0</v>
          </cell>
          <cell r="Q116">
            <v>0</v>
          </cell>
          <cell r="R116">
            <v>0</v>
          </cell>
        </row>
        <row r="117">
          <cell r="N117">
            <v>0</v>
          </cell>
          <cell r="O117">
            <v>0</v>
          </cell>
          <cell r="P117">
            <v>0</v>
          </cell>
          <cell r="Q117">
            <v>0</v>
          </cell>
          <cell r="R117">
            <v>0</v>
          </cell>
        </row>
        <row r="118">
          <cell r="N118">
            <v>0</v>
          </cell>
          <cell r="O118">
            <v>0</v>
          </cell>
          <cell r="P118">
            <v>0</v>
          </cell>
          <cell r="Q118">
            <v>0</v>
          </cell>
          <cell r="R118">
            <v>0</v>
          </cell>
        </row>
        <row r="119">
          <cell r="N119">
            <v>0</v>
          </cell>
          <cell r="O119">
            <v>0</v>
          </cell>
          <cell r="P119">
            <v>0</v>
          </cell>
          <cell r="Q119">
            <v>0</v>
          </cell>
          <cell r="R119">
            <v>0</v>
          </cell>
        </row>
        <row r="120">
          <cell r="N120">
            <v>0</v>
          </cell>
          <cell r="O120">
            <v>0</v>
          </cell>
          <cell r="P120">
            <v>0</v>
          </cell>
          <cell r="Q120">
            <v>0</v>
          </cell>
          <cell r="R120">
            <v>0</v>
          </cell>
        </row>
        <row r="124">
          <cell r="N124">
            <v>0</v>
          </cell>
          <cell r="O124">
            <v>0</v>
          </cell>
          <cell r="P124">
            <v>0</v>
          </cell>
          <cell r="Q124">
            <v>0</v>
          </cell>
          <cell r="R124">
            <v>0</v>
          </cell>
        </row>
        <row r="125">
          <cell r="N125">
            <v>0</v>
          </cell>
          <cell r="O125">
            <v>0</v>
          </cell>
          <cell r="P125">
            <v>0</v>
          </cell>
          <cell r="Q125">
            <v>0</v>
          </cell>
          <cell r="R125">
            <v>0</v>
          </cell>
        </row>
        <row r="126">
          <cell r="N126">
            <v>0</v>
          </cell>
          <cell r="O126">
            <v>0</v>
          </cell>
          <cell r="P126">
            <v>0</v>
          </cell>
          <cell r="Q126">
            <v>0</v>
          </cell>
          <cell r="R126">
            <v>0</v>
          </cell>
        </row>
        <row r="127">
          <cell r="N127">
            <v>0</v>
          </cell>
          <cell r="O127">
            <v>0</v>
          </cell>
          <cell r="P127">
            <v>0</v>
          </cell>
          <cell r="Q127">
            <v>0</v>
          </cell>
          <cell r="R127">
            <v>0</v>
          </cell>
        </row>
        <row r="128">
          <cell r="N128">
            <v>0</v>
          </cell>
          <cell r="O128">
            <v>0</v>
          </cell>
          <cell r="P128">
            <v>0</v>
          </cell>
          <cell r="Q128">
            <v>0</v>
          </cell>
          <cell r="R128">
            <v>0</v>
          </cell>
        </row>
        <row r="129">
          <cell r="N129">
            <v>0</v>
          </cell>
          <cell r="O129">
            <v>0</v>
          </cell>
          <cell r="P129">
            <v>0</v>
          </cell>
          <cell r="Q129">
            <v>0</v>
          </cell>
          <cell r="R129">
            <v>0</v>
          </cell>
        </row>
        <row r="133">
          <cell r="N133">
            <v>0</v>
          </cell>
          <cell r="O133">
            <v>0</v>
          </cell>
          <cell r="P133">
            <v>0</v>
          </cell>
          <cell r="Q133">
            <v>0</v>
          </cell>
          <cell r="R133">
            <v>0</v>
          </cell>
        </row>
        <row r="134">
          <cell r="N134">
            <v>0</v>
          </cell>
          <cell r="O134">
            <v>0</v>
          </cell>
          <cell r="P134">
            <v>0</v>
          </cell>
          <cell r="Q134">
            <v>0</v>
          </cell>
          <cell r="R134">
            <v>0</v>
          </cell>
        </row>
        <row r="135">
          <cell r="N135">
            <v>0</v>
          </cell>
          <cell r="O135">
            <v>0</v>
          </cell>
          <cell r="P135">
            <v>0</v>
          </cell>
          <cell r="Q135">
            <v>0</v>
          </cell>
          <cell r="R135">
            <v>0</v>
          </cell>
        </row>
        <row r="136">
          <cell r="N136">
            <v>0</v>
          </cell>
          <cell r="O136">
            <v>0</v>
          </cell>
          <cell r="P136">
            <v>0</v>
          </cell>
          <cell r="Q136">
            <v>0</v>
          </cell>
          <cell r="R136">
            <v>0</v>
          </cell>
        </row>
        <row r="137">
          <cell r="N137">
            <v>0</v>
          </cell>
          <cell r="O137">
            <v>0</v>
          </cell>
          <cell r="P137">
            <v>0</v>
          </cell>
          <cell r="Q137">
            <v>0</v>
          </cell>
          <cell r="R137">
            <v>0</v>
          </cell>
        </row>
        <row r="138">
          <cell r="N138">
            <v>0</v>
          </cell>
          <cell r="O138">
            <v>0</v>
          </cell>
          <cell r="P138">
            <v>0</v>
          </cell>
          <cell r="Q138">
            <v>0</v>
          </cell>
          <cell r="R138">
            <v>0</v>
          </cell>
        </row>
        <row r="151">
          <cell r="N151">
            <v>0</v>
          </cell>
          <cell r="O151">
            <v>0</v>
          </cell>
          <cell r="P151">
            <v>0</v>
          </cell>
          <cell r="Q151">
            <v>0</v>
          </cell>
          <cell r="R151">
            <v>0</v>
          </cell>
        </row>
        <row r="152">
          <cell r="N152">
            <v>0</v>
          </cell>
          <cell r="O152">
            <v>0</v>
          </cell>
          <cell r="P152">
            <v>0</v>
          </cell>
          <cell r="Q152">
            <v>0</v>
          </cell>
          <cell r="R152">
            <v>0</v>
          </cell>
        </row>
        <row r="153">
          <cell r="N153">
            <v>0</v>
          </cell>
          <cell r="O153">
            <v>0</v>
          </cell>
          <cell r="P153">
            <v>0</v>
          </cell>
          <cell r="Q153">
            <v>0</v>
          </cell>
          <cell r="R153">
            <v>0</v>
          </cell>
        </row>
        <row r="154">
          <cell r="N154">
            <v>0</v>
          </cell>
          <cell r="O154">
            <v>0</v>
          </cell>
          <cell r="P154">
            <v>0</v>
          </cell>
          <cell r="Q154">
            <v>0</v>
          </cell>
          <cell r="R154">
            <v>0</v>
          </cell>
        </row>
        <row r="155">
          <cell r="N155">
            <v>0</v>
          </cell>
          <cell r="O155">
            <v>0</v>
          </cell>
          <cell r="P155">
            <v>0</v>
          </cell>
          <cell r="Q155">
            <v>0</v>
          </cell>
          <cell r="R155">
            <v>0</v>
          </cell>
        </row>
        <row r="156">
          <cell r="N156">
            <v>0</v>
          </cell>
          <cell r="O156">
            <v>0</v>
          </cell>
          <cell r="P156">
            <v>0</v>
          </cell>
          <cell r="Q156">
            <v>0</v>
          </cell>
          <cell r="R156">
            <v>0</v>
          </cell>
        </row>
        <row r="160">
          <cell r="N160">
            <v>0</v>
          </cell>
          <cell r="O160">
            <v>0</v>
          </cell>
          <cell r="P160">
            <v>0</v>
          </cell>
          <cell r="Q160">
            <v>0</v>
          </cell>
          <cell r="R160">
            <v>0</v>
          </cell>
        </row>
        <row r="161">
          <cell r="N161">
            <v>0</v>
          </cell>
          <cell r="O161">
            <v>0</v>
          </cell>
          <cell r="P161">
            <v>0</v>
          </cell>
          <cell r="Q161">
            <v>0</v>
          </cell>
          <cell r="R161">
            <v>0</v>
          </cell>
        </row>
        <row r="162">
          <cell r="N162">
            <v>0</v>
          </cell>
          <cell r="O162">
            <v>0</v>
          </cell>
          <cell r="P162">
            <v>0</v>
          </cell>
          <cell r="Q162">
            <v>0</v>
          </cell>
          <cell r="R162">
            <v>0</v>
          </cell>
        </row>
        <row r="163">
          <cell r="N163">
            <v>0</v>
          </cell>
          <cell r="O163">
            <v>0</v>
          </cell>
          <cell r="P163">
            <v>0</v>
          </cell>
          <cell r="Q163">
            <v>0</v>
          </cell>
          <cell r="R163">
            <v>0</v>
          </cell>
        </row>
        <row r="164">
          <cell r="N164">
            <v>0</v>
          </cell>
          <cell r="O164">
            <v>0</v>
          </cell>
          <cell r="P164">
            <v>0</v>
          </cell>
          <cell r="Q164">
            <v>0</v>
          </cell>
          <cell r="R164">
            <v>0</v>
          </cell>
        </row>
        <row r="165">
          <cell r="N165">
            <v>0</v>
          </cell>
          <cell r="O165">
            <v>0</v>
          </cell>
          <cell r="P165">
            <v>0</v>
          </cell>
          <cell r="Q165">
            <v>0</v>
          </cell>
          <cell r="R165">
            <v>0</v>
          </cell>
        </row>
        <row r="169">
          <cell r="N169">
            <v>0</v>
          </cell>
          <cell r="O169">
            <v>0</v>
          </cell>
          <cell r="P169">
            <v>0</v>
          </cell>
          <cell r="Q169">
            <v>0</v>
          </cell>
          <cell r="R169">
            <v>0</v>
          </cell>
        </row>
        <row r="170">
          <cell r="N170">
            <v>0</v>
          </cell>
          <cell r="O170">
            <v>0</v>
          </cell>
          <cell r="P170">
            <v>0</v>
          </cell>
          <cell r="Q170">
            <v>0</v>
          </cell>
          <cell r="R170">
            <v>0</v>
          </cell>
        </row>
        <row r="171">
          <cell r="N171">
            <v>0</v>
          </cell>
          <cell r="O171">
            <v>0</v>
          </cell>
          <cell r="P171">
            <v>0</v>
          </cell>
          <cell r="Q171">
            <v>0</v>
          </cell>
          <cell r="R171">
            <v>0</v>
          </cell>
        </row>
        <row r="172">
          <cell r="N172">
            <v>0</v>
          </cell>
          <cell r="O172">
            <v>0</v>
          </cell>
          <cell r="P172">
            <v>0</v>
          </cell>
          <cell r="Q172">
            <v>0</v>
          </cell>
          <cell r="R172">
            <v>0</v>
          </cell>
        </row>
        <row r="173">
          <cell r="N173">
            <v>0</v>
          </cell>
          <cell r="O173">
            <v>0</v>
          </cell>
          <cell r="P173">
            <v>0</v>
          </cell>
          <cell r="Q173">
            <v>0</v>
          </cell>
          <cell r="R173">
            <v>0</v>
          </cell>
        </row>
        <row r="174">
          <cell r="N174">
            <v>0</v>
          </cell>
          <cell r="O174">
            <v>0</v>
          </cell>
          <cell r="P174">
            <v>0</v>
          </cell>
          <cell r="Q174">
            <v>0</v>
          </cell>
          <cell r="R174">
            <v>0</v>
          </cell>
        </row>
        <row r="178">
          <cell r="N178">
            <v>0</v>
          </cell>
          <cell r="O178">
            <v>0</v>
          </cell>
          <cell r="P178">
            <v>0</v>
          </cell>
          <cell r="Q178">
            <v>0</v>
          </cell>
          <cell r="R178">
            <v>0</v>
          </cell>
        </row>
        <row r="179">
          <cell r="N179">
            <v>0</v>
          </cell>
          <cell r="O179">
            <v>0</v>
          </cell>
          <cell r="P179">
            <v>0</v>
          </cell>
          <cell r="Q179">
            <v>0</v>
          </cell>
          <cell r="R179">
            <v>0</v>
          </cell>
        </row>
        <row r="180">
          <cell r="N180">
            <v>0</v>
          </cell>
          <cell r="O180">
            <v>0</v>
          </cell>
          <cell r="P180">
            <v>0</v>
          </cell>
          <cell r="Q180">
            <v>0</v>
          </cell>
          <cell r="R180">
            <v>0</v>
          </cell>
        </row>
        <row r="181">
          <cell r="N181">
            <v>0</v>
          </cell>
          <cell r="O181">
            <v>0</v>
          </cell>
          <cell r="P181">
            <v>0</v>
          </cell>
          <cell r="Q181">
            <v>0</v>
          </cell>
          <cell r="R181">
            <v>0</v>
          </cell>
        </row>
        <row r="182">
          <cell r="N182">
            <v>0</v>
          </cell>
          <cell r="O182">
            <v>0</v>
          </cell>
          <cell r="P182">
            <v>0</v>
          </cell>
          <cell r="Q182">
            <v>0</v>
          </cell>
          <cell r="R182">
            <v>0</v>
          </cell>
        </row>
        <row r="183">
          <cell r="N183">
            <v>0</v>
          </cell>
          <cell r="O183">
            <v>0</v>
          </cell>
          <cell r="P183">
            <v>0</v>
          </cell>
          <cell r="Q183">
            <v>0</v>
          </cell>
          <cell r="R183">
            <v>0</v>
          </cell>
        </row>
        <row r="187">
          <cell r="N187">
            <v>0</v>
          </cell>
          <cell r="O187">
            <v>0</v>
          </cell>
          <cell r="P187">
            <v>0</v>
          </cell>
          <cell r="Q187">
            <v>0</v>
          </cell>
          <cell r="R187">
            <v>0</v>
          </cell>
        </row>
        <row r="188">
          <cell r="N188">
            <v>0</v>
          </cell>
          <cell r="O188">
            <v>0</v>
          </cell>
          <cell r="P188">
            <v>0</v>
          </cell>
          <cell r="Q188">
            <v>0</v>
          </cell>
          <cell r="R188">
            <v>0</v>
          </cell>
        </row>
        <row r="189">
          <cell r="N189">
            <v>0</v>
          </cell>
          <cell r="O189">
            <v>0</v>
          </cell>
          <cell r="P189">
            <v>0</v>
          </cell>
          <cell r="Q189">
            <v>0</v>
          </cell>
          <cell r="R189">
            <v>0</v>
          </cell>
        </row>
        <row r="190">
          <cell r="N190">
            <v>0</v>
          </cell>
          <cell r="O190">
            <v>0</v>
          </cell>
          <cell r="P190">
            <v>0</v>
          </cell>
          <cell r="Q190">
            <v>0</v>
          </cell>
          <cell r="R190">
            <v>0</v>
          </cell>
        </row>
        <row r="191">
          <cell r="N191">
            <v>0</v>
          </cell>
          <cell r="O191">
            <v>0</v>
          </cell>
          <cell r="P191">
            <v>0</v>
          </cell>
          <cell r="Q191">
            <v>0</v>
          </cell>
          <cell r="R191">
            <v>0</v>
          </cell>
        </row>
        <row r="192">
          <cell r="N192">
            <v>0</v>
          </cell>
          <cell r="O192">
            <v>0</v>
          </cell>
          <cell r="P192">
            <v>0</v>
          </cell>
          <cell r="Q192">
            <v>0</v>
          </cell>
          <cell r="R192">
            <v>0</v>
          </cell>
        </row>
        <row r="196">
          <cell r="N196">
            <v>0</v>
          </cell>
          <cell r="O196">
            <v>0</v>
          </cell>
          <cell r="P196">
            <v>0</v>
          </cell>
          <cell r="Q196">
            <v>0</v>
          </cell>
          <cell r="R196">
            <v>0</v>
          </cell>
        </row>
        <row r="197">
          <cell r="N197">
            <v>0</v>
          </cell>
          <cell r="O197">
            <v>0</v>
          </cell>
          <cell r="P197">
            <v>0</v>
          </cell>
          <cell r="Q197">
            <v>0</v>
          </cell>
          <cell r="R197">
            <v>0</v>
          </cell>
        </row>
        <row r="198">
          <cell r="N198">
            <v>0</v>
          </cell>
          <cell r="O198">
            <v>0</v>
          </cell>
          <cell r="P198">
            <v>0</v>
          </cell>
          <cell r="Q198">
            <v>0</v>
          </cell>
          <cell r="R198">
            <v>0</v>
          </cell>
        </row>
        <row r="199">
          <cell r="N199">
            <v>0</v>
          </cell>
          <cell r="O199">
            <v>0</v>
          </cell>
          <cell r="P199">
            <v>0</v>
          </cell>
          <cell r="Q199">
            <v>0</v>
          </cell>
          <cell r="R199">
            <v>0</v>
          </cell>
        </row>
        <row r="200">
          <cell r="N200">
            <v>0</v>
          </cell>
          <cell r="O200">
            <v>0</v>
          </cell>
          <cell r="P200">
            <v>0</v>
          </cell>
          <cell r="Q200">
            <v>0</v>
          </cell>
          <cell r="R200">
            <v>0</v>
          </cell>
        </row>
        <row r="201">
          <cell r="N201">
            <v>0</v>
          </cell>
          <cell r="O201">
            <v>0</v>
          </cell>
          <cell r="P201">
            <v>0</v>
          </cell>
          <cell r="Q201">
            <v>0</v>
          </cell>
          <cell r="R201">
            <v>0</v>
          </cell>
        </row>
        <row r="205">
          <cell r="N205">
            <v>1.24</v>
          </cell>
          <cell r="O205">
            <v>1.579</v>
          </cell>
          <cell r="P205">
            <v>2.0110000000000001</v>
          </cell>
          <cell r="Q205">
            <v>2.0110000000000001</v>
          </cell>
          <cell r="R205">
            <v>2.0110000000000001</v>
          </cell>
        </row>
        <row r="206">
          <cell r="N206">
            <v>0.121</v>
          </cell>
          <cell r="O206">
            <v>0.29099999999999998</v>
          </cell>
          <cell r="P206">
            <v>0.3</v>
          </cell>
          <cell r="Q206">
            <v>0.313</v>
          </cell>
          <cell r="R206">
            <v>0.313</v>
          </cell>
        </row>
        <row r="207">
          <cell r="N207">
            <v>0</v>
          </cell>
          <cell r="O207">
            <v>0</v>
          </cell>
          <cell r="P207">
            <v>0</v>
          </cell>
          <cell r="Q207">
            <v>0</v>
          </cell>
          <cell r="R207">
            <v>0</v>
          </cell>
        </row>
        <row r="208">
          <cell r="N208">
            <v>1.3460000000000001</v>
          </cell>
          <cell r="O208">
            <v>1.181</v>
          </cell>
          <cell r="P208">
            <v>1.905</v>
          </cell>
          <cell r="Q208">
            <v>2.0419999999999998</v>
          </cell>
          <cell r="R208">
            <v>2.097</v>
          </cell>
        </row>
        <row r="209">
          <cell r="N209">
            <v>0</v>
          </cell>
          <cell r="O209">
            <v>0</v>
          </cell>
          <cell r="P209">
            <v>0</v>
          </cell>
          <cell r="Q209">
            <v>0</v>
          </cell>
          <cell r="R209">
            <v>0</v>
          </cell>
        </row>
        <row r="210">
          <cell r="N210">
            <v>0</v>
          </cell>
          <cell r="O210">
            <v>0</v>
          </cell>
          <cell r="P210">
            <v>0</v>
          </cell>
          <cell r="Q210">
            <v>0</v>
          </cell>
          <cell r="R210">
            <v>0</v>
          </cell>
        </row>
        <row r="214">
          <cell r="N214">
            <v>0</v>
          </cell>
          <cell r="O214">
            <v>0</v>
          </cell>
          <cell r="P214">
            <v>0</v>
          </cell>
          <cell r="Q214">
            <v>0</v>
          </cell>
          <cell r="R214">
            <v>0</v>
          </cell>
        </row>
        <row r="215">
          <cell r="N215">
            <v>0</v>
          </cell>
          <cell r="O215">
            <v>0</v>
          </cell>
          <cell r="P215">
            <v>0</v>
          </cell>
          <cell r="Q215">
            <v>0</v>
          </cell>
          <cell r="R215">
            <v>0</v>
          </cell>
        </row>
        <row r="216">
          <cell r="N216">
            <v>0</v>
          </cell>
          <cell r="O216">
            <v>0</v>
          </cell>
          <cell r="P216">
            <v>0</v>
          </cell>
          <cell r="Q216">
            <v>0</v>
          </cell>
          <cell r="R216">
            <v>0</v>
          </cell>
        </row>
        <row r="217">
          <cell r="N217">
            <v>0</v>
          </cell>
          <cell r="O217">
            <v>0</v>
          </cell>
          <cell r="P217">
            <v>0</v>
          </cell>
          <cell r="Q217">
            <v>0</v>
          </cell>
          <cell r="R217">
            <v>0</v>
          </cell>
        </row>
        <row r="218">
          <cell r="N218">
            <v>0</v>
          </cell>
          <cell r="O218">
            <v>0</v>
          </cell>
          <cell r="P218">
            <v>0</v>
          </cell>
          <cell r="Q218">
            <v>0</v>
          </cell>
          <cell r="R218">
            <v>0</v>
          </cell>
        </row>
        <row r="219">
          <cell r="N219">
            <v>0</v>
          </cell>
          <cell r="O219">
            <v>0</v>
          </cell>
          <cell r="P219">
            <v>0</v>
          </cell>
          <cell r="Q219">
            <v>0</v>
          </cell>
          <cell r="R219">
            <v>0</v>
          </cell>
        </row>
        <row r="223">
          <cell r="N223">
            <v>0</v>
          </cell>
          <cell r="O223">
            <v>0</v>
          </cell>
          <cell r="P223">
            <v>0</v>
          </cell>
          <cell r="Q223">
            <v>0</v>
          </cell>
          <cell r="R223">
            <v>0</v>
          </cell>
        </row>
        <row r="224">
          <cell r="N224">
            <v>0</v>
          </cell>
          <cell r="O224">
            <v>0</v>
          </cell>
          <cell r="P224">
            <v>0</v>
          </cell>
          <cell r="Q224">
            <v>0</v>
          </cell>
          <cell r="R224">
            <v>0</v>
          </cell>
        </row>
        <row r="225">
          <cell r="N225">
            <v>0</v>
          </cell>
          <cell r="O225">
            <v>0</v>
          </cell>
          <cell r="P225">
            <v>0</v>
          </cell>
          <cell r="Q225">
            <v>0</v>
          </cell>
          <cell r="R225">
            <v>0</v>
          </cell>
        </row>
        <row r="226">
          <cell r="N226">
            <v>0</v>
          </cell>
          <cell r="O226">
            <v>0</v>
          </cell>
          <cell r="P226">
            <v>0</v>
          </cell>
          <cell r="Q226">
            <v>0</v>
          </cell>
          <cell r="R226">
            <v>0</v>
          </cell>
        </row>
        <row r="227">
          <cell r="N227">
            <v>0</v>
          </cell>
          <cell r="O227">
            <v>0</v>
          </cell>
          <cell r="P227">
            <v>0</v>
          </cell>
          <cell r="Q227">
            <v>0</v>
          </cell>
          <cell r="R227">
            <v>0</v>
          </cell>
        </row>
        <row r="228">
          <cell r="N228">
            <v>0</v>
          </cell>
          <cell r="O228">
            <v>0</v>
          </cell>
          <cell r="P228">
            <v>0</v>
          </cell>
          <cell r="Q228">
            <v>0</v>
          </cell>
          <cell r="R228">
            <v>0</v>
          </cell>
        </row>
        <row r="232">
          <cell r="N232">
            <v>0</v>
          </cell>
          <cell r="O232">
            <v>4.4999999999999998E-2</v>
          </cell>
          <cell r="P232">
            <v>4.4999999999999998E-2</v>
          </cell>
          <cell r="Q232">
            <v>4.4999999999999998E-2</v>
          </cell>
          <cell r="R232">
            <v>4.4999999999999998E-2</v>
          </cell>
        </row>
        <row r="233">
          <cell r="N233">
            <v>0</v>
          </cell>
          <cell r="O233">
            <v>0</v>
          </cell>
          <cell r="P233">
            <v>0</v>
          </cell>
          <cell r="Q233">
            <v>0</v>
          </cell>
          <cell r="R233">
            <v>0</v>
          </cell>
        </row>
        <row r="234">
          <cell r="N234">
            <v>0.88</v>
          </cell>
          <cell r="O234">
            <v>1.034</v>
          </cell>
          <cell r="P234">
            <v>1.224</v>
          </cell>
          <cell r="Q234">
            <v>1.3180000000000001</v>
          </cell>
          <cell r="R234">
            <v>1.3180000000000001</v>
          </cell>
        </row>
        <row r="235">
          <cell r="N235">
            <v>0</v>
          </cell>
          <cell r="O235">
            <v>0</v>
          </cell>
          <cell r="P235">
            <v>0</v>
          </cell>
          <cell r="Q235">
            <v>0</v>
          </cell>
          <cell r="R235">
            <v>0</v>
          </cell>
        </row>
        <row r="236">
          <cell r="N236">
            <v>0</v>
          </cell>
          <cell r="O236">
            <v>0</v>
          </cell>
          <cell r="P236">
            <v>0</v>
          </cell>
          <cell r="Q236">
            <v>0</v>
          </cell>
          <cell r="R236">
            <v>0</v>
          </cell>
        </row>
        <row r="237">
          <cell r="N237">
            <v>0</v>
          </cell>
          <cell r="O237">
            <v>0</v>
          </cell>
          <cell r="P237">
            <v>0</v>
          </cell>
          <cell r="Q237">
            <v>0</v>
          </cell>
          <cell r="R237">
            <v>0</v>
          </cell>
        </row>
        <row r="241">
          <cell r="N241">
            <v>0</v>
          </cell>
          <cell r="O241">
            <v>0</v>
          </cell>
          <cell r="P241">
            <v>0</v>
          </cell>
          <cell r="Q241">
            <v>0</v>
          </cell>
          <cell r="R241">
            <v>0</v>
          </cell>
        </row>
        <row r="242">
          <cell r="N242">
            <v>0</v>
          </cell>
          <cell r="O242">
            <v>0</v>
          </cell>
          <cell r="P242">
            <v>0</v>
          </cell>
          <cell r="Q242">
            <v>0</v>
          </cell>
          <cell r="R242">
            <v>0</v>
          </cell>
        </row>
        <row r="243">
          <cell r="N243">
            <v>0</v>
          </cell>
          <cell r="O243">
            <v>0</v>
          </cell>
          <cell r="P243">
            <v>0</v>
          </cell>
          <cell r="Q243">
            <v>0</v>
          </cell>
          <cell r="R243">
            <v>0</v>
          </cell>
        </row>
        <row r="244">
          <cell r="N244">
            <v>0</v>
          </cell>
          <cell r="O244">
            <v>0</v>
          </cell>
          <cell r="P244">
            <v>0</v>
          </cell>
          <cell r="Q244">
            <v>0</v>
          </cell>
          <cell r="R244">
            <v>0</v>
          </cell>
        </row>
        <row r="245">
          <cell r="N245">
            <v>0</v>
          </cell>
          <cell r="O245">
            <v>0</v>
          </cell>
          <cell r="P245">
            <v>0</v>
          </cell>
          <cell r="Q245">
            <v>0</v>
          </cell>
          <cell r="R245">
            <v>0</v>
          </cell>
        </row>
        <row r="246">
          <cell r="N246">
            <v>0</v>
          </cell>
          <cell r="O246">
            <v>0</v>
          </cell>
          <cell r="P246">
            <v>0</v>
          </cell>
          <cell r="Q246">
            <v>0</v>
          </cell>
          <cell r="R246">
            <v>0</v>
          </cell>
        </row>
        <row r="250">
          <cell r="N250">
            <v>0</v>
          </cell>
          <cell r="O250">
            <v>0</v>
          </cell>
          <cell r="P250">
            <v>0</v>
          </cell>
          <cell r="Q250">
            <v>0</v>
          </cell>
          <cell r="R250">
            <v>0</v>
          </cell>
        </row>
        <row r="251">
          <cell r="N251">
            <v>0</v>
          </cell>
          <cell r="O251">
            <v>0</v>
          </cell>
          <cell r="P251">
            <v>0</v>
          </cell>
          <cell r="Q251">
            <v>0</v>
          </cell>
          <cell r="R251">
            <v>0</v>
          </cell>
        </row>
        <row r="252">
          <cell r="N252">
            <v>0</v>
          </cell>
          <cell r="O252">
            <v>0</v>
          </cell>
          <cell r="P252">
            <v>0</v>
          </cell>
          <cell r="Q252">
            <v>0</v>
          </cell>
          <cell r="R252">
            <v>0</v>
          </cell>
        </row>
        <row r="253">
          <cell r="N253">
            <v>0</v>
          </cell>
          <cell r="O253">
            <v>0</v>
          </cell>
          <cell r="P253">
            <v>0</v>
          </cell>
          <cell r="Q253">
            <v>0</v>
          </cell>
          <cell r="R253">
            <v>0</v>
          </cell>
        </row>
        <row r="254">
          <cell r="N254">
            <v>0</v>
          </cell>
          <cell r="O254">
            <v>0</v>
          </cell>
          <cell r="P254">
            <v>0</v>
          </cell>
          <cell r="Q254">
            <v>0</v>
          </cell>
          <cell r="R254">
            <v>0</v>
          </cell>
        </row>
        <row r="255">
          <cell r="N255">
            <v>0</v>
          </cell>
          <cell r="O255">
            <v>0</v>
          </cell>
          <cell r="P255">
            <v>0</v>
          </cell>
          <cell r="Q255">
            <v>0</v>
          </cell>
          <cell r="R255">
            <v>0</v>
          </cell>
        </row>
        <row r="259">
          <cell r="N259">
            <v>0</v>
          </cell>
          <cell r="O259">
            <v>0</v>
          </cell>
          <cell r="P259">
            <v>0</v>
          </cell>
          <cell r="Q259">
            <v>0</v>
          </cell>
          <cell r="R259">
            <v>0</v>
          </cell>
        </row>
        <row r="260">
          <cell r="N260">
            <v>0</v>
          </cell>
          <cell r="O260">
            <v>0</v>
          </cell>
          <cell r="P260">
            <v>0</v>
          </cell>
          <cell r="Q260">
            <v>0</v>
          </cell>
          <cell r="R260">
            <v>0</v>
          </cell>
        </row>
        <row r="261">
          <cell r="N261">
            <v>0</v>
          </cell>
          <cell r="O261">
            <v>0</v>
          </cell>
          <cell r="P261">
            <v>0</v>
          </cell>
          <cell r="Q261">
            <v>0</v>
          </cell>
          <cell r="R261">
            <v>0</v>
          </cell>
        </row>
        <row r="262">
          <cell r="N262">
            <v>0</v>
          </cell>
          <cell r="O262">
            <v>0</v>
          </cell>
          <cell r="P262">
            <v>0</v>
          </cell>
          <cell r="Q262">
            <v>0</v>
          </cell>
          <cell r="R262">
            <v>0</v>
          </cell>
        </row>
        <row r="263">
          <cell r="N263">
            <v>0</v>
          </cell>
          <cell r="O263">
            <v>0</v>
          </cell>
          <cell r="P263">
            <v>0</v>
          </cell>
          <cell r="Q263">
            <v>0</v>
          </cell>
          <cell r="R263">
            <v>0</v>
          </cell>
        </row>
        <row r="264">
          <cell r="N264">
            <v>0</v>
          </cell>
          <cell r="O264">
            <v>0</v>
          </cell>
          <cell r="P264">
            <v>0</v>
          </cell>
          <cell r="Q264">
            <v>0</v>
          </cell>
          <cell r="R264">
            <v>0</v>
          </cell>
        </row>
        <row r="268">
          <cell r="N268">
            <v>0</v>
          </cell>
          <cell r="O268">
            <v>0</v>
          </cell>
          <cell r="P268">
            <v>0</v>
          </cell>
          <cell r="Q268">
            <v>0</v>
          </cell>
          <cell r="R268">
            <v>0</v>
          </cell>
        </row>
        <row r="269">
          <cell r="N269">
            <v>0</v>
          </cell>
          <cell r="O269">
            <v>0</v>
          </cell>
          <cell r="P269">
            <v>0</v>
          </cell>
          <cell r="Q269">
            <v>0</v>
          </cell>
          <cell r="R269">
            <v>0</v>
          </cell>
        </row>
        <row r="270">
          <cell r="N270">
            <v>0</v>
          </cell>
          <cell r="O270">
            <v>0</v>
          </cell>
          <cell r="P270">
            <v>0</v>
          </cell>
          <cell r="Q270">
            <v>0</v>
          </cell>
          <cell r="R270">
            <v>0</v>
          </cell>
        </row>
        <row r="271">
          <cell r="N271">
            <v>0</v>
          </cell>
          <cell r="O271">
            <v>0</v>
          </cell>
          <cell r="P271">
            <v>0</v>
          </cell>
          <cell r="Q271">
            <v>0</v>
          </cell>
          <cell r="R271">
            <v>0</v>
          </cell>
        </row>
        <row r="272">
          <cell r="N272">
            <v>0</v>
          </cell>
          <cell r="O272">
            <v>0</v>
          </cell>
          <cell r="P272">
            <v>0</v>
          </cell>
          <cell r="Q272">
            <v>0</v>
          </cell>
          <cell r="R272">
            <v>0</v>
          </cell>
        </row>
        <row r="273">
          <cell r="N273">
            <v>0</v>
          </cell>
          <cell r="O273">
            <v>0</v>
          </cell>
          <cell r="P273">
            <v>0</v>
          </cell>
          <cell r="Q273">
            <v>0</v>
          </cell>
          <cell r="R273">
            <v>0</v>
          </cell>
        </row>
        <row r="277">
          <cell r="N277">
            <v>0</v>
          </cell>
          <cell r="O277">
            <v>0</v>
          </cell>
          <cell r="P277">
            <v>0</v>
          </cell>
          <cell r="Q277">
            <v>0</v>
          </cell>
          <cell r="R277">
            <v>0</v>
          </cell>
        </row>
        <row r="278">
          <cell r="N278">
            <v>0</v>
          </cell>
          <cell r="O278">
            <v>0</v>
          </cell>
          <cell r="P278">
            <v>0</v>
          </cell>
          <cell r="Q278">
            <v>0</v>
          </cell>
          <cell r="R278">
            <v>0</v>
          </cell>
        </row>
        <row r="279">
          <cell r="N279">
            <v>0</v>
          </cell>
          <cell r="O279">
            <v>0</v>
          </cell>
          <cell r="P279">
            <v>0</v>
          </cell>
          <cell r="Q279">
            <v>0</v>
          </cell>
          <cell r="R279">
            <v>0</v>
          </cell>
        </row>
        <row r="280">
          <cell r="N280">
            <v>0</v>
          </cell>
          <cell r="O280">
            <v>0</v>
          </cell>
          <cell r="P280">
            <v>0</v>
          </cell>
          <cell r="Q280">
            <v>0</v>
          </cell>
          <cell r="R280">
            <v>0</v>
          </cell>
        </row>
        <row r="281">
          <cell r="N281">
            <v>0</v>
          </cell>
          <cell r="O281">
            <v>0</v>
          </cell>
          <cell r="P281">
            <v>0</v>
          </cell>
          <cell r="Q281">
            <v>0</v>
          </cell>
          <cell r="R281">
            <v>0</v>
          </cell>
        </row>
        <row r="282">
          <cell r="N282">
            <v>0</v>
          </cell>
          <cell r="O282">
            <v>0</v>
          </cell>
          <cell r="P282">
            <v>0</v>
          </cell>
          <cell r="Q282">
            <v>0</v>
          </cell>
          <cell r="R282">
            <v>0</v>
          </cell>
        </row>
        <row r="286">
          <cell r="N286">
            <v>0</v>
          </cell>
          <cell r="O286">
            <v>0</v>
          </cell>
          <cell r="P286">
            <v>0</v>
          </cell>
          <cell r="Q286">
            <v>0</v>
          </cell>
          <cell r="R286">
            <v>0</v>
          </cell>
        </row>
        <row r="287">
          <cell r="N287">
            <v>0</v>
          </cell>
          <cell r="O287">
            <v>0</v>
          </cell>
          <cell r="P287">
            <v>0</v>
          </cell>
          <cell r="Q287">
            <v>0</v>
          </cell>
          <cell r="R287">
            <v>0</v>
          </cell>
        </row>
        <row r="288">
          <cell r="N288">
            <v>0</v>
          </cell>
          <cell r="O288">
            <v>0</v>
          </cell>
          <cell r="P288">
            <v>0</v>
          </cell>
          <cell r="Q288">
            <v>0</v>
          </cell>
          <cell r="R288">
            <v>0</v>
          </cell>
        </row>
        <row r="289">
          <cell r="N289">
            <v>0</v>
          </cell>
          <cell r="O289">
            <v>0</v>
          </cell>
          <cell r="P289">
            <v>0</v>
          </cell>
          <cell r="Q289">
            <v>0</v>
          </cell>
          <cell r="R289">
            <v>0</v>
          </cell>
        </row>
        <row r="290">
          <cell r="N290">
            <v>0</v>
          </cell>
          <cell r="O290">
            <v>0</v>
          </cell>
          <cell r="P290">
            <v>0</v>
          </cell>
          <cell r="Q290">
            <v>0</v>
          </cell>
          <cell r="R290">
            <v>0</v>
          </cell>
        </row>
        <row r="291">
          <cell r="N291">
            <v>0</v>
          </cell>
          <cell r="O291">
            <v>0</v>
          </cell>
          <cell r="P291">
            <v>0</v>
          </cell>
          <cell r="Q291">
            <v>0</v>
          </cell>
          <cell r="R291">
            <v>0</v>
          </cell>
        </row>
        <row r="295">
          <cell r="N295">
            <v>0</v>
          </cell>
          <cell r="O295">
            <v>0.59199999999999997</v>
          </cell>
          <cell r="P295">
            <v>0.89600000000000002</v>
          </cell>
          <cell r="Q295">
            <v>0.89600000000000002</v>
          </cell>
          <cell r="R295">
            <v>0.997</v>
          </cell>
        </row>
        <row r="296">
          <cell r="N296">
            <v>0</v>
          </cell>
          <cell r="O296">
            <v>0</v>
          </cell>
          <cell r="P296">
            <v>0</v>
          </cell>
          <cell r="Q296">
            <v>0</v>
          </cell>
          <cell r="R296">
            <v>0</v>
          </cell>
        </row>
        <row r="297">
          <cell r="N297">
            <v>0</v>
          </cell>
          <cell r="O297">
            <v>0</v>
          </cell>
          <cell r="P297">
            <v>0</v>
          </cell>
          <cell r="Q297">
            <v>0</v>
          </cell>
          <cell r="R297">
            <v>0</v>
          </cell>
        </row>
        <row r="298">
          <cell r="N298">
            <v>0</v>
          </cell>
          <cell r="O298">
            <v>0</v>
          </cell>
          <cell r="P298">
            <v>0</v>
          </cell>
          <cell r="Q298">
            <v>0</v>
          </cell>
          <cell r="R298">
            <v>0</v>
          </cell>
        </row>
        <row r="299">
          <cell r="N299">
            <v>0</v>
          </cell>
          <cell r="O299">
            <v>0</v>
          </cell>
          <cell r="P299">
            <v>0</v>
          </cell>
          <cell r="Q299">
            <v>0</v>
          </cell>
          <cell r="R299">
            <v>0</v>
          </cell>
        </row>
        <row r="300">
          <cell r="N300">
            <v>0</v>
          </cell>
          <cell r="O300">
            <v>0</v>
          </cell>
          <cell r="P300">
            <v>0</v>
          </cell>
          <cell r="Q300">
            <v>0</v>
          </cell>
          <cell r="R300">
            <v>0</v>
          </cell>
        </row>
        <row r="304">
          <cell r="N304">
            <v>0</v>
          </cell>
          <cell r="O304">
            <v>0.4</v>
          </cell>
          <cell r="P304">
            <v>0.4</v>
          </cell>
          <cell r="Q304">
            <v>0.4</v>
          </cell>
          <cell r="R304">
            <v>0.4</v>
          </cell>
        </row>
        <row r="305">
          <cell r="N305">
            <v>0</v>
          </cell>
          <cell r="O305">
            <v>0</v>
          </cell>
          <cell r="P305">
            <v>0</v>
          </cell>
          <cell r="Q305">
            <v>0</v>
          </cell>
          <cell r="R305">
            <v>0</v>
          </cell>
        </row>
        <row r="306">
          <cell r="N306">
            <v>0</v>
          </cell>
          <cell r="O306">
            <v>0</v>
          </cell>
          <cell r="P306">
            <v>0</v>
          </cell>
          <cell r="Q306">
            <v>0</v>
          </cell>
          <cell r="R306">
            <v>0</v>
          </cell>
        </row>
        <row r="307">
          <cell r="N307">
            <v>0</v>
          </cell>
          <cell r="O307">
            <v>0</v>
          </cell>
          <cell r="P307">
            <v>0</v>
          </cell>
          <cell r="Q307">
            <v>0</v>
          </cell>
          <cell r="R307">
            <v>0</v>
          </cell>
        </row>
        <row r="308">
          <cell r="N308">
            <v>0</v>
          </cell>
          <cell r="O308">
            <v>0</v>
          </cell>
          <cell r="P308">
            <v>0</v>
          </cell>
          <cell r="Q308">
            <v>0</v>
          </cell>
          <cell r="R308">
            <v>0</v>
          </cell>
        </row>
        <row r="309">
          <cell r="N309">
            <v>0</v>
          </cell>
          <cell r="O309">
            <v>0</v>
          </cell>
          <cell r="P309">
            <v>0</v>
          </cell>
          <cell r="Q309">
            <v>0</v>
          </cell>
          <cell r="R309">
            <v>0</v>
          </cell>
        </row>
        <row r="313">
          <cell r="N313">
            <v>0</v>
          </cell>
          <cell r="O313">
            <v>0</v>
          </cell>
          <cell r="P313">
            <v>0</v>
          </cell>
          <cell r="Q313">
            <v>0</v>
          </cell>
          <cell r="R313">
            <v>0</v>
          </cell>
        </row>
        <row r="314">
          <cell r="N314">
            <v>0</v>
          </cell>
          <cell r="O314">
            <v>0</v>
          </cell>
          <cell r="P314">
            <v>0</v>
          </cell>
          <cell r="Q314">
            <v>0</v>
          </cell>
          <cell r="R314">
            <v>0</v>
          </cell>
        </row>
        <row r="315">
          <cell r="N315">
            <v>0</v>
          </cell>
          <cell r="O315">
            <v>0</v>
          </cell>
          <cell r="P315">
            <v>0</v>
          </cell>
          <cell r="Q315">
            <v>0</v>
          </cell>
          <cell r="R315">
            <v>0</v>
          </cell>
        </row>
        <row r="316">
          <cell r="N316">
            <v>0</v>
          </cell>
          <cell r="O316">
            <v>0</v>
          </cell>
          <cell r="P316">
            <v>0</v>
          </cell>
          <cell r="Q316">
            <v>0</v>
          </cell>
          <cell r="R316">
            <v>0</v>
          </cell>
        </row>
        <row r="317">
          <cell r="N317">
            <v>0</v>
          </cell>
          <cell r="O317">
            <v>0</v>
          </cell>
          <cell r="P317">
            <v>0</v>
          </cell>
          <cell r="Q317">
            <v>0</v>
          </cell>
          <cell r="R317">
            <v>0</v>
          </cell>
        </row>
        <row r="318">
          <cell r="N318">
            <v>0</v>
          </cell>
          <cell r="O318">
            <v>0</v>
          </cell>
          <cell r="P318">
            <v>0</v>
          </cell>
          <cell r="Q318">
            <v>0</v>
          </cell>
          <cell r="R318">
            <v>0</v>
          </cell>
        </row>
        <row r="322">
          <cell r="N322">
            <v>0</v>
          </cell>
          <cell r="O322">
            <v>0</v>
          </cell>
          <cell r="P322">
            <v>0</v>
          </cell>
          <cell r="Q322">
            <v>0</v>
          </cell>
          <cell r="R322">
            <v>0</v>
          </cell>
        </row>
        <row r="323">
          <cell r="N323">
            <v>0</v>
          </cell>
          <cell r="O323">
            <v>0</v>
          </cell>
          <cell r="P323">
            <v>0</v>
          </cell>
          <cell r="Q323">
            <v>0</v>
          </cell>
          <cell r="R323">
            <v>0</v>
          </cell>
        </row>
        <row r="324">
          <cell r="N324">
            <v>0</v>
          </cell>
          <cell r="O324">
            <v>0</v>
          </cell>
          <cell r="P324">
            <v>0</v>
          </cell>
          <cell r="Q324">
            <v>0</v>
          </cell>
          <cell r="R324">
            <v>0</v>
          </cell>
        </row>
        <row r="325">
          <cell r="N325">
            <v>0</v>
          </cell>
          <cell r="O325">
            <v>0</v>
          </cell>
          <cell r="P325">
            <v>0</v>
          </cell>
          <cell r="Q325">
            <v>0</v>
          </cell>
          <cell r="R325">
            <v>0</v>
          </cell>
        </row>
        <row r="326">
          <cell r="N326">
            <v>0</v>
          </cell>
          <cell r="O326">
            <v>0</v>
          </cell>
          <cell r="P326">
            <v>0</v>
          </cell>
          <cell r="Q326">
            <v>0</v>
          </cell>
          <cell r="R326">
            <v>0</v>
          </cell>
        </row>
        <row r="327">
          <cell r="N327">
            <v>0</v>
          </cell>
          <cell r="O327">
            <v>0</v>
          </cell>
          <cell r="P327">
            <v>0</v>
          </cell>
          <cell r="Q327">
            <v>0</v>
          </cell>
          <cell r="R327">
            <v>0</v>
          </cell>
        </row>
        <row r="331">
          <cell r="N331">
            <v>0</v>
          </cell>
          <cell r="O331">
            <v>0</v>
          </cell>
          <cell r="P331">
            <v>0</v>
          </cell>
          <cell r="Q331">
            <v>0</v>
          </cell>
          <cell r="R331">
            <v>0</v>
          </cell>
        </row>
        <row r="332">
          <cell r="N332">
            <v>0</v>
          </cell>
          <cell r="O332">
            <v>0</v>
          </cell>
          <cell r="P332">
            <v>0</v>
          </cell>
          <cell r="Q332">
            <v>0</v>
          </cell>
          <cell r="R332">
            <v>0</v>
          </cell>
        </row>
        <row r="333">
          <cell r="N333">
            <v>0</v>
          </cell>
          <cell r="O333">
            <v>0</v>
          </cell>
          <cell r="P333">
            <v>0</v>
          </cell>
          <cell r="Q333">
            <v>0</v>
          </cell>
          <cell r="R333">
            <v>0</v>
          </cell>
        </row>
        <row r="334">
          <cell r="N334">
            <v>0</v>
          </cell>
          <cell r="O334">
            <v>0</v>
          </cell>
          <cell r="P334">
            <v>0</v>
          </cell>
          <cell r="Q334">
            <v>0</v>
          </cell>
          <cell r="R334">
            <v>0</v>
          </cell>
        </row>
        <row r="335">
          <cell r="N335">
            <v>0</v>
          </cell>
          <cell r="O335">
            <v>0</v>
          </cell>
          <cell r="P335">
            <v>0</v>
          </cell>
          <cell r="Q335">
            <v>0</v>
          </cell>
          <cell r="R335">
            <v>0</v>
          </cell>
        </row>
        <row r="336">
          <cell r="N336">
            <v>0</v>
          </cell>
          <cell r="O336">
            <v>0</v>
          </cell>
          <cell r="P336">
            <v>0</v>
          </cell>
          <cell r="Q336">
            <v>0</v>
          </cell>
          <cell r="R336">
            <v>0</v>
          </cell>
        </row>
        <row r="340">
          <cell r="N340">
            <v>0</v>
          </cell>
          <cell r="O340">
            <v>0</v>
          </cell>
          <cell r="P340">
            <v>0</v>
          </cell>
          <cell r="Q340">
            <v>0</v>
          </cell>
          <cell r="R340">
            <v>0</v>
          </cell>
        </row>
        <row r="341">
          <cell r="N341">
            <v>0</v>
          </cell>
          <cell r="O341">
            <v>0</v>
          </cell>
          <cell r="P341">
            <v>0</v>
          </cell>
          <cell r="Q341">
            <v>0</v>
          </cell>
          <cell r="R341">
            <v>0</v>
          </cell>
        </row>
        <row r="342">
          <cell r="N342">
            <v>0</v>
          </cell>
          <cell r="O342">
            <v>0</v>
          </cell>
          <cell r="P342">
            <v>0</v>
          </cell>
          <cell r="Q342">
            <v>0</v>
          </cell>
          <cell r="R342">
            <v>0</v>
          </cell>
        </row>
        <row r="343">
          <cell r="N343">
            <v>0</v>
          </cell>
          <cell r="O343">
            <v>0</v>
          </cell>
          <cell r="P343">
            <v>0</v>
          </cell>
          <cell r="Q343">
            <v>0</v>
          </cell>
          <cell r="R343">
            <v>0</v>
          </cell>
        </row>
        <row r="344">
          <cell r="N344">
            <v>0</v>
          </cell>
          <cell r="O344">
            <v>0</v>
          </cell>
          <cell r="P344">
            <v>0</v>
          </cell>
          <cell r="Q344">
            <v>0</v>
          </cell>
          <cell r="R344">
            <v>0</v>
          </cell>
        </row>
        <row r="345">
          <cell r="N345">
            <v>0</v>
          </cell>
          <cell r="O345">
            <v>0</v>
          </cell>
          <cell r="P345">
            <v>0</v>
          </cell>
          <cell r="Q345">
            <v>0</v>
          </cell>
          <cell r="R345">
            <v>0</v>
          </cell>
        </row>
        <row r="367">
          <cell r="N367">
            <v>0</v>
          </cell>
          <cell r="O367">
            <v>0</v>
          </cell>
          <cell r="P367">
            <v>0</v>
          </cell>
          <cell r="Q367">
            <v>0</v>
          </cell>
          <cell r="R367">
            <v>0</v>
          </cell>
        </row>
        <row r="368">
          <cell r="N368">
            <v>0</v>
          </cell>
          <cell r="O368">
            <v>0</v>
          </cell>
          <cell r="P368">
            <v>0</v>
          </cell>
          <cell r="Q368">
            <v>0</v>
          </cell>
          <cell r="R368">
            <v>0</v>
          </cell>
        </row>
        <row r="369">
          <cell r="N369">
            <v>0</v>
          </cell>
          <cell r="O369">
            <v>0</v>
          </cell>
          <cell r="P369">
            <v>0</v>
          </cell>
          <cell r="Q369">
            <v>0</v>
          </cell>
          <cell r="R369">
            <v>0</v>
          </cell>
        </row>
        <row r="370">
          <cell r="N370">
            <v>0</v>
          </cell>
          <cell r="O370">
            <v>0</v>
          </cell>
          <cell r="P370">
            <v>0</v>
          </cell>
          <cell r="Q370">
            <v>0</v>
          </cell>
          <cell r="R370">
            <v>0</v>
          </cell>
        </row>
        <row r="371">
          <cell r="N371">
            <v>0</v>
          </cell>
          <cell r="O371">
            <v>0</v>
          </cell>
          <cell r="P371">
            <v>0</v>
          </cell>
          <cell r="Q371">
            <v>0</v>
          </cell>
          <cell r="R371">
            <v>0</v>
          </cell>
        </row>
        <row r="372">
          <cell r="N372">
            <v>0</v>
          </cell>
          <cell r="O372">
            <v>0</v>
          </cell>
          <cell r="P372">
            <v>0</v>
          </cell>
          <cell r="Q372">
            <v>0</v>
          </cell>
          <cell r="R37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7">
          <cell r="N7">
            <v>0</v>
          </cell>
          <cell r="O7">
            <v>0</v>
          </cell>
          <cell r="P7">
            <v>0</v>
          </cell>
          <cell r="Q7">
            <v>0</v>
          </cell>
          <cell r="R7">
            <v>0</v>
          </cell>
        </row>
        <row r="8">
          <cell r="N8">
            <v>0</v>
          </cell>
          <cell r="O8">
            <v>0</v>
          </cell>
          <cell r="P8">
            <v>0</v>
          </cell>
          <cell r="Q8">
            <v>0</v>
          </cell>
          <cell r="R8">
            <v>0</v>
          </cell>
        </row>
        <row r="9">
          <cell r="N9">
            <v>0</v>
          </cell>
          <cell r="O9">
            <v>0</v>
          </cell>
          <cell r="P9">
            <v>0</v>
          </cell>
          <cell r="Q9">
            <v>0</v>
          </cell>
          <cell r="R9">
            <v>0</v>
          </cell>
        </row>
        <row r="10">
          <cell r="N10">
            <v>-0.74099999999999999</v>
          </cell>
          <cell r="O10">
            <v>-1.028</v>
          </cell>
          <cell r="P10">
            <v>-1.028</v>
          </cell>
          <cell r="Q10">
            <v>-1.028</v>
          </cell>
          <cell r="R10">
            <v>-1.028</v>
          </cell>
        </row>
        <row r="11">
          <cell r="N11">
            <v>0</v>
          </cell>
          <cell r="O11">
            <v>0</v>
          </cell>
          <cell r="P11">
            <v>0</v>
          </cell>
          <cell r="Q11">
            <v>0</v>
          </cell>
          <cell r="R11">
            <v>0</v>
          </cell>
        </row>
        <row r="12">
          <cell r="N12">
            <v>0</v>
          </cell>
          <cell r="O12">
            <v>0</v>
          </cell>
          <cell r="P12">
            <v>0</v>
          </cell>
          <cell r="Q12">
            <v>0</v>
          </cell>
          <cell r="R12">
            <v>0</v>
          </cell>
        </row>
        <row r="15">
          <cell r="N15">
            <v>0</v>
          </cell>
          <cell r="O15">
            <v>0</v>
          </cell>
          <cell r="P15">
            <v>0</v>
          </cell>
          <cell r="Q15">
            <v>0</v>
          </cell>
          <cell r="R15">
            <v>0</v>
          </cell>
        </row>
        <row r="16">
          <cell r="N16">
            <v>0</v>
          </cell>
          <cell r="O16">
            <v>0</v>
          </cell>
          <cell r="P16">
            <v>0</v>
          </cell>
          <cell r="Q16">
            <v>0</v>
          </cell>
          <cell r="R16">
            <v>0</v>
          </cell>
        </row>
        <row r="17">
          <cell r="N17">
            <v>0</v>
          </cell>
          <cell r="O17">
            <v>0</v>
          </cell>
          <cell r="P17">
            <v>0</v>
          </cell>
          <cell r="Q17">
            <v>0</v>
          </cell>
          <cell r="R17">
            <v>0</v>
          </cell>
        </row>
        <row r="18">
          <cell r="N18">
            <v>0</v>
          </cell>
          <cell r="O18">
            <v>0</v>
          </cell>
          <cell r="P18">
            <v>0</v>
          </cell>
          <cell r="Q18">
            <v>0</v>
          </cell>
          <cell r="R18">
            <v>0</v>
          </cell>
        </row>
        <row r="19">
          <cell r="N19">
            <v>0</v>
          </cell>
          <cell r="O19">
            <v>0</v>
          </cell>
          <cell r="P19">
            <v>0</v>
          </cell>
          <cell r="Q19">
            <v>0</v>
          </cell>
          <cell r="R19">
            <v>0</v>
          </cell>
        </row>
        <row r="20">
          <cell r="N20">
            <v>0</v>
          </cell>
          <cell r="O20">
            <v>0</v>
          </cell>
          <cell r="P20">
            <v>0</v>
          </cell>
          <cell r="Q20">
            <v>0</v>
          </cell>
          <cell r="R20">
            <v>0</v>
          </cell>
        </row>
        <row r="23">
          <cell r="N23">
            <v>0</v>
          </cell>
          <cell r="O23">
            <v>0</v>
          </cell>
          <cell r="P23">
            <v>0</v>
          </cell>
          <cell r="Q23">
            <v>0</v>
          </cell>
          <cell r="R23">
            <v>0</v>
          </cell>
        </row>
        <row r="24">
          <cell r="N24">
            <v>0</v>
          </cell>
          <cell r="O24">
            <v>0</v>
          </cell>
          <cell r="P24">
            <v>0</v>
          </cell>
          <cell r="Q24">
            <v>0</v>
          </cell>
          <cell r="R24">
            <v>0</v>
          </cell>
        </row>
        <row r="25">
          <cell r="N25">
            <v>0</v>
          </cell>
          <cell r="O25">
            <v>0</v>
          </cell>
          <cell r="P25">
            <v>0</v>
          </cell>
          <cell r="Q25">
            <v>0</v>
          </cell>
          <cell r="R25">
            <v>0</v>
          </cell>
        </row>
        <row r="26">
          <cell r="N26">
            <v>0</v>
          </cell>
          <cell r="O26">
            <v>0</v>
          </cell>
          <cell r="P26">
            <v>0</v>
          </cell>
          <cell r="Q26">
            <v>0</v>
          </cell>
          <cell r="R26">
            <v>0</v>
          </cell>
        </row>
        <row r="27">
          <cell r="N27">
            <v>0</v>
          </cell>
          <cell r="O27">
            <v>0</v>
          </cell>
          <cell r="P27">
            <v>0</v>
          </cell>
          <cell r="Q27">
            <v>0</v>
          </cell>
          <cell r="R27">
            <v>0</v>
          </cell>
        </row>
        <row r="28">
          <cell r="N28">
            <v>0</v>
          </cell>
          <cell r="O28">
            <v>0</v>
          </cell>
          <cell r="P28">
            <v>0</v>
          </cell>
          <cell r="Q28">
            <v>0</v>
          </cell>
          <cell r="R28">
            <v>0</v>
          </cell>
        </row>
        <row r="31">
          <cell r="N31">
            <v>0</v>
          </cell>
          <cell r="O31">
            <v>0</v>
          </cell>
          <cell r="P31">
            <v>0</v>
          </cell>
          <cell r="Q31">
            <v>0</v>
          </cell>
          <cell r="R31">
            <v>0</v>
          </cell>
        </row>
        <row r="32">
          <cell r="N32">
            <v>0</v>
          </cell>
          <cell r="O32">
            <v>0</v>
          </cell>
          <cell r="P32">
            <v>0</v>
          </cell>
          <cell r="Q32">
            <v>0</v>
          </cell>
          <cell r="R32">
            <v>0</v>
          </cell>
        </row>
        <row r="33">
          <cell r="N33">
            <v>0</v>
          </cell>
          <cell r="O33">
            <v>0</v>
          </cell>
          <cell r="P33">
            <v>0</v>
          </cell>
          <cell r="Q33">
            <v>0</v>
          </cell>
          <cell r="R33">
            <v>0</v>
          </cell>
        </row>
        <row r="34">
          <cell r="N34">
            <v>0</v>
          </cell>
          <cell r="O34">
            <v>0</v>
          </cell>
          <cell r="P34">
            <v>0</v>
          </cell>
          <cell r="Q34">
            <v>0</v>
          </cell>
          <cell r="R34">
            <v>0</v>
          </cell>
        </row>
        <row r="35">
          <cell r="N35">
            <v>0</v>
          </cell>
          <cell r="O35">
            <v>0</v>
          </cell>
          <cell r="P35">
            <v>0</v>
          </cell>
          <cell r="Q35">
            <v>0</v>
          </cell>
          <cell r="R35">
            <v>0</v>
          </cell>
        </row>
        <row r="36">
          <cell r="N36">
            <v>0</v>
          </cell>
          <cell r="O36">
            <v>0</v>
          </cell>
          <cell r="P36">
            <v>0</v>
          </cell>
          <cell r="Q36">
            <v>0</v>
          </cell>
          <cell r="R36">
            <v>0</v>
          </cell>
        </row>
        <row r="39">
          <cell r="N39">
            <v>0</v>
          </cell>
          <cell r="O39">
            <v>0</v>
          </cell>
          <cell r="P39">
            <v>0</v>
          </cell>
          <cell r="Q39">
            <v>0</v>
          </cell>
          <cell r="R39">
            <v>0</v>
          </cell>
        </row>
        <row r="40">
          <cell r="N40">
            <v>0</v>
          </cell>
          <cell r="O40">
            <v>0</v>
          </cell>
          <cell r="P40">
            <v>0</v>
          </cell>
          <cell r="Q40">
            <v>0</v>
          </cell>
          <cell r="R40">
            <v>0</v>
          </cell>
        </row>
        <row r="41">
          <cell r="N41">
            <v>0</v>
          </cell>
          <cell r="O41">
            <v>0</v>
          </cell>
          <cell r="P41">
            <v>0</v>
          </cell>
          <cell r="Q41">
            <v>0</v>
          </cell>
          <cell r="R41">
            <v>0</v>
          </cell>
        </row>
        <row r="42">
          <cell r="N42">
            <v>0</v>
          </cell>
          <cell r="O42">
            <v>0</v>
          </cell>
          <cell r="P42">
            <v>0</v>
          </cell>
          <cell r="Q42">
            <v>0</v>
          </cell>
          <cell r="R42">
            <v>0</v>
          </cell>
        </row>
        <row r="43">
          <cell r="N43">
            <v>0</v>
          </cell>
          <cell r="O43">
            <v>0</v>
          </cell>
          <cell r="P43">
            <v>0</v>
          </cell>
          <cell r="Q43">
            <v>0</v>
          </cell>
          <cell r="R43">
            <v>0</v>
          </cell>
        </row>
        <row r="44">
          <cell r="N44">
            <v>0</v>
          </cell>
          <cell r="O44">
            <v>0</v>
          </cell>
          <cell r="P44">
            <v>0</v>
          </cell>
          <cell r="Q44">
            <v>0</v>
          </cell>
          <cell r="R44">
            <v>0</v>
          </cell>
        </row>
      </sheetData>
      <sheetData sheetId="47"/>
      <sheetData sheetId="48"/>
      <sheetData sheetId="49"/>
      <sheetData sheetId="50"/>
      <sheetData sheetId="51"/>
      <sheetData sheetId="52"/>
      <sheetData sheetId="53">
        <row r="39">
          <cell r="H39">
            <v>1.012</v>
          </cell>
          <cell r="I39">
            <v>0.82799999999999996</v>
          </cell>
          <cell r="J39">
            <v>0.64400000000000002</v>
          </cell>
          <cell r="K39">
            <v>0.64400000000000002</v>
          </cell>
          <cell r="L39">
            <v>0.64400000000000002</v>
          </cell>
        </row>
        <row r="67">
          <cell r="H67">
            <v>0</v>
          </cell>
          <cell r="I67">
            <v>0.53700000000000003</v>
          </cell>
          <cell r="J67">
            <v>1.008</v>
          </cell>
          <cell r="K67">
            <v>1</v>
          </cell>
          <cell r="L67">
            <v>1.1020000000000001</v>
          </cell>
        </row>
        <row r="69">
          <cell r="H69">
            <v>0</v>
          </cell>
          <cell r="I69">
            <v>0</v>
          </cell>
          <cell r="J69">
            <v>6.0000000000000001E-3</v>
          </cell>
          <cell r="K69">
            <v>0.01</v>
          </cell>
          <cell r="L69">
            <v>1.2999999999999999E-2</v>
          </cell>
        </row>
        <row r="71">
          <cell r="H71">
            <v>0.20200000000000001</v>
          </cell>
          <cell r="I71">
            <v>0.192</v>
          </cell>
          <cell r="J71">
            <v>0.29899999999999999</v>
          </cell>
          <cell r="K71">
            <v>0.29599999999999999</v>
          </cell>
          <cell r="L71">
            <v>0.30099999999999999</v>
          </cell>
        </row>
      </sheetData>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OTAL (SEM)"/>
      <sheetName val="TOTAL"/>
      <sheetName val="DA-2"/>
      <sheetName val="DA-3"/>
      <sheetName val="DA-4"/>
      <sheetName val="DA-5"/>
      <sheetName val="DA-6"/>
      <sheetName val="DA-7"/>
      <sheetName val="DA-8"/>
      <sheetName val="DA-10"/>
      <sheetName val="DA-11"/>
      <sheetName val="DA-12"/>
      <sheetName val="DA-13"/>
      <sheetName val="DA-14"/>
      <sheetName val="DA-15"/>
      <sheetName val="DA-18"/>
      <sheetName val="DA-19"/>
      <sheetName val="DA-20"/>
      <sheetName val="DA-21"/>
      <sheetName val="DA-24"/>
      <sheetName val="PRJs"/>
      <sheetName val="2014-15 Escalation"/>
    </sheetNames>
    <sheetDataSet>
      <sheetData sheetId="0">
        <row r="7">
          <cell r="O7">
            <v>0</v>
          </cell>
          <cell r="P7">
            <v>0</v>
          </cell>
          <cell r="Q7">
            <v>0</v>
          </cell>
          <cell r="R7">
            <v>0</v>
          </cell>
          <cell r="S7">
            <v>0</v>
          </cell>
        </row>
        <row r="8">
          <cell r="O8">
            <v>0</v>
          </cell>
          <cell r="P8">
            <v>0</v>
          </cell>
          <cell r="Q8">
            <v>0</v>
          </cell>
          <cell r="R8">
            <v>0</v>
          </cell>
          <cell r="S8">
            <v>0</v>
          </cell>
        </row>
        <row r="9">
          <cell r="O9">
            <v>0</v>
          </cell>
          <cell r="P9">
            <v>0</v>
          </cell>
          <cell r="Q9">
            <v>0</v>
          </cell>
          <cell r="R9">
            <v>0</v>
          </cell>
          <cell r="S9">
            <v>0</v>
          </cell>
        </row>
        <row r="10">
          <cell r="O10">
            <v>0</v>
          </cell>
          <cell r="P10">
            <v>0</v>
          </cell>
          <cell r="Q10">
            <v>0</v>
          </cell>
          <cell r="R10">
            <v>0</v>
          </cell>
          <cell r="S10">
            <v>0</v>
          </cell>
        </row>
        <row r="11">
          <cell r="O11">
            <v>0</v>
          </cell>
          <cell r="P11">
            <v>0</v>
          </cell>
          <cell r="Q11">
            <v>0</v>
          </cell>
          <cell r="R11">
            <v>0</v>
          </cell>
          <cell r="S11">
            <v>0</v>
          </cell>
        </row>
        <row r="12">
          <cell r="O12">
            <v>0</v>
          </cell>
          <cell r="P12">
            <v>0</v>
          </cell>
          <cell r="Q12">
            <v>0</v>
          </cell>
          <cell r="R12">
            <v>0</v>
          </cell>
          <cell r="S12">
            <v>0</v>
          </cell>
        </row>
        <row r="16">
          <cell r="O16">
            <v>0.25</v>
          </cell>
          <cell r="P16">
            <v>0.25</v>
          </cell>
          <cell r="Q16">
            <v>0.25</v>
          </cell>
          <cell r="R16">
            <v>0.25</v>
          </cell>
          <cell r="S16">
            <v>0.25</v>
          </cell>
        </row>
        <row r="17">
          <cell r="O17">
            <v>0</v>
          </cell>
          <cell r="P17">
            <v>0</v>
          </cell>
          <cell r="Q17">
            <v>0</v>
          </cell>
          <cell r="R17">
            <v>0</v>
          </cell>
          <cell r="S17">
            <v>0</v>
          </cell>
        </row>
        <row r="18">
          <cell r="O18">
            <v>0</v>
          </cell>
          <cell r="P18">
            <v>0</v>
          </cell>
          <cell r="Q18">
            <v>0</v>
          </cell>
          <cell r="R18">
            <v>0</v>
          </cell>
          <cell r="S18">
            <v>0</v>
          </cell>
        </row>
        <row r="19">
          <cell r="O19">
            <v>0</v>
          </cell>
          <cell r="P19">
            <v>0</v>
          </cell>
          <cell r="Q19">
            <v>0</v>
          </cell>
          <cell r="R19">
            <v>0</v>
          </cell>
          <cell r="S19">
            <v>0</v>
          </cell>
        </row>
        <row r="20">
          <cell r="O20">
            <v>0</v>
          </cell>
          <cell r="P20">
            <v>0</v>
          </cell>
          <cell r="Q20">
            <v>0</v>
          </cell>
          <cell r="R20">
            <v>0</v>
          </cell>
          <cell r="S20">
            <v>0</v>
          </cell>
        </row>
        <row r="21">
          <cell r="O21">
            <v>0</v>
          </cell>
          <cell r="P21">
            <v>0</v>
          </cell>
          <cell r="Q21">
            <v>0</v>
          </cell>
          <cell r="R21">
            <v>0</v>
          </cell>
          <cell r="S21">
            <v>0</v>
          </cell>
        </row>
        <row r="25">
          <cell r="O25">
            <v>0</v>
          </cell>
          <cell r="P25">
            <v>0</v>
          </cell>
          <cell r="Q25">
            <v>0</v>
          </cell>
          <cell r="R25">
            <v>0</v>
          </cell>
          <cell r="S25">
            <v>0</v>
          </cell>
        </row>
        <row r="26">
          <cell r="O26">
            <v>0</v>
          </cell>
          <cell r="P26">
            <v>0</v>
          </cell>
          <cell r="Q26">
            <v>0</v>
          </cell>
          <cell r="R26">
            <v>0</v>
          </cell>
          <cell r="S26">
            <v>0</v>
          </cell>
        </row>
        <row r="27">
          <cell r="O27">
            <v>0</v>
          </cell>
          <cell r="P27">
            <v>0</v>
          </cell>
          <cell r="Q27">
            <v>0</v>
          </cell>
          <cell r="R27">
            <v>0</v>
          </cell>
          <cell r="S27">
            <v>0</v>
          </cell>
        </row>
        <row r="28">
          <cell r="O28">
            <v>0</v>
          </cell>
          <cell r="P28">
            <v>0</v>
          </cell>
          <cell r="Q28">
            <v>0</v>
          </cell>
          <cell r="R28">
            <v>0</v>
          </cell>
          <cell r="S28">
            <v>0</v>
          </cell>
        </row>
        <row r="29">
          <cell r="O29">
            <v>0</v>
          </cell>
          <cell r="P29">
            <v>0</v>
          </cell>
          <cell r="Q29">
            <v>0</v>
          </cell>
          <cell r="R29">
            <v>0</v>
          </cell>
          <cell r="S29">
            <v>0</v>
          </cell>
        </row>
        <row r="30">
          <cell r="O30">
            <v>0</v>
          </cell>
          <cell r="P30">
            <v>0</v>
          </cell>
          <cell r="Q30">
            <v>0</v>
          </cell>
          <cell r="R30">
            <v>0</v>
          </cell>
          <cell r="S30">
            <v>0</v>
          </cell>
        </row>
        <row r="34">
          <cell r="O34">
            <v>0</v>
          </cell>
          <cell r="P34">
            <v>0</v>
          </cell>
          <cell r="Q34">
            <v>0</v>
          </cell>
          <cell r="R34">
            <v>0</v>
          </cell>
          <cell r="S34">
            <v>0</v>
          </cell>
        </row>
        <row r="35">
          <cell r="O35">
            <v>0</v>
          </cell>
          <cell r="P35">
            <v>0</v>
          </cell>
          <cell r="Q35">
            <v>0</v>
          </cell>
          <cell r="R35">
            <v>0</v>
          </cell>
          <cell r="S35">
            <v>0</v>
          </cell>
        </row>
        <row r="36">
          <cell r="O36">
            <v>0</v>
          </cell>
          <cell r="P36">
            <v>0</v>
          </cell>
          <cell r="Q36">
            <v>0</v>
          </cell>
          <cell r="R36">
            <v>0</v>
          </cell>
          <cell r="S36">
            <v>0</v>
          </cell>
        </row>
        <row r="37">
          <cell r="O37">
            <v>0</v>
          </cell>
          <cell r="P37">
            <v>0</v>
          </cell>
          <cell r="Q37">
            <v>0</v>
          </cell>
          <cell r="R37">
            <v>0</v>
          </cell>
          <cell r="S37">
            <v>0</v>
          </cell>
        </row>
        <row r="38">
          <cell r="O38">
            <v>0</v>
          </cell>
          <cell r="P38">
            <v>0</v>
          </cell>
          <cell r="Q38">
            <v>0</v>
          </cell>
          <cell r="R38">
            <v>0</v>
          </cell>
          <cell r="S38">
            <v>0</v>
          </cell>
        </row>
        <row r="39">
          <cell r="O39">
            <v>0</v>
          </cell>
          <cell r="P39">
            <v>0</v>
          </cell>
          <cell r="Q39">
            <v>0</v>
          </cell>
          <cell r="R39">
            <v>0</v>
          </cell>
          <cell r="S39">
            <v>0</v>
          </cell>
        </row>
        <row r="43">
          <cell r="O43">
            <v>0</v>
          </cell>
          <cell r="P43">
            <v>0</v>
          </cell>
          <cell r="Q43">
            <v>0</v>
          </cell>
          <cell r="R43">
            <v>0</v>
          </cell>
          <cell r="S43">
            <v>0</v>
          </cell>
        </row>
        <row r="44">
          <cell r="O44">
            <v>0</v>
          </cell>
          <cell r="P44">
            <v>0</v>
          </cell>
          <cell r="Q44">
            <v>0</v>
          </cell>
          <cell r="R44">
            <v>0</v>
          </cell>
          <cell r="S44">
            <v>0</v>
          </cell>
        </row>
        <row r="45">
          <cell r="O45">
            <v>0</v>
          </cell>
          <cell r="P45">
            <v>0</v>
          </cell>
          <cell r="Q45">
            <v>0</v>
          </cell>
          <cell r="R45">
            <v>0</v>
          </cell>
          <cell r="S45">
            <v>0</v>
          </cell>
        </row>
        <row r="46">
          <cell r="O46">
            <v>0</v>
          </cell>
          <cell r="P46">
            <v>0</v>
          </cell>
          <cell r="Q46">
            <v>0</v>
          </cell>
          <cell r="R46">
            <v>0</v>
          </cell>
          <cell r="S46">
            <v>0</v>
          </cell>
        </row>
        <row r="47">
          <cell r="O47">
            <v>0</v>
          </cell>
          <cell r="P47">
            <v>0</v>
          </cell>
          <cell r="Q47">
            <v>0</v>
          </cell>
          <cell r="R47">
            <v>0</v>
          </cell>
          <cell r="S47">
            <v>0</v>
          </cell>
        </row>
        <row r="48">
          <cell r="O48">
            <v>0</v>
          </cell>
          <cell r="P48">
            <v>0</v>
          </cell>
          <cell r="Q48">
            <v>0</v>
          </cell>
          <cell r="R48">
            <v>0</v>
          </cell>
          <cell r="S48">
            <v>0</v>
          </cell>
        </row>
        <row r="52">
          <cell r="O52">
            <v>0</v>
          </cell>
          <cell r="P52">
            <v>0</v>
          </cell>
          <cell r="Q52">
            <v>0</v>
          </cell>
          <cell r="R52">
            <v>0</v>
          </cell>
          <cell r="S52">
            <v>0</v>
          </cell>
        </row>
        <row r="53">
          <cell r="O53">
            <v>0</v>
          </cell>
          <cell r="P53">
            <v>0</v>
          </cell>
          <cell r="Q53">
            <v>0</v>
          </cell>
          <cell r="R53">
            <v>0</v>
          </cell>
          <cell r="S53">
            <v>0</v>
          </cell>
        </row>
        <row r="54">
          <cell r="O54">
            <v>0</v>
          </cell>
          <cell r="P54">
            <v>0</v>
          </cell>
          <cell r="Q54">
            <v>0</v>
          </cell>
          <cell r="R54">
            <v>0</v>
          </cell>
          <cell r="S54">
            <v>0</v>
          </cell>
        </row>
        <row r="55">
          <cell r="O55">
            <v>0</v>
          </cell>
          <cell r="P55">
            <v>0</v>
          </cell>
          <cell r="Q55">
            <v>0</v>
          </cell>
          <cell r="R55">
            <v>0</v>
          </cell>
          <cell r="S55">
            <v>0</v>
          </cell>
        </row>
        <row r="56">
          <cell r="O56">
            <v>0</v>
          </cell>
          <cell r="P56">
            <v>0</v>
          </cell>
          <cell r="Q56">
            <v>0</v>
          </cell>
          <cell r="R56">
            <v>0</v>
          </cell>
          <cell r="S56">
            <v>0</v>
          </cell>
        </row>
        <row r="57">
          <cell r="O57">
            <v>0</v>
          </cell>
          <cell r="P57">
            <v>0</v>
          </cell>
          <cell r="Q57">
            <v>0</v>
          </cell>
          <cell r="R57">
            <v>0</v>
          </cell>
          <cell r="S57">
            <v>0</v>
          </cell>
        </row>
        <row r="61">
          <cell r="O61">
            <v>0.14899999999999999</v>
          </cell>
          <cell r="P61">
            <v>0.53100000000000003</v>
          </cell>
          <cell r="Q61">
            <v>0.61599999999999999</v>
          </cell>
          <cell r="R61">
            <v>0.51100000000000001</v>
          </cell>
          <cell r="S61">
            <v>0.54500000000000004</v>
          </cell>
        </row>
        <row r="62">
          <cell r="O62">
            <v>0</v>
          </cell>
          <cell r="P62">
            <v>2.4E-2</v>
          </cell>
          <cell r="Q62">
            <v>2.5000000000000001E-2</v>
          </cell>
          <cell r="R62">
            <v>3.5999999999999997E-2</v>
          </cell>
          <cell r="S62">
            <v>2.9000000000000001E-2</v>
          </cell>
        </row>
        <row r="63">
          <cell r="O63">
            <v>0</v>
          </cell>
          <cell r="P63">
            <v>0</v>
          </cell>
          <cell r="Q63">
            <v>0</v>
          </cell>
          <cell r="R63">
            <v>0</v>
          </cell>
          <cell r="S63">
            <v>0</v>
          </cell>
        </row>
        <row r="64">
          <cell r="O64">
            <v>2.1999999999999999E-2</v>
          </cell>
          <cell r="P64">
            <v>6.7949999999999999</v>
          </cell>
          <cell r="Q64">
            <v>1.962</v>
          </cell>
          <cell r="R64">
            <v>2.056</v>
          </cell>
          <cell r="S64">
            <v>2.0299999999999998</v>
          </cell>
        </row>
        <row r="65">
          <cell r="O65">
            <v>0</v>
          </cell>
          <cell r="P65">
            <v>0</v>
          </cell>
          <cell r="Q65">
            <v>0</v>
          </cell>
          <cell r="R65">
            <v>0</v>
          </cell>
          <cell r="S65">
            <v>0</v>
          </cell>
        </row>
        <row r="66">
          <cell r="O66">
            <v>0</v>
          </cell>
          <cell r="P66">
            <v>0</v>
          </cell>
          <cell r="Q66">
            <v>0</v>
          </cell>
          <cell r="R66">
            <v>0</v>
          </cell>
          <cell r="S66">
            <v>0</v>
          </cell>
        </row>
        <row r="70">
          <cell r="O70">
            <v>0</v>
          </cell>
          <cell r="P70">
            <v>0</v>
          </cell>
          <cell r="Q70">
            <v>0</v>
          </cell>
          <cell r="R70">
            <v>0</v>
          </cell>
          <cell r="S70">
            <v>0</v>
          </cell>
        </row>
        <row r="71">
          <cell r="O71">
            <v>0</v>
          </cell>
          <cell r="P71">
            <v>0</v>
          </cell>
          <cell r="Q71">
            <v>0</v>
          </cell>
          <cell r="R71">
            <v>0</v>
          </cell>
          <cell r="S71">
            <v>0</v>
          </cell>
        </row>
        <row r="72">
          <cell r="O72">
            <v>0</v>
          </cell>
          <cell r="P72">
            <v>0</v>
          </cell>
          <cell r="Q72">
            <v>0</v>
          </cell>
          <cell r="R72">
            <v>0</v>
          </cell>
          <cell r="S72">
            <v>0</v>
          </cell>
        </row>
        <row r="73">
          <cell r="O73">
            <v>0</v>
          </cell>
          <cell r="P73">
            <v>0</v>
          </cell>
          <cell r="Q73">
            <v>0</v>
          </cell>
          <cell r="R73">
            <v>0</v>
          </cell>
          <cell r="S73">
            <v>0</v>
          </cell>
        </row>
        <row r="74">
          <cell r="O74">
            <v>0</v>
          </cell>
          <cell r="P74">
            <v>0</v>
          </cell>
          <cell r="Q74">
            <v>0</v>
          </cell>
          <cell r="R74">
            <v>0</v>
          </cell>
          <cell r="S74">
            <v>0</v>
          </cell>
        </row>
        <row r="75">
          <cell r="O75">
            <v>0</v>
          </cell>
          <cell r="P75">
            <v>0</v>
          </cell>
          <cell r="Q75">
            <v>0</v>
          </cell>
          <cell r="R75">
            <v>0</v>
          </cell>
          <cell r="S75">
            <v>0</v>
          </cell>
        </row>
        <row r="79">
          <cell r="O79">
            <v>0</v>
          </cell>
          <cell r="P79">
            <v>0</v>
          </cell>
          <cell r="Q79">
            <v>0</v>
          </cell>
          <cell r="R79">
            <v>0</v>
          </cell>
          <cell r="S79">
            <v>0</v>
          </cell>
        </row>
        <row r="80">
          <cell r="O80">
            <v>0</v>
          </cell>
          <cell r="P80">
            <v>0</v>
          </cell>
          <cell r="Q80">
            <v>0</v>
          </cell>
          <cell r="R80">
            <v>0</v>
          </cell>
          <cell r="S80">
            <v>0</v>
          </cell>
        </row>
        <row r="81">
          <cell r="O81">
            <v>0</v>
          </cell>
          <cell r="P81">
            <v>0</v>
          </cell>
          <cell r="Q81">
            <v>0</v>
          </cell>
          <cell r="R81">
            <v>0</v>
          </cell>
          <cell r="S81">
            <v>0</v>
          </cell>
        </row>
        <row r="82">
          <cell r="O82">
            <v>0</v>
          </cell>
          <cell r="P82">
            <v>0</v>
          </cell>
          <cell r="Q82">
            <v>0</v>
          </cell>
          <cell r="R82">
            <v>0</v>
          </cell>
          <cell r="S82">
            <v>0</v>
          </cell>
        </row>
        <row r="83">
          <cell r="O83">
            <v>0</v>
          </cell>
          <cell r="P83">
            <v>0</v>
          </cell>
          <cell r="Q83">
            <v>0</v>
          </cell>
          <cell r="R83">
            <v>0</v>
          </cell>
          <cell r="S83">
            <v>0</v>
          </cell>
        </row>
        <row r="84">
          <cell r="O84">
            <v>0</v>
          </cell>
          <cell r="P84">
            <v>0</v>
          </cell>
          <cell r="Q84">
            <v>0</v>
          </cell>
          <cell r="R84">
            <v>0</v>
          </cell>
          <cell r="S84">
            <v>0</v>
          </cell>
        </row>
        <row r="88">
          <cell r="O88">
            <v>0.105</v>
          </cell>
          <cell r="P88">
            <v>0.11799999999999999</v>
          </cell>
          <cell r="Q88">
            <v>0.122</v>
          </cell>
          <cell r="R88">
            <v>0.123</v>
          </cell>
          <cell r="S88">
            <v>0.121</v>
          </cell>
        </row>
        <row r="89">
          <cell r="O89">
            <v>0</v>
          </cell>
          <cell r="P89">
            <v>0</v>
          </cell>
          <cell r="Q89">
            <v>0</v>
          </cell>
          <cell r="R89">
            <v>0</v>
          </cell>
          <cell r="S89">
            <v>0</v>
          </cell>
        </row>
        <row r="90">
          <cell r="O90">
            <v>7.2409999999999997</v>
          </cell>
          <cell r="P90">
            <v>7.4980000000000002</v>
          </cell>
          <cell r="Q90">
            <v>7.5640000000000001</v>
          </cell>
          <cell r="R90">
            <v>7.5940000000000003</v>
          </cell>
          <cell r="S90">
            <v>5.7850000000000001</v>
          </cell>
        </row>
        <row r="91">
          <cell r="O91">
            <v>2.5000000000000001E-2</v>
          </cell>
          <cell r="P91">
            <v>2.5000000000000001E-2</v>
          </cell>
          <cell r="Q91">
            <v>2.5000000000000001E-2</v>
          </cell>
          <cell r="R91">
            <v>2.5000000000000001E-2</v>
          </cell>
          <cell r="S91">
            <v>2.5000000000000001E-2</v>
          </cell>
        </row>
        <row r="92">
          <cell r="O92">
            <v>0</v>
          </cell>
          <cell r="P92">
            <v>0</v>
          </cell>
          <cell r="Q92">
            <v>0</v>
          </cell>
          <cell r="R92">
            <v>0</v>
          </cell>
          <cell r="S92">
            <v>0</v>
          </cell>
        </row>
        <row r="93">
          <cell r="O93">
            <v>0</v>
          </cell>
          <cell r="P93">
            <v>0</v>
          </cell>
          <cell r="Q93">
            <v>0</v>
          </cell>
          <cell r="R93">
            <v>0</v>
          </cell>
          <cell r="S93">
            <v>0</v>
          </cell>
        </row>
        <row r="97">
          <cell r="O97">
            <v>0</v>
          </cell>
          <cell r="P97">
            <v>0</v>
          </cell>
          <cell r="Q97">
            <v>0</v>
          </cell>
          <cell r="R97">
            <v>0</v>
          </cell>
          <cell r="S97">
            <v>0</v>
          </cell>
        </row>
        <row r="98">
          <cell r="O98">
            <v>0</v>
          </cell>
          <cell r="P98">
            <v>0</v>
          </cell>
          <cell r="Q98">
            <v>0</v>
          </cell>
          <cell r="R98">
            <v>0</v>
          </cell>
          <cell r="S98">
            <v>0</v>
          </cell>
        </row>
        <row r="99">
          <cell r="O99">
            <v>0</v>
          </cell>
          <cell r="P99">
            <v>0</v>
          </cell>
          <cell r="Q99">
            <v>0</v>
          </cell>
          <cell r="R99">
            <v>0</v>
          </cell>
          <cell r="S99">
            <v>0</v>
          </cell>
        </row>
        <row r="100">
          <cell r="O100">
            <v>0</v>
          </cell>
          <cell r="P100">
            <v>0</v>
          </cell>
          <cell r="Q100">
            <v>0</v>
          </cell>
          <cell r="R100">
            <v>0</v>
          </cell>
          <cell r="S100">
            <v>0</v>
          </cell>
        </row>
        <row r="101">
          <cell r="O101">
            <v>0</v>
          </cell>
          <cell r="P101">
            <v>0</v>
          </cell>
          <cell r="Q101">
            <v>0</v>
          </cell>
          <cell r="R101">
            <v>0</v>
          </cell>
          <cell r="S101">
            <v>0</v>
          </cell>
        </row>
        <row r="102">
          <cell r="O102">
            <v>0</v>
          </cell>
          <cell r="P102">
            <v>0</v>
          </cell>
          <cell r="Q102">
            <v>0</v>
          </cell>
          <cell r="R102">
            <v>0</v>
          </cell>
          <cell r="S102">
            <v>0</v>
          </cell>
        </row>
        <row r="106">
          <cell r="O106">
            <v>0.36</v>
          </cell>
          <cell r="P106">
            <v>0.36</v>
          </cell>
          <cell r="Q106">
            <v>0.36</v>
          </cell>
          <cell r="R106">
            <v>0.36</v>
          </cell>
          <cell r="S106">
            <v>0.36</v>
          </cell>
        </row>
        <row r="107">
          <cell r="O107">
            <v>0</v>
          </cell>
          <cell r="P107">
            <v>0</v>
          </cell>
          <cell r="Q107">
            <v>0</v>
          </cell>
          <cell r="R107">
            <v>0</v>
          </cell>
          <cell r="S107">
            <v>0</v>
          </cell>
        </row>
        <row r="108">
          <cell r="O108">
            <v>6.0170000000000003</v>
          </cell>
          <cell r="P108">
            <v>3.984</v>
          </cell>
          <cell r="Q108">
            <v>3.7749999999999999</v>
          </cell>
          <cell r="R108">
            <v>3.5670000000000002</v>
          </cell>
          <cell r="S108">
            <v>3.3580000000000001</v>
          </cell>
        </row>
        <row r="109">
          <cell r="O109">
            <v>2.9710000000000001</v>
          </cell>
          <cell r="P109">
            <v>2.5009999999999999</v>
          </cell>
          <cell r="Q109">
            <v>2.032</v>
          </cell>
          <cell r="R109">
            <v>1.5629999999999999</v>
          </cell>
          <cell r="S109">
            <v>1.093</v>
          </cell>
        </row>
        <row r="110">
          <cell r="O110">
            <v>0</v>
          </cell>
          <cell r="P110">
            <v>0</v>
          </cell>
          <cell r="Q110">
            <v>0</v>
          </cell>
          <cell r="R110">
            <v>0</v>
          </cell>
          <cell r="S110">
            <v>0</v>
          </cell>
        </row>
        <row r="111">
          <cell r="O111">
            <v>0</v>
          </cell>
          <cell r="P111">
            <v>0</v>
          </cell>
          <cell r="Q111">
            <v>0</v>
          </cell>
          <cell r="R111">
            <v>0</v>
          </cell>
          <cell r="S111">
            <v>0</v>
          </cell>
        </row>
        <row r="115">
          <cell r="O115">
            <v>0</v>
          </cell>
          <cell r="P115">
            <v>0</v>
          </cell>
          <cell r="Q115">
            <v>0</v>
          </cell>
          <cell r="R115">
            <v>0</v>
          </cell>
          <cell r="S115">
            <v>0</v>
          </cell>
        </row>
        <row r="116">
          <cell r="O116">
            <v>0</v>
          </cell>
          <cell r="P116">
            <v>0</v>
          </cell>
          <cell r="Q116">
            <v>0</v>
          </cell>
          <cell r="R116">
            <v>0</v>
          </cell>
          <cell r="S116">
            <v>0</v>
          </cell>
        </row>
        <row r="117">
          <cell r="O117">
            <v>0</v>
          </cell>
          <cell r="P117">
            <v>0</v>
          </cell>
          <cell r="Q117">
            <v>0</v>
          </cell>
          <cell r="R117">
            <v>0</v>
          </cell>
          <cell r="S117">
            <v>0</v>
          </cell>
        </row>
        <row r="118">
          <cell r="O118">
            <v>0</v>
          </cell>
          <cell r="P118">
            <v>0</v>
          </cell>
          <cell r="Q118">
            <v>0</v>
          </cell>
          <cell r="R118">
            <v>0</v>
          </cell>
          <cell r="S118">
            <v>0</v>
          </cell>
        </row>
        <row r="119">
          <cell r="O119">
            <v>0</v>
          </cell>
          <cell r="P119">
            <v>0</v>
          </cell>
          <cell r="Q119">
            <v>0</v>
          </cell>
          <cell r="R119">
            <v>0</v>
          </cell>
          <cell r="S119">
            <v>0</v>
          </cell>
        </row>
        <row r="120">
          <cell r="O120">
            <v>0</v>
          </cell>
          <cell r="P120">
            <v>0</v>
          </cell>
          <cell r="Q120">
            <v>0</v>
          </cell>
          <cell r="R120">
            <v>0</v>
          </cell>
          <cell r="S120">
            <v>0</v>
          </cell>
        </row>
        <row r="124">
          <cell r="O124">
            <v>0</v>
          </cell>
          <cell r="P124">
            <v>0</v>
          </cell>
          <cell r="Q124">
            <v>0</v>
          </cell>
          <cell r="R124">
            <v>0</v>
          </cell>
          <cell r="S124">
            <v>0</v>
          </cell>
        </row>
        <row r="125">
          <cell r="O125">
            <v>0</v>
          </cell>
          <cell r="P125">
            <v>0</v>
          </cell>
          <cell r="Q125">
            <v>0</v>
          </cell>
          <cell r="R125">
            <v>0</v>
          </cell>
          <cell r="S125">
            <v>0</v>
          </cell>
        </row>
        <row r="126">
          <cell r="O126">
            <v>0</v>
          </cell>
          <cell r="P126">
            <v>0</v>
          </cell>
          <cell r="Q126">
            <v>0</v>
          </cell>
          <cell r="R126">
            <v>0</v>
          </cell>
          <cell r="S126">
            <v>0</v>
          </cell>
        </row>
        <row r="127">
          <cell r="O127">
            <v>0</v>
          </cell>
          <cell r="P127">
            <v>0</v>
          </cell>
          <cell r="Q127">
            <v>0</v>
          </cell>
          <cell r="R127">
            <v>0</v>
          </cell>
          <cell r="S127">
            <v>0</v>
          </cell>
        </row>
        <row r="128">
          <cell r="O128">
            <v>0</v>
          </cell>
          <cell r="P128">
            <v>0</v>
          </cell>
          <cell r="Q128">
            <v>0</v>
          </cell>
          <cell r="R128">
            <v>0</v>
          </cell>
          <cell r="S128">
            <v>0</v>
          </cell>
        </row>
        <row r="129">
          <cell r="O129">
            <v>0</v>
          </cell>
          <cell r="P129">
            <v>0</v>
          </cell>
          <cell r="Q129">
            <v>0</v>
          </cell>
          <cell r="R129">
            <v>0</v>
          </cell>
          <cell r="S129">
            <v>0</v>
          </cell>
        </row>
        <row r="142">
          <cell r="O142">
            <v>0</v>
          </cell>
          <cell r="P142">
            <v>0</v>
          </cell>
          <cell r="Q142">
            <v>0</v>
          </cell>
          <cell r="R142">
            <v>0</v>
          </cell>
          <cell r="S142">
            <v>0</v>
          </cell>
        </row>
        <row r="143">
          <cell r="O143">
            <v>0</v>
          </cell>
          <cell r="P143">
            <v>0</v>
          </cell>
          <cell r="Q143">
            <v>0</v>
          </cell>
          <cell r="R143">
            <v>0</v>
          </cell>
          <cell r="S143">
            <v>0</v>
          </cell>
        </row>
        <row r="144">
          <cell r="O144">
            <v>0</v>
          </cell>
          <cell r="P144">
            <v>0</v>
          </cell>
          <cell r="Q144">
            <v>0</v>
          </cell>
          <cell r="R144">
            <v>0</v>
          </cell>
          <cell r="S144">
            <v>0</v>
          </cell>
        </row>
        <row r="145">
          <cell r="O145">
            <v>0</v>
          </cell>
          <cell r="P145">
            <v>0</v>
          </cell>
          <cell r="Q145">
            <v>0</v>
          </cell>
          <cell r="R145">
            <v>0</v>
          </cell>
          <cell r="S145">
            <v>0</v>
          </cell>
        </row>
        <row r="146">
          <cell r="O146">
            <v>0</v>
          </cell>
          <cell r="P146">
            <v>0</v>
          </cell>
          <cell r="Q146">
            <v>0</v>
          </cell>
          <cell r="R146">
            <v>0</v>
          </cell>
          <cell r="S146">
            <v>0</v>
          </cell>
        </row>
        <row r="147">
          <cell r="O147">
            <v>0</v>
          </cell>
          <cell r="P147">
            <v>0</v>
          </cell>
          <cell r="Q147">
            <v>0</v>
          </cell>
          <cell r="R147">
            <v>0</v>
          </cell>
          <cell r="S147">
            <v>0</v>
          </cell>
        </row>
        <row r="151">
          <cell r="O151">
            <v>0</v>
          </cell>
          <cell r="P151">
            <v>0</v>
          </cell>
          <cell r="Q151">
            <v>0</v>
          </cell>
          <cell r="R151">
            <v>0</v>
          </cell>
          <cell r="S151">
            <v>0</v>
          </cell>
        </row>
        <row r="152">
          <cell r="O152">
            <v>0</v>
          </cell>
          <cell r="P152">
            <v>0</v>
          </cell>
          <cell r="Q152">
            <v>0</v>
          </cell>
          <cell r="R152">
            <v>0</v>
          </cell>
          <cell r="S152">
            <v>0</v>
          </cell>
        </row>
        <row r="153">
          <cell r="O153">
            <v>0</v>
          </cell>
          <cell r="P153">
            <v>0</v>
          </cell>
          <cell r="Q153">
            <v>0</v>
          </cell>
          <cell r="R153">
            <v>0</v>
          </cell>
          <cell r="S153">
            <v>0</v>
          </cell>
        </row>
        <row r="154">
          <cell r="O154">
            <v>0</v>
          </cell>
          <cell r="P154">
            <v>0</v>
          </cell>
          <cell r="Q154">
            <v>0</v>
          </cell>
          <cell r="R154">
            <v>0</v>
          </cell>
          <cell r="S154">
            <v>0</v>
          </cell>
        </row>
        <row r="155">
          <cell r="O155">
            <v>0</v>
          </cell>
          <cell r="P155">
            <v>0</v>
          </cell>
          <cell r="Q155">
            <v>0</v>
          </cell>
          <cell r="R155">
            <v>0</v>
          </cell>
          <cell r="S155">
            <v>0</v>
          </cell>
        </row>
        <row r="156">
          <cell r="O156">
            <v>0</v>
          </cell>
          <cell r="P156">
            <v>0</v>
          </cell>
          <cell r="Q156">
            <v>0</v>
          </cell>
          <cell r="R156">
            <v>0</v>
          </cell>
          <cell r="S156">
            <v>0</v>
          </cell>
        </row>
        <row r="160">
          <cell r="O160">
            <v>0</v>
          </cell>
          <cell r="P160">
            <v>0</v>
          </cell>
          <cell r="Q160">
            <v>0</v>
          </cell>
          <cell r="R160">
            <v>0</v>
          </cell>
          <cell r="S160">
            <v>0</v>
          </cell>
        </row>
        <row r="161">
          <cell r="O161">
            <v>0</v>
          </cell>
          <cell r="P161">
            <v>0</v>
          </cell>
          <cell r="Q161">
            <v>0</v>
          </cell>
          <cell r="R161">
            <v>0</v>
          </cell>
          <cell r="S161">
            <v>0</v>
          </cell>
        </row>
        <row r="162">
          <cell r="O162">
            <v>0</v>
          </cell>
          <cell r="P162">
            <v>0</v>
          </cell>
          <cell r="Q162">
            <v>0</v>
          </cell>
          <cell r="R162">
            <v>0</v>
          </cell>
          <cell r="S162">
            <v>0</v>
          </cell>
        </row>
        <row r="163">
          <cell r="O163">
            <v>0.15</v>
          </cell>
          <cell r="P163">
            <v>0.2</v>
          </cell>
          <cell r="Q163">
            <v>0.25</v>
          </cell>
          <cell r="R163">
            <v>0.3</v>
          </cell>
          <cell r="S163">
            <v>0.35</v>
          </cell>
        </row>
        <row r="164">
          <cell r="O164">
            <v>0</v>
          </cell>
          <cell r="P164">
            <v>0</v>
          </cell>
          <cell r="Q164">
            <v>0</v>
          </cell>
          <cell r="R164">
            <v>0</v>
          </cell>
          <cell r="S164">
            <v>0</v>
          </cell>
        </row>
        <row r="165">
          <cell r="O165">
            <v>0</v>
          </cell>
          <cell r="P165">
            <v>0</v>
          </cell>
          <cell r="Q165">
            <v>0</v>
          </cell>
          <cell r="R165">
            <v>0</v>
          </cell>
          <cell r="S16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1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2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1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1.xml"/></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2.xml"/></Relationships>
</file>

<file path=xl/worksheets/_rels/sheet32.xml.rels><?xml version="1.0" encoding="UTF-8" standalone="yes"?>
<Relationships xmlns="http://schemas.openxmlformats.org/package/2006/relationships"><Relationship Id="rId8" Type="http://schemas.openxmlformats.org/officeDocument/2006/relationships/vmlDrawing" Target="../drawings/vmlDrawing2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8" Type="http://schemas.openxmlformats.org/officeDocument/2006/relationships/vmlDrawing" Target="../drawings/vmlDrawing2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6.xml"/></Relationships>
</file>

<file path=xl/worksheets/_rels/sheet36.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7.xml"/></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2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8.xml"/></Relationships>
</file>

<file path=xl/worksheets/_rels/sheet38.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29.xml"/></Relationships>
</file>

<file path=xl/worksheets/_rels/sheet39.xml.rels><?xml version="1.0" encoding="UTF-8" standalone="yes"?>
<Relationships xmlns="http://schemas.openxmlformats.org/package/2006/relationships"><Relationship Id="rId8" Type="http://schemas.openxmlformats.org/officeDocument/2006/relationships/vmlDrawing" Target="../drawings/vmlDrawing3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3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2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1.xml"/></Relationships>
</file>

<file path=xl/worksheets/_rels/sheet41.xml.rels><?xml version="1.0" encoding="UTF-8" standalone="yes"?>
<Relationships xmlns="http://schemas.openxmlformats.org/package/2006/relationships"><Relationship Id="rId8" Type="http://schemas.openxmlformats.org/officeDocument/2006/relationships/vmlDrawing" Target="../drawings/vmlDrawing3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2.xml"/></Relationships>
</file>

<file path=xl/worksheets/_rels/sheet42.xml.rels><?xml version="1.0" encoding="UTF-8" standalone="yes"?>
<Relationships xmlns="http://schemas.openxmlformats.org/package/2006/relationships"><Relationship Id="rId8" Type="http://schemas.openxmlformats.org/officeDocument/2006/relationships/vmlDrawing" Target="../drawings/vmlDrawing3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3.xml"/></Relationships>
</file>

<file path=xl/worksheets/_rels/sheet43.xml.rels><?xml version="1.0" encoding="UTF-8" standalone="yes"?>
<Relationships xmlns="http://schemas.openxmlformats.org/package/2006/relationships"><Relationship Id="rId8" Type="http://schemas.openxmlformats.org/officeDocument/2006/relationships/vmlDrawing" Target="../drawings/vmlDrawing3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8" Type="http://schemas.openxmlformats.org/officeDocument/2006/relationships/vmlDrawing" Target="../drawings/vmlDrawing3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5.xml"/></Relationships>
</file>

<file path=xl/worksheets/_rels/sheet45.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6.xml"/></Relationships>
</file>

<file path=xl/worksheets/_rels/sheet46.xml.rels><?xml version="1.0" encoding="UTF-8" standalone="yes"?>
<Relationships xmlns="http://schemas.openxmlformats.org/package/2006/relationships"><Relationship Id="rId8" Type="http://schemas.openxmlformats.org/officeDocument/2006/relationships/vmlDrawing" Target="../drawings/vmlDrawing3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7.xml"/></Relationships>
</file>

<file path=xl/worksheets/_rels/sheet47.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8.xml"/></Relationships>
</file>

<file path=xl/worksheets/_rels/sheet48.xml.rels><?xml version="1.0" encoding="UTF-8" standalone="yes"?>
<Relationships xmlns="http://schemas.openxmlformats.org/package/2006/relationships"><Relationship Id="rId8" Type="http://schemas.openxmlformats.org/officeDocument/2006/relationships/vmlDrawing" Target="../drawings/vmlDrawing4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39.xml"/></Relationships>
</file>

<file path=xl/worksheets/_rels/sheet49.xml.rels><?xml version="1.0" encoding="UTF-8" standalone="yes"?>
<Relationships xmlns="http://schemas.openxmlformats.org/package/2006/relationships"><Relationship Id="rId8" Type="http://schemas.openxmlformats.org/officeDocument/2006/relationships/vmlDrawing" Target="../drawings/vmlDrawing4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4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vmlDrawing" Target="../drawings/vmlDrawing4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3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1.xm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4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2.xml"/></Relationships>
</file>

<file path=xl/worksheets/_rels/sheet52.xml.rels><?xml version="1.0" encoding="UTF-8" standalone="yes"?>
<Relationships xmlns="http://schemas.openxmlformats.org/package/2006/relationships"><Relationship Id="rId8" Type="http://schemas.openxmlformats.org/officeDocument/2006/relationships/vmlDrawing" Target="../drawings/vmlDrawing4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3.xml"/></Relationships>
</file>

<file path=xl/worksheets/_rels/sheet53.xml.rels><?xml version="1.0" encoding="UTF-8" standalone="yes"?>
<Relationships xmlns="http://schemas.openxmlformats.org/package/2006/relationships"><Relationship Id="rId8" Type="http://schemas.openxmlformats.org/officeDocument/2006/relationships/vmlDrawing" Target="../drawings/vmlDrawing4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4.xml"/></Relationships>
</file>

<file path=xl/worksheets/_rels/sheet54.xml.rels><?xml version="1.0" encoding="UTF-8" standalone="yes"?>
<Relationships xmlns="http://schemas.openxmlformats.org/package/2006/relationships"><Relationship Id="rId8" Type="http://schemas.openxmlformats.org/officeDocument/2006/relationships/vmlDrawing" Target="../drawings/vmlDrawing4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5.xml"/></Relationships>
</file>

<file path=xl/worksheets/_rels/sheet55.xml.rels><?xml version="1.0" encoding="UTF-8" standalone="yes"?>
<Relationships xmlns="http://schemas.openxmlformats.org/package/2006/relationships"><Relationship Id="rId8" Type="http://schemas.openxmlformats.org/officeDocument/2006/relationships/vmlDrawing" Target="../drawings/vmlDrawing4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6.xml"/></Relationships>
</file>

<file path=xl/worksheets/_rels/sheet56.xml.rels><?xml version="1.0" encoding="UTF-8" standalone="yes"?>
<Relationships xmlns="http://schemas.openxmlformats.org/package/2006/relationships"><Relationship Id="rId8" Type="http://schemas.openxmlformats.org/officeDocument/2006/relationships/vmlDrawing" Target="../drawings/vmlDrawing4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7.xm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4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8.xml"/></Relationships>
</file>

<file path=xl/worksheets/_rels/sheet58.xml.rels><?xml version="1.0" encoding="UTF-8" standalone="yes"?>
<Relationships xmlns="http://schemas.openxmlformats.org/package/2006/relationships"><Relationship Id="rId8" Type="http://schemas.openxmlformats.org/officeDocument/2006/relationships/vmlDrawing" Target="../drawings/vmlDrawing5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49.xml"/></Relationships>
</file>

<file path=xl/worksheets/_rels/sheet59.xml.rels><?xml version="1.0" encoding="UTF-8" standalone="yes"?>
<Relationships xmlns="http://schemas.openxmlformats.org/package/2006/relationships"><Relationship Id="rId8" Type="http://schemas.openxmlformats.org/officeDocument/2006/relationships/vmlDrawing" Target="../drawings/vmlDrawing5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5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vmlDrawing" Target="../drawings/vmlDrawing5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4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1.xml"/></Relationships>
</file>

<file path=xl/worksheets/_rels/sheet61.xml.rels><?xml version="1.0" encoding="UTF-8" standalone="yes"?>
<Relationships xmlns="http://schemas.openxmlformats.org/package/2006/relationships"><Relationship Id="rId8" Type="http://schemas.openxmlformats.org/officeDocument/2006/relationships/vmlDrawing" Target="../drawings/vmlDrawing5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2.xml"/></Relationships>
</file>

<file path=xl/worksheets/_rels/sheet62.xml.rels><?xml version="1.0" encoding="UTF-8" standalone="yes"?>
<Relationships xmlns="http://schemas.openxmlformats.org/package/2006/relationships"><Relationship Id="rId8" Type="http://schemas.openxmlformats.org/officeDocument/2006/relationships/vmlDrawing" Target="../drawings/vmlDrawing5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3.xml"/></Relationships>
</file>

<file path=xl/worksheets/_rels/sheet63.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4.xml"/></Relationships>
</file>

<file path=xl/worksheets/_rels/sheet64.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5.xml"/></Relationships>
</file>

<file path=xl/worksheets/_rels/sheet65.xml.rels><?xml version="1.0" encoding="UTF-8" standalone="yes"?>
<Relationships xmlns="http://schemas.openxmlformats.org/package/2006/relationships"><Relationship Id="rId8" Type="http://schemas.openxmlformats.org/officeDocument/2006/relationships/vmlDrawing" Target="../drawings/vmlDrawing5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6.xml"/></Relationships>
</file>

<file path=xl/worksheets/_rels/sheet66.xml.rels><?xml version="1.0" encoding="UTF-8" standalone="yes"?>
<Relationships xmlns="http://schemas.openxmlformats.org/package/2006/relationships"><Relationship Id="rId8" Type="http://schemas.openxmlformats.org/officeDocument/2006/relationships/vmlDrawing" Target="../drawings/vmlDrawing5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7.xml"/></Relationships>
</file>

<file path=xl/worksheets/_rels/sheet67.xml.rels><?xml version="1.0" encoding="UTF-8" standalone="yes"?>
<Relationships xmlns="http://schemas.openxmlformats.org/package/2006/relationships"><Relationship Id="rId8" Type="http://schemas.openxmlformats.org/officeDocument/2006/relationships/vmlDrawing" Target="../drawings/vmlDrawing5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8.xml"/></Relationships>
</file>

<file path=xl/worksheets/_rels/sheet68.xml.rels><?xml version="1.0" encoding="UTF-8" standalone="yes"?>
<Relationships xmlns="http://schemas.openxmlformats.org/package/2006/relationships"><Relationship Id="rId8" Type="http://schemas.openxmlformats.org/officeDocument/2006/relationships/vmlDrawing" Target="../drawings/vmlDrawing6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59.xml"/></Relationships>
</file>

<file path=xl/worksheets/_rels/sheet69.xml.rels><?xml version="1.0" encoding="UTF-8" standalone="yes"?>
<Relationships xmlns="http://schemas.openxmlformats.org/package/2006/relationships"><Relationship Id="rId8" Type="http://schemas.openxmlformats.org/officeDocument/2006/relationships/vmlDrawing" Target="../drawings/vmlDrawing61.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6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8" Type="http://schemas.openxmlformats.org/officeDocument/2006/relationships/vmlDrawing" Target="../drawings/vmlDrawing62.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5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0.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1.xml"/></Relationships>
</file>

<file path=xl/worksheets/_rels/sheet71.xml.rels><?xml version="1.0" encoding="UTF-8" standalone="yes"?>
<Relationships xmlns="http://schemas.openxmlformats.org/package/2006/relationships"><Relationship Id="rId8" Type="http://schemas.openxmlformats.org/officeDocument/2006/relationships/vmlDrawing" Target="../drawings/vmlDrawing63.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0.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2.xml"/></Relationships>
</file>

<file path=xl/worksheets/_rels/sheet72.xml.rels><?xml version="1.0" encoding="UTF-8" standalone="yes"?>
<Relationships xmlns="http://schemas.openxmlformats.org/package/2006/relationships"><Relationship Id="rId8" Type="http://schemas.openxmlformats.org/officeDocument/2006/relationships/vmlDrawing" Target="../drawings/vmlDrawing64.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1.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3.xml"/></Relationships>
</file>

<file path=xl/worksheets/_rels/sheet73.xml.rels><?xml version="1.0" encoding="UTF-8" standalone="yes"?>
<Relationships xmlns="http://schemas.openxmlformats.org/package/2006/relationships"><Relationship Id="rId8" Type="http://schemas.openxmlformats.org/officeDocument/2006/relationships/vmlDrawing" Target="../drawings/vmlDrawing65.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2.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3.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4.xml"/></Relationships>
</file>

<file path=xl/worksheets/_rels/sheet74.xml.rels><?xml version="1.0" encoding="UTF-8" standalone="yes"?>
<Relationships xmlns="http://schemas.openxmlformats.org/package/2006/relationships"><Relationship Id="rId8" Type="http://schemas.openxmlformats.org/officeDocument/2006/relationships/vmlDrawing" Target="../drawings/vmlDrawing66.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3.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4.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5.xml"/></Relationships>
</file>

<file path=xl/worksheets/_rels/sheet75.xml.rels><?xml version="1.0" encoding="UTF-8" standalone="yes"?>
<Relationships xmlns="http://schemas.openxmlformats.org/package/2006/relationships"><Relationship Id="rId8" Type="http://schemas.openxmlformats.org/officeDocument/2006/relationships/vmlDrawing" Target="../drawings/vmlDrawing67.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4.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5.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6.xml"/></Relationships>
</file>

<file path=xl/worksheets/_rels/sheet76.xml.rels><?xml version="1.0" encoding="UTF-8" standalone="yes"?>
<Relationships xmlns="http://schemas.openxmlformats.org/package/2006/relationships"><Relationship Id="rId8" Type="http://schemas.openxmlformats.org/officeDocument/2006/relationships/vmlDrawing" Target="../drawings/vmlDrawing68.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5.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6.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7.xml"/></Relationships>
</file>

<file path=xl/worksheets/_rels/sheet77.xml.rels><?xml version="1.0" encoding="UTF-8" standalone="yes"?>
<Relationships xmlns="http://schemas.openxmlformats.org/package/2006/relationships"><Relationship Id="rId8" Type="http://schemas.openxmlformats.org/officeDocument/2006/relationships/vmlDrawing" Target="../drawings/vmlDrawing69.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6.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7.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8.xml"/></Relationships>
</file>

<file path=xl/worksheets/_rels/sheet78.xml.rels><?xml version="1.0" encoding="UTF-8" standalone="yes"?>
<Relationships xmlns="http://schemas.openxmlformats.org/package/2006/relationships"><Relationship Id="rId8" Type="http://schemas.openxmlformats.org/officeDocument/2006/relationships/vmlDrawing" Target="../drawings/vmlDrawing70.vml"/><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7.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7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 Id="rId9" Type="http://schemas.openxmlformats.org/officeDocument/2006/relationships/comments" Target="../comments69.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8.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81.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s>
</file>

<file path=xl/worksheets/_rels/sheet82.xml.rels><?xml version="1.0" encoding="UTF-8" standalone="yes"?>
<Relationships xmlns="http://schemas.openxmlformats.org/package/2006/relationships"><Relationship Id="rId3" Type="http://schemas.openxmlformats.org/officeDocument/2006/relationships/externalLinkPath" Target="file:///D:\DC%20Folders\Expenditure%20Model\Expenditure%20Consolidation%20V1.xls" TargetMode="External"/><Relationship Id="rId7" Type="http://schemas.openxmlformats.org/officeDocument/2006/relationships/drawing" Target="../drawings/drawing69.xm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8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1.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externalLinkPath" Target="file:///D:\DC%20Folders\Expenditure%20Model\Expenditure%20Consolidation%20V1.xls" TargetMode="Externa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88.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s>
</file>

<file path=xl/worksheets/_rels/sheet89.xml.rels><?xml version="1.0" encoding="UTF-8" standalone="yes"?>
<Relationships xmlns="http://schemas.openxmlformats.org/package/2006/relationships"><Relationship Id="rId3" Type="http://schemas.openxmlformats.org/officeDocument/2006/relationships/externalLinkPath" Target="file:///D:\DC%20Folders\Expenditure%20Model\Expenditure%20Consolidation%20V1.xls" TargetMode="Externa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89.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externalLinkPath" Target="file:///D:\DC%20Folders\Expenditure%20Model\Expenditure%20Consolidation%20V1.xls" TargetMode="External"/><Relationship Id="rId2" Type="http://schemas.openxmlformats.org/officeDocument/2006/relationships/externalLinkPath" Target="file:///D:\DC%20Folders\Expenditure%20Model\Expenditure%20Consolidation%20V1.xls" TargetMode="External"/><Relationship Id="rId1" Type="http://schemas.openxmlformats.org/officeDocument/2006/relationships/externalLinkPath" Target="file:///D:\DC%20Folders\Expenditure%20Model\Expenditure%20Consolidation%20V1.xls" TargetMode="External"/><Relationship Id="rId6" Type="http://schemas.openxmlformats.org/officeDocument/2006/relationships/printerSettings" Target="../printerSettings/printerSettings92.bin"/><Relationship Id="rId5" Type="http://schemas.openxmlformats.org/officeDocument/2006/relationships/externalLinkPath" Target="file:///D:\DC%20Folders\Expenditure%20Model\Expenditure%20Consolidation%20V1.xls" TargetMode="External"/><Relationship Id="rId4" Type="http://schemas.openxmlformats.org/officeDocument/2006/relationships/externalLinkPath" Target="file:///D:\DC%20Folders\Expenditure%20Model\Expenditure%20Consolidation%20V1.xls"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2.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1" enableFormatConditionsCalculation="0">
    <tabColor indexed="58"/>
    <pageSetUpPr autoPageBreaks="0" fitToPage="1"/>
  </sheetPr>
  <dimension ref="A1:S73"/>
  <sheetViews>
    <sheetView showGridLines="0" tabSelected="1" zoomScaleNormal="100" workbookViewId="0">
      <selection activeCell="D18" sqref="D18"/>
    </sheetView>
  </sheetViews>
  <sheetFormatPr defaultRowHeight="12.75" outlineLevelRow="1"/>
  <cols>
    <col min="3" max="3" width="9.42578125" customWidth="1"/>
    <col min="4" max="4" width="6.140625" customWidth="1"/>
  </cols>
  <sheetData>
    <row r="1" spans="1:17">
      <c r="A1" s="143" t="s">
        <v>0</v>
      </c>
    </row>
    <row r="3" spans="1:17" ht="18">
      <c r="C3" s="144"/>
    </row>
    <row r="5" spans="1:17" ht="15.75">
      <c r="C5" s="146"/>
    </row>
    <row r="7" spans="1:17">
      <c r="A7" s="21"/>
      <c r="B7" s="21"/>
      <c r="C7" s="21"/>
      <c r="D7" s="21"/>
      <c r="E7" s="21"/>
      <c r="F7" s="21"/>
      <c r="G7" s="21"/>
      <c r="H7" s="21"/>
      <c r="I7" s="21"/>
      <c r="J7" s="21"/>
      <c r="K7" s="21"/>
      <c r="L7" s="21"/>
      <c r="M7" s="21"/>
    </row>
    <row r="10" spans="1:17" ht="15.75">
      <c r="C10" s="145" t="str">
        <f>Model_Name</f>
        <v>Submission Operating Expenditure Model</v>
      </c>
    </row>
    <row r="12" spans="1:17" ht="15.75">
      <c r="C12" s="762" t="str">
        <f>+A46</f>
        <v>Data Version</v>
      </c>
      <c r="D12" s="656"/>
      <c r="E12" s="656"/>
      <c r="F12" s="763" t="str">
        <f>+_LU_DataVersion</f>
        <v>Revised SCS OPEX SEM</v>
      </c>
      <c r="N12" s="656"/>
      <c r="O12" s="656"/>
      <c r="P12" s="760" t="s">
        <v>642</v>
      </c>
      <c r="Q12" s="761" t="str">
        <f>+D43</f>
        <v>Public</v>
      </c>
    </row>
    <row r="13" spans="1:17" ht="15.75">
      <c r="C13" s="762" t="s">
        <v>570</v>
      </c>
      <c r="D13" s="656"/>
      <c r="E13" s="656"/>
      <c r="F13" s="763" t="str">
        <f>+_LU_Version</f>
        <v>Version 8.0  June 2015</v>
      </c>
    </row>
    <row r="14" spans="1:17">
      <c r="C14" s="656"/>
      <c r="D14" s="656"/>
      <c r="E14" s="656"/>
      <c r="F14" s="656"/>
    </row>
    <row r="15" spans="1:17">
      <c r="C15" s="764" t="s">
        <v>643</v>
      </c>
      <c r="D15" s="765" t="s">
        <v>644</v>
      </c>
      <c r="E15" s="764" t="s">
        <v>645</v>
      </c>
      <c r="F15" s="656"/>
    </row>
    <row r="22" spans="1:16">
      <c r="A22" s="21"/>
      <c r="B22" s="21"/>
      <c r="C22" s="21"/>
      <c r="D22" s="21"/>
      <c r="E22" s="21"/>
      <c r="F22" s="21"/>
      <c r="G22" s="21"/>
      <c r="H22" s="21"/>
      <c r="I22" s="21"/>
      <c r="J22" s="21"/>
      <c r="K22" s="21"/>
      <c r="L22" s="21"/>
      <c r="M22" s="21"/>
    </row>
    <row r="24" spans="1:16" ht="16.5">
      <c r="A24" s="278"/>
      <c r="B24" s="279"/>
      <c r="C24" s="21"/>
      <c r="D24" s="277"/>
      <c r="E24" s="873"/>
      <c r="F24" s="873"/>
      <c r="G24" s="873"/>
      <c r="H24" s="873"/>
      <c r="I24" s="873"/>
      <c r="J24" s="873"/>
      <c r="K24" s="873"/>
      <c r="L24" s="873"/>
      <c r="M24" s="873"/>
    </row>
    <row r="25" spans="1:16" ht="16.5" customHeight="1">
      <c r="A25" s="278"/>
      <c r="B25" s="279"/>
      <c r="C25" s="21"/>
      <c r="D25" s="280"/>
      <c r="E25" s="873"/>
      <c r="F25" s="873"/>
      <c r="G25" s="873"/>
      <c r="H25" s="873"/>
      <c r="I25" s="873"/>
      <c r="J25" s="873"/>
      <c r="K25" s="873"/>
      <c r="L25" s="873"/>
      <c r="M25" s="873"/>
      <c r="N25" s="873"/>
      <c r="O25" s="873"/>
      <c r="P25" s="873"/>
    </row>
    <row r="26" spans="1:16">
      <c r="C26" s="148"/>
    </row>
    <row r="27" spans="1:16">
      <c r="C27" s="148"/>
    </row>
    <row r="28" spans="1:16">
      <c r="C28" s="148"/>
    </row>
    <row r="29" spans="1:16">
      <c r="C29" s="147"/>
    </row>
    <row r="30" spans="1:16">
      <c r="F30" s="147"/>
    </row>
    <row r="33" spans="1:19" s="656" customFormat="1" ht="13.5" thickBot="1"/>
    <row r="34" spans="1:19" s="656" customFormat="1" ht="15">
      <c r="A34" s="657" t="s">
        <v>555</v>
      </c>
      <c r="B34" s="658"/>
      <c r="C34" s="658" t="s">
        <v>556</v>
      </c>
      <c r="D34" s="658"/>
      <c r="E34" s="658"/>
      <c r="F34" s="659"/>
      <c r="G34" s="659"/>
      <c r="H34" s="659"/>
      <c r="I34" s="659"/>
      <c r="J34" s="659"/>
      <c r="K34" s="659"/>
      <c r="L34" s="659"/>
      <c r="M34" s="659"/>
      <c r="N34" s="659"/>
      <c r="O34" s="659"/>
      <c r="P34" s="659"/>
      <c r="Q34" s="659"/>
      <c r="R34" s="659"/>
      <c r="S34" s="660"/>
    </row>
    <row r="35" spans="1:19" s="656" customFormat="1" outlineLevel="1">
      <c r="A35" s="661" t="str">
        <f>Model_Name</f>
        <v>Submission Operating Expenditure Model</v>
      </c>
      <c r="B35" s="662"/>
      <c r="C35" s="662"/>
      <c r="D35" s="662"/>
      <c r="E35" s="662"/>
      <c r="F35" s="663"/>
      <c r="G35" s="663"/>
      <c r="H35" s="663"/>
      <c r="I35" s="663"/>
      <c r="J35" s="663"/>
      <c r="K35" s="663"/>
      <c r="L35" s="663"/>
      <c r="M35" s="663"/>
      <c r="N35" s="663"/>
      <c r="O35" s="663"/>
      <c r="P35" s="663"/>
      <c r="Q35" s="663"/>
      <c r="R35" s="663"/>
      <c r="S35" s="664"/>
    </row>
    <row r="36" spans="1:19" s="656" customFormat="1" outlineLevel="1">
      <c r="A36" s="661" t="str">
        <f>"Version " &amp; _LU_Version</f>
        <v>Version Version 8.0  June 2015</v>
      </c>
      <c r="B36" s="662"/>
      <c r="C36" s="662"/>
      <c r="D36" s="662"/>
      <c r="E36" s="662"/>
      <c r="F36" s="663"/>
      <c r="G36" s="663"/>
      <c r="H36" s="663"/>
      <c r="I36" s="663"/>
      <c r="J36" s="663"/>
      <c r="K36" s="663"/>
      <c r="L36" s="663"/>
      <c r="M36" s="663"/>
      <c r="N36" s="663"/>
      <c r="O36" s="663"/>
      <c r="P36" s="663"/>
      <c r="Q36" s="663"/>
      <c r="R36" s="663"/>
      <c r="S36" s="664"/>
    </row>
    <row r="37" spans="1:19" s="656" customFormat="1" outlineLevel="1">
      <c r="A37" s="661"/>
      <c r="B37" s="662"/>
      <c r="C37" s="662"/>
      <c r="D37" s="662"/>
      <c r="E37" s="662"/>
      <c r="F37" s="663"/>
      <c r="G37" s="663"/>
      <c r="H37" s="663"/>
      <c r="I37" s="663"/>
      <c r="J37" s="663"/>
      <c r="K37" s="663"/>
      <c r="L37" s="663"/>
      <c r="M37" s="663"/>
      <c r="N37" s="663"/>
      <c r="O37" s="663"/>
      <c r="P37" s="663"/>
      <c r="Q37" s="663"/>
      <c r="R37" s="663"/>
      <c r="S37" s="664"/>
    </row>
    <row r="38" spans="1:19" s="656" customFormat="1" outlineLevel="1">
      <c r="A38" s="665" t="s">
        <v>557</v>
      </c>
      <c r="B38" s="663"/>
      <c r="C38" s="663"/>
      <c r="D38" s="663"/>
      <c r="E38" s="663"/>
      <c r="F38" s="663"/>
      <c r="G38" s="663"/>
      <c r="H38" s="663"/>
      <c r="I38" s="663"/>
      <c r="J38" s="663"/>
      <c r="K38" s="663"/>
      <c r="L38" s="663"/>
      <c r="M38" s="663"/>
      <c r="N38" s="663"/>
      <c r="O38" s="663"/>
      <c r="P38" s="663"/>
      <c r="Q38" s="663"/>
      <c r="R38" s="663"/>
      <c r="S38" s="664"/>
    </row>
    <row r="39" spans="1:19" s="656" customFormat="1" outlineLevel="1">
      <c r="A39" s="665" t="s">
        <v>558</v>
      </c>
      <c r="B39" s="663"/>
      <c r="C39" s="663"/>
      <c r="D39" s="872" t="s">
        <v>559</v>
      </c>
      <c r="E39" s="872"/>
      <c r="F39" s="872"/>
      <c r="G39" s="872"/>
      <c r="H39" s="872"/>
      <c r="I39" s="872"/>
      <c r="J39" s="872"/>
      <c r="K39" s="872"/>
      <c r="L39" s="663"/>
      <c r="M39" s="663"/>
      <c r="N39" s="663"/>
      <c r="O39" s="663"/>
      <c r="P39" s="663"/>
      <c r="Q39" s="663"/>
      <c r="R39" s="663"/>
      <c r="S39" s="664"/>
    </row>
    <row r="40" spans="1:19" s="656" customFormat="1" outlineLevel="1">
      <c r="A40" s="665" t="s">
        <v>560</v>
      </c>
      <c r="B40" s="663"/>
      <c r="C40" s="663"/>
      <c r="D40" s="872" t="s">
        <v>496</v>
      </c>
      <c r="E40" s="872"/>
      <c r="F40" s="872"/>
      <c r="G40" s="872"/>
      <c r="H40" s="872"/>
      <c r="I40" s="872"/>
      <c r="J40" s="872"/>
      <c r="K40" s="872"/>
      <c r="L40" s="663"/>
      <c r="M40" s="663"/>
      <c r="N40" s="663"/>
      <c r="O40" s="663"/>
      <c r="P40" s="663"/>
      <c r="Q40" s="663"/>
      <c r="R40" s="663"/>
      <c r="S40" s="664"/>
    </row>
    <row r="41" spans="1:19" s="656" customFormat="1" outlineLevel="1">
      <c r="A41" s="665" t="s">
        <v>561</v>
      </c>
      <c r="B41" s="663"/>
      <c r="C41" s="663"/>
      <c r="D41" s="666"/>
      <c r="E41" s="667"/>
      <c r="G41" s="667"/>
      <c r="H41" s="667"/>
      <c r="I41" s="667"/>
      <c r="J41" s="667"/>
      <c r="K41" s="667"/>
      <c r="L41" s="668" t="s">
        <v>562</v>
      </c>
      <c r="M41" s="663"/>
      <c r="N41" s="663"/>
      <c r="O41" s="663"/>
      <c r="P41" s="663"/>
      <c r="Q41" s="663"/>
      <c r="R41" s="663"/>
      <c r="S41" s="664"/>
    </row>
    <row r="42" spans="1:19" s="656" customFormat="1" outlineLevel="1">
      <c r="A42" s="665" t="s">
        <v>563</v>
      </c>
      <c r="B42" s="663"/>
      <c r="C42" s="663"/>
      <c r="D42" s="872" t="s">
        <v>496</v>
      </c>
      <c r="E42" s="872"/>
      <c r="F42" s="872"/>
      <c r="G42" s="872"/>
      <c r="H42" s="872"/>
      <c r="I42" s="872"/>
      <c r="J42" s="872"/>
      <c r="K42" s="872"/>
      <c r="L42" s="663"/>
      <c r="M42" s="663"/>
      <c r="N42" s="663"/>
      <c r="O42" s="663"/>
      <c r="P42" s="663"/>
      <c r="Q42" s="663"/>
      <c r="R42" s="663"/>
      <c r="S42" s="664"/>
    </row>
    <row r="43" spans="1:19" s="656" customFormat="1" outlineLevel="1">
      <c r="A43" s="665" t="s">
        <v>601</v>
      </c>
      <c r="B43" s="663"/>
      <c r="C43" s="663"/>
      <c r="D43" s="874" t="s">
        <v>711</v>
      </c>
      <c r="E43" s="874"/>
      <c r="F43" s="667"/>
      <c r="G43" s="667"/>
      <c r="H43" s="667"/>
      <c r="I43" s="667"/>
      <c r="J43" s="667"/>
      <c r="K43" s="667"/>
      <c r="L43" s="668" t="s">
        <v>602</v>
      </c>
      <c r="M43" s="663"/>
      <c r="N43" s="663"/>
      <c r="O43" s="663"/>
      <c r="P43" s="663"/>
      <c r="Q43" s="663"/>
      <c r="R43" s="663"/>
      <c r="S43" s="664"/>
    </row>
    <row r="44" spans="1:19" s="656" customFormat="1" outlineLevel="1">
      <c r="A44" s="665" t="s">
        <v>564</v>
      </c>
      <c r="B44" s="663"/>
      <c r="C44" s="663"/>
      <c r="D44" s="669" t="str">
        <f t="shared" ref="D44" ca="1" si="0">MID(CELL("filename"),SEARCH("[",CELL("filename"))+1, SEARCH("]",CELL("filename"))-SEARCH("[",CELL("filename"))-1)</f>
        <v>SAPN H.12_PUBLIC_Revised SCS OPEX SEM.xlsx</v>
      </c>
      <c r="E44" s="663"/>
      <c r="F44" s="663"/>
      <c r="G44" s="663"/>
      <c r="H44" s="663"/>
      <c r="I44" s="663"/>
      <c r="J44" s="663"/>
      <c r="K44" s="663"/>
      <c r="L44" s="663"/>
      <c r="M44" s="663"/>
      <c r="N44" s="663"/>
      <c r="O44" s="663"/>
      <c r="P44" s="663"/>
      <c r="Q44" s="663"/>
      <c r="R44" s="663"/>
      <c r="S44" s="664"/>
    </row>
    <row r="45" spans="1:19" s="656" customFormat="1" outlineLevel="1">
      <c r="A45" s="665" t="s">
        <v>565</v>
      </c>
      <c r="B45" s="663"/>
      <c r="C45" s="663"/>
      <c r="D45" s="669" t="str">
        <f ca="1">MID(CELL("filename"),1, SEARCH("[",CELL("filename"))-1)</f>
        <v>R:\CorpAffairs\2015PriceReset\10 Modelling\03b-RevisedProposalWorkings\02 Final Versions\01-SEM\</v>
      </c>
      <c r="E45" s="663"/>
      <c r="F45" s="663"/>
      <c r="G45" s="663"/>
      <c r="H45" s="663"/>
      <c r="I45" s="663"/>
      <c r="J45" s="663"/>
      <c r="K45" s="663"/>
      <c r="L45" s="663"/>
      <c r="M45" s="663"/>
      <c r="N45" s="663"/>
      <c r="O45" s="663"/>
      <c r="P45" s="663"/>
      <c r="Q45" s="663"/>
      <c r="R45" s="663"/>
      <c r="S45" s="664"/>
    </row>
    <row r="46" spans="1:19" s="656" customFormat="1" outlineLevel="1">
      <c r="A46" s="665" t="s">
        <v>566</v>
      </c>
      <c r="B46" s="663"/>
      <c r="C46" s="663"/>
      <c r="D46" s="871" t="s">
        <v>720</v>
      </c>
      <c r="E46" s="871"/>
      <c r="F46" s="871"/>
      <c r="G46" s="871"/>
      <c r="H46" s="871"/>
      <c r="I46" s="871"/>
      <c r="J46" s="871"/>
      <c r="K46" s="871"/>
      <c r="L46" s="668" t="s">
        <v>567</v>
      </c>
      <c r="M46" s="663"/>
      <c r="N46" s="663"/>
      <c r="O46" s="663"/>
      <c r="P46" s="663"/>
      <c r="Q46" s="663"/>
      <c r="R46" s="663"/>
      <c r="S46" s="664"/>
    </row>
    <row r="47" spans="1:19" s="656" customFormat="1" outlineLevel="1">
      <c r="A47" s="665" t="s">
        <v>568</v>
      </c>
      <c r="B47" s="663"/>
      <c r="C47" s="663"/>
      <c r="D47" s="872"/>
      <c r="E47" s="872"/>
      <c r="F47" s="872"/>
      <c r="G47" s="872"/>
      <c r="H47" s="872"/>
      <c r="I47" s="872"/>
      <c r="J47" s="872"/>
      <c r="K47" s="872"/>
      <c r="L47" s="668" t="s">
        <v>569</v>
      </c>
      <c r="M47" s="663"/>
      <c r="N47" s="663"/>
      <c r="O47" s="663"/>
      <c r="P47" s="663"/>
      <c r="Q47" s="663"/>
      <c r="R47" s="663"/>
      <c r="S47" s="664"/>
    </row>
    <row r="48" spans="1:19" s="656" customFormat="1" outlineLevel="1">
      <c r="A48" s="665" t="s">
        <v>570</v>
      </c>
      <c r="B48" s="663"/>
      <c r="C48" s="663"/>
      <c r="D48" s="871" t="s">
        <v>721</v>
      </c>
      <c r="E48" s="871"/>
      <c r="F48" s="871"/>
      <c r="G48" s="871"/>
      <c r="H48" s="871"/>
      <c r="I48" s="871"/>
      <c r="J48" s="871"/>
      <c r="K48" s="871"/>
      <c r="L48" s="668" t="s">
        <v>571</v>
      </c>
      <c r="M48" s="663"/>
      <c r="N48" s="663"/>
      <c r="O48" s="663"/>
      <c r="P48" s="663"/>
      <c r="Q48" s="663"/>
      <c r="R48" s="663"/>
      <c r="S48" s="664"/>
    </row>
    <row r="49" spans="1:19" s="656" customFormat="1" outlineLevel="1">
      <c r="A49" s="665" t="s">
        <v>572</v>
      </c>
      <c r="B49" s="663"/>
      <c r="C49" s="663"/>
      <c r="D49" s="872" t="s">
        <v>573</v>
      </c>
      <c r="E49" s="872"/>
      <c r="F49" s="872"/>
      <c r="G49" s="872"/>
      <c r="H49" s="872"/>
      <c r="I49" s="872"/>
      <c r="J49" s="872"/>
      <c r="K49" s="872"/>
      <c r="L49" s="668" t="s">
        <v>574</v>
      </c>
      <c r="M49" s="663"/>
      <c r="N49" s="663"/>
      <c r="O49" s="663"/>
      <c r="P49" s="663"/>
      <c r="Q49" s="663"/>
      <c r="R49" s="663"/>
      <c r="S49" s="664"/>
    </row>
    <row r="50" spans="1:19" s="656" customFormat="1" ht="13.5" thickBot="1">
      <c r="A50" s="670"/>
      <c r="B50" s="671"/>
      <c r="C50" s="671"/>
      <c r="D50" s="671"/>
      <c r="E50" s="671"/>
      <c r="F50" s="671"/>
      <c r="G50" s="671"/>
      <c r="H50" s="671"/>
      <c r="I50" s="671"/>
      <c r="J50" s="671"/>
      <c r="K50" s="671"/>
      <c r="L50" s="671"/>
      <c r="M50" s="671"/>
      <c r="N50" s="671"/>
      <c r="O50" s="671"/>
      <c r="P50" s="671"/>
      <c r="Q50" s="671"/>
      <c r="R50" s="671"/>
      <c r="S50" s="672"/>
    </row>
    <row r="51" spans="1:19" s="656" customFormat="1"/>
    <row r="69" spans="6:7">
      <c r="F69" s="150"/>
    </row>
    <row r="70" spans="6:7">
      <c r="F70" s="149"/>
      <c r="G70" s="149"/>
    </row>
    <row r="71" spans="6:7">
      <c r="G71" s="149"/>
    </row>
    <row r="72" spans="6:7">
      <c r="G72" s="149"/>
    </row>
    <row r="73" spans="6:7">
      <c r="G73" s="149"/>
    </row>
  </sheetData>
  <sheetProtection formatColumns="0" formatRows="0"/>
  <mergeCells count="10">
    <mergeCell ref="D46:K46"/>
    <mergeCell ref="D47:K47"/>
    <mergeCell ref="D48:K48"/>
    <mergeCell ref="D49:K49"/>
    <mergeCell ref="E24:M24"/>
    <mergeCell ref="E25:P25"/>
    <mergeCell ref="D39:K39"/>
    <mergeCell ref="D40:K40"/>
    <mergeCell ref="D42:K42"/>
    <mergeCell ref="D43:E43"/>
  </mergeCells>
  <phoneticPr fontId="3" type="noConversion"/>
  <dataValidations count="1">
    <dataValidation type="list" allowBlank="1" showInputMessage="1" showErrorMessage="1" sqref="D43:E43">
      <formula1>"Public, Internal Use Only, Highly Confidential"</formula1>
    </dataValidation>
  </dataValidations>
  <hyperlinks>
    <hyperlink ref="D15" location="LU_Guide" display="Guide"/>
  </hyperlinks>
  <pageMargins left="0.39370078740157483" right="0.39370078740157483" top="0.59055118110236227" bottom="0.98425196850393704" header="0" footer="0.31496062992125984"/>
  <pageSetup paperSize="9" scale="69" orientation="landscape" copies="3"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25">
    <pageSetUpPr fitToPage="1"/>
  </sheetPr>
  <dimension ref="A1:L404"/>
  <sheetViews>
    <sheetView showGridLines="0" zoomScale="75" zoomScaleNormal="75" workbookViewId="0">
      <pane xSplit="2" ySplit="4" topLeftCell="C320" activePane="bottomRight" state="frozen"/>
      <selection activeCell="C373" sqref="C373:C378"/>
      <selection pane="topRight" activeCell="C373" sqref="C373:C378"/>
      <selection pane="bottomLeft" activeCell="C373" sqref="C373:C378"/>
      <selection pane="bottomRight" activeCell="L316" sqref="L316"/>
    </sheetView>
  </sheetViews>
  <sheetFormatPr defaultRowHeight="12.75"/>
  <cols>
    <col min="2" max="2" width="9.85546875" customWidth="1"/>
    <col min="3" max="3" width="54" bestFit="1" customWidth="1"/>
    <col min="4" max="10" width="17.28515625" customWidth="1"/>
    <col min="11" max="12" width="19.85546875" customWidth="1"/>
  </cols>
  <sheetData>
    <row r="1" spans="1:12" ht="19.5">
      <c r="A1" s="406" t="s">
        <v>390</v>
      </c>
      <c r="B1" s="443" t="s">
        <v>394</v>
      </c>
      <c r="C1" s="3"/>
      <c r="D1" s="3"/>
      <c r="E1" s="3"/>
      <c r="F1" s="3"/>
      <c r="G1" s="3"/>
      <c r="H1" s="3"/>
      <c r="I1" s="3"/>
      <c r="J1" s="388" t="str">
        <f>+'Ref-1'!$B$45</f>
        <v>($M) 2013/14 dollars</v>
      </c>
      <c r="K1" s="3"/>
      <c r="L1" s="3"/>
    </row>
    <row r="2" spans="1:12">
      <c r="A2" s="3"/>
      <c r="B2" s="3" t="s">
        <v>391</v>
      </c>
      <c r="C2" s="3"/>
      <c r="D2" s="755"/>
      <c r="E2" s="755"/>
      <c r="F2" s="755"/>
      <c r="G2" s="755"/>
      <c r="H2" s="755"/>
      <c r="I2" s="755"/>
      <c r="J2" s="755"/>
      <c r="K2" s="3"/>
      <c r="L2" s="3"/>
    </row>
    <row r="3" spans="1:12" ht="13.5" thickBot="1">
      <c r="A3" s="3"/>
      <c r="B3" s="3"/>
      <c r="C3" s="3"/>
      <c r="D3" s="754"/>
      <c r="E3" s="754"/>
      <c r="F3" s="754"/>
      <c r="G3" s="754"/>
      <c r="H3" s="754"/>
      <c r="I3" s="754"/>
      <c r="J3" s="754"/>
      <c r="K3" s="3"/>
      <c r="L3" s="3"/>
    </row>
    <row r="4" spans="1:12" ht="13.5" thickBot="1">
      <c r="A4" s="253" t="s">
        <v>276</v>
      </c>
      <c r="B4" s="253" t="s">
        <v>265</v>
      </c>
      <c r="C4" s="436"/>
      <c r="D4" s="246" t="str">
        <f>+'Ref-1'!O$39</f>
        <v>2013/14</v>
      </c>
      <c r="E4" s="246" t="str">
        <f>+'Ref-1'!P$39</f>
        <v>2014/15</v>
      </c>
      <c r="F4" s="246" t="str">
        <f>+'Ref-1'!Q$39</f>
        <v>2015/16</v>
      </c>
      <c r="G4" s="246" t="str">
        <f>+'Ref-1'!R$39</f>
        <v>2016/17</v>
      </c>
      <c r="H4" s="246" t="str">
        <f>+'Ref-1'!S$39</f>
        <v>2017/18</v>
      </c>
      <c r="I4" s="246" t="str">
        <f>+'Ref-1'!T$39</f>
        <v>2018/19</v>
      </c>
      <c r="J4" s="246" t="str">
        <f>+'Ref-1'!U$39</f>
        <v>2019/20</v>
      </c>
      <c r="K4" s="444" t="s">
        <v>392</v>
      </c>
      <c r="L4" s="444"/>
    </row>
    <row r="5" spans="1:12" ht="18.75" thickBot="1">
      <c r="A5" s="3"/>
      <c r="B5" s="449"/>
      <c r="C5" s="248" t="str">
        <f>+'I-3 Allocated'!A5</f>
        <v>Office of the CEO</v>
      </c>
      <c r="D5" s="302" t="str">
        <f t="array" ref="D5:J5">Array_ColOffset_Header2</f>
        <v>0</v>
      </c>
      <c r="E5" s="448" t="str">
        <v>1</v>
      </c>
      <c r="F5" s="448" t="str">
        <v>2</v>
      </c>
      <c r="G5" s="448" t="str">
        <v>3</v>
      </c>
      <c r="H5" s="448" t="str">
        <v>4</v>
      </c>
      <c r="I5" s="448" t="str">
        <v>5</v>
      </c>
      <c r="J5" s="448" t="str">
        <v>6</v>
      </c>
      <c r="K5" s="445" t="s">
        <v>393</v>
      </c>
      <c r="L5" s="445" t="s">
        <v>123</v>
      </c>
    </row>
    <row r="6" spans="1:12">
      <c r="A6" s="339">
        <v>1</v>
      </c>
      <c r="B6" s="252" t="str">
        <f ca="1">OFFSET(List_AllocOpexListStart,A6,0)</f>
        <v>A-1</v>
      </c>
      <c r="C6" s="340" t="str">
        <f ca="1">VLOOKUP(B6,List_AllocatedCosts,2,FALSE)</f>
        <v>CEO</v>
      </c>
      <c r="D6" s="329"/>
      <c r="E6" s="329"/>
      <c r="F6" s="329"/>
      <c r="G6" s="329"/>
      <c r="H6" s="329"/>
      <c r="I6" s="329"/>
      <c r="J6" s="329"/>
      <c r="K6" s="446"/>
      <c r="L6" s="447"/>
    </row>
    <row r="7" spans="1:12">
      <c r="A7" s="339"/>
      <c r="B7" s="252"/>
      <c r="C7" s="341" t="s">
        <v>68</v>
      </c>
      <c r="D7" s="771"/>
      <c r="E7" s="771">
        <v>1.0739999999999998</v>
      </c>
      <c r="F7" s="771">
        <v>1.0739999999999998</v>
      </c>
      <c r="G7" s="771">
        <v>1.0739999999999998</v>
      </c>
      <c r="H7" s="771">
        <v>1.0739999999999998</v>
      </c>
      <c r="I7" s="771">
        <v>1.0739999999999998</v>
      </c>
      <c r="J7" s="771">
        <v>1.0739999999999998</v>
      </c>
    </row>
    <row r="8" spans="1:12">
      <c r="A8" s="339"/>
      <c r="B8" s="252"/>
      <c r="C8" s="341" t="s">
        <v>69</v>
      </c>
      <c r="D8" s="771"/>
      <c r="E8" s="771">
        <v>0.11900000000000001</v>
      </c>
      <c r="F8" s="771">
        <v>0.11900000000000001</v>
      </c>
      <c r="G8" s="771">
        <v>0.11900000000000001</v>
      </c>
      <c r="H8" s="771">
        <v>0.11900000000000001</v>
      </c>
      <c r="I8" s="771">
        <v>0.11900000000000001</v>
      </c>
      <c r="J8" s="771">
        <v>0.11900000000000001</v>
      </c>
    </row>
    <row r="9" spans="1:12" s="759" customFormat="1">
      <c r="A9" s="339"/>
      <c r="B9" s="252"/>
      <c r="C9" s="341" t="s">
        <v>646</v>
      </c>
      <c r="D9" s="771"/>
      <c r="E9" s="771">
        <v>0</v>
      </c>
      <c r="F9" s="771">
        <v>0</v>
      </c>
      <c r="G9" s="771">
        <v>0</v>
      </c>
      <c r="H9" s="771">
        <v>0</v>
      </c>
      <c r="I9" s="771">
        <v>0</v>
      </c>
      <c r="J9" s="771">
        <v>0</v>
      </c>
    </row>
    <row r="10" spans="1:12">
      <c r="A10" s="339"/>
      <c r="B10" s="252"/>
      <c r="C10" s="341" t="s">
        <v>647</v>
      </c>
      <c r="D10" s="263"/>
      <c r="E10" s="263">
        <v>0.84699999999999998</v>
      </c>
      <c r="F10" s="263">
        <v>0.84699999999999998</v>
      </c>
      <c r="G10" s="263">
        <v>0.84699999999999998</v>
      </c>
      <c r="H10" s="263">
        <v>0.84699999999999998</v>
      </c>
      <c r="I10" s="263">
        <v>0.84699999999999998</v>
      </c>
      <c r="J10" s="263">
        <v>0.84699999999999998</v>
      </c>
    </row>
    <row r="11" spans="1:12" s="759" customFormat="1">
      <c r="A11" s="339"/>
      <c r="B11" s="252"/>
      <c r="C11" s="341" t="s">
        <v>575</v>
      </c>
      <c r="D11" s="263"/>
      <c r="E11" s="263">
        <v>0</v>
      </c>
      <c r="F11" s="263">
        <v>0</v>
      </c>
      <c r="G11" s="263">
        <v>0</v>
      </c>
      <c r="H11" s="263">
        <v>0</v>
      </c>
      <c r="I11" s="263">
        <v>0</v>
      </c>
      <c r="J11" s="263">
        <v>0</v>
      </c>
    </row>
    <row r="12" spans="1:12">
      <c r="A12" s="339"/>
      <c r="B12" s="252"/>
      <c r="C12" s="341" t="s">
        <v>70</v>
      </c>
      <c r="D12" s="263"/>
      <c r="E12" s="263">
        <v>0</v>
      </c>
      <c r="F12" s="263">
        <v>0</v>
      </c>
      <c r="G12" s="263">
        <v>0</v>
      </c>
      <c r="H12" s="263">
        <v>0</v>
      </c>
      <c r="I12" s="263">
        <v>0</v>
      </c>
      <c r="J12" s="263">
        <v>0</v>
      </c>
    </row>
    <row r="13" spans="1:12">
      <c r="A13" s="339"/>
      <c r="B13" s="252"/>
      <c r="C13" s="342" t="s">
        <v>75</v>
      </c>
      <c r="D13" s="357">
        <f t="shared" ref="D13:J13" si="0">SUBTOTAL(9,D7:D12)</f>
        <v>0</v>
      </c>
      <c r="E13" s="357">
        <f t="shared" si="0"/>
        <v>2.04</v>
      </c>
      <c r="F13" s="357">
        <f t="shared" si="0"/>
        <v>2.04</v>
      </c>
      <c r="G13" s="357">
        <f t="shared" si="0"/>
        <v>2.04</v>
      </c>
      <c r="H13" s="357">
        <f t="shared" si="0"/>
        <v>2.04</v>
      </c>
      <c r="I13" s="357">
        <f t="shared" si="0"/>
        <v>2.04</v>
      </c>
      <c r="J13" s="357">
        <f t="shared" si="0"/>
        <v>2.04</v>
      </c>
    </row>
    <row r="14" spans="1:12">
      <c r="A14" s="339"/>
      <c r="B14" s="252"/>
      <c r="C14" s="342"/>
      <c r="D14" s="329"/>
      <c r="E14" s="329"/>
      <c r="F14" s="329"/>
      <c r="G14" s="329"/>
      <c r="H14" s="329"/>
      <c r="I14" s="329"/>
      <c r="J14" s="329"/>
    </row>
    <row r="15" spans="1:12">
      <c r="A15" s="339">
        <f>+A6+1</f>
        <v>2</v>
      </c>
      <c r="B15" s="252" t="str">
        <f ca="1">OFFSET(List_AllocOpexListStart,A15,0)</f>
        <v>A-2</v>
      </c>
      <c r="C15" s="340" t="str">
        <f ca="1">VLOOKUP(B15,List_AllocatedCosts,2,FALSE)</f>
        <v xml:space="preserve">Strategic Planning  </v>
      </c>
      <c r="D15" s="329"/>
      <c r="E15" s="329"/>
      <c r="F15" s="329"/>
      <c r="G15" s="329"/>
      <c r="H15" s="329"/>
      <c r="I15" s="329"/>
      <c r="J15" s="329"/>
    </row>
    <row r="16" spans="1:12">
      <c r="A16" s="339"/>
      <c r="B16" s="252"/>
      <c r="C16" s="341" t="s">
        <v>68</v>
      </c>
      <c r="D16" s="771"/>
      <c r="E16" s="771">
        <v>0</v>
      </c>
      <c r="F16" s="771">
        <v>0</v>
      </c>
      <c r="G16" s="771">
        <v>0</v>
      </c>
      <c r="H16" s="771">
        <v>0</v>
      </c>
      <c r="I16" s="771">
        <v>0</v>
      </c>
      <c r="J16" s="771">
        <v>0</v>
      </c>
    </row>
    <row r="17" spans="1:10">
      <c r="A17" s="339"/>
      <c r="B17" s="252"/>
      <c r="C17" s="341" t="s">
        <v>69</v>
      </c>
      <c r="D17" s="771"/>
      <c r="E17" s="771">
        <v>0</v>
      </c>
      <c r="F17" s="771">
        <v>0</v>
      </c>
      <c r="G17" s="771">
        <v>0</v>
      </c>
      <c r="H17" s="771">
        <v>0</v>
      </c>
      <c r="I17" s="771">
        <v>0</v>
      </c>
      <c r="J17" s="771">
        <v>0</v>
      </c>
    </row>
    <row r="18" spans="1:10" s="759" customFormat="1">
      <c r="A18" s="339"/>
      <c r="B18" s="252"/>
      <c r="C18" s="341" t="s">
        <v>646</v>
      </c>
      <c r="D18" s="771"/>
      <c r="E18" s="771">
        <v>0</v>
      </c>
      <c r="F18" s="771">
        <v>0</v>
      </c>
      <c r="G18" s="771">
        <v>0</v>
      </c>
      <c r="H18" s="771">
        <v>0</v>
      </c>
      <c r="I18" s="771">
        <v>0</v>
      </c>
      <c r="J18" s="771">
        <v>0</v>
      </c>
    </row>
    <row r="19" spans="1:10">
      <c r="A19" s="339"/>
      <c r="B19" s="252"/>
      <c r="C19" s="341" t="s">
        <v>647</v>
      </c>
      <c r="D19" s="263"/>
      <c r="E19" s="263">
        <v>0</v>
      </c>
      <c r="F19" s="263">
        <v>0</v>
      </c>
      <c r="G19" s="263">
        <v>0</v>
      </c>
      <c r="H19" s="263">
        <v>0</v>
      </c>
      <c r="I19" s="263">
        <v>0</v>
      </c>
      <c r="J19" s="263">
        <v>0</v>
      </c>
    </row>
    <row r="20" spans="1:10" s="759" customFormat="1">
      <c r="A20" s="339"/>
      <c r="B20" s="252"/>
      <c r="C20" s="341" t="s">
        <v>575</v>
      </c>
      <c r="D20" s="263"/>
      <c r="E20" s="263">
        <v>0</v>
      </c>
      <c r="F20" s="263">
        <v>0</v>
      </c>
      <c r="G20" s="263">
        <v>0</v>
      </c>
      <c r="H20" s="263">
        <v>0</v>
      </c>
      <c r="I20" s="263">
        <v>0</v>
      </c>
      <c r="J20" s="263">
        <v>0</v>
      </c>
    </row>
    <row r="21" spans="1:10">
      <c r="A21" s="339"/>
      <c r="B21" s="252"/>
      <c r="C21" s="341" t="s">
        <v>70</v>
      </c>
      <c r="D21" s="263"/>
      <c r="E21" s="263">
        <v>0</v>
      </c>
      <c r="F21" s="263">
        <v>0</v>
      </c>
      <c r="G21" s="263">
        <v>0</v>
      </c>
      <c r="H21" s="263">
        <v>0</v>
      </c>
      <c r="I21" s="263">
        <v>0</v>
      </c>
      <c r="J21" s="263">
        <v>0</v>
      </c>
    </row>
    <row r="22" spans="1:10">
      <c r="A22" s="339"/>
      <c r="B22" s="252"/>
      <c r="C22" s="342" t="s">
        <v>75</v>
      </c>
      <c r="D22" s="357">
        <f t="shared" ref="D22:J22" si="1">SUBTOTAL(9,D16:D21)</f>
        <v>0</v>
      </c>
      <c r="E22" s="357">
        <f t="shared" si="1"/>
        <v>0</v>
      </c>
      <c r="F22" s="357">
        <f t="shared" si="1"/>
        <v>0</v>
      </c>
      <c r="G22" s="357">
        <f t="shared" si="1"/>
        <v>0</v>
      </c>
      <c r="H22" s="357">
        <f t="shared" si="1"/>
        <v>0</v>
      </c>
      <c r="I22" s="357">
        <f t="shared" si="1"/>
        <v>0</v>
      </c>
      <c r="J22" s="357">
        <f t="shared" si="1"/>
        <v>0</v>
      </c>
    </row>
    <row r="23" spans="1:10">
      <c r="A23" s="339"/>
      <c r="B23" s="252"/>
      <c r="C23" s="342"/>
      <c r="D23" s="329"/>
      <c r="E23" s="329"/>
      <c r="F23" s="329"/>
      <c r="G23" s="329"/>
      <c r="H23" s="329"/>
      <c r="I23" s="329"/>
      <c r="J23" s="329"/>
    </row>
    <row r="24" spans="1:10">
      <c r="A24" s="339">
        <f>+A15+1</f>
        <v>3</v>
      </c>
      <c r="B24" s="252" t="str">
        <f ca="1">OFFSET(List_AllocOpexListStart,A24,0)</f>
        <v>A-3</v>
      </c>
      <c r="C24" s="340" t="str">
        <f ca="1">VLOOKUP(B24,List_AllocatedCosts,2,FALSE)</f>
        <v>Communications</v>
      </c>
      <c r="D24" s="329"/>
      <c r="E24" s="329"/>
      <c r="F24" s="329"/>
      <c r="G24" s="329"/>
      <c r="H24" s="329"/>
      <c r="I24" s="329"/>
      <c r="J24" s="329"/>
    </row>
    <row r="25" spans="1:10">
      <c r="A25" s="339"/>
      <c r="B25" s="252"/>
      <c r="C25" s="341" t="s">
        <v>68</v>
      </c>
      <c r="D25" s="771"/>
      <c r="E25" s="771">
        <v>0.75700000000000001</v>
      </c>
      <c r="F25" s="771">
        <v>0.75700000000000001</v>
      </c>
      <c r="G25" s="771">
        <v>0.75700000000000001</v>
      </c>
      <c r="H25" s="771">
        <v>0.75700000000000001</v>
      </c>
      <c r="I25" s="771">
        <v>0.75700000000000001</v>
      </c>
      <c r="J25" s="771">
        <v>0.75700000000000001</v>
      </c>
    </row>
    <row r="26" spans="1:10">
      <c r="A26" s="339"/>
      <c r="B26" s="252"/>
      <c r="C26" s="341" t="s">
        <v>69</v>
      </c>
      <c r="D26" s="771"/>
      <c r="E26" s="771">
        <v>0.47299999999999998</v>
      </c>
      <c r="F26" s="771">
        <v>0.47299999999999998</v>
      </c>
      <c r="G26" s="771">
        <v>0.47299999999999998</v>
      </c>
      <c r="H26" s="771">
        <v>0.47299999999999998</v>
      </c>
      <c r="I26" s="771">
        <v>0.47299999999999998</v>
      </c>
      <c r="J26" s="771">
        <v>0.47299999999999998</v>
      </c>
    </row>
    <row r="27" spans="1:10" s="759" customFormat="1">
      <c r="A27" s="339"/>
      <c r="B27" s="252"/>
      <c r="C27" s="341" t="s">
        <v>646</v>
      </c>
      <c r="D27" s="771"/>
      <c r="E27" s="771">
        <v>2.8000000000000001E-2</v>
      </c>
      <c r="F27" s="771">
        <v>2.8000000000000001E-2</v>
      </c>
      <c r="G27" s="771">
        <v>2.8000000000000001E-2</v>
      </c>
      <c r="H27" s="771">
        <v>2.8000000000000001E-2</v>
      </c>
      <c r="I27" s="771">
        <v>2.8000000000000001E-2</v>
      </c>
      <c r="J27" s="771">
        <v>2.8000000000000001E-2</v>
      </c>
    </row>
    <row r="28" spans="1:10">
      <c r="A28" s="339"/>
      <c r="B28" s="252"/>
      <c r="C28" s="341" t="s">
        <v>647</v>
      </c>
      <c r="D28" s="263"/>
      <c r="E28" s="263">
        <v>0.88400000000000001</v>
      </c>
      <c r="F28" s="263">
        <v>0.88400000000000001</v>
      </c>
      <c r="G28" s="263">
        <v>0.88400000000000001</v>
      </c>
      <c r="H28" s="263">
        <v>0.88400000000000001</v>
      </c>
      <c r="I28" s="263">
        <v>0.88400000000000001</v>
      </c>
      <c r="J28" s="263">
        <v>0.88400000000000001</v>
      </c>
    </row>
    <row r="29" spans="1:10" s="759" customFormat="1">
      <c r="A29" s="339"/>
      <c r="B29" s="252"/>
      <c r="C29" s="341" t="s">
        <v>575</v>
      </c>
      <c r="D29" s="263"/>
      <c r="E29" s="263">
        <v>1E-3</v>
      </c>
      <c r="F29" s="263">
        <v>1E-3</v>
      </c>
      <c r="G29" s="263">
        <v>1E-3</v>
      </c>
      <c r="H29" s="263">
        <v>1E-3</v>
      </c>
      <c r="I29" s="263">
        <v>1E-3</v>
      </c>
      <c r="J29" s="263">
        <v>1E-3</v>
      </c>
    </row>
    <row r="30" spans="1:10">
      <c r="A30" s="339"/>
      <c r="B30" s="252"/>
      <c r="C30" s="341" t="s">
        <v>70</v>
      </c>
      <c r="D30" s="263"/>
      <c r="E30" s="263">
        <v>0</v>
      </c>
      <c r="F30" s="263">
        <v>0</v>
      </c>
      <c r="G30" s="263">
        <v>0</v>
      </c>
      <c r="H30" s="263">
        <v>0</v>
      </c>
      <c r="I30" s="263">
        <v>0</v>
      </c>
      <c r="J30" s="263">
        <v>0</v>
      </c>
    </row>
    <row r="31" spans="1:10">
      <c r="A31" s="339"/>
      <c r="B31" s="252"/>
      <c r="C31" s="342" t="s">
        <v>75</v>
      </c>
      <c r="D31" s="357">
        <f t="shared" ref="D31:J31" si="2">SUBTOTAL(9,D25:D30)</f>
        <v>0</v>
      </c>
      <c r="E31" s="357">
        <f t="shared" si="2"/>
        <v>2.1429999999999998</v>
      </c>
      <c r="F31" s="357">
        <f t="shared" si="2"/>
        <v>2.1429999999999998</v>
      </c>
      <c r="G31" s="357">
        <f t="shared" si="2"/>
        <v>2.1429999999999998</v>
      </c>
      <c r="H31" s="357">
        <f t="shared" si="2"/>
        <v>2.1429999999999998</v>
      </c>
      <c r="I31" s="357">
        <f t="shared" si="2"/>
        <v>2.1429999999999998</v>
      </c>
      <c r="J31" s="357">
        <f t="shared" si="2"/>
        <v>2.1429999999999998</v>
      </c>
    </row>
    <row r="32" spans="1:10">
      <c r="A32" s="339"/>
      <c r="B32" s="252"/>
      <c r="C32" s="342"/>
      <c r="D32" s="329"/>
      <c r="E32" s="329"/>
      <c r="F32" s="329"/>
      <c r="G32" s="329"/>
      <c r="H32" s="329"/>
      <c r="I32" s="329"/>
      <c r="J32" s="329"/>
    </row>
    <row r="33" spans="1:10">
      <c r="A33" s="339">
        <f>+A24+1</f>
        <v>4</v>
      </c>
      <c r="B33" s="252" t="str">
        <f ca="1">OFFSET(List_AllocOpexListStart,A33,0)</f>
        <v>A-4</v>
      </c>
      <c r="C33" s="340" t="str">
        <f ca="1">VLOOKUP(B33,List_AllocatedCosts,2,FALSE)</f>
        <v>Audit Services</v>
      </c>
      <c r="D33" s="329"/>
      <c r="E33" s="329"/>
      <c r="F33" s="329"/>
      <c r="G33" s="329"/>
      <c r="H33" s="329"/>
      <c r="I33" s="329"/>
      <c r="J33" s="329"/>
    </row>
    <row r="34" spans="1:10">
      <c r="A34" s="339"/>
      <c r="B34" s="252"/>
      <c r="C34" s="341" t="s">
        <v>68</v>
      </c>
      <c r="D34" s="771"/>
      <c r="E34" s="771">
        <v>0.48</v>
      </c>
      <c r="F34" s="771">
        <v>0.48</v>
      </c>
      <c r="G34" s="771">
        <v>0.48</v>
      </c>
      <c r="H34" s="771">
        <v>0.48</v>
      </c>
      <c r="I34" s="771">
        <v>0.48</v>
      </c>
      <c r="J34" s="771">
        <v>0.48</v>
      </c>
    </row>
    <row r="35" spans="1:10">
      <c r="A35" s="339"/>
      <c r="B35" s="252"/>
      <c r="C35" s="341" t="s">
        <v>69</v>
      </c>
      <c r="D35" s="771"/>
      <c r="E35" s="771">
        <v>5.0000000000000001E-3</v>
      </c>
      <c r="F35" s="771">
        <v>5.0000000000000001E-3</v>
      </c>
      <c r="G35" s="771">
        <v>5.0000000000000001E-3</v>
      </c>
      <c r="H35" s="771">
        <v>5.0000000000000001E-3</v>
      </c>
      <c r="I35" s="771">
        <v>5.0000000000000001E-3</v>
      </c>
      <c r="J35" s="771">
        <v>5.0000000000000001E-3</v>
      </c>
    </row>
    <row r="36" spans="1:10" s="759" customFormat="1">
      <c r="A36" s="339"/>
      <c r="B36" s="252"/>
      <c r="C36" s="341" t="s">
        <v>646</v>
      </c>
      <c r="D36" s="771"/>
      <c r="E36" s="771">
        <v>0</v>
      </c>
      <c r="F36" s="771">
        <v>0</v>
      </c>
      <c r="G36" s="771">
        <v>0</v>
      </c>
      <c r="H36" s="771">
        <v>0</v>
      </c>
      <c r="I36" s="771">
        <v>0</v>
      </c>
      <c r="J36" s="771">
        <v>0</v>
      </c>
    </row>
    <row r="37" spans="1:10">
      <c r="A37" s="339"/>
      <c r="B37" s="252"/>
      <c r="C37" s="341" t="s">
        <v>647</v>
      </c>
      <c r="D37" s="263"/>
      <c r="E37" s="263">
        <v>0.3</v>
      </c>
      <c r="F37" s="263">
        <v>0.3</v>
      </c>
      <c r="G37" s="263">
        <v>0.3</v>
      </c>
      <c r="H37" s="263">
        <v>0.3</v>
      </c>
      <c r="I37" s="263">
        <v>0.3</v>
      </c>
      <c r="J37" s="263">
        <v>0.3</v>
      </c>
    </row>
    <row r="38" spans="1:10" s="759" customFormat="1">
      <c r="A38" s="339"/>
      <c r="B38" s="252"/>
      <c r="C38" s="341" t="s">
        <v>575</v>
      </c>
      <c r="D38" s="263"/>
      <c r="E38" s="263">
        <v>0</v>
      </c>
      <c r="F38" s="263">
        <v>0</v>
      </c>
      <c r="G38" s="263">
        <v>0</v>
      </c>
      <c r="H38" s="263">
        <v>0</v>
      </c>
      <c r="I38" s="263">
        <v>0</v>
      </c>
      <c r="J38" s="263">
        <v>0</v>
      </c>
    </row>
    <row r="39" spans="1:10">
      <c r="A39" s="339"/>
      <c r="B39" s="252"/>
      <c r="C39" s="341" t="s">
        <v>70</v>
      </c>
      <c r="D39" s="263"/>
      <c r="E39" s="263">
        <v>0</v>
      </c>
      <c r="F39" s="263">
        <v>0</v>
      </c>
      <c r="G39" s="263">
        <v>0</v>
      </c>
      <c r="H39" s="263">
        <v>0</v>
      </c>
      <c r="I39" s="263">
        <v>0</v>
      </c>
      <c r="J39" s="263">
        <v>0</v>
      </c>
    </row>
    <row r="40" spans="1:10" ht="13.5" thickBot="1">
      <c r="A40" s="339"/>
      <c r="B40" s="252"/>
      <c r="C40" s="342" t="s">
        <v>75</v>
      </c>
      <c r="D40" s="357">
        <f t="shared" ref="D40:J40" si="3">SUBTOTAL(9,D34:D39)</f>
        <v>0</v>
      </c>
      <c r="E40" s="357">
        <f t="shared" si="3"/>
        <v>0.78499999999999992</v>
      </c>
      <c r="F40" s="357">
        <f t="shared" si="3"/>
        <v>0.78499999999999992</v>
      </c>
      <c r="G40" s="357">
        <f t="shared" si="3"/>
        <v>0.78499999999999992</v>
      </c>
      <c r="H40" s="357">
        <f t="shared" si="3"/>
        <v>0.78499999999999992</v>
      </c>
      <c r="I40" s="357">
        <f t="shared" si="3"/>
        <v>0.78499999999999992</v>
      </c>
      <c r="J40" s="357">
        <f t="shared" si="3"/>
        <v>0.78499999999999992</v>
      </c>
    </row>
    <row r="41" spans="1:10" ht="18">
      <c r="A41" s="3"/>
      <c r="B41" s="251"/>
      <c r="C41" s="254" t="str">
        <f>+'I-3 Allocated'!A9</f>
        <v>Regulation and Company Secretary</v>
      </c>
      <c r="D41" s="329"/>
      <c r="E41" s="329"/>
      <c r="F41" s="329"/>
      <c r="G41" s="329"/>
      <c r="H41" s="329"/>
      <c r="I41" s="329"/>
      <c r="J41" s="329"/>
    </row>
    <row r="42" spans="1:10">
      <c r="A42" s="339">
        <f>+A33+1</f>
        <v>5</v>
      </c>
      <c r="B42" s="252" t="str">
        <f ca="1">OFFSET(List_AllocOpexListStart,A42,0)</f>
        <v>A-5</v>
      </c>
      <c r="C42" s="340" t="str">
        <f ca="1">VLOOKUP(B42,List_AllocatedCosts,2,FALSE)</f>
        <v>General Manager Regulation &amp; Company Secretary</v>
      </c>
      <c r="D42" s="329"/>
      <c r="E42" s="329"/>
      <c r="F42" s="329"/>
      <c r="G42" s="329"/>
      <c r="H42" s="329"/>
      <c r="I42" s="329"/>
      <c r="J42" s="329"/>
    </row>
    <row r="43" spans="1:10">
      <c r="A43" s="339"/>
      <c r="B43" s="252"/>
      <c r="C43" s="341" t="s">
        <v>68</v>
      </c>
      <c r="D43" s="771"/>
      <c r="E43" s="771">
        <v>1.524</v>
      </c>
      <c r="F43" s="771">
        <v>1.524</v>
      </c>
      <c r="G43" s="771">
        <v>1.524</v>
      </c>
      <c r="H43" s="771">
        <v>1.524</v>
      </c>
      <c r="I43" s="771">
        <v>1.524</v>
      </c>
      <c r="J43" s="771">
        <v>1.524</v>
      </c>
    </row>
    <row r="44" spans="1:10">
      <c r="A44" s="339"/>
      <c r="B44" s="252"/>
      <c r="C44" s="341" t="s">
        <v>69</v>
      </c>
      <c r="D44" s="771"/>
      <c r="E44" s="771">
        <v>3.4000000000000002E-2</v>
      </c>
      <c r="F44" s="771">
        <v>3.4000000000000002E-2</v>
      </c>
      <c r="G44" s="771">
        <v>3.4000000000000002E-2</v>
      </c>
      <c r="H44" s="771">
        <v>3.4000000000000002E-2</v>
      </c>
      <c r="I44" s="771">
        <v>3.4000000000000002E-2</v>
      </c>
      <c r="J44" s="771">
        <v>3.4000000000000002E-2</v>
      </c>
    </row>
    <row r="45" spans="1:10" s="759" customFormat="1">
      <c r="A45" s="339"/>
      <c r="B45" s="252"/>
      <c r="C45" s="341" t="s">
        <v>646</v>
      </c>
      <c r="D45" s="771"/>
      <c r="E45" s="771">
        <v>3.6999999999999998E-2</v>
      </c>
      <c r="F45" s="771">
        <v>3.6999999999999998E-2</v>
      </c>
      <c r="G45" s="771">
        <v>3.6999999999999998E-2</v>
      </c>
      <c r="H45" s="771">
        <v>3.6999999999999998E-2</v>
      </c>
      <c r="I45" s="771">
        <v>3.6999999999999998E-2</v>
      </c>
      <c r="J45" s="771">
        <v>3.6999999999999998E-2</v>
      </c>
    </row>
    <row r="46" spans="1:10">
      <c r="A46" s="339"/>
      <c r="B46" s="252"/>
      <c r="C46" s="341" t="s">
        <v>647</v>
      </c>
      <c r="D46" s="263"/>
      <c r="E46" s="263">
        <v>0.13100000000000001</v>
      </c>
      <c r="F46" s="263">
        <v>0.13100000000000001</v>
      </c>
      <c r="G46" s="263">
        <v>0.13100000000000001</v>
      </c>
      <c r="H46" s="263">
        <v>0.13100000000000001</v>
      </c>
      <c r="I46" s="263">
        <v>0.13100000000000001</v>
      </c>
      <c r="J46" s="263">
        <v>0.13100000000000001</v>
      </c>
    </row>
    <row r="47" spans="1:10" s="759" customFormat="1">
      <c r="A47" s="339"/>
      <c r="B47" s="252"/>
      <c r="C47" s="341" t="s">
        <v>575</v>
      </c>
      <c r="D47" s="263"/>
      <c r="E47" s="263">
        <v>0</v>
      </c>
      <c r="F47" s="263">
        <v>0</v>
      </c>
      <c r="G47" s="263">
        <v>0</v>
      </c>
      <c r="H47" s="263">
        <v>0</v>
      </c>
      <c r="I47" s="263">
        <v>0</v>
      </c>
      <c r="J47" s="263">
        <v>0</v>
      </c>
    </row>
    <row r="48" spans="1:10">
      <c r="A48" s="339"/>
      <c r="B48" s="252"/>
      <c r="C48" s="341" t="s">
        <v>70</v>
      </c>
      <c r="D48" s="263"/>
      <c r="E48" s="263">
        <v>0</v>
      </c>
      <c r="F48" s="263">
        <v>0</v>
      </c>
      <c r="G48" s="263">
        <v>0</v>
      </c>
      <c r="H48" s="263">
        <v>0</v>
      </c>
      <c r="I48" s="263">
        <v>0</v>
      </c>
      <c r="J48" s="263">
        <v>0</v>
      </c>
    </row>
    <row r="49" spans="1:10">
      <c r="A49" s="339"/>
      <c r="B49" s="252"/>
      <c r="C49" s="342" t="s">
        <v>75</v>
      </c>
      <c r="D49" s="357">
        <f t="shared" ref="D49:J49" si="4">SUBTOTAL(9,D43:D48)</f>
        <v>0</v>
      </c>
      <c r="E49" s="357">
        <f t="shared" si="4"/>
        <v>1.726</v>
      </c>
      <c r="F49" s="357">
        <f t="shared" si="4"/>
        <v>1.726</v>
      </c>
      <c r="G49" s="357">
        <f t="shared" si="4"/>
        <v>1.726</v>
      </c>
      <c r="H49" s="357">
        <f t="shared" si="4"/>
        <v>1.726</v>
      </c>
      <c r="I49" s="357">
        <f t="shared" si="4"/>
        <v>1.726</v>
      </c>
      <c r="J49" s="357">
        <f t="shared" si="4"/>
        <v>1.726</v>
      </c>
    </row>
    <row r="50" spans="1:10" ht="14.25" customHeight="1">
      <c r="A50" s="339"/>
      <c r="B50" s="252"/>
      <c r="C50" s="340"/>
      <c r="D50" s="329"/>
      <c r="E50" s="329"/>
      <c r="F50" s="329"/>
      <c r="G50" s="329"/>
      <c r="H50" s="329"/>
      <c r="I50" s="329"/>
      <c r="J50" s="329"/>
    </row>
    <row r="51" spans="1:10">
      <c r="A51" s="339">
        <f>+A42+1</f>
        <v>6</v>
      </c>
      <c r="B51" s="252" t="str">
        <f ca="1">OFFSET(List_AllocOpexListStart,A51,0)</f>
        <v>A-6</v>
      </c>
      <c r="C51" s="340" t="str">
        <f ca="1">VLOOKUP(B51,List_AllocatedCosts,2,FALSE)</f>
        <v>Regulation</v>
      </c>
      <c r="D51" s="329"/>
      <c r="E51" s="329"/>
      <c r="F51" s="329"/>
      <c r="G51" s="329"/>
      <c r="H51" s="329"/>
      <c r="I51" s="329"/>
      <c r="J51" s="329"/>
    </row>
    <row r="52" spans="1:10">
      <c r="A52" s="339"/>
      <c r="B52" s="252"/>
      <c r="C52" s="341" t="s">
        <v>68</v>
      </c>
      <c r="D52" s="771"/>
      <c r="E52" s="771">
        <v>4.8730000000000002</v>
      </c>
      <c r="F52" s="771">
        <v>4.8730000000000002</v>
      </c>
      <c r="G52" s="771">
        <v>4.8730000000000002</v>
      </c>
      <c r="H52" s="771">
        <v>4.8730000000000002</v>
      </c>
      <c r="I52" s="771">
        <v>4.8730000000000002</v>
      </c>
      <c r="J52" s="771">
        <v>4.8730000000000002</v>
      </c>
    </row>
    <row r="53" spans="1:10">
      <c r="A53" s="339"/>
      <c r="B53" s="252"/>
      <c r="C53" s="341" t="s">
        <v>69</v>
      </c>
      <c r="D53" s="771"/>
      <c r="E53" s="771">
        <v>0.16300000000000001</v>
      </c>
      <c r="F53" s="771">
        <v>0.16300000000000001</v>
      </c>
      <c r="G53" s="771">
        <v>0.16300000000000001</v>
      </c>
      <c r="H53" s="771">
        <v>0.16300000000000001</v>
      </c>
      <c r="I53" s="771">
        <v>0.16300000000000001</v>
      </c>
      <c r="J53" s="771">
        <v>0.16300000000000001</v>
      </c>
    </row>
    <row r="54" spans="1:10" s="759" customFormat="1">
      <c r="A54" s="339"/>
      <c r="B54" s="252"/>
      <c r="C54" s="341" t="s">
        <v>646</v>
      </c>
      <c r="D54" s="771"/>
      <c r="E54" s="771">
        <v>0.153</v>
      </c>
      <c r="F54" s="771">
        <v>0.153</v>
      </c>
      <c r="G54" s="771">
        <v>0.153</v>
      </c>
      <c r="H54" s="771">
        <v>0.153</v>
      </c>
      <c r="I54" s="771">
        <v>0.153</v>
      </c>
      <c r="J54" s="771">
        <v>0.153</v>
      </c>
    </row>
    <row r="55" spans="1:10">
      <c r="A55" s="339"/>
      <c r="B55" s="252"/>
      <c r="C55" s="341" t="s">
        <v>647</v>
      </c>
      <c r="D55" s="263"/>
      <c r="E55" s="263">
        <v>0.84699999999999998</v>
      </c>
      <c r="F55" s="263">
        <v>0.84699999999999998</v>
      </c>
      <c r="G55" s="263">
        <v>0.84699999999999998</v>
      </c>
      <c r="H55" s="263">
        <v>0.84699999999999998</v>
      </c>
      <c r="I55" s="263">
        <v>0.84699999999999998</v>
      </c>
      <c r="J55" s="263">
        <v>0.84699999999999998</v>
      </c>
    </row>
    <row r="56" spans="1:10" s="759" customFormat="1">
      <c r="A56" s="339"/>
      <c r="B56" s="252"/>
      <c r="C56" s="341" t="s">
        <v>575</v>
      </c>
      <c r="D56" s="263"/>
      <c r="E56" s="263">
        <v>0</v>
      </c>
      <c r="F56" s="263">
        <v>0</v>
      </c>
      <c r="G56" s="263">
        <v>0</v>
      </c>
      <c r="H56" s="263">
        <v>0</v>
      </c>
      <c r="I56" s="263">
        <v>0</v>
      </c>
      <c r="J56" s="263">
        <v>0</v>
      </c>
    </row>
    <row r="57" spans="1:10">
      <c r="A57" s="339"/>
      <c r="B57" s="252"/>
      <c r="C57" s="341" t="s">
        <v>70</v>
      </c>
      <c r="D57" s="263"/>
      <c r="E57" s="263">
        <v>0</v>
      </c>
      <c r="F57" s="263">
        <v>0</v>
      </c>
      <c r="G57" s="263">
        <v>0</v>
      </c>
      <c r="H57" s="263">
        <v>0</v>
      </c>
      <c r="I57" s="263">
        <v>0</v>
      </c>
      <c r="J57" s="263">
        <v>0</v>
      </c>
    </row>
    <row r="58" spans="1:10" ht="13.5" thickBot="1">
      <c r="A58" s="339"/>
      <c r="B58" s="252"/>
      <c r="C58" s="342" t="s">
        <v>75</v>
      </c>
      <c r="D58" s="357">
        <f t="shared" ref="D58:J58" si="5">SUBTOTAL(9,D52:D57)</f>
        <v>0</v>
      </c>
      <c r="E58" s="357">
        <f t="shared" si="5"/>
        <v>6.0359999999999996</v>
      </c>
      <c r="F58" s="357">
        <f t="shared" si="5"/>
        <v>6.0359999999999996</v>
      </c>
      <c r="G58" s="357">
        <f t="shared" si="5"/>
        <v>6.0359999999999996</v>
      </c>
      <c r="H58" s="357">
        <f t="shared" si="5"/>
        <v>6.0359999999999996</v>
      </c>
      <c r="I58" s="357">
        <f t="shared" si="5"/>
        <v>6.0359999999999996</v>
      </c>
      <c r="J58" s="357">
        <f t="shared" si="5"/>
        <v>6.0359999999999996</v>
      </c>
    </row>
    <row r="59" spans="1:10" ht="18">
      <c r="A59" s="3"/>
      <c r="B59" s="251"/>
      <c r="C59" s="255" t="str">
        <f>+'I-3 Allocated'!A11</f>
        <v>Finance</v>
      </c>
      <c r="D59" s="329"/>
      <c r="E59" s="329"/>
      <c r="F59" s="329"/>
      <c r="G59" s="329"/>
      <c r="H59" s="329"/>
      <c r="I59" s="329"/>
      <c r="J59" s="329"/>
    </row>
    <row r="60" spans="1:10">
      <c r="A60" s="339">
        <f>+A51+1</f>
        <v>7</v>
      </c>
      <c r="B60" s="252" t="str">
        <f ca="1">OFFSET(List_AllocOpexListStart,A60,0)</f>
        <v>A-7</v>
      </c>
      <c r="C60" s="340" t="str">
        <f ca="1">VLOOKUP(B60,List_AllocatedCosts,2,FALSE)</f>
        <v>CFO</v>
      </c>
      <c r="D60" s="329"/>
      <c r="E60" s="329"/>
      <c r="F60" s="329"/>
      <c r="G60" s="329"/>
      <c r="H60" s="329"/>
      <c r="I60" s="329"/>
      <c r="J60" s="329"/>
    </row>
    <row r="61" spans="1:10">
      <c r="A61" s="339"/>
      <c r="B61" s="252"/>
      <c r="C61" s="341" t="s">
        <v>68</v>
      </c>
      <c r="D61" s="771"/>
      <c r="E61" s="771">
        <v>0.57100000000000006</v>
      </c>
      <c r="F61" s="771">
        <v>0.57100000000000006</v>
      </c>
      <c r="G61" s="771">
        <v>0.57100000000000006</v>
      </c>
      <c r="H61" s="771">
        <v>0.57100000000000006</v>
      </c>
      <c r="I61" s="771">
        <v>0.57100000000000006</v>
      </c>
      <c r="J61" s="771">
        <v>0.57100000000000006</v>
      </c>
    </row>
    <row r="62" spans="1:10">
      <c r="A62" s="339"/>
      <c r="B62" s="252"/>
      <c r="C62" s="341" t="s">
        <v>69</v>
      </c>
      <c r="D62" s="771"/>
      <c r="E62" s="771">
        <v>8.0000000000000002E-3</v>
      </c>
      <c r="F62" s="771">
        <v>8.0000000000000002E-3</v>
      </c>
      <c r="G62" s="771">
        <v>8.0000000000000002E-3</v>
      </c>
      <c r="H62" s="771">
        <v>8.0000000000000002E-3</v>
      </c>
      <c r="I62" s="771">
        <v>8.0000000000000002E-3</v>
      </c>
      <c r="J62" s="771">
        <v>8.0000000000000002E-3</v>
      </c>
    </row>
    <row r="63" spans="1:10" s="759" customFormat="1">
      <c r="A63" s="339"/>
      <c r="B63" s="252"/>
      <c r="C63" s="341" t="s">
        <v>646</v>
      </c>
      <c r="D63" s="771"/>
      <c r="E63" s="771">
        <v>0</v>
      </c>
      <c r="F63" s="771">
        <v>0</v>
      </c>
      <c r="G63" s="771">
        <v>0</v>
      </c>
      <c r="H63" s="771">
        <v>0</v>
      </c>
      <c r="I63" s="771">
        <v>0</v>
      </c>
      <c r="J63" s="771">
        <v>0</v>
      </c>
    </row>
    <row r="64" spans="1:10">
      <c r="A64" s="339"/>
      <c r="B64" s="252"/>
      <c r="C64" s="341" t="s">
        <v>647</v>
      </c>
      <c r="D64" s="263"/>
      <c r="E64" s="263">
        <v>8.3000000000000004E-2</v>
      </c>
      <c r="F64" s="263">
        <v>8.3000000000000004E-2</v>
      </c>
      <c r="G64" s="263">
        <v>8.3000000000000004E-2</v>
      </c>
      <c r="H64" s="263">
        <v>8.3000000000000004E-2</v>
      </c>
      <c r="I64" s="263">
        <v>8.3000000000000004E-2</v>
      </c>
      <c r="J64" s="263">
        <v>8.3000000000000004E-2</v>
      </c>
    </row>
    <row r="65" spans="1:10" s="759" customFormat="1">
      <c r="A65" s="339"/>
      <c r="B65" s="252"/>
      <c r="C65" s="341" t="s">
        <v>575</v>
      </c>
      <c r="D65" s="263"/>
      <c r="E65" s="263">
        <v>0</v>
      </c>
      <c r="F65" s="263">
        <v>0</v>
      </c>
      <c r="G65" s="263">
        <v>0</v>
      </c>
      <c r="H65" s="263">
        <v>0</v>
      </c>
      <c r="I65" s="263">
        <v>0</v>
      </c>
      <c r="J65" s="263">
        <v>0</v>
      </c>
    </row>
    <row r="66" spans="1:10">
      <c r="A66" s="339"/>
      <c r="B66" s="252"/>
      <c r="C66" s="341" t="s">
        <v>70</v>
      </c>
      <c r="D66" s="263"/>
      <c r="E66" s="263">
        <v>0</v>
      </c>
      <c r="F66" s="263">
        <v>0</v>
      </c>
      <c r="G66" s="263">
        <v>0</v>
      </c>
      <c r="H66" s="263">
        <v>0</v>
      </c>
      <c r="I66" s="263">
        <v>0</v>
      </c>
      <c r="J66" s="263">
        <v>0</v>
      </c>
    </row>
    <row r="67" spans="1:10">
      <c r="A67" s="339"/>
      <c r="B67" s="252"/>
      <c r="C67" s="342" t="s">
        <v>75</v>
      </c>
      <c r="D67" s="357">
        <f t="shared" ref="D67:J67" si="6">SUBTOTAL(9,D61:D66)</f>
        <v>0</v>
      </c>
      <c r="E67" s="357">
        <f t="shared" si="6"/>
        <v>0.66200000000000003</v>
      </c>
      <c r="F67" s="357">
        <f t="shared" si="6"/>
        <v>0.66200000000000003</v>
      </c>
      <c r="G67" s="357">
        <f t="shared" si="6"/>
        <v>0.66200000000000003</v>
      </c>
      <c r="H67" s="357">
        <f t="shared" si="6"/>
        <v>0.66200000000000003</v>
      </c>
      <c r="I67" s="357">
        <f t="shared" si="6"/>
        <v>0.66200000000000003</v>
      </c>
      <c r="J67" s="357">
        <f t="shared" si="6"/>
        <v>0.66200000000000003</v>
      </c>
    </row>
    <row r="68" spans="1:10">
      <c r="A68" s="339"/>
      <c r="B68" s="252"/>
      <c r="C68" s="342"/>
      <c r="D68" s="329"/>
      <c r="E68" s="329"/>
      <c r="F68" s="329"/>
      <c r="G68" s="329"/>
      <c r="H68" s="329"/>
      <c r="I68" s="329"/>
      <c r="J68" s="329"/>
    </row>
    <row r="69" spans="1:10">
      <c r="A69" s="339">
        <f>+A60+1</f>
        <v>8</v>
      </c>
      <c r="B69" s="252" t="str">
        <f ca="1">OFFSET(List_AllocOpexListStart,A69,0)</f>
        <v>A-8</v>
      </c>
      <c r="C69" s="340" t="str">
        <f ca="1">VLOOKUP(B69,List_AllocatedCosts,2,FALSE)</f>
        <v>Accounts Receivable – Asset Damage</v>
      </c>
      <c r="D69" s="329"/>
      <c r="E69" s="329"/>
      <c r="F69" s="329"/>
      <c r="G69" s="329"/>
      <c r="H69" s="329"/>
      <c r="I69" s="329"/>
      <c r="J69" s="329"/>
    </row>
    <row r="70" spans="1:10">
      <c r="A70" s="339"/>
      <c r="B70" s="252"/>
      <c r="C70" s="341" t="s">
        <v>68</v>
      </c>
      <c r="D70" s="771"/>
      <c r="E70" s="771">
        <v>0</v>
      </c>
      <c r="F70" s="771">
        <v>0</v>
      </c>
      <c r="G70" s="771">
        <v>0</v>
      </c>
      <c r="H70" s="771">
        <v>0</v>
      </c>
      <c r="I70" s="771">
        <v>0</v>
      </c>
      <c r="J70" s="771">
        <v>0</v>
      </c>
    </row>
    <row r="71" spans="1:10">
      <c r="A71" s="339"/>
      <c r="B71" s="252"/>
      <c r="C71" s="341" t="s">
        <v>69</v>
      </c>
      <c r="D71" s="771"/>
      <c r="E71" s="771">
        <v>0</v>
      </c>
      <c r="F71" s="771">
        <v>0</v>
      </c>
      <c r="G71" s="771">
        <v>0</v>
      </c>
      <c r="H71" s="771">
        <v>0</v>
      </c>
      <c r="I71" s="771">
        <v>0</v>
      </c>
      <c r="J71" s="771">
        <v>0</v>
      </c>
    </row>
    <row r="72" spans="1:10" s="759" customFormat="1">
      <c r="A72" s="339"/>
      <c r="B72" s="252"/>
      <c r="C72" s="341" t="s">
        <v>646</v>
      </c>
      <c r="D72" s="771"/>
      <c r="E72" s="771">
        <v>0</v>
      </c>
      <c r="F72" s="771">
        <v>0</v>
      </c>
      <c r="G72" s="771">
        <v>0</v>
      </c>
      <c r="H72" s="771">
        <v>0</v>
      </c>
      <c r="I72" s="771">
        <v>0</v>
      </c>
      <c r="J72" s="771">
        <v>0</v>
      </c>
    </row>
    <row r="73" spans="1:10">
      <c r="A73" s="339"/>
      <c r="B73" s="252"/>
      <c r="C73" s="341" t="s">
        <v>647</v>
      </c>
      <c r="D73" s="263"/>
      <c r="E73" s="263">
        <v>0.34700000000000003</v>
      </c>
      <c r="F73" s="263">
        <v>0.34700000000000003</v>
      </c>
      <c r="G73" s="263">
        <v>0.34700000000000003</v>
      </c>
      <c r="H73" s="263">
        <v>0.34700000000000003</v>
      </c>
      <c r="I73" s="263">
        <v>0.34700000000000003</v>
      </c>
      <c r="J73" s="263">
        <v>0.34700000000000003</v>
      </c>
    </row>
    <row r="74" spans="1:10" s="759" customFormat="1">
      <c r="A74" s="339"/>
      <c r="B74" s="252"/>
      <c r="C74" s="341" t="s">
        <v>575</v>
      </c>
      <c r="D74" s="263"/>
      <c r="E74" s="263">
        <v>0</v>
      </c>
      <c r="F74" s="263">
        <v>0</v>
      </c>
      <c r="G74" s="263">
        <v>0</v>
      </c>
      <c r="H74" s="263">
        <v>0</v>
      </c>
      <c r="I74" s="263">
        <v>0</v>
      </c>
      <c r="J74" s="263">
        <v>0</v>
      </c>
    </row>
    <row r="75" spans="1:10">
      <c r="A75" s="339"/>
      <c r="B75" s="252"/>
      <c r="C75" s="341" t="s">
        <v>70</v>
      </c>
      <c r="D75" s="263"/>
      <c r="E75" s="263">
        <v>0</v>
      </c>
      <c r="F75" s="263">
        <v>0</v>
      </c>
      <c r="G75" s="263">
        <v>0</v>
      </c>
      <c r="H75" s="263">
        <v>0</v>
      </c>
      <c r="I75" s="263">
        <v>0</v>
      </c>
      <c r="J75" s="263">
        <v>0</v>
      </c>
    </row>
    <row r="76" spans="1:10">
      <c r="A76" s="339"/>
      <c r="B76" s="252"/>
      <c r="C76" s="342" t="s">
        <v>75</v>
      </c>
      <c r="D76" s="357">
        <f t="shared" ref="D76:J76" si="7">SUBTOTAL(9,D70:D75)</f>
        <v>0</v>
      </c>
      <c r="E76" s="357">
        <f t="shared" si="7"/>
        <v>0.34700000000000003</v>
      </c>
      <c r="F76" s="357">
        <f t="shared" si="7"/>
        <v>0.34700000000000003</v>
      </c>
      <c r="G76" s="357">
        <f t="shared" si="7"/>
        <v>0.34700000000000003</v>
      </c>
      <c r="H76" s="357">
        <f t="shared" si="7"/>
        <v>0.34700000000000003</v>
      </c>
      <c r="I76" s="357">
        <f t="shared" si="7"/>
        <v>0.34700000000000003</v>
      </c>
      <c r="J76" s="357">
        <f t="shared" si="7"/>
        <v>0.34700000000000003</v>
      </c>
    </row>
    <row r="77" spans="1:10">
      <c r="A77" s="339"/>
      <c r="B77" s="252"/>
      <c r="C77" s="342"/>
      <c r="D77" s="329"/>
      <c r="E77" s="329"/>
      <c r="F77" s="329"/>
      <c r="G77" s="329"/>
      <c r="H77" s="329"/>
      <c r="I77" s="329"/>
      <c r="J77" s="329"/>
    </row>
    <row r="78" spans="1:10">
      <c r="A78" s="339">
        <f>+A69+1</f>
        <v>9</v>
      </c>
      <c r="B78" s="252" t="str">
        <f ca="1">OFFSET(List_AllocOpexListStart,A78,0)</f>
        <v>A-9</v>
      </c>
      <c r="C78" s="340" t="str">
        <f ca="1">VLOOKUP(B78,List_AllocatedCosts,2,FALSE)</f>
        <v>Taxation – Specific Allocation</v>
      </c>
      <c r="D78" s="329"/>
      <c r="E78" s="329"/>
      <c r="F78" s="329"/>
      <c r="G78" s="329"/>
      <c r="H78" s="329"/>
      <c r="I78" s="329"/>
      <c r="J78" s="329"/>
    </row>
    <row r="79" spans="1:10">
      <c r="A79" s="339"/>
      <c r="B79" s="252"/>
      <c r="C79" s="341" t="s">
        <v>68</v>
      </c>
      <c r="D79" s="771"/>
      <c r="E79" s="771">
        <v>0.307</v>
      </c>
      <c r="F79" s="771">
        <v>0.307</v>
      </c>
      <c r="G79" s="771">
        <v>0.307</v>
      </c>
      <c r="H79" s="771">
        <v>0.307</v>
      </c>
      <c r="I79" s="771">
        <v>0.307</v>
      </c>
      <c r="J79" s="771">
        <v>0.307</v>
      </c>
    </row>
    <row r="80" spans="1:10">
      <c r="A80" s="339"/>
      <c r="B80" s="252"/>
      <c r="C80" s="341" t="s">
        <v>69</v>
      </c>
      <c r="D80" s="771"/>
      <c r="E80" s="771">
        <v>0</v>
      </c>
      <c r="F80" s="771">
        <v>0</v>
      </c>
      <c r="G80" s="771">
        <v>0</v>
      </c>
      <c r="H80" s="771">
        <v>0</v>
      </c>
      <c r="I80" s="771">
        <v>0</v>
      </c>
      <c r="J80" s="771">
        <v>0</v>
      </c>
    </row>
    <row r="81" spans="1:10" s="759" customFormat="1">
      <c r="A81" s="339"/>
      <c r="B81" s="252"/>
      <c r="C81" s="341" t="s">
        <v>646</v>
      </c>
      <c r="D81" s="771"/>
      <c r="E81" s="771">
        <v>0</v>
      </c>
      <c r="F81" s="771">
        <v>0</v>
      </c>
      <c r="G81" s="771">
        <v>0</v>
      </c>
      <c r="H81" s="771">
        <v>0</v>
      </c>
      <c r="I81" s="771">
        <v>0</v>
      </c>
      <c r="J81" s="771">
        <v>0</v>
      </c>
    </row>
    <row r="82" spans="1:10">
      <c r="A82" s="339"/>
      <c r="B82" s="252"/>
      <c r="C82" s="341" t="s">
        <v>647</v>
      </c>
      <c r="D82" s="263"/>
      <c r="E82" s="263">
        <v>0</v>
      </c>
      <c r="F82" s="263">
        <v>0</v>
      </c>
      <c r="G82" s="263">
        <v>0</v>
      </c>
      <c r="H82" s="263">
        <v>0</v>
      </c>
      <c r="I82" s="263">
        <v>0</v>
      </c>
      <c r="J82" s="263">
        <v>0</v>
      </c>
    </row>
    <row r="83" spans="1:10" s="759" customFormat="1">
      <c r="A83" s="339"/>
      <c r="B83" s="252"/>
      <c r="C83" s="341" t="s">
        <v>575</v>
      </c>
      <c r="D83" s="263"/>
      <c r="E83" s="263">
        <v>0</v>
      </c>
      <c r="F83" s="263">
        <v>0</v>
      </c>
      <c r="G83" s="263">
        <v>0</v>
      </c>
      <c r="H83" s="263">
        <v>0</v>
      </c>
      <c r="I83" s="263">
        <v>0</v>
      </c>
      <c r="J83" s="263">
        <v>0</v>
      </c>
    </row>
    <row r="84" spans="1:10">
      <c r="A84" s="339"/>
      <c r="B84" s="252"/>
      <c r="C84" s="341" t="s">
        <v>70</v>
      </c>
      <c r="D84" s="263"/>
      <c r="E84" s="263">
        <v>0</v>
      </c>
      <c r="F84" s="263">
        <v>0</v>
      </c>
      <c r="G84" s="263">
        <v>0</v>
      </c>
      <c r="H84" s="263">
        <v>0</v>
      </c>
      <c r="I84" s="263">
        <v>0</v>
      </c>
      <c r="J84" s="263">
        <v>0</v>
      </c>
    </row>
    <row r="85" spans="1:10">
      <c r="A85" s="339"/>
      <c r="B85" s="252"/>
      <c r="C85" s="342" t="s">
        <v>75</v>
      </c>
      <c r="D85" s="357">
        <f t="shared" ref="D85:J85" si="8">SUBTOTAL(9,D79:D84)</f>
        <v>0</v>
      </c>
      <c r="E85" s="357">
        <f t="shared" si="8"/>
        <v>0.307</v>
      </c>
      <c r="F85" s="357">
        <f t="shared" si="8"/>
        <v>0.307</v>
      </c>
      <c r="G85" s="357">
        <f t="shared" si="8"/>
        <v>0.307</v>
      </c>
      <c r="H85" s="357">
        <f t="shared" si="8"/>
        <v>0.307</v>
      </c>
      <c r="I85" s="357">
        <f t="shared" si="8"/>
        <v>0.307</v>
      </c>
      <c r="J85" s="357">
        <f t="shared" si="8"/>
        <v>0.307</v>
      </c>
    </row>
    <row r="86" spans="1:10">
      <c r="A86" s="339"/>
      <c r="B86" s="252"/>
      <c r="C86" s="342"/>
      <c r="D86" s="329"/>
      <c r="E86" s="329"/>
      <c r="F86" s="329"/>
      <c r="G86" s="329"/>
      <c r="H86" s="329"/>
      <c r="I86" s="329"/>
      <c r="J86" s="329"/>
    </row>
    <row r="87" spans="1:10">
      <c r="A87" s="339">
        <f>+A78+1</f>
        <v>10</v>
      </c>
      <c r="B87" s="252" t="str">
        <f ca="1">OFFSET(List_AllocOpexListStart,A87,0)</f>
        <v>A-10</v>
      </c>
      <c r="C87" s="340" t="str">
        <f ca="1">VLOOKUP(B87,List_AllocatedCosts,2,FALSE)</f>
        <v>Corporate Finance</v>
      </c>
      <c r="D87" s="329"/>
      <c r="E87" s="329"/>
      <c r="F87" s="329"/>
      <c r="G87" s="329"/>
      <c r="H87" s="329"/>
      <c r="I87" s="329"/>
      <c r="J87" s="329"/>
    </row>
    <row r="88" spans="1:10">
      <c r="A88" s="3"/>
      <c r="B88" s="252"/>
      <c r="C88" s="341" t="s">
        <v>68</v>
      </c>
      <c r="D88" s="771"/>
      <c r="E88" s="771">
        <v>2.2640000000000002</v>
      </c>
      <c r="F88" s="771">
        <v>2.2640000000000002</v>
      </c>
      <c r="G88" s="771">
        <v>2.2640000000000002</v>
      </c>
      <c r="H88" s="771">
        <v>2.2640000000000002</v>
      </c>
      <c r="I88" s="771">
        <v>2.2640000000000002</v>
      </c>
      <c r="J88" s="771">
        <v>2.2640000000000002</v>
      </c>
    </row>
    <row r="89" spans="1:10">
      <c r="A89" s="3"/>
      <c r="B89" s="252"/>
      <c r="C89" s="341" t="s">
        <v>69</v>
      </c>
      <c r="D89" s="771"/>
      <c r="E89" s="771">
        <v>5.2999999999999999E-2</v>
      </c>
      <c r="F89" s="771">
        <v>5.2999999999999999E-2</v>
      </c>
      <c r="G89" s="771">
        <v>5.2999999999999999E-2</v>
      </c>
      <c r="H89" s="771">
        <v>5.2999999999999999E-2</v>
      </c>
      <c r="I89" s="771">
        <v>5.2999999999999999E-2</v>
      </c>
      <c r="J89" s="771">
        <v>5.2999999999999999E-2</v>
      </c>
    </row>
    <row r="90" spans="1:10" s="759" customFormat="1">
      <c r="A90" s="544"/>
      <c r="B90" s="252"/>
      <c r="C90" s="341" t="s">
        <v>646</v>
      </c>
      <c r="D90" s="771"/>
      <c r="E90" s="771">
        <v>1.4999999999999999E-2</v>
      </c>
      <c r="F90" s="771">
        <v>1.4999999999999999E-2</v>
      </c>
      <c r="G90" s="771">
        <v>1.4999999999999999E-2</v>
      </c>
      <c r="H90" s="771">
        <v>1.4999999999999999E-2</v>
      </c>
      <c r="I90" s="771">
        <v>1.4999999999999999E-2</v>
      </c>
      <c r="J90" s="771">
        <v>1.4999999999999999E-2</v>
      </c>
    </row>
    <row r="91" spans="1:10">
      <c r="A91" s="3"/>
      <c r="B91" s="252"/>
      <c r="C91" s="341" t="s">
        <v>647</v>
      </c>
      <c r="D91" s="263"/>
      <c r="E91" s="263">
        <v>0.60799999999999998</v>
      </c>
      <c r="F91" s="263">
        <v>0.60799999999999998</v>
      </c>
      <c r="G91" s="263">
        <v>0.60799999999999998</v>
      </c>
      <c r="H91" s="263">
        <v>0.60799999999999998</v>
      </c>
      <c r="I91" s="263">
        <v>0.60799999999999998</v>
      </c>
      <c r="J91" s="263">
        <v>0.60799999999999998</v>
      </c>
    </row>
    <row r="92" spans="1:10" s="759" customFormat="1">
      <c r="A92" s="544"/>
      <c r="B92" s="252"/>
      <c r="C92" s="341" t="s">
        <v>575</v>
      </c>
      <c r="D92" s="263"/>
      <c r="E92" s="263">
        <v>0</v>
      </c>
      <c r="F92" s="263">
        <v>0</v>
      </c>
      <c r="G92" s="263">
        <v>0</v>
      </c>
      <c r="H92" s="263">
        <v>0</v>
      </c>
      <c r="I92" s="263">
        <v>0</v>
      </c>
      <c r="J92" s="263">
        <v>0</v>
      </c>
    </row>
    <row r="93" spans="1:10">
      <c r="A93" s="3"/>
      <c r="B93" s="252"/>
      <c r="C93" s="341" t="s">
        <v>70</v>
      </c>
      <c r="D93" s="263"/>
      <c r="E93" s="263">
        <v>0</v>
      </c>
      <c r="F93" s="263">
        <v>0</v>
      </c>
      <c r="G93" s="263">
        <v>0</v>
      </c>
      <c r="H93" s="263">
        <v>0</v>
      </c>
      <c r="I93" s="263">
        <v>0</v>
      </c>
      <c r="J93" s="263">
        <v>0</v>
      </c>
    </row>
    <row r="94" spans="1:10">
      <c r="A94" s="3"/>
      <c r="B94" s="252"/>
      <c r="C94" s="342" t="s">
        <v>75</v>
      </c>
      <c r="D94" s="357">
        <f t="shared" ref="D94:J94" si="9">SUBTOTAL(9,D88:D93)</f>
        <v>0</v>
      </c>
      <c r="E94" s="357">
        <f t="shared" si="9"/>
        <v>2.9400000000000004</v>
      </c>
      <c r="F94" s="357">
        <f t="shared" si="9"/>
        <v>2.9400000000000004</v>
      </c>
      <c r="G94" s="357">
        <f t="shared" si="9"/>
        <v>2.9400000000000004</v>
      </c>
      <c r="H94" s="357">
        <f t="shared" si="9"/>
        <v>2.9400000000000004</v>
      </c>
      <c r="I94" s="357">
        <f t="shared" si="9"/>
        <v>2.9400000000000004</v>
      </c>
      <c r="J94" s="357">
        <f t="shared" si="9"/>
        <v>2.9400000000000004</v>
      </c>
    </row>
    <row r="95" spans="1:10">
      <c r="A95" s="3"/>
      <c r="B95" s="252"/>
      <c r="C95" s="350"/>
      <c r="D95" s="329"/>
      <c r="E95" s="329"/>
      <c r="F95" s="329"/>
      <c r="G95" s="329"/>
      <c r="H95" s="329"/>
      <c r="I95" s="329"/>
      <c r="J95" s="329"/>
    </row>
    <row r="96" spans="1:10">
      <c r="A96" s="339">
        <f>+A87+1</f>
        <v>11</v>
      </c>
      <c r="B96" s="252" t="str">
        <f ca="1">OFFSET(List_AllocOpexListStart,A96,0)</f>
        <v>A-11</v>
      </c>
      <c r="C96" s="340" t="str">
        <f ca="1">VLOOKUP(B96,List_AllocatedCosts,2,FALSE)</f>
        <v>Operational Finance</v>
      </c>
      <c r="D96" s="329"/>
      <c r="E96" s="329"/>
      <c r="F96" s="329"/>
      <c r="G96" s="329"/>
      <c r="H96" s="329"/>
      <c r="I96" s="329"/>
      <c r="J96" s="329"/>
    </row>
    <row r="97" spans="1:10">
      <c r="A97" s="339"/>
      <c r="B97" s="252"/>
      <c r="C97" s="341" t="s">
        <v>68</v>
      </c>
      <c r="D97" s="771"/>
      <c r="E97" s="771">
        <v>1.202</v>
      </c>
      <c r="F97" s="771">
        <v>1.202</v>
      </c>
      <c r="G97" s="771">
        <v>1.202</v>
      </c>
      <c r="H97" s="771">
        <v>1.202</v>
      </c>
      <c r="I97" s="771">
        <v>1.202</v>
      </c>
      <c r="J97" s="771">
        <v>1.202</v>
      </c>
    </row>
    <row r="98" spans="1:10">
      <c r="A98" s="339"/>
      <c r="B98" s="252"/>
      <c r="C98" s="341" t="s">
        <v>69</v>
      </c>
      <c r="D98" s="771"/>
      <c r="E98" s="771">
        <v>8.0000000000000002E-3</v>
      </c>
      <c r="F98" s="771">
        <v>8.0000000000000002E-3</v>
      </c>
      <c r="G98" s="771">
        <v>8.0000000000000002E-3</v>
      </c>
      <c r="H98" s="771">
        <v>8.0000000000000002E-3</v>
      </c>
      <c r="I98" s="771">
        <v>8.0000000000000002E-3</v>
      </c>
      <c r="J98" s="771">
        <v>8.0000000000000002E-3</v>
      </c>
    </row>
    <row r="99" spans="1:10" s="759" customFormat="1">
      <c r="A99" s="339"/>
      <c r="B99" s="252"/>
      <c r="C99" s="341" t="s">
        <v>646</v>
      </c>
      <c r="D99" s="771"/>
      <c r="E99" s="771">
        <v>0</v>
      </c>
      <c r="F99" s="771">
        <v>0</v>
      </c>
      <c r="G99" s="771">
        <v>0</v>
      </c>
      <c r="H99" s="771">
        <v>0</v>
      </c>
      <c r="I99" s="771">
        <v>0</v>
      </c>
      <c r="J99" s="771">
        <v>0</v>
      </c>
    </row>
    <row r="100" spans="1:10">
      <c r="A100" s="339"/>
      <c r="B100" s="252"/>
      <c r="C100" s="341" t="s">
        <v>647</v>
      </c>
      <c r="D100" s="263"/>
      <c r="E100" s="263">
        <v>4.8000000000000001E-2</v>
      </c>
      <c r="F100" s="263">
        <v>4.8000000000000001E-2</v>
      </c>
      <c r="G100" s="263">
        <v>4.8000000000000001E-2</v>
      </c>
      <c r="H100" s="263">
        <v>4.8000000000000001E-2</v>
      </c>
      <c r="I100" s="263">
        <v>4.8000000000000001E-2</v>
      </c>
      <c r="J100" s="263">
        <v>4.8000000000000001E-2</v>
      </c>
    </row>
    <row r="101" spans="1:10" s="759" customFormat="1">
      <c r="A101" s="339"/>
      <c r="B101" s="252"/>
      <c r="C101" s="341" t="s">
        <v>575</v>
      </c>
      <c r="D101" s="263"/>
      <c r="E101" s="263">
        <v>0</v>
      </c>
      <c r="F101" s="263">
        <v>0</v>
      </c>
      <c r="G101" s="263">
        <v>0</v>
      </c>
      <c r="H101" s="263">
        <v>0</v>
      </c>
      <c r="I101" s="263">
        <v>0</v>
      </c>
      <c r="J101" s="263">
        <v>0</v>
      </c>
    </row>
    <row r="102" spans="1:10">
      <c r="A102" s="339"/>
      <c r="B102" s="252"/>
      <c r="C102" s="341" t="s">
        <v>70</v>
      </c>
      <c r="D102" s="263"/>
      <c r="E102" s="263">
        <v>0</v>
      </c>
      <c r="F102" s="263">
        <v>0</v>
      </c>
      <c r="G102" s="263">
        <v>0</v>
      </c>
      <c r="H102" s="263">
        <v>0</v>
      </c>
      <c r="I102" s="263">
        <v>0</v>
      </c>
      <c r="J102" s="263">
        <v>0</v>
      </c>
    </row>
    <row r="103" spans="1:10">
      <c r="A103" s="339"/>
      <c r="B103" s="252"/>
      <c r="C103" s="342" t="s">
        <v>75</v>
      </c>
      <c r="D103" s="357">
        <f t="shared" ref="D103:J103" si="10">SUBTOTAL(9,D97:D102)</f>
        <v>0</v>
      </c>
      <c r="E103" s="357">
        <f t="shared" si="10"/>
        <v>1.258</v>
      </c>
      <c r="F103" s="357">
        <f t="shared" si="10"/>
        <v>1.258</v>
      </c>
      <c r="G103" s="357">
        <f t="shared" si="10"/>
        <v>1.258</v>
      </c>
      <c r="H103" s="357">
        <f t="shared" si="10"/>
        <v>1.258</v>
      </c>
      <c r="I103" s="357">
        <f t="shared" si="10"/>
        <v>1.258</v>
      </c>
      <c r="J103" s="357">
        <f t="shared" si="10"/>
        <v>1.258</v>
      </c>
    </row>
    <row r="104" spans="1:10">
      <c r="A104" s="339"/>
      <c r="B104" s="252"/>
      <c r="C104" s="342"/>
      <c r="D104" s="329"/>
      <c r="E104" s="329"/>
      <c r="F104" s="329"/>
      <c r="G104" s="329"/>
      <c r="H104" s="329"/>
      <c r="I104" s="329"/>
      <c r="J104" s="329"/>
    </row>
    <row r="105" spans="1:10">
      <c r="A105" s="339">
        <f>+A96+1</f>
        <v>12</v>
      </c>
      <c r="B105" s="252" t="str">
        <f ca="1">OFFSET(List_AllocOpexListStart,A105,0)</f>
        <v>A-12</v>
      </c>
      <c r="C105" s="340" t="str">
        <f ca="1">VLOOKUP(B105,List_AllocatedCosts,2,FALSE)</f>
        <v>Regulatory Finance</v>
      </c>
      <c r="D105" s="329"/>
      <c r="E105" s="329"/>
      <c r="F105" s="329"/>
      <c r="G105" s="329"/>
      <c r="H105" s="329"/>
      <c r="I105" s="329"/>
      <c r="J105" s="329"/>
    </row>
    <row r="106" spans="1:10">
      <c r="A106" s="339"/>
      <c r="B106" s="252"/>
      <c r="C106" s="341" t="s">
        <v>68</v>
      </c>
      <c r="D106" s="771"/>
      <c r="E106" s="771">
        <v>0.13600000000000001</v>
      </c>
      <c r="F106" s="771">
        <v>0.13600000000000001</v>
      </c>
      <c r="G106" s="771">
        <v>0.13600000000000001</v>
      </c>
      <c r="H106" s="771">
        <v>0.13600000000000001</v>
      </c>
      <c r="I106" s="771">
        <v>0.13600000000000001</v>
      </c>
      <c r="J106" s="771">
        <v>0.13600000000000001</v>
      </c>
    </row>
    <row r="107" spans="1:10">
      <c r="A107" s="339"/>
      <c r="B107" s="252"/>
      <c r="C107" s="341" t="s">
        <v>69</v>
      </c>
      <c r="D107" s="771"/>
      <c r="E107" s="771">
        <v>0</v>
      </c>
      <c r="F107" s="771">
        <v>0</v>
      </c>
      <c r="G107" s="771">
        <v>0</v>
      </c>
      <c r="H107" s="771">
        <v>0</v>
      </c>
      <c r="I107" s="771">
        <v>0</v>
      </c>
      <c r="J107" s="771">
        <v>0</v>
      </c>
    </row>
    <row r="108" spans="1:10" s="759" customFormat="1">
      <c r="A108" s="339"/>
      <c r="B108" s="252"/>
      <c r="C108" s="341" t="s">
        <v>646</v>
      </c>
      <c r="D108" s="771"/>
      <c r="E108" s="771">
        <v>0</v>
      </c>
      <c r="F108" s="771">
        <v>0</v>
      </c>
      <c r="G108" s="771">
        <v>0</v>
      </c>
      <c r="H108" s="771">
        <v>0</v>
      </c>
      <c r="I108" s="771">
        <v>0</v>
      </c>
      <c r="J108" s="771">
        <v>0</v>
      </c>
    </row>
    <row r="109" spans="1:10">
      <c r="A109" s="339"/>
      <c r="B109" s="252"/>
      <c r="C109" s="341" t="s">
        <v>647</v>
      </c>
      <c r="D109" s="263"/>
      <c r="E109" s="263">
        <v>0</v>
      </c>
      <c r="F109" s="263">
        <v>0</v>
      </c>
      <c r="G109" s="263">
        <v>0</v>
      </c>
      <c r="H109" s="263">
        <v>0</v>
      </c>
      <c r="I109" s="263">
        <v>0</v>
      </c>
      <c r="J109" s="263">
        <v>0</v>
      </c>
    </row>
    <row r="110" spans="1:10" s="759" customFormat="1">
      <c r="A110" s="339"/>
      <c r="B110" s="252"/>
      <c r="C110" s="341" t="s">
        <v>575</v>
      </c>
      <c r="D110" s="263"/>
      <c r="E110" s="263">
        <v>0</v>
      </c>
      <c r="F110" s="263">
        <v>0</v>
      </c>
      <c r="G110" s="263">
        <v>0</v>
      </c>
      <c r="H110" s="263">
        <v>0</v>
      </c>
      <c r="I110" s="263">
        <v>0</v>
      </c>
      <c r="J110" s="263">
        <v>0</v>
      </c>
    </row>
    <row r="111" spans="1:10">
      <c r="A111" s="339"/>
      <c r="B111" s="252"/>
      <c r="C111" s="341" t="s">
        <v>70</v>
      </c>
      <c r="D111" s="263"/>
      <c r="E111" s="263">
        <v>0</v>
      </c>
      <c r="F111" s="263">
        <v>0</v>
      </c>
      <c r="G111" s="263">
        <v>0</v>
      </c>
      <c r="H111" s="263">
        <v>0</v>
      </c>
      <c r="I111" s="263">
        <v>0</v>
      </c>
      <c r="J111" s="263">
        <v>0</v>
      </c>
    </row>
    <row r="112" spans="1:10">
      <c r="A112" s="339"/>
      <c r="B112" s="252"/>
      <c r="C112" s="342" t="s">
        <v>75</v>
      </c>
      <c r="D112" s="357">
        <f t="shared" ref="D112:J112" si="11">SUBTOTAL(9,D106:D111)</f>
        <v>0</v>
      </c>
      <c r="E112" s="357">
        <f t="shared" si="11"/>
        <v>0.13600000000000001</v>
      </c>
      <c r="F112" s="357">
        <f t="shared" si="11"/>
        <v>0.13600000000000001</v>
      </c>
      <c r="G112" s="357">
        <f t="shared" si="11"/>
        <v>0.13600000000000001</v>
      </c>
      <c r="H112" s="357">
        <f t="shared" si="11"/>
        <v>0.13600000000000001</v>
      </c>
      <c r="I112" s="357">
        <f t="shared" si="11"/>
        <v>0.13600000000000001</v>
      </c>
      <c r="J112" s="357">
        <f t="shared" si="11"/>
        <v>0.13600000000000001</v>
      </c>
    </row>
    <row r="113" spans="1:10">
      <c r="A113" s="339"/>
      <c r="B113" s="252"/>
      <c r="C113" s="342"/>
      <c r="D113" s="329"/>
      <c r="E113" s="329"/>
      <c r="F113" s="329"/>
      <c r="G113" s="329"/>
      <c r="H113" s="329"/>
      <c r="I113" s="329"/>
      <c r="J113" s="329"/>
    </row>
    <row r="114" spans="1:10">
      <c r="A114" s="339">
        <f>+A105+1</f>
        <v>13</v>
      </c>
      <c r="B114" s="252" t="str">
        <f ca="1">OFFSET(List_AllocOpexListStart,A114,0)</f>
        <v>A-13</v>
      </c>
      <c r="C114" s="340" t="str">
        <f ca="1">VLOOKUP(B114,List_AllocatedCosts,2,FALSE)</f>
        <v>Accounts Payable</v>
      </c>
      <c r="D114" s="329"/>
      <c r="E114" s="329"/>
      <c r="F114" s="329"/>
      <c r="G114" s="329"/>
      <c r="H114" s="329"/>
      <c r="I114" s="329"/>
      <c r="J114" s="329"/>
    </row>
    <row r="115" spans="1:10">
      <c r="A115" s="3"/>
      <c r="B115" s="252"/>
      <c r="C115" s="341" t="s">
        <v>68</v>
      </c>
      <c r="D115" s="771"/>
      <c r="E115" s="771">
        <v>0.432</v>
      </c>
      <c r="F115" s="771">
        <v>0.432</v>
      </c>
      <c r="G115" s="771">
        <v>0.432</v>
      </c>
      <c r="H115" s="771">
        <v>0.432</v>
      </c>
      <c r="I115" s="771">
        <v>0.432</v>
      </c>
      <c r="J115" s="771">
        <v>0.432</v>
      </c>
    </row>
    <row r="116" spans="1:10">
      <c r="A116" s="3"/>
      <c r="B116" s="252"/>
      <c r="C116" s="341" t="s">
        <v>69</v>
      </c>
      <c r="D116" s="771"/>
      <c r="E116" s="771">
        <v>0</v>
      </c>
      <c r="F116" s="771">
        <v>0</v>
      </c>
      <c r="G116" s="771">
        <v>0</v>
      </c>
      <c r="H116" s="771">
        <v>0</v>
      </c>
      <c r="I116" s="771">
        <v>0</v>
      </c>
      <c r="J116" s="771">
        <v>0</v>
      </c>
    </row>
    <row r="117" spans="1:10" s="759" customFormat="1">
      <c r="A117" s="544"/>
      <c r="B117" s="252"/>
      <c r="C117" s="341" t="s">
        <v>646</v>
      </c>
      <c r="D117" s="771"/>
      <c r="E117" s="771">
        <v>0</v>
      </c>
      <c r="F117" s="771">
        <v>0</v>
      </c>
      <c r="G117" s="771">
        <v>0</v>
      </c>
      <c r="H117" s="771">
        <v>0</v>
      </c>
      <c r="I117" s="771">
        <v>0</v>
      </c>
      <c r="J117" s="771">
        <v>0</v>
      </c>
    </row>
    <row r="118" spans="1:10">
      <c r="A118" s="3"/>
      <c r="B118" s="252"/>
      <c r="C118" s="341" t="s">
        <v>647</v>
      </c>
      <c r="D118" s="263"/>
      <c r="E118" s="263">
        <v>1E-3</v>
      </c>
      <c r="F118" s="263">
        <v>1E-3</v>
      </c>
      <c r="G118" s="263">
        <v>1E-3</v>
      </c>
      <c r="H118" s="263">
        <v>1E-3</v>
      </c>
      <c r="I118" s="263">
        <v>1E-3</v>
      </c>
      <c r="J118" s="263">
        <v>1E-3</v>
      </c>
    </row>
    <row r="119" spans="1:10" s="759" customFormat="1">
      <c r="A119" s="544"/>
      <c r="B119" s="252"/>
      <c r="C119" s="341" t="s">
        <v>575</v>
      </c>
      <c r="D119" s="263"/>
      <c r="E119" s="263">
        <v>0</v>
      </c>
      <c r="F119" s="263">
        <v>0</v>
      </c>
      <c r="G119" s="263">
        <v>0</v>
      </c>
      <c r="H119" s="263">
        <v>0</v>
      </c>
      <c r="I119" s="263">
        <v>0</v>
      </c>
      <c r="J119" s="263">
        <v>0</v>
      </c>
    </row>
    <row r="120" spans="1:10">
      <c r="A120" s="3"/>
      <c r="B120" s="252"/>
      <c r="C120" s="341" t="s">
        <v>70</v>
      </c>
      <c r="D120" s="263"/>
      <c r="E120" s="263">
        <v>0</v>
      </c>
      <c r="F120" s="263">
        <v>0</v>
      </c>
      <c r="G120" s="263">
        <v>0</v>
      </c>
      <c r="H120" s="263">
        <v>0</v>
      </c>
      <c r="I120" s="263">
        <v>0</v>
      </c>
      <c r="J120" s="263">
        <v>0</v>
      </c>
    </row>
    <row r="121" spans="1:10">
      <c r="A121" s="3"/>
      <c r="B121" s="252"/>
      <c r="C121" s="342" t="s">
        <v>75</v>
      </c>
      <c r="D121" s="357">
        <f t="shared" ref="D121:J121" si="12">SUBTOTAL(9,D115:D120)</f>
        <v>0</v>
      </c>
      <c r="E121" s="357">
        <f t="shared" si="12"/>
        <v>0.433</v>
      </c>
      <c r="F121" s="357">
        <f t="shared" si="12"/>
        <v>0.433</v>
      </c>
      <c r="G121" s="357">
        <f t="shared" si="12"/>
        <v>0.433</v>
      </c>
      <c r="H121" s="357">
        <f t="shared" si="12"/>
        <v>0.433</v>
      </c>
      <c r="I121" s="357">
        <f t="shared" si="12"/>
        <v>0.433</v>
      </c>
      <c r="J121" s="357">
        <f t="shared" si="12"/>
        <v>0.433</v>
      </c>
    </row>
    <row r="122" spans="1:10">
      <c r="A122" s="3"/>
      <c r="B122" s="252"/>
      <c r="C122" s="342"/>
      <c r="D122" s="329"/>
      <c r="E122" s="329"/>
      <c r="F122" s="329"/>
      <c r="G122" s="329"/>
      <c r="H122" s="329"/>
      <c r="I122" s="329"/>
      <c r="J122" s="329"/>
    </row>
    <row r="123" spans="1:10">
      <c r="A123" s="339">
        <f>+A114+1</f>
        <v>14</v>
      </c>
      <c r="B123" s="252" t="str">
        <f ca="1">OFFSET(List_AllocOpexListStart,A123,0)</f>
        <v>A-14</v>
      </c>
      <c r="C123" s="340" t="str">
        <f ca="1">VLOOKUP(B123,List_AllocatedCosts,2,FALSE)</f>
        <v>Payroll</v>
      </c>
      <c r="D123" s="329"/>
      <c r="E123" s="329"/>
      <c r="F123" s="329"/>
      <c r="G123" s="329"/>
      <c r="H123" s="329"/>
      <c r="I123" s="329"/>
      <c r="J123" s="329"/>
    </row>
    <row r="124" spans="1:10">
      <c r="A124" s="339"/>
      <c r="B124" s="252"/>
      <c r="C124" s="341" t="s">
        <v>68</v>
      </c>
      <c r="D124" s="771"/>
      <c r="E124" s="771">
        <v>0.40500000000000003</v>
      </c>
      <c r="F124" s="771">
        <v>0.40500000000000003</v>
      </c>
      <c r="G124" s="771">
        <v>0.40500000000000003</v>
      </c>
      <c r="H124" s="771">
        <v>0.40500000000000003</v>
      </c>
      <c r="I124" s="771">
        <v>0.40500000000000003</v>
      </c>
      <c r="J124" s="771">
        <v>0.40500000000000003</v>
      </c>
    </row>
    <row r="125" spans="1:10">
      <c r="A125" s="339"/>
      <c r="B125" s="252"/>
      <c r="C125" s="341" t="s">
        <v>69</v>
      </c>
      <c r="D125" s="771"/>
      <c r="E125" s="771">
        <v>2E-3</v>
      </c>
      <c r="F125" s="771">
        <v>2E-3</v>
      </c>
      <c r="G125" s="771">
        <v>2E-3</v>
      </c>
      <c r="H125" s="771">
        <v>2E-3</v>
      </c>
      <c r="I125" s="771">
        <v>2E-3</v>
      </c>
      <c r="J125" s="771">
        <v>2E-3</v>
      </c>
    </row>
    <row r="126" spans="1:10" s="759" customFormat="1">
      <c r="A126" s="339"/>
      <c r="B126" s="252"/>
      <c r="C126" s="341" t="s">
        <v>646</v>
      </c>
      <c r="D126" s="771"/>
      <c r="E126" s="771">
        <v>0</v>
      </c>
      <c r="F126" s="771">
        <v>0</v>
      </c>
      <c r="G126" s="771">
        <v>0</v>
      </c>
      <c r="H126" s="771">
        <v>0</v>
      </c>
      <c r="I126" s="771">
        <v>0</v>
      </c>
      <c r="J126" s="771">
        <v>0</v>
      </c>
    </row>
    <row r="127" spans="1:10">
      <c r="A127" s="339"/>
      <c r="B127" s="252"/>
      <c r="C127" s="341" t="s">
        <v>647</v>
      </c>
      <c r="D127" s="263"/>
      <c r="E127" s="263">
        <v>8.9999999999999993E-3</v>
      </c>
      <c r="F127" s="263">
        <v>8.9999999999999993E-3</v>
      </c>
      <c r="G127" s="263">
        <v>8.9999999999999993E-3</v>
      </c>
      <c r="H127" s="263">
        <v>8.9999999999999993E-3</v>
      </c>
      <c r="I127" s="263">
        <v>8.9999999999999993E-3</v>
      </c>
      <c r="J127" s="263">
        <v>8.9999999999999993E-3</v>
      </c>
    </row>
    <row r="128" spans="1:10" s="759" customFormat="1">
      <c r="A128" s="339"/>
      <c r="B128" s="252"/>
      <c r="C128" s="341" t="s">
        <v>575</v>
      </c>
      <c r="D128" s="263"/>
      <c r="E128" s="263">
        <v>0</v>
      </c>
      <c r="F128" s="263">
        <v>0</v>
      </c>
      <c r="G128" s="263">
        <v>0</v>
      </c>
      <c r="H128" s="263">
        <v>0</v>
      </c>
      <c r="I128" s="263">
        <v>0</v>
      </c>
      <c r="J128" s="263">
        <v>0</v>
      </c>
    </row>
    <row r="129" spans="1:10">
      <c r="A129" s="339"/>
      <c r="B129" s="252"/>
      <c r="C129" s="341" t="s">
        <v>70</v>
      </c>
      <c r="D129" s="263"/>
      <c r="E129" s="263">
        <v>0</v>
      </c>
      <c r="F129" s="263">
        <v>0</v>
      </c>
      <c r="G129" s="263">
        <v>0</v>
      </c>
      <c r="H129" s="263">
        <v>0</v>
      </c>
      <c r="I129" s="263">
        <v>0</v>
      </c>
      <c r="J129" s="263">
        <v>0</v>
      </c>
    </row>
    <row r="130" spans="1:10">
      <c r="A130" s="339"/>
      <c r="B130" s="252"/>
      <c r="C130" s="342" t="s">
        <v>75</v>
      </c>
      <c r="D130" s="357">
        <f t="shared" ref="D130:J130" si="13">SUBTOTAL(9,D124:D129)</f>
        <v>0</v>
      </c>
      <c r="E130" s="357">
        <f t="shared" si="13"/>
        <v>0.41600000000000004</v>
      </c>
      <c r="F130" s="357">
        <f t="shared" si="13"/>
        <v>0.41600000000000004</v>
      </c>
      <c r="G130" s="357">
        <f t="shared" si="13"/>
        <v>0.41600000000000004</v>
      </c>
      <c r="H130" s="357">
        <f t="shared" si="13"/>
        <v>0.41600000000000004</v>
      </c>
      <c r="I130" s="357">
        <f t="shared" si="13"/>
        <v>0.41600000000000004</v>
      </c>
      <c r="J130" s="357">
        <f t="shared" si="13"/>
        <v>0.41600000000000004</v>
      </c>
    </row>
    <row r="131" spans="1:10">
      <c r="A131" s="339"/>
      <c r="B131" s="252"/>
      <c r="C131" s="342"/>
      <c r="D131" s="329"/>
      <c r="E131" s="329"/>
      <c r="F131" s="329"/>
      <c r="G131" s="329"/>
      <c r="H131" s="329"/>
      <c r="I131" s="329"/>
      <c r="J131" s="329"/>
    </row>
    <row r="132" spans="1:10">
      <c r="A132" s="339">
        <f>+A123+1</f>
        <v>15</v>
      </c>
      <c r="B132" s="252" t="str">
        <f ca="1">OFFSET(List_AllocOpexListStart,A132,0)</f>
        <v>A-15</v>
      </c>
      <c r="C132" s="340" t="str">
        <f ca="1">VLOOKUP(B132,List_AllocatedCosts,2,FALSE)</f>
        <v>Purchasing and Contracts</v>
      </c>
      <c r="D132" s="329"/>
      <c r="E132" s="329"/>
      <c r="F132" s="329"/>
      <c r="G132" s="329"/>
      <c r="H132" s="329"/>
      <c r="I132" s="329"/>
      <c r="J132" s="329"/>
    </row>
    <row r="133" spans="1:10">
      <c r="A133" s="339"/>
      <c r="B133" s="252"/>
      <c r="C133" s="341" t="s">
        <v>68</v>
      </c>
      <c r="D133" s="771"/>
      <c r="E133" s="771">
        <v>3.3239999999999998</v>
      </c>
      <c r="F133" s="771">
        <v>3.3239999999999998</v>
      </c>
      <c r="G133" s="771">
        <v>3.3239999999999998</v>
      </c>
      <c r="H133" s="771">
        <v>3.3239999999999998</v>
      </c>
      <c r="I133" s="771">
        <v>3.3239999999999998</v>
      </c>
      <c r="J133" s="771">
        <v>3.3239999999999998</v>
      </c>
    </row>
    <row r="134" spans="1:10">
      <c r="A134" s="339"/>
      <c r="B134" s="252"/>
      <c r="C134" s="341" t="s">
        <v>69</v>
      </c>
      <c r="D134" s="771"/>
      <c r="E134" s="771">
        <v>-1.2E-2</v>
      </c>
      <c r="F134" s="771">
        <v>-1.2E-2</v>
      </c>
      <c r="G134" s="771">
        <v>-1.2E-2</v>
      </c>
      <c r="H134" s="771">
        <v>-1.2E-2</v>
      </c>
      <c r="I134" s="771">
        <v>-1.2E-2</v>
      </c>
      <c r="J134" s="771">
        <v>-1.2E-2</v>
      </c>
    </row>
    <row r="135" spans="1:10" s="759" customFormat="1">
      <c r="A135" s="339"/>
      <c r="B135" s="252"/>
      <c r="C135" s="341" t="s">
        <v>646</v>
      </c>
      <c r="D135" s="771"/>
      <c r="E135" s="771">
        <v>3.1E-2</v>
      </c>
      <c r="F135" s="771">
        <v>3.1E-2</v>
      </c>
      <c r="G135" s="771">
        <v>3.1E-2</v>
      </c>
      <c r="H135" s="771">
        <v>3.1E-2</v>
      </c>
      <c r="I135" s="771">
        <v>3.1E-2</v>
      </c>
      <c r="J135" s="771">
        <v>3.1E-2</v>
      </c>
    </row>
    <row r="136" spans="1:10">
      <c r="A136" s="339"/>
      <c r="B136" s="252"/>
      <c r="C136" s="341" t="s">
        <v>647</v>
      </c>
      <c r="D136" s="263"/>
      <c r="E136" s="263">
        <v>0.151</v>
      </c>
      <c r="F136" s="263">
        <v>0.151</v>
      </c>
      <c r="G136" s="263">
        <v>0.151</v>
      </c>
      <c r="H136" s="263">
        <v>0.151</v>
      </c>
      <c r="I136" s="263">
        <v>0.151</v>
      </c>
      <c r="J136" s="263">
        <v>0.151</v>
      </c>
    </row>
    <row r="137" spans="1:10" s="759" customFormat="1">
      <c r="A137" s="339"/>
      <c r="B137" s="252"/>
      <c r="C137" s="341" t="s">
        <v>575</v>
      </c>
      <c r="D137" s="263"/>
      <c r="E137" s="263">
        <v>0</v>
      </c>
      <c r="F137" s="263">
        <v>0</v>
      </c>
      <c r="G137" s="263">
        <v>0</v>
      </c>
      <c r="H137" s="263">
        <v>0</v>
      </c>
      <c r="I137" s="263">
        <v>0</v>
      </c>
      <c r="J137" s="263">
        <v>0</v>
      </c>
    </row>
    <row r="138" spans="1:10">
      <c r="A138" s="339"/>
      <c r="B138" s="252"/>
      <c r="C138" s="341" t="s">
        <v>70</v>
      </c>
      <c r="D138" s="263"/>
      <c r="E138" s="263">
        <v>0</v>
      </c>
      <c r="F138" s="263">
        <v>0</v>
      </c>
      <c r="G138" s="263">
        <v>0</v>
      </c>
      <c r="H138" s="263">
        <v>0</v>
      </c>
      <c r="I138" s="263">
        <v>0</v>
      </c>
      <c r="J138" s="263">
        <v>0</v>
      </c>
    </row>
    <row r="139" spans="1:10">
      <c r="A139" s="339"/>
      <c r="B139" s="252"/>
      <c r="C139" s="342" t="s">
        <v>75</v>
      </c>
      <c r="D139" s="357">
        <f t="shared" ref="D139:J139" si="14">SUBTOTAL(9,D133:D138)</f>
        <v>0</v>
      </c>
      <c r="E139" s="357">
        <f t="shared" si="14"/>
        <v>3.4939999999999998</v>
      </c>
      <c r="F139" s="357">
        <f t="shared" si="14"/>
        <v>3.4939999999999998</v>
      </c>
      <c r="G139" s="357">
        <f t="shared" si="14"/>
        <v>3.4939999999999998</v>
      </c>
      <c r="H139" s="357">
        <f t="shared" si="14"/>
        <v>3.4939999999999998</v>
      </c>
      <c r="I139" s="357">
        <f t="shared" si="14"/>
        <v>3.4939999999999998</v>
      </c>
      <c r="J139" s="357">
        <f t="shared" si="14"/>
        <v>3.4939999999999998</v>
      </c>
    </row>
    <row r="140" spans="1:10">
      <c r="A140" s="339"/>
      <c r="B140" s="252"/>
      <c r="C140" s="342"/>
      <c r="D140" s="329"/>
      <c r="E140" s="329"/>
      <c r="F140" s="329"/>
      <c r="G140" s="329"/>
      <c r="H140" s="329"/>
      <c r="I140" s="329"/>
      <c r="J140" s="329"/>
    </row>
    <row r="141" spans="1:10">
      <c r="A141" s="339">
        <f>+A132+1</f>
        <v>16</v>
      </c>
      <c r="B141" s="252" t="str">
        <f ca="1">OFFSET(List_AllocOpexListStart,A141,0)</f>
        <v>A-16</v>
      </c>
      <c r="C141" s="340" t="str">
        <f ca="1">VLOOKUP(B141,List_AllocatedCosts,2,FALSE)</f>
        <v>Finance - Adjustments</v>
      </c>
      <c r="D141" s="329"/>
      <c r="E141" s="329"/>
      <c r="F141" s="329"/>
      <c r="G141" s="329"/>
      <c r="H141" s="329"/>
      <c r="I141" s="329"/>
      <c r="J141" s="329"/>
    </row>
    <row r="142" spans="1:10">
      <c r="A142" s="3"/>
      <c r="B142" s="252"/>
      <c r="C142" s="341" t="s">
        <v>68</v>
      </c>
      <c r="D142" s="771"/>
      <c r="E142" s="771">
        <f>-3.817+0.49</f>
        <v>-3.327</v>
      </c>
      <c r="F142" s="771">
        <f t="shared" ref="F142:J142" si="15">-3.817+0.49</f>
        <v>-3.327</v>
      </c>
      <c r="G142" s="771">
        <f t="shared" si="15"/>
        <v>-3.327</v>
      </c>
      <c r="H142" s="771">
        <f t="shared" si="15"/>
        <v>-3.327</v>
      </c>
      <c r="I142" s="771">
        <f t="shared" si="15"/>
        <v>-3.327</v>
      </c>
      <c r="J142" s="771">
        <f t="shared" si="15"/>
        <v>-3.327</v>
      </c>
    </row>
    <row r="143" spans="1:10">
      <c r="A143" s="3"/>
      <c r="B143" s="252"/>
      <c r="C143" s="341" t="s">
        <v>69</v>
      </c>
      <c r="D143" s="771"/>
      <c r="E143" s="771">
        <v>-0.70199999999999996</v>
      </c>
      <c r="F143" s="771">
        <v>-0.70199999999999996</v>
      </c>
      <c r="G143" s="771">
        <v>-0.70199999999999996</v>
      </c>
      <c r="H143" s="771">
        <v>-0.70199999999999996</v>
      </c>
      <c r="I143" s="771">
        <v>-0.70199999999999996</v>
      </c>
      <c r="J143" s="771">
        <v>-0.70199999999999996</v>
      </c>
    </row>
    <row r="144" spans="1:10" s="759" customFormat="1">
      <c r="A144" s="544"/>
      <c r="B144" s="252"/>
      <c r="C144" s="341" t="s">
        <v>646</v>
      </c>
      <c r="D144" s="771"/>
      <c r="E144" s="771">
        <v>0</v>
      </c>
      <c r="F144" s="771">
        <v>0</v>
      </c>
      <c r="G144" s="771">
        <v>0</v>
      </c>
      <c r="H144" s="771">
        <v>0</v>
      </c>
      <c r="I144" s="771">
        <v>0</v>
      </c>
      <c r="J144" s="771">
        <v>0</v>
      </c>
    </row>
    <row r="145" spans="1:10">
      <c r="A145" s="3"/>
      <c r="B145" s="252"/>
      <c r="C145" s="341" t="s">
        <v>647</v>
      </c>
      <c r="D145" s="263"/>
      <c r="E145" s="263">
        <v>3.1479999999999997</v>
      </c>
      <c r="F145" s="263">
        <v>3.1479999999999997</v>
      </c>
      <c r="G145" s="263">
        <v>3.1479999999999997</v>
      </c>
      <c r="H145" s="263">
        <v>3.1479999999999997</v>
      </c>
      <c r="I145" s="263">
        <v>3.1479999999999997</v>
      </c>
      <c r="J145" s="263">
        <v>3.1479999999999997</v>
      </c>
    </row>
    <row r="146" spans="1:10" s="759" customFormat="1">
      <c r="A146" s="544"/>
      <c r="B146" s="252"/>
      <c r="C146" s="341" t="s">
        <v>575</v>
      </c>
      <c r="D146" s="263"/>
      <c r="E146" s="263">
        <v>0</v>
      </c>
      <c r="F146" s="263">
        <v>0</v>
      </c>
      <c r="G146" s="263">
        <v>0</v>
      </c>
      <c r="H146" s="263">
        <v>0</v>
      </c>
      <c r="I146" s="263">
        <v>0</v>
      </c>
      <c r="J146" s="263">
        <v>0</v>
      </c>
    </row>
    <row r="147" spans="1:10">
      <c r="A147" s="3"/>
      <c r="B147" s="252"/>
      <c r="C147" s="341" t="s">
        <v>70</v>
      </c>
      <c r="D147" s="263"/>
      <c r="E147" s="263">
        <v>0</v>
      </c>
      <c r="F147" s="263">
        <v>0</v>
      </c>
      <c r="G147" s="263">
        <v>0</v>
      </c>
      <c r="H147" s="263">
        <v>0</v>
      </c>
      <c r="I147" s="263">
        <v>0</v>
      </c>
      <c r="J147" s="263">
        <v>0</v>
      </c>
    </row>
    <row r="148" spans="1:10" ht="13.5" thickBot="1">
      <c r="A148" s="3"/>
      <c r="B148" s="252"/>
      <c r="C148" s="342" t="s">
        <v>75</v>
      </c>
      <c r="D148" s="357">
        <f t="shared" ref="D148:J148" si="16">SUBTOTAL(9,D142:D147)</f>
        <v>0</v>
      </c>
      <c r="E148" s="357">
        <f t="shared" si="16"/>
        <v>-0.88100000000000023</v>
      </c>
      <c r="F148" s="357">
        <f t="shared" si="16"/>
        <v>-0.88100000000000023</v>
      </c>
      <c r="G148" s="357">
        <f t="shared" si="16"/>
        <v>-0.88100000000000023</v>
      </c>
      <c r="H148" s="357">
        <f t="shared" si="16"/>
        <v>-0.88100000000000023</v>
      </c>
      <c r="I148" s="357">
        <f t="shared" si="16"/>
        <v>-0.88100000000000023</v>
      </c>
      <c r="J148" s="357">
        <f t="shared" si="16"/>
        <v>-0.88100000000000023</v>
      </c>
    </row>
    <row r="149" spans="1:10" ht="18">
      <c r="A149" s="3"/>
      <c r="B149" s="251"/>
      <c r="C149" s="255" t="str">
        <f>+'I-3 Allocated'!A21</f>
        <v>Corporate Services</v>
      </c>
      <c r="D149" s="329"/>
      <c r="E149" s="329"/>
      <c r="F149" s="329"/>
      <c r="G149" s="329"/>
      <c r="H149" s="329"/>
      <c r="I149" s="329"/>
      <c r="J149" s="329"/>
    </row>
    <row r="150" spans="1:10">
      <c r="A150" s="339">
        <f>+A141+1</f>
        <v>17</v>
      </c>
      <c r="B150" s="252" t="str">
        <f ca="1">OFFSET(List_AllocOpexListStart,A150,0)</f>
        <v>A-17</v>
      </c>
      <c r="C150" s="340" t="str">
        <f ca="1">VLOOKUP(B150,List_AllocatedCosts,2,FALSE)</f>
        <v>General Manager Corporate Services</v>
      </c>
      <c r="D150" s="329"/>
      <c r="E150" s="329"/>
      <c r="F150" s="329"/>
      <c r="G150" s="329"/>
      <c r="H150" s="329"/>
      <c r="I150" s="329"/>
      <c r="J150" s="329"/>
    </row>
    <row r="151" spans="1:10">
      <c r="A151" s="339"/>
      <c r="B151" s="252"/>
      <c r="C151" s="341" t="s">
        <v>68</v>
      </c>
      <c r="D151" s="771"/>
      <c r="E151" s="771">
        <v>0.49199999999999999</v>
      </c>
      <c r="F151" s="771">
        <v>0.49199999999999999</v>
      </c>
      <c r="G151" s="771">
        <v>0.49199999999999999</v>
      </c>
      <c r="H151" s="771">
        <v>0.49199999999999999</v>
      </c>
      <c r="I151" s="771">
        <v>0.49199999999999999</v>
      </c>
      <c r="J151" s="771">
        <v>0.49199999999999999</v>
      </c>
    </row>
    <row r="152" spans="1:10">
      <c r="A152" s="339"/>
      <c r="B152" s="252"/>
      <c r="C152" s="341" t="s">
        <v>69</v>
      </c>
      <c r="D152" s="771"/>
      <c r="E152" s="771">
        <v>7.0000000000000001E-3</v>
      </c>
      <c r="F152" s="771">
        <v>7.0000000000000001E-3</v>
      </c>
      <c r="G152" s="771">
        <v>7.0000000000000001E-3</v>
      </c>
      <c r="H152" s="771">
        <v>7.0000000000000001E-3</v>
      </c>
      <c r="I152" s="771">
        <v>7.0000000000000001E-3</v>
      </c>
      <c r="J152" s="771">
        <v>7.0000000000000001E-3</v>
      </c>
    </row>
    <row r="153" spans="1:10" s="759" customFormat="1">
      <c r="A153" s="339"/>
      <c r="B153" s="252"/>
      <c r="C153" s="341" t="s">
        <v>646</v>
      </c>
      <c r="D153" s="771"/>
      <c r="E153" s="771">
        <v>0</v>
      </c>
      <c r="F153" s="771">
        <v>0</v>
      </c>
      <c r="G153" s="771">
        <v>0</v>
      </c>
      <c r="H153" s="771">
        <v>0</v>
      </c>
      <c r="I153" s="771">
        <v>0</v>
      </c>
      <c r="J153" s="771">
        <v>0</v>
      </c>
    </row>
    <row r="154" spans="1:10">
      <c r="A154" s="339"/>
      <c r="B154" s="252"/>
      <c r="C154" s="341" t="s">
        <v>647</v>
      </c>
      <c r="D154" s="263"/>
      <c r="E154" s="263">
        <v>4.9000000000000002E-2</v>
      </c>
      <c r="F154" s="263">
        <v>4.9000000000000002E-2</v>
      </c>
      <c r="G154" s="263">
        <v>4.9000000000000002E-2</v>
      </c>
      <c r="H154" s="263">
        <v>4.9000000000000002E-2</v>
      </c>
      <c r="I154" s="263">
        <v>4.9000000000000002E-2</v>
      </c>
      <c r="J154" s="263">
        <v>4.9000000000000002E-2</v>
      </c>
    </row>
    <row r="155" spans="1:10" s="759" customFormat="1">
      <c r="A155" s="339"/>
      <c r="B155" s="252"/>
      <c r="C155" s="341" t="s">
        <v>575</v>
      </c>
      <c r="D155" s="263"/>
      <c r="E155" s="263">
        <v>0</v>
      </c>
      <c r="F155" s="263">
        <v>0</v>
      </c>
      <c r="G155" s="263">
        <v>0</v>
      </c>
      <c r="H155" s="263">
        <v>0</v>
      </c>
      <c r="I155" s="263">
        <v>0</v>
      </c>
      <c r="J155" s="263">
        <v>0</v>
      </c>
    </row>
    <row r="156" spans="1:10">
      <c r="A156" s="339"/>
      <c r="B156" s="252"/>
      <c r="C156" s="341" t="s">
        <v>70</v>
      </c>
      <c r="D156" s="263"/>
      <c r="E156" s="263">
        <v>0</v>
      </c>
      <c r="F156" s="263">
        <v>0</v>
      </c>
      <c r="G156" s="263">
        <v>0</v>
      </c>
      <c r="H156" s="263">
        <v>0</v>
      </c>
      <c r="I156" s="263">
        <v>0</v>
      </c>
      <c r="J156" s="263">
        <v>0</v>
      </c>
    </row>
    <row r="157" spans="1:10">
      <c r="A157" s="339"/>
      <c r="B157" s="252"/>
      <c r="C157" s="342" t="s">
        <v>75</v>
      </c>
      <c r="D157" s="357">
        <f t="shared" ref="D157:J157" si="17">SUBTOTAL(9,D151:D156)</f>
        <v>0</v>
      </c>
      <c r="E157" s="357">
        <f t="shared" si="17"/>
        <v>0.54800000000000004</v>
      </c>
      <c r="F157" s="357">
        <f t="shared" si="17"/>
        <v>0.54800000000000004</v>
      </c>
      <c r="G157" s="357">
        <f t="shared" si="17"/>
        <v>0.54800000000000004</v>
      </c>
      <c r="H157" s="357">
        <f t="shared" si="17"/>
        <v>0.54800000000000004</v>
      </c>
      <c r="I157" s="357">
        <f t="shared" si="17"/>
        <v>0.54800000000000004</v>
      </c>
      <c r="J157" s="357">
        <f t="shared" si="17"/>
        <v>0.54800000000000004</v>
      </c>
    </row>
    <row r="158" spans="1:10">
      <c r="A158" s="339"/>
      <c r="B158" s="252"/>
      <c r="C158" s="342"/>
      <c r="D158" s="329"/>
      <c r="E158" s="329"/>
      <c r="F158" s="329"/>
      <c r="G158" s="329"/>
      <c r="H158" s="329"/>
      <c r="I158" s="329"/>
      <c r="J158" s="329"/>
    </row>
    <row r="159" spans="1:10">
      <c r="A159" s="339">
        <f>+A150+1</f>
        <v>18</v>
      </c>
      <c r="B159" s="252" t="str">
        <f ca="1">OFFSET(List_AllocOpexListStart,A159,0)</f>
        <v>A-18</v>
      </c>
      <c r="C159" s="340" t="str">
        <f ca="1">VLOOKUP(B159,List_AllocatedCosts,2,FALSE)</f>
        <v>Employee Relations</v>
      </c>
      <c r="D159" s="329"/>
      <c r="E159" s="329"/>
      <c r="F159" s="329"/>
      <c r="G159" s="329"/>
      <c r="H159" s="329"/>
      <c r="I159" s="329"/>
      <c r="J159" s="329"/>
    </row>
    <row r="160" spans="1:10">
      <c r="A160" s="339"/>
      <c r="B160" s="252"/>
      <c r="C160" s="341" t="s">
        <v>68</v>
      </c>
      <c r="D160" s="771"/>
      <c r="E160" s="771">
        <v>2.7430000000000003</v>
      </c>
      <c r="F160" s="771">
        <v>2.7430000000000003</v>
      </c>
      <c r="G160" s="771">
        <v>2.7430000000000003</v>
      </c>
      <c r="H160" s="771">
        <v>2.7430000000000003</v>
      </c>
      <c r="I160" s="771">
        <v>2.7430000000000003</v>
      </c>
      <c r="J160" s="771">
        <v>2.7430000000000003</v>
      </c>
    </row>
    <row r="161" spans="1:10">
      <c r="A161" s="339"/>
      <c r="B161" s="252"/>
      <c r="C161" s="341" t="s">
        <v>69</v>
      </c>
      <c r="D161" s="771"/>
      <c r="E161" s="771">
        <v>2.7E-2</v>
      </c>
      <c r="F161" s="771">
        <v>2.7E-2</v>
      </c>
      <c r="G161" s="771">
        <v>2.7E-2</v>
      </c>
      <c r="H161" s="771">
        <v>2.7E-2</v>
      </c>
      <c r="I161" s="771">
        <v>2.7E-2</v>
      </c>
      <c r="J161" s="771">
        <v>2.7E-2</v>
      </c>
    </row>
    <row r="162" spans="1:10" s="759" customFormat="1">
      <c r="A162" s="339"/>
      <c r="B162" s="252"/>
      <c r="C162" s="341" t="s">
        <v>646</v>
      </c>
      <c r="D162" s="771"/>
      <c r="E162" s="771">
        <v>5.7000000000000002E-2</v>
      </c>
      <c r="F162" s="771">
        <v>5.7000000000000002E-2</v>
      </c>
      <c r="G162" s="771">
        <v>5.7000000000000002E-2</v>
      </c>
      <c r="H162" s="771">
        <v>5.7000000000000002E-2</v>
      </c>
      <c r="I162" s="771">
        <v>5.7000000000000002E-2</v>
      </c>
      <c r="J162" s="771">
        <v>5.7000000000000002E-2</v>
      </c>
    </row>
    <row r="163" spans="1:10">
      <c r="A163" s="339"/>
      <c r="B163" s="252"/>
      <c r="C163" s="341" t="s">
        <v>647</v>
      </c>
      <c r="D163" s="263"/>
      <c r="E163" s="263">
        <v>0.36599999999999999</v>
      </c>
      <c r="F163" s="263">
        <v>0.36599999999999999</v>
      </c>
      <c r="G163" s="263">
        <v>0.36599999999999999</v>
      </c>
      <c r="H163" s="263">
        <v>0.36599999999999999</v>
      </c>
      <c r="I163" s="263">
        <v>0.36599999999999999</v>
      </c>
      <c r="J163" s="263">
        <v>0.36599999999999999</v>
      </c>
    </row>
    <row r="164" spans="1:10" s="759" customFormat="1">
      <c r="A164" s="339"/>
      <c r="B164" s="252"/>
      <c r="C164" s="341" t="s">
        <v>575</v>
      </c>
      <c r="D164" s="263"/>
      <c r="E164" s="263">
        <v>0</v>
      </c>
      <c r="F164" s="263">
        <v>0</v>
      </c>
      <c r="G164" s="263">
        <v>0</v>
      </c>
      <c r="H164" s="263">
        <v>0</v>
      </c>
      <c r="I164" s="263">
        <v>0</v>
      </c>
      <c r="J164" s="263">
        <v>0</v>
      </c>
    </row>
    <row r="165" spans="1:10">
      <c r="A165" s="339"/>
      <c r="B165" s="252"/>
      <c r="C165" s="341" t="s">
        <v>70</v>
      </c>
      <c r="D165" s="263"/>
      <c r="E165" s="263">
        <v>0</v>
      </c>
      <c r="F165" s="263">
        <v>0</v>
      </c>
      <c r="G165" s="263">
        <v>0</v>
      </c>
      <c r="H165" s="263">
        <v>0</v>
      </c>
      <c r="I165" s="263">
        <v>0</v>
      </c>
      <c r="J165" s="263">
        <v>0</v>
      </c>
    </row>
    <row r="166" spans="1:10">
      <c r="A166" s="339"/>
      <c r="B166" s="252"/>
      <c r="C166" s="342" t="s">
        <v>75</v>
      </c>
      <c r="D166" s="357">
        <f t="shared" ref="D166:J166" si="18">SUBTOTAL(9,D160:D165)</f>
        <v>0</v>
      </c>
      <c r="E166" s="357">
        <f t="shared" si="18"/>
        <v>3.1930000000000005</v>
      </c>
      <c r="F166" s="357">
        <f t="shared" si="18"/>
        <v>3.1930000000000005</v>
      </c>
      <c r="G166" s="357">
        <f t="shared" si="18"/>
        <v>3.1930000000000005</v>
      </c>
      <c r="H166" s="357">
        <f t="shared" si="18"/>
        <v>3.1930000000000005</v>
      </c>
      <c r="I166" s="357">
        <f t="shared" si="18"/>
        <v>3.1930000000000005</v>
      </c>
      <c r="J166" s="357">
        <f t="shared" si="18"/>
        <v>3.1930000000000005</v>
      </c>
    </row>
    <row r="167" spans="1:10">
      <c r="A167" s="339"/>
      <c r="B167" s="252"/>
      <c r="C167" s="342"/>
      <c r="D167" s="329"/>
      <c r="E167" s="329"/>
      <c r="F167" s="329"/>
      <c r="G167" s="329"/>
      <c r="H167" s="329"/>
      <c r="I167" s="329"/>
      <c r="J167" s="329"/>
    </row>
    <row r="168" spans="1:10">
      <c r="A168" s="339">
        <f>+A159+1</f>
        <v>19</v>
      </c>
      <c r="B168" s="252" t="str">
        <f ca="1">OFFSET(List_AllocOpexListStart,A168,0)</f>
        <v>A-19</v>
      </c>
      <c r="C168" s="340" t="str">
        <f ca="1">VLOOKUP(B168,List_AllocatedCosts,2,FALSE)</f>
        <v>Workforce Development</v>
      </c>
      <c r="D168" s="329"/>
      <c r="E168" s="329"/>
      <c r="F168" s="329"/>
      <c r="G168" s="329"/>
      <c r="H168" s="329"/>
      <c r="I168" s="329"/>
      <c r="J168" s="329"/>
    </row>
    <row r="169" spans="1:10">
      <c r="A169" s="3"/>
      <c r="B169" s="252"/>
      <c r="C169" s="341" t="s">
        <v>68</v>
      </c>
      <c r="D169" s="771"/>
      <c r="E169" s="771">
        <v>0.70200000000000007</v>
      </c>
      <c r="F169" s="771">
        <v>0.70200000000000007</v>
      </c>
      <c r="G169" s="771">
        <v>0.70200000000000007</v>
      </c>
      <c r="H169" s="771">
        <v>0.70200000000000007</v>
      </c>
      <c r="I169" s="771">
        <v>0.70200000000000007</v>
      </c>
      <c r="J169" s="771">
        <v>0.70200000000000007</v>
      </c>
    </row>
    <row r="170" spans="1:10">
      <c r="A170" s="3"/>
      <c r="B170" s="252"/>
      <c r="C170" s="341" t="s">
        <v>69</v>
      </c>
      <c r="D170" s="771"/>
      <c r="E170" s="771">
        <v>0.13</v>
      </c>
      <c r="F170" s="771">
        <v>0.13</v>
      </c>
      <c r="G170" s="771">
        <v>0.13</v>
      </c>
      <c r="H170" s="771">
        <v>0.13</v>
      </c>
      <c r="I170" s="771">
        <v>0.13</v>
      </c>
      <c r="J170" s="771">
        <v>0.13</v>
      </c>
    </row>
    <row r="171" spans="1:10" s="759" customFormat="1">
      <c r="A171" s="544"/>
      <c r="B171" s="252"/>
      <c r="C171" s="341" t="s">
        <v>646</v>
      </c>
      <c r="D171" s="771"/>
      <c r="E171" s="771">
        <v>0</v>
      </c>
      <c r="F171" s="771">
        <v>0</v>
      </c>
      <c r="G171" s="771">
        <v>0</v>
      </c>
      <c r="H171" s="771">
        <v>0</v>
      </c>
      <c r="I171" s="771">
        <v>0</v>
      </c>
      <c r="J171" s="771">
        <v>0</v>
      </c>
    </row>
    <row r="172" spans="1:10">
      <c r="A172" s="3"/>
      <c r="B172" s="252"/>
      <c r="C172" s="341" t="s">
        <v>647</v>
      </c>
      <c r="D172" s="263"/>
      <c r="E172" s="263">
        <v>6.8000000000000005E-2</v>
      </c>
      <c r="F172" s="263">
        <v>6.8000000000000005E-2</v>
      </c>
      <c r="G172" s="263">
        <v>6.8000000000000005E-2</v>
      </c>
      <c r="H172" s="263">
        <v>6.8000000000000005E-2</v>
      </c>
      <c r="I172" s="263">
        <v>6.8000000000000005E-2</v>
      </c>
      <c r="J172" s="263">
        <v>6.8000000000000005E-2</v>
      </c>
    </row>
    <row r="173" spans="1:10" s="759" customFormat="1">
      <c r="A173" s="544"/>
      <c r="B173" s="252"/>
      <c r="C173" s="341" t="s">
        <v>575</v>
      </c>
      <c r="D173" s="263"/>
      <c r="E173" s="263">
        <v>0</v>
      </c>
      <c r="F173" s="263">
        <v>0</v>
      </c>
      <c r="G173" s="263">
        <v>0</v>
      </c>
      <c r="H173" s="263">
        <v>0</v>
      </c>
      <c r="I173" s="263">
        <v>0</v>
      </c>
      <c r="J173" s="263">
        <v>0</v>
      </c>
    </row>
    <row r="174" spans="1:10">
      <c r="A174" s="3"/>
      <c r="B174" s="252"/>
      <c r="C174" s="341" t="s">
        <v>70</v>
      </c>
      <c r="D174" s="263"/>
      <c r="E174" s="263">
        <v>0</v>
      </c>
      <c r="F174" s="263">
        <v>0</v>
      </c>
      <c r="G174" s="263">
        <v>0</v>
      </c>
      <c r="H174" s="263">
        <v>0</v>
      </c>
      <c r="I174" s="263">
        <v>0</v>
      </c>
      <c r="J174" s="263">
        <v>0</v>
      </c>
    </row>
    <row r="175" spans="1:10">
      <c r="A175" s="3"/>
      <c r="B175" s="252"/>
      <c r="C175" s="342" t="s">
        <v>75</v>
      </c>
      <c r="D175" s="357">
        <f t="shared" ref="D175:J175" si="19">SUBTOTAL(9,D169:D174)</f>
        <v>0</v>
      </c>
      <c r="E175" s="357">
        <f t="shared" si="19"/>
        <v>0.90000000000000013</v>
      </c>
      <c r="F175" s="357">
        <f t="shared" si="19"/>
        <v>0.90000000000000013</v>
      </c>
      <c r="G175" s="357">
        <f t="shared" si="19"/>
        <v>0.90000000000000013</v>
      </c>
      <c r="H175" s="357">
        <f t="shared" si="19"/>
        <v>0.90000000000000013</v>
      </c>
      <c r="I175" s="357">
        <f t="shared" si="19"/>
        <v>0.90000000000000013</v>
      </c>
      <c r="J175" s="357">
        <f t="shared" si="19"/>
        <v>0.90000000000000013</v>
      </c>
    </row>
    <row r="176" spans="1:10">
      <c r="A176" s="3"/>
      <c r="B176" s="252"/>
      <c r="C176" s="342"/>
      <c r="D176" s="329"/>
      <c r="E176" s="329"/>
      <c r="F176" s="329"/>
      <c r="G176" s="329"/>
      <c r="H176" s="329"/>
      <c r="I176" s="329"/>
      <c r="J176" s="329"/>
    </row>
    <row r="177" spans="1:10">
      <c r="A177" s="339">
        <f>+A168+1</f>
        <v>20</v>
      </c>
      <c r="B177" s="252" t="str">
        <f ca="1">OFFSET(List_AllocOpexListStart,A177,0)</f>
        <v>A-20</v>
      </c>
      <c r="C177" s="340" t="str">
        <f ca="1">VLOOKUP(B177,List_AllocatedCosts,2,FALSE)</f>
        <v>Training Centre</v>
      </c>
      <c r="D177" s="329"/>
      <c r="E177" s="329"/>
      <c r="F177" s="329"/>
      <c r="G177" s="329"/>
      <c r="H177" s="329"/>
      <c r="I177" s="329"/>
      <c r="J177" s="329"/>
    </row>
    <row r="178" spans="1:10">
      <c r="A178" s="339"/>
      <c r="B178" s="252"/>
      <c r="C178" s="341" t="s">
        <v>68</v>
      </c>
      <c r="D178" s="771"/>
      <c r="E178" s="771">
        <v>2.9750000000000001</v>
      </c>
      <c r="F178" s="771">
        <v>2.9750000000000001</v>
      </c>
      <c r="G178" s="771">
        <v>2.9750000000000001</v>
      </c>
      <c r="H178" s="771">
        <v>2.9750000000000001</v>
      </c>
      <c r="I178" s="771">
        <v>2.9750000000000001</v>
      </c>
      <c r="J178" s="771">
        <v>2.9750000000000001</v>
      </c>
    </row>
    <row r="179" spans="1:10">
      <c r="A179" s="339"/>
      <c r="B179" s="252"/>
      <c r="C179" s="341" t="s">
        <v>69</v>
      </c>
      <c r="D179" s="771"/>
      <c r="E179" s="771">
        <v>0.14200000000000002</v>
      </c>
      <c r="F179" s="771">
        <v>0.14200000000000002</v>
      </c>
      <c r="G179" s="771">
        <v>0.14200000000000002</v>
      </c>
      <c r="H179" s="771">
        <v>0.14200000000000002</v>
      </c>
      <c r="I179" s="771">
        <v>0.14200000000000002</v>
      </c>
      <c r="J179" s="771">
        <v>0.14200000000000002</v>
      </c>
    </row>
    <row r="180" spans="1:10" s="759" customFormat="1">
      <c r="A180" s="339"/>
      <c r="B180" s="252"/>
      <c r="C180" s="341" t="s">
        <v>646</v>
      </c>
      <c r="D180" s="771"/>
      <c r="E180" s="771">
        <v>0</v>
      </c>
      <c r="F180" s="771">
        <v>0</v>
      </c>
      <c r="G180" s="771">
        <v>0</v>
      </c>
      <c r="H180" s="771">
        <v>0</v>
      </c>
      <c r="I180" s="771">
        <v>0</v>
      </c>
      <c r="J180" s="771">
        <v>0</v>
      </c>
    </row>
    <row r="181" spans="1:10">
      <c r="A181" s="339"/>
      <c r="B181" s="252"/>
      <c r="C181" s="341" t="s">
        <v>647</v>
      </c>
      <c r="D181" s="263"/>
      <c r="E181" s="263">
        <v>0.371</v>
      </c>
      <c r="F181" s="263">
        <v>0.371</v>
      </c>
      <c r="G181" s="263">
        <v>0.371</v>
      </c>
      <c r="H181" s="263">
        <v>0.371</v>
      </c>
      <c r="I181" s="263">
        <v>0.371</v>
      </c>
      <c r="J181" s="263">
        <v>0.371</v>
      </c>
    </row>
    <row r="182" spans="1:10" s="759" customFormat="1">
      <c r="A182" s="339"/>
      <c r="B182" s="252"/>
      <c r="C182" s="341" t="s">
        <v>575</v>
      </c>
      <c r="D182" s="263"/>
      <c r="E182" s="263">
        <v>0</v>
      </c>
      <c r="F182" s="263">
        <v>0</v>
      </c>
      <c r="G182" s="263">
        <v>0</v>
      </c>
      <c r="H182" s="263">
        <v>0</v>
      </c>
      <c r="I182" s="263">
        <v>0</v>
      </c>
      <c r="J182" s="263">
        <v>0</v>
      </c>
    </row>
    <row r="183" spans="1:10">
      <c r="A183" s="339"/>
      <c r="B183" s="252"/>
      <c r="C183" s="341" t="s">
        <v>70</v>
      </c>
      <c r="D183" s="263"/>
      <c r="E183" s="263">
        <v>0</v>
      </c>
      <c r="F183" s="263">
        <v>0</v>
      </c>
      <c r="G183" s="263">
        <v>0</v>
      </c>
      <c r="H183" s="263">
        <v>0</v>
      </c>
      <c r="I183" s="263">
        <v>0</v>
      </c>
      <c r="J183" s="263">
        <v>0</v>
      </c>
    </row>
    <row r="184" spans="1:10">
      <c r="A184" s="339"/>
      <c r="B184" s="252"/>
      <c r="C184" s="342" t="s">
        <v>75</v>
      </c>
      <c r="D184" s="357">
        <f t="shared" ref="D184:J184" si="20">SUBTOTAL(9,D178:D183)</f>
        <v>0</v>
      </c>
      <c r="E184" s="357">
        <f t="shared" si="20"/>
        <v>3.488</v>
      </c>
      <c r="F184" s="357">
        <f t="shared" si="20"/>
        <v>3.488</v>
      </c>
      <c r="G184" s="357">
        <f t="shared" si="20"/>
        <v>3.488</v>
      </c>
      <c r="H184" s="357">
        <f t="shared" si="20"/>
        <v>3.488</v>
      </c>
      <c r="I184" s="357">
        <f t="shared" si="20"/>
        <v>3.488</v>
      </c>
      <c r="J184" s="357">
        <f t="shared" si="20"/>
        <v>3.488</v>
      </c>
    </row>
    <row r="185" spans="1:10">
      <c r="A185" s="339"/>
      <c r="B185" s="252"/>
      <c r="C185" s="342"/>
      <c r="D185" s="329"/>
      <c r="E185" s="329"/>
      <c r="F185" s="329"/>
      <c r="G185" s="329"/>
      <c r="H185" s="329"/>
      <c r="I185" s="329"/>
      <c r="J185" s="329"/>
    </row>
    <row r="186" spans="1:10">
      <c r="A186" s="339">
        <f>+A177+1</f>
        <v>21</v>
      </c>
      <c r="B186" s="252" t="str">
        <f ca="1">OFFSET(List_AllocOpexListStart,A186,0)</f>
        <v>A-21</v>
      </c>
      <c r="C186" s="340" t="str">
        <f ca="1">VLOOKUP(B186,List_AllocatedCosts,2,FALSE)</f>
        <v>Apprentice Training</v>
      </c>
      <c r="D186" s="329"/>
      <c r="E186" s="329"/>
      <c r="F186" s="329"/>
      <c r="G186" s="329"/>
      <c r="H186" s="329"/>
      <c r="I186" s="329"/>
      <c r="J186" s="329"/>
    </row>
    <row r="187" spans="1:10">
      <c r="A187" s="3"/>
      <c r="B187" s="252"/>
      <c r="C187" s="341" t="s">
        <v>68</v>
      </c>
      <c r="D187" s="771"/>
      <c r="E187" s="771">
        <v>1.4E-2</v>
      </c>
      <c r="F187" s="771">
        <v>1.4E-2</v>
      </c>
      <c r="G187" s="771">
        <v>1.4E-2</v>
      </c>
      <c r="H187" s="771">
        <v>1.4E-2</v>
      </c>
      <c r="I187" s="771">
        <v>1.4E-2</v>
      </c>
      <c r="J187" s="771">
        <v>1.4E-2</v>
      </c>
    </row>
    <row r="188" spans="1:10" s="759" customFormat="1">
      <c r="A188" s="544"/>
      <c r="B188" s="252"/>
      <c r="C188" s="341" t="s">
        <v>69</v>
      </c>
      <c r="D188" s="771"/>
      <c r="E188" s="771">
        <v>1E-3</v>
      </c>
      <c r="F188" s="771">
        <v>1E-3</v>
      </c>
      <c r="G188" s="771">
        <v>1E-3</v>
      </c>
      <c r="H188" s="771">
        <v>1E-3</v>
      </c>
      <c r="I188" s="771">
        <v>1E-3</v>
      </c>
      <c r="J188" s="771">
        <v>1E-3</v>
      </c>
    </row>
    <row r="189" spans="1:10">
      <c r="A189" s="3"/>
      <c r="B189" s="252"/>
      <c r="C189" s="341" t="s">
        <v>646</v>
      </c>
      <c r="D189" s="771"/>
      <c r="E189" s="771">
        <v>2E-3</v>
      </c>
      <c r="F189" s="771">
        <v>2E-3</v>
      </c>
      <c r="G189" s="771">
        <v>2E-3</v>
      </c>
      <c r="H189" s="771">
        <v>2E-3</v>
      </c>
      <c r="I189" s="771">
        <v>2E-3</v>
      </c>
      <c r="J189" s="771">
        <v>2E-3</v>
      </c>
    </row>
    <row r="190" spans="1:10" s="759" customFormat="1">
      <c r="A190" s="544"/>
      <c r="B190" s="252"/>
      <c r="C190" s="341" t="s">
        <v>647</v>
      </c>
      <c r="D190" s="263"/>
      <c r="E190" s="263">
        <v>0</v>
      </c>
      <c r="F190" s="263">
        <v>0</v>
      </c>
      <c r="G190" s="263">
        <v>0</v>
      </c>
      <c r="H190" s="263">
        <v>0</v>
      </c>
      <c r="I190" s="263">
        <v>0</v>
      </c>
      <c r="J190" s="263">
        <v>0</v>
      </c>
    </row>
    <row r="191" spans="1:10">
      <c r="A191" s="3"/>
      <c r="B191" s="252"/>
      <c r="C191" s="341" t="s">
        <v>575</v>
      </c>
      <c r="D191" s="263"/>
      <c r="E191" s="263">
        <v>0</v>
      </c>
      <c r="F191" s="263">
        <v>0</v>
      </c>
      <c r="G191" s="263">
        <v>0</v>
      </c>
      <c r="H191" s="263">
        <v>0</v>
      </c>
      <c r="I191" s="263">
        <v>0</v>
      </c>
      <c r="J191" s="263">
        <v>0</v>
      </c>
    </row>
    <row r="192" spans="1:10">
      <c r="A192" s="3"/>
      <c r="B192" s="252"/>
      <c r="C192" s="341" t="s">
        <v>70</v>
      </c>
      <c r="D192" s="263"/>
      <c r="E192" s="263">
        <v>0</v>
      </c>
      <c r="F192" s="263">
        <v>0</v>
      </c>
      <c r="G192" s="263">
        <v>0</v>
      </c>
      <c r="H192" s="263">
        <v>0</v>
      </c>
      <c r="I192" s="263">
        <v>0</v>
      </c>
      <c r="J192" s="263">
        <v>0</v>
      </c>
    </row>
    <row r="193" spans="1:10">
      <c r="A193" s="3"/>
      <c r="B193" s="252"/>
      <c r="C193" s="342" t="s">
        <v>75</v>
      </c>
      <c r="D193" s="357">
        <f t="shared" ref="D193:J193" si="21">SUBTOTAL(9,D187:D192)</f>
        <v>0</v>
      </c>
      <c r="E193" s="357">
        <f t="shared" si="21"/>
        <v>1.7000000000000001E-2</v>
      </c>
      <c r="F193" s="357">
        <f t="shared" si="21"/>
        <v>1.7000000000000001E-2</v>
      </c>
      <c r="G193" s="357">
        <f t="shared" si="21"/>
        <v>1.7000000000000001E-2</v>
      </c>
      <c r="H193" s="357">
        <f t="shared" si="21"/>
        <v>1.7000000000000001E-2</v>
      </c>
      <c r="I193" s="357">
        <f t="shared" si="21"/>
        <v>1.7000000000000001E-2</v>
      </c>
      <c r="J193" s="357">
        <f t="shared" si="21"/>
        <v>1.7000000000000001E-2</v>
      </c>
    </row>
    <row r="194" spans="1:10">
      <c r="A194" s="3"/>
      <c r="B194" s="252"/>
      <c r="C194" s="350"/>
      <c r="D194" s="329"/>
      <c r="E194" s="329"/>
      <c r="F194" s="329"/>
      <c r="G194" s="329"/>
      <c r="H194" s="329"/>
      <c r="I194" s="329"/>
      <c r="J194" s="329"/>
    </row>
    <row r="195" spans="1:10">
      <c r="A195" s="339">
        <f>+A186+1</f>
        <v>22</v>
      </c>
      <c r="B195" s="252" t="str">
        <f ca="1">OFFSET(List_AllocOpexListStart,A195,0)</f>
        <v>A-22</v>
      </c>
      <c r="C195" s="340" t="str">
        <f ca="1">VLOOKUP(B195,List_AllocatedCosts,2,FALSE)</f>
        <v>Training Centre Management</v>
      </c>
      <c r="D195" s="329"/>
      <c r="E195" s="329"/>
      <c r="F195" s="329"/>
      <c r="G195" s="329"/>
      <c r="H195" s="329"/>
      <c r="I195" s="329"/>
      <c r="J195" s="329"/>
    </row>
    <row r="196" spans="1:10">
      <c r="A196" s="339"/>
      <c r="B196" s="252"/>
      <c r="C196" s="341" t="s">
        <v>68</v>
      </c>
      <c r="D196" s="771"/>
      <c r="E196" s="771">
        <v>1.0049999999999999</v>
      </c>
      <c r="F196" s="771">
        <v>1.0049999999999999</v>
      </c>
      <c r="G196" s="771">
        <v>1.0049999999999999</v>
      </c>
      <c r="H196" s="771">
        <v>1.0049999999999999</v>
      </c>
      <c r="I196" s="771">
        <v>1.0049999999999999</v>
      </c>
      <c r="J196" s="771">
        <v>1.0049999999999999</v>
      </c>
    </row>
    <row r="197" spans="1:10">
      <c r="A197" s="339"/>
      <c r="B197" s="252"/>
      <c r="C197" s="341" t="s">
        <v>69</v>
      </c>
      <c r="D197" s="771"/>
      <c r="E197" s="771">
        <v>-2.2000000000000002E-2</v>
      </c>
      <c r="F197" s="771">
        <v>-2.2000000000000002E-2</v>
      </c>
      <c r="G197" s="771">
        <v>-2.2000000000000002E-2</v>
      </c>
      <c r="H197" s="771">
        <v>-2.2000000000000002E-2</v>
      </c>
      <c r="I197" s="771">
        <v>-2.2000000000000002E-2</v>
      </c>
      <c r="J197" s="771">
        <v>-2.2000000000000002E-2</v>
      </c>
    </row>
    <row r="198" spans="1:10" s="759" customFormat="1">
      <c r="A198" s="339"/>
      <c r="B198" s="252"/>
      <c r="C198" s="341" t="s">
        <v>646</v>
      </c>
      <c r="D198" s="771"/>
      <c r="E198" s="771">
        <v>1.7000000000000001E-2</v>
      </c>
      <c r="F198" s="771">
        <v>1.7000000000000001E-2</v>
      </c>
      <c r="G198" s="771">
        <v>1.7000000000000001E-2</v>
      </c>
      <c r="H198" s="771">
        <v>1.7000000000000001E-2</v>
      </c>
      <c r="I198" s="771">
        <v>1.7000000000000001E-2</v>
      </c>
      <c r="J198" s="771">
        <v>1.7000000000000001E-2</v>
      </c>
    </row>
    <row r="199" spans="1:10">
      <c r="A199" s="339"/>
      <c r="B199" s="252"/>
      <c r="C199" s="341" t="s">
        <v>647</v>
      </c>
      <c r="D199" s="263"/>
      <c r="E199" s="263">
        <v>5.3999999999999999E-2</v>
      </c>
      <c r="F199" s="263">
        <v>5.3999999999999999E-2</v>
      </c>
      <c r="G199" s="263">
        <v>5.3999999999999999E-2</v>
      </c>
      <c r="H199" s="263">
        <v>5.3999999999999999E-2</v>
      </c>
      <c r="I199" s="263">
        <v>5.3999999999999999E-2</v>
      </c>
      <c r="J199" s="263">
        <v>5.3999999999999999E-2</v>
      </c>
    </row>
    <row r="200" spans="1:10" s="759" customFormat="1">
      <c r="A200" s="339"/>
      <c r="B200" s="252"/>
      <c r="C200" s="341" t="s">
        <v>575</v>
      </c>
      <c r="D200" s="263"/>
      <c r="E200" s="263">
        <v>0</v>
      </c>
      <c r="F200" s="263">
        <v>0</v>
      </c>
      <c r="G200" s="263">
        <v>0</v>
      </c>
      <c r="H200" s="263">
        <v>0</v>
      </c>
      <c r="I200" s="263">
        <v>0</v>
      </c>
      <c r="J200" s="263">
        <v>0</v>
      </c>
    </row>
    <row r="201" spans="1:10">
      <c r="A201" s="339"/>
      <c r="B201" s="252"/>
      <c r="C201" s="341" t="s">
        <v>70</v>
      </c>
      <c r="D201" s="263"/>
      <c r="E201" s="263">
        <v>0</v>
      </c>
      <c r="F201" s="263">
        <v>0</v>
      </c>
      <c r="G201" s="263">
        <v>0</v>
      </c>
      <c r="H201" s="263">
        <v>0</v>
      </c>
      <c r="I201" s="263">
        <v>0</v>
      </c>
      <c r="J201" s="263">
        <v>0</v>
      </c>
    </row>
    <row r="202" spans="1:10">
      <c r="A202" s="339"/>
      <c r="B202" s="252"/>
      <c r="C202" s="342" t="s">
        <v>75</v>
      </c>
      <c r="D202" s="357">
        <f t="shared" ref="D202:J202" si="22">SUBTOTAL(9,D196:D201)</f>
        <v>0</v>
      </c>
      <c r="E202" s="357">
        <f t="shared" si="22"/>
        <v>1.0539999999999998</v>
      </c>
      <c r="F202" s="357">
        <f t="shared" si="22"/>
        <v>1.0539999999999998</v>
      </c>
      <c r="G202" s="357">
        <f t="shared" si="22"/>
        <v>1.0539999999999998</v>
      </c>
      <c r="H202" s="357">
        <f t="shared" si="22"/>
        <v>1.0539999999999998</v>
      </c>
      <c r="I202" s="357">
        <f t="shared" si="22"/>
        <v>1.0539999999999998</v>
      </c>
      <c r="J202" s="357">
        <f t="shared" si="22"/>
        <v>1.0539999999999998</v>
      </c>
    </row>
    <row r="203" spans="1:10">
      <c r="A203" s="339"/>
      <c r="B203" s="252"/>
      <c r="C203" s="342"/>
      <c r="D203" s="329"/>
      <c r="E203" s="329"/>
      <c r="F203" s="329"/>
      <c r="G203" s="329"/>
      <c r="H203" s="329"/>
      <c r="I203" s="329"/>
      <c r="J203" s="329"/>
    </row>
    <row r="204" spans="1:10">
      <c r="A204" s="339">
        <f>+A195+1</f>
        <v>23</v>
      </c>
      <c r="B204" s="252" t="str">
        <f ca="1">OFFSET(List_AllocOpexListStart,A204,0)</f>
        <v>A-23</v>
      </c>
      <c r="C204" s="340" t="str">
        <f ca="1">VLOOKUP(B204,List_AllocatedCosts,2,FALSE)</f>
        <v>Information Technology</v>
      </c>
      <c r="D204" s="329"/>
      <c r="E204" s="329"/>
      <c r="F204" s="329"/>
      <c r="G204" s="329"/>
      <c r="H204" s="329"/>
      <c r="I204" s="329"/>
      <c r="J204" s="329"/>
    </row>
    <row r="205" spans="1:10">
      <c r="A205" s="339"/>
      <c r="B205" s="252"/>
      <c r="C205" s="341" t="s">
        <v>68</v>
      </c>
      <c r="D205" s="771"/>
      <c r="E205" s="771">
        <v>11.222</v>
      </c>
      <c r="F205" s="771">
        <v>11.222</v>
      </c>
      <c r="G205" s="771">
        <v>11.222</v>
      </c>
      <c r="H205" s="771">
        <v>11.222</v>
      </c>
      <c r="I205" s="771">
        <v>11.222</v>
      </c>
      <c r="J205" s="771">
        <v>11.222</v>
      </c>
    </row>
    <row r="206" spans="1:10">
      <c r="A206" s="339"/>
      <c r="B206" s="252"/>
      <c r="C206" s="341" t="s">
        <v>69</v>
      </c>
      <c r="D206" s="771"/>
      <c r="E206" s="771">
        <v>0.36699999999999999</v>
      </c>
      <c r="F206" s="771">
        <v>0.36699999999999999</v>
      </c>
      <c r="G206" s="771">
        <v>0.36699999999999999</v>
      </c>
      <c r="H206" s="771">
        <v>0.36699999999999999</v>
      </c>
      <c r="I206" s="771">
        <v>0.36699999999999999</v>
      </c>
      <c r="J206" s="771">
        <v>0.36699999999999999</v>
      </c>
    </row>
    <row r="207" spans="1:10" s="759" customFormat="1">
      <c r="A207" s="339"/>
      <c r="B207" s="252"/>
      <c r="C207" s="341" t="s">
        <v>646</v>
      </c>
      <c r="D207" s="771"/>
      <c r="E207" s="771">
        <v>-7.3999999999999996E-2</v>
      </c>
      <c r="F207" s="771">
        <v>-7.3999999999999996E-2</v>
      </c>
      <c r="G207" s="771">
        <v>-7.3999999999999996E-2</v>
      </c>
      <c r="H207" s="771">
        <v>-7.3999999999999996E-2</v>
      </c>
      <c r="I207" s="771">
        <v>-7.3999999999999996E-2</v>
      </c>
      <c r="J207" s="771">
        <v>-7.3999999999999996E-2</v>
      </c>
    </row>
    <row r="208" spans="1:10">
      <c r="A208" s="339"/>
      <c r="B208" s="252"/>
      <c r="C208" s="341" t="s">
        <v>647</v>
      </c>
      <c r="D208" s="263"/>
      <c r="E208" s="263">
        <v>6.4559999999999995</v>
      </c>
      <c r="F208" s="263">
        <v>6.4559999999999995</v>
      </c>
      <c r="G208" s="263">
        <v>6.4559999999999995</v>
      </c>
      <c r="H208" s="263">
        <v>6.4559999999999995</v>
      </c>
      <c r="I208" s="263">
        <v>6.4559999999999995</v>
      </c>
      <c r="J208" s="263">
        <v>6.4559999999999995</v>
      </c>
    </row>
    <row r="209" spans="1:10" s="759" customFormat="1">
      <c r="A209" s="339"/>
      <c r="B209" s="252"/>
      <c r="C209" s="341" t="s">
        <v>575</v>
      </c>
      <c r="D209" s="263"/>
      <c r="E209" s="263">
        <v>-2.6140000000000003</v>
      </c>
      <c r="F209" s="263">
        <v>-2.6140000000000003</v>
      </c>
      <c r="G209" s="263">
        <v>-2.6140000000000003</v>
      </c>
      <c r="H209" s="263">
        <v>-2.6140000000000003</v>
      </c>
      <c r="I209" s="263">
        <v>-2.6140000000000003</v>
      </c>
      <c r="J209" s="263">
        <v>-2.6140000000000003</v>
      </c>
    </row>
    <row r="210" spans="1:10">
      <c r="A210" s="339"/>
      <c r="B210" s="252"/>
      <c r="C210" s="341" t="s">
        <v>70</v>
      </c>
      <c r="D210" s="263"/>
      <c r="E210" s="263">
        <v>0</v>
      </c>
      <c r="F210" s="263">
        <v>0</v>
      </c>
      <c r="G210" s="263">
        <v>0</v>
      </c>
      <c r="H210" s="263">
        <v>0</v>
      </c>
      <c r="I210" s="263">
        <v>0</v>
      </c>
      <c r="J210" s="263">
        <v>0</v>
      </c>
    </row>
    <row r="211" spans="1:10">
      <c r="A211" s="339"/>
      <c r="B211" s="252"/>
      <c r="C211" s="342" t="s">
        <v>75</v>
      </c>
      <c r="D211" s="357">
        <f t="shared" ref="D211:J211" si="23">SUBTOTAL(9,D205:D210)</f>
        <v>0</v>
      </c>
      <c r="E211" s="357">
        <f t="shared" si="23"/>
        <v>15.356999999999996</v>
      </c>
      <c r="F211" s="357">
        <f t="shared" si="23"/>
        <v>15.356999999999996</v>
      </c>
      <c r="G211" s="357">
        <f t="shared" si="23"/>
        <v>15.356999999999996</v>
      </c>
      <c r="H211" s="357">
        <f t="shared" si="23"/>
        <v>15.356999999999996</v>
      </c>
      <c r="I211" s="357">
        <f t="shared" si="23"/>
        <v>15.356999999999996</v>
      </c>
      <c r="J211" s="357">
        <f t="shared" si="23"/>
        <v>15.356999999999996</v>
      </c>
    </row>
    <row r="212" spans="1:10">
      <c r="A212" s="339"/>
      <c r="B212" s="252"/>
      <c r="C212" s="342"/>
      <c r="D212" s="329"/>
      <c r="E212" s="329"/>
      <c r="F212" s="329"/>
      <c r="G212" s="329"/>
      <c r="H212" s="329"/>
      <c r="I212" s="329"/>
      <c r="J212" s="329"/>
    </row>
    <row r="213" spans="1:10">
      <c r="A213" s="339">
        <f>+A204+1</f>
        <v>24</v>
      </c>
      <c r="B213" s="252" t="str">
        <f ca="1">OFFSET(List_AllocOpexListStart,A213,0)</f>
        <v>A-24</v>
      </c>
      <c r="C213" s="340" t="str">
        <f ca="1">VLOOKUP(B213,List_AllocatedCosts,2,FALSE)</f>
        <v>Property – Offices and Depots</v>
      </c>
      <c r="D213" s="329"/>
      <c r="E213" s="329"/>
      <c r="F213" s="329"/>
      <c r="G213" s="329"/>
      <c r="H213" s="329"/>
      <c r="I213" s="329"/>
      <c r="J213" s="329"/>
    </row>
    <row r="214" spans="1:10">
      <c r="A214" s="3"/>
      <c r="B214" s="252"/>
      <c r="C214" s="341" t="s">
        <v>68</v>
      </c>
      <c r="D214" s="771"/>
      <c r="E214" s="771">
        <v>0.78300000000000003</v>
      </c>
      <c r="F214" s="771">
        <v>0.78300000000000003</v>
      </c>
      <c r="G214" s="771">
        <v>0.78300000000000003</v>
      </c>
      <c r="H214" s="771">
        <v>0.78300000000000003</v>
      </c>
      <c r="I214" s="771">
        <v>0.78300000000000003</v>
      </c>
      <c r="J214" s="771">
        <v>0.78300000000000003</v>
      </c>
    </row>
    <row r="215" spans="1:10">
      <c r="A215" s="3"/>
      <c r="B215" s="252"/>
      <c r="C215" s="341" t="s">
        <v>69</v>
      </c>
      <c r="D215" s="771"/>
      <c r="E215" s="771">
        <v>0.20600000000000002</v>
      </c>
      <c r="F215" s="771">
        <v>0.20600000000000002</v>
      </c>
      <c r="G215" s="771">
        <v>0.20600000000000002</v>
      </c>
      <c r="H215" s="771">
        <v>0.20600000000000002</v>
      </c>
      <c r="I215" s="771">
        <v>0.20600000000000002</v>
      </c>
      <c r="J215" s="771">
        <v>0.20600000000000002</v>
      </c>
    </row>
    <row r="216" spans="1:10" s="759" customFormat="1">
      <c r="A216" s="544"/>
      <c r="B216" s="252"/>
      <c r="C216" s="341" t="s">
        <v>646</v>
      </c>
      <c r="D216" s="771"/>
      <c r="E216" s="771">
        <v>3.0000000000000001E-3</v>
      </c>
      <c r="F216" s="771">
        <v>3.0000000000000001E-3</v>
      </c>
      <c r="G216" s="771">
        <v>3.0000000000000001E-3</v>
      </c>
      <c r="H216" s="771">
        <v>3.0000000000000001E-3</v>
      </c>
      <c r="I216" s="771">
        <v>3.0000000000000001E-3</v>
      </c>
      <c r="J216" s="771">
        <v>3.0000000000000001E-3</v>
      </c>
    </row>
    <row r="217" spans="1:10">
      <c r="A217" s="3"/>
      <c r="B217" s="252"/>
      <c r="C217" s="341" t="s">
        <v>647</v>
      </c>
      <c r="D217" s="263"/>
      <c r="E217" s="263">
        <v>6.4190000000000005</v>
      </c>
      <c r="F217" s="263">
        <v>6.4190000000000005</v>
      </c>
      <c r="G217" s="263">
        <v>6.4190000000000005</v>
      </c>
      <c r="H217" s="263">
        <v>6.4190000000000005</v>
      </c>
      <c r="I217" s="263">
        <v>6.4190000000000005</v>
      </c>
      <c r="J217" s="263">
        <v>6.4190000000000005</v>
      </c>
    </row>
    <row r="218" spans="1:10" s="759" customFormat="1">
      <c r="A218" s="544"/>
      <c r="B218" s="252"/>
      <c r="C218" s="341" t="s">
        <v>575</v>
      </c>
      <c r="D218" s="263"/>
      <c r="E218" s="263">
        <v>-3.95</v>
      </c>
      <c r="F218" s="263">
        <v>-3.95</v>
      </c>
      <c r="G218" s="263">
        <v>-3.95</v>
      </c>
      <c r="H218" s="263">
        <v>-3.95</v>
      </c>
      <c r="I218" s="263">
        <v>-3.95</v>
      </c>
      <c r="J218" s="263">
        <v>-3.95</v>
      </c>
    </row>
    <row r="219" spans="1:10">
      <c r="A219" s="3"/>
      <c r="B219" s="252"/>
      <c r="C219" s="341" t="s">
        <v>70</v>
      </c>
      <c r="D219" s="263"/>
      <c r="E219" s="263">
        <v>1E-3</v>
      </c>
      <c r="F219" s="263">
        <v>1E-3</v>
      </c>
      <c r="G219" s="263">
        <v>1E-3</v>
      </c>
      <c r="H219" s="263">
        <v>1E-3</v>
      </c>
      <c r="I219" s="263">
        <v>1E-3</v>
      </c>
      <c r="J219" s="263">
        <v>1E-3</v>
      </c>
    </row>
    <row r="220" spans="1:10">
      <c r="A220" s="3"/>
      <c r="B220" s="252"/>
      <c r="C220" s="342" t="s">
        <v>75</v>
      </c>
      <c r="D220" s="357">
        <f>SUBTOTAL(9,D214:D219)</f>
        <v>0</v>
      </c>
      <c r="E220" s="357">
        <f t="shared" ref="E220:J220" si="24">SUBTOTAL(9,E214:E219)</f>
        <v>3.4620000000000002</v>
      </c>
      <c r="F220" s="357">
        <f t="shared" si="24"/>
        <v>3.4620000000000002</v>
      </c>
      <c r="G220" s="357">
        <f t="shared" si="24"/>
        <v>3.4620000000000002</v>
      </c>
      <c r="H220" s="357">
        <f t="shared" si="24"/>
        <v>3.4620000000000002</v>
      </c>
      <c r="I220" s="357">
        <f t="shared" si="24"/>
        <v>3.4620000000000002</v>
      </c>
      <c r="J220" s="357">
        <f t="shared" si="24"/>
        <v>3.4620000000000002</v>
      </c>
    </row>
    <row r="221" spans="1:10">
      <c r="A221" s="3"/>
      <c r="B221" s="252"/>
      <c r="C221" s="342"/>
      <c r="D221" s="329"/>
      <c r="E221" s="329"/>
      <c r="F221" s="329"/>
      <c r="G221" s="329"/>
      <c r="H221" s="329"/>
      <c r="I221" s="329"/>
      <c r="J221" s="329"/>
    </row>
    <row r="222" spans="1:10" s="759" customFormat="1">
      <c r="A222" s="544"/>
      <c r="B222" s="252"/>
      <c r="C222" s="342"/>
      <c r="D222" s="329"/>
      <c r="E222" s="329"/>
      <c r="F222" s="329"/>
      <c r="G222" s="329"/>
      <c r="H222" s="329"/>
      <c r="I222" s="329"/>
      <c r="J222" s="329"/>
    </row>
    <row r="223" spans="1:10" s="759" customFormat="1">
      <c r="A223" s="544"/>
      <c r="B223" s="252"/>
      <c r="C223" s="342"/>
      <c r="D223" s="329"/>
      <c r="E223" s="329"/>
      <c r="F223" s="329"/>
      <c r="G223" s="329"/>
      <c r="H223" s="329"/>
      <c r="I223" s="329"/>
      <c r="J223" s="329"/>
    </row>
    <row r="224" spans="1:10" s="759" customFormat="1">
      <c r="A224" s="544"/>
      <c r="B224" s="252"/>
      <c r="C224" s="342"/>
      <c r="D224" s="329"/>
      <c r="E224" s="329"/>
      <c r="F224" s="329"/>
      <c r="G224" s="329"/>
      <c r="H224" s="329"/>
      <c r="I224" s="329"/>
      <c r="J224" s="329"/>
    </row>
    <row r="225" spans="1:10" s="759" customFormat="1">
      <c r="A225" s="544"/>
      <c r="B225" s="252"/>
      <c r="C225" s="342"/>
      <c r="D225" s="329"/>
      <c r="E225" s="329"/>
      <c r="F225" s="329"/>
      <c r="G225" s="329"/>
      <c r="H225" s="329"/>
      <c r="I225" s="329"/>
      <c r="J225" s="329"/>
    </row>
    <row r="226" spans="1:10" s="759" customFormat="1">
      <c r="A226" s="544"/>
      <c r="B226" s="252"/>
      <c r="C226" s="342"/>
      <c r="D226" s="329"/>
      <c r="E226" s="329"/>
      <c r="F226" s="329"/>
      <c r="G226" s="329"/>
      <c r="H226" s="329"/>
      <c r="I226" s="329"/>
      <c r="J226" s="329"/>
    </row>
    <row r="227" spans="1:10">
      <c r="A227" s="339">
        <f>+A213+1</f>
        <v>25</v>
      </c>
      <c r="B227" s="252" t="str">
        <f ca="1">OFFSET(List_AllocOpexListStart,A227,0)</f>
        <v>A-25</v>
      </c>
      <c r="C227" s="340" t="str">
        <f ca="1">VLOOKUP(B227,List_AllocatedCosts,2,FALSE)</f>
        <v>Property – DLC Land Tax</v>
      </c>
      <c r="D227" s="329"/>
      <c r="E227" s="329"/>
      <c r="F227" s="329"/>
      <c r="G227" s="329"/>
      <c r="H227" s="329"/>
      <c r="I227" s="329"/>
      <c r="J227" s="329"/>
    </row>
    <row r="228" spans="1:10">
      <c r="A228" s="339"/>
      <c r="B228" s="252"/>
      <c r="C228" s="341" t="s">
        <v>68</v>
      </c>
      <c r="D228" s="771"/>
      <c r="E228" s="771">
        <v>0</v>
      </c>
      <c r="F228" s="771">
        <v>0</v>
      </c>
      <c r="G228" s="771">
        <v>0</v>
      </c>
      <c r="H228" s="771">
        <v>0</v>
      </c>
      <c r="I228" s="771">
        <v>0</v>
      </c>
      <c r="J228" s="771">
        <v>0</v>
      </c>
    </row>
    <row r="229" spans="1:10" s="759" customFormat="1">
      <c r="A229" s="339"/>
      <c r="B229" s="252"/>
      <c r="C229" s="341" t="s">
        <v>69</v>
      </c>
      <c r="D229" s="771"/>
      <c r="E229" s="771">
        <v>0</v>
      </c>
      <c r="F229" s="771">
        <v>0</v>
      </c>
      <c r="G229" s="771">
        <v>0</v>
      </c>
      <c r="H229" s="771">
        <v>0</v>
      </c>
      <c r="I229" s="771">
        <v>0</v>
      </c>
      <c r="J229" s="771">
        <v>0</v>
      </c>
    </row>
    <row r="230" spans="1:10">
      <c r="A230" s="339"/>
      <c r="B230" s="252"/>
      <c r="C230" s="341" t="s">
        <v>646</v>
      </c>
      <c r="D230" s="771"/>
      <c r="E230" s="771">
        <v>0</v>
      </c>
      <c r="F230" s="771">
        <v>0</v>
      </c>
      <c r="G230" s="771">
        <v>0</v>
      </c>
      <c r="H230" s="771">
        <v>0</v>
      </c>
      <c r="I230" s="771">
        <v>0</v>
      </c>
      <c r="J230" s="771">
        <v>0</v>
      </c>
    </row>
    <row r="231" spans="1:10" s="759" customFormat="1">
      <c r="A231" s="339"/>
      <c r="B231" s="252"/>
      <c r="C231" s="341" t="s">
        <v>647</v>
      </c>
      <c r="D231" s="263"/>
      <c r="E231" s="263">
        <v>0</v>
      </c>
      <c r="F231" s="263">
        <v>0</v>
      </c>
      <c r="G231" s="263">
        <v>0</v>
      </c>
      <c r="H231" s="263">
        <v>0</v>
      </c>
      <c r="I231" s="263">
        <v>0</v>
      </c>
      <c r="J231" s="263">
        <v>0</v>
      </c>
    </row>
    <row r="232" spans="1:10">
      <c r="A232" s="339"/>
      <c r="B232" s="252"/>
      <c r="C232" s="341" t="s">
        <v>575</v>
      </c>
      <c r="D232" s="263"/>
      <c r="E232" s="263">
        <v>0</v>
      </c>
      <c r="F232" s="263">
        <v>0</v>
      </c>
      <c r="G232" s="263">
        <v>0</v>
      </c>
      <c r="H232" s="263">
        <v>0</v>
      </c>
      <c r="I232" s="263">
        <v>0</v>
      </c>
      <c r="J232" s="263">
        <v>0</v>
      </c>
    </row>
    <row r="233" spans="1:10">
      <c r="A233" s="339"/>
      <c r="B233" s="252"/>
      <c r="C233" s="341" t="s">
        <v>70</v>
      </c>
      <c r="D233" s="263"/>
      <c r="E233" s="263">
        <v>2.5339999999999998</v>
      </c>
      <c r="F233" s="263">
        <v>2.5339999999999998</v>
      </c>
      <c r="G233" s="263">
        <v>2.5339999999999998</v>
      </c>
      <c r="H233" s="263">
        <v>2.5339999999999998</v>
      </c>
      <c r="I233" s="263">
        <v>2.5339999999999998</v>
      </c>
      <c r="J233" s="263">
        <v>2.5339999999999998</v>
      </c>
    </row>
    <row r="234" spans="1:10">
      <c r="A234" s="339"/>
      <c r="B234" s="252"/>
      <c r="C234" s="342" t="s">
        <v>75</v>
      </c>
      <c r="D234" s="357">
        <f t="shared" ref="D234:J234" si="25">SUBTOTAL(9,D228:D233)</f>
        <v>0</v>
      </c>
      <c r="E234" s="357">
        <f t="shared" si="25"/>
        <v>2.5339999999999998</v>
      </c>
      <c r="F234" s="357">
        <f t="shared" si="25"/>
        <v>2.5339999999999998</v>
      </c>
      <c r="G234" s="357">
        <f t="shared" si="25"/>
        <v>2.5339999999999998</v>
      </c>
      <c r="H234" s="357">
        <f t="shared" si="25"/>
        <v>2.5339999999999998</v>
      </c>
      <c r="I234" s="357">
        <f t="shared" si="25"/>
        <v>2.5339999999999998</v>
      </c>
      <c r="J234" s="357">
        <f t="shared" si="25"/>
        <v>2.5339999999999998</v>
      </c>
    </row>
    <row r="235" spans="1:10">
      <c r="A235" s="339"/>
      <c r="B235" s="252"/>
      <c r="C235" s="342"/>
      <c r="D235" s="329"/>
      <c r="E235" s="329"/>
      <c r="F235" s="329"/>
      <c r="G235" s="329"/>
      <c r="H235" s="329"/>
      <c r="I235" s="329"/>
      <c r="J235" s="329"/>
    </row>
    <row r="236" spans="1:10">
      <c r="A236" s="339">
        <f>+A227+1</f>
        <v>26</v>
      </c>
      <c r="B236" s="252" t="str">
        <f ca="1">OFFSET(List_AllocOpexListStart,A236,0)</f>
        <v>A-26</v>
      </c>
      <c r="C236" s="340" t="str">
        <f ca="1">VLOOKUP(B236,List_AllocatedCosts,2,FALSE)</f>
        <v>OHS</v>
      </c>
      <c r="D236" s="329"/>
      <c r="E236" s="329"/>
      <c r="F236" s="329"/>
      <c r="G236" s="329"/>
      <c r="H236" s="329"/>
      <c r="I236" s="329"/>
      <c r="J236" s="329"/>
    </row>
    <row r="237" spans="1:10">
      <c r="A237" s="3"/>
      <c r="B237" s="252"/>
      <c r="C237" s="341" t="s">
        <v>68</v>
      </c>
      <c r="D237" s="771"/>
      <c r="E237" s="771">
        <v>1.81</v>
      </c>
      <c r="F237" s="771">
        <v>1.81</v>
      </c>
      <c r="G237" s="771">
        <v>1.81</v>
      </c>
      <c r="H237" s="771">
        <v>1.81</v>
      </c>
      <c r="I237" s="771">
        <v>1.81</v>
      </c>
      <c r="J237" s="771">
        <v>1.81</v>
      </c>
    </row>
    <row r="238" spans="1:10">
      <c r="A238" s="3"/>
      <c r="B238" s="252"/>
      <c r="C238" s="341" t="s">
        <v>69</v>
      </c>
      <c r="D238" s="771"/>
      <c r="E238" s="771">
        <v>2.2000000000000002E-2</v>
      </c>
      <c r="F238" s="771">
        <v>2.2000000000000002E-2</v>
      </c>
      <c r="G238" s="771">
        <v>2.2000000000000002E-2</v>
      </c>
      <c r="H238" s="771">
        <v>2.2000000000000002E-2</v>
      </c>
      <c r="I238" s="771">
        <v>2.2000000000000002E-2</v>
      </c>
      <c r="J238" s="771">
        <v>2.2000000000000002E-2</v>
      </c>
    </row>
    <row r="239" spans="1:10" s="759" customFormat="1">
      <c r="A239" s="544"/>
      <c r="B239" s="252"/>
      <c r="C239" s="341" t="s">
        <v>646</v>
      </c>
      <c r="D239" s="771"/>
      <c r="E239" s="771">
        <v>8.8999999999999996E-2</v>
      </c>
      <c r="F239" s="771">
        <v>8.8999999999999996E-2</v>
      </c>
      <c r="G239" s="771">
        <v>8.8999999999999996E-2</v>
      </c>
      <c r="H239" s="771">
        <v>8.8999999999999996E-2</v>
      </c>
      <c r="I239" s="771">
        <v>8.8999999999999996E-2</v>
      </c>
      <c r="J239" s="771">
        <v>8.8999999999999996E-2</v>
      </c>
    </row>
    <row r="240" spans="1:10">
      <c r="A240" s="3"/>
      <c r="B240" s="252"/>
      <c r="C240" s="341" t="s">
        <v>647</v>
      </c>
      <c r="D240" s="263"/>
      <c r="E240" s="263">
        <v>0.188</v>
      </c>
      <c r="F240" s="263">
        <v>0.188</v>
      </c>
      <c r="G240" s="263">
        <v>0.188</v>
      </c>
      <c r="H240" s="263">
        <v>0.188</v>
      </c>
      <c r="I240" s="263">
        <v>0.188</v>
      </c>
      <c r="J240" s="263">
        <v>0.188</v>
      </c>
    </row>
    <row r="241" spans="1:10" s="759" customFormat="1">
      <c r="A241" s="544"/>
      <c r="B241" s="252"/>
      <c r="C241" s="341" t="s">
        <v>575</v>
      </c>
      <c r="D241" s="263"/>
      <c r="E241" s="263">
        <v>0</v>
      </c>
      <c r="F241" s="263">
        <v>0</v>
      </c>
      <c r="G241" s="263">
        <v>0</v>
      </c>
      <c r="H241" s="263">
        <v>0</v>
      </c>
      <c r="I241" s="263">
        <v>0</v>
      </c>
      <c r="J241" s="263">
        <v>0</v>
      </c>
    </row>
    <row r="242" spans="1:10">
      <c r="A242" s="3"/>
      <c r="B242" s="252"/>
      <c r="C242" s="341" t="s">
        <v>70</v>
      </c>
      <c r="D242" s="263"/>
      <c r="E242" s="263">
        <v>0</v>
      </c>
      <c r="F242" s="263">
        <v>0</v>
      </c>
      <c r="G242" s="263">
        <v>0</v>
      </c>
      <c r="H242" s="263">
        <v>0</v>
      </c>
      <c r="I242" s="263">
        <v>0</v>
      </c>
      <c r="J242" s="263">
        <v>0</v>
      </c>
    </row>
    <row r="243" spans="1:10">
      <c r="A243" s="3"/>
      <c r="B243" s="252"/>
      <c r="C243" s="342" t="s">
        <v>75</v>
      </c>
      <c r="D243" s="357">
        <f t="shared" ref="D243:J243" si="26">SUBTOTAL(9,D237:D242)</f>
        <v>0</v>
      </c>
      <c r="E243" s="357">
        <f t="shared" si="26"/>
        <v>2.109</v>
      </c>
      <c r="F243" s="357">
        <f t="shared" si="26"/>
        <v>2.109</v>
      </c>
      <c r="G243" s="357">
        <f t="shared" si="26"/>
        <v>2.109</v>
      </c>
      <c r="H243" s="357">
        <f t="shared" si="26"/>
        <v>2.109</v>
      </c>
      <c r="I243" s="357">
        <f t="shared" si="26"/>
        <v>2.109</v>
      </c>
      <c r="J243" s="357">
        <f t="shared" si="26"/>
        <v>2.109</v>
      </c>
    </row>
    <row r="244" spans="1:10">
      <c r="A244" s="3"/>
      <c r="B244" s="252"/>
      <c r="C244" s="341"/>
      <c r="D244" s="329"/>
      <c r="E244" s="329"/>
      <c r="F244" s="329"/>
      <c r="G244" s="329"/>
      <c r="H244" s="329"/>
      <c r="I244" s="329"/>
      <c r="J244" s="329"/>
    </row>
    <row r="245" spans="1:10">
      <c r="A245" s="339">
        <f>+A236+1</f>
        <v>27</v>
      </c>
      <c r="B245" s="252" t="str">
        <f ca="1">OFFSET(List_AllocOpexListStart,A245,0)</f>
        <v>A-27</v>
      </c>
      <c r="C245" s="340" t="str">
        <f ca="1">VLOOKUP(B245,List_AllocatedCosts,2,FALSE)</f>
        <v>Environment</v>
      </c>
      <c r="D245" s="329"/>
      <c r="E245" s="329"/>
      <c r="F245" s="329"/>
      <c r="G245" s="329"/>
      <c r="H245" s="329"/>
      <c r="I245" s="329"/>
      <c r="J245" s="329"/>
    </row>
    <row r="246" spans="1:10">
      <c r="A246" s="339"/>
      <c r="B246" s="252"/>
      <c r="C246" s="341" t="s">
        <v>68</v>
      </c>
      <c r="D246" s="771"/>
      <c r="E246" s="771">
        <v>0.48699999999999999</v>
      </c>
      <c r="F246" s="771">
        <v>0.48699999999999999</v>
      </c>
      <c r="G246" s="771">
        <v>0.48699999999999999</v>
      </c>
      <c r="H246" s="771">
        <v>0.48699999999999999</v>
      </c>
      <c r="I246" s="771">
        <v>0.48699999999999999</v>
      </c>
      <c r="J246" s="771">
        <v>0.48699999999999999</v>
      </c>
    </row>
    <row r="247" spans="1:10">
      <c r="A247" s="339"/>
      <c r="B247" s="252"/>
      <c r="C247" s="341" t="s">
        <v>69</v>
      </c>
      <c r="D247" s="771"/>
      <c r="E247" s="771">
        <v>1.7000000000000001E-2</v>
      </c>
      <c r="F247" s="771">
        <v>1.7000000000000001E-2</v>
      </c>
      <c r="G247" s="771">
        <v>1.7000000000000001E-2</v>
      </c>
      <c r="H247" s="771">
        <v>1.7000000000000001E-2</v>
      </c>
      <c r="I247" s="771">
        <v>1.7000000000000001E-2</v>
      </c>
      <c r="J247" s="771">
        <v>1.7000000000000001E-2</v>
      </c>
    </row>
    <row r="248" spans="1:10" s="759" customFormat="1">
      <c r="A248" s="339"/>
      <c r="B248" s="252"/>
      <c r="C248" s="341" t="s">
        <v>646</v>
      </c>
      <c r="D248" s="771"/>
      <c r="E248" s="771">
        <v>-5.0000000000000001E-3</v>
      </c>
      <c r="F248" s="771">
        <v>-5.0000000000000001E-3</v>
      </c>
      <c r="G248" s="771">
        <v>-5.0000000000000001E-3</v>
      </c>
      <c r="H248" s="771">
        <v>-5.0000000000000001E-3</v>
      </c>
      <c r="I248" s="771">
        <v>-5.0000000000000001E-3</v>
      </c>
      <c r="J248" s="771">
        <v>-5.0000000000000001E-3</v>
      </c>
    </row>
    <row r="249" spans="1:10">
      <c r="A249" s="339"/>
      <c r="B249" s="252"/>
      <c r="C249" s="341" t="s">
        <v>647</v>
      </c>
      <c r="D249" s="263"/>
      <c r="E249" s="263">
        <v>0.106</v>
      </c>
      <c r="F249" s="263">
        <v>0.106</v>
      </c>
      <c r="G249" s="263">
        <v>0.106</v>
      </c>
      <c r="H249" s="263">
        <v>0.106</v>
      </c>
      <c r="I249" s="263">
        <v>0.106</v>
      </c>
      <c r="J249" s="263">
        <v>0.106</v>
      </c>
    </row>
    <row r="250" spans="1:10" s="759" customFormat="1">
      <c r="A250" s="339"/>
      <c r="B250" s="252"/>
      <c r="C250" s="341" t="s">
        <v>575</v>
      </c>
      <c r="D250" s="263"/>
      <c r="E250" s="263">
        <v>0</v>
      </c>
      <c r="F250" s="263">
        <v>0</v>
      </c>
      <c r="G250" s="263">
        <v>0</v>
      </c>
      <c r="H250" s="263">
        <v>0</v>
      </c>
      <c r="I250" s="263">
        <v>0</v>
      </c>
      <c r="J250" s="263">
        <v>0</v>
      </c>
    </row>
    <row r="251" spans="1:10">
      <c r="A251" s="339"/>
      <c r="B251" s="252"/>
      <c r="C251" s="341" t="s">
        <v>70</v>
      </c>
      <c r="D251" s="263"/>
      <c r="E251" s="263">
        <v>0</v>
      </c>
      <c r="F251" s="263">
        <v>0</v>
      </c>
      <c r="G251" s="263">
        <v>0</v>
      </c>
      <c r="H251" s="263">
        <v>0</v>
      </c>
      <c r="I251" s="263">
        <v>0</v>
      </c>
      <c r="J251" s="263">
        <v>0</v>
      </c>
    </row>
    <row r="252" spans="1:10">
      <c r="A252" s="339"/>
      <c r="B252" s="252"/>
      <c r="C252" s="342" t="s">
        <v>75</v>
      </c>
      <c r="D252" s="772">
        <f t="shared" ref="D252:J252" si="27">SUBTOTAL(9,D246:D251)</f>
        <v>0</v>
      </c>
      <c r="E252" s="772">
        <f t="shared" si="27"/>
        <v>0.60499999999999998</v>
      </c>
      <c r="F252" s="772">
        <f t="shared" si="27"/>
        <v>0.60499999999999998</v>
      </c>
      <c r="G252" s="772">
        <f t="shared" si="27"/>
        <v>0.60499999999999998</v>
      </c>
      <c r="H252" s="772">
        <f t="shared" si="27"/>
        <v>0.60499999999999998</v>
      </c>
      <c r="I252" s="772">
        <f t="shared" si="27"/>
        <v>0.60499999999999998</v>
      </c>
      <c r="J252" s="772">
        <f t="shared" si="27"/>
        <v>0.60499999999999998</v>
      </c>
    </row>
    <row r="253" spans="1:10">
      <c r="A253" s="339"/>
      <c r="B253" s="252"/>
      <c r="C253" s="342"/>
      <c r="D253" s="329"/>
      <c r="E253" s="329"/>
      <c r="F253" s="329"/>
      <c r="G253" s="329"/>
      <c r="H253" s="329"/>
      <c r="I253" s="329"/>
      <c r="J253" s="329"/>
    </row>
    <row r="254" spans="1:10">
      <c r="A254" s="339">
        <f>+A245+1</f>
        <v>28</v>
      </c>
      <c r="B254" s="252" t="str">
        <f ca="1">OFFSET(List_AllocOpexListStart,A254,0)</f>
        <v>A-28</v>
      </c>
      <c r="C254" s="340" t="str">
        <f ca="1">VLOOKUP(B254,List_AllocatedCosts,2,FALSE)</f>
        <v xml:space="preserve">Printing </v>
      </c>
      <c r="D254" s="329"/>
      <c r="E254" s="329"/>
      <c r="F254" s="329"/>
      <c r="G254" s="329"/>
      <c r="H254" s="329"/>
      <c r="I254" s="329"/>
      <c r="J254" s="329"/>
    </row>
    <row r="255" spans="1:10">
      <c r="A255" s="339"/>
      <c r="B255" s="252"/>
      <c r="C255" s="341" t="s">
        <v>68</v>
      </c>
      <c r="D255" s="771"/>
      <c r="E255" s="771">
        <v>0.161</v>
      </c>
      <c r="F255" s="771">
        <v>0.161</v>
      </c>
      <c r="G255" s="771">
        <v>0.161</v>
      </c>
      <c r="H255" s="771">
        <v>0.161</v>
      </c>
      <c r="I255" s="771">
        <v>0.161</v>
      </c>
      <c r="J255" s="771">
        <v>0.161</v>
      </c>
    </row>
    <row r="256" spans="1:10">
      <c r="A256" s="339"/>
      <c r="B256" s="252"/>
      <c r="C256" s="341" t="s">
        <v>69</v>
      </c>
      <c r="D256" s="771"/>
      <c r="E256" s="771">
        <v>6.0000000000000005E-2</v>
      </c>
      <c r="F256" s="771">
        <v>6.0000000000000005E-2</v>
      </c>
      <c r="G256" s="771">
        <v>6.0000000000000005E-2</v>
      </c>
      <c r="H256" s="771">
        <v>6.0000000000000005E-2</v>
      </c>
      <c r="I256" s="771">
        <v>6.0000000000000005E-2</v>
      </c>
      <c r="J256" s="771">
        <v>6.0000000000000005E-2</v>
      </c>
    </row>
    <row r="257" spans="1:10" s="759" customFormat="1">
      <c r="A257" s="339"/>
      <c r="B257" s="252"/>
      <c r="C257" s="341" t="s">
        <v>646</v>
      </c>
      <c r="D257" s="771"/>
      <c r="E257" s="771">
        <v>-0.39300000000000002</v>
      </c>
      <c r="F257" s="771">
        <v>-0.39300000000000002</v>
      </c>
      <c r="G257" s="771">
        <v>-0.39300000000000002</v>
      </c>
      <c r="H257" s="771">
        <v>-0.39300000000000002</v>
      </c>
      <c r="I257" s="771">
        <v>-0.39300000000000002</v>
      </c>
      <c r="J257" s="771">
        <v>-0.39300000000000002</v>
      </c>
    </row>
    <row r="258" spans="1:10">
      <c r="A258" s="339"/>
      <c r="B258" s="252"/>
      <c r="C258" s="341" t="s">
        <v>647</v>
      </c>
      <c r="D258" s="263"/>
      <c r="E258" s="263">
        <v>0.153</v>
      </c>
      <c r="F258" s="263">
        <v>0.153</v>
      </c>
      <c r="G258" s="263">
        <v>0.153</v>
      </c>
      <c r="H258" s="263">
        <v>0.153</v>
      </c>
      <c r="I258" s="263">
        <v>0.153</v>
      </c>
      <c r="J258" s="263">
        <v>0.153</v>
      </c>
    </row>
    <row r="259" spans="1:10" s="759" customFormat="1">
      <c r="A259" s="339"/>
      <c r="B259" s="252"/>
      <c r="C259" s="341" t="s">
        <v>575</v>
      </c>
      <c r="D259" s="263"/>
      <c r="E259" s="263">
        <v>0</v>
      </c>
      <c r="F259" s="263">
        <v>0</v>
      </c>
      <c r="G259" s="263">
        <v>0</v>
      </c>
      <c r="H259" s="263">
        <v>0</v>
      </c>
      <c r="I259" s="263">
        <v>0</v>
      </c>
      <c r="J259" s="263">
        <v>0</v>
      </c>
    </row>
    <row r="260" spans="1:10">
      <c r="A260" s="339"/>
      <c r="B260" s="252"/>
      <c r="C260" s="341" t="s">
        <v>70</v>
      </c>
      <c r="D260" s="263"/>
      <c r="E260" s="263">
        <v>0</v>
      </c>
      <c r="F260" s="263">
        <v>0</v>
      </c>
      <c r="G260" s="263">
        <v>0</v>
      </c>
      <c r="H260" s="263">
        <v>0</v>
      </c>
      <c r="I260" s="263">
        <v>0</v>
      </c>
      <c r="J260" s="263">
        <v>0</v>
      </c>
    </row>
    <row r="261" spans="1:10">
      <c r="A261" s="339"/>
      <c r="B261" s="252"/>
      <c r="C261" s="342" t="s">
        <v>75</v>
      </c>
      <c r="D261" s="772">
        <f t="shared" ref="D261:J261" si="28">SUBTOTAL(9,D255:D260)</f>
        <v>0</v>
      </c>
      <c r="E261" s="772">
        <f t="shared" si="28"/>
        <v>-1.9000000000000017E-2</v>
      </c>
      <c r="F261" s="772">
        <f t="shared" si="28"/>
        <v>-1.9000000000000017E-2</v>
      </c>
      <c r="G261" s="772">
        <f t="shared" si="28"/>
        <v>-1.9000000000000017E-2</v>
      </c>
      <c r="H261" s="772">
        <f t="shared" si="28"/>
        <v>-1.9000000000000017E-2</v>
      </c>
      <c r="I261" s="772">
        <f t="shared" si="28"/>
        <v>-1.9000000000000017E-2</v>
      </c>
      <c r="J261" s="772">
        <f t="shared" si="28"/>
        <v>-1.9000000000000017E-2</v>
      </c>
    </row>
    <row r="262" spans="1:10">
      <c r="A262" s="339"/>
      <c r="B262" s="252"/>
      <c r="C262" s="350"/>
      <c r="D262" s="329"/>
      <c r="E262" s="329"/>
      <c r="F262" s="329"/>
      <c r="G262" s="329"/>
      <c r="H262" s="329"/>
      <c r="I262" s="329"/>
      <c r="J262" s="329"/>
    </row>
    <row r="263" spans="1:10">
      <c r="A263" s="339">
        <f>+A254+1</f>
        <v>29</v>
      </c>
      <c r="B263" s="252" t="str">
        <f ca="1">OFFSET(List_AllocOpexListStart,A263,0)</f>
        <v>A-29</v>
      </c>
      <c r="C263" s="340" t="str">
        <f ca="1">VLOOKUP(B263,List_AllocatedCosts,2,FALSE)</f>
        <v xml:space="preserve">Risk &amp; Insurance – Shared Insurance Premiums </v>
      </c>
      <c r="D263" s="329"/>
      <c r="E263" s="329"/>
      <c r="F263" s="329"/>
      <c r="G263" s="329"/>
      <c r="H263" s="329"/>
      <c r="I263" s="329"/>
      <c r="J263" s="329"/>
    </row>
    <row r="264" spans="1:10">
      <c r="A264" s="3"/>
      <c r="B264" s="252"/>
      <c r="C264" s="341" t="s">
        <v>68</v>
      </c>
      <c r="D264" s="771"/>
      <c r="E264" s="771">
        <v>0.14100000000000001</v>
      </c>
      <c r="F264" s="771">
        <v>0.14100000000000001</v>
      </c>
      <c r="G264" s="771">
        <v>0.14100000000000001</v>
      </c>
      <c r="H264" s="771">
        <v>0.14100000000000001</v>
      </c>
      <c r="I264" s="771">
        <v>0.14100000000000001</v>
      </c>
      <c r="J264" s="771">
        <v>0.14100000000000001</v>
      </c>
    </row>
    <row r="265" spans="1:10">
      <c r="A265" s="3"/>
      <c r="B265" s="252"/>
      <c r="C265" s="341" t="s">
        <v>69</v>
      </c>
      <c r="D265" s="771"/>
      <c r="E265" s="771">
        <v>0</v>
      </c>
      <c r="F265" s="771">
        <v>0</v>
      </c>
      <c r="G265" s="771">
        <v>0</v>
      </c>
      <c r="H265" s="771">
        <v>0</v>
      </c>
      <c r="I265" s="771">
        <v>0</v>
      </c>
      <c r="J265" s="771">
        <v>0</v>
      </c>
    </row>
    <row r="266" spans="1:10" s="759" customFormat="1">
      <c r="A266" s="544"/>
      <c r="B266" s="252"/>
      <c r="C266" s="341" t="s">
        <v>646</v>
      </c>
      <c r="D266" s="771"/>
      <c r="E266" s="771">
        <v>2E-3</v>
      </c>
      <c r="F266" s="771">
        <v>2E-3</v>
      </c>
      <c r="G266" s="771">
        <v>2E-3</v>
      </c>
      <c r="H266" s="771">
        <v>2E-3</v>
      </c>
      <c r="I266" s="771">
        <v>2E-3</v>
      </c>
      <c r="J266" s="771">
        <v>2E-3</v>
      </c>
    </row>
    <row r="267" spans="1:10">
      <c r="A267" s="3"/>
      <c r="B267" s="252"/>
      <c r="C267" s="341" t="s">
        <v>647</v>
      </c>
      <c r="D267" s="263"/>
      <c r="E267" s="263">
        <v>0</v>
      </c>
      <c r="F267" s="263">
        <v>0</v>
      </c>
      <c r="G267" s="263">
        <v>0</v>
      </c>
      <c r="H267" s="263">
        <v>0</v>
      </c>
      <c r="I267" s="263">
        <v>0</v>
      </c>
      <c r="J267" s="263">
        <v>0</v>
      </c>
    </row>
    <row r="268" spans="1:10" s="759" customFormat="1">
      <c r="A268" s="544"/>
      <c r="B268" s="252"/>
      <c r="C268" s="341" t="s">
        <v>575</v>
      </c>
      <c r="D268" s="263"/>
      <c r="E268" s="263">
        <v>0</v>
      </c>
      <c r="F268" s="263">
        <v>0</v>
      </c>
      <c r="G268" s="263">
        <v>0</v>
      </c>
      <c r="H268" s="263">
        <v>0</v>
      </c>
      <c r="I268" s="263">
        <v>0</v>
      </c>
      <c r="J268" s="263">
        <v>0</v>
      </c>
    </row>
    <row r="269" spans="1:10">
      <c r="A269" s="3"/>
      <c r="B269" s="252"/>
      <c r="C269" s="341" t="s">
        <v>70</v>
      </c>
      <c r="D269" s="263"/>
      <c r="E269" s="867">
        <v>0.76900000000000002</v>
      </c>
      <c r="F269" s="867">
        <v>0.76900000000000002</v>
      </c>
      <c r="G269" s="867">
        <v>0.76900000000000002</v>
      </c>
      <c r="H269" s="867">
        <v>0.76900000000000002</v>
      </c>
      <c r="I269" s="867">
        <v>0.76900000000000002</v>
      </c>
      <c r="J269" s="867">
        <v>0.76900000000000002</v>
      </c>
    </row>
    <row r="270" spans="1:10">
      <c r="A270" s="3"/>
      <c r="B270" s="252"/>
      <c r="C270" s="342" t="s">
        <v>75</v>
      </c>
      <c r="D270" s="357">
        <f t="shared" ref="D270:J270" si="29">SUBTOTAL(9,D264:D269)</f>
        <v>0</v>
      </c>
      <c r="E270" s="357">
        <f t="shared" si="29"/>
        <v>0.91200000000000003</v>
      </c>
      <c r="F270" s="357">
        <f t="shared" si="29"/>
        <v>0.91200000000000003</v>
      </c>
      <c r="G270" s="357">
        <f t="shared" si="29"/>
        <v>0.91200000000000003</v>
      </c>
      <c r="H270" s="357">
        <f t="shared" si="29"/>
        <v>0.91200000000000003</v>
      </c>
      <c r="I270" s="357">
        <f t="shared" si="29"/>
        <v>0.91200000000000003</v>
      </c>
      <c r="J270" s="357">
        <f t="shared" si="29"/>
        <v>0.91200000000000003</v>
      </c>
    </row>
    <row r="271" spans="1:10">
      <c r="A271" s="3"/>
      <c r="B271" s="252"/>
      <c r="C271" s="342"/>
      <c r="D271" s="329"/>
      <c r="E271" s="329"/>
      <c r="F271" s="329"/>
      <c r="G271" s="329"/>
      <c r="H271" s="329"/>
      <c r="I271" s="329"/>
      <c r="J271" s="329"/>
    </row>
    <row r="272" spans="1:10">
      <c r="A272" s="339">
        <f>+A263+1</f>
        <v>30</v>
      </c>
      <c r="B272" s="252" t="str">
        <f ca="1">OFFSET(List_AllocOpexListStart,A272,0)</f>
        <v>A-30</v>
      </c>
      <c r="C272" s="340" t="str">
        <f ca="1">VLOOKUP(B272,List_AllocatedCosts,2,FALSE)</f>
        <v>Risk &amp; Insurance – Support Costs</v>
      </c>
      <c r="D272" s="329"/>
      <c r="E272" s="329"/>
      <c r="F272" s="329"/>
      <c r="G272" s="329"/>
      <c r="H272" s="329"/>
      <c r="I272" s="329"/>
      <c r="J272" s="329"/>
    </row>
    <row r="273" spans="1:10">
      <c r="A273" s="339"/>
      <c r="B273" s="252"/>
      <c r="C273" s="341" t="s">
        <v>68</v>
      </c>
      <c r="D273" s="771"/>
      <c r="E273" s="771">
        <v>0.46300000000000002</v>
      </c>
      <c r="F273" s="771">
        <v>0.46300000000000002</v>
      </c>
      <c r="G273" s="771">
        <v>0.46300000000000002</v>
      </c>
      <c r="H273" s="771">
        <v>0.46300000000000002</v>
      </c>
      <c r="I273" s="771">
        <v>0.46300000000000002</v>
      </c>
      <c r="J273" s="771">
        <v>0.46300000000000002</v>
      </c>
    </row>
    <row r="274" spans="1:10">
      <c r="A274" s="339"/>
      <c r="B274" s="252"/>
      <c r="C274" s="341" t="s">
        <v>69</v>
      </c>
      <c r="D274" s="771"/>
      <c r="E274" s="771">
        <v>0</v>
      </c>
      <c r="F274" s="771">
        <v>0</v>
      </c>
      <c r="G274" s="771">
        <v>0</v>
      </c>
      <c r="H274" s="771">
        <v>0</v>
      </c>
      <c r="I274" s="771">
        <v>0</v>
      </c>
      <c r="J274" s="771">
        <v>0</v>
      </c>
    </row>
    <row r="275" spans="1:10" s="759" customFormat="1">
      <c r="A275" s="339"/>
      <c r="B275" s="252"/>
      <c r="C275" s="341" t="s">
        <v>646</v>
      </c>
      <c r="D275" s="771"/>
      <c r="E275" s="771">
        <v>8.0000000000000002E-3</v>
      </c>
      <c r="F275" s="771">
        <v>8.0000000000000002E-3</v>
      </c>
      <c r="G275" s="771">
        <v>8.0000000000000002E-3</v>
      </c>
      <c r="H275" s="771">
        <v>8.0000000000000002E-3</v>
      </c>
      <c r="I275" s="771">
        <v>8.0000000000000002E-3</v>
      </c>
      <c r="J275" s="771">
        <v>8.0000000000000002E-3</v>
      </c>
    </row>
    <row r="276" spans="1:10">
      <c r="A276" s="339"/>
      <c r="B276" s="252"/>
      <c r="C276" s="341" t="s">
        <v>647</v>
      </c>
      <c r="D276" s="263"/>
      <c r="E276" s="263">
        <v>2.5450000000000004</v>
      </c>
      <c r="F276" s="263">
        <v>2.5450000000000004</v>
      </c>
      <c r="G276" s="263">
        <v>2.5450000000000004</v>
      </c>
      <c r="H276" s="263">
        <v>2.5450000000000004</v>
      </c>
      <c r="I276" s="263">
        <v>2.5450000000000004</v>
      </c>
      <c r="J276" s="263">
        <v>2.5450000000000004</v>
      </c>
    </row>
    <row r="277" spans="1:10" s="759" customFormat="1">
      <c r="A277" s="339"/>
      <c r="B277" s="252"/>
      <c r="C277" s="341" t="s">
        <v>575</v>
      </c>
      <c r="D277" s="263"/>
      <c r="E277" s="263">
        <v>0</v>
      </c>
      <c r="F277" s="263">
        <v>0</v>
      </c>
      <c r="G277" s="263">
        <v>0</v>
      </c>
      <c r="H277" s="263">
        <v>0</v>
      </c>
      <c r="I277" s="263">
        <v>0</v>
      </c>
      <c r="J277" s="263">
        <v>0</v>
      </c>
    </row>
    <row r="278" spans="1:10">
      <c r="A278" s="339"/>
      <c r="B278" s="252"/>
      <c r="C278" s="341" t="s">
        <v>70</v>
      </c>
      <c r="D278" s="263"/>
      <c r="E278" s="263">
        <v>0</v>
      </c>
      <c r="F278" s="263">
        <v>0</v>
      </c>
      <c r="G278" s="263">
        <v>0</v>
      </c>
      <c r="H278" s="263">
        <v>0</v>
      </c>
      <c r="I278" s="263">
        <v>0</v>
      </c>
      <c r="J278" s="263">
        <v>0</v>
      </c>
    </row>
    <row r="279" spans="1:10">
      <c r="A279" s="339"/>
      <c r="B279" s="252"/>
      <c r="C279" s="342" t="s">
        <v>75</v>
      </c>
      <c r="D279" s="772">
        <f t="shared" ref="D279:J279" si="30">SUBTOTAL(9,D273:D278)</f>
        <v>0</v>
      </c>
      <c r="E279" s="772">
        <f t="shared" si="30"/>
        <v>3.0160000000000005</v>
      </c>
      <c r="F279" s="772">
        <f t="shared" si="30"/>
        <v>3.0160000000000005</v>
      </c>
      <c r="G279" s="772">
        <f t="shared" si="30"/>
        <v>3.0160000000000005</v>
      </c>
      <c r="H279" s="772">
        <f t="shared" si="30"/>
        <v>3.0160000000000005</v>
      </c>
      <c r="I279" s="772">
        <f t="shared" si="30"/>
        <v>3.0160000000000005</v>
      </c>
      <c r="J279" s="772">
        <f t="shared" si="30"/>
        <v>3.0160000000000005</v>
      </c>
    </row>
    <row r="280" spans="1:10">
      <c r="A280" s="339"/>
      <c r="B280" s="252"/>
      <c r="C280" s="342"/>
      <c r="D280" s="329"/>
      <c r="E280" s="329"/>
      <c r="F280" s="329"/>
      <c r="G280" s="329"/>
      <c r="H280" s="329"/>
      <c r="I280" s="329"/>
      <c r="J280" s="329"/>
    </row>
    <row r="281" spans="1:10">
      <c r="A281" s="339">
        <f>+A272+1</f>
        <v>31</v>
      </c>
      <c r="B281" s="252" t="str">
        <f ca="1">OFFSET(List_AllocOpexListStart,A281,0)</f>
        <v>A-31</v>
      </c>
      <c r="C281" s="340" t="str">
        <f ca="1">VLOOKUP(B281,List_AllocatedCosts,2,FALSE)</f>
        <v>Legal Services</v>
      </c>
      <c r="D281" s="329"/>
      <c r="E281" s="329"/>
      <c r="F281" s="329"/>
      <c r="G281" s="329"/>
      <c r="H281" s="329"/>
      <c r="I281" s="329"/>
      <c r="J281" s="329"/>
    </row>
    <row r="282" spans="1:10">
      <c r="A282" s="3"/>
      <c r="B282" s="252"/>
      <c r="C282" s="341" t="s">
        <v>68</v>
      </c>
      <c r="D282" s="771"/>
      <c r="E282" s="771">
        <v>0.67400000000000004</v>
      </c>
      <c r="F282" s="771">
        <v>0.67400000000000004</v>
      </c>
      <c r="G282" s="771">
        <v>0.67400000000000004</v>
      </c>
      <c r="H282" s="771">
        <v>0.67400000000000004</v>
      </c>
      <c r="I282" s="771">
        <v>0.67400000000000004</v>
      </c>
      <c r="J282" s="771">
        <v>0.67400000000000004</v>
      </c>
    </row>
    <row r="283" spans="1:10">
      <c r="A283" s="3"/>
      <c r="B283" s="252"/>
      <c r="C283" s="341" t="s">
        <v>69</v>
      </c>
      <c r="D283" s="771"/>
      <c r="E283" s="771">
        <v>0.01</v>
      </c>
      <c r="F283" s="771">
        <v>0.01</v>
      </c>
      <c r="G283" s="771">
        <v>0.01</v>
      </c>
      <c r="H283" s="771">
        <v>0.01</v>
      </c>
      <c r="I283" s="771">
        <v>0.01</v>
      </c>
      <c r="J283" s="771">
        <v>0.01</v>
      </c>
    </row>
    <row r="284" spans="1:10" s="759" customFormat="1">
      <c r="A284" s="544"/>
      <c r="B284" s="252"/>
      <c r="C284" s="341" t="s">
        <v>646</v>
      </c>
      <c r="D284" s="771"/>
      <c r="E284" s="771">
        <v>0</v>
      </c>
      <c r="F284" s="771">
        <v>0</v>
      </c>
      <c r="G284" s="771">
        <v>0</v>
      </c>
      <c r="H284" s="771">
        <v>0</v>
      </c>
      <c r="I284" s="771">
        <v>0</v>
      </c>
      <c r="J284" s="771">
        <v>0</v>
      </c>
    </row>
    <row r="285" spans="1:10">
      <c r="A285" s="3"/>
      <c r="B285" s="252"/>
      <c r="C285" s="341" t="s">
        <v>647</v>
      </c>
      <c r="D285" s="263"/>
      <c r="E285" s="263">
        <v>0.253</v>
      </c>
      <c r="F285" s="263">
        <v>0.253</v>
      </c>
      <c r="G285" s="263">
        <v>0.253</v>
      </c>
      <c r="H285" s="263">
        <v>0.253</v>
      </c>
      <c r="I285" s="263">
        <v>0.253</v>
      </c>
      <c r="J285" s="263">
        <v>0.253</v>
      </c>
    </row>
    <row r="286" spans="1:10" s="759" customFormat="1">
      <c r="A286" s="544"/>
      <c r="B286" s="252"/>
      <c r="C286" s="341" t="s">
        <v>575</v>
      </c>
      <c r="D286" s="263"/>
      <c r="E286" s="263">
        <v>0</v>
      </c>
      <c r="F286" s="263">
        <v>0</v>
      </c>
      <c r="G286" s="263">
        <v>0</v>
      </c>
      <c r="H286" s="263">
        <v>0</v>
      </c>
      <c r="I286" s="263">
        <v>0</v>
      </c>
      <c r="J286" s="263">
        <v>0</v>
      </c>
    </row>
    <row r="287" spans="1:10">
      <c r="A287" s="3"/>
      <c r="B287" s="252"/>
      <c r="C287" s="341" t="s">
        <v>70</v>
      </c>
      <c r="D287" s="263"/>
      <c r="E287" s="263">
        <v>0</v>
      </c>
      <c r="F287" s="263">
        <v>0</v>
      </c>
      <c r="G287" s="263">
        <v>0</v>
      </c>
      <c r="H287" s="263">
        <v>0</v>
      </c>
      <c r="I287" s="263">
        <v>0</v>
      </c>
      <c r="J287" s="263">
        <v>0</v>
      </c>
    </row>
    <row r="288" spans="1:10" ht="13.5" thickBot="1">
      <c r="A288" s="3"/>
      <c r="B288" s="252"/>
      <c r="C288" s="342" t="s">
        <v>75</v>
      </c>
      <c r="D288" s="357">
        <f t="shared" ref="D288:J288" si="31">SUBTOTAL(9,D282:D287)</f>
        <v>0</v>
      </c>
      <c r="E288" s="357">
        <f t="shared" si="31"/>
        <v>0.93700000000000006</v>
      </c>
      <c r="F288" s="357">
        <f t="shared" si="31"/>
        <v>0.93700000000000006</v>
      </c>
      <c r="G288" s="357">
        <f t="shared" si="31"/>
        <v>0.93700000000000006</v>
      </c>
      <c r="H288" s="357">
        <f t="shared" si="31"/>
        <v>0.93700000000000006</v>
      </c>
      <c r="I288" s="357">
        <f t="shared" si="31"/>
        <v>0.93700000000000006</v>
      </c>
      <c r="J288" s="357">
        <f t="shared" si="31"/>
        <v>0.93700000000000006</v>
      </c>
    </row>
    <row r="289" spans="1:10" ht="18">
      <c r="A289" s="3"/>
      <c r="B289" s="251"/>
      <c r="C289" s="255" t="str">
        <f>+'I-3 Allocated'!A36</f>
        <v xml:space="preserve">Services </v>
      </c>
      <c r="D289" s="332"/>
      <c r="E289" s="332"/>
      <c r="F289" s="332"/>
      <c r="G289" s="332"/>
      <c r="H289" s="332"/>
      <c r="I289" s="332"/>
      <c r="J289" s="332"/>
    </row>
    <row r="290" spans="1:10">
      <c r="A290" s="339">
        <f>+A281+1</f>
        <v>32</v>
      </c>
      <c r="B290" s="252" t="str">
        <f ca="1">OFFSET(List_AllocOpexListStart,A290,0)</f>
        <v>A-32</v>
      </c>
      <c r="C290" s="340" t="str">
        <f ca="1">VLOOKUP(B290,List_AllocatedCosts,2,FALSE)</f>
        <v>General Manager Services</v>
      </c>
      <c r="D290" s="329"/>
      <c r="E290" s="329"/>
      <c r="F290" s="329"/>
      <c r="G290" s="329"/>
      <c r="H290" s="329"/>
      <c r="I290" s="329"/>
      <c r="J290" s="329"/>
    </row>
    <row r="291" spans="1:10">
      <c r="A291" s="339"/>
      <c r="B291" s="252"/>
      <c r="C291" s="341" t="s">
        <v>68</v>
      </c>
      <c r="D291" s="771"/>
      <c r="E291" s="771">
        <v>0.502</v>
      </c>
      <c r="F291" s="771">
        <v>0.502</v>
      </c>
      <c r="G291" s="771">
        <v>0.502</v>
      </c>
      <c r="H291" s="771">
        <v>0.502</v>
      </c>
      <c r="I291" s="771">
        <v>0.502</v>
      </c>
      <c r="J291" s="771">
        <v>0.502</v>
      </c>
    </row>
    <row r="292" spans="1:10">
      <c r="A292" s="339"/>
      <c r="B292" s="252"/>
      <c r="C292" s="341" t="s">
        <v>69</v>
      </c>
      <c r="D292" s="771"/>
      <c r="E292" s="771">
        <v>8.9999999999999993E-3</v>
      </c>
      <c r="F292" s="771">
        <v>8.9999999999999993E-3</v>
      </c>
      <c r="G292" s="771">
        <v>8.9999999999999993E-3</v>
      </c>
      <c r="H292" s="771">
        <v>8.9999999999999993E-3</v>
      </c>
      <c r="I292" s="771">
        <v>8.9999999999999993E-3</v>
      </c>
      <c r="J292" s="771">
        <v>8.9999999999999993E-3</v>
      </c>
    </row>
    <row r="293" spans="1:10" s="759" customFormat="1">
      <c r="A293" s="339"/>
      <c r="B293" s="252"/>
      <c r="C293" s="341" t="s">
        <v>646</v>
      </c>
      <c r="D293" s="771"/>
      <c r="E293" s="771">
        <v>0</v>
      </c>
      <c r="F293" s="771">
        <v>0</v>
      </c>
      <c r="G293" s="771">
        <v>0</v>
      </c>
      <c r="H293" s="771">
        <v>0</v>
      </c>
      <c r="I293" s="771">
        <v>0</v>
      </c>
      <c r="J293" s="771">
        <v>0</v>
      </c>
    </row>
    <row r="294" spans="1:10">
      <c r="A294" s="339"/>
      <c r="B294" s="252"/>
      <c r="C294" s="341" t="s">
        <v>647</v>
      </c>
      <c r="D294" s="263"/>
      <c r="E294" s="263">
        <v>7.3999999999999996E-2</v>
      </c>
      <c r="F294" s="263">
        <v>7.3999999999999996E-2</v>
      </c>
      <c r="G294" s="263">
        <v>7.3999999999999996E-2</v>
      </c>
      <c r="H294" s="263">
        <v>7.3999999999999996E-2</v>
      </c>
      <c r="I294" s="263">
        <v>7.3999999999999996E-2</v>
      </c>
      <c r="J294" s="263">
        <v>7.3999999999999996E-2</v>
      </c>
    </row>
    <row r="295" spans="1:10" s="759" customFormat="1">
      <c r="A295" s="339"/>
      <c r="B295" s="252"/>
      <c r="C295" s="341" t="s">
        <v>575</v>
      </c>
      <c r="D295" s="263"/>
      <c r="E295" s="263">
        <v>0</v>
      </c>
      <c r="F295" s="263">
        <v>0</v>
      </c>
      <c r="G295" s="263">
        <v>0</v>
      </c>
      <c r="H295" s="263">
        <v>0</v>
      </c>
      <c r="I295" s="263">
        <v>0</v>
      </c>
      <c r="J295" s="263">
        <v>0</v>
      </c>
    </row>
    <row r="296" spans="1:10">
      <c r="A296" s="339"/>
      <c r="B296" s="252"/>
      <c r="C296" s="341" t="s">
        <v>70</v>
      </c>
      <c r="D296" s="263"/>
      <c r="E296" s="263">
        <v>0</v>
      </c>
      <c r="F296" s="263">
        <v>0</v>
      </c>
      <c r="G296" s="263">
        <v>0</v>
      </c>
      <c r="H296" s="263">
        <v>0</v>
      </c>
      <c r="I296" s="263">
        <v>0</v>
      </c>
      <c r="J296" s="263">
        <v>0</v>
      </c>
    </row>
    <row r="297" spans="1:10">
      <c r="A297" s="339"/>
      <c r="B297" s="252"/>
      <c r="C297" s="342" t="s">
        <v>75</v>
      </c>
      <c r="D297" s="772">
        <f t="shared" ref="D297:J297" si="32">SUBTOTAL(9,D291:D296)</f>
        <v>0</v>
      </c>
      <c r="E297" s="772">
        <f t="shared" si="32"/>
        <v>0.58499999999999996</v>
      </c>
      <c r="F297" s="772">
        <f t="shared" si="32"/>
        <v>0.58499999999999996</v>
      </c>
      <c r="G297" s="772">
        <f t="shared" si="32"/>
        <v>0.58499999999999996</v>
      </c>
      <c r="H297" s="772">
        <f t="shared" si="32"/>
        <v>0.58499999999999996</v>
      </c>
      <c r="I297" s="772">
        <f t="shared" si="32"/>
        <v>0.58499999999999996</v>
      </c>
      <c r="J297" s="772">
        <f t="shared" si="32"/>
        <v>0.58499999999999996</v>
      </c>
    </row>
    <row r="298" spans="1:10">
      <c r="A298" s="339"/>
      <c r="B298" s="252"/>
      <c r="C298" s="342"/>
      <c r="D298" s="329"/>
      <c r="E298" s="329"/>
      <c r="F298" s="329"/>
      <c r="G298" s="329"/>
      <c r="H298" s="329"/>
      <c r="I298" s="329"/>
      <c r="J298" s="329"/>
    </row>
    <row r="299" spans="1:10">
      <c r="A299" s="339">
        <f>+A290+1</f>
        <v>33</v>
      </c>
      <c r="B299" s="252" t="str">
        <f ca="1">OFFSET(List_AllocOpexListStart,A299,0)</f>
        <v>A-33</v>
      </c>
      <c r="C299" s="340" t="str">
        <f ca="1">VLOOKUP(B299,List_AllocatedCosts,2,FALSE)</f>
        <v>Customer Relations, excluding Call Centre</v>
      </c>
      <c r="D299" s="329"/>
      <c r="E299" s="329"/>
      <c r="F299" s="329"/>
      <c r="G299" s="329"/>
      <c r="H299" s="329"/>
      <c r="I299" s="329"/>
      <c r="J299" s="329"/>
    </row>
    <row r="300" spans="1:10">
      <c r="A300" s="3"/>
      <c r="B300" s="252"/>
      <c r="C300" s="341" t="s">
        <v>68</v>
      </c>
      <c r="D300" s="771"/>
      <c r="E300" s="771">
        <v>1.722</v>
      </c>
      <c r="F300" s="771">
        <v>1.722</v>
      </c>
      <c r="G300" s="771">
        <v>1.722</v>
      </c>
      <c r="H300" s="771">
        <v>1.722</v>
      </c>
      <c r="I300" s="771">
        <v>1.722</v>
      </c>
      <c r="J300" s="771">
        <v>1.722</v>
      </c>
    </row>
    <row r="301" spans="1:10">
      <c r="A301" s="3"/>
      <c r="B301" s="252"/>
      <c r="C301" s="341" t="s">
        <v>69</v>
      </c>
      <c r="D301" s="771"/>
      <c r="E301" s="771">
        <v>1.7999999999999999E-2</v>
      </c>
      <c r="F301" s="771">
        <v>1.7999999999999999E-2</v>
      </c>
      <c r="G301" s="771">
        <v>1.7999999999999999E-2</v>
      </c>
      <c r="H301" s="771">
        <v>1.7999999999999999E-2</v>
      </c>
      <c r="I301" s="771">
        <v>1.7999999999999999E-2</v>
      </c>
      <c r="J301" s="771">
        <v>1.7999999999999999E-2</v>
      </c>
    </row>
    <row r="302" spans="1:10" s="759" customFormat="1">
      <c r="A302" s="544"/>
      <c r="B302" s="252"/>
      <c r="C302" s="341" t="s">
        <v>646</v>
      </c>
      <c r="D302" s="771"/>
      <c r="E302" s="771">
        <v>4.7E-2</v>
      </c>
      <c r="F302" s="771">
        <v>4.7E-2</v>
      </c>
      <c r="G302" s="771">
        <v>4.7E-2</v>
      </c>
      <c r="H302" s="771">
        <v>4.7E-2</v>
      </c>
      <c r="I302" s="771">
        <v>4.7E-2</v>
      </c>
      <c r="J302" s="771">
        <v>4.7E-2</v>
      </c>
    </row>
    <row r="303" spans="1:10">
      <c r="A303" s="3"/>
      <c r="B303" s="252"/>
      <c r="C303" s="341" t="s">
        <v>647</v>
      </c>
      <c r="D303" s="263"/>
      <c r="E303" s="263">
        <v>0.34900000000000003</v>
      </c>
      <c r="F303" s="263">
        <v>0.34900000000000003</v>
      </c>
      <c r="G303" s="263">
        <v>0.34900000000000003</v>
      </c>
      <c r="H303" s="263">
        <v>0.34900000000000003</v>
      </c>
      <c r="I303" s="263">
        <v>0.34900000000000003</v>
      </c>
      <c r="J303" s="263">
        <v>0.34900000000000003</v>
      </c>
    </row>
    <row r="304" spans="1:10" s="759" customFormat="1">
      <c r="A304" s="544"/>
      <c r="B304" s="252"/>
      <c r="C304" s="341" t="s">
        <v>575</v>
      </c>
      <c r="D304" s="263"/>
      <c r="E304" s="263">
        <v>0</v>
      </c>
      <c r="F304" s="263">
        <v>0</v>
      </c>
      <c r="G304" s="263">
        <v>0</v>
      </c>
      <c r="H304" s="263">
        <v>0</v>
      </c>
      <c r="I304" s="263">
        <v>0</v>
      </c>
      <c r="J304" s="263">
        <v>0</v>
      </c>
    </row>
    <row r="305" spans="1:10">
      <c r="A305" s="3"/>
      <c r="B305" s="252"/>
      <c r="C305" s="341" t="s">
        <v>70</v>
      </c>
      <c r="D305" s="263"/>
      <c r="E305" s="263">
        <v>0</v>
      </c>
      <c r="F305" s="263">
        <v>0</v>
      </c>
      <c r="G305" s="263">
        <v>0</v>
      </c>
      <c r="H305" s="263">
        <v>0</v>
      </c>
      <c r="I305" s="263">
        <v>0</v>
      </c>
      <c r="J305" s="263">
        <v>0</v>
      </c>
    </row>
    <row r="306" spans="1:10">
      <c r="A306" s="3"/>
      <c r="B306" s="252"/>
      <c r="C306" s="342" t="s">
        <v>75</v>
      </c>
      <c r="D306" s="357">
        <f t="shared" ref="D306:J306" si="33">SUBTOTAL(9,D300:D305)</f>
        <v>0</v>
      </c>
      <c r="E306" s="357">
        <f t="shared" si="33"/>
        <v>2.1360000000000001</v>
      </c>
      <c r="F306" s="357">
        <f t="shared" si="33"/>
        <v>2.1360000000000001</v>
      </c>
      <c r="G306" s="357">
        <f t="shared" si="33"/>
        <v>2.1360000000000001</v>
      </c>
      <c r="H306" s="357">
        <f t="shared" si="33"/>
        <v>2.1360000000000001</v>
      </c>
      <c r="I306" s="357">
        <f t="shared" si="33"/>
        <v>2.1360000000000001</v>
      </c>
      <c r="J306" s="357">
        <f t="shared" si="33"/>
        <v>2.1360000000000001</v>
      </c>
    </row>
    <row r="307" spans="1:10">
      <c r="A307" s="3"/>
      <c r="B307" s="252"/>
      <c r="C307" s="342"/>
      <c r="D307" s="329"/>
      <c r="E307" s="329"/>
      <c r="F307" s="329"/>
      <c r="G307" s="329"/>
      <c r="H307" s="329"/>
      <c r="I307" s="329"/>
      <c r="J307" s="329"/>
    </row>
    <row r="308" spans="1:10">
      <c r="A308" s="339">
        <f>+A299+1</f>
        <v>34</v>
      </c>
      <c r="B308" s="252" t="str">
        <f ca="1">OFFSET(List_AllocOpexListStart,A308,0)</f>
        <v>A-34</v>
      </c>
      <c r="C308" s="340" t="str">
        <f ca="1">VLOOKUP(B308,List_AllocatedCosts,2,FALSE)</f>
        <v>Business Improvement and Planning</v>
      </c>
      <c r="D308" s="329"/>
      <c r="E308" s="329"/>
      <c r="F308" s="329"/>
      <c r="G308" s="329"/>
      <c r="H308" s="329"/>
      <c r="I308" s="329"/>
      <c r="J308" s="329"/>
    </row>
    <row r="309" spans="1:10">
      <c r="A309" s="339"/>
      <c r="B309" s="252"/>
      <c r="C309" s="341" t="s">
        <v>68</v>
      </c>
      <c r="D309" s="771"/>
      <c r="E309" s="771">
        <v>0.629</v>
      </c>
      <c r="F309" s="771">
        <v>0.629</v>
      </c>
      <c r="G309" s="771">
        <v>0.629</v>
      </c>
      <c r="H309" s="771">
        <v>0.629</v>
      </c>
      <c r="I309" s="771">
        <v>0.629</v>
      </c>
      <c r="J309" s="771">
        <v>0.629</v>
      </c>
    </row>
    <row r="310" spans="1:10">
      <c r="A310" s="339"/>
      <c r="B310" s="252"/>
      <c r="C310" s="341" t="s">
        <v>69</v>
      </c>
      <c r="D310" s="771"/>
      <c r="E310" s="771">
        <v>3.0000000000000001E-3</v>
      </c>
      <c r="F310" s="771">
        <v>3.0000000000000001E-3</v>
      </c>
      <c r="G310" s="771">
        <v>3.0000000000000001E-3</v>
      </c>
      <c r="H310" s="771">
        <v>3.0000000000000001E-3</v>
      </c>
      <c r="I310" s="771">
        <v>3.0000000000000001E-3</v>
      </c>
      <c r="J310" s="771">
        <v>3.0000000000000001E-3</v>
      </c>
    </row>
    <row r="311" spans="1:10" s="759" customFormat="1">
      <c r="A311" s="339"/>
      <c r="B311" s="252"/>
      <c r="C311" s="341" t="s">
        <v>646</v>
      </c>
      <c r="D311" s="771"/>
      <c r="E311" s="771">
        <v>8.5000000000000006E-2</v>
      </c>
      <c r="F311" s="771">
        <v>8.5000000000000006E-2</v>
      </c>
      <c r="G311" s="771">
        <v>8.5000000000000006E-2</v>
      </c>
      <c r="H311" s="771">
        <v>8.5000000000000006E-2</v>
      </c>
      <c r="I311" s="771">
        <v>8.5000000000000006E-2</v>
      </c>
      <c r="J311" s="771">
        <v>8.5000000000000006E-2</v>
      </c>
    </row>
    <row r="312" spans="1:10">
      <c r="A312" s="339"/>
      <c r="B312" s="252"/>
      <c r="C312" s="341" t="s">
        <v>647</v>
      </c>
      <c r="D312" s="263"/>
      <c r="E312" s="263">
        <v>0.191</v>
      </c>
      <c r="F312" s="263">
        <v>0.191</v>
      </c>
      <c r="G312" s="263">
        <v>0.191</v>
      </c>
      <c r="H312" s="263">
        <v>0.191</v>
      </c>
      <c r="I312" s="263">
        <v>0.191</v>
      </c>
      <c r="J312" s="263">
        <v>0.191</v>
      </c>
    </row>
    <row r="313" spans="1:10" s="759" customFormat="1">
      <c r="A313" s="339"/>
      <c r="B313" s="252"/>
      <c r="C313" s="341" t="s">
        <v>575</v>
      </c>
      <c r="D313" s="263"/>
      <c r="E313" s="263">
        <v>0</v>
      </c>
      <c r="F313" s="263">
        <v>0</v>
      </c>
      <c r="G313" s="263">
        <v>0</v>
      </c>
      <c r="H313" s="263">
        <v>0</v>
      </c>
      <c r="I313" s="263">
        <v>0</v>
      </c>
      <c r="J313" s="263">
        <v>0</v>
      </c>
    </row>
    <row r="314" spans="1:10">
      <c r="A314" s="339"/>
      <c r="B314" s="252"/>
      <c r="C314" s="341" t="s">
        <v>70</v>
      </c>
      <c r="D314" s="263"/>
      <c r="E314" s="263">
        <v>0</v>
      </c>
      <c r="F314" s="263">
        <v>0</v>
      </c>
      <c r="G314" s="263">
        <v>0</v>
      </c>
      <c r="H314" s="263">
        <v>0</v>
      </c>
      <c r="I314" s="263">
        <v>0</v>
      </c>
      <c r="J314" s="263">
        <v>0</v>
      </c>
    </row>
    <row r="315" spans="1:10">
      <c r="A315" s="339"/>
      <c r="B315" s="252"/>
      <c r="C315" s="342" t="s">
        <v>75</v>
      </c>
      <c r="D315" s="772">
        <f t="shared" ref="D315:J315" si="34">SUBTOTAL(9,D309:D314)</f>
        <v>0</v>
      </c>
      <c r="E315" s="772">
        <f t="shared" si="34"/>
        <v>0.90799999999999992</v>
      </c>
      <c r="F315" s="772">
        <f t="shared" si="34"/>
        <v>0.90799999999999992</v>
      </c>
      <c r="G315" s="772">
        <f t="shared" si="34"/>
        <v>0.90799999999999992</v>
      </c>
      <c r="H315" s="772">
        <f t="shared" si="34"/>
        <v>0.90799999999999992</v>
      </c>
      <c r="I315" s="772">
        <f t="shared" si="34"/>
        <v>0.90799999999999992</v>
      </c>
      <c r="J315" s="772">
        <f t="shared" si="34"/>
        <v>0.90799999999999992</v>
      </c>
    </row>
    <row r="316" spans="1:10">
      <c r="A316" s="339"/>
      <c r="B316" s="252"/>
      <c r="C316" s="342"/>
      <c r="D316" s="329"/>
      <c r="E316" s="329"/>
      <c r="F316" s="329"/>
      <c r="G316" s="329"/>
      <c r="H316" s="329"/>
      <c r="I316" s="329"/>
      <c r="J316" s="329"/>
    </row>
    <row r="317" spans="1:10">
      <c r="A317" s="339">
        <f>+A308+1</f>
        <v>35</v>
      </c>
      <c r="B317" s="252" t="str">
        <f ca="1">OFFSET(List_AllocOpexListStart,A317,0)</f>
        <v>A-35</v>
      </c>
      <c r="C317" s="340" t="str">
        <f ca="1">VLOOKUP(B317,List_AllocatedCosts,2,FALSE)</f>
        <v>Works Coordination</v>
      </c>
      <c r="D317" s="329"/>
      <c r="E317" s="329"/>
      <c r="F317" s="329"/>
      <c r="G317" s="329"/>
      <c r="H317" s="329"/>
      <c r="I317" s="329"/>
      <c r="J317" s="329"/>
    </row>
    <row r="318" spans="1:10">
      <c r="A318" s="339"/>
      <c r="B318" s="252"/>
      <c r="C318" s="341" t="s">
        <v>68</v>
      </c>
      <c r="D318" s="771"/>
      <c r="E318" s="771">
        <v>2.8559999999999999</v>
      </c>
      <c r="F318" s="771">
        <v>2.8559999999999999</v>
      </c>
      <c r="G318" s="771">
        <v>2.8559999999999999</v>
      </c>
      <c r="H318" s="771">
        <v>2.8559999999999999</v>
      </c>
      <c r="I318" s="771">
        <v>2.8559999999999999</v>
      </c>
      <c r="J318" s="771">
        <v>2.8559999999999999</v>
      </c>
    </row>
    <row r="319" spans="1:10">
      <c r="A319" s="339"/>
      <c r="B319" s="252"/>
      <c r="C319" s="341" t="s">
        <v>69</v>
      </c>
      <c r="D319" s="771"/>
      <c r="E319" s="771">
        <v>1.6E-2</v>
      </c>
      <c r="F319" s="771">
        <v>1.6E-2</v>
      </c>
      <c r="G319" s="771">
        <v>1.6E-2</v>
      </c>
      <c r="H319" s="771">
        <v>1.6E-2</v>
      </c>
      <c r="I319" s="771">
        <v>1.6E-2</v>
      </c>
      <c r="J319" s="771">
        <v>1.6E-2</v>
      </c>
    </row>
    <row r="320" spans="1:10" s="759" customFormat="1">
      <c r="A320" s="339"/>
      <c r="B320" s="252"/>
      <c r="C320" s="341" t="s">
        <v>646</v>
      </c>
      <c r="D320" s="771"/>
      <c r="E320" s="771">
        <v>0</v>
      </c>
      <c r="F320" s="771">
        <v>0</v>
      </c>
      <c r="G320" s="771">
        <v>0</v>
      </c>
      <c r="H320" s="771">
        <v>0</v>
      </c>
      <c r="I320" s="771">
        <v>0</v>
      </c>
      <c r="J320" s="771">
        <v>0</v>
      </c>
    </row>
    <row r="321" spans="1:10">
      <c r="A321" s="339"/>
      <c r="B321" s="252"/>
      <c r="C321" s="341" t="s">
        <v>647</v>
      </c>
      <c r="D321" s="263"/>
      <c r="E321" s="263">
        <v>9.2999999999999999E-2</v>
      </c>
      <c r="F321" s="263">
        <v>9.2999999999999999E-2</v>
      </c>
      <c r="G321" s="263">
        <v>9.2999999999999999E-2</v>
      </c>
      <c r="H321" s="263">
        <v>9.2999999999999999E-2</v>
      </c>
      <c r="I321" s="263">
        <v>9.2999999999999999E-2</v>
      </c>
      <c r="J321" s="263">
        <v>9.2999999999999999E-2</v>
      </c>
    </row>
    <row r="322" spans="1:10" s="759" customFormat="1">
      <c r="A322" s="339"/>
      <c r="B322" s="252"/>
      <c r="C322" s="341" t="s">
        <v>575</v>
      </c>
      <c r="D322" s="263"/>
      <c r="E322" s="263">
        <v>0</v>
      </c>
      <c r="F322" s="263">
        <v>0</v>
      </c>
      <c r="G322" s="263">
        <v>0</v>
      </c>
      <c r="H322" s="263">
        <v>0</v>
      </c>
      <c r="I322" s="263">
        <v>0</v>
      </c>
      <c r="J322" s="263">
        <v>0</v>
      </c>
    </row>
    <row r="323" spans="1:10">
      <c r="A323" s="339"/>
      <c r="B323" s="252"/>
      <c r="C323" s="341" t="s">
        <v>70</v>
      </c>
      <c r="D323" s="263"/>
      <c r="E323" s="263">
        <v>0</v>
      </c>
      <c r="F323" s="263">
        <v>0</v>
      </c>
      <c r="G323" s="263">
        <v>0</v>
      </c>
      <c r="H323" s="263">
        <v>0</v>
      </c>
      <c r="I323" s="263">
        <v>0</v>
      </c>
      <c r="J323" s="263">
        <v>0</v>
      </c>
    </row>
    <row r="324" spans="1:10" ht="13.5" thickBot="1">
      <c r="A324" s="339"/>
      <c r="B324" s="252"/>
      <c r="C324" s="342" t="s">
        <v>75</v>
      </c>
      <c r="D324" s="357">
        <f t="shared" ref="D324:J324" si="35">SUBTOTAL(9,D318:D323)</f>
        <v>0</v>
      </c>
      <c r="E324" s="357">
        <f t="shared" si="35"/>
        <v>2.9649999999999999</v>
      </c>
      <c r="F324" s="357">
        <f t="shared" si="35"/>
        <v>2.9649999999999999</v>
      </c>
      <c r="G324" s="357">
        <f t="shared" si="35"/>
        <v>2.9649999999999999</v>
      </c>
      <c r="H324" s="357">
        <f t="shared" si="35"/>
        <v>2.9649999999999999</v>
      </c>
      <c r="I324" s="357">
        <f t="shared" si="35"/>
        <v>2.9649999999999999</v>
      </c>
      <c r="J324" s="357">
        <f t="shared" si="35"/>
        <v>2.9649999999999999</v>
      </c>
    </row>
    <row r="325" spans="1:10" ht="18">
      <c r="A325" s="3"/>
      <c r="B325" s="251"/>
      <c r="C325" s="255" t="str">
        <f>+'I-3 Allocated'!A40</f>
        <v xml:space="preserve">Other </v>
      </c>
      <c r="D325" s="332"/>
      <c r="E325" s="332"/>
      <c r="F325" s="332"/>
      <c r="G325" s="332"/>
      <c r="H325" s="332"/>
      <c r="I325" s="332"/>
      <c r="J325" s="332"/>
    </row>
    <row r="326" spans="1:10">
      <c r="A326" s="339">
        <f>+A317+1</f>
        <v>36</v>
      </c>
      <c r="B326" s="252" t="str">
        <f ca="1">OFFSET(List_AllocOpexListStart,A326,0)</f>
        <v>A-36</v>
      </c>
      <c r="C326" s="340" t="str">
        <f ca="1">VLOOKUP(B326,List_AllocatedCosts,2,FALSE)</f>
        <v>Employee Bonuses</v>
      </c>
      <c r="D326" s="329"/>
      <c r="E326" s="329"/>
      <c r="F326" s="329"/>
      <c r="G326" s="329"/>
      <c r="H326" s="329"/>
      <c r="I326" s="329"/>
      <c r="J326" s="329"/>
    </row>
    <row r="327" spans="1:10">
      <c r="A327" s="3"/>
      <c r="B327" s="252"/>
      <c r="C327" s="341" t="s">
        <v>68</v>
      </c>
      <c r="D327" s="771"/>
      <c r="E327" s="771">
        <v>3.403</v>
      </c>
      <c r="F327" s="771">
        <v>3.403</v>
      </c>
      <c r="G327" s="771">
        <v>3.403</v>
      </c>
      <c r="H327" s="771">
        <v>3.403</v>
      </c>
      <c r="I327" s="771">
        <v>3.403</v>
      </c>
      <c r="J327" s="771">
        <v>3.403</v>
      </c>
    </row>
    <row r="328" spans="1:10">
      <c r="A328" s="3"/>
      <c r="B328" s="252"/>
      <c r="C328" s="341" t="s">
        <v>69</v>
      </c>
      <c r="D328" s="771"/>
      <c r="E328" s="771">
        <v>0</v>
      </c>
      <c r="F328" s="771">
        <v>0</v>
      </c>
      <c r="G328" s="771">
        <v>0</v>
      </c>
      <c r="H328" s="771">
        <v>0</v>
      </c>
      <c r="I328" s="771">
        <v>0</v>
      </c>
      <c r="J328" s="771">
        <v>0</v>
      </c>
    </row>
    <row r="329" spans="1:10" s="759" customFormat="1">
      <c r="A329" s="544"/>
      <c r="B329" s="252"/>
      <c r="C329" s="341" t="s">
        <v>646</v>
      </c>
      <c r="D329" s="771"/>
      <c r="E329" s="771">
        <v>0</v>
      </c>
      <c r="F329" s="771">
        <v>0</v>
      </c>
      <c r="G329" s="771">
        <v>0</v>
      </c>
      <c r="H329" s="771">
        <v>0</v>
      </c>
      <c r="I329" s="771">
        <v>0</v>
      </c>
      <c r="J329" s="771">
        <v>0</v>
      </c>
    </row>
    <row r="330" spans="1:10">
      <c r="A330" s="3"/>
      <c r="B330" s="252"/>
      <c r="C330" s="341" t="s">
        <v>647</v>
      </c>
      <c r="D330" s="263"/>
      <c r="E330" s="263">
        <v>0</v>
      </c>
      <c r="F330" s="263">
        <v>0</v>
      </c>
      <c r="G330" s="263">
        <v>0</v>
      </c>
      <c r="H330" s="263">
        <v>0</v>
      </c>
      <c r="I330" s="263">
        <v>0</v>
      </c>
      <c r="J330" s="263">
        <v>0</v>
      </c>
    </row>
    <row r="331" spans="1:10" s="759" customFormat="1">
      <c r="A331" s="544"/>
      <c r="B331" s="252"/>
      <c r="C331" s="341" t="s">
        <v>575</v>
      </c>
      <c r="D331" s="263"/>
      <c r="E331" s="263">
        <v>0</v>
      </c>
      <c r="F331" s="263">
        <v>0</v>
      </c>
      <c r="G331" s="263">
        <v>0</v>
      </c>
      <c r="H331" s="263">
        <v>0</v>
      </c>
      <c r="I331" s="263">
        <v>0</v>
      </c>
      <c r="J331" s="263">
        <v>0</v>
      </c>
    </row>
    <row r="332" spans="1:10">
      <c r="A332" s="3"/>
      <c r="B332" s="252"/>
      <c r="C332" s="341" t="s">
        <v>70</v>
      </c>
      <c r="D332" s="263"/>
      <c r="E332" s="263">
        <v>0</v>
      </c>
      <c r="F332" s="263">
        <v>0</v>
      </c>
      <c r="G332" s="263">
        <v>0</v>
      </c>
      <c r="H332" s="263">
        <v>0</v>
      </c>
      <c r="I332" s="263">
        <v>0</v>
      </c>
      <c r="J332" s="263">
        <v>0</v>
      </c>
    </row>
    <row r="333" spans="1:10">
      <c r="A333" s="3"/>
      <c r="B333" s="252"/>
      <c r="C333" s="342" t="s">
        <v>75</v>
      </c>
      <c r="D333" s="772">
        <f t="shared" ref="D333:J333" si="36">SUBTOTAL(9,D327:D332)</f>
        <v>0</v>
      </c>
      <c r="E333" s="772">
        <f t="shared" si="36"/>
        <v>3.403</v>
      </c>
      <c r="F333" s="772">
        <f t="shared" si="36"/>
        <v>3.403</v>
      </c>
      <c r="G333" s="772">
        <f t="shared" si="36"/>
        <v>3.403</v>
      </c>
      <c r="H333" s="772">
        <f t="shared" si="36"/>
        <v>3.403</v>
      </c>
      <c r="I333" s="772">
        <f t="shared" si="36"/>
        <v>3.403</v>
      </c>
      <c r="J333" s="772">
        <f t="shared" si="36"/>
        <v>3.403</v>
      </c>
    </row>
    <row r="334" spans="1:10">
      <c r="A334" s="3"/>
      <c r="B334" s="252"/>
      <c r="C334" s="342"/>
      <c r="D334" s="329"/>
      <c r="E334" s="329"/>
      <c r="F334" s="329"/>
      <c r="G334" s="329"/>
      <c r="H334" s="329"/>
      <c r="I334" s="329"/>
      <c r="J334" s="329"/>
    </row>
    <row r="335" spans="1:10">
      <c r="A335" s="339">
        <f>+A326+1</f>
        <v>37</v>
      </c>
      <c r="B335" s="252" t="str">
        <f ca="1">OFFSET(List_AllocOpexListStart,A335,0)</f>
        <v>A-37</v>
      </c>
      <c r="C335" s="340" t="str">
        <f ca="1">VLOOKUP(B335,List_AllocatedCosts,2,FALSE)</f>
        <v>Voluntary Separation Packages (VSP’s)</v>
      </c>
      <c r="D335" s="329"/>
      <c r="E335" s="329"/>
      <c r="F335" s="329"/>
      <c r="G335" s="329"/>
      <c r="H335" s="329"/>
      <c r="I335" s="329"/>
      <c r="J335" s="329"/>
    </row>
    <row r="336" spans="1:10">
      <c r="A336" s="339"/>
      <c r="B336" s="252"/>
      <c r="C336" s="341" t="s">
        <v>68</v>
      </c>
      <c r="D336" s="771"/>
      <c r="E336" s="771">
        <v>0.40400000000000003</v>
      </c>
      <c r="F336" s="771">
        <v>0.40400000000000003</v>
      </c>
      <c r="G336" s="771">
        <v>0.40400000000000003</v>
      </c>
      <c r="H336" s="771">
        <v>0.40400000000000003</v>
      </c>
      <c r="I336" s="771">
        <v>0.40400000000000003</v>
      </c>
      <c r="J336" s="771">
        <v>0.40400000000000003</v>
      </c>
    </row>
    <row r="337" spans="1:10">
      <c r="A337" s="339"/>
      <c r="B337" s="252"/>
      <c r="C337" s="341" t="s">
        <v>69</v>
      </c>
      <c r="D337" s="771"/>
      <c r="E337" s="771">
        <v>0</v>
      </c>
      <c r="F337" s="771">
        <v>0</v>
      </c>
      <c r="G337" s="771">
        <v>0</v>
      </c>
      <c r="H337" s="771">
        <v>0</v>
      </c>
      <c r="I337" s="771">
        <v>0</v>
      </c>
      <c r="J337" s="771">
        <v>0</v>
      </c>
    </row>
    <row r="338" spans="1:10" s="759" customFormat="1">
      <c r="A338" s="339"/>
      <c r="B338" s="252"/>
      <c r="C338" s="341" t="s">
        <v>646</v>
      </c>
      <c r="D338" s="771"/>
      <c r="E338" s="771">
        <v>0</v>
      </c>
      <c r="F338" s="771">
        <v>0</v>
      </c>
      <c r="G338" s="771">
        <v>0</v>
      </c>
      <c r="H338" s="771">
        <v>0</v>
      </c>
      <c r="I338" s="771">
        <v>0</v>
      </c>
      <c r="J338" s="771">
        <v>0</v>
      </c>
    </row>
    <row r="339" spans="1:10">
      <c r="A339" s="339"/>
      <c r="B339" s="252"/>
      <c r="C339" s="341" t="s">
        <v>647</v>
      </c>
      <c r="D339" s="263"/>
      <c r="E339" s="263">
        <v>0</v>
      </c>
      <c r="F339" s="263">
        <v>0</v>
      </c>
      <c r="G339" s="263">
        <v>0</v>
      </c>
      <c r="H339" s="263">
        <v>0</v>
      </c>
      <c r="I339" s="263">
        <v>0</v>
      </c>
      <c r="J339" s="263">
        <v>0</v>
      </c>
    </row>
    <row r="340" spans="1:10" s="759" customFormat="1">
      <c r="A340" s="339"/>
      <c r="B340" s="252"/>
      <c r="C340" s="341" t="s">
        <v>575</v>
      </c>
      <c r="D340" s="263"/>
      <c r="E340" s="263">
        <v>0</v>
      </c>
      <c r="F340" s="263">
        <v>0</v>
      </c>
      <c r="G340" s="263">
        <v>0</v>
      </c>
      <c r="H340" s="263">
        <v>0</v>
      </c>
      <c r="I340" s="263">
        <v>0</v>
      </c>
      <c r="J340" s="263">
        <v>0</v>
      </c>
    </row>
    <row r="341" spans="1:10">
      <c r="A341" s="339"/>
      <c r="B341" s="252"/>
      <c r="C341" s="341" t="s">
        <v>70</v>
      </c>
      <c r="D341" s="263"/>
      <c r="E341" s="263">
        <v>0</v>
      </c>
      <c r="F341" s="263">
        <v>0</v>
      </c>
      <c r="G341" s="263">
        <v>0</v>
      </c>
      <c r="H341" s="263">
        <v>0</v>
      </c>
      <c r="I341" s="263">
        <v>0</v>
      </c>
      <c r="J341" s="263">
        <v>0</v>
      </c>
    </row>
    <row r="342" spans="1:10">
      <c r="A342" s="339"/>
      <c r="B342" s="252"/>
      <c r="C342" s="342" t="s">
        <v>75</v>
      </c>
      <c r="D342" s="357">
        <f t="shared" ref="D342:J342" si="37">SUBTOTAL(9,D336:D341)</f>
        <v>0</v>
      </c>
      <c r="E342" s="357">
        <f t="shared" si="37"/>
        <v>0.40400000000000003</v>
      </c>
      <c r="F342" s="357">
        <f t="shared" si="37"/>
        <v>0.40400000000000003</v>
      </c>
      <c r="G342" s="357">
        <f t="shared" si="37"/>
        <v>0.40400000000000003</v>
      </c>
      <c r="H342" s="357">
        <f t="shared" si="37"/>
        <v>0.40400000000000003</v>
      </c>
      <c r="I342" s="357">
        <f t="shared" si="37"/>
        <v>0.40400000000000003</v>
      </c>
      <c r="J342" s="357">
        <f t="shared" si="37"/>
        <v>0.40400000000000003</v>
      </c>
    </row>
    <row r="343" spans="1:10">
      <c r="A343" s="3"/>
      <c r="B343" s="252"/>
      <c r="C343" s="342"/>
      <c r="D343" s="329"/>
      <c r="E343" s="329"/>
      <c r="F343" s="329"/>
      <c r="G343" s="329"/>
      <c r="H343" s="329"/>
      <c r="I343" s="329"/>
      <c r="J343" s="329"/>
    </row>
    <row r="344" spans="1:10">
      <c r="A344" s="339">
        <f>+A335+1</f>
        <v>38</v>
      </c>
      <c r="B344" s="252" t="str">
        <f ca="1">OFFSET(List_AllocOpexListStart,A344,0)</f>
        <v>A-38</v>
      </c>
      <c r="C344" s="340" t="str">
        <f ca="1">VLOOKUP(B344,List_AllocatedCosts,2,FALSE)</f>
        <v>Superannuation</v>
      </c>
      <c r="D344" s="329"/>
      <c r="E344" s="329"/>
      <c r="F344" s="329"/>
      <c r="G344" s="329"/>
      <c r="H344" s="329"/>
      <c r="I344" s="329"/>
      <c r="J344" s="329"/>
    </row>
    <row r="345" spans="1:10">
      <c r="A345" s="3"/>
      <c r="B345" s="252"/>
      <c r="C345" s="341" t="s">
        <v>68</v>
      </c>
      <c r="D345" s="771"/>
      <c r="E345" s="771">
        <v>-4.0670000000000002</v>
      </c>
      <c r="F345" s="771">
        <v>-4.0670000000000002</v>
      </c>
      <c r="G345" s="771">
        <v>-4.0670000000000002</v>
      </c>
      <c r="H345" s="771">
        <v>-4.0670000000000002</v>
      </c>
      <c r="I345" s="771">
        <v>-4.0670000000000002</v>
      </c>
      <c r="J345" s="771">
        <v>-4.0670000000000002</v>
      </c>
    </row>
    <row r="346" spans="1:10">
      <c r="A346" s="3"/>
      <c r="B346" s="252"/>
      <c r="C346" s="341" t="s">
        <v>69</v>
      </c>
      <c r="D346" s="771"/>
      <c r="E346" s="771">
        <v>0</v>
      </c>
      <c r="F346" s="771">
        <v>0</v>
      </c>
      <c r="G346" s="771">
        <v>0</v>
      </c>
      <c r="H346" s="771">
        <v>0</v>
      </c>
      <c r="I346" s="771">
        <v>0</v>
      </c>
      <c r="J346" s="771">
        <v>0</v>
      </c>
    </row>
    <row r="347" spans="1:10" s="759" customFormat="1">
      <c r="A347" s="544"/>
      <c r="B347" s="252"/>
      <c r="C347" s="341" t="s">
        <v>646</v>
      </c>
      <c r="D347" s="771"/>
      <c r="E347" s="771">
        <v>0</v>
      </c>
      <c r="F347" s="771">
        <v>0</v>
      </c>
      <c r="G347" s="771">
        <v>0</v>
      </c>
      <c r="H347" s="771">
        <v>0</v>
      </c>
      <c r="I347" s="771">
        <v>0</v>
      </c>
      <c r="J347" s="771">
        <v>0</v>
      </c>
    </row>
    <row r="348" spans="1:10">
      <c r="A348" s="3"/>
      <c r="B348" s="252"/>
      <c r="C348" s="341" t="s">
        <v>647</v>
      </c>
      <c r="D348" s="263"/>
      <c r="E348" s="263">
        <v>0</v>
      </c>
      <c r="F348" s="263">
        <v>0</v>
      </c>
      <c r="G348" s="263">
        <v>0</v>
      </c>
      <c r="H348" s="263">
        <v>0</v>
      </c>
      <c r="I348" s="263">
        <v>0</v>
      </c>
      <c r="J348" s="263">
        <v>0</v>
      </c>
    </row>
    <row r="349" spans="1:10" s="759" customFormat="1">
      <c r="A349" s="544"/>
      <c r="B349" s="252"/>
      <c r="C349" s="341" t="s">
        <v>575</v>
      </c>
      <c r="D349" s="263"/>
      <c r="E349" s="263">
        <v>0</v>
      </c>
      <c r="F349" s="263">
        <v>0</v>
      </c>
      <c r="G349" s="263">
        <v>0</v>
      </c>
      <c r="H349" s="263">
        <v>0</v>
      </c>
      <c r="I349" s="263">
        <v>0</v>
      </c>
      <c r="J349" s="263">
        <v>0</v>
      </c>
    </row>
    <row r="350" spans="1:10">
      <c r="A350" s="3"/>
      <c r="B350" s="252"/>
      <c r="C350" s="341" t="s">
        <v>70</v>
      </c>
      <c r="D350" s="263"/>
      <c r="E350" s="263">
        <v>0</v>
      </c>
      <c r="F350" s="263">
        <v>0</v>
      </c>
      <c r="G350" s="263">
        <v>0</v>
      </c>
      <c r="H350" s="263">
        <v>0</v>
      </c>
      <c r="I350" s="263">
        <v>0</v>
      </c>
      <c r="J350" s="263">
        <v>0</v>
      </c>
    </row>
    <row r="351" spans="1:10">
      <c r="A351" s="3"/>
      <c r="B351" s="252"/>
      <c r="C351" s="342" t="s">
        <v>75</v>
      </c>
      <c r="D351" s="772">
        <f t="shared" ref="D351:J351" si="38">SUBTOTAL(9,D345:D350)</f>
        <v>0</v>
      </c>
      <c r="E351" s="772">
        <f t="shared" si="38"/>
        <v>-4.0670000000000002</v>
      </c>
      <c r="F351" s="772">
        <f t="shared" si="38"/>
        <v>-4.0670000000000002</v>
      </c>
      <c r="G351" s="772">
        <f t="shared" si="38"/>
        <v>-4.0670000000000002</v>
      </c>
      <c r="H351" s="772">
        <f t="shared" si="38"/>
        <v>-4.0670000000000002</v>
      </c>
      <c r="I351" s="772">
        <f t="shared" si="38"/>
        <v>-4.0670000000000002</v>
      </c>
      <c r="J351" s="772">
        <f t="shared" si="38"/>
        <v>-4.0670000000000002</v>
      </c>
    </row>
    <row r="352" spans="1:10">
      <c r="A352" s="3"/>
      <c r="B352" s="252"/>
      <c r="C352" s="342"/>
      <c r="D352" s="329"/>
      <c r="E352" s="329"/>
      <c r="F352" s="329"/>
      <c r="G352" s="329"/>
      <c r="H352" s="329"/>
      <c r="I352" s="329"/>
      <c r="J352" s="329"/>
    </row>
    <row r="353" spans="1:11">
      <c r="A353" s="339">
        <f>+A344+1</f>
        <v>39</v>
      </c>
      <c r="B353" s="252" t="str">
        <f ca="1">OFFSET(List_AllocOpexListStart,A353,0)</f>
        <v>A-39</v>
      </c>
      <c r="C353" s="340" t="str">
        <f ca="1">VLOOKUP(B353,List_AllocatedCosts,2,FALSE)</f>
        <v>Self Insurance</v>
      </c>
      <c r="D353" s="329"/>
      <c r="E353" s="329"/>
      <c r="F353" s="329"/>
      <c r="G353" s="329"/>
      <c r="H353" s="329"/>
      <c r="I353" s="329"/>
      <c r="J353" s="329"/>
    </row>
    <row r="354" spans="1:11">
      <c r="A354" s="3"/>
      <c r="B354" s="252"/>
      <c r="C354" s="341" t="s">
        <v>68</v>
      </c>
      <c r="D354" s="771"/>
      <c r="E354" s="771">
        <v>0</v>
      </c>
      <c r="F354" s="771">
        <v>0</v>
      </c>
      <c r="G354" s="771">
        <v>0</v>
      </c>
      <c r="H354" s="771">
        <v>0</v>
      </c>
      <c r="I354" s="771">
        <v>0</v>
      </c>
      <c r="J354" s="771">
        <v>0</v>
      </c>
    </row>
    <row r="355" spans="1:11">
      <c r="A355" s="3"/>
      <c r="B355" s="252"/>
      <c r="C355" s="341" t="s">
        <v>69</v>
      </c>
      <c r="D355" s="771"/>
      <c r="E355" s="771">
        <v>0</v>
      </c>
      <c r="F355" s="771">
        <v>0</v>
      </c>
      <c r="G355" s="771">
        <v>0</v>
      </c>
      <c r="H355" s="771">
        <v>0</v>
      </c>
      <c r="I355" s="771">
        <v>0</v>
      </c>
      <c r="J355" s="771">
        <v>0</v>
      </c>
    </row>
    <row r="356" spans="1:11" s="759" customFormat="1">
      <c r="A356" s="544"/>
      <c r="B356" s="252"/>
      <c r="C356" s="341" t="s">
        <v>646</v>
      </c>
      <c r="D356" s="771"/>
      <c r="E356" s="771">
        <v>0</v>
      </c>
      <c r="F356" s="771">
        <v>0</v>
      </c>
      <c r="G356" s="771">
        <v>0</v>
      </c>
      <c r="H356" s="771">
        <v>0</v>
      </c>
      <c r="I356" s="771">
        <v>0</v>
      </c>
      <c r="J356" s="771">
        <v>0</v>
      </c>
    </row>
    <row r="357" spans="1:11">
      <c r="A357" s="3"/>
      <c r="B357" s="252"/>
      <c r="C357" s="341" t="s">
        <v>647</v>
      </c>
      <c r="D357" s="263"/>
      <c r="E357" s="263">
        <v>0</v>
      </c>
      <c r="F357" s="263">
        <v>0</v>
      </c>
      <c r="G357" s="263">
        <v>0</v>
      </c>
      <c r="H357" s="263">
        <v>0</v>
      </c>
      <c r="I357" s="263">
        <v>0</v>
      </c>
      <c r="J357" s="263">
        <v>0</v>
      </c>
    </row>
    <row r="358" spans="1:11" s="759" customFormat="1">
      <c r="A358" s="544"/>
      <c r="B358" s="252"/>
      <c r="C358" s="341" t="s">
        <v>575</v>
      </c>
      <c r="D358" s="263"/>
      <c r="E358" s="263">
        <v>0</v>
      </c>
      <c r="F358" s="263">
        <v>0</v>
      </c>
      <c r="G358" s="263">
        <v>0</v>
      </c>
      <c r="H358" s="263">
        <v>0</v>
      </c>
      <c r="I358" s="263">
        <v>0</v>
      </c>
      <c r="J358" s="263">
        <v>0</v>
      </c>
    </row>
    <row r="359" spans="1:11">
      <c r="A359" s="3"/>
      <c r="B359" s="252"/>
      <c r="C359" s="341" t="s">
        <v>70</v>
      </c>
      <c r="D359" s="263"/>
      <c r="E359" s="867">
        <f>5.121-3.11</f>
        <v>2.0110000000000006</v>
      </c>
      <c r="F359" s="867">
        <f t="shared" ref="F359:J359" si="39">5.121-3.11</f>
        <v>2.0110000000000006</v>
      </c>
      <c r="G359" s="867">
        <f t="shared" si="39"/>
        <v>2.0110000000000006</v>
      </c>
      <c r="H359" s="867">
        <f t="shared" si="39"/>
        <v>2.0110000000000006</v>
      </c>
      <c r="I359" s="867">
        <f t="shared" si="39"/>
        <v>2.0110000000000006</v>
      </c>
      <c r="J359" s="867">
        <f t="shared" si="39"/>
        <v>2.0110000000000006</v>
      </c>
    </row>
    <row r="360" spans="1:11">
      <c r="A360" s="3"/>
      <c r="B360" s="252"/>
      <c r="C360" s="342" t="s">
        <v>75</v>
      </c>
      <c r="D360" s="357">
        <f t="shared" ref="D360:J360" si="40">SUBTOTAL(9,D354:D359)</f>
        <v>0</v>
      </c>
      <c r="E360" s="357">
        <f t="shared" si="40"/>
        <v>2.0110000000000006</v>
      </c>
      <c r="F360" s="357">
        <f t="shared" si="40"/>
        <v>2.0110000000000006</v>
      </c>
      <c r="G360" s="357">
        <f t="shared" si="40"/>
        <v>2.0110000000000006</v>
      </c>
      <c r="H360" s="357">
        <f t="shared" si="40"/>
        <v>2.0110000000000006</v>
      </c>
      <c r="I360" s="357">
        <f t="shared" si="40"/>
        <v>2.0110000000000006</v>
      </c>
      <c r="J360" s="357">
        <f t="shared" si="40"/>
        <v>2.0110000000000006</v>
      </c>
    </row>
    <row r="361" spans="1:11">
      <c r="A361" s="3"/>
      <c r="B361" s="252"/>
      <c r="C361" s="342"/>
      <c r="D361" s="329"/>
      <c r="E361" s="329"/>
      <c r="F361" s="329"/>
      <c r="G361" s="329"/>
      <c r="H361" s="329"/>
      <c r="I361" s="329"/>
      <c r="J361" s="329"/>
    </row>
    <row r="362" spans="1:11">
      <c r="A362" s="339">
        <f>+A353+1</f>
        <v>40</v>
      </c>
      <c r="B362" s="252" t="str">
        <f ca="1">OFFSET(List_AllocOpexListStart,A362,0)</f>
        <v>A-40</v>
      </c>
      <c r="C362" s="340" t="str">
        <f ca="1">VLOOKUP(B362,List_AllocatedCosts,2,FALSE)</f>
        <v>Debt Raising Costs</v>
      </c>
      <c r="D362" s="329"/>
      <c r="E362" s="329"/>
      <c r="F362" s="329"/>
      <c r="G362" s="329"/>
      <c r="H362" s="329"/>
      <c r="I362" s="329"/>
      <c r="J362" s="329"/>
    </row>
    <row r="363" spans="1:11">
      <c r="A363" s="3"/>
      <c r="B363" s="252"/>
      <c r="C363" s="341" t="s">
        <v>68</v>
      </c>
      <c r="D363" s="771"/>
      <c r="E363" s="771"/>
      <c r="F363" s="771"/>
      <c r="G363" s="771"/>
      <c r="H363" s="771"/>
      <c r="I363" s="771"/>
      <c r="J363" s="771"/>
    </row>
    <row r="364" spans="1:11">
      <c r="A364" s="3"/>
      <c r="B364" s="252"/>
      <c r="C364" s="341" t="s">
        <v>69</v>
      </c>
      <c r="D364" s="771"/>
      <c r="E364" s="771"/>
      <c r="F364" s="771"/>
      <c r="G364" s="771"/>
      <c r="H364" s="771"/>
      <c r="I364" s="771"/>
      <c r="J364" s="771"/>
    </row>
    <row r="365" spans="1:11" s="759" customFormat="1">
      <c r="A365" s="544"/>
      <c r="B365" s="252"/>
      <c r="C365" s="341" t="s">
        <v>646</v>
      </c>
      <c r="D365" s="771"/>
      <c r="E365" s="771"/>
      <c r="F365" s="771"/>
      <c r="G365" s="771"/>
      <c r="H365" s="771"/>
      <c r="I365" s="771"/>
      <c r="J365" s="771"/>
    </row>
    <row r="366" spans="1:11">
      <c r="A366" s="3"/>
      <c r="B366" s="252"/>
      <c r="C366" s="341" t="s">
        <v>647</v>
      </c>
      <c r="D366" s="263"/>
      <c r="E366" s="263"/>
      <c r="F366" s="263"/>
      <c r="G366" s="263"/>
      <c r="H366" s="263"/>
      <c r="I366" s="263"/>
      <c r="J366" s="263"/>
    </row>
    <row r="367" spans="1:11" s="759" customFormat="1">
      <c r="A367" s="544"/>
      <c r="B367" s="252"/>
      <c r="C367" s="341" t="s">
        <v>575</v>
      </c>
      <c r="D367" s="263"/>
      <c r="E367" s="263"/>
      <c r="F367" s="263"/>
      <c r="G367" s="263"/>
      <c r="H367" s="263"/>
      <c r="I367" s="263"/>
      <c r="J367" s="263"/>
    </row>
    <row r="368" spans="1:11">
      <c r="A368" s="3"/>
      <c r="B368" s="252"/>
      <c r="C368" s="341" t="s">
        <v>70</v>
      </c>
      <c r="D368" s="263"/>
      <c r="E368" s="263">
        <f>1.8468378331172*'I-1'!H18/'I-1'!E13</f>
        <v>2.0175539353381176</v>
      </c>
      <c r="F368" s="263"/>
      <c r="G368" s="263"/>
      <c r="H368" s="263"/>
      <c r="I368" s="263"/>
      <c r="J368" s="263"/>
      <c r="K368" s="828" t="s">
        <v>706</v>
      </c>
    </row>
    <row r="369" spans="1:10">
      <c r="A369" s="3"/>
      <c r="B369" s="252"/>
      <c r="C369" s="342" t="s">
        <v>75</v>
      </c>
      <c r="D369" s="772">
        <f t="shared" ref="D369:J369" si="41">SUBTOTAL(9,D363:D368)</f>
        <v>0</v>
      </c>
      <c r="E369" s="772">
        <f t="shared" si="41"/>
        <v>2.0175539353381176</v>
      </c>
      <c r="F369" s="772">
        <f t="shared" si="41"/>
        <v>0</v>
      </c>
      <c r="G369" s="772">
        <f t="shared" si="41"/>
        <v>0</v>
      </c>
      <c r="H369" s="772">
        <f t="shared" si="41"/>
        <v>0</v>
      </c>
      <c r="I369" s="772">
        <f t="shared" si="41"/>
        <v>0</v>
      </c>
      <c r="J369" s="772">
        <f t="shared" si="41"/>
        <v>0</v>
      </c>
    </row>
    <row r="370" spans="1:10">
      <c r="A370" s="3"/>
      <c r="B370" s="252"/>
      <c r="C370" s="342"/>
      <c r="D370" s="329"/>
      <c r="E370" s="329"/>
      <c r="F370" s="329"/>
      <c r="G370" s="329"/>
      <c r="H370" s="329"/>
      <c r="I370" s="329"/>
      <c r="J370" s="329"/>
    </row>
    <row r="371" spans="1:10">
      <c r="A371" s="339">
        <f>+A362+1</f>
        <v>41</v>
      </c>
      <c r="B371" s="252" t="str">
        <f ca="1">OFFSET(List_AllocOpexListStart,A371,0)</f>
        <v>A-41</v>
      </c>
      <c r="C371" s="340" t="str">
        <f ca="1">VLOOKUP(B371,List_AllocatedCosts,2,FALSE)</f>
        <v>Spare, not in use</v>
      </c>
      <c r="D371" s="329"/>
      <c r="E371" s="329"/>
      <c r="F371" s="329"/>
      <c r="G371" s="329"/>
      <c r="H371" s="329"/>
      <c r="I371" s="329"/>
      <c r="J371" s="329"/>
    </row>
    <row r="372" spans="1:10">
      <c r="A372" s="3"/>
      <c r="B372" s="252"/>
      <c r="C372" s="341" t="s">
        <v>68</v>
      </c>
      <c r="D372" s="771"/>
      <c r="E372" s="771"/>
      <c r="F372" s="771"/>
      <c r="G372" s="771"/>
      <c r="H372" s="771"/>
      <c r="I372" s="771"/>
      <c r="J372" s="771"/>
    </row>
    <row r="373" spans="1:10">
      <c r="A373" s="3"/>
      <c r="B373" s="252"/>
      <c r="C373" s="341" t="s">
        <v>69</v>
      </c>
      <c r="D373" s="771"/>
      <c r="E373" s="771"/>
      <c r="F373" s="771"/>
      <c r="G373" s="771"/>
      <c r="H373" s="771"/>
      <c r="I373" s="771"/>
      <c r="J373" s="771"/>
    </row>
    <row r="374" spans="1:10" s="759" customFormat="1">
      <c r="A374" s="544"/>
      <c r="B374" s="252"/>
      <c r="C374" s="341" t="s">
        <v>646</v>
      </c>
      <c r="D374" s="771"/>
      <c r="E374" s="771"/>
      <c r="F374" s="771"/>
      <c r="G374" s="771"/>
      <c r="H374" s="771"/>
      <c r="I374" s="771"/>
      <c r="J374" s="771"/>
    </row>
    <row r="375" spans="1:10">
      <c r="A375" s="3"/>
      <c r="B375" s="252"/>
      <c r="C375" s="341" t="s">
        <v>647</v>
      </c>
      <c r="D375" s="263"/>
      <c r="E375" s="263"/>
      <c r="F375" s="263"/>
      <c r="G375" s="263"/>
      <c r="H375" s="263"/>
      <c r="I375" s="263"/>
      <c r="J375" s="263"/>
    </row>
    <row r="376" spans="1:10" s="759" customFormat="1">
      <c r="A376" s="544"/>
      <c r="B376" s="252"/>
      <c r="C376" s="341" t="s">
        <v>575</v>
      </c>
      <c r="D376" s="263"/>
      <c r="E376" s="263"/>
      <c r="F376" s="263"/>
      <c r="G376" s="263"/>
      <c r="H376" s="263"/>
      <c r="I376" s="263"/>
      <c r="J376" s="263"/>
    </row>
    <row r="377" spans="1:10">
      <c r="A377" s="3"/>
      <c r="B377" s="252"/>
      <c r="C377" s="341" t="s">
        <v>70</v>
      </c>
      <c r="D377" s="263"/>
      <c r="E377" s="263"/>
      <c r="F377" s="263"/>
      <c r="G377" s="263"/>
      <c r="H377" s="263"/>
      <c r="I377" s="263"/>
      <c r="J377" s="263"/>
    </row>
    <row r="378" spans="1:10">
      <c r="A378" s="3"/>
      <c r="B378" s="252"/>
      <c r="C378" s="342" t="s">
        <v>75</v>
      </c>
      <c r="D378" s="357">
        <f t="shared" ref="D378:J378" si="42">SUBTOTAL(9,D372:D377)</f>
        <v>0</v>
      </c>
      <c r="E378" s="357">
        <f t="shared" si="42"/>
        <v>0</v>
      </c>
      <c r="F378" s="357">
        <f t="shared" si="42"/>
        <v>0</v>
      </c>
      <c r="G378" s="357">
        <f t="shared" si="42"/>
        <v>0</v>
      </c>
      <c r="H378" s="357">
        <f t="shared" si="42"/>
        <v>0</v>
      </c>
      <c r="I378" s="357">
        <f t="shared" si="42"/>
        <v>0</v>
      </c>
      <c r="J378" s="357">
        <f t="shared" si="42"/>
        <v>0</v>
      </c>
    </row>
    <row r="379" spans="1:10">
      <c r="A379" s="3"/>
      <c r="B379" s="252"/>
      <c r="C379" s="342"/>
      <c r="D379" s="329"/>
      <c r="E379" s="329"/>
      <c r="F379" s="329"/>
      <c r="G379" s="329"/>
      <c r="H379" s="329"/>
      <c r="I379" s="329"/>
      <c r="J379" s="329"/>
    </row>
    <row r="380" spans="1:10" ht="16.5" thickBot="1">
      <c r="A380" s="3"/>
      <c r="B380" s="366"/>
      <c r="C380" s="367" t="s">
        <v>273</v>
      </c>
      <c r="D380" s="368">
        <f t="shared" ref="D380:J380" si="43">SUBTOTAL(9,D7:D379)</f>
        <v>0</v>
      </c>
      <c r="E380" s="368">
        <f t="shared" si="43"/>
        <v>70.317553935338125</v>
      </c>
      <c r="F380" s="368">
        <f t="shared" si="43"/>
        <v>68.300000000000011</v>
      </c>
      <c r="G380" s="368">
        <f t="shared" si="43"/>
        <v>68.300000000000011</v>
      </c>
      <c r="H380" s="368">
        <f t="shared" si="43"/>
        <v>68.300000000000011</v>
      </c>
      <c r="I380" s="368">
        <f t="shared" si="43"/>
        <v>68.300000000000011</v>
      </c>
      <c r="J380" s="368">
        <f t="shared" si="43"/>
        <v>68.300000000000011</v>
      </c>
    </row>
    <row r="381" spans="1:10">
      <c r="A381" s="3"/>
      <c r="B381" s="371"/>
      <c r="C381" s="371"/>
      <c r="D381" s="372"/>
      <c r="E381" s="372"/>
      <c r="F381" s="373"/>
      <c r="G381" s="372"/>
      <c r="H381" s="372"/>
      <c r="I381" s="374"/>
      <c r="J381" s="374"/>
    </row>
    <row r="382" spans="1:10">
      <c r="A382" s="3"/>
      <c r="B382" s="371"/>
      <c r="C382" s="371"/>
      <c r="D382" s="371"/>
      <c r="E382" s="371"/>
      <c r="F382" s="371"/>
      <c r="G382" s="371"/>
      <c r="H382" s="371"/>
      <c r="I382" s="371"/>
      <c r="J382" s="371"/>
    </row>
    <row r="383" spans="1:10" ht="16.5" thickBot="1">
      <c r="A383" s="3"/>
      <c r="B383" s="366"/>
      <c r="C383" s="367" t="s">
        <v>267</v>
      </c>
      <c r="D383" s="375"/>
      <c r="E383" s="375"/>
      <c r="F383" s="375"/>
      <c r="G383" s="375"/>
      <c r="H383" s="375"/>
      <c r="I383" s="375"/>
      <c r="J383" s="375"/>
    </row>
    <row r="384" spans="1:10" ht="13.5" thickBot="1">
      <c r="A384" s="3"/>
      <c r="B384" s="371"/>
      <c r="C384" s="371"/>
      <c r="D384" s="371"/>
      <c r="E384" s="371"/>
      <c r="F384" s="371"/>
      <c r="G384" s="371"/>
      <c r="H384" s="371"/>
      <c r="I384" s="371"/>
      <c r="J384" s="371"/>
    </row>
    <row r="385" spans="1:10" ht="13.5" thickBot="1">
      <c r="A385" s="3"/>
      <c r="B385" s="3"/>
      <c r="C385" s="10"/>
      <c r="D385" s="439" t="str">
        <f>'Ref-1'!O39</f>
        <v>2013/14</v>
      </c>
      <c r="E385" s="439" t="str">
        <f>'Ref-1'!P39</f>
        <v>2014/15</v>
      </c>
      <c r="F385" s="439" t="str">
        <f>'Ref-1'!Q39</f>
        <v>2015/16</v>
      </c>
      <c r="G385" s="439" t="str">
        <f>'Ref-1'!R39</f>
        <v>2016/17</v>
      </c>
      <c r="H385" s="439" t="str">
        <f>'Ref-1'!S39</f>
        <v>2017/18</v>
      </c>
      <c r="I385" s="439" t="str">
        <f>'Ref-1'!T39</f>
        <v>2018/19</v>
      </c>
      <c r="J385" s="439" t="str">
        <f>'Ref-1'!U39</f>
        <v>2019/20</v>
      </c>
    </row>
    <row r="386" spans="1:10">
      <c r="A386" s="3"/>
      <c r="B386" s="3"/>
      <c r="C386" s="341" t="s">
        <v>68</v>
      </c>
      <c r="D386" s="359">
        <f t="shared" ref="D386:J391" ca="1" si="44">SUMIF($C$6:$C$379,$C386,D$6:D$379)</f>
        <v>0</v>
      </c>
      <c r="E386" s="359">
        <f t="shared" ca="1" si="44"/>
        <v>43.143000000000008</v>
      </c>
      <c r="F386" s="359">
        <f t="shared" ca="1" si="44"/>
        <v>43.143000000000008</v>
      </c>
      <c r="G386" s="359">
        <f t="shared" ca="1" si="44"/>
        <v>43.143000000000008</v>
      </c>
      <c r="H386" s="359">
        <f t="shared" ca="1" si="44"/>
        <v>43.143000000000008</v>
      </c>
      <c r="I386" s="359">
        <f t="shared" ca="1" si="44"/>
        <v>43.143000000000008</v>
      </c>
      <c r="J386" s="359">
        <f t="shared" ca="1" si="44"/>
        <v>43.143000000000008</v>
      </c>
    </row>
    <row r="387" spans="1:10">
      <c r="A387" s="3"/>
      <c r="B387" s="3"/>
      <c r="C387" s="341" t="s">
        <v>69</v>
      </c>
      <c r="D387" s="359">
        <f t="shared" ca="1" si="44"/>
        <v>0</v>
      </c>
      <c r="E387" s="359">
        <f t="shared" ca="1" si="44"/>
        <v>1.1639999999999999</v>
      </c>
      <c r="F387" s="359">
        <f t="shared" ca="1" si="44"/>
        <v>1.1639999999999999</v>
      </c>
      <c r="G387" s="359">
        <f t="shared" ca="1" si="44"/>
        <v>1.1639999999999999</v>
      </c>
      <c r="H387" s="359">
        <f t="shared" ca="1" si="44"/>
        <v>1.1639999999999999</v>
      </c>
      <c r="I387" s="359">
        <f t="shared" ca="1" si="44"/>
        <v>1.1639999999999999</v>
      </c>
      <c r="J387" s="359">
        <f t="shared" ca="1" si="44"/>
        <v>1.1639999999999999</v>
      </c>
    </row>
    <row r="388" spans="1:10" s="770" customFormat="1">
      <c r="A388" s="544"/>
      <c r="B388" s="544"/>
      <c r="C388" s="341" t="s">
        <v>646</v>
      </c>
      <c r="D388" s="359">
        <f t="shared" ca="1" si="44"/>
        <v>0</v>
      </c>
      <c r="E388" s="359">
        <f t="shared" ca="1" si="44"/>
        <v>0.10199999999999998</v>
      </c>
      <c r="F388" s="359">
        <f t="shared" ca="1" si="44"/>
        <v>0.10199999999999998</v>
      </c>
      <c r="G388" s="359">
        <f t="shared" ca="1" si="44"/>
        <v>0.10199999999999998</v>
      </c>
      <c r="H388" s="359">
        <f t="shared" ca="1" si="44"/>
        <v>0.10199999999999998</v>
      </c>
      <c r="I388" s="359">
        <f t="shared" ca="1" si="44"/>
        <v>0.10199999999999998</v>
      </c>
      <c r="J388" s="359">
        <f t="shared" ca="1" si="44"/>
        <v>0.10199999999999998</v>
      </c>
    </row>
    <row r="389" spans="1:10">
      <c r="A389" s="3"/>
      <c r="B389" s="3"/>
      <c r="C389" s="341" t="s">
        <v>647</v>
      </c>
      <c r="D389" s="359">
        <f t="shared" ca="1" si="44"/>
        <v>0</v>
      </c>
      <c r="E389" s="359">
        <f t="shared" ca="1" si="44"/>
        <v>25.138999999999999</v>
      </c>
      <c r="F389" s="359">
        <f t="shared" ca="1" si="44"/>
        <v>25.138999999999999</v>
      </c>
      <c r="G389" s="359">
        <f t="shared" ca="1" si="44"/>
        <v>25.138999999999999</v>
      </c>
      <c r="H389" s="359">
        <f t="shared" ca="1" si="44"/>
        <v>25.138999999999999</v>
      </c>
      <c r="I389" s="359">
        <f t="shared" ca="1" si="44"/>
        <v>25.138999999999999</v>
      </c>
      <c r="J389" s="359">
        <f t="shared" ca="1" si="44"/>
        <v>25.138999999999999</v>
      </c>
    </row>
    <row r="390" spans="1:10" s="770" customFormat="1">
      <c r="A390" s="544"/>
      <c r="B390" s="544"/>
      <c r="C390" s="341" t="s">
        <v>575</v>
      </c>
      <c r="D390" s="359">
        <f t="shared" ca="1" si="44"/>
        <v>0</v>
      </c>
      <c r="E390" s="359">
        <f t="shared" ca="1" si="44"/>
        <v>-6.5630000000000006</v>
      </c>
      <c r="F390" s="359">
        <f t="shared" ca="1" si="44"/>
        <v>-6.5630000000000006</v>
      </c>
      <c r="G390" s="359">
        <f t="shared" ca="1" si="44"/>
        <v>-6.5630000000000006</v>
      </c>
      <c r="H390" s="359">
        <f t="shared" ca="1" si="44"/>
        <v>-6.5630000000000006</v>
      </c>
      <c r="I390" s="359">
        <f t="shared" ca="1" si="44"/>
        <v>-6.5630000000000006</v>
      </c>
      <c r="J390" s="359">
        <f t="shared" ca="1" si="44"/>
        <v>-6.5630000000000006</v>
      </c>
    </row>
    <row r="391" spans="1:10">
      <c r="A391" s="3"/>
      <c r="B391" s="3"/>
      <c r="C391" s="341" t="s">
        <v>70</v>
      </c>
      <c r="D391" s="359">
        <f t="shared" ca="1" si="44"/>
        <v>0</v>
      </c>
      <c r="E391" s="359">
        <f t="shared" ca="1" si="44"/>
        <v>7.3325539353381179</v>
      </c>
      <c r="F391" s="359">
        <f t="shared" ca="1" si="44"/>
        <v>5.3150000000000004</v>
      </c>
      <c r="G391" s="359">
        <f t="shared" ca="1" si="44"/>
        <v>5.3150000000000004</v>
      </c>
      <c r="H391" s="359">
        <f t="shared" ca="1" si="44"/>
        <v>5.3150000000000004</v>
      </c>
      <c r="I391" s="359">
        <f t="shared" ca="1" si="44"/>
        <v>5.3150000000000004</v>
      </c>
      <c r="J391" s="359">
        <f t="shared" ca="1" si="44"/>
        <v>5.3150000000000004</v>
      </c>
    </row>
    <row r="392" spans="1:10" ht="13.5" thickBot="1">
      <c r="A392" s="3"/>
      <c r="B392" s="3"/>
      <c r="C392" s="356" t="s">
        <v>75</v>
      </c>
      <c r="D392" s="362">
        <f t="shared" ref="D392:J392" ca="1" si="45">SUM(D386:D391)</f>
        <v>0</v>
      </c>
      <c r="E392" s="362">
        <f t="shared" ca="1" si="45"/>
        <v>70.317553935338111</v>
      </c>
      <c r="F392" s="362">
        <f t="shared" ca="1" si="45"/>
        <v>68.3</v>
      </c>
      <c r="G392" s="362">
        <f t="shared" ca="1" si="45"/>
        <v>68.3</v>
      </c>
      <c r="H392" s="362">
        <f t="shared" ca="1" si="45"/>
        <v>68.3</v>
      </c>
      <c r="I392" s="362">
        <f t="shared" ca="1" si="45"/>
        <v>68.3</v>
      </c>
      <c r="J392" s="362">
        <f t="shared" ca="1" si="45"/>
        <v>68.3</v>
      </c>
    </row>
    <row r="393" spans="1:10" ht="6" customHeight="1">
      <c r="A393" s="3"/>
      <c r="B393" s="3"/>
      <c r="C393" s="3"/>
      <c r="D393" s="3"/>
      <c r="E393" s="3"/>
      <c r="F393" s="3"/>
      <c r="G393" s="3"/>
      <c r="H393" s="3"/>
      <c r="I393" s="3"/>
      <c r="J393" s="3"/>
    </row>
    <row r="395" spans="1:10">
      <c r="D395" s="620"/>
    </row>
    <row r="396" spans="1:10">
      <c r="F396" s="590"/>
      <c r="G396" s="590"/>
      <c r="H396" s="590"/>
      <c r="I396" s="590"/>
      <c r="J396" s="590"/>
    </row>
    <row r="397" spans="1:10">
      <c r="F397" s="590"/>
      <c r="G397" s="590"/>
      <c r="H397" s="590"/>
      <c r="I397" s="590"/>
      <c r="J397" s="590"/>
    </row>
    <row r="398" spans="1:10">
      <c r="F398" s="590"/>
      <c r="G398" s="590"/>
      <c r="H398" s="590"/>
      <c r="I398" s="590"/>
      <c r="J398" s="590"/>
    </row>
    <row r="401" spans="3:10" ht="13.5" thickBot="1"/>
    <row r="402" spans="3:10">
      <c r="C402" s="326" t="s">
        <v>288</v>
      </c>
      <c r="D402" s="317"/>
      <c r="E402" s="317"/>
      <c r="F402" s="317"/>
      <c r="G402" s="317"/>
      <c r="H402" s="317"/>
      <c r="I402" s="317"/>
      <c r="J402" s="318"/>
    </row>
    <row r="403" spans="3:10">
      <c r="C403" s="319" t="s">
        <v>311</v>
      </c>
      <c r="D403" s="308">
        <f ca="1">+D392-D380</f>
        <v>0</v>
      </c>
      <c r="E403" s="308">
        <f t="shared" ref="E403:J403" ca="1" si="46">+E392-E380</f>
        <v>0</v>
      </c>
      <c r="F403" s="308">
        <f t="shared" ca="1" si="46"/>
        <v>0</v>
      </c>
      <c r="G403" s="308">
        <f t="shared" ca="1" si="46"/>
        <v>0</v>
      </c>
      <c r="H403" s="308">
        <f t="shared" ca="1" si="46"/>
        <v>0</v>
      </c>
      <c r="I403" s="308">
        <f t="shared" ca="1" si="46"/>
        <v>0</v>
      </c>
      <c r="J403" s="320">
        <f t="shared" ca="1" si="46"/>
        <v>0</v>
      </c>
    </row>
    <row r="404" spans="3:10" ht="13.5" thickBot="1">
      <c r="C404" s="322"/>
      <c r="D404" s="323"/>
      <c r="E404" s="323"/>
      <c r="F404" s="323"/>
      <c r="G404" s="323"/>
      <c r="H404" s="323"/>
      <c r="I404" s="323"/>
      <c r="J404" s="324"/>
    </row>
  </sheetData>
  <sheetProtection formatColumns="0" formatRows="0"/>
  <protectedRanges>
    <protectedRange sqref="D6:J6 D379:J379" name="Range2_1"/>
    <protectedRange sqref="D288:J290 D324:J326 D378:J378" name="Range2_4"/>
    <protectedRange sqref="D358:J358 D359" name="Range1_8_1"/>
    <protectedRange sqref="D357:J357 E359:J359" name="Range1_1_1_2_1"/>
    <protectedRange sqref="D354:J356" name="Range1_26_1"/>
    <protectedRange sqref="D367:J368" name="Range1_8_2"/>
    <protectedRange sqref="D366:J366" name="Range1_1_1_2_2"/>
    <protectedRange sqref="D363:J365" name="Range1_26_1_1"/>
    <protectedRange sqref="D376:J377" name="Range1_8_3"/>
    <protectedRange sqref="D375:J375" name="Range1_1_1_2_3"/>
    <protectedRange sqref="D372:J374" name="Range1_26_1_2"/>
    <protectedRange sqref="D349:J350" name="Range1_8_4"/>
    <protectedRange sqref="D348:J348" name="Range1_1_1_2_4"/>
    <protectedRange sqref="D345:J347" name="Range1_26_1_3"/>
    <protectedRange sqref="D340:J341" name="Range1_8_5"/>
    <protectedRange sqref="D339:J339" name="Range1_1_1_2_5"/>
    <protectedRange sqref="D336:J338" name="Range1_26_1_4"/>
    <protectedRange sqref="D304:J305" name="Range1_8_6"/>
    <protectedRange sqref="D303:J303" name="Range1_1_1_2_6"/>
    <protectedRange sqref="D300:J302" name="Range1_26_1_5"/>
    <protectedRange sqref="D313:J314" name="Range1_8_7"/>
    <protectedRange sqref="D312:J312" name="Range1_1_1_2_7"/>
    <protectedRange sqref="D309:J311" name="Range1_26_1_6"/>
    <protectedRange sqref="D322:J323" name="Range1_8_8"/>
    <protectedRange sqref="D321:J321" name="Range1_1_1_2_8"/>
    <protectedRange sqref="D318:J320" name="Range1_26_1_7"/>
    <protectedRange sqref="D331:J332" name="Range1_8_9"/>
    <protectedRange sqref="D330:J330" name="Range1_1_1_2_9"/>
    <protectedRange sqref="D327:J329" name="Range1_26_1_8"/>
    <protectedRange sqref="D268:J269" name="Range1_8_10"/>
    <protectedRange sqref="D267:J267" name="Range1_1_1_2_10"/>
    <protectedRange sqref="D264:J266" name="Range1_26_1_9"/>
    <protectedRange sqref="D277:J278" name="Range1_8_11"/>
    <protectedRange sqref="D276:J276" name="Range1_1_1_2_11"/>
    <protectedRange sqref="D273:J275" name="Range1_26_1_10"/>
    <protectedRange sqref="D286:J287" name="Range1_8_12"/>
    <protectedRange sqref="D285:J285" name="Range1_1_1_2_12"/>
    <protectedRange sqref="D282:J284" name="Range1_26_1_11"/>
    <protectedRange sqref="D295:J296" name="Range1_8_13"/>
    <protectedRange sqref="D294:J294" name="Range1_1_1_2_13"/>
    <protectedRange sqref="D291:J293" name="Range1_26_1_12"/>
    <protectedRange sqref="D259:J260" name="Range1_8_14"/>
    <protectedRange sqref="D258:J258" name="Range1_1_1_2_14"/>
    <protectedRange sqref="D255:J257" name="Range1_26_1_13"/>
    <protectedRange sqref="D250:J251" name="Range1_8_15"/>
    <protectedRange sqref="D249:J249" name="Range1_1_1_2_15"/>
    <protectedRange sqref="D246:J248" name="Range1_26_1_14"/>
    <protectedRange sqref="D241:J242" name="Range1_8_16"/>
    <protectedRange sqref="D240:J240" name="Range1_1_1_2_16"/>
    <protectedRange sqref="D237:J239" name="Range1_26_1_15"/>
    <protectedRange sqref="D232:J233" name="Range1_8_17"/>
    <protectedRange sqref="D231:J231" name="Range1_1_1_2_17"/>
    <protectedRange sqref="D228:J230" name="Range1_26_1_16"/>
    <protectedRange sqref="D218:J219" name="Range1_8_18"/>
    <protectedRange sqref="D217:J217" name="Range1_1_1_2_18"/>
    <protectedRange sqref="D214:J216" name="Range1_26_1_17"/>
    <protectedRange sqref="D209:J210" name="Range1_8_19"/>
    <protectedRange sqref="D208:J208" name="Range1_1_1_2_19"/>
    <protectedRange sqref="D205:J207" name="Range1_26_1_18"/>
    <protectedRange sqref="D200:J201" name="Range1_8_20"/>
    <protectedRange sqref="D199:J199" name="Range1_1_1_2_20"/>
    <protectedRange sqref="D196:J198" name="Range1_26_1_19"/>
    <protectedRange sqref="D191:J192" name="Range1_8_21"/>
    <protectedRange sqref="D190:J190" name="Range1_1_1_2_21"/>
    <protectedRange sqref="D187:J189" name="Range1_26_1_20"/>
    <protectedRange sqref="D182:J183" name="Range1_8_22"/>
    <protectedRange sqref="D181:J181" name="Range1_1_1_2_22"/>
    <protectedRange sqref="D178:J180" name="Range1_26_1_21"/>
    <protectedRange sqref="D173:J174" name="Range1_8_23"/>
    <protectedRange sqref="D172:J172" name="Range1_1_1_2_23"/>
    <protectedRange sqref="D169:J171" name="Range1_26_1_22"/>
    <protectedRange sqref="D164:J165" name="Range1_8_24"/>
    <protectedRange sqref="D163:J163" name="Range1_1_1_2_24"/>
    <protectedRange sqref="D160:J162" name="Range1_26_1_23"/>
    <protectedRange sqref="D155:J156" name="Range1_8_25"/>
    <protectedRange sqref="D154:J154" name="Range1_1_1_2_25"/>
    <protectedRange sqref="D151:J153" name="Range1_26_1_24"/>
    <protectedRange sqref="D146:J147" name="Range1_8_26"/>
    <protectedRange sqref="D145:J145" name="Range1_1_1_2_26"/>
    <protectedRange sqref="D142:J144" name="Range1_26_1_25"/>
    <protectedRange sqref="D137:J138" name="Range1_8_27"/>
    <protectedRange sqref="D136:J136" name="Range1_1_1_2_27"/>
    <protectedRange sqref="D133:J135" name="Range1_26_1_26"/>
    <protectedRange sqref="D128:J129" name="Range1_8_28"/>
    <protectedRange sqref="D127:J127" name="Range1_1_1_2_28"/>
    <protectedRange sqref="D124:J126" name="Range1_26_1_27"/>
    <protectedRange sqref="D119:J120" name="Range1_8_29"/>
    <protectedRange sqref="D118:J118" name="Range1_1_1_2_29"/>
    <protectedRange sqref="D115:J117" name="Range1_26_1_28"/>
    <protectedRange sqref="D110:J111" name="Range1_8_30"/>
    <protectedRange sqref="D109:J109" name="Range1_1_1_2_30"/>
    <protectedRange sqref="D106:J108" name="Range1_26_1_29"/>
    <protectedRange sqref="D101:J102" name="Range1_8_31"/>
    <protectedRange sqref="D100:J100" name="Range1_1_1_2_31"/>
    <protectedRange sqref="D97:J99" name="Range1_26_1_30"/>
    <protectedRange sqref="D92:J93" name="Range1_8_32"/>
    <protectedRange sqref="D91:J91" name="Range1_1_1_2_32"/>
    <protectedRange sqref="D88:J90" name="Range1_26_1_31"/>
    <protectedRange sqref="D83:J84" name="Range1_8_33"/>
    <protectedRange sqref="D82:J82" name="Range1_1_1_2_33"/>
    <protectedRange sqref="D79:J81" name="Range1_26_1_32"/>
    <protectedRange sqref="D74:J75" name="Range1_8_34"/>
    <protectedRange sqref="D73:J73" name="Range1_1_1_2_34"/>
    <protectedRange sqref="D70:J72" name="Range1_26_1_33"/>
    <protectedRange sqref="D65:J66" name="Range1_8_35"/>
    <protectedRange sqref="D64:J64" name="Range1_1_1_2_35"/>
    <protectedRange sqref="D61:J63" name="Range1_26_1_34"/>
    <protectedRange sqref="D56:J57" name="Range1_8_36"/>
    <protectedRange sqref="D55:J55" name="Range1_1_1_2_36"/>
    <protectedRange sqref="D52:J54" name="Range1_26_1_35"/>
    <protectedRange sqref="D47:J48" name="Range1_8_37"/>
    <protectedRange sqref="D46:J46" name="Range1_1_1_2_37"/>
    <protectedRange sqref="D43:J45" name="Range1_26_1_36"/>
    <protectedRange sqref="D38:J39" name="Range1_8_38"/>
    <protectedRange sqref="D37:J37" name="Range1_1_1_2_38"/>
    <protectedRange sqref="D34:J36" name="Range1_26_1_37"/>
    <protectedRange sqref="D29:J30" name="Range1_8_39"/>
    <protectedRange sqref="D28:J28" name="Range1_1_1_2_39"/>
    <protectedRange sqref="D25:J27" name="Range1_26_1_38"/>
    <protectedRange sqref="D20:J21" name="Range1_8_40"/>
    <protectedRange sqref="D19:J19" name="Range1_1_1_2_40"/>
    <protectedRange sqref="D16:J18" name="Range1_26_1_39"/>
    <protectedRange sqref="D11:J12" name="Range1_8_41"/>
    <protectedRange sqref="D10:J10" name="Range1_1_1_2_41"/>
    <protectedRange sqref="D7:J9" name="Range1_26_1_40"/>
  </protectedRanges>
  <phoneticPr fontId="0" type="noConversion"/>
  <conditionalFormatting sqref="D403:J403">
    <cfRule type="cellIs" dxfId="382" priority="1" stopIfTrue="1" operator="equal">
      <formula>0</formula>
    </cfRule>
    <cfRule type="cellIs" dxfId="381" priority="2" stopIfTrue="1" operator="notEqual">
      <formula>0</formula>
    </cfRule>
  </conditionalFormatting>
  <pageMargins left="0.46" right="0.47" top="0.64" bottom="0.64" header="0.24" footer="0.2"/>
  <pageSetup paperSize="9" scale="62" fitToHeight="0" orientation="landscape" r:id="rId1"/>
  <headerFooter alignWithMargins="0">
    <oddFooter>&amp;L&amp;8&amp;F
&amp;A
Printed: &amp;T on &amp;D&amp;C&amp;8Page &amp;P of &amp;N</oddFooter>
  </headerFooter>
  <rowBreaks count="3" manualBreakCount="3">
    <brk id="58" min="1" max="11" man="1"/>
    <brk id="194" min="1" max="11" man="1"/>
    <brk id="324" min="1" max="11" man="1"/>
  </rowBreaks>
  <legacyDrawing r:id="rId2"/>
</worksheet>
</file>

<file path=xl/worksheets/sheet100.xml><?xml version="1.0" encoding="utf-8"?>
<worksheet xmlns="http://schemas.openxmlformats.org/spreadsheetml/2006/main" xmlns:r="http://schemas.openxmlformats.org/officeDocument/2006/relationships">
  <sheetPr codeName="Sheet27" enableFormatConditionsCalculation="0">
    <tabColor indexed="58"/>
  </sheetPr>
  <dimension ref="C9:F19"/>
  <sheetViews>
    <sheetView showGridLines="0" workbookViewId="0">
      <selection activeCell="D11" sqref="D11"/>
    </sheetView>
  </sheetViews>
  <sheetFormatPr defaultRowHeight="12.75"/>
  <sheetData>
    <row r="9" spans="3:6" ht="18">
      <c r="C9" s="144" t="s">
        <v>16</v>
      </c>
    </row>
    <row r="10" spans="3:6" ht="16.5">
      <c r="C10" s="176" t="s">
        <v>4</v>
      </c>
      <c r="D10" s="730">
        <v>9</v>
      </c>
    </row>
    <row r="11" spans="3:6" ht="15.75">
      <c r="C11" s="177"/>
    </row>
    <row r="12" spans="3:6">
      <c r="C12" s="882"/>
      <c r="D12" s="882"/>
      <c r="E12" s="882"/>
      <c r="F12" s="882"/>
    </row>
    <row r="13" spans="3:6">
      <c r="C13" s="182"/>
      <c r="D13" s="182"/>
    </row>
    <row r="17" spans="3:3">
      <c r="C17" s="147" t="s">
        <v>22</v>
      </c>
    </row>
    <row r="18" spans="3:3">
      <c r="C18" s="148" t="s">
        <v>27</v>
      </c>
    </row>
    <row r="19" spans="3:3">
      <c r="C19" s="148"/>
    </row>
  </sheetData>
  <sheetProtection formatColumns="0" formatRows="0"/>
  <mergeCells count="1">
    <mergeCell ref="C12:F12"/>
  </mergeCells>
  <phoneticPr fontId="10" type="noConversion"/>
  <pageMargins left="0.75" right="0.75" top="1" bottom="1" header="0.5" footer="0.5"/>
  <pageSetup paperSize="9" orientation="landscape" r:id="rId1"/>
  <headerFooter alignWithMargins="0">
    <oddFooter>&amp;L&amp;8File: &amp;F
&amp;D&amp;C&amp;8Worksheet: &amp;A&amp;R&amp;8Page &amp;P of &amp;N</oddFooter>
  </headerFooter>
</worksheet>
</file>

<file path=xl/worksheets/sheet101.xml><?xml version="1.0" encoding="utf-8"?>
<worksheet xmlns="http://schemas.openxmlformats.org/spreadsheetml/2006/main" xmlns:r="http://schemas.openxmlformats.org/officeDocument/2006/relationships">
  <sheetPr codeName="Sheet58">
    <pageSetUpPr autoPageBreaks="0" fitToPage="1"/>
  </sheetPr>
  <dimension ref="A1:T42"/>
  <sheetViews>
    <sheetView showGridLines="0" zoomScaleNormal="100" workbookViewId="0">
      <pane xSplit="1" ySplit="3" topLeftCell="B4" activePane="bottomRight" state="frozen"/>
      <selection pane="topRight"/>
      <selection pane="bottomLeft"/>
      <selection pane="bottomRight" activeCell="M35" sqref="M35"/>
    </sheetView>
  </sheetViews>
  <sheetFormatPr defaultColWidth="9.28515625" defaultRowHeight="12.75"/>
  <cols>
    <col min="1" max="1" width="7.28515625" bestFit="1" customWidth="1"/>
    <col min="2" max="2" width="55.85546875" bestFit="1" customWidth="1"/>
    <col min="3" max="8" width="9.28515625" customWidth="1"/>
    <col min="9" max="9" width="9.28515625" style="780" customWidth="1"/>
    <col min="10" max="10" width="9.28515625" customWidth="1"/>
    <col min="11" max="11" width="23.5703125" customWidth="1"/>
  </cols>
  <sheetData>
    <row r="1" spans="1:20" ht="18">
      <c r="A1" s="175" t="s">
        <v>28</v>
      </c>
      <c r="B1" s="175" t="s">
        <v>29</v>
      </c>
    </row>
    <row r="2" spans="1:20">
      <c r="B2" s="186" t="str">
        <f>Model_Name</f>
        <v>Submission Operating Expenditure Model</v>
      </c>
    </row>
    <row r="5" spans="1:20" ht="16.5">
      <c r="B5" s="187" t="s">
        <v>30</v>
      </c>
      <c r="C5" s="188"/>
      <c r="D5" s="188"/>
      <c r="E5" s="188"/>
      <c r="F5" s="188"/>
      <c r="G5" s="188"/>
      <c r="H5" s="188"/>
      <c r="I5" s="188"/>
      <c r="J5" s="188"/>
      <c r="K5" s="188"/>
    </row>
    <row r="7" spans="1:20" ht="13.5" thickBot="1">
      <c r="B7" s="189" t="s">
        <v>31</v>
      </c>
      <c r="C7" s="189"/>
      <c r="D7" s="190" t="s">
        <v>32</v>
      </c>
      <c r="E7" s="190" t="s">
        <v>33</v>
      </c>
      <c r="F7" s="190" t="s">
        <v>34</v>
      </c>
      <c r="G7" s="190" t="s">
        <v>317</v>
      </c>
      <c r="H7" s="190" t="s">
        <v>318</v>
      </c>
      <c r="I7" s="190" t="s">
        <v>319</v>
      </c>
      <c r="J7" s="190" t="s">
        <v>671</v>
      </c>
      <c r="K7" s="190" t="s">
        <v>35</v>
      </c>
    </row>
    <row r="8" spans="1:20">
      <c r="D8" s="191" t="s">
        <v>36</v>
      </c>
      <c r="E8" s="5"/>
      <c r="F8" s="5"/>
      <c r="G8" s="5"/>
      <c r="H8" s="5"/>
      <c r="I8" s="5"/>
      <c r="J8" s="5"/>
    </row>
    <row r="9" spans="1:20">
      <c r="B9" s="192" t="s">
        <v>297</v>
      </c>
      <c r="D9" s="5">
        <f ca="1">SUM('I-4 History'!D626:L626)</f>
        <v>0</v>
      </c>
      <c r="E9" s="376"/>
      <c r="F9" s="376"/>
      <c r="G9" s="376"/>
      <c r="H9" s="376"/>
      <c r="I9" s="376"/>
      <c r="J9" s="376"/>
      <c r="K9" s="193" t="str">
        <f t="shared" ref="K9:K12" ca="1" si="0">+IF(SUM(D9:J9)&gt;0,"Warning - Check Error","")</f>
        <v/>
      </c>
    </row>
    <row r="10" spans="1:20">
      <c r="B10" s="192" t="s">
        <v>320</v>
      </c>
      <c r="D10" s="5">
        <f ca="1">SUM('I-5 Future DA'!D248:J248)</f>
        <v>0</v>
      </c>
      <c r="E10" s="376"/>
      <c r="F10" s="376"/>
      <c r="G10" s="376"/>
      <c r="H10" s="376"/>
      <c r="I10" s="376"/>
      <c r="J10" s="376"/>
      <c r="K10" s="193" t="str">
        <f t="shared" ca="1" si="0"/>
        <v/>
      </c>
    </row>
    <row r="11" spans="1:20">
      <c r="B11" s="192" t="s">
        <v>390</v>
      </c>
      <c r="D11" s="5">
        <f ca="1">SUM('I-6 Future A'!D403:J403)</f>
        <v>0</v>
      </c>
      <c r="E11" s="376"/>
      <c r="F11" s="376"/>
      <c r="G11" s="376"/>
      <c r="H11" s="376"/>
      <c r="I11" s="376"/>
      <c r="J11" s="376"/>
      <c r="K11" s="193" t="str">
        <f t="shared" ca="1" si="0"/>
        <v/>
      </c>
    </row>
    <row r="12" spans="1:20">
      <c r="B12" s="192" t="s">
        <v>443</v>
      </c>
      <c r="D12" s="5">
        <f ca="1">SUM('R1 Opex Detail'!D634:S634)</f>
        <v>0</v>
      </c>
      <c r="E12" s="5">
        <f ca="1">SUM('R1 Opex Detail'!L635:S635)</f>
        <v>0</v>
      </c>
      <c r="F12" s="5">
        <f>SUM('R1 Opex Detail'!D636:K636)</f>
        <v>0</v>
      </c>
      <c r="G12" s="376"/>
      <c r="H12" s="376"/>
      <c r="I12" s="376"/>
      <c r="J12" s="376"/>
      <c r="K12" s="193" t="str">
        <f t="shared" ca="1" si="0"/>
        <v/>
      </c>
    </row>
    <row r="13" spans="1:20">
      <c r="B13" s="192" t="s">
        <v>12</v>
      </c>
      <c r="D13" s="5">
        <f ca="1">SUM('R2'!B130:J130)</f>
        <v>0</v>
      </c>
      <c r="E13" s="5">
        <f>ROUND(SUM('R2'!C131:J131),-3)</f>
        <v>0</v>
      </c>
      <c r="F13" s="5">
        <f ca="1">SUM('R2'!C132:J132)</f>
        <v>0</v>
      </c>
      <c r="G13" s="5">
        <f ca="1">SUM('R2'!C133:J133)</f>
        <v>0</v>
      </c>
      <c r="H13" s="5">
        <f ca="1">SUM('R2'!C134:J134)</f>
        <v>0</v>
      </c>
      <c r="I13" s="5">
        <f ca="1">SUM('R2'!C135:J135)</f>
        <v>0</v>
      </c>
      <c r="J13" s="5">
        <f ca="1">SUM('R2'!B145:J145)</f>
        <v>0</v>
      </c>
      <c r="K13" s="193" t="str">
        <f ca="1">+IF(SUM(D13:J13)&gt;0,"Warning - Check Error","")</f>
        <v/>
      </c>
    </row>
    <row r="14" spans="1:20">
      <c r="B14" s="192" t="s">
        <v>13</v>
      </c>
      <c r="D14" s="5">
        <f ca="1">SUM('R3'!B138:J138)</f>
        <v>0</v>
      </c>
      <c r="E14" s="5">
        <f>SUM('R3'!C139:J139)</f>
        <v>0</v>
      </c>
      <c r="F14" s="5">
        <f ca="1">SUM('R3'!C140:J140)</f>
        <v>0</v>
      </c>
      <c r="G14" s="5">
        <f ca="1">SUM('R3'!C141:J141)</f>
        <v>0</v>
      </c>
      <c r="H14" s="5">
        <f ca="1">SUM('R3'!C142:J142)</f>
        <v>0</v>
      </c>
      <c r="I14" s="5">
        <f ca="1">SUM('R3'!C143:J143)</f>
        <v>0</v>
      </c>
      <c r="J14" s="376"/>
      <c r="K14" s="193" t="str">
        <f t="shared" ref="K14:K25" ca="1" si="1">+IF(SUM(D14:J14)&gt;0,"Warning - Check Error","")</f>
        <v/>
      </c>
      <c r="L14" s="194"/>
      <c r="M14" s="194"/>
      <c r="N14" s="194"/>
      <c r="O14" s="194"/>
      <c r="P14" s="194"/>
      <c r="Q14" s="194"/>
      <c r="R14" s="194"/>
      <c r="S14" s="194"/>
      <c r="T14" s="194"/>
    </row>
    <row r="15" spans="1:20">
      <c r="B15" s="192" t="s">
        <v>14</v>
      </c>
      <c r="D15" s="5">
        <f ca="1">SUM('R4 Variations'!D814:K814)</f>
        <v>0</v>
      </c>
      <c r="E15" s="376"/>
      <c r="F15" s="376"/>
      <c r="G15" s="376"/>
      <c r="H15" s="376"/>
      <c r="I15" s="376"/>
      <c r="J15" s="376"/>
      <c r="K15" s="193" t="str">
        <f t="shared" ca="1" si="1"/>
        <v/>
      </c>
      <c r="L15" s="194"/>
      <c r="M15" s="194"/>
      <c r="N15" s="194"/>
      <c r="O15" s="194"/>
      <c r="P15" s="194"/>
      <c r="Q15" s="194"/>
      <c r="R15" s="194"/>
      <c r="S15" s="194"/>
      <c r="T15" s="194"/>
    </row>
    <row r="16" spans="1:20">
      <c r="B16" s="192" t="s">
        <v>375</v>
      </c>
      <c r="D16" s="5">
        <f ca="1">SUM('R5 Escalations'!E1015:K1015)</f>
        <v>0</v>
      </c>
      <c r="E16" s="5">
        <f ca="1">SUM('R5 Escalations'!E1016:K1016)</f>
        <v>0</v>
      </c>
      <c r="F16" s="376"/>
      <c r="G16" s="376"/>
      <c r="H16" s="376"/>
      <c r="I16" s="376"/>
      <c r="J16" s="376"/>
      <c r="K16" s="193" t="str">
        <f t="shared" ca="1" si="1"/>
        <v/>
      </c>
    </row>
    <row r="17" spans="2:11">
      <c r="B17" s="192" t="s">
        <v>381</v>
      </c>
      <c r="D17" s="5">
        <f ca="1">SUM('R6 Escalations'!C57:I57)</f>
        <v>0</v>
      </c>
      <c r="E17" s="5">
        <f ca="1">SUM('R6 Escalations'!C58:I58)</f>
        <v>0</v>
      </c>
      <c r="F17" s="376"/>
      <c r="G17" s="376"/>
      <c r="H17" s="376"/>
      <c r="I17" s="376"/>
      <c r="J17" s="376"/>
      <c r="K17" s="193" t="str">
        <f t="shared" ca="1" si="1"/>
        <v/>
      </c>
    </row>
    <row r="18" spans="2:11">
      <c r="B18" s="192" t="s">
        <v>442</v>
      </c>
      <c r="D18" s="5">
        <f ca="1">SUM('R7'!D23:J23)</f>
        <v>0</v>
      </c>
      <c r="E18" s="376"/>
      <c r="F18" s="376"/>
      <c r="G18" s="376"/>
      <c r="H18" s="376"/>
      <c r="I18" s="376"/>
      <c r="J18" s="376"/>
      <c r="K18" s="193" t="str">
        <f t="shared" ca="1" si="1"/>
        <v/>
      </c>
    </row>
    <row r="19" spans="2:11">
      <c r="B19" s="192" t="s">
        <v>691</v>
      </c>
      <c r="D19" s="5">
        <f ca="1">SUM('R2 ($2015)'!E78:J93)</f>
        <v>0</v>
      </c>
      <c r="E19" s="376"/>
      <c r="F19" s="376"/>
      <c r="G19" s="376"/>
      <c r="H19" s="376"/>
      <c r="I19" s="376"/>
      <c r="J19" s="376"/>
      <c r="K19" s="193"/>
    </row>
    <row r="20" spans="2:11" s="793" customFormat="1">
      <c r="B20" s="192" t="s">
        <v>692</v>
      </c>
      <c r="D20" s="5">
        <f ca="1">SUM('R3 ($2015)'!E78:J93)</f>
        <v>0</v>
      </c>
      <c r="E20" s="376"/>
      <c r="F20" s="376"/>
      <c r="G20" s="376"/>
      <c r="H20" s="376"/>
      <c r="I20" s="376"/>
      <c r="J20" s="376"/>
      <c r="K20" s="193"/>
    </row>
    <row r="21" spans="2:11">
      <c r="B21" s="192" t="str">
        <f>+'R4 Variations ($2015)'!A1</f>
        <v>R-4 ($2015)</v>
      </c>
      <c r="D21" s="5">
        <f ca="1">SUM('R4 Variations ($2015)'!D814:K814)</f>
        <v>0</v>
      </c>
      <c r="E21" s="376"/>
      <c r="F21" s="376"/>
      <c r="G21" s="376"/>
      <c r="H21" s="376"/>
      <c r="I21" s="376"/>
      <c r="J21" s="376"/>
      <c r="K21" s="193" t="str">
        <f t="shared" ca="1" si="1"/>
        <v/>
      </c>
    </row>
    <row r="22" spans="2:11">
      <c r="B22" s="192" t="str">
        <f>+'R6 Escalations ($2015)'!A1</f>
        <v>R-6 ($2015)</v>
      </c>
      <c r="D22" s="5">
        <f ca="1">SUM('R6 Escalations ($2015)'!C56:I56)</f>
        <v>0</v>
      </c>
      <c r="E22" s="5">
        <f ca="1">SUM('R6 Escalations ($2015)'!C57:I57)</f>
        <v>0</v>
      </c>
      <c r="F22" s="376"/>
      <c r="G22" s="376"/>
      <c r="H22" s="376"/>
      <c r="I22" s="376"/>
      <c r="J22" s="376"/>
      <c r="K22" s="193" t="str">
        <f t="shared" ca="1" si="1"/>
        <v/>
      </c>
    </row>
    <row r="23" spans="2:11" s="793" customFormat="1">
      <c r="B23" s="192" t="s">
        <v>690</v>
      </c>
      <c r="D23" s="5">
        <f ca="1">SUM('R7 ($2015)'!E78:K93)</f>
        <v>0</v>
      </c>
      <c r="E23" s="376"/>
      <c r="F23" s="376"/>
      <c r="G23" s="376"/>
      <c r="H23" s="376"/>
      <c r="I23" s="376"/>
      <c r="J23" s="376"/>
      <c r="K23" s="193"/>
    </row>
    <row r="24" spans="2:11">
      <c r="B24" s="192" t="s">
        <v>15</v>
      </c>
      <c r="D24" s="5">
        <f ca="1">SUM('E1'!D634:S634)</f>
        <v>0</v>
      </c>
      <c r="E24" s="5">
        <f ca="1">SUM('E1'!D635:L635)</f>
        <v>0</v>
      </c>
      <c r="F24" s="5">
        <f ca="1">SUM('E1'!M636:S636)</f>
        <v>0</v>
      </c>
      <c r="G24" s="376"/>
      <c r="H24" s="376"/>
      <c r="I24" s="376"/>
      <c r="J24" s="376"/>
      <c r="K24" s="193" t="str">
        <f t="shared" ca="1" si="1"/>
        <v/>
      </c>
    </row>
    <row r="25" spans="2:11">
      <c r="B25" s="192" t="s">
        <v>495</v>
      </c>
      <c r="D25" s="5">
        <f ca="1">SUM('E2'!D56:T58)</f>
        <v>0</v>
      </c>
      <c r="E25" s="5">
        <f ca="1">SUM('E2'!D75:T75)</f>
        <v>0</v>
      </c>
      <c r="F25" s="376"/>
      <c r="G25" s="376"/>
      <c r="H25" s="376"/>
      <c r="I25" s="376"/>
      <c r="J25" s="376"/>
      <c r="K25" s="193" t="str">
        <f t="shared" ca="1" si="1"/>
        <v/>
      </c>
    </row>
    <row r="26" spans="2:11">
      <c r="B26" s="192"/>
      <c r="D26" s="5"/>
      <c r="E26" s="5"/>
      <c r="F26" s="5"/>
      <c r="G26" s="5"/>
      <c r="H26" s="5"/>
      <c r="I26" s="5"/>
      <c r="J26" s="5"/>
      <c r="K26" s="193"/>
    </row>
    <row r="27" spans="2:11">
      <c r="B27" s="192"/>
    </row>
    <row r="28" spans="2:11">
      <c r="B28" s="195" t="s">
        <v>37</v>
      </c>
    </row>
    <row r="29" spans="2:11">
      <c r="B29" s="196" t="s">
        <v>38</v>
      </c>
      <c r="C29" s="197"/>
      <c r="D29" s="197"/>
      <c r="E29" s="197"/>
      <c r="F29" s="197"/>
      <c r="G29" s="197"/>
      <c r="H29" s="197"/>
      <c r="I29" s="197"/>
      <c r="J29" s="197"/>
    </row>
    <row r="30" spans="2:11">
      <c r="B30" s="198" t="s">
        <v>39</v>
      </c>
      <c r="C30" s="199"/>
      <c r="D30" s="199"/>
      <c r="E30" s="199"/>
      <c r="F30" s="199"/>
      <c r="G30" s="199"/>
      <c r="H30" s="199"/>
      <c r="I30" s="199"/>
      <c r="J30" s="199"/>
    </row>
    <row r="35" spans="2:2">
      <c r="B35" s="192"/>
    </row>
    <row r="36" spans="2:2">
      <c r="B36" s="192"/>
    </row>
    <row r="37" spans="2:2">
      <c r="B37" s="192"/>
    </row>
    <row r="38" spans="2:2">
      <c r="B38" s="192"/>
    </row>
    <row r="39" spans="2:2">
      <c r="B39" s="192"/>
    </row>
    <row r="41" spans="2:2">
      <c r="B41" s="192"/>
    </row>
    <row r="42" spans="2:2">
      <c r="B42" s="192"/>
    </row>
  </sheetData>
  <sheetProtection formatColumns="0" formatRows="0"/>
  <phoneticPr fontId="10" type="noConversion"/>
  <conditionalFormatting sqref="D21:D25 E12:F14 E24:F24 E16:E17 E25 G13:I14 D9:D18 E22">
    <cfRule type="cellIs" dxfId="7" priority="7" stopIfTrue="1" operator="notEqual">
      <formula>0</formula>
    </cfRule>
    <cfRule type="cellIs" dxfId="6" priority="8" stopIfTrue="1" operator="equal">
      <formula>0</formula>
    </cfRule>
  </conditionalFormatting>
  <conditionalFormatting sqref="J13">
    <cfRule type="cellIs" dxfId="5" priority="5" stopIfTrue="1" operator="notEqual">
      <formula>0</formula>
    </cfRule>
    <cfRule type="cellIs" dxfId="4" priority="6" stopIfTrue="1" operator="equal">
      <formula>0</formula>
    </cfRule>
  </conditionalFormatting>
  <conditionalFormatting sqref="D20">
    <cfRule type="cellIs" dxfId="3" priority="3" stopIfTrue="1" operator="notEqual">
      <formula>0</formula>
    </cfRule>
    <cfRule type="cellIs" dxfId="2" priority="4" stopIfTrue="1" operator="equal">
      <formula>0</formula>
    </cfRule>
  </conditionalFormatting>
  <conditionalFormatting sqref="D19">
    <cfRule type="cellIs" dxfId="1" priority="1" stopIfTrue="1" operator="notEqual">
      <formula>0</formula>
    </cfRule>
    <cfRule type="cellIs" dxfId="0" priority="2" stopIfTrue="1" operator="equal">
      <formula>0</formula>
    </cfRule>
  </conditionalFormatting>
  <pageMargins left="0.39370078740157483" right="0.39370078740157483" top="0.59055118110236227" bottom="0.98425196850393704" header="0" footer="0.31496062992125984"/>
  <pageSetup paperSize="9" scale="96" orientation="landscape" horizontalDpi="300" verticalDpi="300" r:id="rId1"/>
  <headerFooter alignWithMargins="0">
    <oddFooter>&amp;L&amp;"Arial,Bold"&amp;7&amp;F
&amp;A
Printed:  &amp;D&amp;C&amp;"Arial,Bold"Page &amp;P of &amp;N</oddFooter>
  </headerFooter>
</worksheet>
</file>

<file path=xl/worksheets/sheet11.xml><?xml version="1.0" encoding="utf-8"?>
<worksheet xmlns="http://schemas.openxmlformats.org/spreadsheetml/2006/main" xmlns:r="http://schemas.openxmlformats.org/officeDocument/2006/relationships">
  <sheetPr codeName="Sheet15" enableFormatConditionsCalculation="0">
    <tabColor indexed="58"/>
    <pageSetUpPr autoPageBreaks="0"/>
  </sheetPr>
  <dimension ref="A1:F20"/>
  <sheetViews>
    <sheetView showGridLines="0" zoomScaleNormal="100" workbookViewId="0">
      <selection activeCell="D4" sqref="D4"/>
    </sheetView>
  </sheetViews>
  <sheetFormatPr defaultColWidth="9.28515625" defaultRowHeight="12.75"/>
  <cols>
    <col min="1" max="2" width="9.28515625" customWidth="1"/>
    <col min="3" max="3" width="9.140625" customWidth="1"/>
    <col min="4" max="4" width="4.5703125" customWidth="1"/>
  </cols>
  <sheetData>
    <row r="1" spans="1:6">
      <c r="A1" s="174" t="s">
        <v>18</v>
      </c>
    </row>
    <row r="9" spans="1:6" ht="18">
      <c r="C9" s="175" t="s">
        <v>333</v>
      </c>
    </row>
    <row r="10" spans="1:6" ht="16.5">
      <c r="C10" s="176" t="s">
        <v>4</v>
      </c>
      <c r="D10" s="730">
        <v>3</v>
      </c>
    </row>
    <row r="11" spans="1:6" ht="15.75">
      <c r="C11" s="177"/>
    </row>
    <row r="12" spans="1:6">
      <c r="C12" s="882"/>
      <c r="D12" s="882"/>
      <c r="E12" s="882"/>
      <c r="F12" s="882"/>
    </row>
    <row r="13" spans="1:6">
      <c r="C13" s="178"/>
      <c r="D13" s="178"/>
    </row>
    <row r="17" spans="3:3">
      <c r="C17" s="179" t="s">
        <v>22</v>
      </c>
    </row>
    <row r="18" spans="3:3">
      <c r="C18" s="180" t="s">
        <v>352</v>
      </c>
    </row>
    <row r="19" spans="3:3">
      <c r="C19" s="180"/>
    </row>
    <row r="20" spans="3:3">
      <c r="C20" s="180"/>
    </row>
  </sheetData>
  <sheetProtection formatColumns="0" formatRows="0"/>
  <mergeCells count="1">
    <mergeCell ref="C12:F12"/>
  </mergeCells>
  <phoneticPr fontId="10" type="noConversion"/>
  <pageMargins left="0.39370078740157483" right="0.39370078740157483" top="0.59055118110236227" bottom="0.98425196850393704" header="0" footer="0.31496062992125984"/>
  <pageSetup paperSize="9" orientation="landscape" r:id="rId1"/>
  <headerFooter alignWithMargins="0">
    <oddFooter>&amp;L&amp;"Arial,Bold"&amp;7&amp;F
&amp;A
Printed: &amp;T on &amp;D&amp;C&amp;"Arial,Bold"&amp;10Page &amp;P of &amp;N</oddFooter>
  </headerFooter>
</worksheet>
</file>

<file path=xl/worksheets/sheet12.xml><?xml version="1.0" encoding="utf-8"?>
<worksheet xmlns="http://schemas.openxmlformats.org/spreadsheetml/2006/main" xmlns:r="http://schemas.openxmlformats.org/officeDocument/2006/relationships">
  <sheetPr codeName="Sheet13" enableFormatConditionsCalculation="0">
    <pageSetUpPr autoPageBreaks="0"/>
  </sheetPr>
  <dimension ref="A1:HA54"/>
  <sheetViews>
    <sheetView showGridLines="0" zoomScale="80" zoomScaleNormal="80" workbookViewId="0">
      <selection activeCell="E25" sqref="E25"/>
    </sheetView>
  </sheetViews>
  <sheetFormatPr defaultColWidth="9.28515625" defaultRowHeight="12.75"/>
  <cols>
    <col min="1" max="1" width="3.28515625" style="21" customWidth="1"/>
    <col min="2" max="2" width="40.42578125" style="21" customWidth="1"/>
    <col min="3" max="9" width="9.28515625" style="21" customWidth="1"/>
    <col min="10" max="10" width="3.28515625" style="21" customWidth="1"/>
    <col min="11" max="11" width="40.7109375" style="21" customWidth="1"/>
    <col min="12" max="12" width="22.28515625" style="21" customWidth="1"/>
    <col min="13" max="13" width="25.42578125" style="21" customWidth="1"/>
    <col min="14" max="14" width="2.140625" style="21" customWidth="1"/>
    <col min="15" max="16384" width="9.28515625" style="21"/>
  </cols>
  <sheetData>
    <row r="1" spans="1:209" ht="26.25">
      <c r="A1" s="472" t="s">
        <v>389</v>
      </c>
      <c r="B1" s="473" t="s">
        <v>103</v>
      </c>
      <c r="C1" s="19"/>
      <c r="D1" s="19"/>
      <c r="E1" s="19"/>
      <c r="F1" s="19"/>
      <c r="G1" s="19"/>
      <c r="H1" s="19"/>
      <c r="I1" s="19"/>
      <c r="J1" s="19"/>
      <c r="K1" s="20"/>
      <c r="L1" s="3"/>
      <c r="M1" s="3"/>
      <c r="N1" s="3"/>
    </row>
    <row r="2" spans="1:209" ht="15">
      <c r="A2" s="22" t="s">
        <v>104</v>
      </c>
      <c r="B2" s="19"/>
      <c r="C2" s="19"/>
      <c r="D2" s="19"/>
      <c r="E2" s="19"/>
      <c r="F2" s="19"/>
      <c r="G2" s="19"/>
      <c r="H2" s="19"/>
      <c r="I2" s="19"/>
      <c r="J2" s="19"/>
      <c r="K2" s="19"/>
      <c r="L2" s="23"/>
      <c r="M2" s="23"/>
      <c r="N2" s="23"/>
    </row>
    <row r="3" spans="1:209" ht="15">
      <c r="A3" s="22" t="s">
        <v>105</v>
      </c>
      <c r="B3" s="19"/>
      <c r="C3" s="19"/>
      <c r="D3" s="19"/>
      <c r="E3" s="19"/>
      <c r="F3" s="19"/>
      <c r="G3" s="19"/>
      <c r="H3" s="19"/>
      <c r="I3" s="19"/>
      <c r="J3" s="19"/>
      <c r="K3" s="19"/>
      <c r="L3" s="23"/>
      <c r="M3" s="23"/>
      <c r="N3" s="23"/>
    </row>
    <row r="4" spans="1:209" ht="15">
      <c r="A4" s="22" t="s">
        <v>106</v>
      </c>
      <c r="B4" s="19"/>
      <c r="C4" s="19"/>
      <c r="D4" s="19"/>
      <c r="E4" s="19"/>
      <c r="F4" s="19"/>
      <c r="G4" s="19"/>
      <c r="H4" s="19"/>
      <c r="I4" s="19"/>
      <c r="J4" s="19"/>
      <c r="K4" s="19"/>
      <c r="L4" s="23"/>
      <c r="M4" s="23"/>
      <c r="N4" s="23"/>
    </row>
    <row r="5" spans="1:209">
      <c r="A5" s="24" t="s">
        <v>107</v>
      </c>
      <c r="B5" s="25"/>
      <c r="C5" s="25"/>
      <c r="D5" s="25"/>
      <c r="E5" s="25"/>
      <c r="F5" s="25"/>
      <c r="G5" s="25"/>
      <c r="H5" s="25"/>
      <c r="I5" s="25"/>
      <c r="J5" s="25"/>
      <c r="K5" s="25"/>
      <c r="L5" s="25"/>
      <c r="M5" s="25"/>
      <c r="N5" s="26"/>
      <c r="O5" s="25"/>
      <c r="P5" s="25"/>
      <c r="Q5" s="25"/>
      <c r="R5" s="25"/>
      <c r="S5" s="25"/>
      <c r="T5" s="25"/>
      <c r="U5" s="25"/>
      <c r="V5" s="25"/>
      <c r="W5" s="25"/>
      <c r="X5" s="25"/>
      <c r="Y5" s="25"/>
      <c r="Z5" s="25"/>
      <c r="AA5" s="25"/>
      <c r="AB5" s="26"/>
      <c r="AC5" s="26"/>
      <c r="AD5" s="25"/>
      <c r="AE5" s="24"/>
      <c r="AF5" s="25"/>
      <c r="AG5" s="25"/>
      <c r="AH5" s="25"/>
      <c r="AI5" s="25"/>
      <c r="AJ5" s="25"/>
      <c r="AK5" s="25"/>
      <c r="AL5" s="25"/>
      <c r="AM5" s="25"/>
      <c r="AN5" s="25"/>
      <c r="AO5" s="25"/>
      <c r="AP5" s="25"/>
      <c r="AQ5" s="25"/>
      <c r="AR5" s="25"/>
      <c r="AS5" s="25"/>
      <c r="AT5" s="25"/>
      <c r="AU5" s="26"/>
      <c r="AV5" s="26"/>
      <c r="AW5" s="25"/>
      <c r="AX5" s="24"/>
      <c r="AY5" s="25"/>
      <c r="AZ5" s="25"/>
      <c r="BA5" s="25"/>
      <c r="BB5" s="25"/>
      <c r="BC5" s="25"/>
      <c r="BD5" s="25"/>
      <c r="BE5" s="25"/>
      <c r="BF5" s="25"/>
      <c r="BG5" s="25"/>
      <c r="BH5" s="25"/>
      <c r="BI5" s="25"/>
      <c r="BJ5" s="25"/>
      <c r="BK5" s="25"/>
      <c r="BL5" s="25"/>
      <c r="BM5" s="25"/>
      <c r="BN5" s="26"/>
      <c r="BO5" s="26"/>
      <c r="BP5" s="25"/>
      <c r="BQ5" s="24"/>
      <c r="BR5" s="25"/>
      <c r="BS5" s="25"/>
      <c r="BT5" s="25"/>
      <c r="BU5" s="25"/>
      <c r="BV5" s="25"/>
      <c r="BW5" s="25"/>
      <c r="BX5" s="25"/>
      <c r="BY5" s="25"/>
      <c r="BZ5" s="25"/>
      <c r="CA5" s="25"/>
      <c r="CB5" s="25"/>
      <c r="CC5" s="25"/>
      <c r="CD5" s="25"/>
      <c r="CE5" s="25"/>
      <c r="CF5" s="25"/>
      <c r="CG5" s="26"/>
      <c r="CH5" s="26"/>
      <c r="CI5" s="25"/>
      <c r="CJ5" s="24"/>
      <c r="CK5" s="25"/>
      <c r="CL5" s="25"/>
      <c r="CM5" s="25"/>
      <c r="CN5" s="25"/>
      <c r="CO5" s="25"/>
      <c r="CP5" s="25"/>
      <c r="CQ5" s="25"/>
      <c r="CR5" s="25"/>
      <c r="CS5" s="25"/>
      <c r="CT5" s="25"/>
      <c r="CU5" s="25"/>
      <c r="CV5" s="25"/>
      <c r="CW5" s="25"/>
      <c r="CX5" s="25"/>
      <c r="CY5" s="25"/>
      <c r="CZ5" s="26"/>
      <c r="DA5" s="26"/>
      <c r="DB5" s="25"/>
      <c r="DC5" s="24"/>
      <c r="DD5" s="25"/>
      <c r="DE5" s="25"/>
      <c r="DF5" s="25"/>
      <c r="DG5" s="25"/>
      <c r="DH5" s="25"/>
      <c r="DI5" s="25"/>
      <c r="DJ5" s="25"/>
      <c r="DK5" s="25"/>
      <c r="DL5" s="25"/>
      <c r="DM5" s="25"/>
      <c r="DN5" s="25"/>
      <c r="DO5" s="25"/>
      <c r="DP5" s="25"/>
      <c r="DQ5" s="25"/>
      <c r="DR5" s="25"/>
      <c r="DS5" s="26"/>
      <c r="DT5" s="26"/>
      <c r="DU5" s="25"/>
      <c r="DV5" s="24"/>
      <c r="DW5" s="25"/>
      <c r="DX5" s="25"/>
      <c r="DY5" s="25"/>
      <c r="DZ5" s="25"/>
      <c r="EA5" s="25"/>
      <c r="EB5" s="25"/>
      <c r="EC5" s="25"/>
      <c r="ED5" s="25"/>
      <c r="EE5" s="25"/>
      <c r="EF5" s="25"/>
      <c r="EG5" s="25"/>
      <c r="EH5" s="25"/>
      <c r="EI5" s="25"/>
      <c r="EJ5" s="25"/>
      <c r="EK5" s="25"/>
      <c r="EL5" s="26"/>
      <c r="EM5" s="26"/>
      <c r="EN5" s="25"/>
      <c r="EO5" s="24"/>
      <c r="EP5" s="25"/>
      <c r="EQ5" s="25"/>
      <c r="ER5" s="25"/>
      <c r="ES5" s="25"/>
      <c r="ET5" s="25"/>
      <c r="EU5" s="25"/>
      <c r="EV5" s="25"/>
      <c r="EW5" s="25"/>
      <c r="EX5" s="25"/>
      <c r="EY5" s="25"/>
      <c r="EZ5" s="25"/>
      <c r="FA5" s="25"/>
      <c r="FB5" s="25"/>
      <c r="FC5" s="25"/>
      <c r="FD5" s="25"/>
      <c r="FE5" s="26"/>
      <c r="FF5" s="26"/>
      <c r="FG5" s="25"/>
      <c r="FH5" s="24"/>
      <c r="FI5" s="25"/>
      <c r="FJ5" s="25"/>
      <c r="FK5" s="25"/>
      <c r="FL5" s="25"/>
      <c r="FM5" s="25"/>
      <c r="FN5" s="25"/>
      <c r="FO5" s="25"/>
      <c r="FP5" s="25"/>
      <c r="FQ5" s="25"/>
      <c r="FR5" s="25"/>
      <c r="FS5" s="25"/>
      <c r="FT5" s="25"/>
      <c r="FU5" s="25"/>
      <c r="FV5" s="25"/>
      <c r="FW5" s="25"/>
      <c r="FX5" s="26"/>
      <c r="FY5" s="26"/>
      <c r="FZ5" s="25"/>
      <c r="GA5" s="24"/>
      <c r="GB5" s="25"/>
      <c r="GC5" s="25"/>
      <c r="GD5" s="25"/>
      <c r="GE5" s="25"/>
      <c r="GF5" s="25"/>
      <c r="GG5" s="25"/>
      <c r="GH5" s="25"/>
      <c r="GI5" s="25"/>
      <c r="GJ5" s="25"/>
      <c r="GK5" s="25"/>
      <c r="GL5" s="25"/>
      <c r="GM5" s="25"/>
      <c r="GN5" s="25"/>
      <c r="GO5" s="25"/>
      <c r="GP5" s="25"/>
      <c r="GQ5" s="26"/>
      <c r="GR5" s="26"/>
      <c r="GS5" s="25"/>
      <c r="GT5" s="24"/>
      <c r="GU5" s="25"/>
      <c r="GV5" s="25"/>
      <c r="GW5" s="25"/>
      <c r="GX5" s="25"/>
      <c r="GY5" s="25"/>
      <c r="GZ5" s="25"/>
      <c r="HA5" s="25"/>
    </row>
    <row r="6" spans="1:209" ht="15.75">
      <c r="A6" s="408" t="s">
        <v>108</v>
      </c>
      <c r="B6" s="28"/>
      <c r="C6" s="32"/>
      <c r="D6" s="32"/>
      <c r="E6" s="32"/>
      <c r="F6" s="32"/>
      <c r="G6" s="32"/>
      <c r="H6" s="32"/>
      <c r="I6" s="32"/>
      <c r="J6" s="32"/>
      <c r="K6" s="32"/>
      <c r="L6" s="32"/>
      <c r="M6" s="32"/>
      <c r="N6" s="32"/>
    </row>
    <row r="7" spans="1:209" ht="18.75" customHeight="1">
      <c r="A7" s="31" t="s">
        <v>350</v>
      </c>
      <c r="B7" s="32"/>
      <c r="C7" s="32"/>
      <c r="D7" s="32"/>
      <c r="E7" s="32"/>
      <c r="F7" s="32"/>
      <c r="G7" s="32"/>
      <c r="H7" s="32"/>
      <c r="I7" s="32"/>
      <c r="J7" s="32"/>
      <c r="K7" s="32"/>
      <c r="L7" s="32"/>
      <c r="M7" s="32"/>
      <c r="N7" s="33"/>
    </row>
    <row r="8" spans="1:209" ht="18.75" customHeight="1">
      <c r="A8" s="31" t="s">
        <v>351</v>
      </c>
      <c r="B8" s="32"/>
      <c r="C8" s="32"/>
      <c r="D8" s="32"/>
      <c r="E8" s="32"/>
      <c r="F8" s="32"/>
      <c r="G8" s="32"/>
      <c r="H8" s="32"/>
      <c r="I8" s="32"/>
      <c r="J8" s="32"/>
      <c r="K8" s="32"/>
      <c r="L8" s="32"/>
      <c r="M8" s="32"/>
      <c r="N8" s="33"/>
    </row>
    <row r="9" spans="1:209" ht="18.75" customHeight="1">
      <c r="A9" s="31"/>
      <c r="B9" s="303" t="s">
        <v>287</v>
      </c>
      <c r="C9" s="304">
        <v>1</v>
      </c>
      <c r="D9" s="304">
        <v>2</v>
      </c>
      <c r="E9" s="304">
        <v>3</v>
      </c>
      <c r="F9" s="304">
        <v>4</v>
      </c>
      <c r="G9" s="304">
        <v>5</v>
      </c>
      <c r="H9" s="304">
        <v>6</v>
      </c>
      <c r="I9" s="304">
        <v>7</v>
      </c>
      <c r="J9" s="32"/>
      <c r="K9" s="32"/>
      <c r="L9" s="32"/>
      <c r="M9" s="32"/>
      <c r="N9" s="33"/>
    </row>
    <row r="10" spans="1:209" ht="22.5">
      <c r="A10" s="35"/>
      <c r="B10" s="19"/>
      <c r="C10" s="651" t="str">
        <f>+'Ref-1'!O$39</f>
        <v>2013/14</v>
      </c>
      <c r="D10" s="651" t="str">
        <f>+'Ref-1'!P$39</f>
        <v>2014/15</v>
      </c>
      <c r="E10" s="651" t="str">
        <f>+'Ref-1'!Q$39</f>
        <v>2015/16</v>
      </c>
      <c r="F10" s="651" t="str">
        <f>+'Ref-1'!R$39</f>
        <v>2016/17</v>
      </c>
      <c r="G10" s="651" t="str">
        <f>+'Ref-1'!S$39</f>
        <v>2017/18</v>
      </c>
      <c r="H10" s="651" t="str">
        <f>+'Ref-1'!T$39</f>
        <v>2018/19</v>
      </c>
      <c r="I10" s="651" t="str">
        <f>+'Ref-1'!U$39</f>
        <v>2019/20</v>
      </c>
      <c r="J10" s="27"/>
      <c r="K10" s="34" t="s">
        <v>109</v>
      </c>
      <c r="L10" s="34" t="s">
        <v>110</v>
      </c>
      <c r="M10" s="34" t="s">
        <v>111</v>
      </c>
      <c r="N10" s="34"/>
    </row>
    <row r="11" spans="1:209" ht="15.75" customHeight="1">
      <c r="A11" s="19"/>
      <c r="B11" s="37" t="s">
        <v>68</v>
      </c>
      <c r="C11" s="518"/>
      <c r="D11" s="29"/>
      <c r="E11" s="29">
        <f>[1]Sheet1!C7</f>
        <v>2.1457965902410336E-2</v>
      </c>
      <c r="F11" s="29">
        <f>[1]Sheet1!D7</f>
        <v>2.1457965902410336E-2</v>
      </c>
      <c r="G11" s="29">
        <f>[1]Sheet1!E7</f>
        <v>2.2633744855967253E-2</v>
      </c>
      <c r="H11" s="29">
        <f>[1]Sheet1!F7</f>
        <v>2.2633744855967253E-2</v>
      </c>
      <c r="I11" s="29">
        <f>[1]Sheet1!G7</f>
        <v>2.2633744855967253E-2</v>
      </c>
      <c r="J11" s="30"/>
      <c r="K11" s="38" t="s">
        <v>399</v>
      </c>
      <c r="L11" s="39" t="s">
        <v>113</v>
      </c>
      <c r="M11" s="625"/>
      <c r="N11" s="34"/>
    </row>
    <row r="12" spans="1:209" ht="15.75" customHeight="1">
      <c r="A12" s="19"/>
      <c r="B12" s="37" t="s">
        <v>69</v>
      </c>
      <c r="C12" s="518"/>
      <c r="D12" s="29"/>
      <c r="E12" s="29">
        <f>[1]Sheet1!C14</f>
        <v>0</v>
      </c>
      <c r="F12" s="29">
        <f>[1]Sheet1!D14</f>
        <v>0</v>
      </c>
      <c r="G12" s="29">
        <f>[1]Sheet1!E14</f>
        <v>0</v>
      </c>
      <c r="H12" s="29">
        <f>[1]Sheet1!F14</f>
        <v>0</v>
      </c>
      <c r="I12" s="29">
        <f>[1]Sheet1!G14</f>
        <v>0</v>
      </c>
      <c r="J12" s="6"/>
      <c r="K12" s="38" t="s">
        <v>112</v>
      </c>
      <c r="L12" s="39" t="s">
        <v>113</v>
      </c>
      <c r="M12" s="625"/>
      <c r="N12" s="34"/>
    </row>
    <row r="13" spans="1:209" ht="15.75" customHeight="1">
      <c r="A13" s="19"/>
      <c r="B13" s="37" t="s">
        <v>397</v>
      </c>
      <c r="C13" s="518"/>
      <c r="D13" s="29"/>
      <c r="E13" s="29">
        <f>[1]Sheet1!C12</f>
        <v>5.0000000000000001E-3</v>
      </c>
      <c r="F13" s="29">
        <f>[1]Sheet1!D12</f>
        <v>5.0000000000000001E-3</v>
      </c>
      <c r="G13" s="29">
        <f>[1]Sheet1!E12</f>
        <v>8.9999999999999993E-3</v>
      </c>
      <c r="H13" s="29">
        <f>[1]Sheet1!F12</f>
        <v>1.0499999999999999E-2</v>
      </c>
      <c r="I13" s="29">
        <f>[1]Sheet1!G12</f>
        <v>1.2499999999999999E-2</v>
      </c>
      <c r="J13" s="6"/>
      <c r="K13" s="38" t="s">
        <v>400</v>
      </c>
      <c r="L13" s="39" t="s">
        <v>113</v>
      </c>
      <c r="M13" s="625"/>
      <c r="N13" s="34"/>
    </row>
    <row r="14" spans="1:209" ht="15">
      <c r="A14" s="19"/>
      <c r="B14" s="37" t="s">
        <v>398</v>
      </c>
      <c r="C14" s="518"/>
      <c r="D14" s="29"/>
      <c r="E14" s="29">
        <f>[1]Sheet1!C12</f>
        <v>5.0000000000000001E-3</v>
      </c>
      <c r="F14" s="29">
        <f>[1]Sheet1!D12</f>
        <v>5.0000000000000001E-3</v>
      </c>
      <c r="G14" s="29">
        <f>[1]Sheet1!E12</f>
        <v>8.9999999999999993E-3</v>
      </c>
      <c r="H14" s="29">
        <f>[1]Sheet1!F12</f>
        <v>1.0499999999999999E-2</v>
      </c>
      <c r="I14" s="29">
        <f>[1]Sheet1!G12</f>
        <v>1.2499999999999999E-2</v>
      </c>
      <c r="J14" s="6"/>
      <c r="K14" s="38" t="s">
        <v>401</v>
      </c>
      <c r="L14" s="39" t="s">
        <v>113</v>
      </c>
      <c r="M14" s="625"/>
      <c r="N14" s="34"/>
    </row>
    <row r="15" spans="1:209" ht="15.75" customHeight="1">
      <c r="A15" s="19"/>
      <c r="B15" s="37" t="s">
        <v>648</v>
      </c>
      <c r="C15" s="29"/>
      <c r="D15" s="29"/>
      <c r="E15" s="29">
        <f>[1]Sheet1!C15</f>
        <v>0</v>
      </c>
      <c r="F15" s="29">
        <f>[1]Sheet1!D15</f>
        <v>0</v>
      </c>
      <c r="G15" s="29">
        <f>[1]Sheet1!E15</f>
        <v>0</v>
      </c>
      <c r="H15" s="29">
        <f>[1]Sheet1!F15</f>
        <v>0</v>
      </c>
      <c r="I15" s="29">
        <f>[1]Sheet1!G15</f>
        <v>0</v>
      </c>
      <c r="J15" s="6"/>
      <c r="K15" s="38" t="s">
        <v>649</v>
      </c>
      <c r="L15" s="39" t="s">
        <v>113</v>
      </c>
      <c r="M15"/>
      <c r="N15" s="34"/>
    </row>
    <row r="16" spans="1:209">
      <c r="A16" s="19"/>
      <c r="B16" s="19"/>
      <c r="C16" s="19"/>
      <c r="D16" s="19"/>
      <c r="E16" s="19"/>
      <c r="F16" s="19"/>
      <c r="G16" s="19"/>
      <c r="H16" s="19"/>
      <c r="I16" s="19"/>
      <c r="J16" s="19"/>
      <c r="K16" s="19"/>
      <c r="L16" s="3"/>
      <c r="M16" s="3"/>
      <c r="N16" s="34"/>
    </row>
    <row r="17" spans="1:20">
      <c r="A17" s="19"/>
      <c r="B17" s="40" t="s">
        <v>114</v>
      </c>
      <c r="C17" s="19"/>
      <c r="D17" s="19"/>
      <c r="E17" s="19"/>
      <c r="F17" s="19"/>
      <c r="G17" s="19"/>
      <c r="H17" s="19"/>
      <c r="I17" s="19"/>
      <c r="J17" s="19"/>
      <c r="K17" s="19"/>
      <c r="L17" s="3"/>
      <c r="M17" s="3"/>
      <c r="N17" s="34"/>
    </row>
    <row r="18" spans="1:20">
      <c r="A18" s="19"/>
      <c r="B18" s="41"/>
      <c r="C18" s="19"/>
      <c r="D18" s="19"/>
      <c r="E18" s="19"/>
      <c r="F18" s="19"/>
      <c r="G18" s="19"/>
      <c r="H18" s="19"/>
      <c r="I18" s="19"/>
      <c r="J18" s="19"/>
      <c r="K18" s="19"/>
      <c r="L18" s="3"/>
      <c r="M18" s="3"/>
      <c r="N18" s="34"/>
    </row>
    <row r="19" spans="1:20">
      <c r="A19" s="24" t="s">
        <v>115</v>
      </c>
      <c r="B19" s="25"/>
      <c r="C19" s="25"/>
      <c r="D19" s="25"/>
      <c r="E19" s="25"/>
      <c r="F19" s="25"/>
      <c r="G19" s="25"/>
      <c r="H19" s="25"/>
      <c r="I19" s="25"/>
      <c r="J19" s="25"/>
      <c r="K19" s="25"/>
      <c r="L19" s="25"/>
      <c r="M19" s="25"/>
      <c r="N19" s="25"/>
    </row>
    <row r="20" spans="1:20">
      <c r="A20" s="24"/>
      <c r="B20" s="25"/>
      <c r="C20" s="25"/>
      <c r="D20" s="25"/>
      <c r="E20" s="25"/>
      <c r="F20" s="25"/>
      <c r="G20" s="25"/>
      <c r="H20" s="25"/>
      <c r="I20" s="25"/>
      <c r="J20" s="25"/>
      <c r="K20" s="25"/>
      <c r="L20" s="25"/>
      <c r="M20" s="25"/>
      <c r="N20" s="25"/>
    </row>
    <row r="21" spans="1:20" ht="15.75">
      <c r="A21" s="408" t="s">
        <v>115</v>
      </c>
      <c r="B21" s="28"/>
      <c r="C21" s="32"/>
      <c r="D21" s="32"/>
      <c r="E21" s="32"/>
      <c r="F21" s="32"/>
      <c r="G21" s="32"/>
      <c r="H21" s="32"/>
      <c r="I21" s="32"/>
      <c r="J21" s="32"/>
      <c r="K21" s="32"/>
      <c r="L21" s="32"/>
      <c r="M21" s="32"/>
      <c r="N21" s="32"/>
    </row>
    <row r="22" spans="1:20">
      <c r="A22" s="31" t="s">
        <v>46</v>
      </c>
      <c r="B22" s="32"/>
      <c r="C22" s="32"/>
      <c r="D22" s="32"/>
      <c r="E22" s="32"/>
      <c r="F22" s="32"/>
      <c r="G22" s="32"/>
      <c r="H22" s="32"/>
      <c r="I22" s="32"/>
      <c r="J22" s="32"/>
      <c r="K22" s="32"/>
      <c r="L22" s="32"/>
      <c r="M22" s="32"/>
      <c r="N22" s="32"/>
    </row>
    <row r="23" spans="1:20" ht="21" customHeight="1">
      <c r="A23" s="35"/>
      <c r="B23" s="19"/>
      <c r="C23" s="651" t="str">
        <f>+'Ref-1'!O$39</f>
        <v>2013/14</v>
      </c>
      <c r="D23" s="651" t="str">
        <f>+'Ref-1'!P$39</f>
        <v>2014/15</v>
      </c>
      <c r="E23" s="651" t="str">
        <f>+'Ref-1'!Q$39</f>
        <v>2015/16</v>
      </c>
      <c r="F23" s="651" t="str">
        <f>+'Ref-1'!R$39</f>
        <v>2016/17</v>
      </c>
      <c r="G23" s="651" t="str">
        <f>+'Ref-1'!S$39</f>
        <v>2017/18</v>
      </c>
      <c r="H23" s="651" t="str">
        <f>+'Ref-1'!T$39</f>
        <v>2018/19</v>
      </c>
      <c r="I23" s="651" t="str">
        <f>+'Ref-1'!U$39</f>
        <v>2019/20</v>
      </c>
      <c r="J23" s="27"/>
      <c r="K23" s="34" t="s">
        <v>109</v>
      </c>
      <c r="L23" s="34" t="s">
        <v>110</v>
      </c>
      <c r="M23" s="34" t="s">
        <v>111</v>
      </c>
      <c r="N23" s="3"/>
    </row>
    <row r="24" spans="1:20" ht="15.75" customHeight="1">
      <c r="A24" s="19"/>
      <c r="B24" s="37" t="s">
        <v>712</v>
      </c>
      <c r="C24" s="518"/>
      <c r="D24" s="813"/>
      <c r="E24" s="792">
        <f>[1]Sheet1!C35</f>
        <v>7.4851369579662652E-3</v>
      </c>
      <c r="F24" s="792">
        <f>[1]Sheet1!D35</f>
        <v>7.4935033814986785E-3</v>
      </c>
      <c r="G24" s="792">
        <f>[1]Sheet1!E35</f>
        <v>7.5001154574423357E-3</v>
      </c>
      <c r="H24" s="792">
        <f>[1]Sheet1!F35</f>
        <v>7.5084573283092926E-3</v>
      </c>
      <c r="I24" s="792">
        <f>[1]Sheet1!G35</f>
        <v>7.5150596928004187E-3</v>
      </c>
      <c r="J24" s="630"/>
      <c r="K24" s="622"/>
      <c r="L24" s="628" t="s">
        <v>113</v>
      </c>
      <c r="N24" s="631"/>
      <c r="O24" s="808"/>
      <c r="Q24" s="807"/>
      <c r="R24" s="807"/>
      <c r="S24" s="807"/>
      <c r="T24" s="807"/>
    </row>
    <row r="25" spans="1:20" ht="15.75" customHeight="1">
      <c r="A25" s="19"/>
      <c r="B25" s="37" t="s">
        <v>713</v>
      </c>
      <c r="C25" s="518"/>
      <c r="D25" s="814"/>
      <c r="E25" s="792">
        <f>[1]Sheet1!C36</f>
        <v>5.719606632462515E-3</v>
      </c>
      <c r="F25" s="792">
        <f>[1]Sheet1!D36</f>
        <v>5.7115994030898509E-3</v>
      </c>
      <c r="G25" s="792">
        <f>[1]Sheet1!E36</f>
        <v>5.835630060231578E-3</v>
      </c>
      <c r="H25" s="792">
        <f>[1]Sheet1!F36</f>
        <v>6.1858569123738327E-3</v>
      </c>
      <c r="I25" s="792">
        <f>[1]Sheet1!G36</f>
        <v>6.0040142435962007E-3</v>
      </c>
      <c r="J25" s="630"/>
      <c r="K25" s="38"/>
      <c r="L25" s="628" t="s">
        <v>113</v>
      </c>
      <c r="N25" s="631"/>
      <c r="O25" s="808"/>
      <c r="Q25" s="807"/>
      <c r="R25" s="807"/>
      <c r="S25" s="807"/>
    </row>
    <row r="26" spans="1:20" ht="15.75" customHeight="1">
      <c r="A26" s="19"/>
      <c r="B26" s="37" t="s">
        <v>718</v>
      </c>
      <c r="C26" s="518"/>
      <c r="D26" s="814"/>
      <c r="E26" s="792">
        <f>[1]Sheet1!C37</f>
        <v>3.3195016113435116E-2</v>
      </c>
      <c r="F26" s="792">
        <f>[1]Sheet1!D37</f>
        <v>3.2722941725128241E-2</v>
      </c>
      <c r="G26" s="792">
        <f>[1]Sheet1!E37</f>
        <v>3.1403514280033296E-2</v>
      </c>
      <c r="H26" s="792">
        <f>[1]Sheet1!F37</f>
        <v>3.1664970467877085E-2</v>
      </c>
      <c r="I26" s="792">
        <f>[1]Sheet1!G37</f>
        <v>3.1676606894164294E-2</v>
      </c>
      <c r="J26" s="630"/>
      <c r="K26" s="38"/>
      <c r="L26" s="628" t="s">
        <v>113</v>
      </c>
      <c r="N26" s="631"/>
      <c r="O26" s="808"/>
      <c r="Q26" s="807"/>
      <c r="R26" s="807"/>
      <c r="S26" s="807"/>
    </row>
    <row r="27" spans="1:20" s="732" customFormat="1" ht="15.75" customHeight="1">
      <c r="A27" s="19"/>
      <c r="B27" s="37" t="s">
        <v>719</v>
      </c>
      <c r="C27" s="518"/>
      <c r="D27" s="814"/>
      <c r="E27" s="792">
        <f>[1]Sheet1!C38</f>
        <v>1.23325510687331E-2</v>
      </c>
      <c r="F27" s="792">
        <f>[1]Sheet1!D38</f>
        <v>4.625974324103499E-3</v>
      </c>
      <c r="G27" s="792">
        <f>[1]Sheet1!E38</f>
        <v>3.8949303586450768E-3</v>
      </c>
      <c r="H27" s="792">
        <f>[1]Sheet1!F38</f>
        <v>9.7943868506906728E-3</v>
      </c>
      <c r="I27" s="792">
        <f>[1]Sheet1!G38</f>
        <v>1.1185032889120539E-3</v>
      </c>
      <c r="J27" s="630"/>
      <c r="K27" s="38"/>
      <c r="L27" s="628" t="s">
        <v>113</v>
      </c>
      <c r="N27" s="631"/>
      <c r="O27" s="808"/>
      <c r="Q27" s="807"/>
      <c r="R27" s="807"/>
      <c r="S27" s="807"/>
    </row>
    <row r="28" spans="1:20" ht="15.75" customHeight="1">
      <c r="A28" s="19"/>
      <c r="B28" s="37" t="s">
        <v>714</v>
      </c>
      <c r="C28" s="518"/>
      <c r="D28" s="814"/>
      <c r="E28" s="791">
        <f>SUMPRODUCT($C$50:$C$53,E24:E27)</f>
        <v>1.0609958281235081E-2</v>
      </c>
      <c r="F28" s="791">
        <f t="shared" ref="F28:I28" si="0">SUMPRODUCT($C$50:$C$53,F24:F27)</f>
        <v>9.7278250246975485E-3</v>
      </c>
      <c r="G28" s="791">
        <f t="shared" si="0"/>
        <v>9.523206926260212E-3</v>
      </c>
      <c r="H28" s="791">
        <f t="shared" si="0"/>
        <v>1.0234449869841391E-2</v>
      </c>
      <c r="I28" s="791">
        <f t="shared" si="0"/>
        <v>9.2798584298261436E-3</v>
      </c>
      <c r="J28" s="630"/>
      <c r="K28" s="38"/>
      <c r="L28" s="628" t="s">
        <v>113</v>
      </c>
      <c r="N28" s="631"/>
      <c r="O28" s="808"/>
      <c r="Q28" s="807"/>
      <c r="R28" s="807"/>
      <c r="S28" s="807"/>
    </row>
    <row r="29" spans="1:20" ht="15.75" customHeight="1">
      <c r="A29" s="19"/>
      <c r="B29" s="37" t="s">
        <v>693</v>
      </c>
      <c r="C29" s="518"/>
      <c r="D29" s="814"/>
      <c r="E29" s="792">
        <v>0</v>
      </c>
      <c r="F29" s="792">
        <v>0</v>
      </c>
      <c r="G29" s="792">
        <v>0</v>
      </c>
      <c r="H29" s="792">
        <v>0</v>
      </c>
      <c r="I29" s="792">
        <v>0</v>
      </c>
      <c r="J29" s="630"/>
      <c r="K29" s="38"/>
      <c r="L29" s="628" t="s">
        <v>113</v>
      </c>
      <c r="N29" s="631"/>
      <c r="O29" s="808"/>
      <c r="P29" s="807"/>
      <c r="Q29" s="807"/>
      <c r="R29" s="807"/>
      <c r="S29" s="807"/>
    </row>
    <row r="30" spans="1:20" ht="15.75" customHeight="1">
      <c r="A30" s="19"/>
      <c r="B30" s="37"/>
      <c r="C30" s="518"/>
      <c r="D30" s="813"/>
      <c r="E30" s="792"/>
      <c r="F30" s="792"/>
      <c r="G30" s="792"/>
      <c r="H30" s="792"/>
      <c r="I30" s="792"/>
      <c r="J30" s="630"/>
      <c r="K30" s="38"/>
      <c r="L30" s="628" t="s">
        <v>113</v>
      </c>
      <c r="N30" s="631"/>
      <c r="O30" s="808"/>
      <c r="P30" s="807"/>
      <c r="Q30" s="807"/>
      <c r="R30" s="807"/>
      <c r="S30" s="807"/>
    </row>
    <row r="31" spans="1:20" ht="15">
      <c r="A31" s="19"/>
      <c r="B31" s="37"/>
      <c r="C31" s="518"/>
      <c r="D31" s="813"/>
      <c r="E31" s="792"/>
      <c r="F31" s="792"/>
      <c r="G31" s="792"/>
      <c r="H31" s="792"/>
      <c r="I31" s="792"/>
      <c r="J31" s="631"/>
      <c r="K31" s="38"/>
      <c r="L31" s="628" t="s">
        <v>113</v>
      </c>
      <c r="N31" s="631"/>
      <c r="O31" s="808"/>
      <c r="P31" s="807"/>
      <c r="Q31" s="807"/>
      <c r="R31" s="807"/>
      <c r="S31" s="807"/>
    </row>
    <row r="32" spans="1:20" ht="15.75" customHeight="1">
      <c r="A32" s="19"/>
      <c r="B32" s="37"/>
      <c r="C32" s="518"/>
      <c r="D32" s="813"/>
      <c r="E32" s="792"/>
      <c r="F32" s="792"/>
      <c r="G32" s="792"/>
      <c r="H32" s="792"/>
      <c r="I32" s="792"/>
      <c r="J32" s="631"/>
      <c r="K32" s="36"/>
      <c r="L32" s="628" t="s">
        <v>113</v>
      </c>
      <c r="N32" s="631"/>
      <c r="O32" s="808"/>
      <c r="P32" s="807"/>
      <c r="Q32" s="807"/>
      <c r="R32" s="807"/>
      <c r="S32" s="807"/>
    </row>
    <row r="33" spans="1:19" ht="15.75" customHeight="1">
      <c r="A33" s="19"/>
      <c r="B33" s="37"/>
      <c r="C33" s="518"/>
      <c r="D33" s="813"/>
      <c r="E33" s="792"/>
      <c r="F33" s="792"/>
      <c r="G33" s="792"/>
      <c r="H33" s="792"/>
      <c r="I33" s="792"/>
      <c r="J33" s="631"/>
      <c r="K33" s="36"/>
      <c r="L33" s="628" t="s">
        <v>113</v>
      </c>
      <c r="N33" s="631"/>
      <c r="O33" s="808"/>
      <c r="P33" s="807"/>
      <c r="Q33" s="807"/>
      <c r="R33" s="807"/>
      <c r="S33" s="807"/>
    </row>
    <row r="34" spans="1:19" ht="15.75" customHeight="1">
      <c r="A34" s="19"/>
      <c r="B34" s="37"/>
      <c r="C34" s="518"/>
      <c r="D34" s="813"/>
      <c r="E34" s="792"/>
      <c r="F34" s="792"/>
      <c r="G34" s="792"/>
      <c r="H34" s="792"/>
      <c r="I34" s="792"/>
      <c r="J34" s="631"/>
      <c r="L34" s="628" t="s">
        <v>113</v>
      </c>
      <c r="N34" s="631"/>
      <c r="O34" s="808"/>
      <c r="P34" s="807"/>
      <c r="Q34" s="807"/>
      <c r="R34" s="807"/>
      <c r="S34" s="807"/>
    </row>
    <row r="35" spans="1:19" ht="15.75" customHeight="1">
      <c r="A35" s="19"/>
      <c r="B35" s="37"/>
      <c r="C35" s="518"/>
      <c r="D35" s="813"/>
      <c r="E35" s="792"/>
      <c r="F35" s="792"/>
      <c r="G35" s="792"/>
      <c r="H35" s="792"/>
      <c r="I35" s="792"/>
      <c r="J35" s="631"/>
      <c r="K35" s="36"/>
      <c r="L35" s="628" t="s">
        <v>113</v>
      </c>
      <c r="N35" s="631"/>
      <c r="O35" s="808"/>
      <c r="P35" s="807"/>
      <c r="Q35" s="807"/>
      <c r="R35" s="807"/>
      <c r="S35" s="807"/>
    </row>
    <row r="36" spans="1:19" ht="15">
      <c r="A36" s="19"/>
      <c r="B36" s="37"/>
      <c r="C36" s="518"/>
      <c r="D36" s="813"/>
      <c r="E36" s="792"/>
      <c r="F36" s="792"/>
      <c r="G36" s="792"/>
      <c r="H36" s="792"/>
      <c r="I36" s="792"/>
      <c r="J36" s="631"/>
      <c r="K36" s="622"/>
      <c r="L36" s="628" t="s">
        <v>113</v>
      </c>
      <c r="N36" s="631"/>
      <c r="O36" s="808"/>
      <c r="P36" s="807"/>
      <c r="Q36" s="807"/>
      <c r="R36" s="807"/>
      <c r="S36" s="807"/>
    </row>
    <row r="37" spans="1:19" ht="15">
      <c r="A37" s="19"/>
      <c r="B37" s="37"/>
      <c r="C37" s="518"/>
      <c r="D37" s="814"/>
      <c r="E37" s="792"/>
      <c r="F37" s="792"/>
      <c r="G37" s="792"/>
      <c r="H37" s="792"/>
      <c r="I37" s="792"/>
      <c r="J37" s="631"/>
      <c r="K37" s="38"/>
      <c r="L37" s="628" t="s">
        <v>113</v>
      </c>
      <c r="N37" s="631"/>
      <c r="O37" s="808"/>
      <c r="P37" s="807"/>
      <c r="Q37" s="807"/>
      <c r="R37" s="807"/>
      <c r="S37" s="807"/>
    </row>
    <row r="38" spans="1:19" ht="15.75" customHeight="1">
      <c r="A38" s="19"/>
      <c r="B38" s="37"/>
      <c r="C38" s="518"/>
      <c r="D38" s="629"/>
      <c r="E38" s="792"/>
      <c r="F38" s="792"/>
      <c r="G38" s="792"/>
      <c r="H38" s="792"/>
      <c r="I38" s="792"/>
      <c r="J38" s="631"/>
      <c r="K38" s="38"/>
      <c r="L38" s="628"/>
      <c r="N38" s="631"/>
    </row>
    <row r="39" spans="1:19" ht="15.75" customHeight="1">
      <c r="A39" s="19"/>
      <c r="B39" s="37"/>
      <c r="C39" s="518"/>
      <c r="D39" s="29"/>
      <c r="E39" s="29"/>
      <c r="F39" s="29"/>
      <c r="G39" s="29"/>
      <c r="H39" s="29"/>
      <c r="I39" s="29"/>
      <c r="J39" s="631"/>
      <c r="K39" s="38"/>
      <c r="L39" s="628"/>
      <c r="N39" s="631"/>
    </row>
    <row r="40" spans="1:19" ht="15.75" customHeight="1">
      <c r="A40" s="19"/>
      <c r="B40" s="37"/>
      <c r="C40" s="518"/>
      <c r="D40" s="629"/>
      <c r="E40" s="629"/>
      <c r="F40" s="629"/>
      <c r="G40" s="629"/>
      <c r="H40" s="629"/>
      <c r="I40" s="629"/>
      <c r="J40" s="631"/>
      <c r="K40" s="38"/>
      <c r="L40" s="628"/>
      <c r="N40" s="631"/>
    </row>
    <row r="41" spans="1:19" ht="15.75" customHeight="1">
      <c r="A41" s="19"/>
      <c r="B41" s="37"/>
      <c r="C41" s="518"/>
      <c r="D41" s="29"/>
      <c r="E41" s="29"/>
      <c r="F41" s="29"/>
      <c r="G41" s="29"/>
      <c r="H41" s="29"/>
      <c r="I41" s="29"/>
      <c r="J41" s="631"/>
      <c r="K41" s="38"/>
      <c r="L41" s="628"/>
      <c r="N41" s="631"/>
    </row>
    <row r="42" spans="1:19" ht="15.75" customHeight="1">
      <c r="A42" s="19"/>
      <c r="B42" s="37"/>
      <c r="C42" s="518"/>
      <c r="D42" s="29"/>
      <c r="E42" s="29"/>
      <c r="F42" s="29"/>
      <c r="G42" s="29"/>
      <c r="H42" s="29"/>
      <c r="I42" s="29"/>
      <c r="J42" s="631"/>
      <c r="K42" s="38"/>
      <c r="L42" s="628"/>
      <c r="N42" s="631"/>
    </row>
    <row r="43" spans="1:19" ht="15.75" customHeight="1">
      <c r="A43" s="19"/>
      <c r="B43" s="37"/>
      <c r="C43" s="518"/>
      <c r="D43" s="29"/>
      <c r="E43" s="29"/>
      <c r="F43" s="29"/>
      <c r="G43" s="29"/>
      <c r="H43" s="29"/>
      <c r="I43" s="29"/>
      <c r="J43" s="631"/>
      <c r="K43" s="38"/>
      <c r="L43" s="628"/>
      <c r="N43" s="631"/>
    </row>
    <row r="44" spans="1:19" ht="15.75" customHeight="1">
      <c r="A44" s="19"/>
      <c r="B44" s="37"/>
      <c r="C44" s="29"/>
      <c r="D44" s="29"/>
      <c r="E44" s="29"/>
      <c r="F44" s="29"/>
      <c r="G44" s="29"/>
      <c r="H44" s="29"/>
      <c r="I44" s="29"/>
      <c r="J44" s="631"/>
      <c r="N44" s="631"/>
    </row>
    <row r="45" spans="1:19">
      <c r="A45" s="19"/>
      <c r="B45" s="19"/>
      <c r="C45" s="19"/>
      <c r="D45" s="19"/>
      <c r="E45" s="19"/>
      <c r="F45" s="19"/>
      <c r="G45" s="19"/>
      <c r="H45" s="19"/>
      <c r="I45" s="19"/>
      <c r="J45" s="19"/>
      <c r="K45" s="19"/>
      <c r="L45" s="19"/>
      <c r="M45" s="19"/>
      <c r="N45" s="3"/>
    </row>
    <row r="46" spans="1:19">
      <c r="A46" s="3"/>
      <c r="B46" s="3"/>
      <c r="C46" s="3"/>
      <c r="D46" s="3"/>
      <c r="E46" s="3"/>
      <c r="F46" s="3"/>
      <c r="G46" s="3"/>
      <c r="H46" s="3"/>
      <c r="I46" s="3"/>
      <c r="J46" s="3"/>
      <c r="K46" s="3"/>
      <c r="L46" s="3"/>
      <c r="M46" s="3"/>
      <c r="N46" s="3"/>
    </row>
    <row r="47" spans="1:19">
      <c r="A47" s="24" t="s">
        <v>116</v>
      </c>
      <c r="B47" s="25"/>
      <c r="C47" s="25"/>
      <c r="D47" s="25"/>
      <c r="E47" s="25"/>
      <c r="F47" s="25" t="s">
        <v>509</v>
      </c>
      <c r="G47" s="25"/>
      <c r="H47" s="25"/>
      <c r="I47" s="25"/>
      <c r="J47" s="25"/>
      <c r="K47" s="25"/>
      <c r="L47" s="25"/>
      <c r="M47" s="25"/>
      <c r="N47" s="25"/>
    </row>
    <row r="48" spans="1:19" s="732" customFormat="1">
      <c r="A48" s="24"/>
      <c r="B48" s="829" t="s">
        <v>715</v>
      </c>
      <c r="C48" s="25"/>
      <c r="D48" s="25"/>
      <c r="E48" s="25"/>
      <c r="F48" s="25"/>
      <c r="G48" s="25"/>
      <c r="H48" s="25"/>
      <c r="I48" s="25"/>
      <c r="J48" s="25"/>
      <c r="K48" s="25"/>
      <c r="L48" s="25"/>
      <c r="M48" s="25"/>
      <c r="N48" s="25"/>
    </row>
    <row r="49" spans="2:11">
      <c r="B49" s="854"/>
      <c r="C49" s="857" t="s">
        <v>83</v>
      </c>
      <c r="D49" s="855"/>
      <c r="E49" s="856"/>
      <c r="F49" s="856"/>
      <c r="G49" s="856"/>
      <c r="H49" s="856"/>
      <c r="I49" s="856"/>
      <c r="J49" s="732"/>
      <c r="K49" s="732"/>
    </row>
    <row r="50" spans="2:11">
      <c r="B50" s="431" t="s">
        <v>712</v>
      </c>
      <c r="C50" s="29">
        <f>[1]Sheet1!B35</f>
        <v>0.67608294961721682</v>
      </c>
      <c r="D50" s="855"/>
      <c r="E50" s="856"/>
      <c r="F50" s="856"/>
      <c r="G50" s="856"/>
      <c r="H50" s="856"/>
      <c r="I50" s="856"/>
      <c r="J50" s="732"/>
      <c r="K50" s="732"/>
    </row>
    <row r="51" spans="2:11">
      <c r="B51" s="431" t="s">
        <v>713</v>
      </c>
      <c r="C51" s="29">
        <f>[1]Sheet1!B36</f>
        <v>0.10702733446151043</v>
      </c>
      <c r="D51" s="855"/>
      <c r="E51" s="856"/>
      <c r="F51" s="856"/>
      <c r="G51" s="856"/>
      <c r="H51" s="856"/>
      <c r="I51" s="856"/>
      <c r="J51" s="732"/>
      <c r="K51" s="732"/>
    </row>
    <row r="52" spans="2:11">
      <c r="B52" s="431" t="s">
        <v>718</v>
      </c>
      <c r="C52" s="29">
        <f>[1]Sheet1!B37</f>
        <v>0.10844485796063649</v>
      </c>
      <c r="D52" s="855"/>
      <c r="E52" s="855"/>
      <c r="F52" s="855"/>
      <c r="G52" s="855"/>
      <c r="H52" s="855"/>
      <c r="I52" s="855"/>
    </row>
    <row r="53" spans="2:11" s="732" customFormat="1">
      <c r="B53" s="431" t="s">
        <v>719</v>
      </c>
      <c r="C53" s="29">
        <f>[1]Sheet1!B38</f>
        <v>0.10844485796063649</v>
      </c>
      <c r="D53" s="855"/>
      <c r="E53" s="855"/>
      <c r="F53" s="855"/>
      <c r="G53" s="855"/>
      <c r="H53" s="855"/>
      <c r="I53" s="855"/>
    </row>
    <row r="54" spans="2:11">
      <c r="C54" s="29">
        <f>SUM(C50:C53)</f>
        <v>1.0000000000000002</v>
      </c>
      <c r="F54" s="732"/>
      <c r="G54" s="732"/>
      <c r="H54" s="732"/>
      <c r="I54" s="732"/>
    </row>
  </sheetData>
  <sheetProtection formatColumns="0" formatRows="0"/>
  <phoneticPr fontId="10" type="noConversion"/>
  <dataValidations xWindow="425" yWindow="342" count="1">
    <dataValidation type="list" allowBlank="1" showInputMessage="1" showErrorMessage="1" sqref="L11:L15 L24:L43">
      <formula1>"Cumulative, One-off"</formula1>
    </dataValidation>
  </dataValidations>
  <pageMargins left="0.46" right="0.28999999999999998" top="0.39" bottom="0.35" header="0.24" footer="0.2"/>
  <pageSetup paperSize="9" scale="74" fitToHeight="2" orientation="landscape" r:id="rId1"/>
  <headerFooter alignWithMargins="0">
    <oddFooter>&amp;L&amp;8&amp;F
&amp;A
Printed: &amp;T on &amp;D&amp;C&amp;8Page &amp;P of &amp;N</oddFooter>
  </headerFooter>
  <legacyDrawing r:id="rId2"/>
</worksheet>
</file>

<file path=xl/worksheets/sheet13.xml><?xml version="1.0" encoding="utf-8"?>
<worksheet xmlns="http://schemas.openxmlformats.org/spreadsheetml/2006/main" xmlns:r="http://schemas.openxmlformats.org/officeDocument/2006/relationships">
  <sheetPr codeName="Sheet29" enableFormatConditionsCalculation="0">
    <tabColor indexed="58"/>
    <pageSetUpPr autoPageBreaks="0"/>
  </sheetPr>
  <dimension ref="A1:F20"/>
  <sheetViews>
    <sheetView showGridLines="0" zoomScaleNormal="100" workbookViewId="0">
      <selection activeCell="D4" sqref="D4"/>
    </sheetView>
  </sheetViews>
  <sheetFormatPr defaultRowHeight="12.75"/>
  <cols>
    <col min="3" max="3" width="9.7109375" customWidth="1"/>
    <col min="4" max="4" width="6.85546875" customWidth="1"/>
  </cols>
  <sheetData>
    <row r="1" spans="1:6">
      <c r="A1" s="143" t="s">
        <v>23</v>
      </c>
    </row>
    <row r="9" spans="1:6" ht="18">
      <c r="C9" s="144" t="s">
        <v>24</v>
      </c>
    </row>
    <row r="10" spans="1:6" ht="16.5">
      <c r="C10" s="176" t="s">
        <v>4</v>
      </c>
      <c r="D10" s="730">
        <v>4</v>
      </c>
    </row>
    <row r="11" spans="1:6" ht="15.75">
      <c r="C11" s="177" t="s">
        <v>496</v>
      </c>
    </row>
    <row r="12" spans="1:6">
      <c r="C12" s="882"/>
      <c r="D12" s="882"/>
      <c r="E12" s="882"/>
      <c r="F12" s="882"/>
    </row>
    <row r="13" spans="1:6">
      <c r="C13" s="181"/>
      <c r="D13" s="181"/>
    </row>
    <row r="17" spans="3:3">
      <c r="C17" s="147" t="s">
        <v>22</v>
      </c>
    </row>
    <row r="18" spans="3:3">
      <c r="C18" s="148" t="s">
        <v>25</v>
      </c>
    </row>
    <row r="19" spans="3:3">
      <c r="C19" s="148"/>
    </row>
    <row r="20" spans="3:3">
      <c r="C20" s="148"/>
    </row>
  </sheetData>
  <sheetProtection formatColumns="0" formatRows="0"/>
  <mergeCells count="1">
    <mergeCell ref="C12:F12"/>
  </mergeCells>
  <phoneticPr fontId="3" type="noConversion"/>
  <pageMargins left="0.39370078740157483" right="0.39370078740157483" top="0.59055118110236227" bottom="0.98425196850393704" header="0" footer="0.31496062992125984"/>
  <pageSetup paperSize="9" orientation="landscape" r:id="rId1"/>
  <headerFooter alignWithMargins="0">
    <oddFooter>&amp;LFile:  &amp;F
&amp;D&amp;C&amp;"Arial,Bold"Worksheet: &amp;10 &amp;A</oddFooter>
  </headerFooter>
  <legacyDrawingHF r:id="rId2"/>
</worksheet>
</file>

<file path=xl/worksheets/sheet14.xml><?xml version="1.0" encoding="utf-8"?>
<worksheet xmlns="http://schemas.openxmlformats.org/spreadsheetml/2006/main" xmlns:r="http://schemas.openxmlformats.org/officeDocument/2006/relationships">
  <sheetPr codeName="Sheet54" enableFormatConditionsCalculation="0">
    <tabColor indexed="57"/>
    <pageSetUpPr fitToPage="1"/>
  </sheetPr>
  <dimension ref="A1:T240"/>
  <sheetViews>
    <sheetView showGridLines="0" topLeftCell="A3" zoomScaleNormal="100" workbookViewId="0">
      <selection activeCell="J123" sqref="J123"/>
    </sheetView>
  </sheetViews>
  <sheetFormatPr defaultRowHeight="12.75" outlineLevelRow="2"/>
  <cols>
    <col min="1" max="1" width="30" customWidth="1"/>
    <col min="2" max="2" width="20.85546875" bestFit="1" customWidth="1"/>
    <col min="3" max="9" width="11.5703125" customWidth="1"/>
    <col min="10" max="10" width="25.5703125" customWidth="1"/>
    <col min="14" max="20" width="10.7109375" customWidth="1"/>
  </cols>
  <sheetData>
    <row r="1" spans="1:20" ht="18" customHeight="1">
      <c r="A1" s="183" t="s">
        <v>302</v>
      </c>
      <c r="B1" s="1"/>
      <c r="C1" s="72"/>
      <c r="D1" s="42"/>
      <c r="E1" s="42"/>
      <c r="F1" s="42"/>
      <c r="G1" s="42"/>
      <c r="H1" s="42"/>
      <c r="I1" s="73" t="str">
        <f>LU_TemplateDollarDenomination</f>
        <v>$'M Real 2013/14</v>
      </c>
      <c r="J1" s="281" t="s">
        <v>275</v>
      </c>
      <c r="K1" s="305">
        <v>1</v>
      </c>
      <c r="M1" s="673"/>
      <c r="N1" s="280"/>
      <c r="O1" s="280"/>
      <c r="P1" s="280"/>
      <c r="Q1" s="280"/>
      <c r="R1" s="280"/>
      <c r="S1" s="280"/>
      <c r="T1" s="280"/>
    </row>
    <row r="2" spans="1:20" ht="15.75">
      <c r="A2" s="184" t="s">
        <v>121</v>
      </c>
      <c r="B2" s="74" t="str">
        <f ca="1">OFFSET(List_AllocOpexListStart,+$K$1,1)</f>
        <v>CEO</v>
      </c>
      <c r="F2" s="284"/>
      <c r="H2" s="42"/>
      <c r="I2" s="283"/>
      <c r="L2" s="282"/>
      <c r="M2" s="282"/>
    </row>
    <row r="3" spans="1:20" ht="16.5" thickBot="1">
      <c r="A3" s="184" t="s">
        <v>371</v>
      </c>
      <c r="B3" s="236" t="str">
        <f ca="1">OFFSET(List_AllocOpexListStart,+$K$1,2)</f>
        <v>Craig Bignell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1.0739999999999998</v>
      </c>
      <c r="E8" s="285">
        <f ca="1">OFFSET(Future_AOpexStart,MATCH($K$1,'I-6 Future A'!$A$6:$A$379)+2,+'I-5 Future DA'!F$5)</f>
        <v>1.0739999999999998</v>
      </c>
      <c r="F8" s="285">
        <f ca="1">OFFSET(Future_AOpexStart,MATCH($K$1,'I-6 Future A'!$A$6:$A$379)+2,+'I-5 Future DA'!G$5)</f>
        <v>1.0739999999999998</v>
      </c>
      <c r="G8" s="285">
        <f ca="1">OFFSET(Future_AOpexStart,MATCH($K$1,'I-6 Future A'!$A$6:$A$379)+2,+'I-5 Future DA'!H$5)</f>
        <v>1.0739999999999998</v>
      </c>
      <c r="H8" s="285">
        <f ca="1">OFFSET(Future_AOpexStart,MATCH($K$1,'I-6 Future A'!$A$6:$A$379)+2,+'I-5 Future DA'!I$5)</f>
        <v>1.0739999999999998</v>
      </c>
      <c r="I8" s="285">
        <f ca="1">OFFSET(Future_AOpexStart,MATCH($K$1,'I-6 Future A'!$A$6:$A$379)+2,+'I-5 Future DA'!J$5)</f>
        <v>1.0739999999999998</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0.11900000000000001</v>
      </c>
      <c r="E9" s="285">
        <f ca="1">OFFSET(Future_AOpexStart,MATCH($K$1,'I-6 Future A'!$A$6:$A$379)+3,+'I-5 Future DA'!F$5)</f>
        <v>0.11900000000000001</v>
      </c>
      <c r="F9" s="285">
        <f ca="1">OFFSET(Future_AOpexStart,MATCH($K$1,'I-6 Future A'!$A$6:$A$379)+3,+'I-5 Future DA'!G$5)</f>
        <v>0.11900000000000001</v>
      </c>
      <c r="G9" s="285">
        <f ca="1">OFFSET(Future_AOpexStart,MATCH($K$1,'I-6 Future A'!$A$6:$A$379)+3,+'I-5 Future DA'!H$5)</f>
        <v>0.11900000000000001</v>
      </c>
      <c r="H9" s="285">
        <f ca="1">OFFSET(Future_AOpexStart,MATCH($K$1,'I-6 Future A'!$A$6:$A$379)+3,+'I-5 Future DA'!I$5)</f>
        <v>0.11900000000000001</v>
      </c>
      <c r="I9" s="285">
        <f ca="1">OFFSET(Future_AOpexStart,MATCH($K$1,'I-6 Future A'!$A$6:$A$379)+3,+'I-5 Future DA'!J$5)</f>
        <v>0.11900000000000001</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0.84699999999999998</v>
      </c>
      <c r="E11" s="285">
        <f ca="1">OFFSET(Future_AOpexStart,MATCH($K$1,'I-6 Future A'!$A$6:$A$379)+5,+'I-5 Future DA'!F$5)</f>
        <v>0.84699999999999998</v>
      </c>
      <c r="F11" s="285">
        <f ca="1">OFFSET(Future_AOpexStart,MATCH($K$1,'I-6 Future A'!$A$6:$A$379)+5,+'I-5 Future DA'!G$5)</f>
        <v>0.84699999999999998</v>
      </c>
      <c r="G11" s="285">
        <f ca="1">OFFSET(Future_AOpexStart,MATCH($K$1,'I-6 Future A'!$A$6:$A$379)+5,+'I-5 Future DA'!H$5)</f>
        <v>0.84699999999999998</v>
      </c>
      <c r="H11" s="285">
        <f ca="1">OFFSET(Future_AOpexStart,MATCH($K$1,'I-6 Future A'!$A$6:$A$379)+5,+'I-5 Future DA'!I$5)</f>
        <v>0.84699999999999998</v>
      </c>
      <c r="I11" s="285">
        <f ca="1">OFFSET(Future_AOpexStart,MATCH($K$1,'I-6 Future A'!$A$6:$A$379)+5,+'I-5 Future DA'!J$5)</f>
        <v>0.84699999999999998</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2.04</v>
      </c>
      <c r="E14" s="287">
        <f t="shared" ca="1" si="0"/>
        <v>2.04</v>
      </c>
      <c r="F14" s="287">
        <f t="shared" ca="1" si="0"/>
        <v>2.04</v>
      </c>
      <c r="G14" s="287">
        <f t="shared" ca="1" si="0"/>
        <v>2.04</v>
      </c>
      <c r="H14" s="287">
        <f t="shared" ca="1" si="0"/>
        <v>2.04</v>
      </c>
      <c r="I14" s="287">
        <f t="shared" ca="1" si="0"/>
        <v>2.04</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+'A-1'!B8+'A-1'!B19</f>
        <v>0</v>
      </c>
      <c r="C30" s="285">
        <f ca="1">+'A-1'!C8+'A-1'!C19</f>
        <v>0</v>
      </c>
      <c r="D30" s="285">
        <f ca="1">+'A-1'!D8+'A-1'!D19</f>
        <v>1.0739999999999998</v>
      </c>
      <c r="E30" s="285">
        <f ca="1">+'A-1'!E8+'A-1'!E19</f>
        <v>1.0739999999999998</v>
      </c>
      <c r="F30" s="285">
        <f ca="1">+'A-1'!F8+'A-1'!F19</f>
        <v>1.0739999999999998</v>
      </c>
      <c r="G30" s="285">
        <f ca="1">+'A-1'!G8+'A-1'!G19</f>
        <v>1.0739999999999998</v>
      </c>
      <c r="H30" s="285">
        <f ca="1">+'A-1'!H8+'A-1'!H19</f>
        <v>1.0739999999999998</v>
      </c>
      <c r="I30" s="285">
        <f ca="1">+'A-1'!I8+'A-1'!I19</f>
        <v>1.0739999999999998</v>
      </c>
      <c r="J30" s="42"/>
      <c r="K30" s="21"/>
      <c r="L30" s="21"/>
    </row>
    <row r="31" spans="1:12" outlineLevel="2">
      <c r="A31" s="61" t="s">
        <v>69</v>
      </c>
      <c r="B31" s="285">
        <f ca="1">+'A-1'!B9+'A-1'!B20</f>
        <v>0</v>
      </c>
      <c r="C31" s="285">
        <f ca="1">+'A-1'!C9+'A-1'!C20</f>
        <v>0</v>
      </c>
      <c r="D31" s="285">
        <f ca="1">+'A-1'!D9+'A-1'!D20</f>
        <v>0.11900000000000001</v>
      </c>
      <c r="E31" s="285">
        <f ca="1">+'A-1'!E9+'A-1'!E20</f>
        <v>0.11900000000000001</v>
      </c>
      <c r="F31" s="285">
        <f ca="1">+'A-1'!F9+'A-1'!F20</f>
        <v>0.11900000000000001</v>
      </c>
      <c r="G31" s="285">
        <f ca="1">+'A-1'!G9+'A-1'!G20</f>
        <v>0.11900000000000001</v>
      </c>
      <c r="H31" s="285">
        <f ca="1">+'A-1'!H9+'A-1'!H20</f>
        <v>0.11900000000000001</v>
      </c>
      <c r="I31" s="285">
        <f ca="1">+'A-1'!I9+'A-1'!I20</f>
        <v>0.11900000000000001</v>
      </c>
      <c r="J31" s="42"/>
      <c r="K31" s="21"/>
      <c r="L31" s="21"/>
    </row>
    <row r="32" spans="1:12" s="759" customFormat="1" outlineLevel="2">
      <c r="A32" s="61" t="s">
        <v>646</v>
      </c>
      <c r="B32" s="285">
        <f ca="1">+'A-1'!B10+'A-1'!B21</f>
        <v>0</v>
      </c>
      <c r="C32" s="285">
        <f ca="1">+'A-1'!C10+'A-1'!C21</f>
        <v>0</v>
      </c>
      <c r="D32" s="285">
        <f ca="1">+'A-1'!D10+'A-1'!D21</f>
        <v>0</v>
      </c>
      <c r="E32" s="285">
        <f ca="1">+'A-1'!E10+'A-1'!E21</f>
        <v>0</v>
      </c>
      <c r="F32" s="285">
        <f ca="1">+'A-1'!F10+'A-1'!F21</f>
        <v>0</v>
      </c>
      <c r="G32" s="285">
        <f ca="1">+'A-1'!G10+'A-1'!G21</f>
        <v>0</v>
      </c>
      <c r="H32" s="285">
        <f ca="1">+'A-1'!H10+'A-1'!H21</f>
        <v>0</v>
      </c>
      <c r="I32" s="285">
        <f ca="1">+'A-1'!I10+'A-1'!I21</f>
        <v>0</v>
      </c>
      <c r="J32" s="42"/>
      <c r="K32" s="732"/>
      <c r="L32" s="732"/>
    </row>
    <row r="33" spans="1:12" outlineLevel="2">
      <c r="A33" s="61" t="s">
        <v>647</v>
      </c>
      <c r="B33" s="285">
        <f ca="1">+'A-1'!B11+'A-1'!B22</f>
        <v>0</v>
      </c>
      <c r="C33" s="285">
        <f ca="1">+'A-1'!C11+'A-1'!C22</f>
        <v>0</v>
      </c>
      <c r="D33" s="285">
        <f ca="1">+'A-1'!D11+'A-1'!D22</f>
        <v>0.84699999999999998</v>
      </c>
      <c r="E33" s="285">
        <f ca="1">+'A-1'!E11+'A-1'!E22</f>
        <v>0.84699999999999998</v>
      </c>
      <c r="F33" s="285">
        <f ca="1">+'A-1'!F11+'A-1'!F22</f>
        <v>0.84699999999999998</v>
      </c>
      <c r="G33" s="285">
        <f ca="1">+'A-1'!G11+'A-1'!G22</f>
        <v>0.84699999999999998</v>
      </c>
      <c r="H33" s="285">
        <f ca="1">+'A-1'!H11+'A-1'!H22</f>
        <v>0.84699999999999998</v>
      </c>
      <c r="I33" s="285">
        <f ca="1">+'A-1'!I11+'A-1'!I22</f>
        <v>0.84699999999999998</v>
      </c>
      <c r="J33" s="42"/>
      <c r="K33" s="21"/>
      <c r="L33" s="21"/>
    </row>
    <row r="34" spans="1:12" s="759" customFormat="1" outlineLevel="2">
      <c r="A34" s="61" t="s">
        <v>575</v>
      </c>
      <c r="B34" s="285">
        <f ca="1">+'A-1'!B12+'A-1'!B23</f>
        <v>0</v>
      </c>
      <c r="C34" s="285">
        <f ca="1">+'A-1'!C12+'A-1'!C23</f>
        <v>0</v>
      </c>
      <c r="D34" s="285">
        <f ca="1">+'A-1'!D12+'A-1'!D23</f>
        <v>0</v>
      </c>
      <c r="E34" s="285">
        <f ca="1">+'A-1'!E12+'A-1'!E23</f>
        <v>0</v>
      </c>
      <c r="F34" s="285">
        <f ca="1">+'A-1'!F12+'A-1'!F23</f>
        <v>0</v>
      </c>
      <c r="G34" s="285">
        <f ca="1">+'A-1'!G12+'A-1'!G23</f>
        <v>0</v>
      </c>
      <c r="H34" s="285">
        <f ca="1">+'A-1'!H12+'A-1'!H23</f>
        <v>0</v>
      </c>
      <c r="I34" s="285">
        <f ca="1">+'A-1'!I12+'A-1'!I23</f>
        <v>0</v>
      </c>
      <c r="J34" s="42"/>
      <c r="K34" s="732"/>
      <c r="L34" s="732"/>
    </row>
    <row r="35" spans="1:12" ht="13.5" outlineLevel="2" thickBot="1">
      <c r="A35" s="83" t="s">
        <v>70</v>
      </c>
      <c r="B35" s="285">
        <f ca="1">+'A-1'!B13+'A-1'!B24</f>
        <v>0</v>
      </c>
      <c r="C35" s="285">
        <f ca="1">+'A-1'!C13+'A-1'!C24</f>
        <v>0</v>
      </c>
      <c r="D35" s="285">
        <f ca="1">+'A-1'!D13+'A-1'!D24</f>
        <v>0</v>
      </c>
      <c r="E35" s="285">
        <f ca="1">+'A-1'!E13+'A-1'!E24</f>
        <v>0</v>
      </c>
      <c r="F35" s="285">
        <f ca="1">+'A-1'!F13+'A-1'!F24</f>
        <v>0</v>
      </c>
      <c r="G35" s="285">
        <f ca="1">+'A-1'!G13+'A-1'!G24</f>
        <v>0</v>
      </c>
      <c r="H35" s="285">
        <f ca="1">+'A-1'!H13+'A-1'!H24</f>
        <v>0</v>
      </c>
      <c r="I35" s="285">
        <f ca="1">+'A-1'!I13+'A-1'!I24</f>
        <v>0</v>
      </c>
      <c r="J35" s="93"/>
      <c r="K35" s="21"/>
      <c r="L35" s="21"/>
    </row>
    <row r="36" spans="1:12" s="87" customFormat="1" ht="20.25" customHeight="1" thickBot="1">
      <c r="A36" s="94" t="s">
        <v>128</v>
      </c>
      <c r="B36" s="294">
        <f t="shared" ref="B36:I36" ca="1" si="7">SUM(B30:B35)</f>
        <v>0</v>
      </c>
      <c r="C36" s="294">
        <f t="shared" ca="1" si="7"/>
        <v>0</v>
      </c>
      <c r="D36" s="294">
        <f t="shared" ca="1" si="7"/>
        <v>2.04</v>
      </c>
      <c r="E36" s="294">
        <f t="shared" ca="1" si="7"/>
        <v>2.04</v>
      </c>
      <c r="F36" s="294">
        <f t="shared" ca="1" si="7"/>
        <v>2.04</v>
      </c>
      <c r="G36" s="294">
        <f t="shared" ca="1" si="7"/>
        <v>2.04</v>
      </c>
      <c r="H36" s="294">
        <f t="shared" ca="1" si="7"/>
        <v>2.04</v>
      </c>
      <c r="I36" s="294">
        <f t="shared" ca="1" si="7"/>
        <v>2.04</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1.1395095194046519E-2</v>
      </c>
      <c r="F42" s="285">
        <f t="shared" ca="1" si="8"/>
        <v>2.1953628762759015E-2</v>
      </c>
      <c r="G42" s="285">
        <f t="shared" ca="1" si="8"/>
        <v>3.2390621951052606E-2</v>
      </c>
      <c r="H42" s="285">
        <f t="shared" ca="1" si="8"/>
        <v>4.3713921307873368E-2</v>
      </c>
      <c r="I42" s="285">
        <f t="shared" ca="1" si="8"/>
        <v>5.4086148262656182E-2</v>
      </c>
      <c r="K42" s="63"/>
      <c r="L42" s="63"/>
    </row>
    <row r="43" spans="1:12" outlineLevel="1">
      <c r="A43" s="61" t="s">
        <v>69</v>
      </c>
      <c r="B43" s="82"/>
      <c r="C43" s="285">
        <f t="shared" ca="1" si="8"/>
        <v>0</v>
      </c>
      <c r="D43" s="285">
        <f t="shared" ca="1" si="8"/>
        <v>0</v>
      </c>
      <c r="E43" s="285">
        <f t="shared" ca="1" si="8"/>
        <v>1.2625850354669795E-3</v>
      </c>
      <c r="F43" s="285">
        <f t="shared" ca="1" si="8"/>
        <v>2.4324784197097982E-3</v>
      </c>
      <c r="G43" s="285">
        <f t="shared" ca="1" si="8"/>
        <v>3.5889050392693307E-3</v>
      </c>
      <c r="H43" s="285">
        <f t="shared" ca="1" si="8"/>
        <v>4.8435350424924882E-3</v>
      </c>
      <c r="I43" s="285">
        <f t="shared" ca="1" si="8"/>
        <v>5.992785515136022E-3</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8.986634664206147E-3</v>
      </c>
      <c r="F45" s="285">
        <f t="shared" ca="1" si="10"/>
        <v>1.7313522869699151E-2</v>
      </c>
      <c r="G45" s="285">
        <f t="shared" ca="1" si="10"/>
        <v>2.5544559397152292E-2</v>
      </c>
      <c r="H45" s="285">
        <f t="shared" ca="1" si="10"/>
        <v>3.4474572949505351E-2</v>
      </c>
      <c r="I45" s="285">
        <f t="shared" ca="1" si="10"/>
        <v>4.2654532195968153E-2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2.1644314893719645E-2</v>
      </c>
      <c r="F48" s="294">
        <f t="shared" ca="1" si="13"/>
        <v>4.1699630052167966E-2</v>
      </c>
      <c r="G48" s="294">
        <f t="shared" ca="1" si="13"/>
        <v>6.1524086387474225E-2</v>
      </c>
      <c r="H48" s="294">
        <f t="shared" ca="1" si="13"/>
        <v>8.3032029299871218E-2</v>
      </c>
      <c r="I48" s="294">
        <f t="shared" ca="1" si="13"/>
        <v>0.10273346597376036</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2.3290370943317266E-2</v>
      </c>
      <c r="F53" s="285">
        <f t="shared" ca="1" si="14"/>
        <v>4.7538496795389691E-2</v>
      </c>
      <c r="G53" s="285">
        <f t="shared" ca="1" si="14"/>
        <v>7.4119199717937234E-2</v>
      </c>
      <c r="H53" s="285">
        <f t="shared" ca="1" si="14"/>
        <v>0.10187058498652835</v>
      </c>
      <c r="I53" s="285">
        <f t="shared" ca="1" si="14"/>
        <v>0.13067585316624014</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4.2799331733209389E-3</v>
      </c>
      <c r="F56" s="285">
        <f t="shared" ca="1" si="16"/>
        <v>8.6647430667684995E-3</v>
      </c>
      <c r="G56" s="285">
        <f t="shared" ca="1" si="16"/>
        <v>1.6678885575402005E-2</v>
      </c>
      <c r="H56" s="285">
        <f t="shared" ca="1" si="16"/>
        <v>2.6281988450012068E-2</v>
      </c>
      <c r="I56" s="285">
        <f t="shared" ca="1" si="16"/>
        <v>3.7978136754308153E-2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2.7570304116638203E-2</v>
      </c>
      <c r="F59" s="287">
        <f t="shared" ca="1" si="19"/>
        <v>5.6203239862158194E-2</v>
      </c>
      <c r="G59" s="287">
        <f t="shared" ca="1" si="19"/>
        <v>9.0798085293339242E-2</v>
      </c>
      <c r="H59" s="287">
        <f t="shared" ca="1" si="19"/>
        <v>0.12815257343654041</v>
      </c>
      <c r="I59" s="287">
        <f t="shared" ca="1" si="19"/>
        <v>0.16865398992054831</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1.0739999999999998</v>
      </c>
      <c r="E64" s="285">
        <f t="shared" ca="1" si="20"/>
        <v>1.1086854661373635</v>
      </c>
      <c r="F64" s="285">
        <f t="shared" ca="1" si="20"/>
        <v>1.1434921255581487</v>
      </c>
      <c r="G64" s="285">
        <f t="shared" ca="1" si="20"/>
        <v>1.1805098216689895</v>
      </c>
      <c r="H64" s="285">
        <f t="shared" ca="1" si="20"/>
        <v>1.2195845062944017</v>
      </c>
      <c r="I64" s="285">
        <f t="shared" ca="1" si="20"/>
        <v>1.2587620014288963</v>
      </c>
      <c r="K64" s="63"/>
      <c r="L64" s="63"/>
    </row>
    <row r="65" spans="1:20" ht="12.75" customHeight="1" outlineLevel="1">
      <c r="A65" s="61" t="s">
        <v>69</v>
      </c>
      <c r="B65" s="285">
        <f t="shared" ca="1" si="20"/>
        <v>0</v>
      </c>
      <c r="C65" s="285">
        <f t="shared" ca="1" si="20"/>
        <v>0</v>
      </c>
      <c r="D65" s="285">
        <f t="shared" ca="1" si="20"/>
        <v>0.11900000000000001</v>
      </c>
      <c r="E65" s="285">
        <f t="shared" ca="1" si="20"/>
        <v>0.12026258503546698</v>
      </c>
      <c r="F65" s="285">
        <f t="shared" ca="1" si="20"/>
        <v>0.12143247841970981</v>
      </c>
      <c r="G65" s="285">
        <f t="shared" ca="1" si="20"/>
        <v>0.12258890503926934</v>
      </c>
      <c r="H65" s="285">
        <f t="shared" ca="1" si="20"/>
        <v>0.1238435350424925</v>
      </c>
      <c r="I65" s="285">
        <f t="shared" ca="1" si="20"/>
        <v>0.12499278551513603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0.84699999999999998</v>
      </c>
      <c r="E67" s="285">
        <f t="shared" ca="1" si="22"/>
        <v>0.86026656783752709</v>
      </c>
      <c r="F67" s="285">
        <f t="shared" ca="1" si="22"/>
        <v>0.87297826593646755</v>
      </c>
      <c r="G67" s="285">
        <f t="shared" ca="1" si="22"/>
        <v>0.88922344497255423</v>
      </c>
      <c r="H67" s="285">
        <f t="shared" ca="1" si="22"/>
        <v>0.90775656139951744</v>
      </c>
      <c r="I67" s="285">
        <f t="shared" ca="1" si="22"/>
        <v>0.9276326689502763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2.04</v>
      </c>
      <c r="E70" s="295">
        <f t="shared" ca="1" si="25"/>
        <v>2.0892146190103578</v>
      </c>
      <c r="F70" s="295">
        <f t="shared" ca="1" si="25"/>
        <v>2.1379028699143259</v>
      </c>
      <c r="G70" s="295">
        <f t="shared" ca="1" si="25"/>
        <v>2.192322171680813</v>
      </c>
      <c r="H70" s="295">
        <f t="shared" ca="1" si="25"/>
        <v>2.2511846027364117</v>
      </c>
      <c r="I70" s="295">
        <f t="shared" ca="1" si="25"/>
        <v>2.3113874558943088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IF($K77="No",0,VLOOKUP($A77,Escalations_Specific_Costs,+C$73,FALSE))</f>
        <v>0</v>
      </c>
      <c r="D77" s="103">
        <f t="shared" ref="D77:I79" si="27">IF($K77="No",0,IF($J77="one-off",VLOOKUP($A77,Escalations_Specific_Costs,+D$73,FALSE),(VLOOKUP($A77,Escalations_Specific_Costs,+D$73,FALSE)+1)*(1+C77)-1))</f>
        <v>0</v>
      </c>
      <c r="E77" s="809">
        <f t="shared" si="27"/>
        <v>1.0609958281235121E-2</v>
      </c>
      <c r="F77" s="809">
        <f t="shared" si="27"/>
        <v>2.0440995123611749E-2</v>
      </c>
      <c r="G77" s="809">
        <f t="shared" si="27"/>
        <v>3.0158865876212859E-2</v>
      </c>
      <c r="H77" s="809">
        <f t="shared" si="27"/>
        <v>4.0701975146995695E-2</v>
      </c>
      <c r="I77" s="810">
        <f t="shared" si="27"/>
        <v>5.035954214400018E-2</v>
      </c>
      <c r="J77" s="105" t="str">
        <f t="shared" ref="J77:J82" si="28">IF(ISNA(VLOOKUP($A77,Escalations_Specific_Costs,+I$73+3,FALSE)),0,VLOOKUP($A77,Escalations_Specific_Costs,+I$73+3,FALSE))</f>
        <v>Cumulative</v>
      </c>
      <c r="K77" s="106" t="str">
        <f t="shared" ref="K77:K82" si="29">IF(ISNA(VLOOKUP($A77,Escalations_Specific_Costs,1,FALSE)),"No","Yes")</f>
        <v>Yes</v>
      </c>
      <c r="M77" s="103"/>
      <c r="N77" s="285">
        <f ca="1">IF($B77&lt;&gt;0,(+VLOOKUP($B77,$A$8:$I$13,3,FALSE))*(C77),0)</f>
        <v>0</v>
      </c>
      <c r="O77" s="285">
        <f ca="1">IF($B77&lt;&gt;0,(+VLOOKUP($B77,$A$8:$I$13,4,FALSE))*(D77),0)</f>
        <v>0</v>
      </c>
      <c r="P77" s="285">
        <f ca="1">IF($B77&lt;&gt;0,(+VLOOKUP($B77,$A$8:$I$13,5,FALSE))*(E77),0)</f>
        <v>1.1395095194046519E-2</v>
      </c>
      <c r="Q77" s="285">
        <f ca="1">IF($B77&lt;&gt;0,(+VLOOKUP($B77,$A$8:$I$13,6,FALSE))*(F77),0)</f>
        <v>2.1953628762759015E-2</v>
      </c>
      <c r="R77" s="285">
        <f ca="1">IF($B77&lt;&gt;0,(+VLOOKUP($B77,$A$8:$I$13,7,FALSE))*(G77),0)</f>
        <v>3.2390621951052606E-2</v>
      </c>
      <c r="S77" s="285">
        <f ca="1">IF($B77&lt;&gt;0,(+VLOOKUP($B77,$A$8:$I$13,8,FALSE))*(H77),0)</f>
        <v>4.3713921307873368E-2</v>
      </c>
      <c r="T77" s="285">
        <f ca="1">IF($B77&lt;&gt;0,(+VLOOKUP($B77,$A$8:$I$13,9,FALSE))*(I77),0)</f>
        <v>5.4086148262656182E-2</v>
      </c>
    </row>
    <row r="78" spans="1:20" outlineLevel="1">
      <c r="A78" s="101" t="s">
        <v>714</v>
      </c>
      <c r="B78" s="102" t="s">
        <v>69</v>
      </c>
      <c r="C78" s="103">
        <f t="shared" ref="C78:C82" si="30">IF($K78="No",0,VLOOKUP($A78,Escalations_Specific_Costs,+C$73,FALSE))</f>
        <v>0</v>
      </c>
      <c r="D78" s="103">
        <f t="shared" si="27"/>
        <v>0</v>
      </c>
      <c r="E78" s="809">
        <f t="shared" si="27"/>
        <v>1.0609958281235121E-2</v>
      </c>
      <c r="F78" s="809">
        <f t="shared" si="27"/>
        <v>2.0440995123611749E-2</v>
      </c>
      <c r="G78" s="809">
        <f t="shared" si="27"/>
        <v>3.0158865876212859E-2</v>
      </c>
      <c r="H78" s="809">
        <f t="shared" si="27"/>
        <v>4.0701975146995695E-2</v>
      </c>
      <c r="I78" s="810">
        <f t="shared" si="27"/>
        <v>5.035954214400018E-2</v>
      </c>
      <c r="J78" s="105" t="str">
        <f t="shared" si="28"/>
        <v>Cumulative</v>
      </c>
      <c r="K78" s="106" t="str">
        <f t="shared" si="29"/>
        <v>Yes</v>
      </c>
      <c r="M78" s="103"/>
      <c r="N78" s="285">
        <f ca="1">IF($B78&lt;&gt;0,(+VLOOKUP($B78,$A$8:$I$13,3,FALSE))*(C78),0)</f>
        <v>0</v>
      </c>
      <c r="O78" s="285">
        <f ca="1">IF($B78&lt;&gt;0,(+VLOOKUP($B78,$A$8:$I$13,4,FALSE))*(D78),0)</f>
        <v>0</v>
      </c>
      <c r="P78" s="285">
        <f ca="1">IF($B78&lt;&gt;0,(+VLOOKUP($B78,$A$8:$I$13,5,FALSE))*(E78),0)</f>
        <v>1.2625850354669795E-3</v>
      </c>
      <c r="Q78" s="285">
        <f ca="1">IF($B78&lt;&gt;0,(+VLOOKUP($B78,$A$8:$I$13,6,FALSE))*(F78),0)</f>
        <v>2.4324784197097982E-3</v>
      </c>
      <c r="R78" s="285">
        <f ca="1">IF($B78&lt;&gt;0,(+VLOOKUP($B78,$A$8:$I$13,7,FALSE))*(G78),0)</f>
        <v>3.5889050392693307E-3</v>
      </c>
      <c r="S78" s="285">
        <f ca="1">IF($B78&lt;&gt;0,(+VLOOKUP($B78,$A$8:$I$13,8,FALSE))*(H78),0)</f>
        <v>4.8435350424924882E-3</v>
      </c>
      <c r="T78" s="285">
        <f ca="1">IF($B78&lt;&gt;0,(+VLOOKUP($B78,$A$8:$I$13,9,FALSE))*(I78),0)</f>
        <v>5.992785515136022E-3</v>
      </c>
    </row>
    <row r="79" spans="1:20" outlineLevel="1">
      <c r="A79" s="101" t="s">
        <v>714</v>
      </c>
      <c r="B79" s="102" t="s">
        <v>646</v>
      </c>
      <c r="C79" s="103">
        <f t="shared" si="30"/>
        <v>0</v>
      </c>
      <c r="D79" s="103">
        <f t="shared" si="27"/>
        <v>0</v>
      </c>
      <c r="E79" s="809">
        <f t="shared" si="27"/>
        <v>1.0609958281235121E-2</v>
      </c>
      <c r="F79" s="809">
        <f t="shared" si="27"/>
        <v>2.0440995123611749E-2</v>
      </c>
      <c r="G79" s="809">
        <f t="shared" si="27"/>
        <v>3.0158865876212859E-2</v>
      </c>
      <c r="H79" s="809">
        <f t="shared" si="27"/>
        <v>4.0701975146995695E-2</v>
      </c>
      <c r="I79" s="810">
        <f t="shared" si="27"/>
        <v>5.035954214400018E-2</v>
      </c>
      <c r="J79" s="105" t="str">
        <f t="shared" si="28"/>
        <v>Cumulative</v>
      </c>
      <c r="K79" s="106" t="str">
        <f t="shared" si="29"/>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30"/>
        <v>0</v>
      </c>
      <c r="D80" s="103">
        <f t="shared" ref="D80:D81" si="38">IF($K80="No",0,IF($J80="one-off",VLOOKUP($A80,Escalations_Specific_Costs,+D$73,FALSE),(VLOOKUP($A80,Escalations_Specific_Costs,+D$73,FALSE)+1)*(1+C80)-1))</f>
        <v>0</v>
      </c>
      <c r="E80" s="809">
        <f t="shared" ref="E80:E81" si="39">IF($K80="No",0,IF($J80="one-off",VLOOKUP($A80,Escalations_Specific_Costs,+E$73,FALSE),(VLOOKUP($A80,Escalations_Specific_Costs,+E$73,FALSE)+1)*(1+D80)-1))</f>
        <v>1.0609958281235121E-2</v>
      </c>
      <c r="F80" s="809">
        <f t="shared" ref="F80:F81" si="40">IF($K80="No",0,IF($J80="one-off",VLOOKUP($A80,Escalations_Specific_Costs,+F$73,FALSE),(VLOOKUP($A80,Escalations_Specific_Costs,+F$73,FALSE)+1)*(1+E80)-1))</f>
        <v>2.0440995123611749E-2</v>
      </c>
      <c r="G80" s="809">
        <f t="shared" ref="G80:G81" si="41">IF($K80="No",0,IF($J80="one-off",VLOOKUP($A80,Escalations_Specific_Costs,+G$73,FALSE),(VLOOKUP($A80,Escalations_Specific_Costs,+G$73,FALSE)+1)*(1+F80)-1))</f>
        <v>3.0158865876212859E-2</v>
      </c>
      <c r="H80" s="809">
        <f t="shared" ref="H80:H81" si="42">IF($K80="No",0,IF($J80="one-off",VLOOKUP($A80,Escalations_Specific_Costs,+H$73,FALSE),(VLOOKUP($A80,Escalations_Specific_Costs,+H$73,FALSE)+1)*(1+G80)-1))</f>
        <v>4.0701975146995695E-2</v>
      </c>
      <c r="I80" s="810">
        <f t="shared" ref="I80:I81" si="43">IF($K80="No",0,IF($J80="one-off",VLOOKUP($A80,Escalations_Specific_Costs,+I$73,FALSE),(VLOOKUP($A80,Escalations_Specific_Costs,+I$73,FALSE)+1)*(1+H80)-1))</f>
        <v>5.035954214400018E-2</v>
      </c>
      <c r="J80" s="105" t="str">
        <f t="shared" si="28"/>
        <v>Cumulative</v>
      </c>
      <c r="K80" s="106" t="str">
        <f t="shared" si="29"/>
        <v>Yes</v>
      </c>
      <c r="L80" s="788"/>
      <c r="M80" s="103"/>
      <c r="N80" s="285">
        <f t="shared" ca="1" si="31"/>
        <v>0</v>
      </c>
      <c r="O80" s="285">
        <f t="shared" ca="1" si="32"/>
        <v>0</v>
      </c>
      <c r="P80" s="285">
        <f t="shared" ca="1" si="33"/>
        <v>8.986634664206147E-3</v>
      </c>
      <c r="Q80" s="285">
        <f t="shared" ca="1" si="34"/>
        <v>1.7313522869699151E-2</v>
      </c>
      <c r="R80" s="285">
        <f t="shared" ca="1" si="35"/>
        <v>2.5544559397152292E-2</v>
      </c>
      <c r="S80" s="285">
        <f t="shared" ca="1" si="36"/>
        <v>3.4474572949505351E-2</v>
      </c>
      <c r="T80" s="285">
        <f t="shared" ca="1" si="37"/>
        <v>4.2654532195968153E-2</v>
      </c>
    </row>
    <row r="81" spans="1:20" outlineLevel="1">
      <c r="A81" s="101" t="s">
        <v>714</v>
      </c>
      <c r="B81" s="102" t="s">
        <v>575</v>
      </c>
      <c r="C81" s="103">
        <f t="shared" si="30"/>
        <v>0</v>
      </c>
      <c r="D81" s="103">
        <f t="shared" si="38"/>
        <v>0</v>
      </c>
      <c r="E81" s="809">
        <f t="shared" si="39"/>
        <v>1.0609958281235121E-2</v>
      </c>
      <c r="F81" s="809">
        <f t="shared" si="40"/>
        <v>2.0440995123611749E-2</v>
      </c>
      <c r="G81" s="809">
        <f t="shared" si="41"/>
        <v>3.0158865876212859E-2</v>
      </c>
      <c r="H81" s="809">
        <f t="shared" si="42"/>
        <v>4.0701975146995695E-2</v>
      </c>
      <c r="I81" s="810">
        <f t="shared" si="43"/>
        <v>5.035954214400018E-2</v>
      </c>
      <c r="J81" s="105" t="str">
        <f t="shared" si="28"/>
        <v>Cumulative</v>
      </c>
      <c r="K81" s="106" t="str">
        <f t="shared" si="29"/>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30"/>
        <v>0</v>
      </c>
      <c r="D82" s="103">
        <f t="shared" ref="D82" si="44">IF($K82="No",0,IF($J82="one-off",VLOOKUP($A82,Escalations_Specific_Costs,+D$73,FALSE),(VLOOKUP($A82,Escalations_Specific_Costs,+D$73,FALSE)+1)*(1+C82)-1))</f>
        <v>0</v>
      </c>
      <c r="E82" s="809">
        <f t="shared" ref="E82" si="45">IF($K82="No",0,IF($J82="one-off",VLOOKUP($A82,Escalations_Specific_Costs,+E$73,FALSE),(VLOOKUP($A82,Escalations_Specific_Costs,+E$73,FALSE)+1)*(1+D82)-1))</f>
        <v>1.0609958281235121E-2</v>
      </c>
      <c r="F82" s="809">
        <f t="shared" ref="F82" si="46">IF($K82="No",0,IF($J82="one-off",VLOOKUP($A82,Escalations_Specific_Costs,+F$73,FALSE),(VLOOKUP($A82,Escalations_Specific_Costs,+F$73,FALSE)+1)*(1+E82)-1))</f>
        <v>2.0440995123611749E-2</v>
      </c>
      <c r="G82" s="809">
        <f t="shared" ref="G82" si="47">IF($K82="No",0,IF($J82="one-off",VLOOKUP($A82,Escalations_Specific_Costs,+G$73,FALSE),(VLOOKUP($A82,Escalations_Specific_Costs,+G$73,FALSE)+1)*(1+F82)-1))</f>
        <v>3.0158865876212859E-2</v>
      </c>
      <c r="H82" s="809">
        <f t="shared" ref="H82" si="48">IF($K82="No",0,IF($J82="one-off",VLOOKUP($A82,Escalations_Specific_Costs,+H$73,FALSE),(VLOOKUP($A82,Escalations_Specific_Costs,+H$73,FALSE)+1)*(1+G82)-1))</f>
        <v>4.0701975146995695E-2</v>
      </c>
      <c r="I82" s="810">
        <f t="shared" ref="I82" si="49">IF($K82="No",0,IF($J82="one-off",VLOOKUP($A82,Escalations_Specific_Costs,+I$73,FALSE),(VLOOKUP($A82,Escalations_Specific_Costs,+I$73,FALSE)+1)*(1+H82)-1))</f>
        <v>5.035954214400018E-2</v>
      </c>
      <c r="J82" s="105" t="str">
        <f t="shared" si="28"/>
        <v>Cumulative</v>
      </c>
      <c r="K82" s="106" t="str">
        <f t="shared" si="29"/>
        <v>Yes</v>
      </c>
      <c r="L82" s="788"/>
      <c r="M82" s="103"/>
      <c r="N82" s="285">
        <f t="shared" ref="N82" ca="1" si="50">IF($B82&lt;&gt;0,(+VLOOKUP($B82,$A$8:$I$13,3,FALSE))*(C82),0)</f>
        <v>0</v>
      </c>
      <c r="O82" s="285">
        <f t="shared" ref="O82" ca="1" si="51">IF($B82&lt;&gt;0,(+VLOOKUP($B82,$A$8:$I$13,4,FALSE))*(D82),0)</f>
        <v>0</v>
      </c>
      <c r="P82" s="285">
        <f t="shared" ref="P82" ca="1" si="52">IF($B82&lt;&gt;0,(+VLOOKUP($B82,$A$8:$I$13,5,FALSE))*(E82),0)</f>
        <v>0</v>
      </c>
      <c r="Q82" s="285">
        <f t="shared" ref="Q82" ca="1" si="53">IF($B82&lt;&gt;0,(+VLOOKUP($B82,$A$8:$I$13,6,FALSE))*(F82),0)</f>
        <v>0</v>
      </c>
      <c r="R82" s="285">
        <f t="shared" ref="R82" ca="1" si="54">IF($B82&lt;&gt;0,(+VLOOKUP($B82,$A$8:$I$13,7,FALSE))*(G82),0)</f>
        <v>0</v>
      </c>
      <c r="S82" s="285">
        <f t="shared" ref="S82" ca="1" si="55">IF($B82&lt;&gt;0,(+VLOOKUP($B82,$A$8:$I$13,8,FALSE))*(H82),0)</f>
        <v>0</v>
      </c>
      <c r="T82" s="285">
        <f t="shared" ref="T82" ca="1" si="56">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7">SUM(O77:O82)</f>
        <v>0</v>
      </c>
      <c r="P83" s="292">
        <f t="shared" ca="1" si="57"/>
        <v>2.1644314893719645E-2</v>
      </c>
      <c r="Q83" s="292">
        <f t="shared" ca="1" si="57"/>
        <v>4.1699630052167966E-2</v>
      </c>
      <c r="R83" s="292">
        <f t="shared" ca="1" si="57"/>
        <v>6.1524086387474225E-2</v>
      </c>
      <c r="S83" s="292">
        <f t="shared" ca="1" si="57"/>
        <v>8.3032029299871218E-2</v>
      </c>
      <c r="T83" s="292">
        <f t="shared" ca="1" si="57"/>
        <v>0.10273346597376036</v>
      </c>
    </row>
    <row r="84" spans="1:20" ht="12" customHeight="1" outlineLevel="1" thickBot="1">
      <c r="B84" s="42"/>
      <c r="C84" s="42"/>
      <c r="D84" s="42"/>
      <c r="E84" s="42"/>
      <c r="F84" s="42"/>
      <c r="G84" s="42"/>
      <c r="H84" s="42"/>
      <c r="I84" s="78"/>
      <c r="M84" s="411" t="s">
        <v>373</v>
      </c>
      <c r="N84" s="412">
        <f t="shared" ref="N84:T84" ca="1" si="58">ROUND(N83-C104,3)</f>
        <v>0</v>
      </c>
      <c r="O84" s="412">
        <f t="shared" ca="1" si="58"/>
        <v>0</v>
      </c>
      <c r="P84" s="412">
        <f t="shared" ca="1" si="58"/>
        <v>0</v>
      </c>
      <c r="Q84" s="412">
        <f t="shared" ca="1" si="58"/>
        <v>0</v>
      </c>
      <c r="R84" s="412">
        <f t="shared" ca="1" si="58"/>
        <v>0</v>
      </c>
      <c r="S84" s="412">
        <f t="shared" ca="1" si="58"/>
        <v>0</v>
      </c>
      <c r="T84" s="413">
        <f t="shared" ca="1" si="58"/>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9">+C92-C93</f>
        <v>0</v>
      </c>
      <c r="D94" s="117">
        <f t="shared" si="59"/>
        <v>0</v>
      </c>
      <c r="E94" s="117">
        <f t="shared" si="59"/>
        <v>0</v>
      </c>
      <c r="F94" s="117">
        <f t="shared" si="59"/>
        <v>0</v>
      </c>
      <c r="G94" s="117">
        <f t="shared" si="59"/>
        <v>0</v>
      </c>
      <c r="H94" s="117">
        <f t="shared" si="59"/>
        <v>0</v>
      </c>
      <c r="I94" s="117">
        <f t="shared" si="59"/>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60">+D8*(D86)</f>
        <v>0</v>
      </c>
      <c r="E98" s="285">
        <f ca="1">+E8*(E86)</f>
        <v>1.1395095194046519E-2</v>
      </c>
      <c r="F98" s="285">
        <f t="shared" ca="1" si="60"/>
        <v>2.1953628762759015E-2</v>
      </c>
      <c r="G98" s="285">
        <f t="shared" ca="1" si="60"/>
        <v>3.2390621951052606E-2</v>
      </c>
      <c r="H98" s="285">
        <f t="shared" ca="1" si="60"/>
        <v>4.3713921307873368E-2</v>
      </c>
      <c r="I98" s="285">
        <f t="shared" ca="1" si="60"/>
        <v>5.4086148262656182E-2</v>
      </c>
    </row>
    <row r="99" spans="1:20" outlineLevel="1">
      <c r="A99" s="61" t="s">
        <v>69</v>
      </c>
      <c r="B99" s="119"/>
      <c r="C99" s="285">
        <f t="shared" ref="C99:I99" ca="1" si="61">+C9*(C87)</f>
        <v>0</v>
      </c>
      <c r="D99" s="285">
        <f t="shared" ca="1" si="61"/>
        <v>0</v>
      </c>
      <c r="E99" s="285">
        <f t="shared" ca="1" si="61"/>
        <v>1.2625850354669795E-3</v>
      </c>
      <c r="F99" s="285">
        <f t="shared" ca="1" si="61"/>
        <v>2.4324784197097982E-3</v>
      </c>
      <c r="G99" s="285">
        <f t="shared" ca="1" si="61"/>
        <v>3.5889050392693307E-3</v>
      </c>
      <c r="H99" s="285">
        <f t="shared" ca="1" si="61"/>
        <v>4.8435350424924882E-3</v>
      </c>
      <c r="I99" s="285">
        <f t="shared" ca="1" si="61"/>
        <v>5.992785515136022E-3</v>
      </c>
    </row>
    <row r="100" spans="1:20" s="759" customFormat="1" outlineLevel="1">
      <c r="A100" s="61" t="s">
        <v>646</v>
      </c>
      <c r="B100" s="119"/>
      <c r="C100" s="285">
        <f t="shared" ref="C100:I100" ca="1" si="62">+C10*(C88)</f>
        <v>0</v>
      </c>
      <c r="D100" s="285">
        <f t="shared" ca="1" si="62"/>
        <v>0</v>
      </c>
      <c r="E100" s="285">
        <f t="shared" ca="1" si="62"/>
        <v>0</v>
      </c>
      <c r="F100" s="285">
        <f t="shared" ca="1" si="62"/>
        <v>0</v>
      </c>
      <c r="G100" s="285">
        <f t="shared" ca="1" si="62"/>
        <v>0</v>
      </c>
      <c r="H100" s="285">
        <f t="shared" ca="1" si="62"/>
        <v>0</v>
      </c>
      <c r="I100" s="285">
        <f t="shared" ca="1" si="62"/>
        <v>0</v>
      </c>
    </row>
    <row r="101" spans="1:20" outlineLevel="1">
      <c r="A101" s="61" t="s">
        <v>647</v>
      </c>
      <c r="B101" s="119"/>
      <c r="C101" s="285">
        <f t="shared" ref="C101:I101" ca="1" si="63">+C11*(C89)</f>
        <v>0</v>
      </c>
      <c r="D101" s="285">
        <f t="shared" ca="1" si="63"/>
        <v>0</v>
      </c>
      <c r="E101" s="285">
        <f t="shared" ca="1" si="63"/>
        <v>8.986634664206147E-3</v>
      </c>
      <c r="F101" s="285">
        <f t="shared" ca="1" si="63"/>
        <v>1.7313522869699151E-2</v>
      </c>
      <c r="G101" s="285">
        <f t="shared" ca="1" si="63"/>
        <v>2.5544559397152292E-2</v>
      </c>
      <c r="H101" s="285">
        <f t="shared" ca="1" si="63"/>
        <v>3.4474572949505351E-2</v>
      </c>
      <c r="I101" s="285">
        <f t="shared" ca="1" si="63"/>
        <v>4.2654532195968153E-2</v>
      </c>
    </row>
    <row r="102" spans="1:20" s="759" customFormat="1" outlineLevel="1">
      <c r="A102" s="61" t="s">
        <v>575</v>
      </c>
      <c r="B102" s="119"/>
      <c r="C102" s="285">
        <f t="shared" ref="C102:I102" ca="1" si="64">+C12*(C90)</f>
        <v>0</v>
      </c>
      <c r="D102" s="285">
        <f t="shared" ca="1" si="64"/>
        <v>0</v>
      </c>
      <c r="E102" s="285">
        <f t="shared" ca="1" si="64"/>
        <v>0</v>
      </c>
      <c r="F102" s="285">
        <f t="shared" ca="1" si="64"/>
        <v>0</v>
      </c>
      <c r="G102" s="285">
        <f t="shared" ca="1" si="64"/>
        <v>0</v>
      </c>
      <c r="H102" s="285">
        <f t="shared" ca="1" si="64"/>
        <v>0</v>
      </c>
      <c r="I102" s="285">
        <f t="shared" ca="1" si="64"/>
        <v>0</v>
      </c>
    </row>
    <row r="103" spans="1:20" outlineLevel="1">
      <c r="A103" s="83" t="s">
        <v>70</v>
      </c>
      <c r="B103" s="119"/>
      <c r="C103" s="285">
        <f t="shared" ref="C103:I103" ca="1" si="65">+C13*(C91)</f>
        <v>0</v>
      </c>
      <c r="D103" s="285">
        <f t="shared" ca="1" si="65"/>
        <v>0</v>
      </c>
      <c r="E103" s="285">
        <f t="shared" ca="1" si="65"/>
        <v>0</v>
      </c>
      <c r="F103" s="285">
        <f t="shared" ca="1" si="65"/>
        <v>0</v>
      </c>
      <c r="G103" s="285">
        <f t="shared" ca="1" si="65"/>
        <v>0</v>
      </c>
      <c r="H103" s="285">
        <f t="shared" ca="1" si="65"/>
        <v>0</v>
      </c>
      <c r="I103" s="285">
        <f t="shared" ca="1" si="65"/>
        <v>0</v>
      </c>
    </row>
    <row r="104" spans="1:20" outlineLevel="1">
      <c r="A104" s="120" t="s">
        <v>142</v>
      </c>
      <c r="B104" s="121"/>
      <c r="C104" s="296">
        <f t="shared" ref="C104:I104" ca="1" si="66">SUM(C98:C103)</f>
        <v>0</v>
      </c>
      <c r="D104" s="296">
        <f t="shared" ca="1" si="66"/>
        <v>0</v>
      </c>
      <c r="E104" s="296">
        <f t="shared" ca="1" si="66"/>
        <v>2.1644314893719645E-2</v>
      </c>
      <c r="F104" s="296">
        <f t="shared" ca="1" si="66"/>
        <v>4.1699630052167966E-2</v>
      </c>
      <c r="G104" s="296">
        <f t="shared" ca="1" si="66"/>
        <v>6.1524086387474225E-2</v>
      </c>
      <c r="H104" s="296">
        <f t="shared" ca="1" si="66"/>
        <v>8.3032029299871218E-2</v>
      </c>
      <c r="I104" s="296">
        <f t="shared" ca="1" si="66"/>
        <v>0.10273346597376036</v>
      </c>
    </row>
    <row r="105" spans="1:20" ht="13.5" outlineLevel="1" thickBot="1">
      <c r="A105" s="122" t="s">
        <v>143</v>
      </c>
      <c r="B105" s="123"/>
      <c r="C105" s="124">
        <f t="shared" ref="C105:I105" ca="1" si="67">IF(C36&lt;&gt;0,+C104/C36,0)</f>
        <v>0</v>
      </c>
      <c r="D105" s="124">
        <f t="shared" ca="1" si="67"/>
        <v>0</v>
      </c>
      <c r="E105" s="124">
        <f t="shared" ca="1" si="67"/>
        <v>1.0609958281235119E-2</v>
      </c>
      <c r="F105" s="124">
        <f t="shared" ca="1" si="67"/>
        <v>2.0440995123611749E-2</v>
      </c>
      <c r="G105" s="124">
        <f t="shared" ca="1" si="67"/>
        <v>3.0158865876212856E-2</v>
      </c>
      <c r="H105" s="124">
        <f t="shared" ca="1" si="67"/>
        <v>4.0701975146995695E-2</v>
      </c>
      <c r="I105" s="124">
        <f t="shared" ca="1" si="67"/>
        <v>5.0359542144000173E-2</v>
      </c>
    </row>
    <row r="106" spans="1:20" ht="7.5" customHeight="1" outlineLevel="1"/>
    <row r="108" spans="1:20" ht="18">
      <c r="A108" s="206" t="s">
        <v>144</v>
      </c>
      <c r="B108" s="200"/>
      <c r="C108" s="204">
        <v>2</v>
      </c>
      <c r="D108" s="204">
        <f t="shared" ref="D108:I108" si="68">+C108+1</f>
        <v>3</v>
      </c>
      <c r="E108" s="204">
        <f t="shared" si="68"/>
        <v>4</v>
      </c>
      <c r="F108" s="204">
        <f t="shared" si="68"/>
        <v>5</v>
      </c>
      <c r="G108" s="204">
        <f t="shared" si="68"/>
        <v>6</v>
      </c>
      <c r="H108" s="204">
        <f t="shared" si="68"/>
        <v>7</v>
      </c>
      <c r="I108" s="205">
        <f t="shared" si="68"/>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9">IF(ISNA(VLOOKUP($A113,Escalations_General_Costs,+I$73+3,FALSE)),0,VLOOKUP($A113,Escalations_General_Costs,+I$73+3,FALSE))</f>
        <v>Cumulative</v>
      </c>
      <c r="K113" s="106" t="str">
        <f t="shared" ref="K113:K118" si="70">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2.3290370943317266E-2</v>
      </c>
      <c r="Q113" s="285">
        <f ca="1">IF($B113&lt;&gt;0,(+VLOOKUP($B113,$A$8:$I$13,6,FALSE)+VLOOKUP($B113,$A$42:$I$47,6,FALSE))*(F113),0)</f>
        <v>4.7538496795389691E-2</v>
      </c>
      <c r="R113" s="285">
        <f ca="1">IF($B113&lt;&gt;0,(+VLOOKUP($B113,$A$8:$I$13,7,FALSE)+VLOOKUP($B113,$A$42:$I$47,7,FALSE))*(G113),0)</f>
        <v>7.4119199717937234E-2</v>
      </c>
      <c r="S113" s="285">
        <f ca="1">IF($B113&lt;&gt;0,(+VLOOKUP($B113,$A$8:$I$13,8,FALSE)+VLOOKUP($B113,$A$42:$I$47,8,FALSE))*(H113),0)</f>
        <v>0.10187058498652835</v>
      </c>
      <c r="T113" s="285">
        <f ca="1">IF($B113&lt;&gt;0,(+VLOOKUP($B113,$A$8:$I$13,9,FALSE)+VLOOKUP($B113,$A$42:$I$47,9,FALSE))*(I113),0)</f>
        <v>0.13067585316624014</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9"/>
        <v>Cumulative</v>
      </c>
      <c r="K114" s="106" t="str">
        <f t="shared" si="70"/>
        <v>Yes</v>
      </c>
      <c r="M114" s="103"/>
      <c r="N114" s="285">
        <f t="shared" ref="N114:N118" ca="1" si="71">IF($B114&lt;&gt;0,(+VLOOKUP($B114,$A$8:$I$13,3,FALSE)+VLOOKUP($B114,$A$42:$I$47,3,FALSE))*(C114),0)</f>
        <v>0</v>
      </c>
      <c r="O114" s="285">
        <f t="shared" ref="O114:O118" ca="1" si="72">IF($B114&lt;&gt;0,(+VLOOKUP($B114,$A$8:$I$13,4,FALSE)+VLOOKUP($B114,$A$42:$I$47,4,FALSE))*(D114),0)</f>
        <v>0</v>
      </c>
      <c r="P114" s="285">
        <f t="shared" ref="P114:P118" ca="1" si="73">IF($B114&lt;&gt;0,(+VLOOKUP($B114,$A$8:$I$13,5,FALSE)+VLOOKUP($B114,$A$42:$I$47,5,FALSE))*(E114),0)</f>
        <v>0</v>
      </c>
      <c r="Q114" s="285">
        <f t="shared" ref="Q114:Q118" ca="1" si="74">IF($B114&lt;&gt;0,(+VLOOKUP($B114,$A$8:$I$13,6,FALSE)+VLOOKUP($B114,$A$42:$I$47,6,FALSE))*(F114),0)</f>
        <v>0</v>
      </c>
      <c r="R114" s="285">
        <f t="shared" ref="R114:R118" ca="1" si="75">IF($B114&lt;&gt;0,(+VLOOKUP($B114,$A$8:$I$13,7,FALSE)+VLOOKUP($B114,$A$42:$I$47,7,FALSE))*(G114),0)</f>
        <v>0</v>
      </c>
      <c r="S114" s="285">
        <f t="shared" ref="S114:S118" ca="1" si="76">IF($B114&lt;&gt;0,(+VLOOKUP($B114,$A$8:$I$13,8,FALSE)+VLOOKUP($B114,$A$42:$I$47,8,FALSE))*(H114),0)</f>
        <v>0</v>
      </c>
      <c r="T114" s="285">
        <f t="shared" ref="T114:T118" ca="1" si="77">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9"/>
        <v>Cumulative</v>
      </c>
      <c r="K115" s="106" t="str">
        <f t="shared" si="70"/>
        <v>Yes</v>
      </c>
      <c r="M115" s="103"/>
      <c r="N115" s="285">
        <f t="shared" ca="1" si="71"/>
        <v>0</v>
      </c>
      <c r="O115" s="285">
        <f ca="1">IF($B115&lt;&gt;0,(+VLOOKUP($B115,$A$8:$I$13,4,FALSE)+VLOOKUP($B115,$A$42:$I$47,4,FALSE))*(D115),0)</f>
        <v>0</v>
      </c>
      <c r="P115" s="285">
        <f t="shared" ca="1" si="73"/>
        <v>0</v>
      </c>
      <c r="Q115" s="285">
        <f t="shared" ca="1" si="74"/>
        <v>0</v>
      </c>
      <c r="R115" s="285">
        <f t="shared" ca="1" si="75"/>
        <v>0</v>
      </c>
      <c r="S115" s="285">
        <f t="shared" ca="1" si="76"/>
        <v>0</v>
      </c>
      <c r="T115" s="285">
        <f t="shared" ca="1" si="77"/>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9"/>
        <v>Cumulative</v>
      </c>
      <c r="K116" s="106" t="str">
        <f t="shared" si="70"/>
        <v>Yes</v>
      </c>
      <c r="M116" s="103"/>
      <c r="N116" s="285">
        <f t="shared" ca="1" si="71"/>
        <v>0</v>
      </c>
      <c r="O116" s="285">
        <f t="shared" ca="1" si="72"/>
        <v>0</v>
      </c>
      <c r="P116" s="285">
        <f t="shared" ca="1" si="73"/>
        <v>4.2799331733209389E-3</v>
      </c>
      <c r="Q116" s="285">
        <f t="shared" ca="1" si="74"/>
        <v>8.6647430667684995E-3</v>
      </c>
      <c r="R116" s="285">
        <f t="shared" ca="1" si="75"/>
        <v>1.6678885575402005E-2</v>
      </c>
      <c r="S116" s="285">
        <f t="shared" ca="1" si="76"/>
        <v>2.6281988450012068E-2</v>
      </c>
      <c r="T116" s="285">
        <f t="shared" ca="1" si="77"/>
        <v>3.7978136754308153E-2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9"/>
        <v>Cumulative</v>
      </c>
      <c r="K117" s="106" t="str">
        <f t="shared" si="70"/>
        <v>Yes</v>
      </c>
      <c r="M117" s="103"/>
      <c r="N117" s="285">
        <f t="shared" ca="1" si="71"/>
        <v>0</v>
      </c>
      <c r="O117" s="285">
        <f t="shared" ca="1" si="72"/>
        <v>0</v>
      </c>
      <c r="P117" s="285">
        <f t="shared" ca="1" si="73"/>
        <v>0</v>
      </c>
      <c r="Q117" s="285">
        <f t="shared" ca="1" si="74"/>
        <v>0</v>
      </c>
      <c r="R117" s="285">
        <f t="shared" ca="1" si="75"/>
        <v>0</v>
      </c>
      <c r="S117" s="285">
        <f t="shared" ca="1" si="76"/>
        <v>0</v>
      </c>
      <c r="T117" s="285">
        <f t="shared" ca="1" si="77"/>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9"/>
        <v>Cumulative</v>
      </c>
      <c r="K118" s="106" t="str">
        <f t="shared" si="70"/>
        <v>Yes</v>
      </c>
      <c r="M118" s="103"/>
      <c r="N118" s="285">
        <f t="shared" ca="1" si="71"/>
        <v>0</v>
      </c>
      <c r="O118" s="285">
        <f t="shared" ca="1" si="72"/>
        <v>0</v>
      </c>
      <c r="P118" s="285">
        <f t="shared" ca="1" si="73"/>
        <v>0</v>
      </c>
      <c r="Q118" s="285">
        <f t="shared" ca="1" si="74"/>
        <v>0</v>
      </c>
      <c r="R118" s="285">
        <f t="shared" ca="1" si="75"/>
        <v>0</v>
      </c>
      <c r="S118" s="285">
        <f t="shared" ca="1" si="76"/>
        <v>0</v>
      </c>
      <c r="T118" s="285">
        <f t="shared" ca="1" si="77"/>
        <v>0</v>
      </c>
    </row>
    <row r="119" spans="1:20" ht="11.25" customHeight="1" outlineLevel="1" thickBot="1">
      <c r="A119" s="214" t="s">
        <v>161</v>
      </c>
      <c r="B119" s="202"/>
      <c r="C119" s="202"/>
      <c r="D119" s="202"/>
      <c r="E119" s="202"/>
      <c r="F119" s="202"/>
      <c r="G119" s="202"/>
      <c r="H119" s="202"/>
      <c r="I119" s="203"/>
      <c r="J119" s="3"/>
      <c r="K119" s="3"/>
      <c r="L119" s="3"/>
      <c r="N119" s="292">
        <f t="shared" ref="N119:O119" ca="1" si="78">SUM(N113:N118)</f>
        <v>0</v>
      </c>
      <c r="O119" s="292">
        <f t="shared" ca="1" si="78"/>
        <v>0</v>
      </c>
      <c r="P119" s="292">
        <f ca="1">SUM(P113:P118)</f>
        <v>2.7570304116638203E-2</v>
      </c>
      <c r="Q119" s="292">
        <f t="shared" ref="Q119:T119" ca="1" si="79">SUM(Q113:Q118)</f>
        <v>5.6203239862158194E-2</v>
      </c>
      <c r="R119" s="292">
        <f t="shared" ca="1" si="79"/>
        <v>9.0798085293339242E-2</v>
      </c>
      <c r="S119" s="292">
        <f t="shared" ca="1" si="79"/>
        <v>0.12815257343654041</v>
      </c>
      <c r="T119" s="292">
        <f t="shared" ca="1" si="79"/>
        <v>0.16865398992054831</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80">ROUND(O119-D140,3)</f>
        <v>0</v>
      </c>
      <c r="P120" s="412">
        <f t="shared" ca="1" si="80"/>
        <v>0</v>
      </c>
      <c r="Q120" s="412">
        <f t="shared" ca="1" si="80"/>
        <v>0</v>
      </c>
      <c r="R120" s="412">
        <f t="shared" ca="1" si="80"/>
        <v>0</v>
      </c>
      <c r="S120" s="412">
        <f t="shared" ca="1" si="80"/>
        <v>0</v>
      </c>
      <c r="T120" s="413">
        <f t="shared" ca="1" si="80"/>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c r="N122" s="285"/>
      <c r="O122" s="285"/>
      <c r="P122" s="285"/>
      <c r="Q122" s="285"/>
      <c r="R122" s="285"/>
      <c r="S122" s="285"/>
      <c r="T122" s="285"/>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c r="N123" s="285"/>
      <c r="O123" s="285"/>
      <c r="P123" s="285"/>
      <c r="Q123" s="285"/>
      <c r="R123" s="285"/>
      <c r="S123" s="285"/>
      <c r="T123" s="285"/>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c r="N124" s="285"/>
      <c r="O124" s="285"/>
      <c r="P124" s="285"/>
      <c r="Q124" s="285"/>
      <c r="R124" s="285"/>
      <c r="S124" s="285"/>
      <c r="T124" s="285"/>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c r="N125" s="285"/>
      <c r="O125" s="285"/>
      <c r="P125" s="285"/>
      <c r="Q125" s="285"/>
      <c r="R125" s="285"/>
      <c r="S125" s="285"/>
      <c r="T125" s="285"/>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c r="N126" s="285"/>
      <c r="O126" s="285"/>
      <c r="P126" s="285"/>
      <c r="Q126" s="285"/>
      <c r="R126" s="285"/>
      <c r="S126" s="285"/>
      <c r="T126" s="285"/>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c r="N127" s="285"/>
      <c r="O127" s="285"/>
      <c r="P127" s="285"/>
      <c r="Q127" s="285"/>
      <c r="R127" s="285"/>
      <c r="S127" s="285"/>
      <c r="T127" s="285"/>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20"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285"/>
      <c r="O129" s="285"/>
      <c r="P129" s="285"/>
      <c r="Q129" s="285"/>
      <c r="R129" s="285"/>
      <c r="S129" s="285"/>
      <c r="T129" s="285"/>
    </row>
    <row r="130" spans="1:20" ht="13.5" outlineLevel="1" thickBot="1">
      <c r="A130" s="116" t="s">
        <v>140</v>
      </c>
      <c r="B130" s="117"/>
      <c r="C130" s="125">
        <f t="shared" ref="C130:I130" si="81">ROUND(+C128-C129,4)</f>
        <v>0</v>
      </c>
      <c r="D130" s="125">
        <f t="shared" si="81"/>
        <v>0</v>
      </c>
      <c r="E130" s="125">
        <f t="shared" si="81"/>
        <v>0</v>
      </c>
      <c r="F130" s="125">
        <f t="shared" si="81"/>
        <v>0</v>
      </c>
      <c r="G130" s="125">
        <f t="shared" si="81"/>
        <v>0</v>
      </c>
      <c r="H130" s="125">
        <f t="shared" si="81"/>
        <v>0</v>
      </c>
      <c r="I130" s="125">
        <f t="shared" si="81"/>
        <v>0</v>
      </c>
      <c r="J130" s="118" t="str">
        <f>IF(SUM(C130:I130)&lt;&gt;0,"Warning Check Escalations","OK")</f>
        <v>OK</v>
      </c>
      <c r="N130" s="285"/>
      <c r="O130" s="285"/>
      <c r="P130" s="285"/>
      <c r="Q130" s="285"/>
      <c r="R130" s="285"/>
      <c r="S130" s="285"/>
      <c r="T130" s="285"/>
    </row>
    <row r="131" spans="1:20" outlineLevel="1">
      <c r="B131" s="42"/>
      <c r="C131" s="42"/>
      <c r="D131" s="42"/>
      <c r="E131" s="42"/>
      <c r="F131" s="42"/>
      <c r="G131" s="42"/>
      <c r="H131" s="42"/>
      <c r="I131" s="78"/>
      <c r="N131" s="285"/>
      <c r="O131" s="285"/>
      <c r="P131" s="285"/>
      <c r="Q131" s="285"/>
      <c r="R131" s="285"/>
      <c r="S131" s="285"/>
      <c r="T131" s="285"/>
    </row>
    <row r="132" spans="1:20" ht="13.5" outlineLevel="1" thickBot="1">
      <c r="A132" s="208" t="s">
        <v>147</v>
      </c>
      <c r="B132" s="209"/>
      <c r="C132" s="209"/>
      <c r="D132" s="209"/>
      <c r="E132" s="209"/>
      <c r="F132" s="209"/>
      <c r="G132" s="209"/>
      <c r="H132" s="209"/>
      <c r="I132" s="210"/>
      <c r="N132" s="285"/>
      <c r="O132" s="285"/>
      <c r="P132" s="285"/>
      <c r="Q132" s="285"/>
      <c r="R132" s="285"/>
      <c r="S132" s="285"/>
      <c r="T132" s="285"/>
    </row>
    <row r="133" spans="1:20"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20" outlineLevel="1">
      <c r="A134" s="61" t="s">
        <v>68</v>
      </c>
      <c r="B134" s="119"/>
      <c r="C134" s="285">
        <f ca="1">(+C8+C42)*(C$122)</f>
        <v>0</v>
      </c>
      <c r="D134" s="285">
        <f ca="1">(+D8+D42)*(D$122)</f>
        <v>0</v>
      </c>
      <c r="E134" s="285">
        <f ca="1">(+E8+E42)*(E$122)</f>
        <v>2.3290370943317266E-2</v>
      </c>
      <c r="F134" s="285">
        <f t="shared" ref="F134:I134" ca="1" si="82">(+F8+F42)*(F$122)</f>
        <v>4.7538496795389691E-2</v>
      </c>
      <c r="G134" s="285">
        <f t="shared" ca="1" si="82"/>
        <v>7.4119199717937234E-2</v>
      </c>
      <c r="H134" s="285">
        <f t="shared" ca="1" si="82"/>
        <v>0.10187058498652835</v>
      </c>
      <c r="I134" s="285">
        <f t="shared" ca="1" si="82"/>
        <v>0.13067585316624014</v>
      </c>
    </row>
    <row r="135" spans="1:20" outlineLevel="1">
      <c r="A135" s="61" t="s">
        <v>69</v>
      </c>
      <c r="B135" s="119"/>
      <c r="C135" s="285">
        <f ca="1">(+C9+C43)*(C$123)</f>
        <v>0</v>
      </c>
      <c r="D135" s="285">
        <f t="shared" ref="D135:I135" ca="1" si="83">(+D9+D43)*(D$123)</f>
        <v>0</v>
      </c>
      <c r="E135" s="285">
        <f t="shared" ca="1" si="83"/>
        <v>0</v>
      </c>
      <c r="F135" s="285">
        <f t="shared" ca="1" si="83"/>
        <v>0</v>
      </c>
      <c r="G135" s="285">
        <f t="shared" ca="1" si="83"/>
        <v>0</v>
      </c>
      <c r="H135" s="285">
        <f t="shared" ca="1" si="83"/>
        <v>0</v>
      </c>
      <c r="I135" s="285">
        <f t="shared" ca="1" si="83"/>
        <v>0</v>
      </c>
    </row>
    <row r="136" spans="1:20" s="759" customFormat="1" outlineLevel="1">
      <c r="A136" s="61" t="s">
        <v>646</v>
      </c>
      <c r="B136" s="119"/>
      <c r="C136" s="285">
        <f ca="1">(+C10+C44)*(C$124)</f>
        <v>0</v>
      </c>
      <c r="D136" s="285">
        <f t="shared" ref="D136:I136" ca="1" si="84">(+D10+D44)*(D$124)</f>
        <v>0</v>
      </c>
      <c r="E136" s="285">
        <f t="shared" ca="1" si="84"/>
        <v>0</v>
      </c>
      <c r="F136" s="285">
        <f t="shared" ca="1" si="84"/>
        <v>0</v>
      </c>
      <c r="G136" s="285">
        <f t="shared" ca="1" si="84"/>
        <v>0</v>
      </c>
      <c r="H136" s="285">
        <f t="shared" ca="1" si="84"/>
        <v>0</v>
      </c>
      <c r="I136" s="285">
        <f t="shared" ca="1" si="84"/>
        <v>0</v>
      </c>
    </row>
    <row r="137" spans="1:20" outlineLevel="1">
      <c r="A137" s="61" t="s">
        <v>647</v>
      </c>
      <c r="B137" s="119"/>
      <c r="C137" s="285">
        <f ca="1">(+C11+C45)*(C$125)</f>
        <v>0</v>
      </c>
      <c r="D137" s="285">
        <f t="shared" ref="D137:I137" ca="1" si="85">(+D11+D45)*(D$125)</f>
        <v>0</v>
      </c>
      <c r="E137" s="285">
        <f t="shared" ca="1" si="85"/>
        <v>4.2799331733209389E-3</v>
      </c>
      <c r="F137" s="285">
        <f t="shared" ca="1" si="85"/>
        <v>8.6647430667684995E-3</v>
      </c>
      <c r="G137" s="285">
        <f t="shared" ca="1" si="85"/>
        <v>1.6678885575402005E-2</v>
      </c>
      <c r="H137" s="285">
        <f t="shared" ca="1" si="85"/>
        <v>2.6281988450012068E-2</v>
      </c>
      <c r="I137" s="285">
        <f t="shared" ca="1" si="85"/>
        <v>3.7978136754308153E-2</v>
      </c>
    </row>
    <row r="138" spans="1:20" s="759" customFormat="1" outlineLevel="1">
      <c r="A138" s="61" t="s">
        <v>575</v>
      </c>
      <c r="B138" s="119"/>
      <c r="C138" s="285">
        <f ca="1">(+C12+C46)*(C$126)</f>
        <v>0</v>
      </c>
      <c r="D138" s="285">
        <f t="shared" ref="D138:I138" ca="1" si="86">(+D12+D46)*(D$126)</f>
        <v>0</v>
      </c>
      <c r="E138" s="285">
        <f t="shared" ca="1" si="86"/>
        <v>0</v>
      </c>
      <c r="F138" s="285">
        <f t="shared" ca="1" si="86"/>
        <v>0</v>
      </c>
      <c r="G138" s="285">
        <f t="shared" ca="1" si="86"/>
        <v>0</v>
      </c>
      <c r="H138" s="285">
        <f t="shared" ca="1" si="86"/>
        <v>0</v>
      </c>
      <c r="I138" s="285">
        <f t="shared" ca="1" si="86"/>
        <v>0</v>
      </c>
    </row>
    <row r="139" spans="1:20" outlineLevel="1">
      <c r="A139" s="83" t="s">
        <v>70</v>
      </c>
      <c r="B139" s="119"/>
      <c r="C139" s="285">
        <f ca="1">(+C13+C47)*(C$127)</f>
        <v>0</v>
      </c>
      <c r="D139" s="285">
        <f t="shared" ref="D139:I139" ca="1" si="87">(+D13+D47)*(D$127)</f>
        <v>0</v>
      </c>
      <c r="E139" s="285">
        <f t="shared" ca="1" si="87"/>
        <v>0</v>
      </c>
      <c r="F139" s="285">
        <f t="shared" ca="1" si="87"/>
        <v>0</v>
      </c>
      <c r="G139" s="285">
        <f t="shared" ca="1" si="87"/>
        <v>0</v>
      </c>
      <c r="H139" s="285">
        <f t="shared" ca="1" si="87"/>
        <v>0</v>
      </c>
      <c r="I139" s="285">
        <f t="shared" ca="1" si="87"/>
        <v>0</v>
      </c>
    </row>
    <row r="140" spans="1:20" outlineLevel="1">
      <c r="A140" s="120" t="s">
        <v>147</v>
      </c>
      <c r="B140" s="121"/>
      <c r="C140" s="296">
        <f t="shared" ref="C140:I140" ca="1" si="88">SUM(C134:C139)</f>
        <v>0</v>
      </c>
      <c r="D140" s="296">
        <f t="shared" ca="1" si="88"/>
        <v>0</v>
      </c>
      <c r="E140" s="296">
        <f t="shared" ca="1" si="88"/>
        <v>2.7570304116638203E-2</v>
      </c>
      <c r="F140" s="296">
        <f t="shared" ca="1" si="88"/>
        <v>5.6203239862158194E-2</v>
      </c>
      <c r="G140" s="296">
        <f t="shared" ca="1" si="88"/>
        <v>9.0798085293339242E-2</v>
      </c>
      <c r="H140" s="296">
        <f t="shared" ca="1" si="88"/>
        <v>0.12815257343654041</v>
      </c>
      <c r="I140" s="296">
        <f t="shared" ca="1" si="88"/>
        <v>0.16865398992054831</v>
      </c>
    </row>
    <row r="141" spans="1:20" ht="13.5" outlineLevel="1" thickBot="1">
      <c r="A141" s="122" t="s">
        <v>148</v>
      </c>
      <c r="B141" s="126"/>
      <c r="C141" s="124">
        <f t="shared" ref="C141:I141" ca="1" si="89">IF((+C36+C48)&lt;&gt;0,+C140/(+C36+C48),0)</f>
        <v>0</v>
      </c>
      <c r="D141" s="124">
        <f t="shared" ca="1" si="89"/>
        <v>0</v>
      </c>
      <c r="E141" s="124">
        <f t="shared" ca="1" si="89"/>
        <v>1.3372968323131668E-2</v>
      </c>
      <c r="F141" s="124">
        <f t="shared" ca="1" si="89"/>
        <v>2.6998726930046926E-2</v>
      </c>
      <c r="G141" s="124">
        <f t="shared" ca="1" si="89"/>
        <v>4.3205826610068214E-2</v>
      </c>
      <c r="H141" s="124">
        <f t="shared" ca="1" si="89"/>
        <v>6.0362995785231875E-2</v>
      </c>
      <c r="I141" s="124">
        <f t="shared" ca="1" si="89"/>
        <v>7.870973809796912E-2</v>
      </c>
    </row>
    <row r="142" spans="1:20" outlineLevel="1"/>
    <row r="143" spans="1:20">
      <c r="K143" s="127"/>
    </row>
    <row r="144" spans="1:20">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90">SUMIF($A$185:$A$196,$A149,C$185:C$196)</f>
        <v>0</v>
      </c>
      <c r="D149" s="285">
        <f t="shared" si="90"/>
        <v>0</v>
      </c>
      <c r="E149" s="285">
        <f t="shared" si="90"/>
        <v>0</v>
      </c>
      <c r="F149" s="285">
        <f t="shared" si="90"/>
        <v>0</v>
      </c>
      <c r="G149" s="285">
        <f t="shared" si="90"/>
        <v>0</v>
      </c>
      <c r="H149" s="285">
        <f t="shared" si="90"/>
        <v>0</v>
      </c>
      <c r="I149" s="285">
        <f t="shared" si="90"/>
        <v>0</v>
      </c>
      <c r="J149" s="63"/>
      <c r="K149" s="63"/>
      <c r="L149" s="63"/>
    </row>
    <row r="150" spans="1:13" outlineLevel="1">
      <c r="A150" s="61" t="s">
        <v>69</v>
      </c>
      <c r="B150" s="65"/>
      <c r="C150" s="285">
        <f t="shared" si="90"/>
        <v>0</v>
      </c>
      <c r="D150" s="285">
        <f t="shared" si="90"/>
        <v>0</v>
      </c>
      <c r="E150" s="285">
        <f t="shared" si="90"/>
        <v>0</v>
      </c>
      <c r="F150" s="285">
        <f t="shared" si="90"/>
        <v>0</v>
      </c>
      <c r="G150" s="285">
        <f t="shared" si="90"/>
        <v>0</v>
      </c>
      <c r="H150" s="285">
        <f t="shared" si="90"/>
        <v>0</v>
      </c>
      <c r="I150" s="285">
        <f t="shared" si="90"/>
        <v>0</v>
      </c>
      <c r="J150" s="42"/>
      <c r="K150" s="21"/>
      <c r="L150" s="21"/>
    </row>
    <row r="151" spans="1:13" s="759" customFormat="1" outlineLevel="1">
      <c r="A151" s="61" t="s">
        <v>646</v>
      </c>
      <c r="B151" s="65"/>
      <c r="C151" s="285">
        <f t="shared" si="90"/>
        <v>0</v>
      </c>
      <c r="D151" s="285">
        <f t="shared" si="90"/>
        <v>0</v>
      </c>
      <c r="E151" s="285">
        <f t="shared" si="90"/>
        <v>0</v>
      </c>
      <c r="F151" s="285">
        <f t="shared" si="90"/>
        <v>0</v>
      </c>
      <c r="G151" s="285">
        <f t="shared" si="90"/>
        <v>0</v>
      </c>
      <c r="H151" s="285">
        <f t="shared" si="90"/>
        <v>0</v>
      </c>
      <c r="I151" s="285">
        <f t="shared" si="90"/>
        <v>0</v>
      </c>
      <c r="J151" s="42"/>
      <c r="K151" s="732"/>
      <c r="L151" s="732"/>
    </row>
    <row r="152" spans="1:13" outlineLevel="1">
      <c r="A152" s="61" t="s">
        <v>647</v>
      </c>
      <c r="B152" s="65"/>
      <c r="C152" s="285">
        <f t="shared" si="90"/>
        <v>0</v>
      </c>
      <c r="D152" s="285">
        <f t="shared" si="90"/>
        <v>0</v>
      </c>
      <c r="E152" s="285">
        <f t="shared" si="90"/>
        <v>0</v>
      </c>
      <c r="F152" s="285">
        <f t="shared" si="90"/>
        <v>0</v>
      </c>
      <c r="G152" s="285">
        <f t="shared" si="90"/>
        <v>0</v>
      </c>
      <c r="H152" s="285">
        <f t="shared" si="90"/>
        <v>0</v>
      </c>
      <c r="I152" s="285">
        <f t="shared" si="90"/>
        <v>0</v>
      </c>
      <c r="J152" s="42"/>
      <c r="K152" s="21"/>
      <c r="L152" s="21"/>
    </row>
    <row r="153" spans="1:13" s="759" customFormat="1" outlineLevel="1">
      <c r="A153" s="61" t="s">
        <v>575</v>
      </c>
      <c r="B153" s="65"/>
      <c r="C153" s="285">
        <f t="shared" si="90"/>
        <v>0</v>
      </c>
      <c r="D153" s="285">
        <f t="shared" si="90"/>
        <v>0</v>
      </c>
      <c r="E153" s="285">
        <f t="shared" si="90"/>
        <v>0</v>
      </c>
      <c r="F153" s="285">
        <f t="shared" si="90"/>
        <v>0</v>
      </c>
      <c r="G153" s="285">
        <f t="shared" si="90"/>
        <v>0</v>
      </c>
      <c r="H153" s="285">
        <f t="shared" si="90"/>
        <v>0</v>
      </c>
      <c r="I153" s="285">
        <f t="shared" si="90"/>
        <v>0</v>
      </c>
      <c r="J153" s="42"/>
      <c r="K153" s="732"/>
      <c r="L153" s="732"/>
    </row>
    <row r="154" spans="1:13" outlineLevel="1">
      <c r="A154" s="83" t="s">
        <v>70</v>
      </c>
      <c r="B154" s="65"/>
      <c r="C154" s="285">
        <f t="shared" si="90"/>
        <v>0</v>
      </c>
      <c r="D154" s="285">
        <f t="shared" si="90"/>
        <v>0</v>
      </c>
      <c r="E154" s="285">
        <f t="shared" si="90"/>
        <v>0</v>
      </c>
      <c r="F154" s="285">
        <f t="shared" si="90"/>
        <v>0</v>
      </c>
      <c r="G154" s="285">
        <f t="shared" si="90"/>
        <v>0</v>
      </c>
      <c r="H154" s="285">
        <f t="shared" si="90"/>
        <v>0</v>
      </c>
      <c r="I154" s="285">
        <f t="shared" si="90"/>
        <v>0</v>
      </c>
      <c r="J154" s="42"/>
      <c r="K154" s="21"/>
      <c r="L154" s="21"/>
    </row>
    <row r="155" spans="1:13" outlineLevel="1">
      <c r="A155" s="129" t="s">
        <v>150</v>
      </c>
      <c r="B155" s="130"/>
      <c r="C155" s="296">
        <f t="shared" ref="C155:I155" si="91">SUM(C149:C154)</f>
        <v>0</v>
      </c>
      <c r="D155" s="296">
        <f t="shared" si="91"/>
        <v>0</v>
      </c>
      <c r="E155" s="296">
        <f t="shared" si="91"/>
        <v>0</v>
      </c>
      <c r="F155" s="296">
        <f t="shared" si="91"/>
        <v>0</v>
      </c>
      <c r="G155" s="296">
        <f t="shared" si="91"/>
        <v>0</v>
      </c>
      <c r="H155" s="296">
        <f t="shared" si="91"/>
        <v>0</v>
      </c>
      <c r="I155" s="296">
        <f t="shared" si="91"/>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652" t="s">
        <v>327</v>
      </c>
      <c r="D158" s="209">
        <f>MAX(J178:J196)</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 ca="1" si="92">IF(ISNUMBER($J160),OFFSET($B$177,MATCH(+$J160,$J$178:$J$195,0),0),"")</f>
        <v>Step Change</v>
      </c>
      <c r="B160" s="285">
        <f t="shared" ref="B160:I169" ca="1" si="93">IF(ISNUMBER($J160),OFFSET(B$177,MATCH(+$J160,$J$178:$J$195,0)+13,0),"")</f>
        <v>0</v>
      </c>
      <c r="C160" s="285">
        <f t="shared" ca="1" si="93"/>
        <v>0</v>
      </c>
      <c r="D160" s="285">
        <f t="shared" ca="1" si="93"/>
        <v>0</v>
      </c>
      <c r="E160" s="285">
        <f t="shared" ca="1" si="93"/>
        <v>0</v>
      </c>
      <c r="F160" s="285">
        <f t="shared" ca="1" si="93"/>
        <v>0</v>
      </c>
      <c r="G160" s="285">
        <f t="shared" ca="1" si="93"/>
        <v>0</v>
      </c>
      <c r="H160" s="285">
        <f t="shared" ca="1" si="93"/>
        <v>0</v>
      </c>
      <c r="I160" s="285">
        <f t="shared" ca="1" si="93"/>
        <v>0</v>
      </c>
      <c r="J160" s="378">
        <f>IF($D$158&gt;0,1,"")</f>
        <v>1</v>
      </c>
      <c r="K160" s="66" t="str">
        <f t="shared" ref="K160:K169" ca="1" si="94">IF(ISNUMBER($J160),OFFSET($B$177,MATCH(+$J160,$J$178:$J$196,0)+1,0),"")</f>
        <v>Proposal Step Change</v>
      </c>
      <c r="L160" s="66" t="str">
        <f t="shared" ref="L160:L169" ca="1" si="95">IF(ISNUMBER($J160),OFFSET($B$177,MATCH(+$J160,$J$178:$J$196,0)+2,0),"")</f>
        <v>Refer Opex Workings</v>
      </c>
      <c r="M160" s="66" t="str">
        <f t="shared" ref="M160:M169" ca="1" si="96">IF(ISNUMBER($J160),OFFSET($B$177,MATCH(+$J160,$J$178:$J$196,0)+3,0),"")</f>
        <v>Proposal, October 2014</v>
      </c>
    </row>
    <row r="161" spans="1:13" outlineLevel="1">
      <c r="A161" s="66" t="str">
        <f t="shared" ref="A161:A169" ca="1" si="97">IF(ISNUMBER($J161),OFFSET($B$177,MATCH(+$J161,$J$178:$J$196,0),0),"")</f>
        <v/>
      </c>
      <c r="B161" s="285" t="str">
        <f t="shared" ca="1" si="93"/>
        <v/>
      </c>
      <c r="C161" s="285" t="str">
        <f t="shared" ca="1" si="93"/>
        <v/>
      </c>
      <c r="D161" s="285" t="str">
        <f t="shared" ca="1" si="93"/>
        <v/>
      </c>
      <c r="E161" s="285" t="str">
        <f t="shared" ca="1" si="93"/>
        <v/>
      </c>
      <c r="F161" s="285" t="str">
        <f t="shared" ca="1" si="93"/>
        <v/>
      </c>
      <c r="G161" s="285" t="str">
        <f t="shared" ca="1" si="93"/>
        <v/>
      </c>
      <c r="H161" s="285" t="str">
        <f t="shared" ca="1" si="93"/>
        <v/>
      </c>
      <c r="I161" s="285" t="str">
        <f t="shared" ca="1" si="93"/>
        <v/>
      </c>
      <c r="J161" s="378" t="str">
        <f>IF(J160&lt;$D$158,J160+1,"")</f>
        <v/>
      </c>
      <c r="K161" s="66" t="str">
        <f t="shared" ca="1" si="94"/>
        <v/>
      </c>
      <c r="L161" s="66" t="str">
        <f t="shared" ca="1" si="95"/>
        <v/>
      </c>
      <c r="M161" s="66" t="str">
        <f t="shared" ca="1" si="96"/>
        <v/>
      </c>
    </row>
    <row r="162" spans="1:13" outlineLevel="1">
      <c r="A162" s="66" t="str">
        <f t="shared" ca="1" si="97"/>
        <v/>
      </c>
      <c r="B162" s="285" t="str">
        <f t="shared" ca="1" si="93"/>
        <v/>
      </c>
      <c r="C162" s="285" t="str">
        <f t="shared" ca="1" si="93"/>
        <v/>
      </c>
      <c r="D162" s="285" t="str">
        <f t="shared" ca="1" si="93"/>
        <v/>
      </c>
      <c r="E162" s="285" t="str">
        <f t="shared" ca="1" si="93"/>
        <v/>
      </c>
      <c r="F162" s="285" t="str">
        <f t="shared" ca="1" si="93"/>
        <v/>
      </c>
      <c r="G162" s="285" t="str">
        <f t="shared" ca="1" si="93"/>
        <v/>
      </c>
      <c r="H162" s="285" t="str">
        <f t="shared" ca="1" si="93"/>
        <v/>
      </c>
      <c r="I162" s="285" t="str">
        <f t="shared" ca="1" si="93"/>
        <v/>
      </c>
      <c r="J162" s="378" t="str">
        <f t="shared" ref="J162:J169" si="98">IF(J161&lt;$D$158,J161+1,"")</f>
        <v/>
      </c>
      <c r="K162" s="66" t="str">
        <f t="shared" ca="1" si="94"/>
        <v/>
      </c>
      <c r="L162" s="66" t="str">
        <f t="shared" ca="1" si="95"/>
        <v/>
      </c>
      <c r="M162" s="66" t="str">
        <f t="shared" ca="1" si="96"/>
        <v/>
      </c>
    </row>
    <row r="163" spans="1:13" outlineLevel="1">
      <c r="A163" s="66" t="str">
        <f t="shared" ca="1" si="97"/>
        <v/>
      </c>
      <c r="B163" s="285" t="str">
        <f t="shared" ca="1" si="93"/>
        <v/>
      </c>
      <c r="C163" s="285" t="str">
        <f t="shared" ca="1" si="93"/>
        <v/>
      </c>
      <c r="D163" s="285" t="str">
        <f t="shared" ca="1" si="93"/>
        <v/>
      </c>
      <c r="E163" s="285" t="str">
        <f t="shared" ca="1" si="93"/>
        <v/>
      </c>
      <c r="F163" s="285" t="str">
        <f t="shared" ca="1" si="93"/>
        <v/>
      </c>
      <c r="G163" s="285" t="str">
        <f t="shared" ca="1" si="93"/>
        <v/>
      </c>
      <c r="H163" s="285" t="str">
        <f t="shared" ca="1" si="93"/>
        <v/>
      </c>
      <c r="I163" s="285" t="str">
        <f t="shared" ca="1" si="93"/>
        <v/>
      </c>
      <c r="J163" s="378" t="str">
        <f t="shared" si="98"/>
        <v/>
      </c>
      <c r="K163" s="66" t="str">
        <f t="shared" ca="1" si="94"/>
        <v/>
      </c>
      <c r="L163" s="66" t="str">
        <f t="shared" ca="1" si="95"/>
        <v/>
      </c>
      <c r="M163" s="66" t="str">
        <f t="shared" ca="1" si="96"/>
        <v/>
      </c>
    </row>
    <row r="164" spans="1:13" outlineLevel="1">
      <c r="A164" s="66" t="str">
        <f t="shared" ca="1" si="97"/>
        <v/>
      </c>
      <c r="B164" s="285" t="str">
        <f t="shared" ca="1" si="93"/>
        <v/>
      </c>
      <c r="C164" s="285" t="str">
        <f t="shared" ca="1" si="93"/>
        <v/>
      </c>
      <c r="D164" s="285" t="str">
        <f t="shared" ca="1" si="93"/>
        <v/>
      </c>
      <c r="E164" s="285" t="str">
        <f t="shared" ca="1" si="93"/>
        <v/>
      </c>
      <c r="F164" s="285" t="str">
        <f t="shared" ca="1" si="93"/>
        <v/>
      </c>
      <c r="G164" s="285" t="str">
        <f t="shared" ca="1" si="93"/>
        <v/>
      </c>
      <c r="H164" s="285" t="str">
        <f t="shared" ca="1" si="93"/>
        <v/>
      </c>
      <c r="I164" s="285" t="str">
        <f t="shared" ca="1" si="93"/>
        <v/>
      </c>
      <c r="J164" s="378" t="str">
        <f t="shared" si="98"/>
        <v/>
      </c>
      <c r="K164" s="66" t="str">
        <f t="shared" ca="1" si="94"/>
        <v/>
      </c>
      <c r="L164" s="66" t="str">
        <f t="shared" ca="1" si="95"/>
        <v/>
      </c>
      <c r="M164" s="66" t="str">
        <f t="shared" ca="1" si="96"/>
        <v/>
      </c>
    </row>
    <row r="165" spans="1:13" outlineLevel="1">
      <c r="A165" s="66" t="str">
        <f t="shared" ca="1" si="97"/>
        <v/>
      </c>
      <c r="B165" s="285" t="str">
        <f t="shared" ca="1" si="93"/>
        <v/>
      </c>
      <c r="C165" s="285" t="str">
        <f t="shared" ca="1" si="93"/>
        <v/>
      </c>
      <c r="D165" s="285" t="str">
        <f t="shared" ca="1" si="93"/>
        <v/>
      </c>
      <c r="E165" s="285" t="str">
        <f t="shared" ca="1" si="93"/>
        <v/>
      </c>
      <c r="F165" s="285" t="str">
        <f t="shared" ca="1" si="93"/>
        <v/>
      </c>
      <c r="G165" s="285" t="str">
        <f t="shared" ca="1" si="93"/>
        <v/>
      </c>
      <c r="H165" s="285" t="str">
        <f t="shared" ca="1" si="93"/>
        <v/>
      </c>
      <c r="I165" s="285" t="str">
        <f t="shared" ca="1" si="93"/>
        <v/>
      </c>
      <c r="J165" s="378" t="str">
        <f t="shared" si="98"/>
        <v/>
      </c>
      <c r="K165" s="66" t="str">
        <f t="shared" ca="1" si="94"/>
        <v/>
      </c>
      <c r="L165" s="66" t="str">
        <f t="shared" ca="1" si="95"/>
        <v/>
      </c>
      <c r="M165" s="66" t="str">
        <f t="shared" ca="1" si="96"/>
        <v/>
      </c>
    </row>
    <row r="166" spans="1:13" outlineLevel="1">
      <c r="A166" s="66" t="str">
        <f t="shared" ca="1" si="97"/>
        <v/>
      </c>
      <c r="B166" s="285" t="str">
        <f t="shared" ca="1" si="93"/>
        <v/>
      </c>
      <c r="C166" s="285" t="str">
        <f t="shared" ca="1" si="93"/>
        <v/>
      </c>
      <c r="D166" s="285" t="str">
        <f t="shared" ca="1" si="93"/>
        <v/>
      </c>
      <c r="E166" s="285" t="str">
        <f t="shared" ca="1" si="93"/>
        <v/>
      </c>
      <c r="F166" s="285" t="str">
        <f t="shared" ca="1" si="93"/>
        <v/>
      </c>
      <c r="G166" s="285" t="str">
        <f t="shared" ca="1" si="93"/>
        <v/>
      </c>
      <c r="H166" s="285" t="str">
        <f t="shared" ca="1" si="93"/>
        <v/>
      </c>
      <c r="I166" s="285" t="str">
        <f t="shared" ca="1" si="93"/>
        <v/>
      </c>
      <c r="J166" s="378" t="str">
        <f t="shared" si="98"/>
        <v/>
      </c>
      <c r="K166" s="66" t="str">
        <f t="shared" ca="1" si="94"/>
        <v/>
      </c>
      <c r="L166" s="66" t="str">
        <f t="shared" ca="1" si="95"/>
        <v/>
      </c>
      <c r="M166" s="66" t="str">
        <f t="shared" ca="1" si="96"/>
        <v/>
      </c>
    </row>
    <row r="167" spans="1:13" outlineLevel="1">
      <c r="A167" s="66" t="str">
        <f t="shared" ca="1" si="97"/>
        <v/>
      </c>
      <c r="B167" s="285" t="str">
        <f t="shared" ca="1" si="93"/>
        <v/>
      </c>
      <c r="C167" s="285" t="str">
        <f t="shared" ca="1" si="93"/>
        <v/>
      </c>
      <c r="D167" s="285" t="str">
        <f t="shared" ca="1" si="93"/>
        <v/>
      </c>
      <c r="E167" s="285" t="str">
        <f t="shared" ca="1" si="93"/>
        <v/>
      </c>
      <c r="F167" s="285" t="str">
        <f t="shared" ca="1" si="93"/>
        <v/>
      </c>
      <c r="G167" s="285" t="str">
        <f t="shared" ca="1" si="93"/>
        <v/>
      </c>
      <c r="H167" s="285" t="str">
        <f t="shared" ca="1" si="93"/>
        <v/>
      </c>
      <c r="I167" s="285" t="str">
        <f t="shared" ca="1" si="93"/>
        <v/>
      </c>
      <c r="J167" s="378" t="str">
        <f t="shared" si="98"/>
        <v/>
      </c>
      <c r="K167" s="66" t="str">
        <f t="shared" ca="1" si="94"/>
        <v/>
      </c>
      <c r="L167" s="66" t="str">
        <f t="shared" ca="1" si="95"/>
        <v/>
      </c>
      <c r="M167" s="66" t="str">
        <f t="shared" ca="1" si="96"/>
        <v/>
      </c>
    </row>
    <row r="168" spans="1:13" outlineLevel="1">
      <c r="A168" s="66" t="str">
        <f t="shared" ca="1" si="97"/>
        <v/>
      </c>
      <c r="B168" s="285" t="str">
        <f t="shared" ca="1" si="93"/>
        <v/>
      </c>
      <c r="C168" s="285" t="str">
        <f t="shared" ca="1" si="93"/>
        <v/>
      </c>
      <c r="D168" s="285" t="str">
        <f t="shared" ca="1" si="93"/>
        <v/>
      </c>
      <c r="E168" s="285" t="str">
        <f t="shared" ca="1" si="93"/>
        <v/>
      </c>
      <c r="F168" s="285" t="str">
        <f t="shared" ca="1" si="93"/>
        <v/>
      </c>
      <c r="G168" s="285" t="str">
        <f t="shared" ca="1" si="93"/>
        <v/>
      </c>
      <c r="H168" s="285" t="str">
        <f t="shared" ca="1" si="93"/>
        <v/>
      </c>
      <c r="I168" s="285" t="str">
        <f t="shared" ca="1" si="93"/>
        <v/>
      </c>
      <c r="J168" s="378" t="str">
        <f t="shared" si="98"/>
        <v/>
      </c>
      <c r="K168" s="66" t="str">
        <f t="shared" ca="1" si="94"/>
        <v/>
      </c>
      <c r="L168" s="66" t="str">
        <f t="shared" ca="1" si="95"/>
        <v/>
      </c>
      <c r="M168" s="66" t="str">
        <f t="shared" ca="1" si="96"/>
        <v/>
      </c>
    </row>
    <row r="169" spans="1:13" outlineLevel="1">
      <c r="A169" s="66" t="str">
        <f t="shared" ca="1" si="97"/>
        <v/>
      </c>
      <c r="B169" s="285" t="str">
        <f t="shared" ca="1" si="93"/>
        <v/>
      </c>
      <c r="C169" s="285" t="str">
        <f t="shared" ca="1" si="93"/>
        <v/>
      </c>
      <c r="D169" s="285" t="str">
        <f t="shared" ca="1" si="93"/>
        <v/>
      </c>
      <c r="E169" s="285" t="str">
        <f t="shared" ca="1" si="93"/>
        <v/>
      </c>
      <c r="F169" s="285" t="str">
        <f t="shared" ca="1" si="93"/>
        <v/>
      </c>
      <c r="G169" s="285" t="str">
        <f t="shared" ca="1" si="93"/>
        <v/>
      </c>
      <c r="H169" s="285" t="str">
        <f t="shared" ca="1" si="93"/>
        <v/>
      </c>
      <c r="I169" s="285" t="str">
        <f t="shared" ca="1" si="93"/>
        <v/>
      </c>
      <c r="J169" s="378" t="str">
        <f t="shared" si="98"/>
        <v/>
      </c>
      <c r="K169" s="66" t="str">
        <f t="shared" ca="1" si="94"/>
        <v/>
      </c>
      <c r="L169" s="66" t="str">
        <f t="shared" ca="1" si="95"/>
        <v/>
      </c>
      <c r="M169" s="66" t="str">
        <f t="shared" ca="1" si="96"/>
        <v/>
      </c>
    </row>
    <row r="170" spans="1:13">
      <c r="A170" s="129" t="s">
        <v>150</v>
      </c>
      <c r="B170" s="296">
        <f ca="1">SUM(B160:B169)</f>
        <v>0</v>
      </c>
      <c r="C170" s="296">
        <f t="shared" ref="C170:I170" ca="1" si="99">SUM(C160:C169)</f>
        <v>0</v>
      </c>
      <c r="D170" s="296">
        <f t="shared" ca="1" si="99"/>
        <v>0</v>
      </c>
      <c r="E170" s="296">
        <f t="shared" ca="1" si="99"/>
        <v>0</v>
      </c>
      <c r="F170" s="296">
        <f t="shared" ca="1" si="99"/>
        <v>0</v>
      </c>
      <c r="G170" s="296">
        <f t="shared" ca="1" si="99"/>
        <v>0</v>
      </c>
      <c r="H170" s="296">
        <f t="shared" ca="1" si="99"/>
        <v>0</v>
      </c>
      <c r="I170" s="296">
        <f t="shared" ca="1" si="99"/>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D178" s="48"/>
      <c r="E178" s="49"/>
      <c r="F178" s="42"/>
      <c r="G178" s="42"/>
      <c r="H178" s="42"/>
      <c r="J178" s="377">
        <v>1</v>
      </c>
    </row>
    <row r="179" spans="1:12" ht="20.25" customHeight="1" outlineLevel="1">
      <c r="A179" s="46" t="s">
        <v>117</v>
      </c>
      <c r="B179" s="47" t="s">
        <v>679</v>
      </c>
      <c r="J179" s="42"/>
    </row>
    <row r="180" spans="1:12" ht="16.5" customHeight="1" outlineLevel="1">
      <c r="A180" s="50" t="s">
        <v>259</v>
      </c>
      <c r="B180" s="47" t="s">
        <v>680</v>
      </c>
      <c r="C180" s="51"/>
      <c r="J180" s="42"/>
    </row>
    <row r="181" spans="1:12" outlineLevel="1">
      <c r="A181" s="54" t="s">
        <v>111</v>
      </c>
      <c r="B181" s="42" t="s">
        <v>678</v>
      </c>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(SEM)'!$N$7:$R$12</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100">SUM(C185:C190)</f>
        <v>0</v>
      </c>
      <c r="D191" s="296">
        <f t="shared" si="100"/>
        <v>0</v>
      </c>
      <c r="E191" s="296">
        <f t="shared" si="100"/>
        <v>0</v>
      </c>
      <c r="F191" s="296">
        <f t="shared" si="100"/>
        <v>0</v>
      </c>
      <c r="G191" s="296">
        <f t="shared" si="100"/>
        <v>0</v>
      </c>
      <c r="H191" s="296">
        <f t="shared" si="100"/>
        <v>0</v>
      </c>
      <c r="I191" s="296">
        <f t="shared" si="100"/>
        <v>0</v>
      </c>
      <c r="J191" s="133"/>
      <c r="K191" s="47"/>
      <c r="L191" s="47"/>
    </row>
    <row r="192" spans="1:12" outlineLevel="1">
      <c r="A192" s="134"/>
      <c r="B192" s="68"/>
      <c r="C192" s="68"/>
      <c r="D192" s="68"/>
      <c r="E192" s="68"/>
      <c r="F192" s="68"/>
      <c r="G192" s="68"/>
      <c r="H192" s="68"/>
      <c r="I192" s="69"/>
    </row>
    <row r="193" spans="1:9" outlineLevel="1"/>
    <row r="194" spans="1:9" outlineLevel="1"/>
    <row r="195" spans="1:9" s="705" customFormat="1" outlineLevel="1"/>
    <row r="196" spans="1:9" outlineLevel="1">
      <c r="A196" s="231" t="s">
        <v>260</v>
      </c>
      <c r="B196" s="232"/>
      <c r="C196" s="232"/>
      <c r="D196" s="232"/>
      <c r="E196" s="232"/>
      <c r="F196" s="232"/>
      <c r="G196" s="232"/>
      <c r="H196" s="232"/>
      <c r="I196" s="233"/>
    </row>
    <row r="197" spans="1:9" outlineLevel="1">
      <c r="A197" s="234"/>
      <c r="B197" s="42"/>
      <c r="C197" s="42"/>
      <c r="D197" s="42"/>
      <c r="E197" s="42"/>
      <c r="F197" s="42"/>
      <c r="G197" s="42"/>
      <c r="H197" s="42"/>
      <c r="I197" s="78"/>
    </row>
    <row r="198" spans="1:9">
      <c r="B198" s="55"/>
      <c r="C198" s="55"/>
      <c r="D198" s="55"/>
      <c r="E198" s="55"/>
      <c r="F198" s="55"/>
      <c r="G198" s="55"/>
      <c r="H198" s="55"/>
      <c r="I198" s="66"/>
    </row>
    <row r="199" spans="1:9">
      <c r="B199" s="68"/>
      <c r="C199" s="68"/>
      <c r="D199" s="68"/>
      <c r="E199" s="68"/>
      <c r="F199" s="68"/>
      <c r="G199" s="68"/>
      <c r="H199" s="68"/>
      <c r="I199" s="69"/>
    </row>
    <row r="200" spans="1:9">
      <c r="B200" s="55"/>
      <c r="C200" s="55"/>
      <c r="D200" s="55"/>
      <c r="E200" s="55"/>
      <c r="F200" s="55"/>
      <c r="G200" s="55"/>
      <c r="H200" s="55"/>
      <c r="I200" s="55"/>
    </row>
    <row r="201" spans="1:9" ht="18">
      <c r="A201" s="206" t="s">
        <v>155</v>
      </c>
      <c r="B201" s="211"/>
      <c r="C201" s="211"/>
      <c r="D201" s="211"/>
      <c r="E201" s="211"/>
      <c r="F201" s="211"/>
      <c r="G201" s="211"/>
      <c r="H201" s="211"/>
      <c r="I201" s="211"/>
    </row>
    <row r="202" spans="1:9" ht="6" customHeight="1" thickBot="1">
      <c r="A202" s="238"/>
      <c r="B202" s="238"/>
      <c r="C202" s="238"/>
      <c r="D202" s="238"/>
      <c r="E202" s="238"/>
      <c r="F202" s="238"/>
      <c r="G202" s="238"/>
      <c r="H202" s="238"/>
      <c r="I202" s="238"/>
    </row>
    <row r="203" spans="1:9" outlineLevel="1">
      <c r="A203" s="2" t="s">
        <v>261</v>
      </c>
      <c r="B203" s="135" t="str">
        <f t="array" ref="B203:H203">LU_TemplateYearHeader3</f>
        <v>2005/06</v>
      </c>
      <c r="C203" s="135" t="str">
        <v>2006/07</v>
      </c>
      <c r="D203" s="135" t="str">
        <v>2007/08</v>
      </c>
      <c r="E203" s="135" t="str">
        <v>2008/09</v>
      </c>
      <c r="F203" s="135" t="str">
        <v>2009/10</v>
      </c>
      <c r="G203" s="135" t="str">
        <v>2010/11</v>
      </c>
      <c r="H203" s="135" t="str">
        <v>2011/12</v>
      </c>
    </row>
    <row r="204" spans="1:9" ht="13.5" outlineLevel="1" thickBot="1">
      <c r="A204" s="238" t="s">
        <v>263</v>
      </c>
      <c r="B204" s="241">
        <f ca="1">OFFSET(List_AllocOpexStart,MATCH($K$1,'I-4 History'!$A$228:$A$598)+6,+'I-4 History'!E$5)</f>
        <v>0</v>
      </c>
      <c r="C204" s="241">
        <f ca="1">OFFSET(List_AllocOpexStart,MATCH($K$1,'I-4 History'!$A$228:$A$598)+6,+'I-4 History'!F$5)</f>
        <v>0</v>
      </c>
      <c r="D204" s="241">
        <f ca="1">OFFSET(List_AllocOpexStart,MATCH($K$1,'I-4 History'!$A$228:$A$598)+6,+'I-4 History'!G$5)</f>
        <v>0</v>
      </c>
      <c r="E204" s="241">
        <f ca="1">OFFSET(List_AllocOpexStart,MATCH($K$1,'I-4 History'!$A$228:$A$598)+6,+'I-4 History'!H$5)</f>
        <v>0</v>
      </c>
      <c r="F204" s="241">
        <f ca="1">OFFSET(List_AllocOpexStart,MATCH($K$1,'I-4 History'!$A$228:$A$598)+6,+'I-4 History'!I$5)</f>
        <v>0</v>
      </c>
      <c r="G204" s="241">
        <f ca="1">OFFSET(List_AllocOpexStart,MATCH($K$1,'I-4 History'!$A$228:$A$598)+6,+'I-4 History'!J$5)</f>
        <v>0</v>
      </c>
      <c r="H204" s="241">
        <f ca="1">OFFSET(List_AllocOpexStart,MATCH($K$1,'I-4 History'!$A$228:$A$598)+6,+'I-4 History'!K$5)</f>
        <v>0</v>
      </c>
    </row>
    <row r="205" spans="1:9" outlineLevel="1">
      <c r="A205" s="2" t="s">
        <v>264</v>
      </c>
      <c r="B205" s="653" t="str">
        <f t="array" ref="B205:I205">LU_TemplateYearHeader</f>
        <v>2012/13</v>
      </c>
      <c r="C205" s="653" t="str">
        <v>2013/14</v>
      </c>
      <c r="D205" s="653" t="str">
        <v>2014/15</v>
      </c>
      <c r="E205" s="653" t="str">
        <v>2015/16</v>
      </c>
      <c r="F205" s="653" t="str">
        <v>2016/17</v>
      </c>
      <c r="G205" s="653" t="str">
        <v>2017/18</v>
      </c>
      <c r="H205" s="653" t="str">
        <v>2018/19</v>
      </c>
      <c r="I205" s="653" t="str">
        <v>2019/20</v>
      </c>
    </row>
    <row r="206" spans="1:9" outlineLevel="1">
      <c r="A206" t="s">
        <v>71</v>
      </c>
      <c r="B206" s="82">
        <f t="shared" ref="B206:I206" ca="1" si="101">+B14</f>
        <v>0</v>
      </c>
      <c r="C206" s="82">
        <f t="shared" ca="1" si="101"/>
        <v>0</v>
      </c>
      <c r="D206" s="82">
        <f t="shared" ca="1" si="101"/>
        <v>2.04</v>
      </c>
      <c r="E206" s="82">
        <f t="shared" ca="1" si="101"/>
        <v>2.04</v>
      </c>
      <c r="F206" s="82">
        <f t="shared" ca="1" si="101"/>
        <v>2.04</v>
      </c>
      <c r="G206" s="82">
        <f t="shared" ca="1" si="101"/>
        <v>2.04</v>
      </c>
      <c r="H206" s="82">
        <f t="shared" ca="1" si="101"/>
        <v>2.04</v>
      </c>
      <c r="I206" s="82">
        <f t="shared" ca="1" si="101"/>
        <v>2.04</v>
      </c>
    </row>
    <row r="207" spans="1:9" outlineLevel="1">
      <c r="A207" t="s">
        <v>156</v>
      </c>
      <c r="B207" s="82">
        <f t="shared" ref="B207:I207" ca="1" si="102">+B36</f>
        <v>0</v>
      </c>
      <c r="C207" s="82">
        <f t="shared" ca="1" si="102"/>
        <v>0</v>
      </c>
      <c r="D207" s="82">
        <f t="shared" ca="1" si="102"/>
        <v>2.04</v>
      </c>
      <c r="E207" s="82">
        <f t="shared" ca="1" si="102"/>
        <v>2.04</v>
      </c>
      <c r="F207" s="82">
        <f t="shared" ca="1" si="102"/>
        <v>2.04</v>
      </c>
      <c r="G207" s="82">
        <f t="shared" ca="1" si="102"/>
        <v>2.04</v>
      </c>
      <c r="H207" s="82">
        <f t="shared" ca="1" si="102"/>
        <v>2.04</v>
      </c>
      <c r="I207" s="82">
        <f t="shared" ca="1" si="102"/>
        <v>2.04</v>
      </c>
    </row>
    <row r="208" spans="1:9" outlineLevel="1">
      <c r="A208" t="s">
        <v>157</v>
      </c>
      <c r="B208" s="82">
        <f t="shared" ref="B208:I208" ca="1" si="103">+B36+B48</f>
        <v>0</v>
      </c>
      <c r="C208" s="82">
        <f t="shared" ca="1" si="103"/>
        <v>0</v>
      </c>
      <c r="D208" s="82">
        <f t="shared" ca="1" si="103"/>
        <v>2.04</v>
      </c>
      <c r="E208" s="82">
        <f t="shared" ca="1" si="103"/>
        <v>2.0616443148937198</v>
      </c>
      <c r="F208" s="82">
        <f t="shared" ca="1" si="103"/>
        <v>2.0816996300521682</v>
      </c>
      <c r="G208" s="82">
        <f t="shared" ca="1" si="103"/>
        <v>2.1015240863874745</v>
      </c>
      <c r="H208" s="82">
        <f t="shared" ca="1" si="103"/>
        <v>2.1230320292998712</v>
      </c>
      <c r="I208" s="82">
        <f t="shared" ca="1" si="103"/>
        <v>2.1427334659737602</v>
      </c>
    </row>
    <row r="209" spans="1:9" outlineLevel="1">
      <c r="A209" t="s">
        <v>158</v>
      </c>
      <c r="B209" s="82">
        <f t="shared" ref="B209:I209" ca="1" si="104">+B70</f>
        <v>0</v>
      </c>
      <c r="C209" s="82">
        <f t="shared" ca="1" si="104"/>
        <v>0</v>
      </c>
      <c r="D209" s="82">
        <f t="shared" ca="1" si="104"/>
        <v>2.04</v>
      </c>
      <c r="E209" s="82">
        <f t="shared" ca="1" si="104"/>
        <v>2.0892146190103578</v>
      </c>
      <c r="F209" s="82">
        <f t="shared" ca="1" si="104"/>
        <v>2.1379028699143259</v>
      </c>
      <c r="G209" s="82">
        <f t="shared" ca="1" si="104"/>
        <v>2.192322171680813</v>
      </c>
      <c r="H209" s="82">
        <f t="shared" ca="1" si="104"/>
        <v>2.2511846027364117</v>
      </c>
      <c r="I209" s="82">
        <f t="shared" ca="1" si="104"/>
        <v>2.3113874558943088</v>
      </c>
    </row>
    <row r="210" spans="1:9" outlineLevel="1"/>
    <row r="211" spans="1:9" outlineLevel="1"/>
    <row r="212" spans="1:9" outlineLevel="1"/>
    <row r="213" spans="1:9" outlineLevel="1"/>
    <row r="214" spans="1:9" outlineLevel="1"/>
    <row r="215" spans="1:9" outlineLevel="1"/>
    <row r="216" spans="1:9" outlineLevel="1"/>
    <row r="217" spans="1:9" outlineLevel="1"/>
    <row r="218" spans="1:9" outlineLevel="1"/>
    <row r="219" spans="1:9" outlineLevel="1"/>
    <row r="220" spans="1:9" outlineLevel="1"/>
    <row r="221" spans="1:9" outlineLevel="1"/>
    <row r="222" spans="1:9" outlineLevel="1"/>
    <row r="223" spans="1:9" outlineLevel="1"/>
    <row r="224" spans="1:9"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row r="240"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80" priority="1" stopIfTrue="1" operator="notEqual">
      <formula>0</formula>
    </cfRule>
  </conditionalFormatting>
  <conditionalFormatting sqref="J130 J94 J70 J59 J48 J36:J37 J25 J14">
    <cfRule type="cellIs" dxfId="379" priority="2" stopIfTrue="1" operator="equal">
      <formula>"OK"</formula>
    </cfRule>
    <cfRule type="cellIs" dxfId="378" priority="3" stopIfTrue="1" operator="equal">
      <formula>"Warning Check Escalations"</formula>
    </cfRule>
  </conditionalFormatting>
  <conditionalFormatting sqref="N120:T120 N84:T84">
    <cfRule type="cellIs" dxfId="377" priority="4" stopIfTrue="1" operator="notEqual">
      <formula>0</formula>
    </cfRule>
    <cfRule type="cellIs" dxfId="37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allowBlank="1" showInputMessage="1" showErrorMessage="1" sqref="D5">
      <formula1>"2008/09 Regulatory Accounts, Bottom Up"</formula1>
    </dataValidation>
    <dataValidation type="list" showInputMessage="1" showErrorMessage="1" sqref="A113:A118">
      <formula1>EscalationDescription_General</formula1>
    </dataValidation>
    <dataValidation type="list" showInputMessage="1" showErrorMessage="1" sqref="B113:B118 B77:B82">
      <formula1>LU_CostCategory</formula1>
    </dataValidation>
  </dataValidations>
  <pageMargins left="0.46" right="0.28999999999999998" top="0.39" bottom="0.35" header="0.24" footer="0.2"/>
  <pageSetup paperSize="9" scale="74" fitToHeight="0" orientation="portrait" r:id="rId6"/>
  <headerFooter alignWithMargins="0">
    <oddFooter>&amp;L&amp;8&amp;F
&amp;A
Printed: &amp;T on &amp;D&amp;C&amp;8Page &amp;P of &amp;N</oddFooter>
  </headerFooter>
  <rowBreaks count="3" manualBreakCount="3">
    <brk id="71" max="8" man="1"/>
    <brk id="143" max="8" man="1"/>
    <brk id="199" max="8" man="1"/>
  </rowBreaks>
  <drawing r:id="rId7"/>
  <legacyDrawing r:id="rId8"/>
</worksheet>
</file>

<file path=xl/worksheets/sheet15.xml><?xml version="1.0" encoding="utf-8"?>
<worksheet xmlns="http://schemas.openxmlformats.org/spreadsheetml/2006/main" xmlns:r="http://schemas.openxmlformats.org/officeDocument/2006/relationships">
  <sheetPr codeName="Sheet56" enableFormatConditionsCalculation="0">
    <tabColor indexed="57"/>
    <pageSetUpPr fitToPage="1"/>
  </sheetPr>
  <dimension ref="A1:T239"/>
  <sheetViews>
    <sheetView showGridLines="0" topLeftCell="A6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v>
      </c>
      <c r="M1" s="282"/>
      <c r="N1" s="280"/>
      <c r="O1" s="280"/>
      <c r="P1" s="280"/>
      <c r="Q1" s="280"/>
      <c r="R1" s="280"/>
      <c r="S1" s="280"/>
      <c r="T1" s="280"/>
    </row>
    <row r="2" spans="1:20" ht="15.75">
      <c r="A2" s="184" t="s">
        <v>121</v>
      </c>
      <c r="B2" s="74" t="str">
        <f ca="1">OFFSET(List_AllocOpexListStart,+$K$1,1)</f>
        <v xml:space="preserve">Strategic Planning  </v>
      </c>
      <c r="F2" s="284"/>
      <c r="H2" s="42"/>
      <c r="I2" s="283"/>
      <c r="L2" s="282"/>
      <c r="M2" s="282"/>
    </row>
    <row r="3" spans="1:20" ht="16.5" thickBot="1">
      <c r="A3" s="184" t="s">
        <v>371</v>
      </c>
      <c r="B3" s="236" t="str">
        <f ca="1">OFFSET(List_AllocOpexListStart,+$K$1,2)</f>
        <v>Wayne Lissner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+'A-2'!B8+'A-2'!B19</f>
        <v>0</v>
      </c>
      <c r="C30" s="285">
        <f ca="1">+'A-2'!C8+'A-2'!C19</f>
        <v>0</v>
      </c>
      <c r="D30" s="285">
        <f ca="1">+'A-2'!D8+'A-2'!D19</f>
        <v>0</v>
      </c>
      <c r="E30" s="285">
        <f ca="1">+'A-2'!E8+'A-2'!E19</f>
        <v>0</v>
      </c>
      <c r="F30" s="285">
        <f ca="1">+'A-2'!F8+'A-2'!F19</f>
        <v>0</v>
      </c>
      <c r="G30" s="285">
        <f ca="1">+'A-2'!G8+'A-2'!G19</f>
        <v>0</v>
      </c>
      <c r="H30" s="285">
        <f ca="1">+'A-2'!H8+'A-2'!H19</f>
        <v>0</v>
      </c>
      <c r="I30" s="285">
        <f ca="1">+'A-2'!I8+'A-2'!I19</f>
        <v>0</v>
      </c>
      <c r="J30" s="42"/>
      <c r="K30" s="21"/>
      <c r="L30" s="21"/>
    </row>
    <row r="31" spans="1:12" outlineLevel="2">
      <c r="A31" s="61" t="s">
        <v>69</v>
      </c>
      <c r="B31" s="285">
        <f ca="1">+'A-2'!B9+'A-2'!B20</f>
        <v>0</v>
      </c>
      <c r="C31" s="285">
        <f ca="1">+'A-2'!C9+'A-2'!C20</f>
        <v>0</v>
      </c>
      <c r="D31" s="285">
        <f ca="1">+'A-2'!D9+'A-2'!D20</f>
        <v>0</v>
      </c>
      <c r="E31" s="285">
        <f ca="1">+'A-2'!E9+'A-2'!E20</f>
        <v>0</v>
      </c>
      <c r="F31" s="285">
        <f ca="1">+'A-2'!F9+'A-2'!F20</f>
        <v>0</v>
      </c>
      <c r="G31" s="285">
        <f ca="1">+'A-2'!G9+'A-2'!G20</f>
        <v>0</v>
      </c>
      <c r="H31" s="285">
        <f ca="1">+'A-2'!H9+'A-2'!H20</f>
        <v>0</v>
      </c>
      <c r="I31" s="285">
        <f ca="1">+'A-2'!I9+'A-2'!I20</f>
        <v>0</v>
      </c>
      <c r="J31" s="42"/>
      <c r="K31" s="21"/>
      <c r="L31" s="21"/>
    </row>
    <row r="32" spans="1:12" s="759" customFormat="1" outlineLevel="2">
      <c r="A32" s="61" t="s">
        <v>646</v>
      </c>
      <c r="B32" s="285">
        <f ca="1">+'A-2'!B10+'A-2'!B21</f>
        <v>0</v>
      </c>
      <c r="C32" s="285">
        <f ca="1">+'A-2'!C10+'A-2'!C21</f>
        <v>0</v>
      </c>
      <c r="D32" s="285">
        <f ca="1">+'A-2'!D10+'A-2'!D21</f>
        <v>0</v>
      </c>
      <c r="E32" s="285">
        <f ca="1">+'A-2'!E10+'A-2'!E21</f>
        <v>0</v>
      </c>
      <c r="F32" s="285">
        <f ca="1">+'A-2'!F10+'A-2'!F21</f>
        <v>0</v>
      </c>
      <c r="G32" s="285">
        <f ca="1">+'A-2'!G10+'A-2'!G21</f>
        <v>0</v>
      </c>
      <c r="H32" s="285">
        <f ca="1">+'A-2'!H10+'A-2'!H21</f>
        <v>0</v>
      </c>
      <c r="I32" s="285">
        <f ca="1">+'A-2'!I10+'A-2'!I21</f>
        <v>0</v>
      </c>
      <c r="J32" s="42"/>
      <c r="K32" s="732"/>
      <c r="L32" s="732"/>
    </row>
    <row r="33" spans="1:12" outlineLevel="2">
      <c r="A33" s="61" t="s">
        <v>647</v>
      </c>
      <c r="B33" s="285">
        <f ca="1">+'A-2'!B11+'A-2'!B22</f>
        <v>0</v>
      </c>
      <c r="C33" s="285">
        <f ca="1">+'A-2'!C11+'A-2'!C22</f>
        <v>0</v>
      </c>
      <c r="D33" s="285">
        <f ca="1">+'A-2'!D11+'A-2'!D22</f>
        <v>0</v>
      </c>
      <c r="E33" s="285">
        <f ca="1">+'A-2'!E11+'A-2'!E22</f>
        <v>0</v>
      </c>
      <c r="F33" s="285">
        <f ca="1">+'A-2'!F11+'A-2'!F22</f>
        <v>0</v>
      </c>
      <c r="G33" s="285">
        <f ca="1">+'A-2'!G11+'A-2'!G22</f>
        <v>0</v>
      </c>
      <c r="H33" s="285">
        <f ca="1">+'A-2'!H11+'A-2'!H22</f>
        <v>0</v>
      </c>
      <c r="I33" s="285">
        <f ca="1">+'A-2'!I11+'A-2'!I22</f>
        <v>0</v>
      </c>
      <c r="J33" s="42"/>
      <c r="K33" s="21"/>
      <c r="L33" s="21"/>
    </row>
    <row r="34" spans="1:12" s="759" customFormat="1" outlineLevel="2">
      <c r="A34" s="61" t="s">
        <v>575</v>
      </c>
      <c r="B34" s="285">
        <f ca="1">+'A-2'!B12+'A-2'!B23</f>
        <v>0</v>
      </c>
      <c r="C34" s="285">
        <f ca="1">+'A-2'!C12+'A-2'!C23</f>
        <v>0</v>
      </c>
      <c r="D34" s="285">
        <f ca="1">+'A-2'!D12+'A-2'!D23</f>
        <v>0</v>
      </c>
      <c r="E34" s="285">
        <f ca="1">+'A-2'!E12+'A-2'!E23</f>
        <v>0</v>
      </c>
      <c r="F34" s="285">
        <f ca="1">+'A-2'!F12+'A-2'!F23</f>
        <v>0</v>
      </c>
      <c r="G34" s="285">
        <f ca="1">+'A-2'!G12+'A-2'!G23</f>
        <v>0</v>
      </c>
      <c r="H34" s="285">
        <f ca="1">+'A-2'!H12+'A-2'!H23</f>
        <v>0</v>
      </c>
      <c r="I34" s="285">
        <f ca="1">+'A-2'!I12+'A-2'!I23</f>
        <v>0</v>
      </c>
      <c r="J34" s="42"/>
      <c r="K34" s="732"/>
      <c r="L34" s="732"/>
    </row>
    <row r="35" spans="1:12" ht="13.5" outlineLevel="2" thickBot="1">
      <c r="A35" s="83" t="s">
        <v>70</v>
      </c>
      <c r="B35" s="285">
        <f ca="1">+'A-2'!B13+'A-2'!B24</f>
        <v>0</v>
      </c>
      <c r="C35" s="285">
        <f ca="1">+'A-2'!C13+'A-2'!C24</f>
        <v>0</v>
      </c>
      <c r="D35" s="285">
        <f ca="1">+'A-2'!D13+'A-2'!D24</f>
        <v>0</v>
      </c>
      <c r="E35" s="285">
        <f ca="1">+'A-2'!E13+'A-2'!E24</f>
        <v>0</v>
      </c>
      <c r="F35" s="285">
        <f ca="1">+'A-2'!F13+'A-2'!F24</f>
        <v>0</v>
      </c>
      <c r="G35" s="285">
        <f ca="1">+'A-2'!G13+'A-2'!G24</f>
        <v>0</v>
      </c>
      <c r="H35" s="285">
        <f ca="1">+'A-2'!H13+'A-2'!H24</f>
        <v>0</v>
      </c>
      <c r="I35" s="285">
        <f ca="1">+'A-2'!I13+'A-2'!I24</f>
        <v>0</v>
      </c>
      <c r="J35" s="93"/>
      <c r="K35" s="21"/>
      <c r="L35" s="21"/>
    </row>
    <row r="36" spans="1:12" s="87" customFormat="1" ht="20.25" customHeight="1" thickBot="1">
      <c r="A36" s="94" t="s">
        <v>128</v>
      </c>
      <c r="B36" s="294">
        <f t="shared" ref="B36:I36" ca="1" si="7">SUM(B30:B35)</f>
        <v>0</v>
      </c>
      <c r="C36" s="294">
        <f t="shared" ca="1" si="7"/>
        <v>0</v>
      </c>
      <c r="D36" s="294">
        <f t="shared" ca="1" si="7"/>
        <v>0</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ref="A161:A169" ca="1" si="89">IF(ISNUMBER($J161),OFFSET($B$177,MATCH(+$J161,$J$178:$J$195,0),0),"")</f>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90">IF(ISNUMBER($J161),OFFSET($B$177,MATCH(+$J161,$J$178:$J$195,0)+1,0),"")</f>
        <v/>
      </c>
      <c r="L161" s="66" t="str">
        <f t="shared" ref="L161:L169" ca="1" si="91">IF(ISNUMBER($J161),OFFSET($B$177,MATCH(+$J161,$J$178:$J$195,0)+2,0),"")</f>
        <v/>
      </c>
      <c r="M161" s="66" t="str">
        <f t="shared" ref="M161:M169" ca="1" si="92">IF(ISNUMBER($J161),OFFSET($B$177,MATCH(+$J161,$J$178:$J$195,0)+3,0),"")</f>
        <v/>
      </c>
    </row>
    <row r="162" spans="1:13" outlineLevel="1">
      <c r="A162" s="66" t="str">
        <f t="shared" ca="1" si="89"/>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3">IF(J161&lt;$D$158,J161+1,"")</f>
        <v/>
      </c>
      <c r="K162" s="66" t="str">
        <f t="shared" ca="1" si="90"/>
        <v/>
      </c>
      <c r="L162" s="66" t="str">
        <f t="shared" ca="1" si="91"/>
        <v/>
      </c>
      <c r="M162" s="66" t="str">
        <f t="shared" ca="1" si="92"/>
        <v/>
      </c>
    </row>
    <row r="163" spans="1:13" outlineLevel="1">
      <c r="A163" s="66" t="str">
        <f t="shared" ca="1" si="89"/>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3"/>
        <v/>
      </c>
      <c r="K163" s="66" t="str">
        <f t="shared" ca="1" si="90"/>
        <v/>
      </c>
      <c r="L163" s="66" t="str">
        <f t="shared" ca="1" si="91"/>
        <v/>
      </c>
      <c r="M163" s="66" t="str">
        <f t="shared" ca="1" si="92"/>
        <v/>
      </c>
    </row>
    <row r="164" spans="1:13" outlineLevel="1">
      <c r="A164" s="66" t="str">
        <f t="shared" ca="1" si="89"/>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3"/>
        <v/>
      </c>
      <c r="K164" s="66" t="str">
        <f t="shared" ca="1" si="90"/>
        <v/>
      </c>
      <c r="L164" s="66" t="str">
        <f t="shared" ca="1" si="91"/>
        <v/>
      </c>
      <c r="M164" s="66" t="str">
        <f t="shared" ca="1" si="92"/>
        <v/>
      </c>
    </row>
    <row r="165" spans="1:13" outlineLevel="1">
      <c r="A165" s="66" t="str">
        <f t="shared" ca="1" si="89"/>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3"/>
        <v/>
      </c>
      <c r="K165" s="66" t="str">
        <f t="shared" ca="1" si="90"/>
        <v/>
      </c>
      <c r="L165" s="66" t="str">
        <f t="shared" ca="1" si="91"/>
        <v/>
      </c>
      <c r="M165" s="66" t="str">
        <f t="shared" ca="1" si="92"/>
        <v/>
      </c>
    </row>
    <row r="166" spans="1:13" outlineLevel="1">
      <c r="A166" s="66" t="str">
        <f t="shared" ca="1" si="89"/>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3"/>
        <v/>
      </c>
      <c r="K166" s="66" t="str">
        <f t="shared" ca="1" si="90"/>
        <v/>
      </c>
      <c r="L166" s="66" t="str">
        <f t="shared" ca="1" si="91"/>
        <v/>
      </c>
      <c r="M166" s="66" t="str">
        <f t="shared" ca="1" si="92"/>
        <v/>
      </c>
    </row>
    <row r="167" spans="1:13" outlineLevel="1">
      <c r="A167" s="66" t="str">
        <f t="shared" ca="1" si="89"/>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3"/>
        <v/>
      </c>
      <c r="K167" s="66" t="str">
        <f t="shared" ca="1" si="90"/>
        <v/>
      </c>
      <c r="L167" s="66" t="str">
        <f t="shared" ca="1" si="91"/>
        <v/>
      </c>
      <c r="M167" s="66" t="str">
        <f t="shared" ca="1" si="92"/>
        <v/>
      </c>
    </row>
    <row r="168" spans="1:13" outlineLevel="1">
      <c r="A168" s="66" t="str">
        <f t="shared" ca="1" si="89"/>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3"/>
        <v/>
      </c>
      <c r="K168" s="66" t="str">
        <f t="shared" ca="1" si="90"/>
        <v/>
      </c>
      <c r="L168" s="66" t="str">
        <f t="shared" ca="1" si="91"/>
        <v/>
      </c>
      <c r="M168" s="66" t="str">
        <f t="shared" ca="1" si="92"/>
        <v/>
      </c>
    </row>
    <row r="169" spans="1:13" outlineLevel="1">
      <c r="A169" s="66" t="str">
        <f t="shared" ca="1" si="89"/>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3"/>
        <v/>
      </c>
      <c r="K169" s="66" t="str">
        <f t="shared" ca="1" si="90"/>
        <v/>
      </c>
      <c r="L169" s="66" t="str">
        <f t="shared" ca="1" si="91"/>
        <v/>
      </c>
      <c r="M169" s="66" t="str">
        <f t="shared" ca="1" si="92"/>
        <v/>
      </c>
    </row>
    <row r="170" spans="1:13">
      <c r="A170" s="129" t="s">
        <v>150</v>
      </c>
      <c r="B170" s="296">
        <f ca="1">SUM(B160:B169)</f>
        <v>0</v>
      </c>
      <c r="C170" s="296">
        <f t="shared" ref="C170:I170" ca="1" si="94">SUM(C160:C169)</f>
        <v>0</v>
      </c>
      <c r="D170" s="296">
        <f t="shared" ca="1" si="94"/>
        <v>0</v>
      </c>
      <c r="E170" s="296">
        <f t="shared" ca="1" si="94"/>
        <v>0</v>
      </c>
      <c r="F170" s="296">
        <f t="shared" ca="1" si="94"/>
        <v>0</v>
      </c>
      <c r="G170" s="296">
        <f t="shared" ca="1" si="94"/>
        <v>0</v>
      </c>
      <c r="H170" s="296">
        <f t="shared" ca="1" si="94"/>
        <v>0</v>
      </c>
      <c r="I170" s="296">
        <f t="shared" ca="1" si="94"/>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(SEM)'!$N$16:$R$21</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5">SUM(C185:C190)</f>
        <v>0</v>
      </c>
      <c r="D191" s="296">
        <f t="shared" si="95"/>
        <v>0</v>
      </c>
      <c r="E191" s="296">
        <f t="shared" si="95"/>
        <v>0</v>
      </c>
      <c r="F191" s="296">
        <f t="shared" si="95"/>
        <v>0</v>
      </c>
      <c r="G191" s="296">
        <f t="shared" si="95"/>
        <v>0</v>
      </c>
      <c r="H191" s="296">
        <f t="shared" si="95"/>
        <v>0</v>
      </c>
      <c r="I191" s="296">
        <f t="shared" si="95"/>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6">+B14</f>
        <v>0</v>
      </c>
      <c r="C205" s="82">
        <f t="shared" ca="1" si="96"/>
        <v>0</v>
      </c>
      <c r="D205" s="82">
        <f t="shared" ca="1" si="96"/>
        <v>0</v>
      </c>
      <c r="E205" s="82">
        <f t="shared" ca="1" si="96"/>
        <v>0</v>
      </c>
      <c r="F205" s="82">
        <f t="shared" ca="1" si="96"/>
        <v>0</v>
      </c>
      <c r="G205" s="82">
        <f t="shared" ca="1" si="96"/>
        <v>0</v>
      </c>
      <c r="H205" s="82">
        <f t="shared" ca="1" si="96"/>
        <v>0</v>
      </c>
      <c r="I205" s="82">
        <f t="shared" ca="1" si="96"/>
        <v>0</v>
      </c>
    </row>
    <row r="206" spans="1:9" outlineLevel="1">
      <c r="A206" t="s">
        <v>156</v>
      </c>
      <c r="B206" s="82">
        <f t="shared" ref="B206:I206" ca="1" si="97">+B36</f>
        <v>0</v>
      </c>
      <c r="C206" s="82">
        <f t="shared" ca="1" si="97"/>
        <v>0</v>
      </c>
      <c r="D206" s="82">
        <f t="shared" ca="1" si="97"/>
        <v>0</v>
      </c>
      <c r="E206" s="82">
        <f t="shared" ca="1" si="97"/>
        <v>0</v>
      </c>
      <c r="F206" s="82">
        <f t="shared" ca="1" si="97"/>
        <v>0</v>
      </c>
      <c r="G206" s="82">
        <f t="shared" ca="1" si="97"/>
        <v>0</v>
      </c>
      <c r="H206" s="82">
        <f t="shared" ca="1" si="97"/>
        <v>0</v>
      </c>
      <c r="I206" s="82">
        <f t="shared" ca="1" si="97"/>
        <v>0</v>
      </c>
    </row>
    <row r="207" spans="1:9" outlineLevel="1">
      <c r="A207" t="s">
        <v>157</v>
      </c>
      <c r="B207" s="82">
        <f t="shared" ref="B207:I207" ca="1" si="98">+B36+B48</f>
        <v>0</v>
      </c>
      <c r="C207" s="82">
        <f t="shared" ca="1" si="98"/>
        <v>0</v>
      </c>
      <c r="D207" s="82">
        <f t="shared" ca="1" si="98"/>
        <v>0</v>
      </c>
      <c r="E207" s="82">
        <f t="shared" ca="1" si="98"/>
        <v>0</v>
      </c>
      <c r="F207" s="82">
        <f t="shared" ca="1" si="98"/>
        <v>0</v>
      </c>
      <c r="G207" s="82">
        <f t="shared" ca="1" si="98"/>
        <v>0</v>
      </c>
      <c r="H207" s="82">
        <f t="shared" ca="1" si="98"/>
        <v>0</v>
      </c>
      <c r="I207" s="82">
        <f t="shared" ca="1" si="98"/>
        <v>0</v>
      </c>
    </row>
    <row r="208" spans="1:9" outlineLevel="1">
      <c r="A208" t="s">
        <v>158</v>
      </c>
      <c r="B208" s="82">
        <f t="shared" ref="B208:I208" ca="1" si="99">+B70</f>
        <v>0</v>
      </c>
      <c r="C208" s="82">
        <f t="shared" ca="1" si="99"/>
        <v>0</v>
      </c>
      <c r="D208" s="82">
        <f t="shared" ca="1" si="99"/>
        <v>0</v>
      </c>
      <c r="E208" s="82">
        <f t="shared" ca="1" si="99"/>
        <v>0</v>
      </c>
      <c r="F208" s="82">
        <f t="shared" ca="1" si="99"/>
        <v>0</v>
      </c>
      <c r="G208" s="82">
        <f t="shared" ca="1" si="99"/>
        <v>0</v>
      </c>
      <c r="H208" s="82">
        <f t="shared" ca="1" si="99"/>
        <v>0</v>
      </c>
      <c r="I208" s="82">
        <f t="shared" ca="1" si="99"/>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75" priority="1" stopIfTrue="1" operator="notEqual">
      <formula>0</formula>
    </cfRule>
  </conditionalFormatting>
  <conditionalFormatting sqref="J130 J94 J70 J59 J48 J36:J37 J14 J25">
    <cfRule type="cellIs" dxfId="374" priority="2" stopIfTrue="1" operator="equal">
      <formula>"OK"</formula>
    </cfRule>
    <cfRule type="cellIs" dxfId="373" priority="3" stopIfTrue="1" operator="equal">
      <formula>"Warning Check Escalations"</formula>
    </cfRule>
  </conditionalFormatting>
  <conditionalFormatting sqref="N120:T120 N84:T84">
    <cfRule type="cellIs" dxfId="372" priority="4" stopIfTrue="1" operator="notEqual">
      <formula>0</formula>
    </cfRule>
    <cfRule type="cellIs" dxfId="37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16.xml><?xml version="1.0" encoding="utf-8"?>
<worksheet xmlns="http://schemas.openxmlformats.org/spreadsheetml/2006/main" xmlns:r="http://schemas.openxmlformats.org/officeDocument/2006/relationships">
  <sheetPr codeName="Sheet59" enableFormatConditionsCalculation="0">
    <tabColor indexed="57"/>
    <pageSetUpPr fitToPage="1"/>
  </sheetPr>
  <dimension ref="A1:T239"/>
  <sheetViews>
    <sheetView showGridLines="0" topLeftCell="A5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v>
      </c>
      <c r="M1" s="282"/>
      <c r="N1" s="280"/>
      <c r="O1" s="280"/>
      <c r="P1" s="280"/>
      <c r="Q1" s="280"/>
      <c r="R1" s="280"/>
      <c r="S1" s="280"/>
      <c r="T1" s="280"/>
    </row>
    <row r="2" spans="1:20" ht="15.75">
      <c r="A2" s="184" t="s">
        <v>121</v>
      </c>
      <c r="B2" s="74" t="str">
        <f ca="1">OFFSET(List_AllocOpexListStart,+$K$1,1)</f>
        <v>Communications</v>
      </c>
      <c r="F2" s="284"/>
      <c r="H2" s="42"/>
      <c r="I2" s="283"/>
      <c r="L2" s="282"/>
      <c r="M2" s="282"/>
    </row>
    <row r="3" spans="1:20" ht="16.5" thickBot="1">
      <c r="A3" s="184" t="s">
        <v>371</v>
      </c>
      <c r="B3" s="236" t="str">
        <f ca="1">OFFSET(List_AllocOpexListStart,+$K$1,2)</f>
        <v>Wayne Lissner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0.75700000000000001</v>
      </c>
      <c r="E8" s="285">
        <f ca="1">OFFSET(Future_AOpexStart,MATCH($K$1,'I-6 Future A'!$A$6:$A$379)+2,+'I-5 Future DA'!F$5)</f>
        <v>0.75700000000000001</v>
      </c>
      <c r="F8" s="285">
        <f ca="1">OFFSET(Future_AOpexStart,MATCH($K$1,'I-6 Future A'!$A$6:$A$379)+2,+'I-5 Future DA'!G$5)</f>
        <v>0.75700000000000001</v>
      </c>
      <c r="G8" s="285">
        <f ca="1">OFFSET(Future_AOpexStart,MATCH($K$1,'I-6 Future A'!$A$6:$A$379)+2,+'I-5 Future DA'!H$5)</f>
        <v>0.75700000000000001</v>
      </c>
      <c r="H8" s="285">
        <f ca="1">OFFSET(Future_AOpexStart,MATCH($K$1,'I-6 Future A'!$A$6:$A$379)+2,+'I-5 Future DA'!I$5)</f>
        <v>0.75700000000000001</v>
      </c>
      <c r="I8" s="285">
        <f ca="1">OFFSET(Future_AOpexStart,MATCH($K$1,'I-6 Future A'!$A$6:$A$379)+2,+'I-5 Future DA'!J$5)</f>
        <v>0.75700000000000001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0.47299999999999998</v>
      </c>
      <c r="E9" s="285">
        <f ca="1">OFFSET(Future_AOpexStart,MATCH($K$1,'I-6 Future A'!$A$6:$A$379)+3,+'I-5 Future DA'!F$5)</f>
        <v>0.47299999999999998</v>
      </c>
      <c r="F9" s="285">
        <f ca="1">OFFSET(Future_AOpexStart,MATCH($K$1,'I-6 Future A'!$A$6:$A$379)+3,+'I-5 Future DA'!G$5)</f>
        <v>0.47299999999999998</v>
      </c>
      <c r="G9" s="285">
        <f ca="1">OFFSET(Future_AOpexStart,MATCH($K$1,'I-6 Future A'!$A$6:$A$379)+3,+'I-5 Future DA'!H$5)</f>
        <v>0.47299999999999998</v>
      </c>
      <c r="H9" s="285">
        <f ca="1">OFFSET(Future_AOpexStart,MATCH($K$1,'I-6 Future A'!$A$6:$A$379)+3,+'I-5 Future DA'!I$5)</f>
        <v>0.47299999999999998</v>
      </c>
      <c r="I9" s="285">
        <f ca="1">OFFSET(Future_AOpexStart,MATCH($K$1,'I-6 Future A'!$A$6:$A$379)+3,+'I-5 Future DA'!J$5)</f>
        <v>0.47299999999999998</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2.8000000000000001E-2</v>
      </c>
      <c r="E10" s="285">
        <f ca="1">OFFSET(Future_AOpexStart,MATCH($K$1,'I-6 Future A'!$A$6:$A$379)+4,+'I-5 Future DA'!F$5)</f>
        <v>2.8000000000000001E-2</v>
      </c>
      <c r="F10" s="285">
        <f ca="1">OFFSET(Future_AOpexStart,MATCH($K$1,'I-6 Future A'!$A$6:$A$379)+4,+'I-5 Future DA'!G$5)</f>
        <v>2.8000000000000001E-2</v>
      </c>
      <c r="G10" s="285">
        <f ca="1">OFFSET(Future_AOpexStart,MATCH($K$1,'I-6 Future A'!$A$6:$A$379)+4,+'I-5 Future DA'!H$5)</f>
        <v>2.8000000000000001E-2</v>
      </c>
      <c r="H10" s="285">
        <f ca="1">OFFSET(Future_AOpexStart,MATCH($K$1,'I-6 Future A'!$A$6:$A$379)+4,+'I-5 Future DA'!I$5)</f>
        <v>2.8000000000000001E-2</v>
      </c>
      <c r="I10" s="285">
        <f ca="1">OFFSET(Future_AOpexStart,MATCH($K$1,'I-6 Future A'!$A$6:$A$379)+4,+'I-5 Future DA'!J$5)</f>
        <v>2.8000000000000001E-2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0.88400000000000001</v>
      </c>
      <c r="E11" s="285">
        <f ca="1">OFFSET(Future_AOpexStart,MATCH($K$1,'I-6 Future A'!$A$6:$A$379)+5,+'I-5 Future DA'!F$5)</f>
        <v>0.88400000000000001</v>
      </c>
      <c r="F11" s="285">
        <f ca="1">OFFSET(Future_AOpexStart,MATCH($K$1,'I-6 Future A'!$A$6:$A$379)+5,+'I-5 Future DA'!G$5)</f>
        <v>0.88400000000000001</v>
      </c>
      <c r="G11" s="285">
        <f ca="1">OFFSET(Future_AOpexStart,MATCH($K$1,'I-6 Future A'!$A$6:$A$379)+5,+'I-5 Future DA'!H$5)</f>
        <v>0.88400000000000001</v>
      </c>
      <c r="H11" s="285">
        <f ca="1">OFFSET(Future_AOpexStart,MATCH($K$1,'I-6 Future A'!$A$6:$A$379)+5,+'I-5 Future DA'!I$5)</f>
        <v>0.88400000000000001</v>
      </c>
      <c r="I11" s="285">
        <f ca="1">OFFSET(Future_AOpexStart,MATCH($K$1,'I-6 Future A'!$A$6:$A$379)+5,+'I-5 Future DA'!J$5)</f>
        <v>0.88400000000000001</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1E-3</v>
      </c>
      <c r="E12" s="285">
        <f ca="1">OFFSET(Future_AOpexStart,MATCH($K$1,'I-6 Future A'!$A$6:$A$379)+6,+'I-5 Future DA'!F$5)</f>
        <v>1E-3</v>
      </c>
      <c r="F12" s="285">
        <f ca="1">OFFSET(Future_AOpexStart,MATCH($K$1,'I-6 Future A'!$A$6:$A$379)+6,+'I-5 Future DA'!G$5)</f>
        <v>1E-3</v>
      </c>
      <c r="G12" s="285">
        <f ca="1">OFFSET(Future_AOpexStart,MATCH($K$1,'I-6 Future A'!$A$6:$A$379)+6,+'I-5 Future DA'!H$5)</f>
        <v>1E-3</v>
      </c>
      <c r="H12" s="285">
        <f ca="1">OFFSET(Future_AOpexStart,MATCH($K$1,'I-6 Future A'!$A$6:$A$379)+6,+'I-5 Future DA'!I$5)</f>
        <v>1E-3</v>
      </c>
      <c r="I12" s="285">
        <f ca="1">OFFSET(Future_AOpexStart,MATCH($K$1,'I-6 Future A'!$A$6:$A$379)+6,+'I-5 Future DA'!J$5)</f>
        <v>1E-3</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2.1429999999999998</v>
      </c>
      <c r="E14" s="287">
        <f t="shared" ca="1" si="0"/>
        <v>2.1429999999999998</v>
      </c>
      <c r="F14" s="287">
        <f t="shared" ca="1" si="0"/>
        <v>2.1429999999999998</v>
      </c>
      <c r="G14" s="287">
        <f t="shared" ca="1" si="0"/>
        <v>2.1429999999999998</v>
      </c>
      <c r="H14" s="287">
        <f t="shared" ca="1" si="0"/>
        <v>2.1429999999999998</v>
      </c>
      <c r="I14" s="287">
        <f t="shared" ca="1" si="0"/>
        <v>2.1429999999999998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2.8820000000000001</v>
      </c>
      <c r="F22" s="285">
        <f t="shared" si="3"/>
        <v>2.0169999999999999</v>
      </c>
      <c r="G22" s="285">
        <f t="shared" si="3"/>
        <v>1.9419999999999999</v>
      </c>
      <c r="H22" s="285">
        <f t="shared" si="3"/>
        <v>1.7330000000000001</v>
      </c>
      <c r="I22" s="285">
        <f t="shared" si="3"/>
        <v>1.9670000000000001</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2.8820000000000001</v>
      </c>
      <c r="F25" s="287">
        <f t="shared" si="6"/>
        <v>2.0169999999999999</v>
      </c>
      <c r="G25" s="287">
        <f t="shared" si="6"/>
        <v>1.9419999999999999</v>
      </c>
      <c r="H25" s="287">
        <f t="shared" si="6"/>
        <v>1.7330000000000001</v>
      </c>
      <c r="I25" s="287">
        <f t="shared" si="6"/>
        <v>1.9670000000000001</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+'A-3'!B8+'A-3'!B19</f>
        <v>0</v>
      </c>
      <c r="C30" s="285">
        <f ca="1">+'A-3'!C8+'A-3'!C19</f>
        <v>0</v>
      </c>
      <c r="D30" s="285">
        <f ca="1">+'A-3'!D8+'A-3'!D19</f>
        <v>0.75700000000000001</v>
      </c>
      <c r="E30" s="285">
        <f ca="1">+'A-3'!E8+'A-3'!E19</f>
        <v>0.75700000000000001</v>
      </c>
      <c r="F30" s="285">
        <f ca="1">+'A-3'!F8+'A-3'!F19</f>
        <v>0.75700000000000001</v>
      </c>
      <c r="G30" s="285">
        <f ca="1">+'A-3'!G8+'A-3'!G19</f>
        <v>0.75700000000000001</v>
      </c>
      <c r="H30" s="285">
        <f ca="1">+'A-3'!H8+'A-3'!H19</f>
        <v>0.75700000000000001</v>
      </c>
      <c r="I30" s="285">
        <f ca="1">+'A-3'!I8+'A-3'!I19</f>
        <v>0.75700000000000001</v>
      </c>
      <c r="J30" s="42"/>
      <c r="K30" s="21"/>
      <c r="L30" s="21"/>
    </row>
    <row r="31" spans="1:12" outlineLevel="2">
      <c r="A31" s="61" t="s">
        <v>69</v>
      </c>
      <c r="B31" s="285">
        <f ca="1">+'A-3'!B9+'A-3'!B20</f>
        <v>0</v>
      </c>
      <c r="C31" s="285">
        <f ca="1">+'A-3'!C9+'A-3'!C20</f>
        <v>0</v>
      </c>
      <c r="D31" s="285">
        <f ca="1">+'A-3'!D9+'A-3'!D20</f>
        <v>0.47299999999999998</v>
      </c>
      <c r="E31" s="285">
        <f ca="1">+'A-3'!E9+'A-3'!E20</f>
        <v>0.47299999999999998</v>
      </c>
      <c r="F31" s="285">
        <f ca="1">+'A-3'!F9+'A-3'!F20</f>
        <v>0.47299999999999998</v>
      </c>
      <c r="G31" s="285">
        <f ca="1">+'A-3'!G9+'A-3'!G20</f>
        <v>0.47299999999999998</v>
      </c>
      <c r="H31" s="285">
        <f ca="1">+'A-3'!H9+'A-3'!H20</f>
        <v>0.47299999999999998</v>
      </c>
      <c r="I31" s="285">
        <f ca="1">+'A-3'!I9+'A-3'!I20</f>
        <v>0.47299999999999998</v>
      </c>
      <c r="J31" s="42"/>
      <c r="K31" s="21"/>
      <c r="L31" s="21"/>
    </row>
    <row r="32" spans="1:12" s="759" customFormat="1" outlineLevel="2">
      <c r="A32" s="61" t="s">
        <v>646</v>
      </c>
      <c r="B32" s="285">
        <f ca="1">+'A-3'!B10+'A-3'!B21</f>
        <v>0</v>
      </c>
      <c r="C32" s="285">
        <f ca="1">+'A-3'!C10+'A-3'!C21</f>
        <v>0</v>
      </c>
      <c r="D32" s="285">
        <f ca="1">+'A-3'!D10+'A-3'!D21</f>
        <v>2.8000000000000001E-2</v>
      </c>
      <c r="E32" s="285">
        <f ca="1">+'A-3'!E10+'A-3'!E21</f>
        <v>2.8000000000000001E-2</v>
      </c>
      <c r="F32" s="285">
        <f ca="1">+'A-3'!F10+'A-3'!F21</f>
        <v>2.8000000000000001E-2</v>
      </c>
      <c r="G32" s="285">
        <f ca="1">+'A-3'!G10+'A-3'!G21</f>
        <v>2.8000000000000001E-2</v>
      </c>
      <c r="H32" s="285">
        <f ca="1">+'A-3'!H10+'A-3'!H21</f>
        <v>2.8000000000000001E-2</v>
      </c>
      <c r="I32" s="285">
        <f ca="1">+'A-3'!I10+'A-3'!I21</f>
        <v>2.8000000000000001E-2</v>
      </c>
      <c r="J32" s="42"/>
      <c r="K32" s="732"/>
      <c r="L32" s="732"/>
    </row>
    <row r="33" spans="1:12" outlineLevel="2">
      <c r="A33" s="61" t="s">
        <v>647</v>
      </c>
      <c r="B33" s="285">
        <f ca="1">+'A-3'!B11+'A-3'!B22</f>
        <v>0</v>
      </c>
      <c r="C33" s="285">
        <f ca="1">+'A-3'!C11+'A-3'!C22</f>
        <v>0</v>
      </c>
      <c r="D33" s="285">
        <f ca="1">+'A-3'!D11+'A-3'!D22</f>
        <v>0.88400000000000001</v>
      </c>
      <c r="E33" s="285">
        <f ca="1">+'A-3'!E11+'A-3'!E22</f>
        <v>3.766</v>
      </c>
      <c r="F33" s="285">
        <f ca="1">+'A-3'!F11+'A-3'!F22</f>
        <v>2.9009999999999998</v>
      </c>
      <c r="G33" s="285">
        <f ca="1">+'A-3'!G11+'A-3'!G22</f>
        <v>2.8260000000000001</v>
      </c>
      <c r="H33" s="285">
        <f ca="1">+'A-3'!H11+'A-3'!H22</f>
        <v>2.617</v>
      </c>
      <c r="I33" s="285">
        <f ca="1">+'A-3'!I11+'A-3'!I22</f>
        <v>2.851</v>
      </c>
      <c r="J33" s="42"/>
      <c r="K33" s="21"/>
      <c r="L33" s="21"/>
    </row>
    <row r="34" spans="1:12" s="759" customFormat="1" outlineLevel="2">
      <c r="A34" s="61" t="s">
        <v>575</v>
      </c>
      <c r="B34" s="285">
        <f ca="1">+'A-3'!B12+'A-3'!B23</f>
        <v>0</v>
      </c>
      <c r="C34" s="285">
        <f ca="1">+'A-3'!C12+'A-3'!C23</f>
        <v>0</v>
      </c>
      <c r="D34" s="285">
        <f ca="1">+'A-3'!D12+'A-3'!D23</f>
        <v>1E-3</v>
      </c>
      <c r="E34" s="285">
        <f ca="1">+'A-3'!E12+'A-3'!E23</f>
        <v>1E-3</v>
      </c>
      <c r="F34" s="285">
        <f ca="1">+'A-3'!F12+'A-3'!F23</f>
        <v>1E-3</v>
      </c>
      <c r="G34" s="285">
        <f ca="1">+'A-3'!G12+'A-3'!G23</f>
        <v>1E-3</v>
      </c>
      <c r="H34" s="285">
        <f ca="1">+'A-3'!H12+'A-3'!H23</f>
        <v>1E-3</v>
      </c>
      <c r="I34" s="285">
        <f ca="1">+'A-3'!I12+'A-3'!I23</f>
        <v>1E-3</v>
      </c>
      <c r="J34" s="42"/>
      <c r="K34" s="732"/>
      <c r="L34" s="732"/>
    </row>
    <row r="35" spans="1:12" ht="13.5" outlineLevel="2" thickBot="1">
      <c r="A35" s="83" t="s">
        <v>70</v>
      </c>
      <c r="B35" s="285">
        <f ca="1">+'A-3'!B13+'A-3'!B24</f>
        <v>0</v>
      </c>
      <c r="C35" s="285">
        <f ca="1">+'A-3'!C13+'A-3'!C24</f>
        <v>0</v>
      </c>
      <c r="D35" s="285">
        <f ca="1">+'A-3'!D13+'A-3'!D24</f>
        <v>0</v>
      </c>
      <c r="E35" s="285">
        <f ca="1">+'A-3'!E13+'A-3'!E24</f>
        <v>0</v>
      </c>
      <c r="F35" s="285">
        <f ca="1">+'A-3'!F13+'A-3'!F24</f>
        <v>0</v>
      </c>
      <c r="G35" s="285">
        <f ca="1">+'A-3'!G13+'A-3'!G24</f>
        <v>0</v>
      </c>
      <c r="H35" s="285">
        <f ca="1">+'A-3'!H13+'A-3'!H24</f>
        <v>0</v>
      </c>
      <c r="I35" s="285">
        <f ca="1">+'A-3'!I13+'A-3'!I24</f>
        <v>0</v>
      </c>
      <c r="J35" s="93"/>
      <c r="K35" s="21"/>
      <c r="L35" s="21"/>
    </row>
    <row r="36" spans="1:12" s="87" customFormat="1" ht="20.25" customHeight="1" thickBot="1">
      <c r="A36" s="94" t="s">
        <v>128</v>
      </c>
      <c r="B36" s="294">
        <f t="shared" ref="B36:I36" ca="1" si="7">SUM(B30:B35)</f>
        <v>0</v>
      </c>
      <c r="C36" s="294">
        <f t="shared" ca="1" si="7"/>
        <v>0</v>
      </c>
      <c r="D36" s="294">
        <f t="shared" ca="1" si="7"/>
        <v>2.1429999999999998</v>
      </c>
      <c r="E36" s="294">
        <f t="shared" ca="1" si="7"/>
        <v>5.0250000000000004</v>
      </c>
      <c r="F36" s="294">
        <f t="shared" ca="1" si="7"/>
        <v>4.16</v>
      </c>
      <c r="G36" s="294">
        <f t="shared" ca="1" si="7"/>
        <v>4.085</v>
      </c>
      <c r="H36" s="294">
        <f t="shared" ca="1" si="7"/>
        <v>3.8759999999999999</v>
      </c>
      <c r="I36" s="294">
        <f t="shared" ca="1" si="7"/>
        <v>4.1100000000000003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8.0317384188949865E-3</v>
      </c>
      <c r="F42" s="285">
        <f t="shared" ca="1" si="8"/>
        <v>1.5473833308574094E-2</v>
      </c>
      <c r="G42" s="285">
        <f t="shared" ca="1" si="8"/>
        <v>2.2830261468293134E-2</v>
      </c>
      <c r="H42" s="285">
        <f t="shared" ca="1" si="8"/>
        <v>3.081139518627574E-2</v>
      </c>
      <c r="I42" s="285">
        <f t="shared" ca="1" si="8"/>
        <v>3.8122173403008136E-2</v>
      </c>
      <c r="K42" s="63"/>
      <c r="L42" s="63"/>
    </row>
    <row r="43" spans="1:12" outlineLevel="1">
      <c r="A43" s="61" t="s">
        <v>69</v>
      </c>
      <c r="B43" s="82"/>
      <c r="C43" s="285">
        <f t="shared" ca="1" si="8"/>
        <v>0</v>
      </c>
      <c r="D43" s="285">
        <f t="shared" ca="1" si="8"/>
        <v>0</v>
      </c>
      <c r="E43" s="285">
        <f t="shared" ca="1" si="8"/>
        <v>5.0185102670242121E-3</v>
      </c>
      <c r="F43" s="285">
        <f t="shared" ca="1" si="8"/>
        <v>9.6685906934683569E-3</v>
      </c>
      <c r="G43" s="285">
        <f t="shared" ca="1" si="8"/>
        <v>1.4265143559448681E-2</v>
      </c>
      <c r="H43" s="285">
        <f t="shared" ca="1" si="8"/>
        <v>1.9252034244528964E-2</v>
      </c>
      <c r="I43" s="285">
        <f t="shared" ca="1" si="8"/>
        <v>2.3820063434112086E-2</v>
      </c>
      <c r="K43" s="42"/>
      <c r="L43" s="21"/>
    </row>
    <row r="44" spans="1:12" s="759" customFormat="1" outlineLevel="1">
      <c r="A44" s="61" t="s">
        <v>646</v>
      </c>
      <c r="B44" s="82"/>
      <c r="C44" s="285">
        <f t="shared" ref="C44:I44" ca="1" si="9">+C100</f>
        <v>0</v>
      </c>
      <c r="D44" s="285">
        <f t="shared" ca="1" si="9"/>
        <v>0</v>
      </c>
      <c r="E44" s="285">
        <f t="shared" ca="1" si="9"/>
        <v>2.9707883187458342E-4</v>
      </c>
      <c r="F44" s="285">
        <f t="shared" ca="1" si="9"/>
        <v>5.7234786346112895E-4</v>
      </c>
      <c r="G44" s="285">
        <f t="shared" ca="1" si="9"/>
        <v>8.4444824453396006E-4</v>
      </c>
      <c r="H44" s="285">
        <f t="shared" ca="1" si="9"/>
        <v>1.1396553041158794E-3</v>
      </c>
      <c r="I44" s="285">
        <f t="shared" ca="1" si="9"/>
        <v>1.410067180032005E-3</v>
      </c>
      <c r="K44" s="42"/>
      <c r="L44" s="732"/>
    </row>
    <row r="45" spans="1:12" outlineLevel="1">
      <c r="A45" s="61" t="s">
        <v>647</v>
      </c>
      <c r="B45" s="82"/>
      <c r="C45" s="285">
        <f t="shared" ref="C45:I45" ca="1" si="10">+C101</f>
        <v>0</v>
      </c>
      <c r="D45" s="285">
        <f t="shared" ca="1" si="10"/>
        <v>0</v>
      </c>
      <c r="E45" s="285">
        <f t="shared" ca="1" si="10"/>
        <v>9.3792031206118478E-3</v>
      </c>
      <c r="F45" s="285">
        <f t="shared" ca="1" si="10"/>
        <v>1.8069839689272785E-2</v>
      </c>
      <c r="G45" s="285">
        <f t="shared" ca="1" si="10"/>
        <v>2.6660437434572169E-2</v>
      </c>
      <c r="H45" s="285">
        <f t="shared" ca="1" si="10"/>
        <v>3.5980546029944195E-2</v>
      </c>
      <c r="I45" s="285">
        <f t="shared" ca="1" si="10"/>
        <v>4.4517835255296158E-2</v>
      </c>
      <c r="K45" s="42"/>
      <c r="L45" s="21"/>
    </row>
    <row r="46" spans="1:12" s="759" customFormat="1" outlineLevel="1">
      <c r="A46" s="61" t="s">
        <v>575</v>
      </c>
      <c r="B46" s="82"/>
      <c r="C46" s="285">
        <f t="shared" ref="C46:I46" ca="1" si="11">+C102</f>
        <v>0</v>
      </c>
      <c r="D46" s="285">
        <f t="shared" ca="1" si="11"/>
        <v>0</v>
      </c>
      <c r="E46" s="285">
        <f t="shared" ca="1" si="11"/>
        <v>1.0609958281235122E-5</v>
      </c>
      <c r="F46" s="285">
        <f t="shared" ca="1" si="11"/>
        <v>2.0440995123611749E-5</v>
      </c>
      <c r="G46" s="285">
        <f t="shared" ca="1" si="11"/>
        <v>3.0158865876212861E-5</v>
      </c>
      <c r="H46" s="285">
        <f t="shared" ca="1" si="11"/>
        <v>4.0701975146995693E-5</v>
      </c>
      <c r="I46" s="285">
        <f t="shared" ca="1" si="11"/>
        <v>5.0359542144000181E-5</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2.2737140596686863E-2</v>
      </c>
      <c r="F48" s="294">
        <f t="shared" ca="1" si="13"/>
        <v>4.3805052549899977E-2</v>
      </c>
      <c r="G48" s="294">
        <f t="shared" ca="1" si="13"/>
        <v>6.4630449572724152E-2</v>
      </c>
      <c r="H48" s="294">
        <f t="shared" ca="1" si="13"/>
        <v>8.7224332740011776E-2</v>
      </c>
      <c r="I48" s="294">
        <f t="shared" ca="1" si="13"/>
        <v>0.10792049881459237</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1.6416024957254353E-2</v>
      </c>
      <c r="F53" s="285">
        <f t="shared" ca="1" si="14"/>
        <v>3.3507115525242083E-2</v>
      </c>
      <c r="G53" s="285">
        <f t="shared" ca="1" si="14"/>
        <v>5.2242303711804931E-2</v>
      </c>
      <c r="H53" s="285">
        <f t="shared" ca="1" si="14"/>
        <v>7.1802637648791398E-2</v>
      </c>
      <c r="I53" s="285">
        <f t="shared" ca="1" si="14"/>
        <v>9.2105792222387156E-2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1.4148539415936989E-4</v>
      </c>
      <c r="F55" s="285">
        <f t="shared" ca="1" si="15"/>
        <v>2.8643778733119005E-4</v>
      </c>
      <c r="G55" s="285">
        <f t="shared" ca="1" si="15"/>
        <v>5.5136811819510767E-4</v>
      </c>
      <c r="H55" s="285">
        <f t="shared" ca="1" si="15"/>
        <v>8.6882606446320881E-4</v>
      </c>
      <c r="I55" s="285">
        <f t="shared" ca="1" si="15"/>
        <v>1.2554755951837407E-3</v>
      </c>
      <c r="K55" s="42"/>
      <c r="L55" s="732"/>
    </row>
    <row r="56" spans="1:12" outlineLevel="1">
      <c r="A56" s="61" t="s">
        <v>647</v>
      </c>
      <c r="B56" s="285"/>
      <c r="C56" s="285">
        <f t="shared" ref="C56:I56" ca="1" si="16">+C137</f>
        <v>0</v>
      </c>
      <c r="D56" s="285">
        <f t="shared" ca="1" si="16"/>
        <v>0</v>
      </c>
      <c r="E56" s="285">
        <f t="shared" ca="1" si="16"/>
        <v>4.4668960156029639E-3</v>
      </c>
      <c r="F56" s="285">
        <f t="shared" ca="1" si="16"/>
        <v>9.0432501428847154E-3</v>
      </c>
      <c r="G56" s="285">
        <f t="shared" ca="1" si="16"/>
        <v>1.7407479160159826E-2</v>
      </c>
      <c r="H56" s="285">
        <f t="shared" ca="1" si="16"/>
        <v>2.7430080035195592E-2</v>
      </c>
      <c r="I56" s="285">
        <f t="shared" ca="1" si="16"/>
        <v>3.9637158076515244E-2</v>
      </c>
      <c r="K56" s="42"/>
      <c r="L56" s="21"/>
    </row>
    <row r="57" spans="1:12" s="759" customFormat="1" outlineLevel="1">
      <c r="A57" s="61" t="s">
        <v>575</v>
      </c>
      <c r="B57" s="285"/>
      <c r="C57" s="285">
        <f t="shared" ref="C57:I57" ca="1" si="17">+C138</f>
        <v>0</v>
      </c>
      <c r="D57" s="285">
        <f t="shared" ca="1" si="17"/>
        <v>0</v>
      </c>
      <c r="E57" s="285">
        <f t="shared" ca="1" si="17"/>
        <v>2.1685634025435076E-5</v>
      </c>
      <c r="F57" s="285">
        <f t="shared" ca="1" si="17"/>
        <v>4.4263032397941988E-5</v>
      </c>
      <c r="G57" s="285">
        <f t="shared" ca="1" si="17"/>
        <v>6.9012290240165041E-5</v>
      </c>
      <c r="H57" s="285">
        <f t="shared" ca="1" si="17"/>
        <v>9.4851568888760105E-5</v>
      </c>
      <c r="I57" s="285">
        <f t="shared" ca="1" si="17"/>
        <v>1.2167211654212304E-4</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2.1046092001042124E-2</v>
      </c>
      <c r="F59" s="287">
        <f t="shared" ca="1" si="19"/>
        <v>4.2881066487855925E-2</v>
      </c>
      <c r="G59" s="287">
        <f t="shared" ca="1" si="19"/>
        <v>7.0270163280400019E-2</v>
      </c>
      <c r="H59" s="287">
        <f t="shared" ca="1" si="19"/>
        <v>0.10019639531733897</v>
      </c>
      <c r="I59" s="287">
        <f t="shared" ca="1" si="19"/>
        <v>0.13312009801062827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0.75700000000000001</v>
      </c>
      <c r="E64" s="285">
        <f t="shared" ca="1" si="20"/>
        <v>0.78144776337614941</v>
      </c>
      <c r="F64" s="285">
        <f t="shared" ca="1" si="20"/>
        <v>0.80598094883381621</v>
      </c>
      <c r="G64" s="285">
        <f t="shared" ca="1" si="20"/>
        <v>0.83207256518009809</v>
      </c>
      <c r="H64" s="285">
        <f t="shared" ca="1" si="20"/>
        <v>0.8596140328350671</v>
      </c>
      <c r="I64" s="285">
        <f t="shared" ca="1" si="20"/>
        <v>0.8872279656253953</v>
      </c>
      <c r="K64" s="63"/>
      <c r="L64" s="63"/>
    </row>
    <row r="65" spans="1:20" ht="12.75" customHeight="1" outlineLevel="1">
      <c r="A65" s="61" t="s">
        <v>69</v>
      </c>
      <c r="B65" s="285">
        <f t="shared" ca="1" si="20"/>
        <v>0</v>
      </c>
      <c r="C65" s="285">
        <f t="shared" ca="1" si="20"/>
        <v>0</v>
      </c>
      <c r="D65" s="285">
        <f t="shared" ca="1" si="20"/>
        <v>0.47299999999999998</v>
      </c>
      <c r="E65" s="285">
        <f t="shared" ca="1" si="20"/>
        <v>0.47801851026702419</v>
      </c>
      <c r="F65" s="285">
        <f t="shared" ca="1" si="20"/>
        <v>0.48266859069346835</v>
      </c>
      <c r="G65" s="285">
        <f t="shared" ca="1" si="20"/>
        <v>0.48726514355944867</v>
      </c>
      <c r="H65" s="285">
        <f t="shared" ca="1" si="20"/>
        <v>0.49225203424452896</v>
      </c>
      <c r="I65" s="285">
        <f t="shared" ca="1" si="20"/>
        <v>0.49682006343411206</v>
      </c>
      <c r="K65" s="42"/>
      <c r="L65" s="21"/>
    </row>
    <row r="66" spans="1:20" s="759" customFormat="1" ht="12.75" customHeight="1" outlineLevel="1">
      <c r="A66" s="61" t="s">
        <v>646</v>
      </c>
      <c r="B66" s="285">
        <f t="shared" ref="B66:I66" ca="1" si="21">+B44+B32+B55</f>
        <v>0</v>
      </c>
      <c r="C66" s="285">
        <f t="shared" ca="1" si="21"/>
        <v>0</v>
      </c>
      <c r="D66" s="285">
        <f t="shared" ca="1" si="21"/>
        <v>2.8000000000000001E-2</v>
      </c>
      <c r="E66" s="285">
        <f t="shared" ca="1" si="21"/>
        <v>2.8438564226033951E-2</v>
      </c>
      <c r="F66" s="285">
        <f t="shared" ca="1" si="21"/>
        <v>2.8858785650792321E-2</v>
      </c>
      <c r="G66" s="285">
        <f t="shared" ca="1" si="21"/>
        <v>2.9395816362729067E-2</v>
      </c>
      <c r="H66" s="285">
        <f t="shared" ca="1" si="21"/>
        <v>3.0008481368579087E-2</v>
      </c>
      <c r="I66" s="285">
        <f t="shared" ca="1" si="21"/>
        <v>3.0665542775215746E-2</v>
      </c>
      <c r="K66" s="42"/>
      <c r="L66" s="732"/>
    </row>
    <row r="67" spans="1:20" ht="12.75" customHeight="1" outlineLevel="1">
      <c r="A67" s="61" t="s">
        <v>647</v>
      </c>
      <c r="B67" s="285">
        <f t="shared" ref="B67:I67" ca="1" si="22">+B45+B33+B56</f>
        <v>0</v>
      </c>
      <c r="C67" s="285">
        <f t="shared" ca="1" si="22"/>
        <v>0</v>
      </c>
      <c r="D67" s="285">
        <f t="shared" ca="1" si="22"/>
        <v>0.88400000000000001</v>
      </c>
      <c r="E67" s="285">
        <f t="shared" ca="1" si="22"/>
        <v>3.7798460991362148</v>
      </c>
      <c r="F67" s="285">
        <f t="shared" ca="1" si="22"/>
        <v>2.9281130898321575</v>
      </c>
      <c r="G67" s="285">
        <f t="shared" ca="1" si="22"/>
        <v>2.8700679165947323</v>
      </c>
      <c r="H67" s="285">
        <f t="shared" ca="1" si="22"/>
        <v>2.6804106260651399</v>
      </c>
      <c r="I67" s="285">
        <f t="shared" ca="1" si="22"/>
        <v>2.9351549933318113</v>
      </c>
      <c r="K67" s="42"/>
      <c r="L67" s="21"/>
    </row>
    <row r="68" spans="1:20" s="759" customFormat="1" ht="12.75" customHeight="1" outlineLevel="1">
      <c r="A68" s="61" t="s">
        <v>575</v>
      </c>
      <c r="B68" s="285">
        <f t="shared" ref="B68:I68" ca="1" si="23">+B46+B34+B57</f>
        <v>0</v>
      </c>
      <c r="C68" s="285">
        <f t="shared" ca="1" si="23"/>
        <v>0</v>
      </c>
      <c r="D68" s="285">
        <f t="shared" ca="1" si="23"/>
        <v>1E-3</v>
      </c>
      <c r="E68" s="285">
        <f t="shared" ca="1" si="23"/>
        <v>1.0322955923066702E-3</v>
      </c>
      <c r="F68" s="285">
        <f t="shared" ca="1" si="23"/>
        <v>1.0647040275215539E-3</v>
      </c>
      <c r="G68" s="285">
        <f t="shared" ca="1" si="23"/>
        <v>1.099171156116378E-3</v>
      </c>
      <c r="H68" s="285">
        <f t="shared" ca="1" si="23"/>
        <v>1.1355535440357558E-3</v>
      </c>
      <c r="I68" s="285">
        <f t="shared" ca="1" si="23"/>
        <v>1.172031658686123E-3</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2.1429999999999998</v>
      </c>
      <c r="E70" s="295">
        <f t="shared" ca="1" si="25"/>
        <v>5.0687832325977293</v>
      </c>
      <c r="F70" s="295">
        <f t="shared" ca="1" si="25"/>
        <v>4.2466861190377552</v>
      </c>
      <c r="G70" s="295">
        <f t="shared" ca="1" si="25"/>
        <v>4.2199006128531247</v>
      </c>
      <c r="H70" s="295">
        <f t="shared" ca="1" si="25"/>
        <v>4.0634207280573511</v>
      </c>
      <c r="I70" s="295">
        <f t="shared" ca="1" si="25"/>
        <v>4.3510405968252206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8.0317384188949865E-3</v>
      </c>
      <c r="Q77" s="285">
        <f ca="1">IF($B77&lt;&gt;0,(+VLOOKUP($B77,$A$8:$I$13,6,FALSE))*(F77),0)</f>
        <v>1.5473833308574094E-2</v>
      </c>
      <c r="R77" s="285">
        <f ca="1">IF($B77&lt;&gt;0,(+VLOOKUP($B77,$A$8:$I$13,7,FALSE))*(G77),0)</f>
        <v>2.2830261468293134E-2</v>
      </c>
      <c r="S77" s="285">
        <f ca="1">IF($B77&lt;&gt;0,(+VLOOKUP($B77,$A$8:$I$13,8,FALSE))*(H77),0)</f>
        <v>3.081139518627574E-2</v>
      </c>
      <c r="T77" s="285">
        <f ca="1">IF($B77&lt;&gt;0,(+VLOOKUP($B77,$A$8:$I$13,9,FALSE))*(I77),0)</f>
        <v>3.8122173403008136E-2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5.0185102670242121E-3</v>
      </c>
      <c r="Q78" s="285">
        <f ca="1">IF($B78&lt;&gt;0,(+VLOOKUP($B78,$A$8:$I$13,6,FALSE))*(F78),0)</f>
        <v>9.6685906934683569E-3</v>
      </c>
      <c r="R78" s="285">
        <f ca="1">IF($B78&lt;&gt;0,(+VLOOKUP($B78,$A$8:$I$13,7,FALSE))*(G78),0)</f>
        <v>1.4265143559448681E-2</v>
      </c>
      <c r="S78" s="285">
        <f ca="1">IF($B78&lt;&gt;0,(+VLOOKUP($B78,$A$8:$I$13,8,FALSE))*(H78),0)</f>
        <v>1.9252034244528964E-2</v>
      </c>
      <c r="T78" s="285">
        <f ca="1">IF($B78&lt;&gt;0,(+VLOOKUP($B78,$A$8:$I$13,9,FALSE))*(I78),0)</f>
        <v>2.3820063434112086E-2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2.9707883187458342E-4</v>
      </c>
      <c r="Q79" s="285">
        <f t="shared" ref="Q79:Q80" ca="1" si="34">IF($B79&lt;&gt;0,(+VLOOKUP($B79,$A$8:$I$13,6,FALSE))*(F79),0)</f>
        <v>5.7234786346112895E-4</v>
      </c>
      <c r="R79" s="285">
        <f t="shared" ref="R79:R80" ca="1" si="35">IF($B79&lt;&gt;0,(+VLOOKUP($B79,$A$8:$I$13,7,FALSE))*(G79),0)</f>
        <v>8.4444824453396006E-4</v>
      </c>
      <c r="S79" s="285">
        <f t="shared" ref="S79:S80" ca="1" si="36">IF($B79&lt;&gt;0,(+VLOOKUP($B79,$A$8:$I$13,8,FALSE))*(H79),0)</f>
        <v>1.1396553041158794E-3</v>
      </c>
      <c r="T79" s="285">
        <f t="shared" ref="T79:T80" ca="1" si="37">IF($B79&lt;&gt;0,(+VLOOKUP($B79,$A$8:$I$13,9,FALSE))*(I79),0)</f>
        <v>1.410067180032005E-3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9.3792031206118478E-3</v>
      </c>
      <c r="Q80" s="285">
        <f t="shared" ca="1" si="34"/>
        <v>1.8069839689272785E-2</v>
      </c>
      <c r="R80" s="285">
        <f t="shared" ca="1" si="35"/>
        <v>2.6660437434572169E-2</v>
      </c>
      <c r="S80" s="285">
        <f t="shared" ca="1" si="36"/>
        <v>3.5980546029944195E-2</v>
      </c>
      <c r="T80" s="285">
        <f t="shared" ca="1" si="37"/>
        <v>4.4517835255296158E-2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1.0609958281235122E-5</v>
      </c>
      <c r="Q81" s="285">
        <f ca="1">IF($B81&lt;&gt;0,(+VLOOKUP($B81,$A$8:$I$13,6,FALSE))*(F81),0)</f>
        <v>2.0440995123611749E-5</v>
      </c>
      <c r="R81" s="285">
        <f ca="1">IF($B81&lt;&gt;0,(+VLOOKUP($B81,$A$8:$I$13,7,FALSE))*(G81),0)</f>
        <v>3.0158865876212861E-5</v>
      </c>
      <c r="S81" s="285">
        <f ca="1">IF($B81&lt;&gt;0,(+VLOOKUP($B81,$A$8:$I$13,8,FALSE))*(H81),0)</f>
        <v>4.0701975146995693E-5</v>
      </c>
      <c r="T81" s="285">
        <f ca="1">IF($B81&lt;&gt;0,(+VLOOKUP($B81,$A$8:$I$13,9,FALSE))*(I81),0)</f>
        <v>5.0359542144000181E-5</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2.2737140596686863E-2</v>
      </c>
      <c r="Q83" s="292">
        <f t="shared" ca="1" si="51"/>
        <v>4.3805052549899977E-2</v>
      </c>
      <c r="R83" s="292">
        <f t="shared" ca="1" si="51"/>
        <v>6.4630449572724152E-2</v>
      </c>
      <c r="S83" s="292">
        <f t="shared" ca="1" si="51"/>
        <v>8.7224332740011776E-2</v>
      </c>
      <c r="T83" s="292">
        <f t="shared" ca="1" si="51"/>
        <v>0.10792049881459237</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8.0317384188949865E-3</v>
      </c>
      <c r="F98" s="285">
        <f t="shared" ca="1" si="54"/>
        <v>1.5473833308574094E-2</v>
      </c>
      <c r="G98" s="285">
        <f t="shared" ca="1" si="54"/>
        <v>2.2830261468293134E-2</v>
      </c>
      <c r="H98" s="285">
        <f t="shared" ca="1" si="54"/>
        <v>3.081139518627574E-2</v>
      </c>
      <c r="I98" s="285">
        <f t="shared" ca="1" si="54"/>
        <v>3.8122173403008136E-2</v>
      </c>
    </row>
    <row r="99" spans="1:20" outlineLevel="1">
      <c r="A99" s="61" t="s">
        <v>69</v>
      </c>
      <c r="B99" s="119"/>
      <c r="C99" s="285">
        <f t="shared" ref="C99:I99" ca="1" si="55">+C9*(C87)</f>
        <v>0</v>
      </c>
      <c r="D99" s="285">
        <f t="shared" ca="1" si="55"/>
        <v>0</v>
      </c>
      <c r="E99" s="285">
        <f t="shared" ca="1" si="55"/>
        <v>5.0185102670242121E-3</v>
      </c>
      <c r="F99" s="285">
        <f t="shared" ca="1" si="55"/>
        <v>9.6685906934683569E-3</v>
      </c>
      <c r="G99" s="285">
        <f t="shared" ca="1" si="55"/>
        <v>1.4265143559448681E-2</v>
      </c>
      <c r="H99" s="285">
        <f t="shared" ca="1" si="55"/>
        <v>1.9252034244528964E-2</v>
      </c>
      <c r="I99" s="285">
        <f t="shared" ca="1" si="55"/>
        <v>2.3820063434112086E-2</v>
      </c>
    </row>
    <row r="100" spans="1:20" s="759" customFormat="1" outlineLevel="1">
      <c r="A100" s="61" t="s">
        <v>646</v>
      </c>
      <c r="B100" s="119"/>
      <c r="C100" s="285">
        <f t="shared" ref="C100:I100" ca="1" si="56">+C10*(C88)</f>
        <v>0</v>
      </c>
      <c r="D100" s="285">
        <f t="shared" ca="1" si="56"/>
        <v>0</v>
      </c>
      <c r="E100" s="285">
        <f t="shared" ca="1" si="56"/>
        <v>2.9707883187458342E-4</v>
      </c>
      <c r="F100" s="285">
        <f t="shared" ca="1" si="56"/>
        <v>5.7234786346112895E-4</v>
      </c>
      <c r="G100" s="285">
        <f t="shared" ca="1" si="56"/>
        <v>8.4444824453396006E-4</v>
      </c>
      <c r="H100" s="285">
        <f t="shared" ca="1" si="56"/>
        <v>1.1396553041158794E-3</v>
      </c>
      <c r="I100" s="285">
        <f t="shared" ca="1" si="56"/>
        <v>1.410067180032005E-3</v>
      </c>
    </row>
    <row r="101" spans="1:20" outlineLevel="1">
      <c r="A101" s="61" t="s">
        <v>647</v>
      </c>
      <c r="B101" s="119"/>
      <c r="C101" s="285">
        <f t="shared" ref="C101:I101" ca="1" si="57">+C11*(C89)</f>
        <v>0</v>
      </c>
      <c r="D101" s="285">
        <f t="shared" ca="1" si="57"/>
        <v>0</v>
      </c>
      <c r="E101" s="285">
        <f t="shared" ca="1" si="57"/>
        <v>9.3792031206118478E-3</v>
      </c>
      <c r="F101" s="285">
        <f t="shared" ca="1" si="57"/>
        <v>1.8069839689272785E-2</v>
      </c>
      <c r="G101" s="285">
        <f t="shared" ca="1" si="57"/>
        <v>2.6660437434572169E-2</v>
      </c>
      <c r="H101" s="285">
        <f t="shared" ca="1" si="57"/>
        <v>3.5980546029944195E-2</v>
      </c>
      <c r="I101" s="285">
        <f t="shared" ca="1" si="57"/>
        <v>4.4517835255296158E-2</v>
      </c>
    </row>
    <row r="102" spans="1:20" s="759" customFormat="1" outlineLevel="1">
      <c r="A102" s="61" t="s">
        <v>575</v>
      </c>
      <c r="B102" s="119"/>
      <c r="C102" s="285">
        <f t="shared" ref="C102:I102" ca="1" si="58">+C12*(C90)</f>
        <v>0</v>
      </c>
      <c r="D102" s="285">
        <f t="shared" ca="1" si="58"/>
        <v>0</v>
      </c>
      <c r="E102" s="285">
        <f t="shared" ca="1" si="58"/>
        <v>1.0609958281235122E-5</v>
      </c>
      <c r="F102" s="285">
        <f t="shared" ca="1" si="58"/>
        <v>2.0440995123611749E-5</v>
      </c>
      <c r="G102" s="285">
        <f t="shared" ca="1" si="58"/>
        <v>3.0158865876212861E-5</v>
      </c>
      <c r="H102" s="285">
        <f t="shared" ca="1" si="58"/>
        <v>4.0701975146995693E-5</v>
      </c>
      <c r="I102" s="285">
        <f t="shared" ca="1" si="58"/>
        <v>5.0359542144000181E-5</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2.2737140596686863E-2</v>
      </c>
      <c r="F104" s="296">
        <f t="shared" ca="1" si="60"/>
        <v>4.3805052549899977E-2</v>
      </c>
      <c r="G104" s="296">
        <f t="shared" ca="1" si="60"/>
        <v>6.4630449572724152E-2</v>
      </c>
      <c r="H104" s="296">
        <f t="shared" ca="1" si="60"/>
        <v>8.7224332740011776E-2</v>
      </c>
      <c r="I104" s="296">
        <f t="shared" ca="1" si="60"/>
        <v>0.10792049881459237</v>
      </c>
    </row>
    <row r="105" spans="1:20" ht="13.5" outlineLevel="1" thickBot="1">
      <c r="A105" s="122" t="s">
        <v>143</v>
      </c>
      <c r="B105" s="123"/>
      <c r="C105" s="124">
        <f t="shared" ref="C105:I105" ca="1" si="61">IF(C36&lt;&gt;0,+C104/C36,0)</f>
        <v>0</v>
      </c>
      <c r="D105" s="124">
        <f t="shared" ca="1" si="61"/>
        <v>0</v>
      </c>
      <c r="E105" s="124">
        <f t="shared" ca="1" si="61"/>
        <v>4.5248040988431562E-3</v>
      </c>
      <c r="F105" s="124">
        <f t="shared" ca="1" si="61"/>
        <v>1.0530060709110571E-2</v>
      </c>
      <c r="G105" s="124">
        <f t="shared" ca="1" si="61"/>
        <v>1.5821407484142999E-2</v>
      </c>
      <c r="H105" s="124">
        <f t="shared" ca="1" si="61"/>
        <v>2.25036978173405E-2</v>
      </c>
      <c r="I105" s="124">
        <f t="shared" ca="1" si="61"/>
        <v>2.6258028908659942E-2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1.6416024957254353E-2</v>
      </c>
      <c r="Q113" s="285">
        <f ca="1">IF($B113&lt;&gt;0,(+VLOOKUP($B113,$A$8:$I$13,6,FALSE)+VLOOKUP($B113,$A$42:$I$47,6,FALSE))*(F113),0)</f>
        <v>3.3507115525242083E-2</v>
      </c>
      <c r="R113" s="285">
        <f ca="1">IF($B113&lt;&gt;0,(+VLOOKUP($B113,$A$8:$I$13,7,FALSE)+VLOOKUP($B113,$A$42:$I$47,7,FALSE))*(G113),0)</f>
        <v>5.2242303711804931E-2</v>
      </c>
      <c r="S113" s="285">
        <f ca="1">IF($B113&lt;&gt;0,(+VLOOKUP($B113,$A$8:$I$13,8,FALSE)+VLOOKUP($B113,$A$42:$I$47,8,FALSE))*(H113),0)</f>
        <v>7.1802637648791398E-2</v>
      </c>
      <c r="T113" s="285">
        <f ca="1">IF($B113&lt;&gt;0,(+VLOOKUP($B113,$A$8:$I$13,9,FALSE)+VLOOKUP($B113,$A$42:$I$47,9,FALSE))*(I113),0)</f>
        <v>9.2105792222387156E-2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1.4148539415936989E-4</v>
      </c>
      <c r="Q115" s="285">
        <f t="shared" ca="1" si="68"/>
        <v>2.8643778733119005E-4</v>
      </c>
      <c r="R115" s="285">
        <f t="shared" ca="1" si="69"/>
        <v>5.5136811819510767E-4</v>
      </c>
      <c r="S115" s="285">
        <f t="shared" ca="1" si="70"/>
        <v>8.6882606446320881E-4</v>
      </c>
      <c r="T115" s="285">
        <f t="shared" ca="1" si="71"/>
        <v>1.2554755951837407E-3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4.4668960156029639E-3</v>
      </c>
      <c r="Q116" s="285">
        <f t="shared" ca="1" si="68"/>
        <v>9.0432501428847154E-3</v>
      </c>
      <c r="R116" s="285">
        <f t="shared" ca="1" si="69"/>
        <v>1.7407479160159826E-2</v>
      </c>
      <c r="S116" s="285">
        <f t="shared" ca="1" si="70"/>
        <v>2.7430080035195592E-2</v>
      </c>
      <c r="T116" s="285">
        <f t="shared" ca="1" si="71"/>
        <v>3.9637158076515244E-2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2.1685634025435076E-5</v>
      </c>
      <c r="Q117" s="285">
        <f t="shared" ca="1" si="68"/>
        <v>4.4263032397941988E-5</v>
      </c>
      <c r="R117" s="285">
        <f t="shared" ca="1" si="69"/>
        <v>6.9012290240165041E-5</v>
      </c>
      <c r="S117" s="285">
        <f t="shared" ca="1" si="70"/>
        <v>9.4851568888760105E-5</v>
      </c>
      <c r="T117" s="285">
        <f t="shared" ca="1" si="71"/>
        <v>1.2167211654212304E-4</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2.1046092001042124E-2</v>
      </c>
      <c r="Q119" s="292">
        <f t="shared" ca="1" si="72"/>
        <v>4.2881066487855925E-2</v>
      </c>
      <c r="R119" s="292">
        <f t="shared" ca="1" si="72"/>
        <v>7.0270163280400019E-2</v>
      </c>
      <c r="S119" s="292">
        <f t="shared" ca="1" si="72"/>
        <v>0.10019639531733897</v>
      </c>
      <c r="T119" s="292">
        <f t="shared" ca="1" si="72"/>
        <v>0.13312009801062827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1.6416024957254353E-2</v>
      </c>
      <c r="F134" s="285">
        <f t="shared" ca="1" si="75"/>
        <v>3.3507115525242083E-2</v>
      </c>
      <c r="G134" s="285">
        <f t="shared" ca="1" si="75"/>
        <v>5.2242303711804931E-2</v>
      </c>
      <c r="H134" s="285">
        <f t="shared" ca="1" si="75"/>
        <v>7.1802637648791398E-2</v>
      </c>
      <c r="I134" s="285">
        <f t="shared" ca="1" si="75"/>
        <v>9.2105792222387156E-2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1.4148539415936989E-4</v>
      </c>
      <c r="F136" s="285">
        <f t="shared" ca="1" si="77"/>
        <v>2.8643778733119005E-4</v>
      </c>
      <c r="G136" s="285">
        <f t="shared" ca="1" si="77"/>
        <v>5.5136811819510767E-4</v>
      </c>
      <c r="H136" s="285">
        <f t="shared" ca="1" si="77"/>
        <v>8.6882606446320881E-4</v>
      </c>
      <c r="I136" s="285">
        <f t="shared" ca="1" si="77"/>
        <v>1.2554755951837407E-3</v>
      </c>
    </row>
    <row r="137" spans="1:16" outlineLevel="1">
      <c r="A137" s="61" t="s">
        <v>647</v>
      </c>
      <c r="B137" s="119"/>
      <c r="C137" s="285">
        <f ca="1">(+C11+C45)*(C$125)</f>
        <v>0</v>
      </c>
      <c r="D137" s="285">
        <f t="shared" ref="D137:I137" ca="1" si="78">(+D11+D45)*(D$125)</f>
        <v>0</v>
      </c>
      <c r="E137" s="285">
        <f t="shared" ca="1" si="78"/>
        <v>4.4668960156029639E-3</v>
      </c>
      <c r="F137" s="285">
        <f t="shared" ca="1" si="78"/>
        <v>9.0432501428847154E-3</v>
      </c>
      <c r="G137" s="285">
        <f t="shared" ca="1" si="78"/>
        <v>1.7407479160159826E-2</v>
      </c>
      <c r="H137" s="285">
        <f t="shared" ca="1" si="78"/>
        <v>2.7430080035195592E-2</v>
      </c>
      <c r="I137" s="285">
        <f t="shared" ca="1" si="78"/>
        <v>3.9637158076515244E-2</v>
      </c>
    </row>
    <row r="138" spans="1:16" s="759" customFormat="1" outlineLevel="1">
      <c r="A138" s="61" t="s">
        <v>575</v>
      </c>
      <c r="B138" s="119"/>
      <c r="C138" s="285">
        <f ca="1">(+C12+C46)*(C$126)</f>
        <v>0</v>
      </c>
      <c r="D138" s="285">
        <f t="shared" ref="D138:I138" ca="1" si="79">(+D12+D46)*(D$126)</f>
        <v>0</v>
      </c>
      <c r="E138" s="285">
        <f t="shared" ca="1" si="79"/>
        <v>2.1685634025435076E-5</v>
      </c>
      <c r="F138" s="285">
        <f t="shared" ca="1" si="79"/>
        <v>4.4263032397941988E-5</v>
      </c>
      <c r="G138" s="285">
        <f t="shared" ca="1" si="79"/>
        <v>6.9012290240165041E-5</v>
      </c>
      <c r="H138" s="285">
        <f t="shared" ca="1" si="79"/>
        <v>9.4851568888760105E-5</v>
      </c>
      <c r="I138" s="285">
        <f t="shared" ca="1" si="79"/>
        <v>1.2167211654212304E-4</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2.1046092001042124E-2</v>
      </c>
      <c r="F140" s="296">
        <f t="shared" ca="1" si="81"/>
        <v>4.2881066487855925E-2</v>
      </c>
      <c r="G140" s="296">
        <f t="shared" ca="1" si="81"/>
        <v>7.0270163280400019E-2</v>
      </c>
      <c r="H140" s="296">
        <f t="shared" ca="1" si="81"/>
        <v>0.10019639531733897</v>
      </c>
      <c r="I140" s="296">
        <f t="shared" ca="1" si="81"/>
        <v>0.13312009801062827</v>
      </c>
    </row>
    <row r="141" spans="1:16" ht="13.5" outlineLevel="1" thickBot="1">
      <c r="A141" s="122" t="s">
        <v>148</v>
      </c>
      <c r="B141" s="126"/>
      <c r="C141" s="124">
        <f t="shared" ref="C141:I141" ca="1" si="82">IF((+C36+C48)&lt;&gt;0,+C140/(+C36+C48),0)</f>
        <v>0</v>
      </c>
      <c r="D141" s="124">
        <f t="shared" ca="1" si="82"/>
        <v>0</v>
      </c>
      <c r="E141" s="124">
        <f t="shared" ca="1" si="82"/>
        <v>4.16941124603693E-3</v>
      </c>
      <c r="F141" s="124">
        <f t="shared" ca="1" si="82"/>
        <v>1.0200536407330681E-2</v>
      </c>
      <c r="G141" s="124">
        <f t="shared" ca="1" si="82"/>
        <v>1.6934077415890262E-2</v>
      </c>
      <c r="H141" s="124">
        <f t="shared" ca="1" si="82"/>
        <v>2.5281535160556319E-2</v>
      </c>
      <c r="I141" s="124">
        <f t="shared" ca="1" si="82"/>
        <v>3.156059912652228E-2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2.8820000000000001</v>
      </c>
      <c r="F152" s="285">
        <f t="shared" si="83"/>
        <v>2.0169999999999999</v>
      </c>
      <c r="G152" s="285">
        <f t="shared" si="83"/>
        <v>1.9419999999999999</v>
      </c>
      <c r="H152" s="285">
        <f t="shared" si="83"/>
        <v>1.7330000000000001</v>
      </c>
      <c r="I152" s="285">
        <f t="shared" si="83"/>
        <v>1.9670000000000001</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2.8820000000000001</v>
      </c>
      <c r="F155" s="296">
        <f t="shared" si="84"/>
        <v>2.0169999999999999</v>
      </c>
      <c r="G155" s="296">
        <f t="shared" si="84"/>
        <v>1.9419999999999999</v>
      </c>
      <c r="H155" s="296">
        <f t="shared" si="84"/>
        <v>1.7330000000000001</v>
      </c>
      <c r="I155" s="296">
        <f t="shared" si="84"/>
        <v>1.9670000000000001</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 ca="1" si="85">IF(ISNUMBER($J160),OFFSET($B$177,MATCH(+$J160,$J$178:$J$195,0),0),"")</f>
        <v>Step Change</v>
      </c>
      <c r="B160" s="285">
        <f t="shared" ref="B160:I169" ca="1" si="86">IF(ISNUMBER($J160),OFFSET(B$177,MATCH(+$J160,$J$178:$J$195,0)+13,0),"")</f>
        <v>0</v>
      </c>
      <c r="C160" s="285">
        <f t="shared" ca="1" si="86"/>
        <v>0</v>
      </c>
      <c r="D160" s="285">
        <f t="shared" ca="1" si="86"/>
        <v>0</v>
      </c>
      <c r="E160" s="285">
        <f t="shared" ca="1" si="86"/>
        <v>2.8820000000000001</v>
      </c>
      <c r="F160" s="285">
        <f t="shared" ca="1" si="86"/>
        <v>2.0169999999999999</v>
      </c>
      <c r="G160" s="285">
        <f t="shared" ca="1" si="86"/>
        <v>1.9419999999999999</v>
      </c>
      <c r="H160" s="285">
        <f t="shared" ca="1" si="86"/>
        <v>1.7330000000000001</v>
      </c>
      <c r="I160" s="285">
        <f t="shared" ca="1" si="86"/>
        <v>1.9670000000000001</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ref="A161:A169" ca="1" si="90">IF(ISNUMBER($J161),OFFSET($B$177,MATCH(+$J161,$J$178:$J$195,0),0),"")</f>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90"/>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1">IF(J161&lt;$D$158,J161+1,"")</f>
        <v/>
      </c>
      <c r="K162" s="66" t="str">
        <f t="shared" ca="1" si="87"/>
        <v/>
      </c>
      <c r="L162" s="66" t="str">
        <f t="shared" ca="1" si="88"/>
        <v/>
      </c>
      <c r="M162" s="66" t="str">
        <f t="shared" ca="1" si="89"/>
        <v/>
      </c>
    </row>
    <row r="163" spans="1:13" outlineLevel="1">
      <c r="A163" s="66" t="str">
        <f t="shared" ca="1" si="90"/>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1"/>
        <v/>
      </c>
      <c r="K163" s="66" t="str">
        <f t="shared" ca="1" si="87"/>
        <v/>
      </c>
      <c r="L163" s="66" t="str">
        <f t="shared" ca="1" si="88"/>
        <v/>
      </c>
      <c r="M163" s="66" t="str">
        <f t="shared" ca="1" si="89"/>
        <v/>
      </c>
    </row>
    <row r="164" spans="1:13" outlineLevel="1">
      <c r="A164" s="66" t="str">
        <f t="shared" ca="1" si="90"/>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1"/>
        <v/>
      </c>
      <c r="K164" s="66" t="str">
        <f t="shared" ca="1" si="87"/>
        <v/>
      </c>
      <c r="L164" s="66" t="str">
        <f t="shared" ca="1" si="88"/>
        <v/>
      </c>
      <c r="M164" s="66" t="str">
        <f t="shared" ca="1" si="89"/>
        <v/>
      </c>
    </row>
    <row r="165" spans="1:13" outlineLevel="1">
      <c r="A165" s="66" t="str">
        <f t="shared" ca="1" si="90"/>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1"/>
        <v/>
      </c>
      <c r="K165" s="66" t="str">
        <f t="shared" ca="1" si="87"/>
        <v/>
      </c>
      <c r="L165" s="66" t="str">
        <f t="shared" ca="1" si="88"/>
        <v/>
      </c>
      <c r="M165" s="66" t="str">
        <f t="shared" ca="1" si="89"/>
        <v/>
      </c>
    </row>
    <row r="166" spans="1:13" outlineLevel="1">
      <c r="A166" s="66" t="str">
        <f t="shared" ca="1" si="90"/>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1"/>
        <v/>
      </c>
      <c r="K166" s="66" t="str">
        <f t="shared" ca="1" si="87"/>
        <v/>
      </c>
      <c r="L166" s="66" t="str">
        <f t="shared" ca="1" si="88"/>
        <v/>
      </c>
      <c r="M166" s="66" t="str">
        <f t="shared" ca="1" si="89"/>
        <v/>
      </c>
    </row>
    <row r="167" spans="1:13" outlineLevel="1">
      <c r="A167" s="66" t="str">
        <f t="shared" ca="1" si="90"/>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1"/>
        <v/>
      </c>
      <c r="K167" s="66" t="str">
        <f t="shared" ca="1" si="87"/>
        <v/>
      </c>
      <c r="L167" s="66" t="str">
        <f t="shared" ca="1" si="88"/>
        <v/>
      </c>
      <c r="M167" s="66" t="str">
        <f t="shared" ca="1" si="89"/>
        <v/>
      </c>
    </row>
    <row r="168" spans="1:13" outlineLevel="1">
      <c r="A168" s="66" t="str">
        <f t="shared" ca="1" si="90"/>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1"/>
        <v/>
      </c>
      <c r="K168" s="66" t="str">
        <f t="shared" ca="1" si="87"/>
        <v/>
      </c>
      <c r="L168" s="66" t="str">
        <f t="shared" ca="1" si="88"/>
        <v/>
      </c>
      <c r="M168" s="66" t="str">
        <f t="shared" ca="1" si="89"/>
        <v/>
      </c>
    </row>
    <row r="169" spans="1:13" outlineLevel="1">
      <c r="A169" s="66" t="str">
        <f t="shared" ca="1" si="90"/>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1"/>
        <v/>
      </c>
      <c r="K169" s="66" t="str">
        <f t="shared" ca="1" si="87"/>
        <v/>
      </c>
      <c r="L169" s="66" t="str">
        <f t="shared" ca="1" si="88"/>
        <v/>
      </c>
      <c r="M169" s="66" t="str">
        <f t="shared" ca="1" si="89"/>
        <v/>
      </c>
    </row>
    <row r="170" spans="1:13">
      <c r="A170" s="129" t="s">
        <v>150</v>
      </c>
      <c r="B170" s="296">
        <f ca="1">SUM(B160:B169)</f>
        <v>0</v>
      </c>
      <c r="C170" s="296">
        <f t="shared" ref="C170:I170" ca="1" si="92">SUM(C160:C169)</f>
        <v>0</v>
      </c>
      <c r="D170" s="296">
        <f t="shared" ca="1" si="92"/>
        <v>0</v>
      </c>
      <c r="E170" s="296">
        <f t="shared" ca="1" si="92"/>
        <v>2.8820000000000001</v>
      </c>
      <c r="F170" s="296">
        <f t="shared" ca="1" si="92"/>
        <v>2.0169999999999999</v>
      </c>
      <c r="G170" s="296">
        <f t="shared" ca="1" si="92"/>
        <v>1.9419999999999999</v>
      </c>
      <c r="H170" s="296">
        <f t="shared" ca="1" si="92"/>
        <v>1.7330000000000001</v>
      </c>
      <c r="I170" s="296">
        <f t="shared" ca="1" si="92"/>
        <v>1.9670000000000001</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(SEM)'!$N$25:$R$30</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2.8820000000000001</v>
      </c>
      <c r="F188" s="285">
        <v>2.0169999999999999</v>
      </c>
      <c r="G188" s="285">
        <v>1.9419999999999999</v>
      </c>
      <c r="H188" s="285">
        <v>1.7330000000000001</v>
      </c>
      <c r="I188" s="285">
        <v>1.9670000000000001</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3">SUM(C185:C190)</f>
        <v>0</v>
      </c>
      <c r="D191" s="296">
        <f t="shared" si="93"/>
        <v>0</v>
      </c>
      <c r="E191" s="296">
        <f t="shared" si="93"/>
        <v>2.8820000000000001</v>
      </c>
      <c r="F191" s="296">
        <f t="shared" si="93"/>
        <v>2.0169999999999999</v>
      </c>
      <c r="G191" s="296">
        <f t="shared" si="93"/>
        <v>1.9419999999999999</v>
      </c>
      <c r="H191" s="296">
        <f t="shared" si="93"/>
        <v>1.7330000000000001</v>
      </c>
      <c r="I191" s="296">
        <f t="shared" si="93"/>
        <v>1.9670000000000001</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13.5"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4">+B14</f>
        <v>0</v>
      </c>
      <c r="C205" s="82">
        <f t="shared" ca="1" si="94"/>
        <v>0</v>
      </c>
      <c r="D205" s="82">
        <f t="shared" ca="1" si="94"/>
        <v>2.1429999999999998</v>
      </c>
      <c r="E205" s="82">
        <f t="shared" ca="1" si="94"/>
        <v>2.1429999999999998</v>
      </c>
      <c r="F205" s="82">
        <f t="shared" ca="1" si="94"/>
        <v>2.1429999999999998</v>
      </c>
      <c r="G205" s="82">
        <f t="shared" ca="1" si="94"/>
        <v>2.1429999999999998</v>
      </c>
      <c r="H205" s="82">
        <f t="shared" ca="1" si="94"/>
        <v>2.1429999999999998</v>
      </c>
      <c r="I205" s="82">
        <f t="shared" ca="1" si="94"/>
        <v>2.1429999999999998</v>
      </c>
    </row>
    <row r="206" spans="1:9" outlineLevel="1">
      <c r="A206" t="s">
        <v>156</v>
      </c>
      <c r="B206" s="82">
        <f t="shared" ref="B206:I206" ca="1" si="95">+B36</f>
        <v>0</v>
      </c>
      <c r="C206" s="82">
        <f t="shared" ca="1" si="95"/>
        <v>0</v>
      </c>
      <c r="D206" s="82">
        <f t="shared" ca="1" si="95"/>
        <v>2.1429999999999998</v>
      </c>
      <c r="E206" s="82">
        <f t="shared" ca="1" si="95"/>
        <v>5.0250000000000004</v>
      </c>
      <c r="F206" s="82">
        <f t="shared" ca="1" si="95"/>
        <v>4.16</v>
      </c>
      <c r="G206" s="82">
        <f t="shared" ca="1" si="95"/>
        <v>4.085</v>
      </c>
      <c r="H206" s="82">
        <f t="shared" ca="1" si="95"/>
        <v>3.8759999999999999</v>
      </c>
      <c r="I206" s="82">
        <f t="shared" ca="1" si="95"/>
        <v>4.1100000000000003</v>
      </c>
    </row>
    <row r="207" spans="1:9" outlineLevel="1">
      <c r="A207" t="s">
        <v>157</v>
      </c>
      <c r="B207" s="82">
        <f t="shared" ref="B207:I207" ca="1" si="96">+B36+B48</f>
        <v>0</v>
      </c>
      <c r="C207" s="82">
        <f t="shared" ca="1" si="96"/>
        <v>0</v>
      </c>
      <c r="D207" s="82">
        <f t="shared" ca="1" si="96"/>
        <v>2.1429999999999998</v>
      </c>
      <c r="E207" s="82">
        <f t="shared" ca="1" si="96"/>
        <v>5.0477371405966869</v>
      </c>
      <c r="F207" s="82">
        <f t="shared" ca="1" si="96"/>
        <v>4.2038050525499004</v>
      </c>
      <c r="G207" s="82">
        <f t="shared" ca="1" si="96"/>
        <v>4.1496304495727241</v>
      </c>
      <c r="H207" s="82">
        <f t="shared" ca="1" si="96"/>
        <v>3.9632243327400118</v>
      </c>
      <c r="I207" s="82">
        <f t="shared" ca="1" si="96"/>
        <v>4.2179204988145926</v>
      </c>
    </row>
    <row r="208" spans="1:9" outlineLevel="1">
      <c r="A208" t="s">
        <v>158</v>
      </c>
      <c r="B208" s="82">
        <f t="shared" ref="B208:I208" ca="1" si="97">+B70</f>
        <v>0</v>
      </c>
      <c r="C208" s="82">
        <f t="shared" ca="1" si="97"/>
        <v>0</v>
      </c>
      <c r="D208" s="82">
        <f t="shared" ca="1" si="97"/>
        <v>2.1429999999999998</v>
      </c>
      <c r="E208" s="82">
        <f t="shared" ca="1" si="97"/>
        <v>5.0687832325977293</v>
      </c>
      <c r="F208" s="82">
        <f t="shared" ca="1" si="97"/>
        <v>4.2466861190377552</v>
      </c>
      <c r="G208" s="82">
        <f t="shared" ca="1" si="97"/>
        <v>4.2199006128531247</v>
      </c>
      <c r="H208" s="82">
        <f t="shared" ca="1" si="97"/>
        <v>4.0634207280573511</v>
      </c>
      <c r="I208" s="82">
        <f t="shared" ca="1" si="97"/>
        <v>4.3510405968252206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70" priority="1" stopIfTrue="1" operator="notEqual">
      <formula>0</formula>
    </cfRule>
  </conditionalFormatting>
  <conditionalFormatting sqref="J130 J94 J70 J59 J48 J36:J37 J14 J25">
    <cfRule type="cellIs" dxfId="369" priority="2" stopIfTrue="1" operator="equal">
      <formula>"OK"</formula>
    </cfRule>
    <cfRule type="cellIs" dxfId="368" priority="3" stopIfTrue="1" operator="equal">
      <formula>"Warning Check Escalations"</formula>
    </cfRule>
  </conditionalFormatting>
  <conditionalFormatting sqref="N120:T120 N84:T84">
    <cfRule type="cellIs" dxfId="367" priority="4" stopIfTrue="1" operator="notEqual">
      <formula>0</formula>
    </cfRule>
    <cfRule type="cellIs" dxfId="36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17.xml><?xml version="1.0" encoding="utf-8"?>
<worksheet xmlns="http://schemas.openxmlformats.org/spreadsheetml/2006/main" xmlns:r="http://schemas.openxmlformats.org/officeDocument/2006/relationships">
  <sheetPr codeName="Sheet60" enableFormatConditionsCalculation="0">
    <tabColor indexed="57"/>
    <pageSetUpPr fitToPage="1"/>
  </sheetPr>
  <dimension ref="A1:T239"/>
  <sheetViews>
    <sheetView showGridLines="0" topLeftCell="A6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4</v>
      </c>
      <c r="M1" s="282"/>
      <c r="N1" s="280"/>
      <c r="O1" s="280"/>
      <c r="P1" s="280"/>
      <c r="Q1" s="280"/>
      <c r="R1" s="280"/>
      <c r="S1" s="280"/>
      <c r="T1" s="280"/>
    </row>
    <row r="2" spans="1:20" ht="15.75">
      <c r="A2" s="184" t="s">
        <v>121</v>
      </c>
      <c r="B2" s="74" t="str">
        <f ca="1">OFFSET(List_AllocOpexListStart,+$K$1,1)</f>
        <v>Audit Services</v>
      </c>
      <c r="F2" s="284"/>
      <c r="H2" s="42"/>
      <c r="I2" s="283"/>
      <c r="L2" s="282"/>
      <c r="M2" s="282"/>
    </row>
    <row r="3" spans="1:20" ht="16.5" thickBot="1">
      <c r="A3" s="184" t="s">
        <v>371</v>
      </c>
      <c r="B3" s="236" t="str">
        <f ca="1">OFFSET(List_AllocOpexListStart,+$K$1,2)</f>
        <v>Craig Bignell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0.48</v>
      </c>
      <c r="E8" s="285">
        <f ca="1">OFFSET(Future_AOpexStart,MATCH($K$1,'I-6 Future A'!$A$6:$A$379)+2,+'I-5 Future DA'!F$5)</f>
        <v>0.48</v>
      </c>
      <c r="F8" s="285">
        <f ca="1">OFFSET(Future_AOpexStart,MATCH($K$1,'I-6 Future A'!$A$6:$A$379)+2,+'I-5 Future DA'!G$5)</f>
        <v>0.48</v>
      </c>
      <c r="G8" s="285">
        <f ca="1">OFFSET(Future_AOpexStart,MATCH($K$1,'I-6 Future A'!$A$6:$A$379)+2,+'I-5 Future DA'!H$5)</f>
        <v>0.48</v>
      </c>
      <c r="H8" s="285">
        <f ca="1">OFFSET(Future_AOpexStart,MATCH($K$1,'I-6 Future A'!$A$6:$A$379)+2,+'I-5 Future DA'!I$5)</f>
        <v>0.48</v>
      </c>
      <c r="I8" s="285">
        <f ca="1">OFFSET(Future_AOpexStart,MATCH($K$1,'I-6 Future A'!$A$6:$A$379)+2,+'I-5 Future DA'!J$5)</f>
        <v>0.48</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5.0000000000000001E-3</v>
      </c>
      <c r="E9" s="285">
        <f ca="1">OFFSET(Future_AOpexStart,MATCH($K$1,'I-6 Future A'!$A$6:$A$379)+3,+'I-5 Future DA'!F$5)</f>
        <v>5.0000000000000001E-3</v>
      </c>
      <c r="F9" s="285">
        <f ca="1">OFFSET(Future_AOpexStart,MATCH($K$1,'I-6 Future A'!$A$6:$A$379)+3,+'I-5 Future DA'!G$5)</f>
        <v>5.0000000000000001E-3</v>
      </c>
      <c r="G9" s="285">
        <f ca="1">OFFSET(Future_AOpexStart,MATCH($K$1,'I-6 Future A'!$A$6:$A$379)+3,+'I-5 Future DA'!H$5)</f>
        <v>5.0000000000000001E-3</v>
      </c>
      <c r="H9" s="285">
        <f ca="1">OFFSET(Future_AOpexStart,MATCH($K$1,'I-6 Future A'!$A$6:$A$379)+3,+'I-5 Future DA'!I$5)</f>
        <v>5.0000000000000001E-3</v>
      </c>
      <c r="I9" s="285">
        <f ca="1">OFFSET(Future_AOpexStart,MATCH($K$1,'I-6 Future A'!$A$6:$A$379)+3,+'I-5 Future DA'!J$5)</f>
        <v>5.0000000000000001E-3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0.3</v>
      </c>
      <c r="E11" s="285">
        <f ca="1">OFFSET(Future_AOpexStart,MATCH($K$1,'I-6 Future A'!$A$6:$A$379)+5,+'I-5 Future DA'!F$5)</f>
        <v>0.3</v>
      </c>
      <c r="F11" s="285">
        <f ca="1">OFFSET(Future_AOpexStart,MATCH($K$1,'I-6 Future A'!$A$6:$A$379)+5,+'I-5 Future DA'!G$5)</f>
        <v>0.3</v>
      </c>
      <c r="G11" s="285">
        <f ca="1">OFFSET(Future_AOpexStart,MATCH($K$1,'I-6 Future A'!$A$6:$A$379)+5,+'I-5 Future DA'!H$5)</f>
        <v>0.3</v>
      </c>
      <c r="H11" s="285">
        <f ca="1">OFFSET(Future_AOpexStart,MATCH($K$1,'I-6 Future A'!$A$6:$A$379)+5,+'I-5 Future DA'!I$5)</f>
        <v>0.3</v>
      </c>
      <c r="I11" s="285">
        <f ca="1">OFFSET(Future_AOpexStart,MATCH($K$1,'I-6 Future A'!$A$6:$A$379)+5,+'I-5 Future DA'!J$5)</f>
        <v>0.3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0.78499999999999992</v>
      </c>
      <c r="E14" s="287">
        <f t="shared" ca="1" si="0"/>
        <v>0.78499999999999992</v>
      </c>
      <c r="F14" s="287">
        <f t="shared" ca="1" si="0"/>
        <v>0.78499999999999992</v>
      </c>
      <c r="G14" s="287">
        <f t="shared" ca="1" si="0"/>
        <v>0.78499999999999992</v>
      </c>
      <c r="H14" s="287">
        <f t="shared" ca="1" si="0"/>
        <v>0.78499999999999992</v>
      </c>
      <c r="I14" s="287">
        <f t="shared" ca="1" si="0"/>
        <v>0.78499999999999992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0.20499999999999999</v>
      </c>
      <c r="F19" s="285">
        <f t="shared" si="1"/>
        <v>0.20499999999999999</v>
      </c>
      <c r="G19" s="285">
        <f t="shared" si="1"/>
        <v>0.20499999999999999</v>
      </c>
      <c r="H19" s="285">
        <f t="shared" si="1"/>
        <v>0.20499999999999999</v>
      </c>
      <c r="I19" s="285">
        <f t="shared" si="1"/>
        <v>0.20499999999999999</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0.20499999999999999</v>
      </c>
      <c r="F25" s="287">
        <f t="shared" si="6"/>
        <v>0.20499999999999999</v>
      </c>
      <c r="G25" s="287">
        <f t="shared" si="6"/>
        <v>0.20499999999999999</v>
      </c>
      <c r="H25" s="287">
        <f t="shared" si="6"/>
        <v>0.20499999999999999</v>
      </c>
      <c r="I25" s="287">
        <f t="shared" si="6"/>
        <v>0.20499999999999999</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+'A-4'!B8+'A-4'!B19</f>
        <v>0</v>
      </c>
      <c r="C30" s="285">
        <f ca="1">+'A-4'!C8+'A-4'!C19</f>
        <v>0</v>
      </c>
      <c r="D30" s="285">
        <f ca="1">+'A-4'!D8+'A-4'!D19</f>
        <v>0.48</v>
      </c>
      <c r="E30" s="285">
        <f ca="1">+'A-4'!E8+'A-4'!E19</f>
        <v>0.68499999999999994</v>
      </c>
      <c r="F30" s="285">
        <f ca="1">+'A-4'!F8+'A-4'!F19</f>
        <v>0.68499999999999994</v>
      </c>
      <c r="G30" s="285">
        <f ca="1">+'A-4'!G8+'A-4'!G19</f>
        <v>0.68499999999999994</v>
      </c>
      <c r="H30" s="285">
        <f ca="1">+'A-4'!H8+'A-4'!H19</f>
        <v>0.68499999999999994</v>
      </c>
      <c r="I30" s="285">
        <f ca="1">+'A-4'!I8+'A-4'!I19</f>
        <v>0.68499999999999994</v>
      </c>
      <c r="J30" s="42"/>
      <c r="K30" s="21"/>
      <c r="L30" s="21"/>
    </row>
    <row r="31" spans="1:12" outlineLevel="2">
      <c r="A31" s="61" t="s">
        <v>69</v>
      </c>
      <c r="B31" s="285">
        <f ca="1">+'A-4'!B9+'A-4'!B20</f>
        <v>0</v>
      </c>
      <c r="C31" s="285">
        <f ca="1">+'A-4'!C9+'A-4'!C20</f>
        <v>0</v>
      </c>
      <c r="D31" s="285">
        <f ca="1">+'A-4'!D9+'A-4'!D20</f>
        <v>5.0000000000000001E-3</v>
      </c>
      <c r="E31" s="285">
        <f ca="1">+'A-4'!E9+'A-4'!E20</f>
        <v>5.0000000000000001E-3</v>
      </c>
      <c r="F31" s="285">
        <f ca="1">+'A-4'!F9+'A-4'!F20</f>
        <v>5.0000000000000001E-3</v>
      </c>
      <c r="G31" s="285">
        <f ca="1">+'A-4'!G9+'A-4'!G20</f>
        <v>5.0000000000000001E-3</v>
      </c>
      <c r="H31" s="285">
        <f ca="1">+'A-4'!H9+'A-4'!H20</f>
        <v>5.0000000000000001E-3</v>
      </c>
      <c r="I31" s="285">
        <f ca="1">+'A-4'!I9+'A-4'!I20</f>
        <v>5.0000000000000001E-3</v>
      </c>
      <c r="J31" s="42"/>
      <c r="K31" s="21"/>
      <c r="L31" s="21"/>
    </row>
    <row r="32" spans="1:12" s="759" customFormat="1" outlineLevel="2">
      <c r="A32" s="61" t="s">
        <v>646</v>
      </c>
      <c r="B32" s="285">
        <f ca="1">+'A-4'!B10+'A-4'!B21</f>
        <v>0</v>
      </c>
      <c r="C32" s="285">
        <f ca="1">+'A-4'!C10+'A-4'!C21</f>
        <v>0</v>
      </c>
      <c r="D32" s="285">
        <f ca="1">+'A-4'!D10+'A-4'!D21</f>
        <v>0</v>
      </c>
      <c r="E32" s="285">
        <f ca="1">+'A-4'!E10+'A-4'!E21</f>
        <v>0</v>
      </c>
      <c r="F32" s="285">
        <f ca="1">+'A-4'!F10+'A-4'!F21</f>
        <v>0</v>
      </c>
      <c r="G32" s="285">
        <f ca="1">+'A-4'!G10+'A-4'!G21</f>
        <v>0</v>
      </c>
      <c r="H32" s="285">
        <f ca="1">+'A-4'!H10+'A-4'!H21</f>
        <v>0</v>
      </c>
      <c r="I32" s="285">
        <f ca="1">+'A-4'!I10+'A-4'!I21</f>
        <v>0</v>
      </c>
      <c r="J32" s="42"/>
      <c r="K32" s="732"/>
      <c r="L32" s="732"/>
    </row>
    <row r="33" spans="1:12" outlineLevel="2">
      <c r="A33" s="61" t="s">
        <v>647</v>
      </c>
      <c r="B33" s="285">
        <f ca="1">+'A-4'!B11+'A-4'!B22</f>
        <v>0</v>
      </c>
      <c r="C33" s="285">
        <f ca="1">+'A-4'!C11+'A-4'!C22</f>
        <v>0</v>
      </c>
      <c r="D33" s="285">
        <f ca="1">+'A-4'!D11+'A-4'!D22</f>
        <v>0.3</v>
      </c>
      <c r="E33" s="285">
        <f ca="1">+'A-4'!E11+'A-4'!E22</f>
        <v>0.3</v>
      </c>
      <c r="F33" s="285">
        <f ca="1">+'A-4'!F11+'A-4'!F22</f>
        <v>0.3</v>
      </c>
      <c r="G33" s="285">
        <f ca="1">+'A-4'!G11+'A-4'!G22</f>
        <v>0.3</v>
      </c>
      <c r="H33" s="285">
        <f ca="1">+'A-4'!H11+'A-4'!H22</f>
        <v>0.3</v>
      </c>
      <c r="I33" s="285">
        <f ca="1">+'A-4'!I11+'A-4'!I22</f>
        <v>0.3</v>
      </c>
      <c r="J33" s="42"/>
      <c r="K33" s="21"/>
      <c r="L33" s="21"/>
    </row>
    <row r="34" spans="1:12" s="759" customFormat="1" outlineLevel="2">
      <c r="A34" s="61" t="s">
        <v>575</v>
      </c>
      <c r="B34" s="285">
        <f ca="1">+'A-4'!B12+'A-4'!B23</f>
        <v>0</v>
      </c>
      <c r="C34" s="285">
        <f ca="1">+'A-4'!C12+'A-4'!C23</f>
        <v>0</v>
      </c>
      <c r="D34" s="285">
        <f ca="1">+'A-4'!D12+'A-4'!D23</f>
        <v>0</v>
      </c>
      <c r="E34" s="285">
        <f ca="1">+'A-4'!E12+'A-4'!E23</f>
        <v>0</v>
      </c>
      <c r="F34" s="285">
        <f ca="1">+'A-4'!F12+'A-4'!F23</f>
        <v>0</v>
      </c>
      <c r="G34" s="285">
        <f ca="1">+'A-4'!G12+'A-4'!G23</f>
        <v>0</v>
      </c>
      <c r="H34" s="285">
        <f ca="1">+'A-4'!H12+'A-4'!H23</f>
        <v>0</v>
      </c>
      <c r="I34" s="285">
        <f ca="1">+'A-4'!I12+'A-4'!I23</f>
        <v>0</v>
      </c>
      <c r="J34" s="42"/>
      <c r="K34" s="732"/>
      <c r="L34" s="732"/>
    </row>
    <row r="35" spans="1:12" ht="13.5" outlineLevel="2" thickBot="1">
      <c r="A35" s="83" t="s">
        <v>70</v>
      </c>
      <c r="B35" s="285">
        <f ca="1">+'A-4'!B13+'A-4'!B24</f>
        <v>0</v>
      </c>
      <c r="C35" s="285">
        <f ca="1">+'A-4'!C13+'A-4'!C24</f>
        <v>0</v>
      </c>
      <c r="D35" s="285">
        <f ca="1">+'A-4'!D13+'A-4'!D24</f>
        <v>0</v>
      </c>
      <c r="E35" s="285">
        <f ca="1">+'A-4'!E13+'A-4'!E24</f>
        <v>0</v>
      </c>
      <c r="F35" s="285">
        <f ca="1">+'A-4'!F13+'A-4'!F24</f>
        <v>0</v>
      </c>
      <c r="G35" s="285">
        <f ca="1">+'A-4'!G13+'A-4'!G24</f>
        <v>0</v>
      </c>
      <c r="H35" s="285">
        <f ca="1">+'A-4'!H13+'A-4'!H24</f>
        <v>0</v>
      </c>
      <c r="I35" s="285">
        <f ca="1">+'A-4'!I13+'A-4'!I24</f>
        <v>0</v>
      </c>
      <c r="J35" s="93"/>
      <c r="K35" s="21"/>
      <c r="L35" s="21"/>
    </row>
    <row r="36" spans="1:12" s="87" customFormat="1" ht="20.25" customHeight="1" thickBot="1">
      <c r="A36" s="94" t="s">
        <v>128</v>
      </c>
      <c r="B36" s="294">
        <f t="shared" ref="B36:I36" ca="1" si="7">SUM(B30:B35)</f>
        <v>0</v>
      </c>
      <c r="C36" s="294">
        <f t="shared" ca="1" si="7"/>
        <v>0</v>
      </c>
      <c r="D36" s="294">
        <f t="shared" ca="1" si="7"/>
        <v>0.78499999999999992</v>
      </c>
      <c r="E36" s="294">
        <f t="shared" ca="1" si="7"/>
        <v>0.99</v>
      </c>
      <c r="F36" s="294">
        <f t="shared" ca="1" si="7"/>
        <v>0.99</v>
      </c>
      <c r="G36" s="294">
        <f t="shared" ca="1" si="7"/>
        <v>0.99</v>
      </c>
      <c r="H36" s="294">
        <f t="shared" ca="1" si="7"/>
        <v>0.99</v>
      </c>
      <c r="I36" s="294">
        <f t="shared" ca="1" si="7"/>
        <v>0.99</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5.0927799749928577E-3</v>
      </c>
      <c r="F42" s="285">
        <f t="shared" ca="1" si="8"/>
        <v>9.8116776593336393E-3</v>
      </c>
      <c r="G42" s="285">
        <f t="shared" ca="1" si="8"/>
        <v>1.4476255620582171E-2</v>
      </c>
      <c r="H42" s="285">
        <f t="shared" ca="1" si="8"/>
        <v>1.9536948070557933E-2</v>
      </c>
      <c r="I42" s="285">
        <f t="shared" ca="1" si="8"/>
        <v>2.4172580229120087E-2</v>
      </c>
      <c r="K42" s="63"/>
      <c r="L42" s="63"/>
    </row>
    <row r="43" spans="1:12" outlineLevel="1">
      <c r="A43" s="61" t="s">
        <v>69</v>
      </c>
      <c r="B43" s="82"/>
      <c r="C43" s="285">
        <f t="shared" ca="1" si="8"/>
        <v>0</v>
      </c>
      <c r="D43" s="285">
        <f t="shared" ca="1" si="8"/>
        <v>0</v>
      </c>
      <c r="E43" s="285">
        <f t="shared" ca="1" si="8"/>
        <v>5.3049791406175605E-5</v>
      </c>
      <c r="F43" s="285">
        <f t="shared" ca="1" si="8"/>
        <v>1.0220497561805875E-4</v>
      </c>
      <c r="G43" s="285">
        <f t="shared" ca="1" si="8"/>
        <v>1.507943293810643E-4</v>
      </c>
      <c r="H43" s="285">
        <f t="shared" ca="1" si="8"/>
        <v>2.0350987573497848E-4</v>
      </c>
      <c r="I43" s="285">
        <f t="shared" ca="1" si="8"/>
        <v>2.5179771072000092E-4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3.1829874843705363E-3</v>
      </c>
      <c r="F45" s="285">
        <f t="shared" ca="1" si="10"/>
        <v>6.1322985370835248E-3</v>
      </c>
      <c r="G45" s="285">
        <f t="shared" ca="1" si="10"/>
        <v>9.0476597628638567E-3</v>
      </c>
      <c r="H45" s="285">
        <f t="shared" ca="1" si="10"/>
        <v>1.2210592544098708E-2</v>
      </c>
      <c r="I45" s="285">
        <f t="shared" ca="1" si="10"/>
        <v>1.5107862643200054E-2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8.3288172507695688E-3</v>
      </c>
      <c r="F48" s="294">
        <f t="shared" ca="1" si="13"/>
        <v>1.6046181172035223E-2</v>
      </c>
      <c r="G48" s="294">
        <f t="shared" ca="1" si="13"/>
        <v>2.3674709712827091E-2</v>
      </c>
      <c r="H48" s="294">
        <f t="shared" ca="1" si="13"/>
        <v>3.1951050490391618E-2</v>
      </c>
      <c r="I48" s="294">
        <f t="shared" ca="1" si="13"/>
        <v>3.953224058304014E-2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1.0409104332208836E-2</v>
      </c>
      <c r="F53" s="285">
        <f t="shared" ca="1" si="14"/>
        <v>2.1246255551012155E-2</v>
      </c>
      <c r="G53" s="285">
        <f t="shared" ca="1" si="14"/>
        <v>3.3125899315279213E-2</v>
      </c>
      <c r="H53" s="285">
        <f t="shared" ca="1" si="14"/>
        <v>4.5528753066604845E-2</v>
      </c>
      <c r="I53" s="285">
        <f t="shared" ca="1" si="14"/>
        <v>5.840261594021906E-2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1.5159149374218202E-3</v>
      </c>
      <c r="F56" s="285">
        <f t="shared" ca="1" si="16"/>
        <v>3.0689762928341789E-3</v>
      </c>
      <c r="G56" s="285">
        <f t="shared" ca="1" si="16"/>
        <v>5.9075155520904388E-3</v>
      </c>
      <c r="H56" s="285">
        <f t="shared" ca="1" si="16"/>
        <v>9.3088506906772381E-3</v>
      </c>
      <c r="I56" s="285">
        <f t="shared" ca="1" si="16"/>
        <v>1.3451524234111509E-2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1.1925019269630657E-2</v>
      </c>
      <c r="F59" s="287">
        <f t="shared" ca="1" si="19"/>
        <v>2.4315231843846333E-2</v>
      </c>
      <c r="G59" s="287">
        <f t="shared" ca="1" si="19"/>
        <v>3.9033414867369651E-2</v>
      </c>
      <c r="H59" s="287">
        <f t="shared" ca="1" si="19"/>
        <v>5.4837603757282083E-2</v>
      </c>
      <c r="I59" s="287">
        <f t="shared" ca="1" si="19"/>
        <v>7.1854140174330575E-2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0.48</v>
      </c>
      <c r="E64" s="285">
        <f t="shared" ca="1" si="20"/>
        <v>0.70050188430720173</v>
      </c>
      <c r="F64" s="285">
        <f t="shared" ca="1" si="20"/>
        <v>0.71605793321034572</v>
      </c>
      <c r="G64" s="285">
        <f t="shared" ca="1" si="20"/>
        <v>0.73260215493586134</v>
      </c>
      <c r="H64" s="285">
        <f t="shared" ca="1" si="20"/>
        <v>0.75006570113716275</v>
      </c>
      <c r="I64" s="285">
        <f t="shared" ca="1" si="20"/>
        <v>0.76757519616933911</v>
      </c>
      <c r="K64" s="63"/>
      <c r="L64" s="63"/>
    </row>
    <row r="65" spans="1:20" ht="12.75" customHeight="1" outlineLevel="1">
      <c r="A65" s="61" t="s">
        <v>69</v>
      </c>
      <c r="B65" s="285">
        <f t="shared" ca="1" si="20"/>
        <v>0</v>
      </c>
      <c r="C65" s="285">
        <f t="shared" ca="1" si="20"/>
        <v>0</v>
      </c>
      <c r="D65" s="285">
        <f t="shared" ca="1" si="20"/>
        <v>5.0000000000000001E-3</v>
      </c>
      <c r="E65" s="285">
        <f t="shared" ca="1" si="20"/>
        <v>5.0530497914061754E-3</v>
      </c>
      <c r="F65" s="285">
        <f t="shared" ca="1" si="20"/>
        <v>5.1022049756180585E-3</v>
      </c>
      <c r="G65" s="285">
        <f t="shared" ca="1" si="20"/>
        <v>5.1507943293810643E-3</v>
      </c>
      <c r="H65" s="285">
        <f t="shared" ca="1" si="20"/>
        <v>5.2035098757349787E-3</v>
      </c>
      <c r="I65" s="285">
        <f t="shared" ca="1" si="20"/>
        <v>5.251797710720001E-3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0.3</v>
      </c>
      <c r="E67" s="285">
        <f t="shared" ca="1" si="22"/>
        <v>0.30469890242179232</v>
      </c>
      <c r="F67" s="285">
        <f t="shared" ca="1" si="22"/>
        <v>0.30920127482991772</v>
      </c>
      <c r="G67" s="285">
        <f t="shared" ca="1" si="22"/>
        <v>0.31495517531495432</v>
      </c>
      <c r="H67" s="285">
        <f t="shared" ca="1" si="22"/>
        <v>0.32151944323477594</v>
      </c>
      <c r="I67" s="285">
        <f t="shared" ca="1" si="22"/>
        <v>0.32855938687731157</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0.78499999999999992</v>
      </c>
      <c r="E70" s="295">
        <f t="shared" ca="1" si="25"/>
        <v>1.0102538365204001</v>
      </c>
      <c r="F70" s="295">
        <f t="shared" ca="1" si="25"/>
        <v>1.0303614130158816</v>
      </c>
      <c r="G70" s="295">
        <f t="shared" ca="1" si="25"/>
        <v>1.0527081245801968</v>
      </c>
      <c r="H70" s="295">
        <f t="shared" ca="1" si="25"/>
        <v>1.0767886542476737</v>
      </c>
      <c r="I70" s="295">
        <f t="shared" ca="1" si="25"/>
        <v>1.1013863807573707</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5.0927799749928577E-3</v>
      </c>
      <c r="Q77" s="285">
        <f ca="1">IF($B77&lt;&gt;0,(+VLOOKUP($B77,$A$8:$I$13,6,FALSE))*(F77),0)</f>
        <v>9.8116776593336393E-3</v>
      </c>
      <c r="R77" s="285">
        <f ca="1">IF($B77&lt;&gt;0,(+VLOOKUP($B77,$A$8:$I$13,7,FALSE))*(G77),0)</f>
        <v>1.4476255620582171E-2</v>
      </c>
      <c r="S77" s="285">
        <f ca="1">IF($B77&lt;&gt;0,(+VLOOKUP($B77,$A$8:$I$13,8,FALSE))*(H77),0)</f>
        <v>1.9536948070557933E-2</v>
      </c>
      <c r="T77" s="285">
        <f ca="1">IF($B77&lt;&gt;0,(+VLOOKUP($B77,$A$8:$I$13,9,FALSE))*(I77),0)</f>
        <v>2.4172580229120087E-2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5.3049791406175605E-5</v>
      </c>
      <c r="Q78" s="285">
        <f ca="1">IF($B78&lt;&gt;0,(+VLOOKUP($B78,$A$8:$I$13,6,FALSE))*(F78),0)</f>
        <v>1.0220497561805875E-4</v>
      </c>
      <c r="R78" s="285">
        <f ca="1">IF($B78&lt;&gt;0,(+VLOOKUP($B78,$A$8:$I$13,7,FALSE))*(G78),0)</f>
        <v>1.507943293810643E-4</v>
      </c>
      <c r="S78" s="285">
        <f ca="1">IF($B78&lt;&gt;0,(+VLOOKUP($B78,$A$8:$I$13,8,FALSE))*(H78),0)</f>
        <v>2.0350987573497848E-4</v>
      </c>
      <c r="T78" s="285">
        <f ca="1">IF($B78&lt;&gt;0,(+VLOOKUP($B78,$A$8:$I$13,9,FALSE))*(I78),0)</f>
        <v>2.5179771072000092E-4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3.1829874843705363E-3</v>
      </c>
      <c r="Q80" s="285">
        <f t="shared" ca="1" si="34"/>
        <v>6.1322985370835248E-3</v>
      </c>
      <c r="R80" s="285">
        <f t="shared" ca="1" si="35"/>
        <v>9.0476597628638567E-3</v>
      </c>
      <c r="S80" s="285">
        <f t="shared" ca="1" si="36"/>
        <v>1.2210592544098708E-2</v>
      </c>
      <c r="T80" s="285">
        <f t="shared" ca="1" si="37"/>
        <v>1.5107862643200054E-2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8.3288172507695688E-3</v>
      </c>
      <c r="Q83" s="292">
        <f t="shared" ca="1" si="51"/>
        <v>1.6046181172035223E-2</v>
      </c>
      <c r="R83" s="292">
        <f t="shared" ca="1" si="51"/>
        <v>2.3674709712827091E-2</v>
      </c>
      <c r="S83" s="292">
        <f t="shared" ca="1" si="51"/>
        <v>3.1951050490391618E-2</v>
      </c>
      <c r="T83" s="292">
        <f t="shared" ca="1" si="51"/>
        <v>3.953224058304014E-2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5.0927799749928577E-3</v>
      </c>
      <c r="F98" s="285">
        <f t="shared" ca="1" si="54"/>
        <v>9.8116776593336393E-3</v>
      </c>
      <c r="G98" s="285">
        <f t="shared" ca="1" si="54"/>
        <v>1.4476255620582171E-2</v>
      </c>
      <c r="H98" s="285">
        <f t="shared" ca="1" si="54"/>
        <v>1.9536948070557933E-2</v>
      </c>
      <c r="I98" s="285">
        <f t="shared" ca="1" si="54"/>
        <v>2.4172580229120087E-2</v>
      </c>
    </row>
    <row r="99" spans="1:20" outlineLevel="1">
      <c r="A99" s="61" t="s">
        <v>69</v>
      </c>
      <c r="B99" s="119"/>
      <c r="C99" s="285">
        <f t="shared" ref="C99:I99" ca="1" si="55">+C9*(C87)</f>
        <v>0</v>
      </c>
      <c r="D99" s="285">
        <f t="shared" ca="1" si="55"/>
        <v>0</v>
      </c>
      <c r="E99" s="285">
        <f t="shared" ca="1" si="55"/>
        <v>5.3049791406175605E-5</v>
      </c>
      <c r="F99" s="285">
        <f t="shared" ca="1" si="55"/>
        <v>1.0220497561805875E-4</v>
      </c>
      <c r="G99" s="285">
        <f t="shared" ca="1" si="55"/>
        <v>1.507943293810643E-4</v>
      </c>
      <c r="H99" s="285">
        <f t="shared" ca="1" si="55"/>
        <v>2.0350987573497848E-4</v>
      </c>
      <c r="I99" s="285">
        <f t="shared" ca="1" si="55"/>
        <v>2.5179771072000092E-4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3.1829874843705363E-3</v>
      </c>
      <c r="F101" s="285">
        <f t="shared" ca="1" si="57"/>
        <v>6.1322985370835248E-3</v>
      </c>
      <c r="G101" s="285">
        <f t="shared" ca="1" si="57"/>
        <v>9.0476597628638567E-3</v>
      </c>
      <c r="H101" s="285">
        <f t="shared" ca="1" si="57"/>
        <v>1.2210592544098708E-2</v>
      </c>
      <c r="I101" s="285">
        <f t="shared" ca="1" si="57"/>
        <v>1.5107862643200054E-2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8.3288172507695688E-3</v>
      </c>
      <c r="F104" s="296">
        <f t="shared" ca="1" si="60"/>
        <v>1.6046181172035223E-2</v>
      </c>
      <c r="G104" s="296">
        <f t="shared" ca="1" si="60"/>
        <v>2.3674709712827091E-2</v>
      </c>
      <c r="H104" s="296">
        <f t="shared" ca="1" si="60"/>
        <v>3.1951050490391618E-2</v>
      </c>
      <c r="I104" s="296">
        <f t="shared" ca="1" si="60"/>
        <v>3.953224058304014E-2</v>
      </c>
    </row>
    <row r="105" spans="1:20" ht="13.5" outlineLevel="1" thickBot="1">
      <c r="A105" s="122" t="s">
        <v>143</v>
      </c>
      <c r="B105" s="123"/>
      <c r="C105" s="124">
        <f t="shared" ref="C105:I105" ca="1" si="61">IF(C36&lt;&gt;0,+C104/C36,0)</f>
        <v>0</v>
      </c>
      <c r="D105" s="124">
        <f t="shared" ca="1" si="61"/>
        <v>0</v>
      </c>
      <c r="E105" s="124">
        <f t="shared" ca="1" si="61"/>
        <v>8.4129467179490589E-3</v>
      </c>
      <c r="F105" s="124">
        <f t="shared" ca="1" si="61"/>
        <v>1.6208263810136587E-2</v>
      </c>
      <c r="G105" s="124">
        <f t="shared" ca="1" si="61"/>
        <v>2.391384819477484E-2</v>
      </c>
      <c r="H105" s="124">
        <f t="shared" ca="1" si="61"/>
        <v>3.2273788374132945E-2</v>
      </c>
      <c r="I105" s="124">
        <f t="shared" ca="1" si="61"/>
        <v>3.9931556144484993E-2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1.0409104332208836E-2</v>
      </c>
      <c r="Q113" s="285">
        <f ca="1">IF($B113&lt;&gt;0,(+VLOOKUP($B113,$A$8:$I$13,6,FALSE)+VLOOKUP($B113,$A$42:$I$47,6,FALSE))*(F113),0)</f>
        <v>2.1246255551012155E-2</v>
      </c>
      <c r="R113" s="285">
        <f ca="1">IF($B113&lt;&gt;0,(+VLOOKUP($B113,$A$8:$I$13,7,FALSE)+VLOOKUP($B113,$A$42:$I$47,7,FALSE))*(G113),0)</f>
        <v>3.3125899315279213E-2</v>
      </c>
      <c r="S113" s="285">
        <f ca="1">IF($B113&lt;&gt;0,(+VLOOKUP($B113,$A$8:$I$13,8,FALSE)+VLOOKUP($B113,$A$42:$I$47,8,FALSE))*(H113),0)</f>
        <v>4.5528753066604845E-2</v>
      </c>
      <c r="T113" s="285">
        <f ca="1">IF($B113&lt;&gt;0,(+VLOOKUP($B113,$A$8:$I$13,9,FALSE)+VLOOKUP($B113,$A$42:$I$47,9,FALSE))*(I113),0)</f>
        <v>5.840261594021906E-2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1.5159149374218202E-3</v>
      </c>
      <c r="Q116" s="285">
        <f t="shared" ca="1" si="68"/>
        <v>3.0689762928341789E-3</v>
      </c>
      <c r="R116" s="285">
        <f t="shared" ca="1" si="69"/>
        <v>5.9075155520904388E-3</v>
      </c>
      <c r="S116" s="285">
        <f t="shared" ca="1" si="70"/>
        <v>9.3088506906772381E-3</v>
      </c>
      <c r="T116" s="285">
        <f t="shared" ca="1" si="71"/>
        <v>1.3451524234111509E-2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1.1925019269630657E-2</v>
      </c>
      <c r="Q119" s="292">
        <f t="shared" ca="1" si="72"/>
        <v>2.4315231843846333E-2</v>
      </c>
      <c r="R119" s="292">
        <f t="shared" ca="1" si="72"/>
        <v>3.9033414867369651E-2</v>
      </c>
      <c r="S119" s="292">
        <f t="shared" ca="1" si="72"/>
        <v>5.4837603757282083E-2</v>
      </c>
      <c r="T119" s="292">
        <f t="shared" ca="1" si="72"/>
        <v>7.1854140174330575E-2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1.0409104332208836E-2</v>
      </c>
      <c r="F134" s="285">
        <f t="shared" ca="1" si="75"/>
        <v>2.1246255551012155E-2</v>
      </c>
      <c r="G134" s="285">
        <f t="shared" ca="1" si="75"/>
        <v>3.3125899315279213E-2</v>
      </c>
      <c r="H134" s="285">
        <f t="shared" ca="1" si="75"/>
        <v>4.5528753066604845E-2</v>
      </c>
      <c r="I134" s="285">
        <f t="shared" ca="1" si="75"/>
        <v>5.840261594021906E-2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1.5159149374218202E-3</v>
      </c>
      <c r="F137" s="285">
        <f t="shared" ca="1" si="78"/>
        <v>3.0689762928341789E-3</v>
      </c>
      <c r="G137" s="285">
        <f t="shared" ca="1" si="78"/>
        <v>5.9075155520904388E-3</v>
      </c>
      <c r="H137" s="285">
        <f t="shared" ca="1" si="78"/>
        <v>9.3088506906772381E-3</v>
      </c>
      <c r="I137" s="285">
        <f t="shared" ca="1" si="78"/>
        <v>1.3451524234111509E-2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1.1925019269630657E-2</v>
      </c>
      <c r="F140" s="296">
        <f t="shared" ca="1" si="81"/>
        <v>2.4315231843846333E-2</v>
      </c>
      <c r="G140" s="296">
        <f t="shared" ca="1" si="81"/>
        <v>3.9033414867369651E-2</v>
      </c>
      <c r="H140" s="296">
        <f t="shared" ca="1" si="81"/>
        <v>5.4837603757282083E-2</v>
      </c>
      <c r="I140" s="296">
        <f t="shared" ca="1" si="81"/>
        <v>7.1854140174330575E-2</v>
      </c>
    </row>
    <row r="141" spans="1:16" ht="13.5" outlineLevel="1" thickBot="1">
      <c r="A141" s="122" t="s">
        <v>148</v>
      </c>
      <c r="B141" s="126"/>
      <c r="C141" s="124">
        <f t="shared" ref="C141:I141" ca="1" si="82">IF((+C36+C48)&lt;&gt;0,+C140/(+C36+C48),0)</f>
        <v>0</v>
      </c>
      <c r="D141" s="124">
        <f t="shared" ca="1" si="82"/>
        <v>0</v>
      </c>
      <c r="E141" s="124">
        <f t="shared" ca="1" si="82"/>
        <v>1.194498151668121E-2</v>
      </c>
      <c r="F141" s="124">
        <f t="shared" ca="1" si="82"/>
        <v>2.4169101079951714E-2</v>
      </c>
      <c r="G141" s="124">
        <f t="shared" ca="1" si="82"/>
        <v>3.8506844940846725E-2</v>
      </c>
      <c r="H141" s="124">
        <f t="shared" ca="1" si="82"/>
        <v>5.3659716608704305E-2</v>
      </c>
      <c r="I141" s="124">
        <f t="shared" ca="1" si="82"/>
        <v>6.9792996607506402E-2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0.20499999999999999</v>
      </c>
      <c r="F149" s="285">
        <f t="shared" si="84"/>
        <v>0.20499999999999999</v>
      </c>
      <c r="G149" s="285">
        <f t="shared" si="84"/>
        <v>0.20499999999999999</v>
      </c>
      <c r="H149" s="285">
        <f t="shared" si="84"/>
        <v>0.20499999999999999</v>
      </c>
      <c r="I149" s="285">
        <f t="shared" si="84"/>
        <v>0.20499999999999999</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0.20499999999999999</v>
      </c>
      <c r="F155" s="296">
        <f t="shared" si="86"/>
        <v>0.20499999999999999</v>
      </c>
      <c r="G155" s="296">
        <f t="shared" si="86"/>
        <v>0.20499999999999999</v>
      </c>
      <c r="H155" s="296">
        <f t="shared" si="86"/>
        <v>0.20499999999999999</v>
      </c>
      <c r="I155" s="296">
        <f t="shared" si="86"/>
        <v>0.20499999999999999</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0.20499999999999999</v>
      </c>
      <c r="F160" s="285">
        <f t="shared" ca="1" si="88"/>
        <v>0.20499999999999999</v>
      </c>
      <c r="G160" s="285">
        <f t="shared" ca="1" si="88"/>
        <v>0.20499999999999999</v>
      </c>
      <c r="H160" s="285">
        <f t="shared" ca="1" si="88"/>
        <v>0.20499999999999999</v>
      </c>
      <c r="I160" s="285">
        <f t="shared" ca="1" si="88"/>
        <v>0.20499999999999999</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0.20499999999999999</v>
      </c>
      <c r="F170" s="296">
        <f t="shared" ca="1" si="93"/>
        <v>0.20499999999999999</v>
      </c>
      <c r="G170" s="296">
        <f t="shared" ca="1" si="93"/>
        <v>0.20499999999999999</v>
      </c>
      <c r="H170" s="296">
        <f t="shared" ca="1" si="93"/>
        <v>0.20499999999999999</v>
      </c>
      <c r="I170" s="296">
        <f t="shared" ca="1" si="93"/>
        <v>0.20499999999999999</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(SEM)'!$N$34:$R$39</f>
        <v>0.20499999999999999</v>
      </c>
      <c r="F185" s="285">
        <v>0.20499999999999999</v>
      </c>
      <c r="G185" s="285">
        <v>0.20499999999999999</v>
      </c>
      <c r="H185" s="285">
        <v>0.20499999999999999</v>
      </c>
      <c r="I185" s="285">
        <v>0.20499999999999999</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0.20499999999999999</v>
      </c>
      <c r="F191" s="296">
        <f t="shared" si="94"/>
        <v>0.20499999999999999</v>
      </c>
      <c r="G191" s="296">
        <f t="shared" si="94"/>
        <v>0.20499999999999999</v>
      </c>
      <c r="H191" s="296">
        <f t="shared" si="94"/>
        <v>0.20499999999999999</v>
      </c>
      <c r="I191" s="296">
        <f t="shared" si="94"/>
        <v>0.20499999999999999</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s="634" customFormat="1" outlineLevel="1">
      <c r="A204" s="63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0.78499999999999992</v>
      </c>
      <c r="E205" s="82">
        <f t="shared" ca="1" si="95"/>
        <v>0.78499999999999992</v>
      </c>
      <c r="F205" s="82">
        <f t="shared" ca="1" si="95"/>
        <v>0.78499999999999992</v>
      </c>
      <c r="G205" s="82">
        <f t="shared" ca="1" si="95"/>
        <v>0.78499999999999992</v>
      </c>
      <c r="H205" s="82">
        <f t="shared" ca="1" si="95"/>
        <v>0.78499999999999992</v>
      </c>
      <c r="I205" s="82">
        <f t="shared" ca="1" si="95"/>
        <v>0.78499999999999992</v>
      </c>
    </row>
    <row r="206" spans="1:9" outlineLevel="1">
      <c r="A206" t="s">
        <v>156</v>
      </c>
      <c r="B206" s="82">
        <f t="shared" ref="B206:I206" ca="1" si="96">+B36</f>
        <v>0</v>
      </c>
      <c r="C206" s="82">
        <f t="shared" ca="1" si="96"/>
        <v>0</v>
      </c>
      <c r="D206" s="82">
        <f t="shared" ca="1" si="96"/>
        <v>0.78499999999999992</v>
      </c>
      <c r="E206" s="82">
        <f t="shared" ca="1" si="96"/>
        <v>0.99</v>
      </c>
      <c r="F206" s="82">
        <f t="shared" ca="1" si="96"/>
        <v>0.99</v>
      </c>
      <c r="G206" s="82">
        <f t="shared" ca="1" si="96"/>
        <v>0.99</v>
      </c>
      <c r="H206" s="82">
        <f t="shared" ca="1" si="96"/>
        <v>0.99</v>
      </c>
      <c r="I206" s="82">
        <f t="shared" ca="1" si="96"/>
        <v>0.99</v>
      </c>
    </row>
    <row r="207" spans="1:9" outlineLevel="1">
      <c r="A207" t="s">
        <v>157</v>
      </c>
      <c r="B207" s="82">
        <f t="shared" ref="B207:I207" ca="1" si="97">+B36+B48</f>
        <v>0</v>
      </c>
      <c r="C207" s="82">
        <f t="shared" ca="1" si="97"/>
        <v>0</v>
      </c>
      <c r="D207" s="82">
        <f t="shared" ca="1" si="97"/>
        <v>0.78499999999999992</v>
      </c>
      <c r="E207" s="82">
        <f t="shared" ca="1" si="97"/>
        <v>0.99832881725076961</v>
      </c>
      <c r="F207" s="82">
        <f t="shared" ca="1" si="97"/>
        <v>1.0060461811720351</v>
      </c>
      <c r="G207" s="82">
        <f t="shared" ca="1" si="97"/>
        <v>1.0136747097128271</v>
      </c>
      <c r="H207" s="82">
        <f t="shared" ca="1" si="97"/>
        <v>1.0219510504903917</v>
      </c>
      <c r="I207" s="82">
        <f t="shared" ca="1" si="97"/>
        <v>1.02953224058304</v>
      </c>
    </row>
    <row r="208" spans="1:9" outlineLevel="1">
      <c r="A208" t="s">
        <v>158</v>
      </c>
      <c r="B208" s="82">
        <f t="shared" ref="B208:I208" ca="1" si="98">+B70</f>
        <v>0</v>
      </c>
      <c r="C208" s="82">
        <f t="shared" ca="1" si="98"/>
        <v>0</v>
      </c>
      <c r="D208" s="82">
        <f t="shared" ca="1" si="98"/>
        <v>0.78499999999999992</v>
      </c>
      <c r="E208" s="82">
        <f t="shared" ca="1" si="98"/>
        <v>1.0102538365204001</v>
      </c>
      <c r="F208" s="82">
        <f t="shared" ca="1" si="98"/>
        <v>1.0303614130158816</v>
      </c>
      <c r="G208" s="82">
        <f t="shared" ca="1" si="98"/>
        <v>1.0527081245801968</v>
      </c>
      <c r="H208" s="82">
        <f t="shared" ca="1" si="98"/>
        <v>1.0767886542476737</v>
      </c>
      <c r="I208" s="82">
        <f t="shared" ca="1" si="98"/>
        <v>1.1013863807573707</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65" priority="1" stopIfTrue="1" operator="notEqual">
      <formula>0</formula>
    </cfRule>
  </conditionalFormatting>
  <conditionalFormatting sqref="J130 J94 J70 J59 J48 J36:J37 J14 J25">
    <cfRule type="cellIs" dxfId="364" priority="2" stopIfTrue="1" operator="equal">
      <formula>"OK"</formula>
    </cfRule>
    <cfRule type="cellIs" dxfId="363" priority="3" stopIfTrue="1" operator="equal">
      <formula>"Warning Check Escalations"</formula>
    </cfRule>
  </conditionalFormatting>
  <conditionalFormatting sqref="N120:T120 N84:T84">
    <cfRule type="cellIs" dxfId="362" priority="4" stopIfTrue="1" operator="notEqual">
      <formula>0</formula>
    </cfRule>
    <cfRule type="cellIs" dxfId="36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18.xml><?xml version="1.0" encoding="utf-8"?>
<worksheet xmlns="http://schemas.openxmlformats.org/spreadsheetml/2006/main" xmlns:r="http://schemas.openxmlformats.org/officeDocument/2006/relationships">
  <sheetPr codeName="Sheet61" enableFormatConditionsCalculation="0">
    <tabColor indexed="57"/>
    <pageSetUpPr fitToPage="1"/>
  </sheetPr>
  <dimension ref="A1:T239"/>
  <sheetViews>
    <sheetView showGridLines="0" topLeftCell="A56"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5</v>
      </c>
      <c r="M1" s="282"/>
      <c r="N1" s="280"/>
      <c r="O1" s="280"/>
      <c r="P1" s="280"/>
      <c r="Q1" s="280"/>
      <c r="R1" s="280"/>
      <c r="S1" s="280"/>
      <c r="T1" s="280"/>
    </row>
    <row r="2" spans="1:20" ht="15.75">
      <c r="A2" s="184" t="s">
        <v>121</v>
      </c>
      <c r="B2" s="74" t="str">
        <f ca="1">OFFSET(List_AllocOpexListStart,+$K$1,1)</f>
        <v>General Manager Regulation &amp; Company Secretary</v>
      </c>
      <c r="F2" s="284"/>
      <c r="H2" s="42"/>
      <c r="I2" s="283"/>
      <c r="L2" s="282"/>
      <c r="M2" s="282"/>
    </row>
    <row r="3" spans="1:20" ht="16.5" thickBot="1">
      <c r="A3" s="184" t="s">
        <v>371</v>
      </c>
      <c r="B3" s="236" t="str">
        <f ca="1">OFFSET(List_AllocOpexListStart,+$K$1,2)</f>
        <v>Sean Kelly</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1.524</v>
      </c>
      <c r="E8" s="285">
        <f ca="1">OFFSET(Future_AOpexStart,MATCH($K$1,'I-6 Future A'!$A$6:$A$379)+2,+'I-5 Future DA'!F$5)</f>
        <v>1.524</v>
      </c>
      <c r="F8" s="285">
        <f ca="1">OFFSET(Future_AOpexStart,MATCH($K$1,'I-6 Future A'!$A$6:$A$379)+2,+'I-5 Future DA'!G$5)</f>
        <v>1.524</v>
      </c>
      <c r="G8" s="285">
        <f ca="1">OFFSET(Future_AOpexStart,MATCH($K$1,'I-6 Future A'!$A$6:$A$379)+2,+'I-5 Future DA'!H$5)</f>
        <v>1.524</v>
      </c>
      <c r="H8" s="285">
        <f ca="1">OFFSET(Future_AOpexStart,MATCH($K$1,'I-6 Future A'!$A$6:$A$379)+2,+'I-5 Future DA'!I$5)</f>
        <v>1.524</v>
      </c>
      <c r="I8" s="285">
        <f ca="1">OFFSET(Future_AOpexStart,MATCH($K$1,'I-6 Future A'!$A$6:$A$379)+2,+'I-5 Future DA'!J$5)</f>
        <v>1.524</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3.4000000000000002E-2</v>
      </c>
      <c r="E9" s="285">
        <f ca="1">OFFSET(Future_AOpexStart,MATCH($K$1,'I-6 Future A'!$A$6:$A$379)+3,+'I-5 Future DA'!F$5)</f>
        <v>3.4000000000000002E-2</v>
      </c>
      <c r="F9" s="285">
        <f ca="1">OFFSET(Future_AOpexStart,MATCH($K$1,'I-6 Future A'!$A$6:$A$379)+3,+'I-5 Future DA'!G$5)</f>
        <v>3.4000000000000002E-2</v>
      </c>
      <c r="G9" s="285">
        <f ca="1">OFFSET(Future_AOpexStart,MATCH($K$1,'I-6 Future A'!$A$6:$A$379)+3,+'I-5 Future DA'!H$5)</f>
        <v>3.4000000000000002E-2</v>
      </c>
      <c r="H9" s="285">
        <f ca="1">OFFSET(Future_AOpexStart,MATCH($K$1,'I-6 Future A'!$A$6:$A$379)+3,+'I-5 Future DA'!I$5)</f>
        <v>3.4000000000000002E-2</v>
      </c>
      <c r="I9" s="285">
        <f ca="1">OFFSET(Future_AOpexStart,MATCH($K$1,'I-6 Future A'!$A$6:$A$379)+3,+'I-5 Future DA'!J$5)</f>
        <v>3.4000000000000002E-2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3.6999999999999998E-2</v>
      </c>
      <c r="E10" s="285">
        <f ca="1">OFFSET(Future_AOpexStart,MATCH($K$1,'I-6 Future A'!$A$6:$A$379)+4,+'I-5 Future DA'!F$5)</f>
        <v>3.6999999999999998E-2</v>
      </c>
      <c r="F10" s="285">
        <f ca="1">OFFSET(Future_AOpexStart,MATCH($K$1,'I-6 Future A'!$A$6:$A$379)+4,+'I-5 Future DA'!G$5)</f>
        <v>3.6999999999999998E-2</v>
      </c>
      <c r="G10" s="285">
        <f ca="1">OFFSET(Future_AOpexStart,MATCH($K$1,'I-6 Future A'!$A$6:$A$379)+4,+'I-5 Future DA'!H$5)</f>
        <v>3.6999999999999998E-2</v>
      </c>
      <c r="H10" s="285">
        <f ca="1">OFFSET(Future_AOpexStart,MATCH($K$1,'I-6 Future A'!$A$6:$A$379)+4,+'I-5 Future DA'!I$5)</f>
        <v>3.6999999999999998E-2</v>
      </c>
      <c r="I10" s="285">
        <f ca="1">OFFSET(Future_AOpexStart,MATCH($K$1,'I-6 Future A'!$A$6:$A$379)+4,+'I-5 Future DA'!J$5)</f>
        <v>3.6999999999999998E-2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0.13100000000000001</v>
      </c>
      <c r="E11" s="285">
        <f ca="1">OFFSET(Future_AOpexStart,MATCH($K$1,'I-6 Future A'!$A$6:$A$379)+5,+'I-5 Future DA'!F$5)</f>
        <v>0.13100000000000001</v>
      </c>
      <c r="F11" s="285">
        <f ca="1">OFFSET(Future_AOpexStart,MATCH($K$1,'I-6 Future A'!$A$6:$A$379)+5,+'I-5 Future DA'!G$5)</f>
        <v>0.13100000000000001</v>
      </c>
      <c r="G11" s="285">
        <f ca="1">OFFSET(Future_AOpexStart,MATCH($K$1,'I-6 Future A'!$A$6:$A$379)+5,+'I-5 Future DA'!H$5)</f>
        <v>0.13100000000000001</v>
      </c>
      <c r="H11" s="285">
        <f ca="1">OFFSET(Future_AOpexStart,MATCH($K$1,'I-6 Future A'!$A$6:$A$379)+5,+'I-5 Future DA'!I$5)</f>
        <v>0.13100000000000001</v>
      </c>
      <c r="I11" s="285">
        <f ca="1">OFFSET(Future_AOpexStart,MATCH($K$1,'I-6 Future A'!$A$6:$A$379)+5,+'I-5 Future DA'!J$5)</f>
        <v>0.13100000000000001</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1.726</v>
      </c>
      <c r="E14" s="287">
        <f t="shared" ca="1" si="0"/>
        <v>1.726</v>
      </c>
      <c r="F14" s="287">
        <f t="shared" ca="1" si="0"/>
        <v>1.726</v>
      </c>
      <c r="G14" s="287">
        <f t="shared" ca="1" si="0"/>
        <v>1.726</v>
      </c>
      <c r="H14" s="287">
        <f t="shared" ca="1" si="0"/>
        <v>1.726</v>
      </c>
      <c r="I14" s="287">
        <f t="shared" ca="1" si="0"/>
        <v>1.726</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+'A-5'!B8+'A-5'!B19</f>
        <v>0</v>
      </c>
      <c r="C30" s="285">
        <f ca="1">+'A-5'!C8+'A-5'!C19</f>
        <v>0</v>
      </c>
      <c r="D30" s="285">
        <f ca="1">+'A-5'!D8+'A-5'!D19</f>
        <v>1.524</v>
      </c>
      <c r="E30" s="285">
        <f ca="1">+'A-5'!E8+'A-5'!E19</f>
        <v>1.524</v>
      </c>
      <c r="F30" s="285">
        <f ca="1">+'A-5'!F8+'A-5'!F19</f>
        <v>1.524</v>
      </c>
      <c r="G30" s="285">
        <f ca="1">+'A-5'!G8+'A-5'!G19</f>
        <v>1.524</v>
      </c>
      <c r="H30" s="285">
        <f ca="1">+'A-5'!H8+'A-5'!H19</f>
        <v>1.524</v>
      </c>
      <c r="I30" s="285">
        <f ca="1">+'A-5'!I8+'A-5'!I19</f>
        <v>1.524</v>
      </c>
      <c r="J30" s="42"/>
      <c r="K30" s="21"/>
      <c r="L30" s="21"/>
    </row>
    <row r="31" spans="1:12" outlineLevel="2">
      <c r="A31" s="61" t="s">
        <v>69</v>
      </c>
      <c r="B31" s="285">
        <f ca="1">+'A-5'!B9+'A-5'!B20</f>
        <v>0</v>
      </c>
      <c r="C31" s="285">
        <f ca="1">+'A-5'!C9+'A-5'!C20</f>
        <v>0</v>
      </c>
      <c r="D31" s="285">
        <f ca="1">+'A-5'!D9+'A-5'!D20</f>
        <v>3.4000000000000002E-2</v>
      </c>
      <c r="E31" s="285">
        <f ca="1">+'A-5'!E9+'A-5'!E20</f>
        <v>3.4000000000000002E-2</v>
      </c>
      <c r="F31" s="285">
        <f ca="1">+'A-5'!F9+'A-5'!F20</f>
        <v>3.4000000000000002E-2</v>
      </c>
      <c r="G31" s="285">
        <f ca="1">+'A-5'!G9+'A-5'!G20</f>
        <v>3.4000000000000002E-2</v>
      </c>
      <c r="H31" s="285">
        <f ca="1">+'A-5'!H9+'A-5'!H20</f>
        <v>3.4000000000000002E-2</v>
      </c>
      <c r="I31" s="285">
        <f ca="1">+'A-5'!I9+'A-5'!I20</f>
        <v>3.4000000000000002E-2</v>
      </c>
      <c r="J31" s="42"/>
      <c r="K31" s="21"/>
      <c r="L31" s="21"/>
    </row>
    <row r="32" spans="1:12" s="759" customFormat="1" outlineLevel="2">
      <c r="A32" s="61" t="s">
        <v>646</v>
      </c>
      <c r="B32" s="285">
        <f ca="1">+'A-5'!B10+'A-5'!B21</f>
        <v>0</v>
      </c>
      <c r="C32" s="285">
        <f ca="1">+'A-5'!C10+'A-5'!C21</f>
        <v>0</v>
      </c>
      <c r="D32" s="285">
        <f ca="1">+'A-5'!D10+'A-5'!D21</f>
        <v>3.6999999999999998E-2</v>
      </c>
      <c r="E32" s="285">
        <f ca="1">+'A-5'!E10+'A-5'!E21</f>
        <v>3.6999999999999998E-2</v>
      </c>
      <c r="F32" s="285">
        <f ca="1">+'A-5'!F10+'A-5'!F21</f>
        <v>3.6999999999999998E-2</v>
      </c>
      <c r="G32" s="285">
        <f ca="1">+'A-5'!G10+'A-5'!G21</f>
        <v>3.6999999999999998E-2</v>
      </c>
      <c r="H32" s="285">
        <f ca="1">+'A-5'!H10+'A-5'!H21</f>
        <v>3.6999999999999998E-2</v>
      </c>
      <c r="I32" s="285">
        <f ca="1">+'A-5'!I10+'A-5'!I21</f>
        <v>3.6999999999999998E-2</v>
      </c>
      <c r="J32" s="42"/>
      <c r="K32" s="732"/>
      <c r="L32" s="732"/>
    </row>
    <row r="33" spans="1:12" outlineLevel="2">
      <c r="A33" s="61" t="s">
        <v>647</v>
      </c>
      <c r="B33" s="285">
        <f ca="1">+'A-5'!B11+'A-5'!B22</f>
        <v>0</v>
      </c>
      <c r="C33" s="285">
        <f ca="1">+'A-5'!C11+'A-5'!C22</f>
        <v>0</v>
      </c>
      <c r="D33" s="285">
        <f ca="1">+'A-5'!D11+'A-5'!D22</f>
        <v>0.13100000000000001</v>
      </c>
      <c r="E33" s="285">
        <f ca="1">+'A-5'!E11+'A-5'!E22</f>
        <v>0.13100000000000001</v>
      </c>
      <c r="F33" s="285">
        <f ca="1">+'A-5'!F11+'A-5'!F22</f>
        <v>0.13100000000000001</v>
      </c>
      <c r="G33" s="285">
        <f ca="1">+'A-5'!G11+'A-5'!G22</f>
        <v>0.13100000000000001</v>
      </c>
      <c r="H33" s="285">
        <f ca="1">+'A-5'!H11+'A-5'!H22</f>
        <v>0.13100000000000001</v>
      </c>
      <c r="I33" s="285">
        <f ca="1">+'A-5'!I11+'A-5'!I22</f>
        <v>0.13100000000000001</v>
      </c>
      <c r="J33" s="42"/>
      <c r="K33" s="21"/>
      <c r="L33" s="21"/>
    </row>
    <row r="34" spans="1:12" s="759" customFormat="1" outlineLevel="2">
      <c r="A34" s="61" t="s">
        <v>575</v>
      </c>
      <c r="B34" s="285">
        <f ca="1">+'A-5'!B12+'A-5'!B23</f>
        <v>0</v>
      </c>
      <c r="C34" s="285">
        <f ca="1">+'A-5'!C12+'A-5'!C23</f>
        <v>0</v>
      </c>
      <c r="D34" s="285">
        <f ca="1">+'A-5'!D12+'A-5'!D23</f>
        <v>0</v>
      </c>
      <c r="E34" s="285">
        <f ca="1">+'A-5'!E12+'A-5'!E23</f>
        <v>0</v>
      </c>
      <c r="F34" s="285">
        <f ca="1">+'A-5'!F12+'A-5'!F23</f>
        <v>0</v>
      </c>
      <c r="G34" s="285">
        <f ca="1">+'A-5'!G12+'A-5'!G23</f>
        <v>0</v>
      </c>
      <c r="H34" s="285">
        <f ca="1">+'A-5'!H12+'A-5'!H23</f>
        <v>0</v>
      </c>
      <c r="I34" s="285">
        <f ca="1">+'A-5'!I12+'A-5'!I23</f>
        <v>0</v>
      </c>
      <c r="J34" s="42"/>
      <c r="K34" s="732"/>
      <c r="L34" s="732"/>
    </row>
    <row r="35" spans="1:12" ht="13.5" outlineLevel="2" thickBot="1">
      <c r="A35" s="83" t="s">
        <v>70</v>
      </c>
      <c r="B35" s="285">
        <f ca="1">+'A-5'!B13+'A-5'!B24</f>
        <v>0</v>
      </c>
      <c r="C35" s="285">
        <f ca="1">+'A-5'!C13+'A-5'!C24</f>
        <v>0</v>
      </c>
      <c r="D35" s="285">
        <f ca="1">+'A-5'!D13+'A-5'!D24</f>
        <v>0</v>
      </c>
      <c r="E35" s="285">
        <f ca="1">+'A-5'!E13+'A-5'!E24</f>
        <v>0</v>
      </c>
      <c r="F35" s="285">
        <f ca="1">+'A-5'!F13+'A-5'!F24</f>
        <v>0</v>
      </c>
      <c r="G35" s="285">
        <f ca="1">+'A-5'!G13+'A-5'!G24</f>
        <v>0</v>
      </c>
      <c r="H35" s="285">
        <f ca="1">+'A-5'!H13+'A-5'!H24</f>
        <v>0</v>
      </c>
      <c r="I35" s="285">
        <f ca="1">+'A-5'!I13+'A-5'!I24</f>
        <v>0</v>
      </c>
      <c r="J35" s="93"/>
      <c r="K35" s="21"/>
      <c r="L35" s="21"/>
    </row>
    <row r="36" spans="1:12" s="87" customFormat="1" ht="20.25" customHeight="1" thickBot="1">
      <c r="A36" s="94" t="s">
        <v>128</v>
      </c>
      <c r="B36" s="294">
        <f t="shared" ref="B36:I36" ca="1" si="7">SUM(B30:B35)</f>
        <v>0</v>
      </c>
      <c r="C36" s="294">
        <f t="shared" ca="1" si="7"/>
        <v>0</v>
      </c>
      <c r="D36" s="294">
        <f t="shared" ca="1" si="7"/>
        <v>1.726</v>
      </c>
      <c r="E36" s="294">
        <f t="shared" ca="1" si="7"/>
        <v>1.726</v>
      </c>
      <c r="F36" s="294">
        <f t="shared" ca="1" si="7"/>
        <v>1.726</v>
      </c>
      <c r="G36" s="294">
        <f t="shared" ca="1" si="7"/>
        <v>1.726</v>
      </c>
      <c r="H36" s="294">
        <f t="shared" ca="1" si="7"/>
        <v>1.726</v>
      </c>
      <c r="I36" s="294">
        <f t="shared" ca="1" si="7"/>
        <v>1.726</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1.6169576420602325E-2</v>
      </c>
      <c r="F42" s="285">
        <f t="shared" ca="1" si="8"/>
        <v>3.1152076568384306E-2</v>
      </c>
      <c r="G42" s="285">
        <f t="shared" ca="1" si="8"/>
        <v>4.5962111595348396E-2</v>
      </c>
      <c r="H42" s="285">
        <f t="shared" ca="1" si="8"/>
        <v>6.2029810124021437E-2</v>
      </c>
      <c r="I42" s="285">
        <f t="shared" ca="1" si="8"/>
        <v>7.6747942227456276E-2</v>
      </c>
      <c r="K42" s="63"/>
      <c r="L42" s="63"/>
    </row>
    <row r="43" spans="1:12" outlineLevel="1">
      <c r="A43" s="61" t="s">
        <v>69</v>
      </c>
      <c r="B43" s="82"/>
      <c r="C43" s="285">
        <f t="shared" ca="1" si="8"/>
        <v>0</v>
      </c>
      <c r="D43" s="285">
        <f t="shared" ca="1" si="8"/>
        <v>0</v>
      </c>
      <c r="E43" s="285">
        <f t="shared" ca="1" si="8"/>
        <v>3.6073858156199413E-4</v>
      </c>
      <c r="F43" s="285">
        <f t="shared" ca="1" si="8"/>
        <v>6.9499383420279948E-4</v>
      </c>
      <c r="G43" s="285">
        <f t="shared" ca="1" si="8"/>
        <v>1.0254014397912373E-3</v>
      </c>
      <c r="H43" s="285">
        <f t="shared" ca="1" si="8"/>
        <v>1.3838671549978537E-3</v>
      </c>
      <c r="I43" s="285">
        <f t="shared" ca="1" si="8"/>
        <v>1.7122244328960062E-3</v>
      </c>
      <c r="K43" s="42"/>
      <c r="L43" s="21"/>
    </row>
    <row r="44" spans="1:12" s="759" customFormat="1" outlineLevel="1">
      <c r="A44" s="61" t="s">
        <v>646</v>
      </c>
      <c r="B44" s="82"/>
      <c r="C44" s="285">
        <f t="shared" ref="C44:I44" ca="1" si="9">+C100</f>
        <v>0</v>
      </c>
      <c r="D44" s="285">
        <f t="shared" ca="1" si="9"/>
        <v>0</v>
      </c>
      <c r="E44" s="285">
        <f t="shared" ca="1" si="9"/>
        <v>3.9256845640569946E-4</v>
      </c>
      <c r="F44" s="285">
        <f t="shared" ca="1" si="9"/>
        <v>7.5631681957363469E-4</v>
      </c>
      <c r="G44" s="285">
        <f t="shared" ca="1" si="9"/>
        <v>1.1158780374198756E-3</v>
      </c>
      <c r="H44" s="285">
        <f t="shared" ca="1" si="9"/>
        <v>1.5059730804388406E-3</v>
      </c>
      <c r="I44" s="285">
        <f t="shared" ca="1" si="9"/>
        <v>1.8633030593280067E-3</v>
      </c>
      <c r="K44" s="42"/>
      <c r="L44" s="732"/>
    </row>
    <row r="45" spans="1:12" outlineLevel="1">
      <c r="A45" s="61" t="s">
        <v>647</v>
      </c>
      <c r="B45" s="82"/>
      <c r="C45" s="285">
        <f t="shared" ref="C45:I45" ca="1" si="10">+C101</f>
        <v>0</v>
      </c>
      <c r="D45" s="285">
        <f t="shared" ca="1" si="10"/>
        <v>0</v>
      </c>
      <c r="E45" s="285">
        <f t="shared" ca="1" si="10"/>
        <v>1.389904534841801E-3</v>
      </c>
      <c r="F45" s="285">
        <f t="shared" ca="1" si="10"/>
        <v>2.6777703611931391E-3</v>
      </c>
      <c r="G45" s="285">
        <f t="shared" ca="1" si="10"/>
        <v>3.9508114297838849E-3</v>
      </c>
      <c r="H45" s="285">
        <f t="shared" ca="1" si="10"/>
        <v>5.3319587442564364E-3</v>
      </c>
      <c r="I45" s="285">
        <f t="shared" ca="1" si="10"/>
        <v>6.5971000208640239E-3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1.8312787993411822E-2</v>
      </c>
      <c r="F48" s="294">
        <f t="shared" ca="1" si="13"/>
        <v>3.5281157583353887E-2</v>
      </c>
      <c r="G48" s="294">
        <f t="shared" ca="1" si="13"/>
        <v>5.2054202502343397E-2</v>
      </c>
      <c r="H48" s="294">
        <f t="shared" ca="1" si="13"/>
        <v>7.0251609103714571E-2</v>
      </c>
      <c r="I48" s="294">
        <f t="shared" ca="1" si="13"/>
        <v>8.6920569740544323E-2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3.3048906254763054E-2</v>
      </c>
      <c r="F53" s="285">
        <f t="shared" ca="1" si="14"/>
        <v>6.7456861374463592E-2</v>
      </c>
      <c r="G53" s="285">
        <f t="shared" ca="1" si="14"/>
        <v>0.1051747303260115</v>
      </c>
      <c r="H53" s="285">
        <f t="shared" ca="1" si="14"/>
        <v>0.14455379098647039</v>
      </c>
      <c r="I53" s="285">
        <f t="shared" ca="1" si="14"/>
        <v>0.18542830561019552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1.869628422820245E-4</v>
      </c>
      <c r="F55" s="285">
        <f t="shared" ca="1" si="15"/>
        <v>3.7850707611621548E-4</v>
      </c>
      <c r="G55" s="285">
        <f t="shared" ca="1" si="15"/>
        <v>7.2859358475782076E-4</v>
      </c>
      <c r="H55" s="285">
        <f t="shared" ca="1" si="15"/>
        <v>1.1480915851835259E-3</v>
      </c>
      <c r="I55" s="285">
        <f t="shared" ca="1" si="15"/>
        <v>1.6590213222070858E-3</v>
      </c>
      <c r="K55" s="42"/>
      <c r="L55" s="732"/>
    </row>
    <row r="56" spans="1:12" outlineLevel="1">
      <c r="A56" s="61" t="s">
        <v>647</v>
      </c>
      <c r="B56" s="285"/>
      <c r="C56" s="285">
        <f t="shared" ref="C56:I56" ca="1" si="16">+C137</f>
        <v>0</v>
      </c>
      <c r="D56" s="285">
        <f t="shared" ca="1" si="16"/>
        <v>0</v>
      </c>
      <c r="E56" s="285">
        <f t="shared" ca="1" si="16"/>
        <v>6.6194952267419494E-4</v>
      </c>
      <c r="F56" s="285">
        <f t="shared" ca="1" si="16"/>
        <v>1.340119647870925E-3</v>
      </c>
      <c r="G56" s="285">
        <f t="shared" ca="1" si="16"/>
        <v>2.579615124412825E-3</v>
      </c>
      <c r="H56" s="285">
        <f t="shared" ca="1" si="16"/>
        <v>4.0648648015957269E-3</v>
      </c>
      <c r="I56" s="285">
        <f t="shared" ca="1" si="16"/>
        <v>5.873832248895359E-3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3.3897818619719279E-2</v>
      </c>
      <c r="F59" s="287">
        <f t="shared" ca="1" si="19"/>
        <v>6.9175488098450727E-2</v>
      </c>
      <c r="G59" s="287">
        <f t="shared" ca="1" si="19"/>
        <v>0.10848293903518215</v>
      </c>
      <c r="H59" s="287">
        <f t="shared" ca="1" si="19"/>
        <v>0.14976674737324966</v>
      </c>
      <c r="I59" s="287">
        <f t="shared" ca="1" si="19"/>
        <v>0.19296115918129797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1.524</v>
      </c>
      <c r="E64" s="285">
        <f t="shared" ca="1" si="20"/>
        <v>1.5732184826753652</v>
      </c>
      <c r="F64" s="285">
        <f t="shared" ca="1" si="20"/>
        <v>1.6226089379428479</v>
      </c>
      <c r="G64" s="285">
        <f t="shared" ca="1" si="20"/>
        <v>1.6751368419213599</v>
      </c>
      <c r="H64" s="285">
        <f t="shared" ca="1" si="20"/>
        <v>1.730583601110492</v>
      </c>
      <c r="I64" s="285">
        <f t="shared" ca="1" si="20"/>
        <v>1.7861762478376517</v>
      </c>
      <c r="K64" s="63"/>
      <c r="L64" s="63"/>
    </row>
    <row r="65" spans="1:20" ht="12.75" customHeight="1" outlineLevel="1">
      <c r="A65" s="61" t="s">
        <v>69</v>
      </c>
      <c r="B65" s="285">
        <f t="shared" ca="1" si="20"/>
        <v>0</v>
      </c>
      <c r="C65" s="285">
        <f t="shared" ca="1" si="20"/>
        <v>0</v>
      </c>
      <c r="D65" s="285">
        <f t="shared" ca="1" si="20"/>
        <v>3.4000000000000002E-2</v>
      </c>
      <c r="E65" s="285">
        <f t="shared" ca="1" si="20"/>
        <v>3.4360738581561995E-2</v>
      </c>
      <c r="F65" s="285">
        <f t="shared" ca="1" si="20"/>
        <v>3.4694993834202804E-2</v>
      </c>
      <c r="G65" s="285">
        <f t="shared" ca="1" si="20"/>
        <v>3.5025401439791243E-2</v>
      </c>
      <c r="H65" s="285">
        <f t="shared" ca="1" si="20"/>
        <v>3.5383867154997854E-2</v>
      </c>
      <c r="I65" s="285">
        <f t="shared" ca="1" si="20"/>
        <v>3.5712224432896011E-2</v>
      </c>
      <c r="K65" s="42"/>
      <c r="L65" s="21"/>
    </row>
    <row r="66" spans="1:20" s="759" customFormat="1" ht="12.75" customHeight="1" outlineLevel="1">
      <c r="A66" s="61" t="s">
        <v>646</v>
      </c>
      <c r="B66" s="285">
        <f t="shared" ref="B66:I66" ca="1" si="21">+B44+B32+B55</f>
        <v>0</v>
      </c>
      <c r="C66" s="285">
        <f t="shared" ca="1" si="21"/>
        <v>0</v>
      </c>
      <c r="D66" s="285">
        <f t="shared" ca="1" si="21"/>
        <v>3.6999999999999998E-2</v>
      </c>
      <c r="E66" s="285">
        <f t="shared" ca="1" si="21"/>
        <v>3.7579531298687727E-2</v>
      </c>
      <c r="F66" s="285">
        <f t="shared" ca="1" si="21"/>
        <v>3.8134823895689854E-2</v>
      </c>
      <c r="G66" s="285">
        <f t="shared" ca="1" si="21"/>
        <v>3.884447162217769E-2</v>
      </c>
      <c r="H66" s="285">
        <f t="shared" ca="1" si="21"/>
        <v>3.9654064665622366E-2</v>
      </c>
      <c r="I66" s="285">
        <f t="shared" ca="1" si="21"/>
        <v>4.0522324381535087E-2</v>
      </c>
      <c r="K66" s="42"/>
      <c r="L66" s="732"/>
    </row>
    <row r="67" spans="1:20" ht="12.75" customHeight="1" outlineLevel="1">
      <c r="A67" s="61" t="s">
        <v>647</v>
      </c>
      <c r="B67" s="285">
        <f t="shared" ref="B67:I67" ca="1" si="22">+B45+B33+B56</f>
        <v>0</v>
      </c>
      <c r="C67" s="285">
        <f t="shared" ca="1" si="22"/>
        <v>0</v>
      </c>
      <c r="D67" s="285">
        <f t="shared" ca="1" si="22"/>
        <v>0.13100000000000001</v>
      </c>
      <c r="E67" s="285">
        <f t="shared" ca="1" si="22"/>
        <v>0.13305185405751602</v>
      </c>
      <c r="F67" s="285">
        <f t="shared" ca="1" si="22"/>
        <v>0.13501789000906406</v>
      </c>
      <c r="G67" s="285">
        <f t="shared" ca="1" si="22"/>
        <v>0.1375304265541967</v>
      </c>
      <c r="H67" s="285">
        <f t="shared" ca="1" si="22"/>
        <v>0.14039682354585217</v>
      </c>
      <c r="I67" s="285">
        <f t="shared" ca="1" si="22"/>
        <v>0.1434709322697594</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1.726</v>
      </c>
      <c r="E70" s="295">
        <f t="shared" ca="1" si="25"/>
        <v>1.7782106066131311</v>
      </c>
      <c r="F70" s="295">
        <f t="shared" ca="1" si="25"/>
        <v>1.8304566456818043</v>
      </c>
      <c r="G70" s="295">
        <f t="shared" ca="1" si="25"/>
        <v>1.8865371415375256</v>
      </c>
      <c r="H70" s="295">
        <f t="shared" ca="1" si="25"/>
        <v>1.9460183564769642</v>
      </c>
      <c r="I70" s="295">
        <f t="shared" ca="1" si="25"/>
        <v>2.0058817289218425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1.6169576420602325E-2</v>
      </c>
      <c r="Q77" s="285">
        <f ca="1">IF($B77&lt;&gt;0,(+VLOOKUP($B77,$A$8:$I$13,6,FALSE))*(F77),0)</f>
        <v>3.1152076568384306E-2</v>
      </c>
      <c r="R77" s="285">
        <f ca="1">IF($B77&lt;&gt;0,(+VLOOKUP($B77,$A$8:$I$13,7,FALSE))*(G77),0)</f>
        <v>4.5962111595348396E-2</v>
      </c>
      <c r="S77" s="285">
        <f ca="1">IF($B77&lt;&gt;0,(+VLOOKUP($B77,$A$8:$I$13,8,FALSE))*(H77),0)</f>
        <v>6.2029810124021437E-2</v>
      </c>
      <c r="T77" s="285">
        <f ca="1">IF($B77&lt;&gt;0,(+VLOOKUP($B77,$A$8:$I$13,9,FALSE))*(I77),0)</f>
        <v>7.6747942227456276E-2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3.6073858156199413E-4</v>
      </c>
      <c r="Q78" s="285">
        <f ca="1">IF($B78&lt;&gt;0,(+VLOOKUP($B78,$A$8:$I$13,6,FALSE))*(F78),0)</f>
        <v>6.9499383420279948E-4</v>
      </c>
      <c r="R78" s="285">
        <f ca="1">IF($B78&lt;&gt;0,(+VLOOKUP($B78,$A$8:$I$13,7,FALSE))*(G78),0)</f>
        <v>1.0254014397912373E-3</v>
      </c>
      <c r="S78" s="285">
        <f ca="1">IF($B78&lt;&gt;0,(+VLOOKUP($B78,$A$8:$I$13,8,FALSE))*(H78),0)</f>
        <v>1.3838671549978537E-3</v>
      </c>
      <c r="T78" s="285">
        <f ca="1">IF($B78&lt;&gt;0,(+VLOOKUP($B78,$A$8:$I$13,9,FALSE))*(I78),0)</f>
        <v>1.7122244328960062E-3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3.9256845640569946E-4</v>
      </c>
      <c r="Q79" s="285">
        <f t="shared" ref="Q79:Q80" ca="1" si="34">IF($B79&lt;&gt;0,(+VLOOKUP($B79,$A$8:$I$13,6,FALSE))*(F79),0)</f>
        <v>7.5631681957363469E-4</v>
      </c>
      <c r="R79" s="285">
        <f t="shared" ref="R79:R80" ca="1" si="35">IF($B79&lt;&gt;0,(+VLOOKUP($B79,$A$8:$I$13,7,FALSE))*(G79),0)</f>
        <v>1.1158780374198756E-3</v>
      </c>
      <c r="S79" s="285">
        <f t="shared" ref="S79:S80" ca="1" si="36">IF($B79&lt;&gt;0,(+VLOOKUP($B79,$A$8:$I$13,8,FALSE))*(H79),0)</f>
        <v>1.5059730804388406E-3</v>
      </c>
      <c r="T79" s="285">
        <f t="shared" ref="T79:T80" ca="1" si="37">IF($B79&lt;&gt;0,(+VLOOKUP($B79,$A$8:$I$13,9,FALSE))*(I79),0)</f>
        <v>1.8633030593280067E-3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1.389904534841801E-3</v>
      </c>
      <c r="Q80" s="285">
        <f t="shared" ca="1" si="34"/>
        <v>2.6777703611931391E-3</v>
      </c>
      <c r="R80" s="285">
        <f t="shared" ca="1" si="35"/>
        <v>3.9508114297838849E-3</v>
      </c>
      <c r="S80" s="285">
        <f t="shared" ca="1" si="36"/>
        <v>5.3319587442564364E-3</v>
      </c>
      <c r="T80" s="285">
        <f t="shared" ca="1" si="37"/>
        <v>6.5971000208640239E-3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1.8312787993411822E-2</v>
      </c>
      <c r="Q83" s="292">
        <f t="shared" ca="1" si="51"/>
        <v>3.5281157583353887E-2</v>
      </c>
      <c r="R83" s="292">
        <f t="shared" ca="1" si="51"/>
        <v>5.2054202502343397E-2</v>
      </c>
      <c r="S83" s="292">
        <f t="shared" ca="1" si="51"/>
        <v>7.0251609103714571E-2</v>
      </c>
      <c r="T83" s="292">
        <f t="shared" ca="1" si="51"/>
        <v>8.6920569740544323E-2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1.6169576420602325E-2</v>
      </c>
      <c r="F98" s="285">
        <f t="shared" ca="1" si="54"/>
        <v>3.1152076568384306E-2</v>
      </c>
      <c r="G98" s="285">
        <f t="shared" ca="1" si="54"/>
        <v>4.5962111595348396E-2</v>
      </c>
      <c r="H98" s="285">
        <f t="shared" ca="1" si="54"/>
        <v>6.2029810124021437E-2</v>
      </c>
      <c r="I98" s="285">
        <f t="shared" ca="1" si="54"/>
        <v>7.6747942227456276E-2</v>
      </c>
    </row>
    <row r="99" spans="1:20" outlineLevel="1">
      <c r="A99" s="61" t="s">
        <v>69</v>
      </c>
      <c r="B99" s="119"/>
      <c r="C99" s="285">
        <f t="shared" ref="C99:I99" ca="1" si="55">+C9*(C87)</f>
        <v>0</v>
      </c>
      <c r="D99" s="285">
        <f t="shared" ca="1" si="55"/>
        <v>0</v>
      </c>
      <c r="E99" s="285">
        <f t="shared" ca="1" si="55"/>
        <v>3.6073858156199413E-4</v>
      </c>
      <c r="F99" s="285">
        <f t="shared" ca="1" si="55"/>
        <v>6.9499383420279948E-4</v>
      </c>
      <c r="G99" s="285">
        <f t="shared" ca="1" si="55"/>
        <v>1.0254014397912373E-3</v>
      </c>
      <c r="H99" s="285">
        <f t="shared" ca="1" si="55"/>
        <v>1.3838671549978537E-3</v>
      </c>
      <c r="I99" s="285">
        <f t="shared" ca="1" si="55"/>
        <v>1.7122244328960062E-3</v>
      </c>
    </row>
    <row r="100" spans="1:20" s="759" customFormat="1" outlineLevel="1">
      <c r="A100" s="61" t="s">
        <v>646</v>
      </c>
      <c r="B100" s="119"/>
      <c r="C100" s="285">
        <f t="shared" ref="C100:I100" ca="1" si="56">+C10*(C88)</f>
        <v>0</v>
      </c>
      <c r="D100" s="285">
        <f t="shared" ca="1" si="56"/>
        <v>0</v>
      </c>
      <c r="E100" s="285">
        <f t="shared" ca="1" si="56"/>
        <v>3.9256845640569946E-4</v>
      </c>
      <c r="F100" s="285">
        <f t="shared" ca="1" si="56"/>
        <v>7.5631681957363469E-4</v>
      </c>
      <c r="G100" s="285">
        <f t="shared" ca="1" si="56"/>
        <v>1.1158780374198756E-3</v>
      </c>
      <c r="H100" s="285">
        <f t="shared" ca="1" si="56"/>
        <v>1.5059730804388406E-3</v>
      </c>
      <c r="I100" s="285">
        <f t="shared" ca="1" si="56"/>
        <v>1.8633030593280067E-3</v>
      </c>
    </row>
    <row r="101" spans="1:20" outlineLevel="1">
      <c r="A101" s="61" t="s">
        <v>647</v>
      </c>
      <c r="B101" s="119"/>
      <c r="C101" s="285">
        <f t="shared" ref="C101:I101" ca="1" si="57">+C11*(C89)</f>
        <v>0</v>
      </c>
      <c r="D101" s="285">
        <f t="shared" ca="1" si="57"/>
        <v>0</v>
      </c>
      <c r="E101" s="285">
        <f t="shared" ca="1" si="57"/>
        <v>1.389904534841801E-3</v>
      </c>
      <c r="F101" s="285">
        <f t="shared" ca="1" si="57"/>
        <v>2.6777703611931391E-3</v>
      </c>
      <c r="G101" s="285">
        <f t="shared" ca="1" si="57"/>
        <v>3.9508114297838849E-3</v>
      </c>
      <c r="H101" s="285">
        <f t="shared" ca="1" si="57"/>
        <v>5.3319587442564364E-3</v>
      </c>
      <c r="I101" s="285">
        <f t="shared" ca="1" si="57"/>
        <v>6.5971000208640239E-3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1.8312787993411822E-2</v>
      </c>
      <c r="F104" s="296">
        <f t="shared" ca="1" si="60"/>
        <v>3.5281157583353887E-2</v>
      </c>
      <c r="G104" s="296">
        <f t="shared" ca="1" si="60"/>
        <v>5.2054202502343397E-2</v>
      </c>
      <c r="H104" s="296">
        <f t="shared" ca="1" si="60"/>
        <v>7.0251609103714571E-2</v>
      </c>
      <c r="I104" s="296">
        <f t="shared" ca="1" si="60"/>
        <v>8.6920569740544323E-2</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2.0440995123611753E-2</v>
      </c>
      <c r="G105" s="124">
        <f t="shared" ca="1" si="61"/>
        <v>3.0158865876212859E-2</v>
      </c>
      <c r="H105" s="124">
        <f t="shared" ca="1" si="61"/>
        <v>4.0701975146995695E-2</v>
      </c>
      <c r="I105" s="124">
        <f t="shared" ca="1" si="61"/>
        <v>5.0359542144000187E-2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3.3048906254763054E-2</v>
      </c>
      <c r="Q113" s="285">
        <f ca="1">IF($B113&lt;&gt;0,(+VLOOKUP($B113,$A$8:$I$13,6,FALSE)+VLOOKUP($B113,$A$42:$I$47,6,FALSE))*(F113),0)</f>
        <v>6.7456861374463592E-2</v>
      </c>
      <c r="R113" s="285">
        <f ca="1">IF($B113&lt;&gt;0,(+VLOOKUP($B113,$A$8:$I$13,7,FALSE)+VLOOKUP($B113,$A$42:$I$47,7,FALSE))*(G113),0)</f>
        <v>0.1051747303260115</v>
      </c>
      <c r="S113" s="285">
        <f ca="1">IF($B113&lt;&gt;0,(+VLOOKUP($B113,$A$8:$I$13,8,FALSE)+VLOOKUP($B113,$A$42:$I$47,8,FALSE))*(H113),0)</f>
        <v>0.14455379098647039</v>
      </c>
      <c r="T113" s="285">
        <f ca="1">IF($B113&lt;&gt;0,(+VLOOKUP($B113,$A$8:$I$13,9,FALSE)+VLOOKUP($B113,$A$42:$I$47,9,FALSE))*(I113),0)</f>
        <v>0.18542830561019552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1.869628422820245E-4</v>
      </c>
      <c r="Q115" s="285">
        <f t="shared" ca="1" si="68"/>
        <v>3.7850707611621548E-4</v>
      </c>
      <c r="R115" s="285">
        <f t="shared" ca="1" si="69"/>
        <v>7.2859358475782076E-4</v>
      </c>
      <c r="S115" s="285">
        <f t="shared" ca="1" si="70"/>
        <v>1.1480915851835259E-3</v>
      </c>
      <c r="T115" s="285">
        <f t="shared" ca="1" si="71"/>
        <v>1.6590213222070858E-3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6.6194952267419494E-4</v>
      </c>
      <c r="Q116" s="285">
        <f t="shared" ca="1" si="68"/>
        <v>1.340119647870925E-3</v>
      </c>
      <c r="R116" s="285">
        <f t="shared" ca="1" si="69"/>
        <v>2.579615124412825E-3</v>
      </c>
      <c r="S116" s="285">
        <f t="shared" ca="1" si="70"/>
        <v>4.0648648015957269E-3</v>
      </c>
      <c r="T116" s="285">
        <f t="shared" ca="1" si="71"/>
        <v>5.873832248895359E-3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3.3897818619719279E-2</v>
      </c>
      <c r="Q119" s="292">
        <f t="shared" ca="1" si="72"/>
        <v>6.9175488098450727E-2</v>
      </c>
      <c r="R119" s="292">
        <f t="shared" ca="1" si="72"/>
        <v>0.10848293903518215</v>
      </c>
      <c r="S119" s="292">
        <f t="shared" ca="1" si="72"/>
        <v>0.14976674737324966</v>
      </c>
      <c r="T119" s="292">
        <f t="shared" ca="1" si="72"/>
        <v>0.19296115918129797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3.3048906254763054E-2</v>
      </c>
      <c r="F134" s="285">
        <f t="shared" ca="1" si="75"/>
        <v>6.7456861374463592E-2</v>
      </c>
      <c r="G134" s="285">
        <f t="shared" ca="1" si="75"/>
        <v>0.1051747303260115</v>
      </c>
      <c r="H134" s="285">
        <f t="shared" ca="1" si="75"/>
        <v>0.14455379098647039</v>
      </c>
      <c r="I134" s="285">
        <f t="shared" ca="1" si="75"/>
        <v>0.18542830561019552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1.869628422820245E-4</v>
      </c>
      <c r="F136" s="285">
        <f t="shared" ca="1" si="77"/>
        <v>3.7850707611621548E-4</v>
      </c>
      <c r="G136" s="285">
        <f t="shared" ca="1" si="77"/>
        <v>7.2859358475782076E-4</v>
      </c>
      <c r="H136" s="285">
        <f t="shared" ca="1" si="77"/>
        <v>1.1480915851835259E-3</v>
      </c>
      <c r="I136" s="285">
        <f t="shared" ca="1" si="77"/>
        <v>1.6590213222070858E-3</v>
      </c>
    </row>
    <row r="137" spans="1:16" outlineLevel="1">
      <c r="A137" s="61" t="s">
        <v>647</v>
      </c>
      <c r="B137" s="119"/>
      <c r="C137" s="285">
        <f ca="1">(+C11+C45)*(C$125)</f>
        <v>0</v>
      </c>
      <c r="D137" s="285">
        <f t="shared" ref="D137:I137" ca="1" si="78">(+D11+D45)*(D$125)</f>
        <v>0</v>
      </c>
      <c r="E137" s="285">
        <f t="shared" ca="1" si="78"/>
        <v>6.6194952267419494E-4</v>
      </c>
      <c r="F137" s="285">
        <f t="shared" ca="1" si="78"/>
        <v>1.340119647870925E-3</v>
      </c>
      <c r="G137" s="285">
        <f t="shared" ca="1" si="78"/>
        <v>2.579615124412825E-3</v>
      </c>
      <c r="H137" s="285">
        <f t="shared" ca="1" si="78"/>
        <v>4.0648648015957269E-3</v>
      </c>
      <c r="I137" s="285">
        <f t="shared" ca="1" si="78"/>
        <v>5.873832248895359E-3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3.3897818619719279E-2</v>
      </c>
      <c r="F140" s="296">
        <f t="shared" ca="1" si="81"/>
        <v>6.9175488098450727E-2</v>
      </c>
      <c r="G140" s="296">
        <f t="shared" ca="1" si="81"/>
        <v>0.10848293903518215</v>
      </c>
      <c r="H140" s="296">
        <f t="shared" ca="1" si="81"/>
        <v>0.14976674737324966</v>
      </c>
      <c r="I140" s="296">
        <f t="shared" ca="1" si="81"/>
        <v>0.19296115918129797</v>
      </c>
    </row>
    <row r="141" spans="1:16" ht="13.5" outlineLevel="1" thickBot="1">
      <c r="A141" s="122" t="s">
        <v>148</v>
      </c>
      <c r="B141" s="126"/>
      <c r="C141" s="124">
        <f t="shared" ref="C141:I141" ca="1" si="82">IF((+C36+C48)&lt;&gt;0,+C140/(+C36+C48),0)</f>
        <v>0</v>
      </c>
      <c r="D141" s="124">
        <f t="shared" ca="1" si="82"/>
        <v>0</v>
      </c>
      <c r="E141" s="124">
        <f t="shared" ca="1" si="82"/>
        <v>1.9433337216264973E-2</v>
      </c>
      <c r="F141" s="124">
        <f t="shared" ca="1" si="82"/>
        <v>3.9275664649343157E-2</v>
      </c>
      <c r="G141" s="124">
        <f t="shared" ca="1" si="82"/>
        <v>6.1012166492173725E-2</v>
      </c>
      <c r="H141" s="124">
        <f t="shared" ca="1" si="82"/>
        <v>8.3377376874267398E-2</v>
      </c>
      <c r="I141" s="124">
        <f t="shared" ca="1" si="82"/>
        <v>0.106436631809475</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(SEM)'!$N$43:$R$48</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1.726</v>
      </c>
      <c r="E205" s="82">
        <f t="shared" ca="1" si="95"/>
        <v>1.726</v>
      </c>
      <c r="F205" s="82">
        <f t="shared" ca="1" si="95"/>
        <v>1.726</v>
      </c>
      <c r="G205" s="82">
        <f t="shared" ca="1" si="95"/>
        <v>1.726</v>
      </c>
      <c r="H205" s="82">
        <f t="shared" ca="1" si="95"/>
        <v>1.726</v>
      </c>
      <c r="I205" s="82">
        <f t="shared" ca="1" si="95"/>
        <v>1.726</v>
      </c>
    </row>
    <row r="206" spans="1:9" outlineLevel="1">
      <c r="A206" t="s">
        <v>156</v>
      </c>
      <c r="B206" s="82">
        <f t="shared" ref="B206:I206" ca="1" si="96">+B36</f>
        <v>0</v>
      </c>
      <c r="C206" s="82">
        <f t="shared" ca="1" si="96"/>
        <v>0</v>
      </c>
      <c r="D206" s="82">
        <f t="shared" ca="1" si="96"/>
        <v>1.726</v>
      </c>
      <c r="E206" s="82">
        <f t="shared" ca="1" si="96"/>
        <v>1.726</v>
      </c>
      <c r="F206" s="82">
        <f t="shared" ca="1" si="96"/>
        <v>1.726</v>
      </c>
      <c r="G206" s="82">
        <f t="shared" ca="1" si="96"/>
        <v>1.726</v>
      </c>
      <c r="H206" s="82">
        <f t="shared" ca="1" si="96"/>
        <v>1.726</v>
      </c>
      <c r="I206" s="82">
        <f t="shared" ca="1" si="96"/>
        <v>1.726</v>
      </c>
    </row>
    <row r="207" spans="1:9" outlineLevel="1">
      <c r="A207" t="s">
        <v>157</v>
      </c>
      <c r="B207" s="82">
        <f t="shared" ref="B207:I207" ca="1" si="97">+B36+B48</f>
        <v>0</v>
      </c>
      <c r="C207" s="82">
        <f t="shared" ca="1" si="97"/>
        <v>0</v>
      </c>
      <c r="D207" s="82">
        <f t="shared" ca="1" si="97"/>
        <v>1.726</v>
      </c>
      <c r="E207" s="82">
        <f t="shared" ca="1" si="97"/>
        <v>1.7443127879934117</v>
      </c>
      <c r="F207" s="82">
        <f t="shared" ca="1" si="97"/>
        <v>1.7612811575833538</v>
      </c>
      <c r="G207" s="82">
        <f t="shared" ca="1" si="97"/>
        <v>1.7780542025023434</v>
      </c>
      <c r="H207" s="82">
        <f t="shared" ca="1" si="97"/>
        <v>1.7962516091037146</v>
      </c>
      <c r="I207" s="82">
        <f t="shared" ca="1" si="97"/>
        <v>1.8129205697405444</v>
      </c>
    </row>
    <row r="208" spans="1:9" outlineLevel="1">
      <c r="A208" t="s">
        <v>158</v>
      </c>
      <c r="B208" s="82">
        <f t="shared" ref="B208:I208" ca="1" si="98">+B70</f>
        <v>0</v>
      </c>
      <c r="C208" s="82">
        <f t="shared" ca="1" si="98"/>
        <v>0</v>
      </c>
      <c r="D208" s="82">
        <f t="shared" ca="1" si="98"/>
        <v>1.726</v>
      </c>
      <c r="E208" s="82">
        <f t="shared" ca="1" si="98"/>
        <v>1.7782106066131311</v>
      </c>
      <c r="F208" s="82">
        <f t="shared" ca="1" si="98"/>
        <v>1.8304566456818043</v>
      </c>
      <c r="G208" s="82">
        <f t="shared" ca="1" si="98"/>
        <v>1.8865371415375256</v>
      </c>
      <c r="H208" s="82">
        <f t="shared" ca="1" si="98"/>
        <v>1.9460183564769642</v>
      </c>
      <c r="I208" s="82">
        <f t="shared" ca="1" si="98"/>
        <v>2.0058817289218425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60" priority="1" stopIfTrue="1" operator="notEqual">
      <formula>0</formula>
    </cfRule>
  </conditionalFormatting>
  <conditionalFormatting sqref="J130 J94 J70 J59 J48 J36:J37 J14 J25">
    <cfRule type="cellIs" dxfId="359" priority="2" stopIfTrue="1" operator="equal">
      <formula>"OK"</formula>
    </cfRule>
    <cfRule type="cellIs" dxfId="358" priority="3" stopIfTrue="1" operator="equal">
      <formula>"Warning Check Escalations"</formula>
    </cfRule>
  </conditionalFormatting>
  <conditionalFormatting sqref="N120:T120 N84:T84">
    <cfRule type="cellIs" dxfId="357" priority="4" stopIfTrue="1" operator="notEqual">
      <formula>0</formula>
    </cfRule>
    <cfRule type="cellIs" dxfId="35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19.xml><?xml version="1.0" encoding="utf-8"?>
<worksheet xmlns="http://schemas.openxmlformats.org/spreadsheetml/2006/main" xmlns:r="http://schemas.openxmlformats.org/officeDocument/2006/relationships">
  <sheetPr codeName="Sheet62" enableFormatConditionsCalculation="0">
    <tabColor indexed="57"/>
    <pageSetUpPr fitToPage="1"/>
  </sheetPr>
  <dimension ref="A1:T239"/>
  <sheetViews>
    <sheetView showGridLines="0" topLeftCell="A71"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6</v>
      </c>
      <c r="M1" s="282"/>
      <c r="N1" s="280"/>
      <c r="O1" s="280"/>
      <c r="P1" s="280"/>
      <c r="Q1" s="280"/>
      <c r="R1" s="280"/>
      <c r="S1" s="280"/>
      <c r="T1" s="280"/>
    </row>
    <row r="2" spans="1:20" ht="15.75">
      <c r="A2" s="184" t="s">
        <v>121</v>
      </c>
      <c r="B2" s="74" t="str">
        <f ca="1">OFFSET(List_AllocOpexListStart,+$K$1,1)</f>
        <v>Regulation</v>
      </c>
      <c r="F2" s="284"/>
      <c r="H2" s="42"/>
      <c r="I2" s="283"/>
      <c r="L2" s="282"/>
      <c r="M2" s="282"/>
    </row>
    <row r="3" spans="1:20" ht="16.5" thickBot="1">
      <c r="A3" s="184" t="s">
        <v>371</v>
      </c>
      <c r="B3" s="236" t="str">
        <f ca="1">OFFSET(List_AllocOpexListStart,+$K$1,2)</f>
        <v>Wayne Lissner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4.8730000000000002</v>
      </c>
      <c r="E8" s="285">
        <f ca="1">OFFSET(Future_AOpexStart,MATCH($K$1,'I-6 Future A'!$A$6:$A$379)+2,+'I-5 Future DA'!F$5)</f>
        <v>4.8730000000000002</v>
      </c>
      <c r="F8" s="285">
        <f ca="1">OFFSET(Future_AOpexStart,MATCH($K$1,'I-6 Future A'!$A$6:$A$379)+2,+'I-5 Future DA'!G$5)</f>
        <v>4.8730000000000002</v>
      </c>
      <c r="G8" s="285">
        <f ca="1">OFFSET(Future_AOpexStart,MATCH($K$1,'I-6 Future A'!$A$6:$A$379)+2,+'I-5 Future DA'!H$5)</f>
        <v>4.8730000000000002</v>
      </c>
      <c r="H8" s="285">
        <f ca="1">OFFSET(Future_AOpexStart,MATCH($K$1,'I-6 Future A'!$A$6:$A$379)+2,+'I-5 Future DA'!I$5)</f>
        <v>4.8730000000000002</v>
      </c>
      <c r="I8" s="285">
        <f ca="1">OFFSET(Future_AOpexStart,MATCH($K$1,'I-6 Future A'!$A$6:$A$379)+2,+'I-5 Future DA'!J$5)</f>
        <v>4.8730000000000002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0.16300000000000001</v>
      </c>
      <c r="E9" s="285">
        <f ca="1">OFFSET(Future_AOpexStart,MATCH($K$1,'I-6 Future A'!$A$6:$A$379)+3,+'I-5 Future DA'!F$5)</f>
        <v>0.16300000000000001</v>
      </c>
      <c r="F9" s="285">
        <f ca="1">OFFSET(Future_AOpexStart,MATCH($K$1,'I-6 Future A'!$A$6:$A$379)+3,+'I-5 Future DA'!G$5)</f>
        <v>0.16300000000000001</v>
      </c>
      <c r="G9" s="285">
        <f ca="1">OFFSET(Future_AOpexStart,MATCH($K$1,'I-6 Future A'!$A$6:$A$379)+3,+'I-5 Future DA'!H$5)</f>
        <v>0.16300000000000001</v>
      </c>
      <c r="H9" s="285">
        <f ca="1">OFFSET(Future_AOpexStart,MATCH($K$1,'I-6 Future A'!$A$6:$A$379)+3,+'I-5 Future DA'!I$5)</f>
        <v>0.16300000000000001</v>
      </c>
      <c r="I9" s="285">
        <f ca="1">OFFSET(Future_AOpexStart,MATCH($K$1,'I-6 Future A'!$A$6:$A$379)+3,+'I-5 Future DA'!J$5)</f>
        <v>0.16300000000000001</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0.153</v>
      </c>
      <c r="E10" s="285">
        <f ca="1">OFFSET(Future_AOpexStart,MATCH($K$1,'I-6 Future A'!$A$6:$A$379)+4,+'I-5 Future DA'!F$5)</f>
        <v>0.153</v>
      </c>
      <c r="F10" s="285">
        <f ca="1">OFFSET(Future_AOpexStart,MATCH($K$1,'I-6 Future A'!$A$6:$A$379)+4,+'I-5 Future DA'!G$5)</f>
        <v>0.153</v>
      </c>
      <c r="G10" s="285">
        <f ca="1">OFFSET(Future_AOpexStart,MATCH($K$1,'I-6 Future A'!$A$6:$A$379)+4,+'I-5 Future DA'!H$5)</f>
        <v>0.153</v>
      </c>
      <c r="H10" s="285">
        <f ca="1">OFFSET(Future_AOpexStart,MATCH($K$1,'I-6 Future A'!$A$6:$A$379)+4,+'I-5 Future DA'!I$5)</f>
        <v>0.153</v>
      </c>
      <c r="I10" s="285">
        <f ca="1">OFFSET(Future_AOpexStart,MATCH($K$1,'I-6 Future A'!$A$6:$A$379)+4,+'I-5 Future DA'!J$5)</f>
        <v>0.153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0.84699999999999998</v>
      </c>
      <c r="E11" s="285">
        <f ca="1">OFFSET(Future_AOpexStart,MATCH($K$1,'I-6 Future A'!$A$6:$A$379)+5,+'I-5 Future DA'!F$5)</f>
        <v>0.84699999999999998</v>
      </c>
      <c r="F11" s="285">
        <f ca="1">OFFSET(Future_AOpexStart,MATCH($K$1,'I-6 Future A'!$A$6:$A$379)+5,+'I-5 Future DA'!G$5)</f>
        <v>0.84699999999999998</v>
      </c>
      <c r="G11" s="285">
        <f ca="1">OFFSET(Future_AOpexStart,MATCH($K$1,'I-6 Future A'!$A$6:$A$379)+5,+'I-5 Future DA'!H$5)</f>
        <v>0.84699999999999998</v>
      </c>
      <c r="H11" s="285">
        <f ca="1">OFFSET(Future_AOpexStart,MATCH($K$1,'I-6 Future A'!$A$6:$A$379)+5,+'I-5 Future DA'!I$5)</f>
        <v>0.84699999999999998</v>
      </c>
      <c r="I11" s="285">
        <f ca="1">OFFSET(Future_AOpexStart,MATCH($K$1,'I-6 Future A'!$A$6:$A$379)+5,+'I-5 Future DA'!J$5)</f>
        <v>0.84699999999999998</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6.0359999999999996</v>
      </c>
      <c r="E14" s="287">
        <f t="shared" ca="1" si="0"/>
        <v>6.0359999999999996</v>
      </c>
      <c r="F14" s="287">
        <f t="shared" ca="1" si="0"/>
        <v>6.0359999999999996</v>
      </c>
      <c r="G14" s="287">
        <f t="shared" ca="1" si="0"/>
        <v>6.0359999999999996</v>
      </c>
      <c r="H14" s="287">
        <f t="shared" ca="1" si="0"/>
        <v>6.0359999999999996</v>
      </c>
      <c r="I14" s="287">
        <f t="shared" ca="1" si="0"/>
        <v>6.0359999999999996</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1.133</v>
      </c>
      <c r="H19" s="285">
        <f t="shared" si="1"/>
        <v>1.133</v>
      </c>
      <c r="I19" s="285">
        <f t="shared" si="1"/>
        <v>1.133</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1.133</v>
      </c>
      <c r="H25" s="287">
        <f t="shared" si="6"/>
        <v>1.133</v>
      </c>
      <c r="I25" s="287">
        <f t="shared" si="6"/>
        <v>1.133</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+'A-6'!B8+'A-6'!B19</f>
        <v>0</v>
      </c>
      <c r="C30" s="285">
        <f ca="1">+'A-6'!C8+'A-6'!C19</f>
        <v>0</v>
      </c>
      <c r="D30" s="285">
        <f ca="1">+'A-6'!D8+'A-6'!D19</f>
        <v>4.8730000000000002</v>
      </c>
      <c r="E30" s="285">
        <f ca="1">+'A-6'!E8+'A-6'!E19</f>
        <v>4.8730000000000002</v>
      </c>
      <c r="F30" s="285">
        <f ca="1">+'A-6'!F8+'A-6'!F19</f>
        <v>4.8730000000000002</v>
      </c>
      <c r="G30" s="285">
        <f ca="1">+'A-6'!G8+'A-6'!G19</f>
        <v>6.0060000000000002</v>
      </c>
      <c r="H30" s="285">
        <f ca="1">+'A-6'!H8+'A-6'!H19</f>
        <v>6.0060000000000002</v>
      </c>
      <c r="I30" s="285">
        <f ca="1">+'A-6'!I8+'A-6'!I19</f>
        <v>6.0060000000000002</v>
      </c>
      <c r="J30" s="42"/>
      <c r="K30" s="21"/>
      <c r="L30" s="21"/>
    </row>
    <row r="31" spans="1:12" outlineLevel="2">
      <c r="A31" s="61" t="s">
        <v>69</v>
      </c>
      <c r="B31" s="285">
        <f ca="1">+'A-6'!B9+'A-6'!B20</f>
        <v>0</v>
      </c>
      <c r="C31" s="285">
        <f ca="1">+'A-6'!C9+'A-6'!C20</f>
        <v>0</v>
      </c>
      <c r="D31" s="285">
        <f ca="1">+'A-6'!D9+'A-6'!D20</f>
        <v>0.16300000000000001</v>
      </c>
      <c r="E31" s="285">
        <f ca="1">+'A-6'!E9+'A-6'!E20</f>
        <v>0.16300000000000001</v>
      </c>
      <c r="F31" s="285">
        <f ca="1">+'A-6'!F9+'A-6'!F20</f>
        <v>0.16300000000000001</v>
      </c>
      <c r="G31" s="285">
        <f ca="1">+'A-6'!G9+'A-6'!G20</f>
        <v>0.16300000000000001</v>
      </c>
      <c r="H31" s="285">
        <f ca="1">+'A-6'!H9+'A-6'!H20</f>
        <v>0.16300000000000001</v>
      </c>
      <c r="I31" s="285">
        <f ca="1">+'A-6'!I9+'A-6'!I20</f>
        <v>0.16300000000000001</v>
      </c>
      <c r="J31" s="42"/>
      <c r="K31" s="21"/>
      <c r="L31" s="21"/>
    </row>
    <row r="32" spans="1:12" s="759" customFormat="1" outlineLevel="2">
      <c r="A32" s="61" t="s">
        <v>646</v>
      </c>
      <c r="B32" s="285">
        <f ca="1">+'A-6'!B10+'A-6'!B21</f>
        <v>0</v>
      </c>
      <c r="C32" s="285">
        <f ca="1">+'A-6'!C10+'A-6'!C21</f>
        <v>0</v>
      </c>
      <c r="D32" s="285">
        <f ca="1">+'A-6'!D10+'A-6'!D21</f>
        <v>0.153</v>
      </c>
      <c r="E32" s="285">
        <f ca="1">+'A-6'!E10+'A-6'!E21</f>
        <v>0.153</v>
      </c>
      <c r="F32" s="285">
        <f ca="1">+'A-6'!F10+'A-6'!F21</f>
        <v>0.153</v>
      </c>
      <c r="G32" s="285">
        <f ca="1">+'A-6'!G10+'A-6'!G21</f>
        <v>0.153</v>
      </c>
      <c r="H32" s="285">
        <f ca="1">+'A-6'!H10+'A-6'!H21</f>
        <v>0.153</v>
      </c>
      <c r="I32" s="285">
        <f ca="1">+'A-6'!I10+'A-6'!I21</f>
        <v>0.153</v>
      </c>
      <c r="J32" s="42"/>
      <c r="K32" s="732"/>
      <c r="L32" s="732"/>
    </row>
    <row r="33" spans="1:12" outlineLevel="2">
      <c r="A33" s="61" t="s">
        <v>647</v>
      </c>
      <c r="B33" s="285">
        <f ca="1">+'A-6'!B11+'A-6'!B22</f>
        <v>0</v>
      </c>
      <c r="C33" s="285">
        <f ca="1">+'A-6'!C11+'A-6'!C22</f>
        <v>0</v>
      </c>
      <c r="D33" s="285">
        <f ca="1">+'A-6'!D11+'A-6'!D22</f>
        <v>0.84699999999999998</v>
      </c>
      <c r="E33" s="285">
        <f ca="1">+'A-6'!E11+'A-6'!E22</f>
        <v>0.84699999999999998</v>
      </c>
      <c r="F33" s="285">
        <f ca="1">+'A-6'!F11+'A-6'!F22</f>
        <v>0.84699999999999998</v>
      </c>
      <c r="G33" s="285">
        <f ca="1">+'A-6'!G11+'A-6'!G22</f>
        <v>0.84699999999999998</v>
      </c>
      <c r="H33" s="285">
        <f ca="1">+'A-6'!H11+'A-6'!H22</f>
        <v>0.84699999999999998</v>
      </c>
      <c r="I33" s="285">
        <f ca="1">+'A-6'!I11+'A-6'!I22</f>
        <v>0.84699999999999998</v>
      </c>
      <c r="J33" s="42"/>
      <c r="K33" s="21"/>
      <c r="L33" s="21"/>
    </row>
    <row r="34" spans="1:12" s="759" customFormat="1" outlineLevel="2">
      <c r="A34" s="61" t="s">
        <v>575</v>
      </c>
      <c r="B34" s="285">
        <f ca="1">+'A-6'!B12+'A-6'!B23</f>
        <v>0</v>
      </c>
      <c r="C34" s="285">
        <f ca="1">+'A-6'!C12+'A-6'!C23</f>
        <v>0</v>
      </c>
      <c r="D34" s="285">
        <f ca="1">+'A-6'!D12+'A-6'!D23</f>
        <v>0</v>
      </c>
      <c r="E34" s="285">
        <f ca="1">+'A-6'!E12+'A-6'!E23</f>
        <v>0</v>
      </c>
      <c r="F34" s="285">
        <f ca="1">+'A-6'!F12+'A-6'!F23</f>
        <v>0</v>
      </c>
      <c r="G34" s="285">
        <f ca="1">+'A-6'!G12+'A-6'!G23</f>
        <v>0</v>
      </c>
      <c r="H34" s="285">
        <f ca="1">+'A-6'!H12+'A-6'!H23</f>
        <v>0</v>
      </c>
      <c r="I34" s="285">
        <f ca="1">+'A-6'!I12+'A-6'!I23</f>
        <v>0</v>
      </c>
      <c r="J34" s="42"/>
      <c r="K34" s="732"/>
      <c r="L34" s="732"/>
    </row>
    <row r="35" spans="1:12" ht="13.5" outlineLevel="2" thickBot="1">
      <c r="A35" s="83" t="s">
        <v>70</v>
      </c>
      <c r="B35" s="285">
        <f ca="1">+'A-6'!B13+'A-6'!B24</f>
        <v>0</v>
      </c>
      <c r="C35" s="285">
        <f ca="1">+'A-6'!C13+'A-6'!C24</f>
        <v>0</v>
      </c>
      <c r="D35" s="285">
        <f ca="1">+'A-6'!D13+'A-6'!D24</f>
        <v>0</v>
      </c>
      <c r="E35" s="285">
        <f ca="1">+'A-6'!E13+'A-6'!E24</f>
        <v>0</v>
      </c>
      <c r="F35" s="285">
        <f ca="1">+'A-6'!F13+'A-6'!F24</f>
        <v>0</v>
      </c>
      <c r="G35" s="285">
        <f ca="1">+'A-6'!G13+'A-6'!G24</f>
        <v>0</v>
      </c>
      <c r="H35" s="285">
        <f ca="1">+'A-6'!H13+'A-6'!H24</f>
        <v>0</v>
      </c>
      <c r="I35" s="285">
        <f ca="1">+'A-6'!I13+'A-6'!I24</f>
        <v>0</v>
      </c>
      <c r="J35" s="93"/>
      <c r="K35" s="21"/>
      <c r="L35" s="21"/>
    </row>
    <row r="36" spans="1:12" s="87" customFormat="1" ht="20.25" customHeight="1" thickBot="1">
      <c r="A36" s="94" t="s">
        <v>128</v>
      </c>
      <c r="B36" s="294">
        <f t="shared" ref="B36:I36" ca="1" si="7">SUM(B30:B35)</f>
        <v>0</v>
      </c>
      <c r="C36" s="294">
        <f t="shared" ca="1" si="7"/>
        <v>0</v>
      </c>
      <c r="D36" s="294">
        <f t="shared" ca="1" si="7"/>
        <v>6.0359999999999996</v>
      </c>
      <c r="E36" s="294">
        <f t="shared" ca="1" si="7"/>
        <v>6.0359999999999996</v>
      </c>
      <c r="F36" s="294">
        <f t="shared" ca="1" si="7"/>
        <v>6.0359999999999996</v>
      </c>
      <c r="G36" s="294">
        <f t="shared" ca="1" si="7"/>
        <v>7.1690000000000005</v>
      </c>
      <c r="H36" s="294">
        <f t="shared" ca="1" si="7"/>
        <v>7.1690000000000005</v>
      </c>
      <c r="I36" s="294">
        <f t="shared" ca="1" si="7"/>
        <v>7.1690000000000005</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5.1702326704458748E-2</v>
      </c>
      <c r="F42" s="285">
        <f t="shared" ca="1" si="8"/>
        <v>9.9608969237360054E-2</v>
      </c>
      <c r="G42" s="285">
        <f t="shared" ca="1" si="8"/>
        <v>0.14696415341478528</v>
      </c>
      <c r="H42" s="285">
        <f t="shared" ca="1" si="8"/>
        <v>0.19834072489131002</v>
      </c>
      <c r="I42" s="285">
        <f t="shared" ca="1" si="8"/>
        <v>0.24540204886771289</v>
      </c>
      <c r="K42" s="63"/>
      <c r="L42" s="63"/>
    </row>
    <row r="43" spans="1:12" outlineLevel="1">
      <c r="A43" s="61" t="s">
        <v>69</v>
      </c>
      <c r="B43" s="82"/>
      <c r="C43" s="285">
        <f t="shared" ca="1" si="8"/>
        <v>0</v>
      </c>
      <c r="D43" s="285">
        <f t="shared" ca="1" si="8"/>
        <v>0</v>
      </c>
      <c r="E43" s="285">
        <f t="shared" ca="1" si="8"/>
        <v>1.7294231998413248E-3</v>
      </c>
      <c r="F43" s="285">
        <f t="shared" ca="1" si="8"/>
        <v>3.3318822051487153E-3</v>
      </c>
      <c r="G43" s="285">
        <f t="shared" ca="1" si="8"/>
        <v>4.915895137822696E-3</v>
      </c>
      <c r="H43" s="285">
        <f t="shared" ca="1" si="8"/>
        <v>6.6344219489602981E-3</v>
      </c>
      <c r="I43" s="285">
        <f t="shared" ca="1" si="8"/>
        <v>8.2086053694720301E-3</v>
      </c>
      <c r="K43" s="42"/>
      <c r="L43" s="21"/>
    </row>
    <row r="44" spans="1:12" s="759" customFormat="1" outlineLevel="1">
      <c r="A44" s="61" t="s">
        <v>646</v>
      </c>
      <c r="B44" s="82"/>
      <c r="C44" s="285">
        <f t="shared" ref="C44:I44" ca="1" si="9">+C100</f>
        <v>0</v>
      </c>
      <c r="D44" s="285">
        <f t="shared" ca="1" si="9"/>
        <v>0</v>
      </c>
      <c r="E44" s="285">
        <f t="shared" ca="1" si="9"/>
        <v>1.6233236170289736E-3</v>
      </c>
      <c r="F44" s="285">
        <f t="shared" ca="1" si="9"/>
        <v>3.1274722539125976E-3</v>
      </c>
      <c r="G44" s="285">
        <f t="shared" ca="1" si="9"/>
        <v>4.6143064790605676E-3</v>
      </c>
      <c r="H44" s="285">
        <f t="shared" ca="1" si="9"/>
        <v>6.2274021974903409E-3</v>
      </c>
      <c r="I44" s="285">
        <f t="shared" ca="1" si="9"/>
        <v>7.7050099480320275E-3</v>
      </c>
      <c r="K44" s="42"/>
      <c r="L44" s="732"/>
    </row>
    <row r="45" spans="1:12" outlineLevel="1">
      <c r="A45" s="61" t="s">
        <v>647</v>
      </c>
      <c r="B45" s="82"/>
      <c r="C45" s="285">
        <f t="shared" ref="C45:I45" ca="1" si="10">+C101</f>
        <v>0</v>
      </c>
      <c r="D45" s="285">
        <f t="shared" ca="1" si="10"/>
        <v>0</v>
      </c>
      <c r="E45" s="285">
        <f t="shared" ca="1" si="10"/>
        <v>8.986634664206147E-3</v>
      </c>
      <c r="F45" s="285">
        <f t="shared" ca="1" si="10"/>
        <v>1.7313522869699151E-2</v>
      </c>
      <c r="G45" s="285">
        <f t="shared" ca="1" si="10"/>
        <v>2.5544559397152292E-2</v>
      </c>
      <c r="H45" s="285">
        <f t="shared" ca="1" si="10"/>
        <v>3.4474572949505351E-2</v>
      </c>
      <c r="I45" s="285">
        <f t="shared" ca="1" si="10"/>
        <v>4.2654532195968153E-2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6.4041708185535187E-2</v>
      </c>
      <c r="F48" s="294">
        <f t="shared" ca="1" si="13"/>
        <v>0.1233818465661205</v>
      </c>
      <c r="G48" s="294">
        <f t="shared" ca="1" si="13"/>
        <v>0.18203891442882081</v>
      </c>
      <c r="H48" s="294">
        <f t="shared" ca="1" si="13"/>
        <v>0.24567712198726602</v>
      </c>
      <c r="I48" s="294">
        <f t="shared" ca="1" si="13"/>
        <v>0.30397019638118511</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0.10567409460594512</v>
      </c>
      <c r="F53" s="285">
        <f t="shared" ca="1" si="14"/>
        <v>0.21569375687517128</v>
      </c>
      <c r="G53" s="285">
        <f t="shared" ca="1" si="14"/>
        <v>0.33629689034032423</v>
      </c>
      <c r="H53" s="285">
        <f t="shared" ca="1" si="14"/>
        <v>0.46221169519492794</v>
      </c>
      <c r="I53" s="285">
        <f t="shared" ca="1" si="14"/>
        <v>0.59290822390976561</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7.7311661808512834E-4</v>
      </c>
      <c r="F55" s="285">
        <f t="shared" ca="1" si="15"/>
        <v>1.5651779093454315E-3</v>
      </c>
      <c r="G55" s="285">
        <f t="shared" ca="1" si="15"/>
        <v>3.0128329315661237E-3</v>
      </c>
      <c r="H55" s="285">
        <f t="shared" ca="1" si="15"/>
        <v>4.7475138522453915E-3</v>
      </c>
      <c r="I55" s="285">
        <f t="shared" ca="1" si="15"/>
        <v>6.8602773593968687E-3</v>
      </c>
      <c r="K55" s="42"/>
      <c r="L55" s="732"/>
    </row>
    <row r="56" spans="1:12" outlineLevel="1">
      <c r="A56" s="61" t="s">
        <v>647</v>
      </c>
      <c r="B56" s="285"/>
      <c r="C56" s="285">
        <f t="shared" ref="C56:I56" ca="1" si="16">+C137</f>
        <v>0</v>
      </c>
      <c r="D56" s="285">
        <f t="shared" ca="1" si="16"/>
        <v>0</v>
      </c>
      <c r="E56" s="285">
        <f t="shared" ca="1" si="16"/>
        <v>4.2799331733209389E-3</v>
      </c>
      <c r="F56" s="285">
        <f t="shared" ca="1" si="16"/>
        <v>8.6647430667684995E-3</v>
      </c>
      <c r="G56" s="285">
        <f t="shared" ca="1" si="16"/>
        <v>1.6678885575402005E-2</v>
      </c>
      <c r="H56" s="285">
        <f t="shared" ca="1" si="16"/>
        <v>2.6281988450012068E-2</v>
      </c>
      <c r="I56" s="285">
        <f t="shared" ca="1" si="16"/>
        <v>3.7978136754308153E-2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0.11072714439735119</v>
      </c>
      <c r="F59" s="287">
        <f t="shared" ca="1" si="19"/>
        <v>0.22592367785128523</v>
      </c>
      <c r="G59" s="287">
        <f t="shared" ca="1" si="19"/>
        <v>0.35598860884729233</v>
      </c>
      <c r="H59" s="287">
        <f t="shared" ca="1" si="19"/>
        <v>0.49324119749718537</v>
      </c>
      <c r="I59" s="287">
        <f t="shared" ca="1" si="19"/>
        <v>0.63774663802347065</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4.8730000000000002</v>
      </c>
      <c r="E64" s="285">
        <f t="shared" ca="1" si="20"/>
        <v>5.0303764213104039</v>
      </c>
      <c r="F64" s="285">
        <f t="shared" ca="1" si="20"/>
        <v>5.1883027261125312</v>
      </c>
      <c r="G64" s="285">
        <f t="shared" ca="1" si="20"/>
        <v>6.4892610437551097</v>
      </c>
      <c r="H64" s="285">
        <f t="shared" ca="1" si="20"/>
        <v>6.6665524200862381</v>
      </c>
      <c r="I64" s="285">
        <f t="shared" ca="1" si="20"/>
        <v>6.8443102727774789</v>
      </c>
      <c r="K64" s="63"/>
      <c r="L64" s="63"/>
    </row>
    <row r="65" spans="1:20" ht="12.75" customHeight="1" outlineLevel="1">
      <c r="A65" s="61" t="s">
        <v>69</v>
      </c>
      <c r="B65" s="285">
        <f t="shared" ca="1" si="20"/>
        <v>0</v>
      </c>
      <c r="C65" s="285">
        <f t="shared" ca="1" si="20"/>
        <v>0</v>
      </c>
      <c r="D65" s="285">
        <f t="shared" ca="1" si="20"/>
        <v>0.16300000000000001</v>
      </c>
      <c r="E65" s="285">
        <f t="shared" ca="1" si="20"/>
        <v>0.16472942319984132</v>
      </c>
      <c r="F65" s="285">
        <f t="shared" ca="1" si="20"/>
        <v>0.16633188220514872</v>
      </c>
      <c r="G65" s="285">
        <f t="shared" ca="1" si="20"/>
        <v>0.16791589513782271</v>
      </c>
      <c r="H65" s="285">
        <f t="shared" ca="1" si="20"/>
        <v>0.16963442194896031</v>
      </c>
      <c r="I65" s="285">
        <f t="shared" ca="1" si="20"/>
        <v>0.17120860536947202</v>
      </c>
      <c r="K65" s="42"/>
      <c r="L65" s="21"/>
    </row>
    <row r="66" spans="1:20" s="759" customFormat="1" ht="12.75" customHeight="1" outlineLevel="1">
      <c r="A66" s="61" t="s">
        <v>646</v>
      </c>
      <c r="B66" s="285">
        <f t="shared" ref="B66:I66" ca="1" si="21">+B44+B32+B55</f>
        <v>0</v>
      </c>
      <c r="C66" s="285">
        <f t="shared" ca="1" si="21"/>
        <v>0</v>
      </c>
      <c r="D66" s="285">
        <f t="shared" ca="1" si="21"/>
        <v>0.153</v>
      </c>
      <c r="E66" s="285">
        <f t="shared" ca="1" si="21"/>
        <v>0.15539644023511409</v>
      </c>
      <c r="F66" s="285">
        <f t="shared" ca="1" si="21"/>
        <v>0.15769265016325804</v>
      </c>
      <c r="G66" s="285">
        <f t="shared" ca="1" si="21"/>
        <v>0.16062713941062667</v>
      </c>
      <c r="H66" s="285">
        <f t="shared" ca="1" si="21"/>
        <v>0.16397491604973574</v>
      </c>
      <c r="I66" s="285">
        <f t="shared" ca="1" si="21"/>
        <v>0.1675652873074289</v>
      </c>
      <c r="K66" s="42"/>
      <c r="L66" s="732"/>
    </row>
    <row r="67" spans="1:20" ht="12.75" customHeight="1" outlineLevel="1">
      <c r="A67" s="61" t="s">
        <v>647</v>
      </c>
      <c r="B67" s="285">
        <f t="shared" ref="B67:I67" ca="1" si="22">+B45+B33+B56</f>
        <v>0</v>
      </c>
      <c r="C67" s="285">
        <f t="shared" ca="1" si="22"/>
        <v>0</v>
      </c>
      <c r="D67" s="285">
        <f t="shared" ca="1" si="22"/>
        <v>0.84699999999999998</v>
      </c>
      <c r="E67" s="285">
        <f t="shared" ca="1" si="22"/>
        <v>0.86026656783752709</v>
      </c>
      <c r="F67" s="285">
        <f t="shared" ca="1" si="22"/>
        <v>0.87297826593646755</v>
      </c>
      <c r="G67" s="285">
        <f t="shared" ca="1" si="22"/>
        <v>0.88922344497255423</v>
      </c>
      <c r="H67" s="285">
        <f t="shared" ca="1" si="22"/>
        <v>0.90775656139951744</v>
      </c>
      <c r="I67" s="285">
        <f t="shared" ca="1" si="22"/>
        <v>0.9276326689502763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6.0359999999999996</v>
      </c>
      <c r="E70" s="295">
        <f t="shared" ca="1" si="25"/>
        <v>6.2107688525828868</v>
      </c>
      <c r="F70" s="295">
        <f t="shared" ca="1" si="25"/>
        <v>6.3853055244174053</v>
      </c>
      <c r="G70" s="295">
        <f t="shared" ca="1" si="25"/>
        <v>7.7070275232761132</v>
      </c>
      <c r="H70" s="295">
        <f t="shared" ca="1" si="25"/>
        <v>7.9079183194844518</v>
      </c>
      <c r="I70" s="295">
        <f t="shared" ca="1" si="25"/>
        <v>8.1107168344046556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5.1702326704458748E-2</v>
      </c>
      <c r="Q77" s="285">
        <f ca="1">IF($B77&lt;&gt;0,(+VLOOKUP($B77,$A$8:$I$13,6,FALSE))*(F77),0)</f>
        <v>9.9608969237360054E-2</v>
      </c>
      <c r="R77" s="285">
        <f ca="1">IF($B77&lt;&gt;0,(+VLOOKUP($B77,$A$8:$I$13,7,FALSE))*(G77),0)</f>
        <v>0.14696415341478528</v>
      </c>
      <c r="S77" s="285">
        <f ca="1">IF($B77&lt;&gt;0,(+VLOOKUP($B77,$A$8:$I$13,8,FALSE))*(H77),0)</f>
        <v>0.19834072489131002</v>
      </c>
      <c r="T77" s="285">
        <f ca="1">IF($B77&lt;&gt;0,(+VLOOKUP($B77,$A$8:$I$13,9,FALSE))*(I77),0)</f>
        <v>0.24540204886771289</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1.7294231998413248E-3</v>
      </c>
      <c r="Q78" s="285">
        <f ca="1">IF($B78&lt;&gt;0,(+VLOOKUP($B78,$A$8:$I$13,6,FALSE))*(F78),0)</f>
        <v>3.3318822051487153E-3</v>
      </c>
      <c r="R78" s="285">
        <f ca="1">IF($B78&lt;&gt;0,(+VLOOKUP($B78,$A$8:$I$13,7,FALSE))*(G78),0)</f>
        <v>4.915895137822696E-3</v>
      </c>
      <c r="S78" s="285">
        <f ca="1">IF($B78&lt;&gt;0,(+VLOOKUP($B78,$A$8:$I$13,8,FALSE))*(H78),0)</f>
        <v>6.6344219489602981E-3</v>
      </c>
      <c r="T78" s="285">
        <f ca="1">IF($B78&lt;&gt;0,(+VLOOKUP($B78,$A$8:$I$13,9,FALSE))*(I78),0)</f>
        <v>8.2086053694720301E-3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1.6233236170289736E-3</v>
      </c>
      <c r="Q79" s="285">
        <f t="shared" ref="Q79:Q80" ca="1" si="34">IF($B79&lt;&gt;0,(+VLOOKUP($B79,$A$8:$I$13,6,FALSE))*(F79),0)</f>
        <v>3.1274722539125976E-3</v>
      </c>
      <c r="R79" s="285">
        <f t="shared" ref="R79:R80" ca="1" si="35">IF($B79&lt;&gt;0,(+VLOOKUP($B79,$A$8:$I$13,7,FALSE))*(G79),0)</f>
        <v>4.6143064790605676E-3</v>
      </c>
      <c r="S79" s="285">
        <f t="shared" ref="S79:S80" ca="1" si="36">IF($B79&lt;&gt;0,(+VLOOKUP($B79,$A$8:$I$13,8,FALSE))*(H79),0)</f>
        <v>6.2274021974903409E-3</v>
      </c>
      <c r="T79" s="285">
        <f t="shared" ref="T79:T80" ca="1" si="37">IF($B79&lt;&gt;0,(+VLOOKUP($B79,$A$8:$I$13,9,FALSE))*(I79),0)</f>
        <v>7.7050099480320275E-3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8.986634664206147E-3</v>
      </c>
      <c r="Q80" s="285">
        <f t="shared" ca="1" si="34"/>
        <v>1.7313522869699151E-2</v>
      </c>
      <c r="R80" s="285">
        <f t="shared" ca="1" si="35"/>
        <v>2.5544559397152292E-2</v>
      </c>
      <c r="S80" s="285">
        <f t="shared" ca="1" si="36"/>
        <v>3.4474572949505351E-2</v>
      </c>
      <c r="T80" s="285">
        <f t="shared" ca="1" si="37"/>
        <v>4.2654532195968153E-2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6.4041708185535187E-2</v>
      </c>
      <c r="Q83" s="292">
        <f t="shared" ca="1" si="51"/>
        <v>0.1233818465661205</v>
      </c>
      <c r="R83" s="292">
        <f t="shared" ca="1" si="51"/>
        <v>0.18203891442882081</v>
      </c>
      <c r="S83" s="292">
        <f t="shared" ca="1" si="51"/>
        <v>0.24567712198726602</v>
      </c>
      <c r="T83" s="292">
        <f t="shared" ca="1" si="51"/>
        <v>0.30397019638118511</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5.1702326704458748E-2</v>
      </c>
      <c r="F98" s="285">
        <f t="shared" ca="1" si="54"/>
        <v>9.9608969237360054E-2</v>
      </c>
      <c r="G98" s="285">
        <f t="shared" ca="1" si="54"/>
        <v>0.14696415341478528</v>
      </c>
      <c r="H98" s="285">
        <f t="shared" ca="1" si="54"/>
        <v>0.19834072489131002</v>
      </c>
      <c r="I98" s="285">
        <f t="shared" ca="1" si="54"/>
        <v>0.24540204886771289</v>
      </c>
    </row>
    <row r="99" spans="1:20" outlineLevel="1">
      <c r="A99" s="61" t="s">
        <v>69</v>
      </c>
      <c r="B99" s="119"/>
      <c r="C99" s="285">
        <f t="shared" ref="C99:I99" ca="1" si="55">+C9*(C87)</f>
        <v>0</v>
      </c>
      <c r="D99" s="285">
        <f t="shared" ca="1" si="55"/>
        <v>0</v>
      </c>
      <c r="E99" s="285">
        <f t="shared" ca="1" si="55"/>
        <v>1.7294231998413248E-3</v>
      </c>
      <c r="F99" s="285">
        <f t="shared" ca="1" si="55"/>
        <v>3.3318822051487153E-3</v>
      </c>
      <c r="G99" s="285">
        <f t="shared" ca="1" si="55"/>
        <v>4.915895137822696E-3</v>
      </c>
      <c r="H99" s="285">
        <f t="shared" ca="1" si="55"/>
        <v>6.6344219489602981E-3</v>
      </c>
      <c r="I99" s="285">
        <f t="shared" ca="1" si="55"/>
        <v>8.2086053694720301E-3</v>
      </c>
    </row>
    <row r="100" spans="1:20" s="759" customFormat="1" outlineLevel="1">
      <c r="A100" s="61" t="s">
        <v>646</v>
      </c>
      <c r="B100" s="119"/>
      <c r="C100" s="285">
        <f t="shared" ref="C100:I100" ca="1" si="56">+C10*(C88)</f>
        <v>0</v>
      </c>
      <c r="D100" s="285">
        <f t="shared" ca="1" si="56"/>
        <v>0</v>
      </c>
      <c r="E100" s="285">
        <f t="shared" ca="1" si="56"/>
        <v>1.6233236170289736E-3</v>
      </c>
      <c r="F100" s="285">
        <f t="shared" ca="1" si="56"/>
        <v>3.1274722539125976E-3</v>
      </c>
      <c r="G100" s="285">
        <f t="shared" ca="1" si="56"/>
        <v>4.6143064790605676E-3</v>
      </c>
      <c r="H100" s="285">
        <f t="shared" ca="1" si="56"/>
        <v>6.2274021974903409E-3</v>
      </c>
      <c r="I100" s="285">
        <f t="shared" ca="1" si="56"/>
        <v>7.7050099480320275E-3</v>
      </c>
    </row>
    <row r="101" spans="1:20" outlineLevel="1">
      <c r="A101" s="61" t="s">
        <v>647</v>
      </c>
      <c r="B101" s="119"/>
      <c r="C101" s="285">
        <f t="shared" ref="C101:I101" ca="1" si="57">+C11*(C89)</f>
        <v>0</v>
      </c>
      <c r="D101" s="285">
        <f t="shared" ca="1" si="57"/>
        <v>0</v>
      </c>
      <c r="E101" s="285">
        <f t="shared" ca="1" si="57"/>
        <v>8.986634664206147E-3</v>
      </c>
      <c r="F101" s="285">
        <f t="shared" ca="1" si="57"/>
        <v>1.7313522869699151E-2</v>
      </c>
      <c r="G101" s="285">
        <f t="shared" ca="1" si="57"/>
        <v>2.5544559397152292E-2</v>
      </c>
      <c r="H101" s="285">
        <f t="shared" ca="1" si="57"/>
        <v>3.4474572949505351E-2</v>
      </c>
      <c r="I101" s="285">
        <f t="shared" ca="1" si="57"/>
        <v>4.2654532195968153E-2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6.4041708185535187E-2</v>
      </c>
      <c r="F104" s="296">
        <f t="shared" ca="1" si="60"/>
        <v>0.1233818465661205</v>
      </c>
      <c r="G104" s="296">
        <f t="shared" ca="1" si="60"/>
        <v>0.18203891442882081</v>
      </c>
      <c r="H104" s="296">
        <f t="shared" ca="1" si="60"/>
        <v>0.24567712198726602</v>
      </c>
      <c r="I104" s="296">
        <f t="shared" ca="1" si="60"/>
        <v>0.30397019638118511</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2.539251142820767E-2</v>
      </c>
      <c r="H105" s="124">
        <f t="shared" ca="1" si="61"/>
        <v>3.426937117969954E-2</v>
      </c>
      <c r="I105" s="124">
        <f t="shared" ca="1" si="61"/>
        <v>4.2400641146768739E-2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0.10567409460594512</v>
      </c>
      <c r="Q113" s="285">
        <f ca="1">IF($B113&lt;&gt;0,(+VLOOKUP($B113,$A$8:$I$13,6,FALSE)+VLOOKUP($B113,$A$42:$I$47,6,FALSE))*(F113),0)</f>
        <v>0.21569375687517128</v>
      </c>
      <c r="R113" s="285">
        <f ca="1">IF($B113&lt;&gt;0,(+VLOOKUP($B113,$A$8:$I$13,7,FALSE)+VLOOKUP($B113,$A$42:$I$47,7,FALSE))*(G113),0)</f>
        <v>0.33629689034032423</v>
      </c>
      <c r="S113" s="285">
        <f ca="1">IF($B113&lt;&gt;0,(+VLOOKUP($B113,$A$8:$I$13,8,FALSE)+VLOOKUP($B113,$A$42:$I$47,8,FALSE))*(H113),0)</f>
        <v>0.46221169519492794</v>
      </c>
      <c r="T113" s="285">
        <f ca="1">IF($B113&lt;&gt;0,(+VLOOKUP($B113,$A$8:$I$13,9,FALSE)+VLOOKUP($B113,$A$42:$I$47,9,FALSE))*(I113),0)</f>
        <v>0.59290822390976561</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7.7311661808512834E-4</v>
      </c>
      <c r="Q115" s="285">
        <f t="shared" ca="1" si="68"/>
        <v>1.5651779093454315E-3</v>
      </c>
      <c r="R115" s="285">
        <f t="shared" ca="1" si="69"/>
        <v>3.0128329315661237E-3</v>
      </c>
      <c r="S115" s="285">
        <f t="shared" ca="1" si="70"/>
        <v>4.7475138522453915E-3</v>
      </c>
      <c r="T115" s="285">
        <f t="shared" ca="1" si="71"/>
        <v>6.8602773593968687E-3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4.2799331733209389E-3</v>
      </c>
      <c r="Q116" s="285">
        <f t="shared" ca="1" si="68"/>
        <v>8.6647430667684995E-3</v>
      </c>
      <c r="R116" s="285">
        <f t="shared" ca="1" si="69"/>
        <v>1.6678885575402005E-2</v>
      </c>
      <c r="S116" s="285">
        <f t="shared" ca="1" si="70"/>
        <v>2.6281988450012068E-2</v>
      </c>
      <c r="T116" s="285">
        <f t="shared" ca="1" si="71"/>
        <v>3.7978136754308153E-2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0.11072714439735119</v>
      </c>
      <c r="Q119" s="292">
        <f t="shared" ca="1" si="72"/>
        <v>0.22592367785128523</v>
      </c>
      <c r="R119" s="292">
        <f t="shared" ca="1" si="72"/>
        <v>0.35598860884729233</v>
      </c>
      <c r="S119" s="292">
        <f t="shared" ca="1" si="72"/>
        <v>0.49324119749718537</v>
      </c>
      <c r="T119" s="292">
        <f t="shared" ca="1" si="72"/>
        <v>0.63774663802347065</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0.10567409460594512</v>
      </c>
      <c r="F134" s="285">
        <f t="shared" ca="1" si="75"/>
        <v>0.21569375687517128</v>
      </c>
      <c r="G134" s="285">
        <f t="shared" ca="1" si="75"/>
        <v>0.33629689034032423</v>
      </c>
      <c r="H134" s="285">
        <f t="shared" ca="1" si="75"/>
        <v>0.46221169519492794</v>
      </c>
      <c r="I134" s="285">
        <f t="shared" ca="1" si="75"/>
        <v>0.59290822390976561</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7.7311661808512834E-4</v>
      </c>
      <c r="F136" s="285">
        <f t="shared" ca="1" si="77"/>
        <v>1.5651779093454315E-3</v>
      </c>
      <c r="G136" s="285">
        <f t="shared" ca="1" si="77"/>
        <v>3.0128329315661237E-3</v>
      </c>
      <c r="H136" s="285">
        <f t="shared" ca="1" si="77"/>
        <v>4.7475138522453915E-3</v>
      </c>
      <c r="I136" s="285">
        <f t="shared" ca="1" si="77"/>
        <v>6.8602773593968687E-3</v>
      </c>
    </row>
    <row r="137" spans="1:16" outlineLevel="1">
      <c r="A137" s="61" t="s">
        <v>647</v>
      </c>
      <c r="B137" s="119"/>
      <c r="C137" s="285">
        <f ca="1">(+C11+C45)*(C$125)</f>
        <v>0</v>
      </c>
      <c r="D137" s="285">
        <f t="shared" ref="D137:I137" ca="1" si="78">(+D11+D45)*(D$125)</f>
        <v>0</v>
      </c>
      <c r="E137" s="285">
        <f t="shared" ca="1" si="78"/>
        <v>4.2799331733209389E-3</v>
      </c>
      <c r="F137" s="285">
        <f t="shared" ca="1" si="78"/>
        <v>8.6647430667684995E-3</v>
      </c>
      <c r="G137" s="285">
        <f t="shared" ca="1" si="78"/>
        <v>1.6678885575402005E-2</v>
      </c>
      <c r="H137" s="285">
        <f t="shared" ca="1" si="78"/>
        <v>2.6281988450012068E-2</v>
      </c>
      <c r="I137" s="285">
        <f t="shared" ca="1" si="78"/>
        <v>3.7978136754308153E-2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0.11072714439735119</v>
      </c>
      <c r="F140" s="296">
        <f t="shared" ca="1" si="81"/>
        <v>0.22592367785128523</v>
      </c>
      <c r="G140" s="296">
        <f t="shared" ca="1" si="81"/>
        <v>0.35598860884729233</v>
      </c>
      <c r="H140" s="296">
        <f t="shared" ca="1" si="81"/>
        <v>0.49324119749718537</v>
      </c>
      <c r="I140" s="296">
        <f t="shared" ca="1" si="81"/>
        <v>0.63774663802347065</v>
      </c>
    </row>
    <row r="141" spans="1:16" ht="13.5" outlineLevel="1" thickBot="1">
      <c r="A141" s="122" t="s">
        <v>148</v>
      </c>
      <c r="B141" s="126"/>
      <c r="C141" s="124">
        <f t="shared" ref="C141:I141" ca="1" si="82">IF((+C36+C48)&lt;&gt;0,+C140/(+C36+C48),0)</f>
        <v>0</v>
      </c>
      <c r="D141" s="124">
        <f t="shared" ca="1" si="82"/>
        <v>0</v>
      </c>
      <c r="E141" s="124">
        <f t="shared" ca="1" si="82"/>
        <v>1.8151866773102297E-2</v>
      </c>
      <c r="F141" s="124">
        <f t="shared" ca="1" si="82"/>
        <v>3.6679602511936901E-2</v>
      </c>
      <c r="G141" s="124">
        <f t="shared" ca="1" si="82"/>
        <v>4.8426979232629022E-2</v>
      </c>
      <c r="H141" s="124">
        <f t="shared" ca="1" si="82"/>
        <v>6.6522275937618697E-2</v>
      </c>
      <c r="I141" s="124">
        <f t="shared" ca="1" si="82"/>
        <v>8.5340449816366445E-2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1.133</v>
      </c>
      <c r="H149" s="285">
        <f t="shared" si="84"/>
        <v>1.133</v>
      </c>
      <c r="I149" s="285">
        <f t="shared" si="84"/>
        <v>1.133</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1.133</v>
      </c>
      <c r="H155" s="296">
        <f t="shared" si="86"/>
        <v>1.133</v>
      </c>
      <c r="I155" s="296">
        <f t="shared" si="86"/>
        <v>1.133</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1.133</v>
      </c>
      <c r="H160" s="285">
        <f t="shared" ca="1" si="88"/>
        <v>1.133</v>
      </c>
      <c r="I160" s="285">
        <f t="shared" ca="1" si="88"/>
        <v>1.133</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1.133</v>
      </c>
      <c r="H170" s="296">
        <f t="shared" ca="1" si="93"/>
        <v>1.133</v>
      </c>
      <c r="I170" s="296">
        <f t="shared" ca="1" si="93"/>
        <v>1.133</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(SEM)'!$N$52:$R$57</f>
        <v>0</v>
      </c>
      <c r="F185" s="285">
        <v>0</v>
      </c>
      <c r="G185" s="285">
        <v>1.133</v>
      </c>
      <c r="H185" s="285">
        <v>1.133</v>
      </c>
      <c r="I185" s="285">
        <v>1.133</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1.133</v>
      </c>
      <c r="H191" s="296">
        <f t="shared" si="94"/>
        <v>1.133</v>
      </c>
      <c r="I191" s="296">
        <f t="shared" si="94"/>
        <v>1.133</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6.0359999999999996</v>
      </c>
      <c r="E205" s="82">
        <f t="shared" ca="1" si="95"/>
        <v>6.0359999999999996</v>
      </c>
      <c r="F205" s="82">
        <f t="shared" ca="1" si="95"/>
        <v>6.0359999999999996</v>
      </c>
      <c r="G205" s="82">
        <f t="shared" ca="1" si="95"/>
        <v>6.0359999999999996</v>
      </c>
      <c r="H205" s="82">
        <f t="shared" ca="1" si="95"/>
        <v>6.0359999999999996</v>
      </c>
      <c r="I205" s="82">
        <f t="shared" ca="1" si="95"/>
        <v>6.0359999999999996</v>
      </c>
    </row>
    <row r="206" spans="1:9" outlineLevel="1">
      <c r="A206" t="s">
        <v>156</v>
      </c>
      <c r="B206" s="82">
        <f t="shared" ref="B206:I206" ca="1" si="96">+B36</f>
        <v>0</v>
      </c>
      <c r="C206" s="82">
        <f t="shared" ca="1" si="96"/>
        <v>0</v>
      </c>
      <c r="D206" s="82">
        <f t="shared" ca="1" si="96"/>
        <v>6.0359999999999996</v>
      </c>
      <c r="E206" s="82">
        <f t="shared" ca="1" si="96"/>
        <v>6.0359999999999996</v>
      </c>
      <c r="F206" s="82">
        <f t="shared" ca="1" si="96"/>
        <v>6.0359999999999996</v>
      </c>
      <c r="G206" s="82">
        <f t="shared" ca="1" si="96"/>
        <v>7.1690000000000005</v>
      </c>
      <c r="H206" s="82">
        <f t="shared" ca="1" si="96"/>
        <v>7.1690000000000005</v>
      </c>
      <c r="I206" s="82">
        <f t="shared" ca="1" si="96"/>
        <v>7.1690000000000005</v>
      </c>
    </row>
    <row r="207" spans="1:9" outlineLevel="1">
      <c r="A207" t="s">
        <v>157</v>
      </c>
      <c r="B207" s="82">
        <f t="shared" ref="B207:I207" ca="1" si="97">+B36+B48</f>
        <v>0</v>
      </c>
      <c r="C207" s="82">
        <f t="shared" ca="1" si="97"/>
        <v>0</v>
      </c>
      <c r="D207" s="82">
        <f t="shared" ca="1" si="97"/>
        <v>6.0359999999999996</v>
      </c>
      <c r="E207" s="82">
        <f t="shared" ca="1" si="97"/>
        <v>6.1000417081855351</v>
      </c>
      <c r="F207" s="82">
        <f t="shared" ca="1" si="97"/>
        <v>6.1593818465661201</v>
      </c>
      <c r="G207" s="82">
        <f t="shared" ca="1" si="97"/>
        <v>7.3510389144288215</v>
      </c>
      <c r="H207" s="82">
        <f t="shared" ca="1" si="97"/>
        <v>7.4146771219872667</v>
      </c>
      <c r="I207" s="82">
        <f t="shared" ca="1" si="97"/>
        <v>7.4729701963811852</v>
      </c>
    </row>
    <row r="208" spans="1:9" outlineLevel="1">
      <c r="A208" t="s">
        <v>158</v>
      </c>
      <c r="B208" s="82">
        <f t="shared" ref="B208:I208" ca="1" si="98">+B70</f>
        <v>0</v>
      </c>
      <c r="C208" s="82">
        <f t="shared" ca="1" si="98"/>
        <v>0</v>
      </c>
      <c r="D208" s="82">
        <f t="shared" ca="1" si="98"/>
        <v>6.0359999999999996</v>
      </c>
      <c r="E208" s="82">
        <f t="shared" ca="1" si="98"/>
        <v>6.2107688525828868</v>
      </c>
      <c r="F208" s="82">
        <f t="shared" ca="1" si="98"/>
        <v>6.3853055244174053</v>
      </c>
      <c r="G208" s="82">
        <f t="shared" ca="1" si="98"/>
        <v>7.7070275232761132</v>
      </c>
      <c r="H208" s="82">
        <f t="shared" ca="1" si="98"/>
        <v>7.9079183194844518</v>
      </c>
      <c r="I208" s="82">
        <f t="shared" ca="1" si="98"/>
        <v>8.1107168344046556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55" priority="1" stopIfTrue="1" operator="notEqual">
      <formula>0</formula>
    </cfRule>
  </conditionalFormatting>
  <conditionalFormatting sqref="J130 J94 J70 J59 J48 J36:J37 J14 J25">
    <cfRule type="cellIs" dxfId="354" priority="2" stopIfTrue="1" operator="equal">
      <formula>"OK"</formula>
    </cfRule>
    <cfRule type="cellIs" dxfId="353" priority="3" stopIfTrue="1" operator="equal">
      <formula>"Warning Check Escalations"</formula>
    </cfRule>
  </conditionalFormatting>
  <conditionalFormatting sqref="N120:T120 N84:T84">
    <cfRule type="cellIs" dxfId="352" priority="4" stopIfTrue="1" operator="notEqual">
      <formula>0</formula>
    </cfRule>
    <cfRule type="cellIs" dxfId="35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xml><?xml version="1.0" encoding="utf-8"?>
<worksheet xmlns="http://schemas.openxmlformats.org/spreadsheetml/2006/main" xmlns:r="http://schemas.openxmlformats.org/officeDocument/2006/relationships">
  <sheetPr codeName="Sheet3" enableFormatConditionsCalculation="0">
    <tabColor indexed="22"/>
    <pageSetUpPr autoPageBreaks="0" fitToPage="1"/>
  </sheetPr>
  <dimension ref="A1:V56"/>
  <sheetViews>
    <sheetView showGridLines="0" zoomScaleNormal="100" workbookViewId="0">
      <pane xSplit="1" ySplit="2" topLeftCell="B3" activePane="bottomRight" state="frozen"/>
      <selection activeCell="D4" sqref="D4"/>
      <selection pane="topRight" activeCell="D4" sqref="D4"/>
      <selection pane="bottomLeft" activeCell="D4" sqref="D4"/>
      <selection pane="bottomRight" activeCell="E49" sqref="E49"/>
    </sheetView>
  </sheetViews>
  <sheetFormatPr defaultRowHeight="12.75"/>
  <cols>
    <col min="1" max="1" width="3.140625" customWidth="1"/>
    <col min="2" max="2" width="7" customWidth="1"/>
    <col min="3" max="3" width="4.5703125" customWidth="1"/>
    <col min="4" max="4" width="4.42578125" customWidth="1"/>
    <col min="9" max="9" width="19.28515625" customWidth="1"/>
    <col min="11" max="11" width="16.140625" customWidth="1"/>
    <col min="13" max="13" width="6.5703125" customWidth="1"/>
  </cols>
  <sheetData>
    <row r="1" spans="1:13" ht="18">
      <c r="A1" s="143" t="s">
        <v>2</v>
      </c>
      <c r="B1" s="151" t="s">
        <v>3</v>
      </c>
      <c r="J1" s="152" t="str">
        <f>Model_Name</f>
        <v>Submission Operating Expenditure Model</v>
      </c>
    </row>
    <row r="2" spans="1:13" s="67" customFormat="1" ht="6" customHeight="1">
      <c r="A2"/>
      <c r="B2" s="153"/>
      <c r="C2" s="154"/>
      <c r="D2" s="154"/>
      <c r="E2" s="154"/>
      <c r="F2" s="154"/>
      <c r="G2" s="154"/>
      <c r="H2" s="154"/>
      <c r="I2" s="154"/>
      <c r="J2" s="154"/>
      <c r="L2" s="154"/>
      <c r="M2" s="154"/>
    </row>
    <row r="3" spans="1:13" s="155" customFormat="1" ht="26.25" customHeight="1" thickBot="1">
      <c r="B3" s="156" t="s">
        <v>4</v>
      </c>
      <c r="C3" s="877" t="s">
        <v>5</v>
      </c>
      <c r="D3" s="877"/>
      <c r="E3" s="157" t="s">
        <v>6</v>
      </c>
      <c r="F3" s="157"/>
      <c r="G3" s="157"/>
      <c r="H3" s="157"/>
      <c r="I3" s="157"/>
      <c r="J3" s="157"/>
      <c r="L3"/>
      <c r="M3"/>
    </row>
    <row r="4" spans="1:13" s="155" customFormat="1">
      <c r="B4" s="158"/>
      <c r="C4" s="757" t="s">
        <v>7</v>
      </c>
      <c r="D4" s="758"/>
      <c r="E4" s="758"/>
      <c r="F4" s="758"/>
      <c r="G4" s="758"/>
      <c r="H4" s="160"/>
      <c r="I4" s="160"/>
      <c r="J4" s="161"/>
      <c r="L4"/>
    </row>
    <row r="5" spans="1:13" s="155" customFormat="1">
      <c r="B5" s="158"/>
      <c r="C5" s="878" t="s">
        <v>8</v>
      </c>
      <c r="D5" s="879"/>
      <c r="E5" s="55" t="s">
        <v>9</v>
      </c>
      <c r="F5" s="159"/>
      <c r="G5" s="159"/>
      <c r="H5" s="160"/>
      <c r="I5" s="160"/>
      <c r="J5" s="161"/>
      <c r="L5"/>
    </row>
    <row r="6" spans="1:13" s="155" customFormat="1" ht="8.25" customHeight="1">
      <c r="B6" s="158"/>
      <c r="C6" s="162"/>
      <c r="D6" s="163"/>
      <c r="E6" s="164"/>
      <c r="F6" s="165"/>
      <c r="G6" s="165"/>
      <c r="H6" s="160"/>
      <c r="I6" s="160"/>
      <c r="J6" s="161"/>
      <c r="L6"/>
    </row>
    <row r="7" spans="1:13" s="166" customFormat="1" ht="16.899999999999999" customHeight="1">
      <c r="B7" s="167">
        <f>+Gen_Ass_SC!D10</f>
        <v>1</v>
      </c>
      <c r="C7" s="168" t="str">
        <f>+Gen_Ass_SC!C9</f>
        <v>Baseline - General Assumptions</v>
      </c>
      <c r="D7" s="168"/>
      <c r="E7" s="168"/>
      <c r="F7" s="168"/>
      <c r="G7" s="168"/>
      <c r="H7" s="169"/>
      <c r="I7" s="169"/>
      <c r="J7" s="161"/>
      <c r="L7"/>
      <c r="M7"/>
    </row>
    <row r="8" spans="1:13" s="155" customFormat="1">
      <c r="B8" s="158"/>
      <c r="C8" s="879" t="s">
        <v>342</v>
      </c>
      <c r="D8" s="879"/>
      <c r="E8" s="880" t="str">
        <f>+'I-1'!B1</f>
        <v>CPI Inputs</v>
      </c>
      <c r="F8" s="880"/>
      <c r="G8" s="880"/>
      <c r="H8" s="880"/>
      <c r="I8" s="880"/>
      <c r="J8" s="161"/>
      <c r="L8"/>
      <c r="M8"/>
    </row>
    <row r="9" spans="1:13" s="155" customFormat="1">
      <c r="B9" s="158"/>
      <c r="C9" s="879" t="s">
        <v>321</v>
      </c>
      <c r="D9" s="879"/>
      <c r="E9" s="172" t="str">
        <f>+'I-2 DA'!A1</f>
        <v>Directly Attributed Regulated Services - Master list of Services</v>
      </c>
      <c r="F9" s="172"/>
      <c r="G9" s="172"/>
      <c r="H9" s="172"/>
      <c r="I9" s="172"/>
      <c r="J9" s="161"/>
      <c r="L9"/>
      <c r="M9"/>
    </row>
    <row r="10" spans="1:13" s="155" customFormat="1">
      <c r="B10" s="158"/>
      <c r="C10" s="879" t="s">
        <v>304</v>
      </c>
      <c r="D10" s="879"/>
      <c r="E10" s="172" t="str">
        <f>+'I-3 Allocated'!A1</f>
        <v>Allocated Costs - Master list</v>
      </c>
      <c r="F10" s="172"/>
      <c r="G10" s="172"/>
      <c r="H10" s="172"/>
      <c r="I10" s="172"/>
      <c r="J10" s="161"/>
      <c r="L10"/>
      <c r="M10"/>
    </row>
    <row r="11" spans="1:13" s="155" customFormat="1">
      <c r="B11" s="158"/>
      <c r="C11" s="218"/>
      <c r="D11" s="218"/>
      <c r="E11" s="172"/>
      <c r="F11" s="172"/>
      <c r="G11" s="172"/>
      <c r="H11" s="172"/>
      <c r="I11" s="172"/>
      <c r="J11" s="161"/>
      <c r="L11"/>
      <c r="M11"/>
    </row>
    <row r="12" spans="1:13" s="155" customFormat="1" ht="20.25" customHeight="1">
      <c r="B12" s="158">
        <f>+Data_SC!D10</f>
        <v>2</v>
      </c>
      <c r="C12" s="170" t="str">
        <f>+Data_SC!C9</f>
        <v>Expenditure Data Inputs</v>
      </c>
      <c r="D12" s="170"/>
      <c r="E12" s="170"/>
      <c r="F12" s="171"/>
      <c r="G12" s="170"/>
      <c r="H12" s="172"/>
      <c r="I12" s="172"/>
      <c r="J12" s="161"/>
      <c r="L12"/>
      <c r="M12"/>
    </row>
    <row r="13" spans="1:13" s="155" customFormat="1" ht="15.75" customHeight="1">
      <c r="B13" s="389"/>
      <c r="C13" s="875" t="str">
        <f>+'I-4 History'!A1</f>
        <v>I-4</v>
      </c>
      <c r="D13" s="876"/>
      <c r="E13" s="881" t="str">
        <f>+'I-4 History'!B1</f>
        <v>Operating Expenditure History - Input sheet</v>
      </c>
      <c r="F13" s="881"/>
      <c r="G13" s="881"/>
      <c r="H13" s="881"/>
      <c r="I13" s="881"/>
      <c r="J13" s="161"/>
      <c r="L13"/>
      <c r="M13"/>
    </row>
    <row r="14" spans="1:13" s="155" customFormat="1" ht="15.75" customHeight="1">
      <c r="B14" s="389"/>
      <c r="C14" s="875" t="str">
        <f>+'I-5 Future DA'!A1</f>
        <v>I-5</v>
      </c>
      <c r="D14" s="876"/>
      <c r="E14" s="392" t="str">
        <f>+'I-5 Future DA'!B1</f>
        <v>Directly Attributed Expenditure - Baseline Submission Input sheet</v>
      </c>
      <c r="F14" s="392"/>
      <c r="G14" s="392"/>
      <c r="H14" s="392"/>
      <c r="I14" s="392"/>
      <c r="J14" s="161"/>
      <c r="L14"/>
      <c r="M14"/>
    </row>
    <row r="15" spans="1:13" s="155" customFormat="1" ht="15.75" customHeight="1">
      <c r="B15" s="389"/>
      <c r="C15" s="875" t="str">
        <f>+'I-6 Future A'!A1</f>
        <v>I-6</v>
      </c>
      <c r="D15" s="876"/>
      <c r="E15" s="392" t="str">
        <f>+'I-6 Future A'!B1</f>
        <v>Allocated Expenditure - Baseline Submission Input sheet</v>
      </c>
      <c r="F15" s="392"/>
      <c r="G15" s="392"/>
      <c r="H15" s="392"/>
      <c r="I15" s="392"/>
      <c r="J15" s="161"/>
      <c r="L15"/>
      <c r="M15"/>
    </row>
    <row r="16" spans="1:13" s="155" customFormat="1">
      <c r="B16" s="389"/>
      <c r="C16" s="393"/>
      <c r="D16" s="393"/>
      <c r="E16" s="394"/>
      <c r="F16" s="395"/>
      <c r="G16" s="395"/>
      <c r="H16" s="395"/>
      <c r="I16" s="395"/>
      <c r="J16" s="161"/>
      <c r="L16"/>
    </row>
    <row r="17" spans="2:22" s="166" customFormat="1" ht="16.899999999999999" customHeight="1">
      <c r="B17" s="396">
        <f>+Scen_Ass_SC!D10</f>
        <v>3</v>
      </c>
      <c r="C17" s="397" t="str">
        <f>+Scen_Ass_SC!C9</f>
        <v>Specific Assumptions</v>
      </c>
      <c r="D17" s="397"/>
      <c r="E17" s="397"/>
      <c r="F17" s="397"/>
      <c r="G17" s="397"/>
      <c r="H17" s="398"/>
      <c r="I17" s="398"/>
      <c r="J17" s="161"/>
      <c r="L17"/>
      <c r="M17"/>
    </row>
    <row r="18" spans="2:22" s="155" customFormat="1">
      <c r="B18" s="389"/>
      <c r="C18" s="876" t="str">
        <f>+'I-7 Escalations'!A1</f>
        <v>I-7</v>
      </c>
      <c r="D18" s="876"/>
      <c r="E18" s="881" t="str">
        <f>+'I-7 Escalations'!B1</f>
        <v>Escalation Factors Summary</v>
      </c>
      <c r="F18" s="881"/>
      <c r="G18" s="881"/>
      <c r="H18" s="881"/>
      <c r="I18" s="881"/>
      <c r="J18" s="161"/>
      <c r="L18"/>
      <c r="M18"/>
    </row>
    <row r="19" spans="2:22" s="155" customFormat="1">
      <c r="B19" s="389"/>
      <c r="C19" s="391"/>
      <c r="D19" s="391"/>
      <c r="E19" s="392"/>
      <c r="F19" s="392"/>
      <c r="G19" s="392"/>
      <c r="H19" s="392"/>
      <c r="I19" s="392"/>
      <c r="J19" s="161"/>
      <c r="L19"/>
    </row>
    <row r="20" spans="2:22" s="155" customFormat="1">
      <c r="B20" s="389">
        <f>+Workings_SC!D10</f>
        <v>4</v>
      </c>
      <c r="C20" s="399" t="str">
        <f>+Workings_SC!C9</f>
        <v>Detailed Workings</v>
      </c>
      <c r="D20" s="397"/>
      <c r="E20" s="397"/>
      <c r="F20" s="400"/>
      <c r="G20" s="397"/>
      <c r="H20" s="395"/>
      <c r="I20" s="395"/>
      <c r="J20" s="161"/>
      <c r="L20"/>
    </row>
    <row r="21" spans="2:22" s="155" customFormat="1">
      <c r="B21" s="389"/>
      <c r="C21" s="875" t="s">
        <v>222</v>
      </c>
      <c r="D21" s="876"/>
      <c r="E21" s="881" t="s">
        <v>344</v>
      </c>
      <c r="F21" s="881"/>
      <c r="G21" s="881"/>
      <c r="H21" s="881"/>
      <c r="I21" s="881"/>
      <c r="J21" s="161"/>
      <c r="L21"/>
    </row>
    <row r="22" spans="2:22" s="155" customFormat="1">
      <c r="B22" s="389"/>
      <c r="C22" s="875" t="s">
        <v>551</v>
      </c>
      <c r="D22" s="876"/>
      <c r="J22" s="161"/>
      <c r="L22"/>
    </row>
    <row r="23" spans="2:22" s="155" customFormat="1">
      <c r="B23" s="389"/>
      <c r="C23" s="875"/>
      <c r="D23" s="876"/>
      <c r="E23" s="392"/>
      <c r="F23" s="392"/>
      <c r="G23" s="392"/>
      <c r="H23" s="392"/>
      <c r="I23" s="392"/>
      <c r="J23" s="161"/>
      <c r="L23"/>
    </row>
    <row r="24" spans="2:22" s="155" customFormat="1">
      <c r="B24" s="389"/>
      <c r="C24" s="875" t="s">
        <v>47</v>
      </c>
      <c r="D24" s="876"/>
      <c r="E24" s="881" t="s">
        <v>345</v>
      </c>
      <c r="F24" s="881"/>
      <c r="G24" s="881"/>
      <c r="H24" s="881"/>
      <c r="I24" s="881"/>
      <c r="J24" s="161"/>
      <c r="L24"/>
    </row>
    <row r="25" spans="2:22" s="155" customFormat="1">
      <c r="B25" s="389"/>
      <c r="C25" s="875" t="s">
        <v>349</v>
      </c>
      <c r="D25" s="876"/>
      <c r="E25" s="881"/>
      <c r="F25" s="881"/>
      <c r="G25" s="881"/>
      <c r="H25" s="881"/>
      <c r="I25" s="881"/>
      <c r="J25" s="161"/>
      <c r="L25"/>
    </row>
    <row r="26" spans="2:22" s="155" customFormat="1">
      <c r="B26" s="389"/>
      <c r="C26" s="517" t="s">
        <v>445</v>
      </c>
      <c r="D26" s="516"/>
      <c r="E26"/>
      <c r="F26"/>
      <c r="G26"/>
      <c r="H26"/>
      <c r="I26"/>
      <c r="J26" s="161"/>
      <c r="L26"/>
    </row>
    <row r="27" spans="2:22" s="155" customFormat="1">
      <c r="B27" s="389"/>
      <c r="C27" s="390"/>
      <c r="D27" s="391"/>
      <c r="E27" s="392"/>
      <c r="F27" s="392"/>
      <c r="G27" s="392"/>
      <c r="H27" s="392"/>
      <c r="I27" s="392"/>
      <c r="J27" s="161"/>
      <c r="L27"/>
    </row>
    <row r="28" spans="2:22" s="155" customFormat="1">
      <c r="B28" s="389">
        <f>+Reports_SC!D10</f>
        <v>5</v>
      </c>
      <c r="C28" s="399" t="str">
        <f>+Reports_SC!C9</f>
        <v>Reports</v>
      </c>
      <c r="D28" s="397"/>
      <c r="E28" s="397"/>
      <c r="F28" s="397"/>
      <c r="G28" s="397"/>
      <c r="H28" s="403"/>
      <c r="I28" s="403"/>
      <c r="J28" s="161"/>
      <c r="L28"/>
      <c r="M28"/>
    </row>
    <row r="29" spans="2:22" s="155" customFormat="1">
      <c r="B29" s="404"/>
      <c r="C29" s="876" t="s">
        <v>11</v>
      </c>
      <c r="D29" s="876"/>
      <c r="E29" s="21" t="str">
        <f>+'R1 Opex Detail'!B1</f>
        <v>Operating Expenditure Detail</v>
      </c>
      <c r="F29" s="21"/>
      <c r="G29" s="21"/>
      <c r="H29" s="21"/>
      <c r="I29" s="21"/>
      <c r="J29" s="161"/>
      <c r="L29"/>
      <c r="M29"/>
      <c r="N29" s="173"/>
      <c r="O29" s="173"/>
      <c r="P29" s="173"/>
      <c r="Q29" s="173"/>
      <c r="R29" s="173"/>
      <c r="S29" s="173"/>
      <c r="T29" s="173"/>
      <c r="U29" s="173"/>
      <c r="V29" s="173"/>
    </row>
    <row r="30" spans="2:22" s="155" customFormat="1">
      <c r="B30" s="404"/>
      <c r="C30" s="876" t="s">
        <v>12</v>
      </c>
      <c r="D30" s="876"/>
      <c r="E30" s="392" t="str">
        <f>+'R2'!A1</f>
        <v>Operating Expenditure (Directly Attributed Regulated Services)</v>
      </c>
      <c r="F30" s="21"/>
      <c r="G30" s="21"/>
      <c r="H30" s="21"/>
      <c r="I30" s="21"/>
      <c r="J30" s="161"/>
      <c r="L30"/>
      <c r="M30"/>
      <c r="N30" s="173"/>
      <c r="O30" s="173"/>
      <c r="P30" s="173"/>
      <c r="Q30" s="173"/>
      <c r="R30" s="173"/>
      <c r="S30" s="173"/>
      <c r="T30" s="173"/>
      <c r="U30" s="173"/>
      <c r="V30" s="173"/>
    </row>
    <row r="31" spans="2:22" s="155" customFormat="1">
      <c r="B31" s="389"/>
      <c r="C31" s="876" t="s">
        <v>13</v>
      </c>
      <c r="D31" s="876"/>
      <c r="E31" s="392" t="str">
        <f>+'R3'!A1</f>
        <v>Operating Expenditure (Allocated costs)</v>
      </c>
      <c r="F31" s="405"/>
      <c r="G31" s="405"/>
      <c r="H31" s="405"/>
      <c r="I31" s="405"/>
      <c r="J31" s="161"/>
      <c r="N31" s="173"/>
      <c r="O31" s="173"/>
      <c r="P31" s="173"/>
      <c r="Q31" s="173"/>
      <c r="R31" s="173"/>
      <c r="S31" s="173"/>
      <c r="T31" s="173"/>
      <c r="U31" s="173"/>
      <c r="V31" s="173"/>
    </row>
    <row r="32" spans="2:22" s="166" customFormat="1">
      <c r="B32" s="404"/>
      <c r="C32" s="876" t="s">
        <v>14</v>
      </c>
      <c r="D32" s="876"/>
      <c r="E32" s="392" t="str">
        <f>+'R4 Variations'!B1</f>
        <v>Operating Expenditure Variations</v>
      </c>
      <c r="F32" s="185"/>
      <c r="G32" s="185"/>
      <c r="H32" s="185"/>
      <c r="I32" s="185"/>
      <c r="J32" s="161"/>
      <c r="L32"/>
      <c r="M32"/>
      <c r="N32" s="173"/>
      <c r="O32" s="173"/>
      <c r="P32" s="173"/>
      <c r="Q32" s="173"/>
      <c r="R32" s="173"/>
      <c r="S32" s="173"/>
      <c r="T32" s="173"/>
      <c r="U32" s="173"/>
      <c r="V32" s="173"/>
    </row>
    <row r="33" spans="2:22" s="166" customFormat="1">
      <c r="B33" s="404"/>
      <c r="C33" s="876" t="s">
        <v>375</v>
      </c>
      <c r="D33" s="876"/>
      <c r="E33" s="392" t="str">
        <f>+'R5 Escalations'!B1</f>
        <v>Operating Expenditure Escalations</v>
      </c>
      <c r="F33" s="185"/>
      <c r="G33" s="185"/>
      <c r="H33" s="185"/>
      <c r="I33" s="185"/>
      <c r="J33" s="161"/>
      <c r="L33"/>
      <c r="M33"/>
      <c r="N33" s="173"/>
      <c r="O33" s="173"/>
      <c r="P33" s="173"/>
      <c r="Q33" s="173"/>
      <c r="R33" s="173"/>
      <c r="S33" s="173"/>
      <c r="T33" s="173"/>
      <c r="U33" s="173"/>
      <c r="V33" s="173"/>
    </row>
    <row r="34" spans="2:22" s="166" customFormat="1">
      <c r="B34" s="404"/>
      <c r="C34" s="876" t="s">
        <v>381</v>
      </c>
      <c r="D34" s="876"/>
      <c r="E34" s="392" t="str">
        <f>+'R6 Escalations'!B1</f>
        <v>Impact of Operating Expenditure Escalations</v>
      </c>
      <c r="F34" s="185"/>
      <c r="G34" s="185"/>
      <c r="H34" s="185"/>
      <c r="I34" s="185"/>
      <c r="J34" s="161"/>
      <c r="L34"/>
      <c r="M34"/>
      <c r="N34" s="173"/>
      <c r="O34" s="173"/>
      <c r="P34" s="173"/>
      <c r="Q34" s="173"/>
      <c r="R34" s="173"/>
      <c r="S34" s="173"/>
      <c r="T34" s="173"/>
      <c r="U34" s="173"/>
      <c r="V34" s="173"/>
    </row>
    <row r="35" spans="2:22" s="166" customFormat="1">
      <c r="B35" s="404"/>
      <c r="C35" s="876" t="s">
        <v>442</v>
      </c>
      <c r="D35" s="876"/>
      <c r="E35" s="392" t="str">
        <f>+'R7'!B1</f>
        <v>Operating Expenditure Escalations &amp; Variations Summary</v>
      </c>
      <c r="F35" s="185"/>
      <c r="G35" s="185"/>
      <c r="H35" s="185"/>
      <c r="I35" s="185"/>
      <c r="J35" s="161"/>
      <c r="L35"/>
      <c r="M35"/>
      <c r="N35" s="173"/>
      <c r="O35" s="173"/>
      <c r="P35" s="173"/>
      <c r="Q35" s="173"/>
      <c r="R35" s="173"/>
      <c r="S35" s="173"/>
      <c r="T35" s="173"/>
      <c r="U35" s="173"/>
      <c r="V35" s="173"/>
    </row>
    <row r="36" spans="2:22" s="166" customFormat="1" ht="16.899999999999999" customHeight="1">
      <c r="B36" s="404"/>
      <c r="C36" s="876"/>
      <c r="D36" s="876"/>
      <c r="E36" s="392"/>
      <c r="F36" s="185"/>
      <c r="G36" s="185"/>
      <c r="H36" s="185"/>
      <c r="I36" s="185"/>
      <c r="J36" s="161"/>
      <c r="L36"/>
      <c r="M36"/>
      <c r="N36" s="173"/>
      <c r="O36" s="173"/>
      <c r="P36" s="173"/>
      <c r="Q36" s="173"/>
      <c r="R36" s="173"/>
      <c r="S36" s="173"/>
      <c r="T36" s="173"/>
      <c r="U36" s="173"/>
      <c r="V36" s="173"/>
    </row>
    <row r="37" spans="2:22" s="155" customFormat="1">
      <c r="B37" s="389">
        <f>+'Reports $2015_SC'!D10</f>
        <v>6</v>
      </c>
      <c r="C37" s="399" t="str">
        <f>+'Reports $2015_SC'!C9</f>
        <v>Reports $2015</v>
      </c>
      <c r="D37" s="397"/>
      <c r="E37" s="397"/>
      <c r="F37" s="397"/>
      <c r="G37" s="397"/>
      <c r="H37" s="403"/>
      <c r="I37" s="403"/>
      <c r="J37" s="161"/>
      <c r="L37"/>
      <c r="M37"/>
    </row>
    <row r="38" spans="2:22" s="155" customFormat="1">
      <c r="B38" s="404"/>
      <c r="C38" s="876"/>
      <c r="D38" s="876"/>
      <c r="E38" s="21"/>
      <c r="F38" s="21"/>
      <c r="G38" s="21"/>
      <c r="H38" s="21"/>
      <c r="I38" s="21"/>
      <c r="J38" s="161"/>
      <c r="L38"/>
      <c r="M38"/>
      <c r="N38" s="173"/>
      <c r="O38" s="173"/>
      <c r="P38" s="173"/>
      <c r="Q38" s="173"/>
      <c r="R38" s="173"/>
      <c r="S38" s="173"/>
      <c r="T38" s="173"/>
      <c r="U38" s="173"/>
      <c r="V38" s="173"/>
    </row>
    <row r="39" spans="2:22" s="155" customFormat="1">
      <c r="B39" s="404"/>
      <c r="C39" s="830" t="s">
        <v>691</v>
      </c>
      <c r="D39" s="830"/>
      <c r="E39" s="732" t="str">
        <f>'R2 ($2015)'!B2</f>
        <v>Total Directly Attributed Costs</v>
      </c>
      <c r="F39" s="732"/>
      <c r="G39" s="732"/>
      <c r="H39" s="732"/>
      <c r="I39" s="732"/>
      <c r="J39" s="161"/>
      <c r="L39" s="832"/>
      <c r="M39" s="832"/>
      <c r="N39" s="173"/>
      <c r="O39" s="173"/>
      <c r="P39" s="173"/>
      <c r="Q39" s="173"/>
      <c r="R39" s="173"/>
      <c r="S39" s="173"/>
      <c r="T39" s="173"/>
      <c r="U39" s="173"/>
      <c r="V39" s="173"/>
    </row>
    <row r="40" spans="2:22" s="155" customFormat="1">
      <c r="B40" s="404"/>
      <c r="C40" s="830" t="s">
        <v>692</v>
      </c>
      <c r="D40" s="830"/>
      <c r="E40" s="732" t="str">
        <f>'R3 ($2015)'!B2</f>
        <v>Total Allocated Costs</v>
      </c>
      <c r="F40" s="732"/>
      <c r="G40" s="732"/>
      <c r="H40" s="732"/>
      <c r="I40" s="732"/>
      <c r="J40" s="161"/>
      <c r="L40" s="832"/>
      <c r="M40" s="832"/>
      <c r="N40" s="173"/>
      <c r="O40" s="173"/>
      <c r="P40" s="173"/>
      <c r="Q40" s="173"/>
      <c r="R40" s="173"/>
      <c r="S40" s="173"/>
      <c r="T40" s="173"/>
      <c r="U40" s="173"/>
      <c r="V40" s="173"/>
    </row>
    <row r="41" spans="2:22" s="166" customFormat="1">
      <c r="B41" s="404"/>
      <c r="C41" s="876" t="str">
        <f>+'R4 Variations ($2015)'!A1</f>
        <v>R-4 ($2015)</v>
      </c>
      <c r="D41" s="876"/>
      <c r="E41" s="392" t="str">
        <f>+'R4 Variations ($2015)'!B1</f>
        <v>Operating Expenditure Variations</v>
      </c>
      <c r="F41" s="185"/>
      <c r="G41" s="185"/>
      <c r="H41" s="185"/>
      <c r="I41" s="185"/>
      <c r="J41" s="161"/>
      <c r="L41"/>
      <c r="M41"/>
      <c r="N41" s="173"/>
      <c r="O41" s="173"/>
      <c r="P41" s="173"/>
      <c r="Q41" s="173"/>
      <c r="R41" s="173"/>
      <c r="S41" s="173"/>
      <c r="T41" s="173"/>
      <c r="U41" s="173"/>
      <c r="V41" s="173"/>
    </row>
    <row r="42" spans="2:22" s="166" customFormat="1">
      <c r="B42" s="404"/>
      <c r="C42" s="876" t="str">
        <f>+'R6 Escalations ($2015)'!A1</f>
        <v>R-6 ($2015)</v>
      </c>
      <c r="D42" s="876"/>
      <c r="E42" s="392" t="str">
        <f>+'R6 Escalations ($2015)'!B1</f>
        <v>Impact of Operating Expenditure Escalations</v>
      </c>
      <c r="F42" s="185"/>
      <c r="G42" s="185"/>
      <c r="H42" s="185"/>
      <c r="I42" s="185"/>
      <c r="J42" s="161"/>
      <c r="L42"/>
      <c r="M42"/>
      <c r="N42" s="173"/>
      <c r="O42" s="173"/>
      <c r="P42" s="173"/>
      <c r="Q42" s="173"/>
      <c r="R42" s="173"/>
      <c r="S42" s="173"/>
      <c r="T42" s="173"/>
      <c r="U42" s="173"/>
      <c r="V42" s="173"/>
    </row>
    <row r="43" spans="2:22" s="166" customFormat="1">
      <c r="B43" s="404"/>
      <c r="C43" s="830" t="s">
        <v>709</v>
      </c>
      <c r="D43" s="391"/>
      <c r="E43" s="392" t="str">
        <f>'R7 ($2015)'!B2</f>
        <v>Total Costs</v>
      </c>
      <c r="F43" s="185"/>
      <c r="G43" s="185"/>
      <c r="H43" s="185"/>
      <c r="I43" s="185"/>
      <c r="J43" s="161"/>
      <c r="L43"/>
      <c r="M43"/>
      <c r="N43" s="173"/>
      <c r="O43" s="173"/>
      <c r="P43" s="173"/>
      <c r="Q43" s="173"/>
      <c r="R43" s="173"/>
      <c r="S43" s="173"/>
      <c r="T43" s="173"/>
      <c r="U43" s="173"/>
      <c r="V43" s="173"/>
    </row>
    <row r="44" spans="2:22" s="166" customFormat="1">
      <c r="B44" s="404"/>
      <c r="C44" s="830"/>
      <c r="D44" s="830"/>
      <c r="E44" s="831"/>
      <c r="F44" s="185"/>
      <c r="G44" s="185"/>
      <c r="H44" s="185"/>
      <c r="I44" s="185"/>
      <c r="J44" s="161"/>
      <c r="L44" s="832"/>
      <c r="M44" s="832"/>
      <c r="N44" s="173"/>
      <c r="O44" s="173"/>
      <c r="P44" s="173"/>
      <c r="Q44" s="173"/>
      <c r="R44" s="173"/>
      <c r="S44" s="173"/>
      <c r="T44" s="173"/>
      <c r="U44" s="173"/>
      <c r="V44" s="173"/>
    </row>
    <row r="45" spans="2:22" s="155" customFormat="1">
      <c r="B45" s="389">
        <f>+Export!D12</f>
        <v>7</v>
      </c>
      <c r="C45" s="399" t="str">
        <f>+Export!C11</f>
        <v>Scenario Reports - data for Export</v>
      </c>
      <c r="D45" s="397"/>
      <c r="E45" s="397"/>
      <c r="F45" s="397"/>
      <c r="G45" s="397"/>
      <c r="H45" s="185"/>
      <c r="I45" s="185"/>
      <c r="J45" s="161"/>
      <c r="L45"/>
    </row>
    <row r="46" spans="2:22" s="166" customFormat="1">
      <c r="B46" s="404"/>
      <c r="C46" s="876" t="s">
        <v>15</v>
      </c>
      <c r="D46" s="876"/>
      <c r="E46" s="392" t="str">
        <f>+'E1'!B1</f>
        <v>Data for Export to RIN</v>
      </c>
      <c r="F46" s="185"/>
      <c r="G46" s="185"/>
      <c r="H46" s="185"/>
      <c r="I46" s="279"/>
      <c r="J46" s="161"/>
      <c r="L46"/>
      <c r="M46"/>
      <c r="N46" s="173"/>
      <c r="O46" s="173"/>
      <c r="P46" s="173"/>
      <c r="Q46" s="173"/>
      <c r="R46" s="173"/>
      <c r="S46" s="173"/>
      <c r="T46" s="173"/>
      <c r="U46" s="173"/>
      <c r="V46" s="173"/>
    </row>
    <row r="47" spans="2:22" s="166" customFormat="1">
      <c r="B47" s="404"/>
      <c r="C47" s="876" t="s">
        <v>495</v>
      </c>
      <c r="D47" s="876"/>
      <c r="E47" s="392" t="str">
        <f>+'E2'!B1</f>
        <v>Summary Report - Standard Control Services</v>
      </c>
      <c r="F47" s="185"/>
      <c r="G47" s="185"/>
      <c r="H47" s="185"/>
      <c r="I47" s="279"/>
      <c r="J47" s="161"/>
      <c r="L47"/>
      <c r="M47"/>
      <c r="N47" s="173"/>
      <c r="O47" s="173"/>
      <c r="P47" s="173"/>
      <c r="Q47" s="173"/>
      <c r="R47" s="173"/>
      <c r="S47" s="173"/>
      <c r="T47" s="173"/>
      <c r="U47" s="173"/>
      <c r="V47" s="173"/>
    </row>
    <row r="48" spans="2:22" s="155" customFormat="1">
      <c r="B48" s="404"/>
      <c r="C48" s="516"/>
      <c r="D48" s="516"/>
      <c r="E48" s="392"/>
      <c r="F48" s="185"/>
      <c r="G48" s="185"/>
      <c r="H48" s="185"/>
      <c r="I48" s="185"/>
      <c r="J48" s="161"/>
      <c r="L48"/>
    </row>
    <row r="49" spans="2:13">
      <c r="B49" s="402"/>
      <c r="C49" s="391"/>
      <c r="D49" s="21"/>
      <c r="E49" s="392"/>
      <c r="F49" s="21"/>
      <c r="G49" s="21"/>
      <c r="H49" s="21"/>
      <c r="I49" s="21"/>
      <c r="J49" s="161"/>
    </row>
    <row r="50" spans="2:13" s="155" customFormat="1">
      <c r="B50" s="389">
        <f>+Reference!D10</f>
        <v>8</v>
      </c>
      <c r="C50" s="399" t="str">
        <f>+Reference!C9</f>
        <v>Reference</v>
      </c>
      <c r="D50" s="397"/>
      <c r="E50" s="397"/>
      <c r="F50" s="397"/>
      <c r="G50" s="397"/>
      <c r="H50" s="403"/>
      <c r="I50" s="403"/>
      <c r="J50" s="161"/>
      <c r="L50"/>
      <c r="M50"/>
    </row>
    <row r="51" spans="2:13" s="155" customFormat="1">
      <c r="B51" s="401"/>
      <c r="C51" s="876" t="str">
        <f>+'Ref-1'!A1</f>
        <v>Ref-1</v>
      </c>
      <c r="D51" s="876"/>
      <c r="E51" s="155" t="str">
        <f>+'Ref-1'!B1</f>
        <v>General Lookup References used by this model</v>
      </c>
      <c r="F51" s="380"/>
      <c r="G51" s="380"/>
      <c r="H51" s="403"/>
      <c r="I51" s="403"/>
      <c r="J51" s="161"/>
      <c r="L51"/>
      <c r="M51"/>
    </row>
    <row r="52" spans="2:13" s="155" customFormat="1">
      <c r="B52" s="401"/>
      <c r="C52" s="876" t="str">
        <f>+'Ref-2'!A1</f>
        <v>Ref-2</v>
      </c>
      <c r="D52" s="876"/>
      <c r="E52" s="155" t="str">
        <f>+'Ref-2'!B1</f>
        <v>Description of Names used in this model</v>
      </c>
      <c r="F52" s="380"/>
      <c r="G52" s="380"/>
      <c r="H52" s="403"/>
      <c r="I52" s="403"/>
      <c r="J52" s="161"/>
      <c r="L52"/>
      <c r="M52"/>
    </row>
    <row r="53" spans="2:13">
      <c r="B53" s="21"/>
      <c r="C53" s="876" t="str">
        <f ca="1">+HelpText!A1</f>
        <v>HelpText</v>
      </c>
      <c r="D53" s="876"/>
      <c r="E53" s="21" t="str">
        <f>+scrHelpMain</f>
        <v>Help Text</v>
      </c>
      <c r="F53" s="21"/>
      <c r="G53" s="21"/>
      <c r="H53" s="21"/>
      <c r="I53" s="21"/>
      <c r="J53" s="21"/>
    </row>
    <row r="54" spans="2:13" s="733" customFormat="1">
      <c r="B54" s="732"/>
      <c r="C54" s="731"/>
      <c r="D54" s="731"/>
      <c r="E54" s="732"/>
      <c r="F54" s="732"/>
      <c r="G54" s="732"/>
      <c r="H54" s="732"/>
      <c r="I54" s="732"/>
      <c r="J54" s="732"/>
    </row>
    <row r="55" spans="2:13">
      <c r="B55" s="389">
        <f>+Crosschecks!D10</f>
        <v>9</v>
      </c>
      <c r="C55" s="399" t="str">
        <f>+Crosschecks!C9</f>
        <v>Cross-checks</v>
      </c>
      <c r="D55" s="397"/>
      <c r="E55" s="397"/>
      <c r="F55" s="397"/>
      <c r="G55" s="397"/>
      <c r="H55" s="21"/>
      <c r="I55" s="21"/>
      <c r="J55" s="161"/>
    </row>
    <row r="56" spans="2:13">
      <c r="B56" s="21"/>
      <c r="C56" s="875" t="s">
        <v>17</v>
      </c>
      <c r="D56" s="876"/>
      <c r="E56" s="21" t="s">
        <v>16</v>
      </c>
      <c r="F56" s="21"/>
      <c r="G56" s="21"/>
      <c r="H56" s="21"/>
      <c r="I56" s="21"/>
      <c r="J56" s="161"/>
    </row>
  </sheetData>
  <sheetProtection formatColumns="0" formatRows="0"/>
  <mergeCells count="37">
    <mergeCell ref="C23:D23"/>
    <mergeCell ref="C38:D38"/>
    <mergeCell ref="C41:D41"/>
    <mergeCell ref="C42:D42"/>
    <mergeCell ref="C9:D9"/>
    <mergeCell ref="C10:D10"/>
    <mergeCell ref="C35:D35"/>
    <mergeCell ref="C21:D21"/>
    <mergeCell ref="C18:D18"/>
    <mergeCell ref="C13:D13"/>
    <mergeCell ref="C14:D14"/>
    <mergeCell ref="C15:D15"/>
    <mergeCell ref="C36:D36"/>
    <mergeCell ref="C34:D34"/>
    <mergeCell ref="E25:I25"/>
    <mergeCell ref="E24:I24"/>
    <mergeCell ref="C29:D29"/>
    <mergeCell ref="C31:D31"/>
    <mergeCell ref="C33:D33"/>
    <mergeCell ref="C30:D30"/>
    <mergeCell ref="C25:D25"/>
    <mergeCell ref="C24:D24"/>
    <mergeCell ref="C32:D32"/>
    <mergeCell ref="C3:D3"/>
    <mergeCell ref="C5:D5"/>
    <mergeCell ref="C8:D8"/>
    <mergeCell ref="E8:I8"/>
    <mergeCell ref="C22:D22"/>
    <mergeCell ref="E13:I13"/>
    <mergeCell ref="E21:I21"/>
    <mergeCell ref="E18:I18"/>
    <mergeCell ref="C56:D56"/>
    <mergeCell ref="C53:D53"/>
    <mergeCell ref="C46:D46"/>
    <mergeCell ref="C52:D52"/>
    <mergeCell ref="C47:D47"/>
    <mergeCell ref="C51:D51"/>
  </mergeCells>
  <phoneticPr fontId="3" type="noConversion"/>
  <pageMargins left="0.39370078740157483" right="0.23" top="0.49" bottom="0.9" header="0" footer="0.31496062992125984"/>
  <pageSetup paperSize="9" scale="65" orientation="landscape" r:id="rId1"/>
  <headerFooter alignWithMargins="0">
    <oddFooter>&amp;L&amp;F
&amp;A
Printed: &amp;T on &amp;D&amp;C&amp;"Arial,Bold"&amp;P of &amp;N</oddFooter>
  </headerFooter>
  <rowBreaks count="1" manualBreakCount="1">
    <brk id="49" max="9" man="1"/>
  </rowBreaks>
</worksheet>
</file>

<file path=xl/worksheets/sheet20.xml><?xml version="1.0" encoding="utf-8"?>
<worksheet xmlns="http://schemas.openxmlformats.org/spreadsheetml/2006/main" xmlns:r="http://schemas.openxmlformats.org/officeDocument/2006/relationships">
  <sheetPr codeName="Sheet63"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7</v>
      </c>
      <c r="M1" s="282"/>
      <c r="N1" s="280"/>
      <c r="O1" s="280"/>
      <c r="P1" s="280"/>
      <c r="Q1" s="280"/>
      <c r="R1" s="280"/>
      <c r="S1" s="280"/>
      <c r="T1" s="280"/>
    </row>
    <row r="2" spans="1:20" ht="15.75">
      <c r="A2" s="184" t="s">
        <v>121</v>
      </c>
      <c r="B2" s="74" t="str">
        <f ca="1">OFFSET(List_AllocOpexListStart,+$K$1,1)</f>
        <v>CFO</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0.57100000000000006</v>
      </c>
      <c r="E8" s="285">
        <f ca="1">OFFSET(Future_AOpexStart,MATCH($K$1,'I-6 Future A'!$A$6:$A$379)+2,+'I-5 Future DA'!F$5)</f>
        <v>0.57100000000000006</v>
      </c>
      <c r="F8" s="285">
        <f ca="1">OFFSET(Future_AOpexStart,MATCH($K$1,'I-6 Future A'!$A$6:$A$379)+2,+'I-5 Future DA'!G$5)</f>
        <v>0.57100000000000006</v>
      </c>
      <c r="G8" s="285">
        <f ca="1">OFFSET(Future_AOpexStart,MATCH($K$1,'I-6 Future A'!$A$6:$A$379)+2,+'I-5 Future DA'!H$5)</f>
        <v>0.57100000000000006</v>
      </c>
      <c r="H8" s="285">
        <f ca="1">OFFSET(Future_AOpexStart,MATCH($K$1,'I-6 Future A'!$A$6:$A$379)+2,+'I-5 Future DA'!I$5)</f>
        <v>0.57100000000000006</v>
      </c>
      <c r="I8" s="285">
        <f ca="1">OFFSET(Future_AOpexStart,MATCH($K$1,'I-6 Future A'!$A$6:$A$379)+2,+'I-5 Future DA'!J$5)</f>
        <v>0.57100000000000006</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8.0000000000000002E-3</v>
      </c>
      <c r="E9" s="285">
        <f ca="1">OFFSET(Future_AOpexStart,MATCH($K$1,'I-6 Future A'!$A$6:$A$379)+3,+'I-5 Future DA'!F$5)</f>
        <v>8.0000000000000002E-3</v>
      </c>
      <c r="F9" s="285">
        <f ca="1">OFFSET(Future_AOpexStart,MATCH($K$1,'I-6 Future A'!$A$6:$A$379)+3,+'I-5 Future DA'!G$5)</f>
        <v>8.0000000000000002E-3</v>
      </c>
      <c r="G9" s="285">
        <f ca="1">OFFSET(Future_AOpexStart,MATCH($K$1,'I-6 Future A'!$A$6:$A$379)+3,+'I-5 Future DA'!H$5)</f>
        <v>8.0000000000000002E-3</v>
      </c>
      <c r="H9" s="285">
        <f ca="1">OFFSET(Future_AOpexStart,MATCH($K$1,'I-6 Future A'!$A$6:$A$379)+3,+'I-5 Future DA'!I$5)</f>
        <v>8.0000000000000002E-3</v>
      </c>
      <c r="I9" s="285">
        <f ca="1">OFFSET(Future_AOpexStart,MATCH($K$1,'I-6 Future A'!$A$6:$A$379)+3,+'I-5 Future DA'!J$5)</f>
        <v>8.0000000000000002E-3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8.3000000000000004E-2</v>
      </c>
      <c r="E11" s="285">
        <f ca="1">OFFSET(Future_AOpexStart,MATCH($K$1,'I-6 Future A'!$A$6:$A$379)+5,+'I-5 Future DA'!F$5)</f>
        <v>8.3000000000000004E-2</v>
      </c>
      <c r="F11" s="285">
        <f ca="1">OFFSET(Future_AOpexStart,MATCH($K$1,'I-6 Future A'!$A$6:$A$379)+5,+'I-5 Future DA'!G$5)</f>
        <v>8.3000000000000004E-2</v>
      </c>
      <c r="G11" s="285">
        <f ca="1">OFFSET(Future_AOpexStart,MATCH($K$1,'I-6 Future A'!$A$6:$A$379)+5,+'I-5 Future DA'!H$5)</f>
        <v>8.3000000000000004E-2</v>
      </c>
      <c r="H11" s="285">
        <f ca="1">OFFSET(Future_AOpexStart,MATCH($K$1,'I-6 Future A'!$A$6:$A$379)+5,+'I-5 Future DA'!I$5)</f>
        <v>8.3000000000000004E-2</v>
      </c>
      <c r="I11" s="285">
        <f ca="1">OFFSET(Future_AOpexStart,MATCH($K$1,'I-6 Future A'!$A$6:$A$379)+5,+'I-5 Future DA'!J$5)</f>
        <v>8.3000000000000004E-2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0.66200000000000003</v>
      </c>
      <c r="E14" s="287">
        <f t="shared" ca="1" si="0"/>
        <v>0.66200000000000003</v>
      </c>
      <c r="F14" s="287">
        <f t="shared" ca="1" si="0"/>
        <v>0.66200000000000003</v>
      </c>
      <c r="G14" s="287">
        <f t="shared" ca="1" si="0"/>
        <v>0.66200000000000003</v>
      </c>
      <c r="H14" s="287">
        <f t="shared" ca="1" si="0"/>
        <v>0.66200000000000003</v>
      </c>
      <c r="I14" s="287">
        <f t="shared" ca="1" si="0"/>
        <v>0.66200000000000003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+'A-7'!B8+'A-7'!B19</f>
        <v>0</v>
      </c>
      <c r="C30" s="285">
        <f ca="1">+'A-7'!C8+'A-7'!C19</f>
        <v>0</v>
      </c>
      <c r="D30" s="285">
        <f ca="1">+'A-7'!D8+'A-7'!D19</f>
        <v>0.57100000000000006</v>
      </c>
      <c r="E30" s="285">
        <f ca="1">+'A-7'!E8+'A-7'!E19</f>
        <v>0.57100000000000006</v>
      </c>
      <c r="F30" s="285">
        <f ca="1">+'A-7'!F8+'A-7'!F19</f>
        <v>0.57100000000000006</v>
      </c>
      <c r="G30" s="285">
        <f ca="1">+'A-7'!G8+'A-7'!G19</f>
        <v>0.57100000000000006</v>
      </c>
      <c r="H30" s="285">
        <f ca="1">+'A-7'!H8+'A-7'!H19</f>
        <v>0.57100000000000006</v>
      </c>
      <c r="I30" s="285">
        <f ca="1">+'A-7'!I8+'A-7'!I19</f>
        <v>0.57100000000000006</v>
      </c>
      <c r="J30" s="42"/>
      <c r="K30" s="21"/>
      <c r="L30" s="21"/>
    </row>
    <row r="31" spans="1:12" outlineLevel="2">
      <c r="A31" s="61" t="s">
        <v>69</v>
      </c>
      <c r="B31" s="285">
        <f ca="1">+'A-7'!B9+'A-7'!B20</f>
        <v>0</v>
      </c>
      <c r="C31" s="285">
        <f ca="1">+'A-7'!C9+'A-7'!C20</f>
        <v>0</v>
      </c>
      <c r="D31" s="285">
        <f ca="1">+'A-7'!D9+'A-7'!D20</f>
        <v>8.0000000000000002E-3</v>
      </c>
      <c r="E31" s="285">
        <f ca="1">+'A-7'!E9+'A-7'!E20</f>
        <v>8.0000000000000002E-3</v>
      </c>
      <c r="F31" s="285">
        <f ca="1">+'A-7'!F9+'A-7'!F20</f>
        <v>8.0000000000000002E-3</v>
      </c>
      <c r="G31" s="285">
        <f ca="1">+'A-7'!G9+'A-7'!G20</f>
        <v>8.0000000000000002E-3</v>
      </c>
      <c r="H31" s="285">
        <f ca="1">+'A-7'!H9+'A-7'!H20</f>
        <v>8.0000000000000002E-3</v>
      </c>
      <c r="I31" s="285">
        <f ca="1">+'A-7'!I9+'A-7'!I20</f>
        <v>8.0000000000000002E-3</v>
      </c>
      <c r="J31" s="42"/>
      <c r="K31" s="21"/>
      <c r="L31" s="21"/>
    </row>
    <row r="32" spans="1:12" s="759" customFormat="1" outlineLevel="2">
      <c r="A32" s="61" t="s">
        <v>646</v>
      </c>
      <c r="B32" s="285">
        <f ca="1">+'A-7'!B10+'A-7'!B21</f>
        <v>0</v>
      </c>
      <c r="C32" s="285">
        <f ca="1">+'A-7'!C10+'A-7'!C21</f>
        <v>0</v>
      </c>
      <c r="D32" s="285">
        <f ca="1">+'A-7'!D10+'A-7'!D21</f>
        <v>0</v>
      </c>
      <c r="E32" s="285">
        <f ca="1">+'A-7'!E10+'A-7'!E21</f>
        <v>0</v>
      </c>
      <c r="F32" s="285">
        <f ca="1">+'A-7'!F10+'A-7'!F21</f>
        <v>0</v>
      </c>
      <c r="G32" s="285">
        <f ca="1">+'A-7'!G10+'A-7'!G21</f>
        <v>0</v>
      </c>
      <c r="H32" s="285">
        <f ca="1">+'A-7'!H10+'A-7'!H21</f>
        <v>0</v>
      </c>
      <c r="I32" s="285">
        <f ca="1">+'A-7'!I10+'A-7'!I21</f>
        <v>0</v>
      </c>
      <c r="J32" s="42"/>
      <c r="K32" s="732"/>
      <c r="L32" s="732"/>
    </row>
    <row r="33" spans="1:12" outlineLevel="2">
      <c r="A33" s="61" t="s">
        <v>647</v>
      </c>
      <c r="B33" s="285">
        <f ca="1">+'A-7'!B11+'A-7'!B22</f>
        <v>0</v>
      </c>
      <c r="C33" s="285">
        <f ca="1">+'A-7'!C11+'A-7'!C22</f>
        <v>0</v>
      </c>
      <c r="D33" s="285">
        <f ca="1">+'A-7'!D11+'A-7'!D22</f>
        <v>8.3000000000000004E-2</v>
      </c>
      <c r="E33" s="285">
        <f ca="1">+'A-7'!E11+'A-7'!E22</f>
        <v>8.3000000000000004E-2</v>
      </c>
      <c r="F33" s="285">
        <f ca="1">+'A-7'!F11+'A-7'!F22</f>
        <v>8.3000000000000004E-2</v>
      </c>
      <c r="G33" s="285">
        <f ca="1">+'A-7'!G11+'A-7'!G22</f>
        <v>8.3000000000000004E-2</v>
      </c>
      <c r="H33" s="285">
        <f ca="1">+'A-7'!H11+'A-7'!H22</f>
        <v>8.3000000000000004E-2</v>
      </c>
      <c r="I33" s="285">
        <f ca="1">+'A-7'!I11+'A-7'!I22</f>
        <v>8.3000000000000004E-2</v>
      </c>
      <c r="J33" s="42"/>
      <c r="K33" s="21"/>
      <c r="L33" s="21"/>
    </row>
    <row r="34" spans="1:12" s="759" customFormat="1" outlineLevel="2">
      <c r="A34" s="61" t="s">
        <v>575</v>
      </c>
      <c r="B34" s="285">
        <f ca="1">+'A-7'!B12+'A-7'!B23</f>
        <v>0</v>
      </c>
      <c r="C34" s="285">
        <f ca="1">+'A-7'!C12+'A-7'!C23</f>
        <v>0</v>
      </c>
      <c r="D34" s="285">
        <f ca="1">+'A-7'!D12+'A-7'!D23</f>
        <v>0</v>
      </c>
      <c r="E34" s="285">
        <f ca="1">+'A-7'!E12+'A-7'!E23</f>
        <v>0</v>
      </c>
      <c r="F34" s="285">
        <f ca="1">+'A-7'!F12+'A-7'!F23</f>
        <v>0</v>
      </c>
      <c r="G34" s="285">
        <f ca="1">+'A-7'!G12+'A-7'!G23</f>
        <v>0</v>
      </c>
      <c r="H34" s="285">
        <f ca="1">+'A-7'!H12+'A-7'!H23</f>
        <v>0</v>
      </c>
      <c r="I34" s="285">
        <f ca="1">+'A-7'!I12+'A-7'!I23</f>
        <v>0</v>
      </c>
      <c r="J34" s="42"/>
      <c r="K34" s="732"/>
      <c r="L34" s="732"/>
    </row>
    <row r="35" spans="1:12" ht="13.5" outlineLevel="2" thickBot="1">
      <c r="A35" s="83" t="s">
        <v>70</v>
      </c>
      <c r="B35" s="285">
        <f ca="1">+'A-7'!B13+'A-7'!B24</f>
        <v>0</v>
      </c>
      <c r="C35" s="285">
        <f ca="1">+'A-7'!C13+'A-7'!C24</f>
        <v>0</v>
      </c>
      <c r="D35" s="285">
        <f ca="1">+'A-7'!D13+'A-7'!D24</f>
        <v>0</v>
      </c>
      <c r="E35" s="285">
        <f ca="1">+'A-7'!E13+'A-7'!E24</f>
        <v>0</v>
      </c>
      <c r="F35" s="285">
        <f ca="1">+'A-7'!F13+'A-7'!F24</f>
        <v>0</v>
      </c>
      <c r="G35" s="285">
        <f ca="1">+'A-7'!G13+'A-7'!G24</f>
        <v>0</v>
      </c>
      <c r="H35" s="285">
        <f ca="1">+'A-7'!H13+'A-7'!H24</f>
        <v>0</v>
      </c>
      <c r="I35" s="285">
        <f ca="1">+'A-7'!I13+'A-7'!I24</f>
        <v>0</v>
      </c>
      <c r="J35" s="93"/>
      <c r="K35" s="21"/>
      <c r="L35" s="21"/>
    </row>
    <row r="36" spans="1:12" s="87" customFormat="1" ht="20.25" customHeight="1" thickBot="1">
      <c r="A36" s="94" t="s">
        <v>128</v>
      </c>
      <c r="B36" s="294">
        <f t="shared" ref="B36:I36" ca="1" si="7">SUM(B30:B35)</f>
        <v>0</v>
      </c>
      <c r="C36" s="294">
        <f t="shared" ca="1" si="7"/>
        <v>0</v>
      </c>
      <c r="D36" s="294">
        <f t="shared" ca="1" si="7"/>
        <v>0.66200000000000003</v>
      </c>
      <c r="E36" s="294">
        <f t="shared" ca="1" si="7"/>
        <v>0.66200000000000003</v>
      </c>
      <c r="F36" s="294">
        <f t="shared" ca="1" si="7"/>
        <v>0.66200000000000003</v>
      </c>
      <c r="G36" s="294">
        <f t="shared" ca="1" si="7"/>
        <v>0.66200000000000003</v>
      </c>
      <c r="H36" s="294">
        <f t="shared" ca="1" si="7"/>
        <v>0.66200000000000003</v>
      </c>
      <c r="I36" s="294">
        <f t="shared" ca="1" si="7"/>
        <v>0.66200000000000003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6.0582861785852546E-3</v>
      </c>
      <c r="F42" s="285">
        <f t="shared" ca="1" si="8"/>
        <v>1.1671808215582309E-2</v>
      </c>
      <c r="G42" s="285">
        <f t="shared" ca="1" si="8"/>
        <v>1.7220712415317543E-2</v>
      </c>
      <c r="H42" s="285">
        <f t="shared" ca="1" si="8"/>
        <v>2.3240827808934543E-2</v>
      </c>
      <c r="I42" s="285">
        <f t="shared" ca="1" si="8"/>
        <v>2.8755298564224107E-2</v>
      </c>
      <c r="K42" s="63"/>
      <c r="L42" s="63"/>
    </row>
    <row r="43" spans="1:12" outlineLevel="1">
      <c r="A43" s="61" t="s">
        <v>69</v>
      </c>
      <c r="B43" s="82"/>
      <c r="C43" s="285">
        <f t="shared" ca="1" si="8"/>
        <v>0</v>
      </c>
      <c r="D43" s="285">
        <f t="shared" ca="1" si="8"/>
        <v>0</v>
      </c>
      <c r="E43" s="285">
        <f t="shared" ca="1" si="8"/>
        <v>8.4879666249880974E-5</v>
      </c>
      <c r="F43" s="285">
        <f t="shared" ca="1" si="8"/>
        <v>1.6352796098889399E-4</v>
      </c>
      <c r="G43" s="285">
        <f t="shared" ca="1" si="8"/>
        <v>2.4127092700970289E-4</v>
      </c>
      <c r="H43" s="285">
        <f t="shared" ca="1" si="8"/>
        <v>3.2561580117596554E-4</v>
      </c>
      <c r="I43" s="285">
        <f t="shared" ca="1" si="8"/>
        <v>4.0287633715200145E-4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8.8062653734251512E-4</v>
      </c>
      <c r="F45" s="285">
        <f t="shared" ca="1" si="10"/>
        <v>1.6966025952597752E-3</v>
      </c>
      <c r="G45" s="285">
        <f t="shared" ca="1" si="10"/>
        <v>2.5031858677256676E-3</v>
      </c>
      <c r="H45" s="285">
        <f t="shared" ca="1" si="10"/>
        <v>3.3782639372006429E-3</v>
      </c>
      <c r="I45" s="285">
        <f t="shared" ca="1" si="10"/>
        <v>4.1798419979520154E-3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7.0237923821776507E-3</v>
      </c>
      <c r="F48" s="294">
        <f t="shared" ca="1" si="13"/>
        <v>1.353193877183098E-2</v>
      </c>
      <c r="G48" s="294">
        <f t="shared" ca="1" si="13"/>
        <v>1.9965169210052914E-2</v>
      </c>
      <c r="H48" s="294">
        <f t="shared" ca="1" si="13"/>
        <v>2.6944707547311153E-2</v>
      </c>
      <c r="I48" s="294">
        <f t="shared" ca="1" si="13"/>
        <v>3.3338016899328124E-2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1.2382497028523429E-2</v>
      </c>
      <c r="F53" s="285">
        <f t="shared" ca="1" si="14"/>
        <v>2.5274191499224878E-2</v>
      </c>
      <c r="G53" s="285">
        <f t="shared" ca="1" si="14"/>
        <v>3.9406017727134236E-2</v>
      </c>
      <c r="H53" s="285">
        <f t="shared" ca="1" si="14"/>
        <v>5.4160245835482027E-2</v>
      </c>
      <c r="I53" s="285">
        <f t="shared" ca="1" si="14"/>
        <v>6.9474778545552271E-2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4.1940313268670363E-4</v>
      </c>
      <c r="F56" s="285">
        <f t="shared" ca="1" si="16"/>
        <v>8.4908344101745632E-4</v>
      </c>
      <c r="G56" s="285">
        <f t="shared" ca="1" si="16"/>
        <v>1.6344126360783549E-3</v>
      </c>
      <c r="H56" s="285">
        <f t="shared" ca="1" si="16"/>
        <v>2.5754486910873693E-3</v>
      </c>
      <c r="I56" s="285">
        <f t="shared" ca="1" si="16"/>
        <v>3.7215883714375175E-3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1.2801900161210134E-2</v>
      </c>
      <c r="F59" s="287">
        <f t="shared" ca="1" si="19"/>
        <v>2.6123274940242334E-2</v>
      </c>
      <c r="G59" s="287">
        <f t="shared" ca="1" si="19"/>
        <v>4.1040430363212588E-2</v>
      </c>
      <c r="H59" s="287">
        <f t="shared" ca="1" si="19"/>
        <v>5.6735694526569395E-2</v>
      </c>
      <c r="I59" s="287">
        <f t="shared" ca="1" si="19"/>
        <v>7.3196366916989788E-2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0.57100000000000006</v>
      </c>
      <c r="E64" s="285">
        <f t="shared" ca="1" si="20"/>
        <v>0.5894407832071088</v>
      </c>
      <c r="F64" s="285">
        <f t="shared" ca="1" si="20"/>
        <v>0.60794599971480723</v>
      </c>
      <c r="G64" s="285">
        <f t="shared" ca="1" si="20"/>
        <v>0.62762673014245185</v>
      </c>
      <c r="H64" s="285">
        <f t="shared" ca="1" si="20"/>
        <v>0.64840107364441668</v>
      </c>
      <c r="I64" s="285">
        <f t="shared" ca="1" si="20"/>
        <v>0.66923007710977644</v>
      </c>
      <c r="K64" s="63"/>
      <c r="L64" s="63"/>
    </row>
    <row r="65" spans="1:20" ht="12.75" customHeight="1" outlineLevel="1">
      <c r="A65" s="61" t="s">
        <v>69</v>
      </c>
      <c r="B65" s="285">
        <f t="shared" ca="1" si="20"/>
        <v>0</v>
      </c>
      <c r="C65" s="285">
        <f t="shared" ca="1" si="20"/>
        <v>0</v>
      </c>
      <c r="D65" s="285">
        <f t="shared" ca="1" si="20"/>
        <v>8.0000000000000002E-3</v>
      </c>
      <c r="E65" s="285">
        <f t="shared" ca="1" si="20"/>
        <v>8.0848796662498813E-3</v>
      </c>
      <c r="F65" s="285">
        <f t="shared" ca="1" si="20"/>
        <v>8.1635279609888946E-3</v>
      </c>
      <c r="G65" s="285">
        <f t="shared" ca="1" si="20"/>
        <v>8.2412709270097036E-3</v>
      </c>
      <c r="H65" s="285">
        <f t="shared" ca="1" si="20"/>
        <v>8.3256158011759656E-3</v>
      </c>
      <c r="I65" s="285">
        <f t="shared" ca="1" si="20"/>
        <v>8.4028763371520009E-3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8.3000000000000004E-2</v>
      </c>
      <c r="E67" s="285">
        <f t="shared" ca="1" si="22"/>
        <v>8.4300029670029225E-2</v>
      </c>
      <c r="F67" s="285">
        <f t="shared" ca="1" si="22"/>
        <v>8.5545686036277241E-2</v>
      </c>
      <c r="G67" s="285">
        <f t="shared" ca="1" si="22"/>
        <v>8.7137598503804037E-2</v>
      </c>
      <c r="H67" s="285">
        <f t="shared" ca="1" si="22"/>
        <v>8.8953712628288023E-2</v>
      </c>
      <c r="I67" s="285">
        <f t="shared" ca="1" si="22"/>
        <v>9.0901430369389538E-2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0.66200000000000003</v>
      </c>
      <c r="E70" s="295">
        <f t="shared" ca="1" si="25"/>
        <v>0.68182569254338798</v>
      </c>
      <c r="F70" s="295">
        <f t="shared" ca="1" si="25"/>
        <v>0.70165521371207329</v>
      </c>
      <c r="G70" s="295">
        <f t="shared" ca="1" si="25"/>
        <v>0.7230055995732656</v>
      </c>
      <c r="H70" s="295">
        <f t="shared" ca="1" si="25"/>
        <v>0.74568040207388064</v>
      </c>
      <c r="I70" s="295">
        <f t="shared" ca="1" si="25"/>
        <v>0.768534383816318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6.0582861785852546E-3</v>
      </c>
      <c r="Q77" s="285">
        <f ca="1">IF($B77&lt;&gt;0,(+VLOOKUP($B77,$A$8:$I$13,6,FALSE))*(F77),0)</f>
        <v>1.1671808215582309E-2</v>
      </c>
      <c r="R77" s="285">
        <f ca="1">IF($B77&lt;&gt;0,(+VLOOKUP($B77,$A$8:$I$13,7,FALSE))*(G77),0)</f>
        <v>1.7220712415317543E-2</v>
      </c>
      <c r="S77" s="285">
        <f ca="1">IF($B77&lt;&gt;0,(+VLOOKUP($B77,$A$8:$I$13,8,FALSE))*(H77),0)</f>
        <v>2.3240827808934543E-2</v>
      </c>
      <c r="T77" s="285">
        <f ca="1">IF($B77&lt;&gt;0,(+VLOOKUP($B77,$A$8:$I$13,9,FALSE))*(I77),0)</f>
        <v>2.8755298564224107E-2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8.4879666249880974E-5</v>
      </c>
      <c r="Q78" s="285">
        <f ca="1">IF($B78&lt;&gt;0,(+VLOOKUP($B78,$A$8:$I$13,6,FALSE))*(F78),0)</f>
        <v>1.6352796098889399E-4</v>
      </c>
      <c r="R78" s="285">
        <f ca="1">IF($B78&lt;&gt;0,(+VLOOKUP($B78,$A$8:$I$13,7,FALSE))*(G78),0)</f>
        <v>2.4127092700970289E-4</v>
      </c>
      <c r="S78" s="285">
        <f ca="1">IF($B78&lt;&gt;0,(+VLOOKUP($B78,$A$8:$I$13,8,FALSE))*(H78),0)</f>
        <v>3.2561580117596554E-4</v>
      </c>
      <c r="T78" s="285">
        <f ca="1">IF($B78&lt;&gt;0,(+VLOOKUP($B78,$A$8:$I$13,9,FALSE))*(I78),0)</f>
        <v>4.0287633715200145E-4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8.8062653734251512E-4</v>
      </c>
      <c r="Q80" s="285">
        <f t="shared" ca="1" si="34"/>
        <v>1.6966025952597752E-3</v>
      </c>
      <c r="R80" s="285">
        <f t="shared" ca="1" si="35"/>
        <v>2.5031858677256676E-3</v>
      </c>
      <c r="S80" s="285">
        <f t="shared" ca="1" si="36"/>
        <v>3.3782639372006429E-3</v>
      </c>
      <c r="T80" s="285">
        <f t="shared" ca="1" si="37"/>
        <v>4.1798419979520154E-3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7.0237923821776507E-3</v>
      </c>
      <c r="Q83" s="292">
        <f t="shared" ca="1" si="51"/>
        <v>1.353193877183098E-2</v>
      </c>
      <c r="R83" s="292">
        <f t="shared" ca="1" si="51"/>
        <v>1.9965169210052914E-2</v>
      </c>
      <c r="S83" s="292">
        <f t="shared" ca="1" si="51"/>
        <v>2.6944707547311153E-2</v>
      </c>
      <c r="T83" s="292">
        <f t="shared" ca="1" si="51"/>
        <v>3.3338016899328124E-2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6.0582861785852546E-3</v>
      </c>
      <c r="F98" s="285">
        <f t="shared" ca="1" si="54"/>
        <v>1.1671808215582309E-2</v>
      </c>
      <c r="G98" s="285">
        <f t="shared" ca="1" si="54"/>
        <v>1.7220712415317543E-2</v>
      </c>
      <c r="H98" s="285">
        <f t="shared" ca="1" si="54"/>
        <v>2.3240827808934543E-2</v>
      </c>
      <c r="I98" s="285">
        <f t="shared" ca="1" si="54"/>
        <v>2.8755298564224107E-2</v>
      </c>
    </row>
    <row r="99" spans="1:20" outlineLevel="1">
      <c r="A99" s="61" t="s">
        <v>69</v>
      </c>
      <c r="B99" s="119"/>
      <c r="C99" s="285">
        <f t="shared" ref="C99:I99" ca="1" si="55">+C9*(C87)</f>
        <v>0</v>
      </c>
      <c r="D99" s="285">
        <f t="shared" ca="1" si="55"/>
        <v>0</v>
      </c>
      <c r="E99" s="285">
        <f t="shared" ca="1" si="55"/>
        <v>8.4879666249880974E-5</v>
      </c>
      <c r="F99" s="285">
        <f t="shared" ca="1" si="55"/>
        <v>1.6352796098889399E-4</v>
      </c>
      <c r="G99" s="285">
        <f t="shared" ca="1" si="55"/>
        <v>2.4127092700970289E-4</v>
      </c>
      <c r="H99" s="285">
        <f t="shared" ca="1" si="55"/>
        <v>3.2561580117596554E-4</v>
      </c>
      <c r="I99" s="285">
        <f t="shared" ca="1" si="55"/>
        <v>4.0287633715200145E-4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8.8062653734251512E-4</v>
      </c>
      <c r="F101" s="285">
        <f t="shared" ca="1" si="57"/>
        <v>1.6966025952597752E-3</v>
      </c>
      <c r="G101" s="285">
        <f t="shared" ca="1" si="57"/>
        <v>2.5031858677256676E-3</v>
      </c>
      <c r="H101" s="285">
        <f t="shared" ca="1" si="57"/>
        <v>3.3782639372006429E-3</v>
      </c>
      <c r="I101" s="285">
        <f t="shared" ca="1" si="57"/>
        <v>4.1798419979520154E-3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7.0237923821776507E-3</v>
      </c>
      <c r="F104" s="296">
        <f t="shared" ca="1" si="60"/>
        <v>1.353193877183098E-2</v>
      </c>
      <c r="G104" s="296">
        <f t="shared" ca="1" si="60"/>
        <v>1.9965169210052914E-2</v>
      </c>
      <c r="H104" s="296">
        <f t="shared" ca="1" si="60"/>
        <v>2.6944707547311153E-2</v>
      </c>
      <c r="I104" s="296">
        <f t="shared" ca="1" si="60"/>
        <v>3.3338016899328124E-2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1.2382497028523429E-2</v>
      </c>
      <c r="Q113" s="285">
        <f ca="1">IF($B113&lt;&gt;0,(+VLOOKUP($B113,$A$8:$I$13,6,FALSE)+VLOOKUP($B113,$A$42:$I$47,6,FALSE))*(F113),0)</f>
        <v>2.5274191499224878E-2</v>
      </c>
      <c r="R113" s="285">
        <f ca="1">IF($B113&lt;&gt;0,(+VLOOKUP($B113,$A$8:$I$13,7,FALSE)+VLOOKUP($B113,$A$42:$I$47,7,FALSE))*(G113),0)</f>
        <v>3.9406017727134236E-2</v>
      </c>
      <c r="S113" s="285">
        <f ca="1">IF($B113&lt;&gt;0,(+VLOOKUP($B113,$A$8:$I$13,8,FALSE)+VLOOKUP($B113,$A$42:$I$47,8,FALSE))*(H113),0)</f>
        <v>5.4160245835482027E-2</v>
      </c>
      <c r="T113" s="285">
        <f ca="1">IF($B113&lt;&gt;0,(+VLOOKUP($B113,$A$8:$I$13,9,FALSE)+VLOOKUP($B113,$A$42:$I$47,9,FALSE))*(I113),0)</f>
        <v>6.9474778545552271E-2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4.1940313268670363E-4</v>
      </c>
      <c r="Q116" s="285">
        <f t="shared" ca="1" si="68"/>
        <v>8.4908344101745632E-4</v>
      </c>
      <c r="R116" s="285">
        <f t="shared" ca="1" si="69"/>
        <v>1.6344126360783549E-3</v>
      </c>
      <c r="S116" s="285">
        <f t="shared" ca="1" si="70"/>
        <v>2.5754486910873693E-3</v>
      </c>
      <c r="T116" s="285">
        <f t="shared" ca="1" si="71"/>
        <v>3.7215883714375175E-3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1.2801900161210134E-2</v>
      </c>
      <c r="Q119" s="292">
        <f t="shared" ca="1" si="72"/>
        <v>2.6123274940242334E-2</v>
      </c>
      <c r="R119" s="292">
        <f t="shared" ca="1" si="72"/>
        <v>4.1040430363212588E-2</v>
      </c>
      <c r="S119" s="292">
        <f t="shared" ca="1" si="72"/>
        <v>5.6735694526569395E-2</v>
      </c>
      <c r="T119" s="292">
        <f t="shared" ca="1" si="72"/>
        <v>7.3196366916989788E-2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1.2382497028523429E-2</v>
      </c>
      <c r="F134" s="285">
        <f t="shared" ca="1" si="75"/>
        <v>2.5274191499224878E-2</v>
      </c>
      <c r="G134" s="285">
        <f t="shared" ca="1" si="75"/>
        <v>3.9406017727134236E-2</v>
      </c>
      <c r="H134" s="285">
        <f t="shared" ca="1" si="75"/>
        <v>5.4160245835482027E-2</v>
      </c>
      <c r="I134" s="285">
        <f t="shared" ca="1" si="75"/>
        <v>6.9474778545552271E-2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4.1940313268670363E-4</v>
      </c>
      <c r="F137" s="285">
        <f t="shared" ca="1" si="78"/>
        <v>8.4908344101745632E-4</v>
      </c>
      <c r="G137" s="285">
        <f t="shared" ca="1" si="78"/>
        <v>1.6344126360783549E-3</v>
      </c>
      <c r="H137" s="285">
        <f t="shared" ca="1" si="78"/>
        <v>2.5754486910873693E-3</v>
      </c>
      <c r="I137" s="285">
        <f t="shared" ca="1" si="78"/>
        <v>3.7215883714375175E-3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1.2801900161210134E-2</v>
      </c>
      <c r="F140" s="296">
        <f t="shared" ca="1" si="81"/>
        <v>2.6123274940242334E-2</v>
      </c>
      <c r="G140" s="296">
        <f t="shared" ca="1" si="81"/>
        <v>4.1040430363212588E-2</v>
      </c>
      <c r="H140" s="296">
        <f t="shared" ca="1" si="81"/>
        <v>5.6735694526569395E-2</v>
      </c>
      <c r="I140" s="296">
        <f t="shared" ca="1" si="81"/>
        <v>7.3196366916989788E-2</v>
      </c>
    </row>
    <row r="141" spans="1:16" ht="13.5" outlineLevel="1" thickBot="1">
      <c r="A141" s="122" t="s">
        <v>148</v>
      </c>
      <c r="B141" s="126"/>
      <c r="C141" s="124">
        <f t="shared" ref="C141:I141" ca="1" si="82">IF((+C36+C48)&lt;&gt;0,+C140/(+C36+C48),0)</f>
        <v>0</v>
      </c>
      <c r="D141" s="124">
        <f t="shared" ca="1" si="82"/>
        <v>0</v>
      </c>
      <c r="E141" s="124">
        <f t="shared" ca="1" si="82"/>
        <v>1.9135194154495914E-2</v>
      </c>
      <c r="F141" s="124">
        <f t="shared" ca="1" si="82"/>
        <v>3.867067334778642E-2</v>
      </c>
      <c r="G141" s="124">
        <f t="shared" ca="1" si="82"/>
        <v>6.0179657578042195E-2</v>
      </c>
      <c r="H141" s="124">
        <f t="shared" ca="1" si="82"/>
        <v>8.2351593538692286E-2</v>
      </c>
      <c r="I141" s="124">
        <f t="shared" ca="1" si="82"/>
        <v>0.10526731623763244</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(SEM)'!$N$61:$R$66</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0.66200000000000003</v>
      </c>
      <c r="E205" s="82">
        <f t="shared" ca="1" si="95"/>
        <v>0.66200000000000003</v>
      </c>
      <c r="F205" s="82">
        <f t="shared" ca="1" si="95"/>
        <v>0.66200000000000003</v>
      </c>
      <c r="G205" s="82">
        <f t="shared" ca="1" si="95"/>
        <v>0.66200000000000003</v>
      </c>
      <c r="H205" s="82">
        <f t="shared" ca="1" si="95"/>
        <v>0.66200000000000003</v>
      </c>
      <c r="I205" s="82">
        <f t="shared" ca="1" si="95"/>
        <v>0.66200000000000003</v>
      </c>
    </row>
    <row r="206" spans="1:9" outlineLevel="1">
      <c r="A206" t="s">
        <v>156</v>
      </c>
      <c r="B206" s="82">
        <f t="shared" ref="B206:I206" ca="1" si="96">+B36</f>
        <v>0</v>
      </c>
      <c r="C206" s="82">
        <f t="shared" ca="1" si="96"/>
        <v>0</v>
      </c>
      <c r="D206" s="82">
        <f t="shared" ca="1" si="96"/>
        <v>0.66200000000000003</v>
      </c>
      <c r="E206" s="82">
        <f t="shared" ca="1" si="96"/>
        <v>0.66200000000000003</v>
      </c>
      <c r="F206" s="82">
        <f t="shared" ca="1" si="96"/>
        <v>0.66200000000000003</v>
      </c>
      <c r="G206" s="82">
        <f t="shared" ca="1" si="96"/>
        <v>0.66200000000000003</v>
      </c>
      <c r="H206" s="82">
        <f t="shared" ca="1" si="96"/>
        <v>0.66200000000000003</v>
      </c>
      <c r="I206" s="82">
        <f t="shared" ca="1" si="96"/>
        <v>0.66200000000000003</v>
      </c>
    </row>
    <row r="207" spans="1:9" outlineLevel="1">
      <c r="A207" t="s">
        <v>157</v>
      </c>
      <c r="B207" s="82">
        <f t="shared" ref="B207:I207" ca="1" si="97">+B36+B48</f>
        <v>0</v>
      </c>
      <c r="C207" s="82">
        <f t="shared" ca="1" si="97"/>
        <v>0</v>
      </c>
      <c r="D207" s="82">
        <f t="shared" ca="1" si="97"/>
        <v>0.66200000000000003</v>
      </c>
      <c r="E207" s="82">
        <f t="shared" ca="1" si="97"/>
        <v>0.66902379238217768</v>
      </c>
      <c r="F207" s="82">
        <f t="shared" ca="1" si="97"/>
        <v>0.67553193877183104</v>
      </c>
      <c r="G207" s="82">
        <f t="shared" ca="1" si="97"/>
        <v>0.6819651692100529</v>
      </c>
      <c r="H207" s="82">
        <f t="shared" ca="1" si="97"/>
        <v>0.68894470754731119</v>
      </c>
      <c r="I207" s="82">
        <f t="shared" ca="1" si="97"/>
        <v>0.69533801689932817</v>
      </c>
    </row>
    <row r="208" spans="1:9" outlineLevel="1">
      <c r="A208" t="s">
        <v>158</v>
      </c>
      <c r="B208" s="82">
        <f t="shared" ref="B208:I208" ca="1" si="98">+B70</f>
        <v>0</v>
      </c>
      <c r="C208" s="82">
        <f t="shared" ca="1" si="98"/>
        <v>0</v>
      </c>
      <c r="D208" s="82">
        <f t="shared" ca="1" si="98"/>
        <v>0.66200000000000003</v>
      </c>
      <c r="E208" s="82">
        <f t="shared" ca="1" si="98"/>
        <v>0.68182569254338798</v>
      </c>
      <c r="F208" s="82">
        <f t="shared" ca="1" si="98"/>
        <v>0.70165521371207329</v>
      </c>
      <c r="G208" s="82">
        <f t="shared" ca="1" si="98"/>
        <v>0.7230055995732656</v>
      </c>
      <c r="H208" s="82">
        <f t="shared" ca="1" si="98"/>
        <v>0.74568040207388064</v>
      </c>
      <c r="I208" s="82">
        <f t="shared" ca="1" si="98"/>
        <v>0.768534383816318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50" priority="1" stopIfTrue="1" operator="notEqual">
      <formula>0</formula>
    </cfRule>
  </conditionalFormatting>
  <conditionalFormatting sqref="J130 J94 J70 J59 J48 J36:J37 J14 J25">
    <cfRule type="cellIs" dxfId="349" priority="2" stopIfTrue="1" operator="equal">
      <formula>"OK"</formula>
    </cfRule>
    <cfRule type="cellIs" dxfId="348" priority="3" stopIfTrue="1" operator="equal">
      <formula>"Warning Check Escalations"</formula>
    </cfRule>
  </conditionalFormatting>
  <conditionalFormatting sqref="N120:T120 N84:T84">
    <cfRule type="cellIs" dxfId="347" priority="4" stopIfTrue="1" operator="notEqual">
      <formula>0</formula>
    </cfRule>
    <cfRule type="cellIs" dxfId="34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1.xml><?xml version="1.0" encoding="utf-8"?>
<worksheet xmlns="http://schemas.openxmlformats.org/spreadsheetml/2006/main" xmlns:r="http://schemas.openxmlformats.org/officeDocument/2006/relationships">
  <sheetPr codeName="Sheet64"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8</v>
      </c>
      <c r="M1" s="282"/>
      <c r="N1" s="280"/>
      <c r="O1" s="280"/>
      <c r="P1" s="280"/>
      <c r="Q1" s="280"/>
      <c r="R1" s="280"/>
      <c r="S1" s="280"/>
      <c r="T1" s="280"/>
    </row>
    <row r="2" spans="1:20" ht="15.75">
      <c r="A2" s="184" t="s">
        <v>121</v>
      </c>
      <c r="B2" s="74" t="str">
        <f ca="1">OFFSET(List_AllocOpexListStart,+$K$1,1)</f>
        <v>Accounts Receivable – Asset Damage</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0.34700000000000003</v>
      </c>
      <c r="E11" s="285">
        <f ca="1">OFFSET(Future_AOpexStart,MATCH($K$1,'I-6 Future A'!$A$6:$A$379)+5,+'I-5 Future DA'!F$5)</f>
        <v>0.34700000000000003</v>
      </c>
      <c r="F11" s="285">
        <f ca="1">OFFSET(Future_AOpexStart,MATCH($K$1,'I-6 Future A'!$A$6:$A$379)+5,+'I-5 Future DA'!G$5)</f>
        <v>0.34700000000000003</v>
      </c>
      <c r="G11" s="285">
        <f ca="1">OFFSET(Future_AOpexStart,MATCH($K$1,'I-6 Future A'!$A$6:$A$379)+5,+'I-5 Future DA'!H$5)</f>
        <v>0.34700000000000003</v>
      </c>
      <c r="H11" s="285">
        <f ca="1">OFFSET(Future_AOpexStart,MATCH($K$1,'I-6 Future A'!$A$6:$A$379)+5,+'I-5 Future DA'!I$5)</f>
        <v>0.34700000000000003</v>
      </c>
      <c r="I11" s="285">
        <f ca="1">OFFSET(Future_AOpexStart,MATCH($K$1,'I-6 Future A'!$A$6:$A$379)+5,+'I-5 Future DA'!J$5)</f>
        <v>0.34700000000000003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0.34700000000000003</v>
      </c>
      <c r="E14" s="287">
        <f t="shared" ca="1" si="0"/>
        <v>0.34700000000000003</v>
      </c>
      <c r="F14" s="287">
        <f t="shared" ca="1" si="0"/>
        <v>0.34700000000000003</v>
      </c>
      <c r="G14" s="287">
        <f t="shared" ca="1" si="0"/>
        <v>0.34700000000000003</v>
      </c>
      <c r="H14" s="287">
        <f t="shared" ca="1" si="0"/>
        <v>0.34700000000000003</v>
      </c>
      <c r="I14" s="287">
        <f t="shared" ca="1" si="0"/>
        <v>0.34700000000000003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+'A-8'!B8+'A-8'!B19</f>
        <v>0</v>
      </c>
      <c r="C30" s="285">
        <f ca="1">+'A-8'!C8+'A-8'!C19</f>
        <v>0</v>
      </c>
      <c r="D30" s="285">
        <f ca="1">+'A-8'!D8+'A-8'!D19</f>
        <v>0</v>
      </c>
      <c r="E30" s="285">
        <f ca="1">+'A-8'!E8+'A-8'!E19</f>
        <v>0</v>
      </c>
      <c r="F30" s="285">
        <f ca="1">+'A-8'!F8+'A-8'!F19</f>
        <v>0</v>
      </c>
      <c r="G30" s="285">
        <f ca="1">+'A-8'!G8+'A-8'!G19</f>
        <v>0</v>
      </c>
      <c r="H30" s="285">
        <f ca="1">+'A-8'!H8+'A-8'!H19</f>
        <v>0</v>
      </c>
      <c r="I30" s="285">
        <f ca="1">+'A-8'!I8+'A-8'!I19</f>
        <v>0</v>
      </c>
      <c r="J30" s="42"/>
      <c r="K30" s="21"/>
      <c r="L30" s="21"/>
    </row>
    <row r="31" spans="1:12" outlineLevel="2">
      <c r="A31" s="61" t="s">
        <v>69</v>
      </c>
      <c r="B31" s="285">
        <f ca="1">+'A-8'!B9+'A-8'!B20</f>
        <v>0</v>
      </c>
      <c r="C31" s="285">
        <f ca="1">+'A-8'!C9+'A-8'!C20</f>
        <v>0</v>
      </c>
      <c r="D31" s="285">
        <f ca="1">+'A-8'!D9+'A-8'!D20</f>
        <v>0</v>
      </c>
      <c r="E31" s="285">
        <f ca="1">+'A-8'!E9+'A-8'!E20</f>
        <v>0</v>
      </c>
      <c r="F31" s="285">
        <f ca="1">+'A-8'!F9+'A-8'!F20</f>
        <v>0</v>
      </c>
      <c r="G31" s="285">
        <f ca="1">+'A-8'!G9+'A-8'!G20</f>
        <v>0</v>
      </c>
      <c r="H31" s="285">
        <f ca="1">+'A-8'!H9+'A-8'!H20</f>
        <v>0</v>
      </c>
      <c r="I31" s="285">
        <f ca="1">+'A-8'!I9+'A-8'!I20</f>
        <v>0</v>
      </c>
      <c r="J31" s="42"/>
      <c r="K31" s="21"/>
      <c r="L31" s="21"/>
    </row>
    <row r="32" spans="1:12" s="759" customFormat="1" outlineLevel="2">
      <c r="A32" s="61" t="s">
        <v>646</v>
      </c>
      <c r="B32" s="285">
        <f ca="1">+'A-8'!B10+'A-8'!B21</f>
        <v>0</v>
      </c>
      <c r="C32" s="285">
        <f ca="1">+'A-8'!C10+'A-8'!C21</f>
        <v>0</v>
      </c>
      <c r="D32" s="285">
        <f ca="1">+'A-8'!D10+'A-8'!D21</f>
        <v>0</v>
      </c>
      <c r="E32" s="285">
        <f ca="1">+'A-8'!E10+'A-8'!E21</f>
        <v>0</v>
      </c>
      <c r="F32" s="285">
        <f ca="1">+'A-8'!F10+'A-8'!F21</f>
        <v>0</v>
      </c>
      <c r="G32" s="285">
        <f ca="1">+'A-8'!G10+'A-8'!G21</f>
        <v>0</v>
      </c>
      <c r="H32" s="285">
        <f ca="1">+'A-8'!H10+'A-8'!H21</f>
        <v>0</v>
      </c>
      <c r="I32" s="285">
        <f ca="1">+'A-8'!I10+'A-8'!I21</f>
        <v>0</v>
      </c>
      <c r="J32" s="42"/>
      <c r="K32" s="732"/>
      <c r="L32" s="732"/>
    </row>
    <row r="33" spans="1:12" outlineLevel="2">
      <c r="A33" s="61" t="s">
        <v>647</v>
      </c>
      <c r="B33" s="285">
        <f ca="1">+'A-8'!B11+'A-8'!B22</f>
        <v>0</v>
      </c>
      <c r="C33" s="285">
        <f ca="1">+'A-8'!C11+'A-8'!C22</f>
        <v>0</v>
      </c>
      <c r="D33" s="285">
        <f ca="1">+'A-8'!D11+'A-8'!D22</f>
        <v>0.34700000000000003</v>
      </c>
      <c r="E33" s="285">
        <f ca="1">+'A-8'!E11+'A-8'!E22</f>
        <v>0.34700000000000003</v>
      </c>
      <c r="F33" s="285">
        <f ca="1">+'A-8'!F11+'A-8'!F22</f>
        <v>0.34700000000000003</v>
      </c>
      <c r="G33" s="285">
        <f ca="1">+'A-8'!G11+'A-8'!G22</f>
        <v>0.34700000000000003</v>
      </c>
      <c r="H33" s="285">
        <f ca="1">+'A-8'!H11+'A-8'!H22</f>
        <v>0.34700000000000003</v>
      </c>
      <c r="I33" s="285">
        <f ca="1">+'A-8'!I11+'A-8'!I22</f>
        <v>0.34700000000000003</v>
      </c>
      <c r="J33" s="42"/>
      <c r="K33" s="21"/>
      <c r="L33" s="21"/>
    </row>
    <row r="34" spans="1:12" s="759" customFormat="1" outlineLevel="2">
      <c r="A34" s="61" t="s">
        <v>575</v>
      </c>
      <c r="B34" s="285">
        <f ca="1">+'A-8'!B12+'A-8'!B23</f>
        <v>0</v>
      </c>
      <c r="C34" s="285">
        <f ca="1">+'A-8'!C12+'A-8'!C23</f>
        <v>0</v>
      </c>
      <c r="D34" s="285">
        <f ca="1">+'A-8'!D12+'A-8'!D23</f>
        <v>0</v>
      </c>
      <c r="E34" s="285">
        <f ca="1">+'A-8'!E12+'A-8'!E23</f>
        <v>0</v>
      </c>
      <c r="F34" s="285">
        <f ca="1">+'A-8'!F12+'A-8'!F23</f>
        <v>0</v>
      </c>
      <c r="G34" s="285">
        <f ca="1">+'A-8'!G12+'A-8'!G23</f>
        <v>0</v>
      </c>
      <c r="H34" s="285">
        <f ca="1">+'A-8'!H12+'A-8'!H23</f>
        <v>0</v>
      </c>
      <c r="I34" s="285">
        <f ca="1">+'A-8'!I12+'A-8'!I23</f>
        <v>0</v>
      </c>
      <c r="J34" s="42"/>
      <c r="K34" s="732"/>
      <c r="L34" s="732"/>
    </row>
    <row r="35" spans="1:12" ht="13.5" outlineLevel="2" thickBot="1">
      <c r="A35" s="83" t="s">
        <v>70</v>
      </c>
      <c r="B35" s="285">
        <f ca="1">+'A-8'!B13+'A-8'!B24</f>
        <v>0</v>
      </c>
      <c r="C35" s="285">
        <f ca="1">+'A-8'!C13+'A-8'!C24</f>
        <v>0</v>
      </c>
      <c r="D35" s="285">
        <f ca="1">+'A-8'!D13+'A-8'!D24</f>
        <v>0</v>
      </c>
      <c r="E35" s="285">
        <f ca="1">+'A-8'!E13+'A-8'!E24</f>
        <v>0</v>
      </c>
      <c r="F35" s="285">
        <f ca="1">+'A-8'!F13+'A-8'!F24</f>
        <v>0</v>
      </c>
      <c r="G35" s="285">
        <f ca="1">+'A-8'!G13+'A-8'!G24</f>
        <v>0</v>
      </c>
      <c r="H35" s="285">
        <f ca="1">+'A-8'!H13+'A-8'!H24</f>
        <v>0</v>
      </c>
      <c r="I35" s="285">
        <f ca="1">+'A-8'!I13+'A-8'!I24</f>
        <v>0</v>
      </c>
      <c r="J35" s="93"/>
      <c r="K35" s="21"/>
      <c r="L35" s="21"/>
    </row>
    <row r="36" spans="1:12" s="87" customFormat="1" ht="20.25" customHeight="1" thickBot="1">
      <c r="A36" s="94" t="s">
        <v>128</v>
      </c>
      <c r="B36" s="294">
        <f t="shared" ref="B36:I36" ca="1" si="7">SUM(B30:B35)</f>
        <v>0</v>
      </c>
      <c r="C36" s="294">
        <f t="shared" ca="1" si="7"/>
        <v>0</v>
      </c>
      <c r="D36" s="294">
        <f t="shared" ca="1" si="7"/>
        <v>0.34700000000000003</v>
      </c>
      <c r="E36" s="294">
        <f t="shared" ca="1" si="7"/>
        <v>0.34700000000000003</v>
      </c>
      <c r="F36" s="294">
        <f t="shared" ca="1" si="7"/>
        <v>0.34700000000000003</v>
      </c>
      <c r="G36" s="294">
        <f t="shared" ca="1" si="7"/>
        <v>0.34700000000000003</v>
      </c>
      <c r="H36" s="294">
        <f t="shared" ca="1" si="7"/>
        <v>0.34700000000000003</v>
      </c>
      <c r="I36" s="294">
        <f t="shared" ca="1" si="7"/>
        <v>0.34700000000000003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3.6816555235885872E-3</v>
      </c>
      <c r="F45" s="285">
        <f t="shared" ca="1" si="10"/>
        <v>7.0930253078932779E-3</v>
      </c>
      <c r="G45" s="285">
        <f t="shared" ca="1" si="10"/>
        <v>1.0465126459045864E-2</v>
      </c>
      <c r="H45" s="285">
        <f t="shared" ca="1" si="10"/>
        <v>1.4123585376007507E-2</v>
      </c>
      <c r="I45" s="285">
        <f t="shared" ca="1" si="10"/>
        <v>1.7474761123968063E-2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3.6816555235885872E-3</v>
      </c>
      <c r="F48" s="294">
        <f t="shared" ca="1" si="13"/>
        <v>7.0930253078932779E-3</v>
      </c>
      <c r="G48" s="294">
        <f t="shared" ca="1" si="13"/>
        <v>1.0465126459045864E-2</v>
      </c>
      <c r="H48" s="294">
        <f t="shared" ca="1" si="13"/>
        <v>1.4123585376007507E-2</v>
      </c>
      <c r="I48" s="294">
        <f t="shared" ca="1" si="13"/>
        <v>1.7474761123968063E-2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1.7534082776179056E-3</v>
      </c>
      <c r="F56" s="285">
        <f t="shared" ca="1" si="16"/>
        <v>3.5497825787115344E-3</v>
      </c>
      <c r="G56" s="285">
        <f t="shared" ca="1" si="16"/>
        <v>6.8330263219179418E-3</v>
      </c>
      <c r="H56" s="285">
        <f t="shared" ca="1" si="16"/>
        <v>1.0767237298883339E-2</v>
      </c>
      <c r="I56" s="285">
        <f t="shared" ca="1" si="16"/>
        <v>1.5558929697455646E-2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1.7534082776179056E-3</v>
      </c>
      <c r="F59" s="287">
        <f t="shared" ca="1" si="19"/>
        <v>3.5497825787115344E-3</v>
      </c>
      <c r="G59" s="287">
        <f t="shared" ca="1" si="19"/>
        <v>6.8330263219179418E-3</v>
      </c>
      <c r="H59" s="287">
        <f t="shared" ca="1" si="19"/>
        <v>1.0767237298883339E-2</v>
      </c>
      <c r="I59" s="287">
        <f t="shared" ca="1" si="19"/>
        <v>1.5558929697455646E-2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0.34700000000000003</v>
      </c>
      <c r="E67" s="285">
        <f t="shared" ca="1" si="22"/>
        <v>0.35243506380120648</v>
      </c>
      <c r="F67" s="285">
        <f t="shared" ca="1" si="22"/>
        <v>0.35764280788660485</v>
      </c>
      <c r="G67" s="285">
        <f t="shared" ca="1" si="22"/>
        <v>0.36429815278096384</v>
      </c>
      <c r="H67" s="285">
        <f t="shared" ca="1" si="22"/>
        <v>0.37189082267489088</v>
      </c>
      <c r="I67" s="285">
        <f t="shared" ca="1" si="22"/>
        <v>0.38003369082142374</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0.34700000000000003</v>
      </c>
      <c r="E70" s="295">
        <f t="shared" ca="1" si="25"/>
        <v>0.35243506380120648</v>
      </c>
      <c r="F70" s="295">
        <f t="shared" ca="1" si="25"/>
        <v>0.35764280788660485</v>
      </c>
      <c r="G70" s="295">
        <f t="shared" ca="1" si="25"/>
        <v>0.36429815278096384</v>
      </c>
      <c r="H70" s="295">
        <f t="shared" ca="1" si="25"/>
        <v>0.37189082267489088</v>
      </c>
      <c r="I70" s="295">
        <f t="shared" ca="1" si="25"/>
        <v>0.38003369082142374</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3.6816555235885872E-3</v>
      </c>
      <c r="Q80" s="285">
        <f t="shared" ca="1" si="34"/>
        <v>7.0930253078932779E-3</v>
      </c>
      <c r="R80" s="285">
        <f t="shared" ca="1" si="35"/>
        <v>1.0465126459045864E-2</v>
      </c>
      <c r="S80" s="285">
        <f t="shared" ca="1" si="36"/>
        <v>1.4123585376007507E-2</v>
      </c>
      <c r="T80" s="285">
        <f t="shared" ca="1" si="37"/>
        <v>1.7474761123968063E-2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3.6816555235885872E-3</v>
      </c>
      <c r="Q83" s="292">
        <f t="shared" ca="1" si="51"/>
        <v>7.0930253078932779E-3</v>
      </c>
      <c r="R83" s="292">
        <f t="shared" ca="1" si="51"/>
        <v>1.0465126459045864E-2</v>
      </c>
      <c r="S83" s="292">
        <f t="shared" ca="1" si="51"/>
        <v>1.4123585376007507E-2</v>
      </c>
      <c r="T83" s="292">
        <f t="shared" ca="1" si="51"/>
        <v>1.7474761123968063E-2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3.6816555235885872E-3</v>
      </c>
      <c r="F101" s="285">
        <f t="shared" ca="1" si="57"/>
        <v>7.0930253078932779E-3</v>
      </c>
      <c r="G101" s="285">
        <f t="shared" ca="1" si="57"/>
        <v>1.0465126459045864E-2</v>
      </c>
      <c r="H101" s="285">
        <f t="shared" ca="1" si="57"/>
        <v>1.4123585376007507E-2</v>
      </c>
      <c r="I101" s="285">
        <f t="shared" ca="1" si="57"/>
        <v>1.7474761123968063E-2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3.6816555235885872E-3</v>
      </c>
      <c r="F104" s="296">
        <f t="shared" ca="1" si="60"/>
        <v>7.0930253078932779E-3</v>
      </c>
      <c r="G104" s="296">
        <f t="shared" ca="1" si="60"/>
        <v>1.0465126459045864E-2</v>
      </c>
      <c r="H104" s="296">
        <f t="shared" ca="1" si="60"/>
        <v>1.4123585376007507E-2</v>
      </c>
      <c r="I104" s="296">
        <f t="shared" ca="1" si="60"/>
        <v>1.7474761123968063E-2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3.0158865876212863E-2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1.7534082776179056E-3</v>
      </c>
      <c r="Q116" s="285">
        <f t="shared" ca="1" si="68"/>
        <v>3.5497825787115344E-3</v>
      </c>
      <c r="R116" s="285">
        <f t="shared" ca="1" si="69"/>
        <v>6.8330263219179418E-3</v>
      </c>
      <c r="S116" s="285">
        <f t="shared" ca="1" si="70"/>
        <v>1.0767237298883339E-2</v>
      </c>
      <c r="T116" s="285">
        <f t="shared" ca="1" si="71"/>
        <v>1.5558929697455646E-2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1.7534082776179056E-3</v>
      </c>
      <c r="Q119" s="292">
        <f t="shared" ca="1" si="72"/>
        <v>3.5497825787115344E-3</v>
      </c>
      <c r="R119" s="292">
        <f t="shared" ca="1" si="72"/>
        <v>6.8330263219179418E-3</v>
      </c>
      <c r="S119" s="292">
        <f t="shared" ca="1" si="72"/>
        <v>1.0767237298883339E-2</v>
      </c>
      <c r="T119" s="292">
        <f t="shared" ca="1" si="72"/>
        <v>1.5558929697455646E-2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1.7534082776179056E-3</v>
      </c>
      <c r="F137" s="285">
        <f t="shared" ca="1" si="78"/>
        <v>3.5497825787115344E-3</v>
      </c>
      <c r="G137" s="285">
        <f t="shared" ca="1" si="78"/>
        <v>6.8330263219179418E-3</v>
      </c>
      <c r="H137" s="285">
        <f t="shared" ca="1" si="78"/>
        <v>1.0767237298883339E-2</v>
      </c>
      <c r="I137" s="285">
        <f t="shared" ca="1" si="78"/>
        <v>1.5558929697455646E-2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1.7534082776179056E-3</v>
      </c>
      <c r="F140" s="296">
        <f t="shared" ca="1" si="81"/>
        <v>3.5497825787115344E-3</v>
      </c>
      <c r="G140" s="296">
        <f t="shared" ca="1" si="81"/>
        <v>6.8330263219179418E-3</v>
      </c>
      <c r="H140" s="296">
        <f t="shared" ca="1" si="81"/>
        <v>1.0767237298883339E-2</v>
      </c>
      <c r="I140" s="296">
        <f t="shared" ca="1" si="81"/>
        <v>1.5558929697455646E-2</v>
      </c>
    </row>
    <row r="141" spans="1:16" ht="13.5" outlineLevel="1" thickBot="1">
      <c r="A141" s="122" t="s">
        <v>148</v>
      </c>
      <c r="B141" s="126"/>
      <c r="C141" s="124">
        <f t="shared" ref="C141:I141" ca="1" si="82">IF((+C36+C48)&lt;&gt;0,+C140/(+C36+C48),0)</f>
        <v>0</v>
      </c>
      <c r="D141" s="124">
        <f t="shared" ca="1" si="82"/>
        <v>0</v>
      </c>
      <c r="E141" s="124">
        <f t="shared" ca="1" si="82"/>
        <v>4.9999999999998934E-3</v>
      </c>
      <c r="F141" s="124">
        <f t="shared" ca="1" si="82"/>
        <v>1.0024999999999729E-2</v>
      </c>
      <c r="G141" s="124">
        <f t="shared" ca="1" si="82"/>
        <v>1.9115224999999514E-2</v>
      </c>
      <c r="H141" s="124">
        <f t="shared" ca="1" si="82"/>
        <v>2.981593486249956E-2</v>
      </c>
      <c r="I141" s="124">
        <f t="shared" ca="1" si="82"/>
        <v>4.2688634048280827E-2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(SEM)'!$N$70:$R$75</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0.34700000000000003</v>
      </c>
      <c r="E205" s="82">
        <f t="shared" ca="1" si="95"/>
        <v>0.34700000000000003</v>
      </c>
      <c r="F205" s="82">
        <f t="shared" ca="1" si="95"/>
        <v>0.34700000000000003</v>
      </c>
      <c r="G205" s="82">
        <f t="shared" ca="1" si="95"/>
        <v>0.34700000000000003</v>
      </c>
      <c r="H205" s="82">
        <f t="shared" ca="1" si="95"/>
        <v>0.34700000000000003</v>
      </c>
      <c r="I205" s="82">
        <f t="shared" ca="1" si="95"/>
        <v>0.34700000000000003</v>
      </c>
    </row>
    <row r="206" spans="1:9" outlineLevel="1">
      <c r="A206" t="s">
        <v>156</v>
      </c>
      <c r="B206" s="82">
        <f t="shared" ref="B206:I206" ca="1" si="96">+B36</f>
        <v>0</v>
      </c>
      <c r="C206" s="82">
        <f t="shared" ca="1" si="96"/>
        <v>0</v>
      </c>
      <c r="D206" s="82">
        <f t="shared" ca="1" si="96"/>
        <v>0.34700000000000003</v>
      </c>
      <c r="E206" s="82">
        <f t="shared" ca="1" si="96"/>
        <v>0.34700000000000003</v>
      </c>
      <c r="F206" s="82">
        <f t="shared" ca="1" si="96"/>
        <v>0.34700000000000003</v>
      </c>
      <c r="G206" s="82">
        <f t="shared" ca="1" si="96"/>
        <v>0.34700000000000003</v>
      </c>
      <c r="H206" s="82">
        <f t="shared" ca="1" si="96"/>
        <v>0.34700000000000003</v>
      </c>
      <c r="I206" s="82">
        <f t="shared" ca="1" si="96"/>
        <v>0.34700000000000003</v>
      </c>
    </row>
    <row r="207" spans="1:9" outlineLevel="1">
      <c r="A207" t="s">
        <v>157</v>
      </c>
      <c r="B207" s="82">
        <f t="shared" ref="B207:I207" ca="1" si="97">+B36+B48</f>
        <v>0</v>
      </c>
      <c r="C207" s="82">
        <f t="shared" ca="1" si="97"/>
        <v>0</v>
      </c>
      <c r="D207" s="82">
        <f t="shared" ca="1" si="97"/>
        <v>0.34700000000000003</v>
      </c>
      <c r="E207" s="82">
        <f t="shared" ca="1" si="97"/>
        <v>0.3506816555235886</v>
      </c>
      <c r="F207" s="82">
        <f t="shared" ca="1" si="97"/>
        <v>0.35409302530789333</v>
      </c>
      <c r="G207" s="82">
        <f t="shared" ca="1" si="97"/>
        <v>0.35746512645904588</v>
      </c>
      <c r="H207" s="82">
        <f t="shared" ca="1" si="97"/>
        <v>0.36112358537600753</v>
      </c>
      <c r="I207" s="82">
        <f t="shared" ca="1" si="97"/>
        <v>0.36447476112396809</v>
      </c>
    </row>
    <row r="208" spans="1:9" outlineLevel="1">
      <c r="A208" t="s">
        <v>158</v>
      </c>
      <c r="B208" s="82">
        <f t="shared" ref="B208:I208" ca="1" si="98">+B70</f>
        <v>0</v>
      </c>
      <c r="C208" s="82">
        <f t="shared" ca="1" si="98"/>
        <v>0</v>
      </c>
      <c r="D208" s="82">
        <f t="shared" ca="1" si="98"/>
        <v>0.34700000000000003</v>
      </c>
      <c r="E208" s="82">
        <f t="shared" ca="1" si="98"/>
        <v>0.35243506380120648</v>
      </c>
      <c r="F208" s="82">
        <f t="shared" ca="1" si="98"/>
        <v>0.35764280788660485</v>
      </c>
      <c r="G208" s="82">
        <f t="shared" ca="1" si="98"/>
        <v>0.36429815278096384</v>
      </c>
      <c r="H208" s="82">
        <f t="shared" ca="1" si="98"/>
        <v>0.37189082267489088</v>
      </c>
      <c r="I208" s="82">
        <f t="shared" ca="1" si="98"/>
        <v>0.38003369082142374</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45" priority="1" stopIfTrue="1" operator="notEqual">
      <formula>0</formula>
    </cfRule>
  </conditionalFormatting>
  <conditionalFormatting sqref="J130 J94 J70 J59 J48 J36:J37 J14 J25">
    <cfRule type="cellIs" dxfId="344" priority="2" stopIfTrue="1" operator="equal">
      <formula>"OK"</formula>
    </cfRule>
    <cfRule type="cellIs" dxfId="343" priority="3" stopIfTrue="1" operator="equal">
      <formula>"Warning Check Escalations"</formula>
    </cfRule>
  </conditionalFormatting>
  <conditionalFormatting sqref="N120:T120 N84:T84">
    <cfRule type="cellIs" dxfId="342" priority="4" stopIfTrue="1" operator="notEqual">
      <formula>0</formula>
    </cfRule>
    <cfRule type="cellIs" dxfId="34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2.xml><?xml version="1.0" encoding="utf-8"?>
<worksheet xmlns="http://schemas.openxmlformats.org/spreadsheetml/2006/main" xmlns:r="http://schemas.openxmlformats.org/officeDocument/2006/relationships">
  <sheetPr codeName="Sheet65" enableFormatConditionsCalculation="0">
    <tabColor indexed="57"/>
    <pageSetUpPr fitToPage="1"/>
  </sheetPr>
  <dimension ref="A1:T239"/>
  <sheetViews>
    <sheetView showGridLines="0" topLeftCell="A68"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9</v>
      </c>
      <c r="M1" s="282"/>
      <c r="N1" s="280"/>
      <c r="O1" s="280"/>
      <c r="P1" s="280"/>
      <c r="Q1" s="280"/>
      <c r="R1" s="280"/>
      <c r="S1" s="280"/>
      <c r="T1" s="280"/>
    </row>
    <row r="2" spans="1:20" ht="15.75">
      <c r="A2" s="184" t="s">
        <v>121</v>
      </c>
      <c r="B2" s="74" t="str">
        <f ca="1">OFFSET(List_AllocOpexListStart,+$K$1,1)</f>
        <v>Taxation – Specific Allocation</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0.307</v>
      </c>
      <c r="E8" s="285">
        <f ca="1">OFFSET(Future_AOpexStart,MATCH($K$1,'I-6 Future A'!$A$6:$A$379)+2,+'I-5 Future DA'!F$5)</f>
        <v>0.307</v>
      </c>
      <c r="F8" s="285">
        <f ca="1">OFFSET(Future_AOpexStart,MATCH($K$1,'I-6 Future A'!$A$6:$A$379)+2,+'I-5 Future DA'!G$5)</f>
        <v>0.307</v>
      </c>
      <c r="G8" s="285">
        <f ca="1">OFFSET(Future_AOpexStart,MATCH($K$1,'I-6 Future A'!$A$6:$A$379)+2,+'I-5 Future DA'!H$5)</f>
        <v>0.307</v>
      </c>
      <c r="H8" s="285">
        <f ca="1">OFFSET(Future_AOpexStart,MATCH($K$1,'I-6 Future A'!$A$6:$A$379)+2,+'I-5 Future DA'!I$5)</f>
        <v>0.307</v>
      </c>
      <c r="I8" s="285">
        <f ca="1">OFFSET(Future_AOpexStart,MATCH($K$1,'I-6 Future A'!$A$6:$A$379)+2,+'I-5 Future DA'!J$5)</f>
        <v>0.307</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0.307</v>
      </c>
      <c r="E14" s="287">
        <f t="shared" ca="1" si="0"/>
        <v>0.307</v>
      </c>
      <c r="F14" s="287">
        <f t="shared" ca="1" si="0"/>
        <v>0.307</v>
      </c>
      <c r="G14" s="287">
        <f t="shared" ca="1" si="0"/>
        <v>0.307</v>
      </c>
      <c r="H14" s="287">
        <f t="shared" ca="1" si="0"/>
        <v>0.307</v>
      </c>
      <c r="I14" s="287">
        <f t="shared" ca="1" si="0"/>
        <v>0.307</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+'A-9'!B8+'A-9'!B19</f>
        <v>0</v>
      </c>
      <c r="C30" s="285">
        <f ca="1">+'A-9'!C8+'A-9'!C19</f>
        <v>0</v>
      </c>
      <c r="D30" s="285">
        <f ca="1">+'A-9'!D8+'A-9'!D19</f>
        <v>0.307</v>
      </c>
      <c r="E30" s="285">
        <f ca="1">+'A-9'!E8+'A-9'!E19</f>
        <v>0.307</v>
      </c>
      <c r="F30" s="285">
        <f ca="1">+'A-9'!F8+'A-9'!F19</f>
        <v>0.307</v>
      </c>
      <c r="G30" s="285">
        <f ca="1">+'A-9'!G8+'A-9'!G19</f>
        <v>0.307</v>
      </c>
      <c r="H30" s="285">
        <f ca="1">+'A-9'!H8+'A-9'!H19</f>
        <v>0.307</v>
      </c>
      <c r="I30" s="285">
        <f ca="1">+'A-9'!I8+'A-9'!I19</f>
        <v>0.307</v>
      </c>
      <c r="J30" s="42"/>
      <c r="K30" s="21"/>
      <c r="L30" s="21"/>
    </row>
    <row r="31" spans="1:12" outlineLevel="2">
      <c r="A31" s="61" t="s">
        <v>69</v>
      </c>
      <c r="B31" s="285">
        <f ca="1">+'A-9'!B9+'A-9'!B20</f>
        <v>0</v>
      </c>
      <c r="C31" s="285">
        <f ca="1">+'A-9'!C9+'A-9'!C20</f>
        <v>0</v>
      </c>
      <c r="D31" s="285">
        <f ca="1">+'A-9'!D9+'A-9'!D20</f>
        <v>0</v>
      </c>
      <c r="E31" s="285">
        <f ca="1">+'A-9'!E9+'A-9'!E20</f>
        <v>0</v>
      </c>
      <c r="F31" s="285">
        <f ca="1">+'A-9'!F9+'A-9'!F20</f>
        <v>0</v>
      </c>
      <c r="G31" s="285">
        <f ca="1">+'A-9'!G9+'A-9'!G20</f>
        <v>0</v>
      </c>
      <c r="H31" s="285">
        <f ca="1">+'A-9'!H9+'A-9'!H20</f>
        <v>0</v>
      </c>
      <c r="I31" s="285">
        <f ca="1">+'A-9'!I9+'A-9'!I20</f>
        <v>0</v>
      </c>
      <c r="J31" s="42"/>
      <c r="K31" s="21"/>
      <c r="L31" s="21"/>
    </row>
    <row r="32" spans="1:12" s="759" customFormat="1" outlineLevel="2">
      <c r="A32" s="61" t="s">
        <v>646</v>
      </c>
      <c r="B32" s="285">
        <f ca="1">+'A-9'!B10+'A-9'!B21</f>
        <v>0</v>
      </c>
      <c r="C32" s="285">
        <f ca="1">+'A-9'!C10+'A-9'!C21</f>
        <v>0</v>
      </c>
      <c r="D32" s="285">
        <f ca="1">+'A-9'!D10+'A-9'!D21</f>
        <v>0</v>
      </c>
      <c r="E32" s="285">
        <f ca="1">+'A-9'!E10+'A-9'!E21</f>
        <v>0</v>
      </c>
      <c r="F32" s="285">
        <f ca="1">+'A-9'!F10+'A-9'!F21</f>
        <v>0</v>
      </c>
      <c r="G32" s="285">
        <f ca="1">+'A-9'!G10+'A-9'!G21</f>
        <v>0</v>
      </c>
      <c r="H32" s="285">
        <f ca="1">+'A-9'!H10+'A-9'!H21</f>
        <v>0</v>
      </c>
      <c r="I32" s="285">
        <f ca="1">+'A-9'!I10+'A-9'!I21</f>
        <v>0</v>
      </c>
      <c r="J32" s="42"/>
      <c r="K32" s="732"/>
      <c r="L32" s="732"/>
    </row>
    <row r="33" spans="1:12" outlineLevel="2">
      <c r="A33" s="61" t="s">
        <v>647</v>
      </c>
      <c r="B33" s="285">
        <f ca="1">+'A-9'!B11+'A-9'!B22</f>
        <v>0</v>
      </c>
      <c r="C33" s="285">
        <f ca="1">+'A-9'!C11+'A-9'!C22</f>
        <v>0</v>
      </c>
      <c r="D33" s="285">
        <f ca="1">+'A-9'!D11+'A-9'!D22</f>
        <v>0</v>
      </c>
      <c r="E33" s="285">
        <f ca="1">+'A-9'!E11+'A-9'!E22</f>
        <v>0</v>
      </c>
      <c r="F33" s="285">
        <f ca="1">+'A-9'!F11+'A-9'!F22</f>
        <v>0</v>
      </c>
      <c r="G33" s="285">
        <f ca="1">+'A-9'!G11+'A-9'!G22</f>
        <v>0</v>
      </c>
      <c r="H33" s="285">
        <f ca="1">+'A-9'!H11+'A-9'!H22</f>
        <v>0</v>
      </c>
      <c r="I33" s="285">
        <f ca="1">+'A-9'!I11+'A-9'!I22</f>
        <v>0</v>
      </c>
      <c r="J33" s="42"/>
      <c r="K33" s="21"/>
      <c r="L33" s="21"/>
    </row>
    <row r="34" spans="1:12" s="759" customFormat="1" outlineLevel="2">
      <c r="A34" s="61" t="s">
        <v>575</v>
      </c>
      <c r="B34" s="285">
        <f ca="1">+'A-9'!B12+'A-9'!B23</f>
        <v>0</v>
      </c>
      <c r="C34" s="285">
        <f ca="1">+'A-9'!C12+'A-9'!C23</f>
        <v>0</v>
      </c>
      <c r="D34" s="285">
        <f ca="1">+'A-9'!D12+'A-9'!D23</f>
        <v>0</v>
      </c>
      <c r="E34" s="285">
        <f ca="1">+'A-9'!E12+'A-9'!E23</f>
        <v>0</v>
      </c>
      <c r="F34" s="285">
        <f ca="1">+'A-9'!F12+'A-9'!F23</f>
        <v>0</v>
      </c>
      <c r="G34" s="285">
        <f ca="1">+'A-9'!G12+'A-9'!G23</f>
        <v>0</v>
      </c>
      <c r="H34" s="285">
        <f ca="1">+'A-9'!H12+'A-9'!H23</f>
        <v>0</v>
      </c>
      <c r="I34" s="285">
        <f ca="1">+'A-9'!I12+'A-9'!I23</f>
        <v>0</v>
      </c>
      <c r="J34" s="42"/>
      <c r="K34" s="732"/>
      <c r="L34" s="732"/>
    </row>
    <row r="35" spans="1:12" ht="13.5" outlineLevel="2" thickBot="1">
      <c r="A35" s="83" t="s">
        <v>70</v>
      </c>
      <c r="B35" s="285">
        <f ca="1">+'A-9'!B13+'A-9'!B24</f>
        <v>0</v>
      </c>
      <c r="C35" s="285">
        <f ca="1">+'A-9'!C13+'A-9'!C24</f>
        <v>0</v>
      </c>
      <c r="D35" s="285">
        <f ca="1">+'A-9'!D13+'A-9'!D24</f>
        <v>0</v>
      </c>
      <c r="E35" s="285">
        <f ca="1">+'A-9'!E13+'A-9'!E24</f>
        <v>0</v>
      </c>
      <c r="F35" s="285">
        <f ca="1">+'A-9'!F13+'A-9'!F24</f>
        <v>0</v>
      </c>
      <c r="G35" s="285">
        <f ca="1">+'A-9'!G13+'A-9'!G24</f>
        <v>0</v>
      </c>
      <c r="H35" s="285">
        <f ca="1">+'A-9'!H13+'A-9'!H24</f>
        <v>0</v>
      </c>
      <c r="I35" s="285">
        <f ca="1">+'A-9'!I13+'A-9'!I24</f>
        <v>0</v>
      </c>
      <c r="J35" s="93"/>
      <c r="K35" s="21"/>
      <c r="L35" s="21"/>
    </row>
    <row r="36" spans="1:12" s="87" customFormat="1" ht="20.25" customHeight="1" thickBot="1">
      <c r="A36" s="94" t="s">
        <v>128</v>
      </c>
      <c r="B36" s="294">
        <f t="shared" ref="B36:I36" ca="1" si="7">SUM(B30:B35)</f>
        <v>0</v>
      </c>
      <c r="C36" s="294">
        <f t="shared" ca="1" si="7"/>
        <v>0</v>
      </c>
      <c r="D36" s="294">
        <f t="shared" ca="1" si="7"/>
        <v>0.307</v>
      </c>
      <c r="E36" s="294">
        <f t="shared" ca="1" si="7"/>
        <v>0.307</v>
      </c>
      <c r="F36" s="294">
        <f t="shared" ca="1" si="7"/>
        <v>0.307</v>
      </c>
      <c r="G36" s="294">
        <f t="shared" ca="1" si="7"/>
        <v>0.307</v>
      </c>
      <c r="H36" s="294">
        <f t="shared" ca="1" si="7"/>
        <v>0.307</v>
      </c>
      <c r="I36" s="294">
        <f t="shared" ca="1" si="7"/>
        <v>0.307</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3.2572571923391823E-3</v>
      </c>
      <c r="F42" s="285">
        <f t="shared" ca="1" si="8"/>
        <v>6.2753855029488072E-3</v>
      </c>
      <c r="G42" s="285">
        <f t="shared" ca="1" si="8"/>
        <v>9.2587718239973468E-3</v>
      </c>
      <c r="H42" s="285">
        <f t="shared" ca="1" si="8"/>
        <v>1.2495506370127678E-2</v>
      </c>
      <c r="I42" s="285">
        <f t="shared" ca="1" si="8"/>
        <v>1.5460379438208055E-2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3.2572571923391823E-3</v>
      </c>
      <c r="F48" s="294">
        <f t="shared" ca="1" si="13"/>
        <v>6.2753855029488072E-3</v>
      </c>
      <c r="G48" s="294">
        <f t="shared" ca="1" si="13"/>
        <v>9.2587718239973468E-3</v>
      </c>
      <c r="H48" s="294">
        <f t="shared" ca="1" si="13"/>
        <v>1.2495506370127678E-2</v>
      </c>
      <c r="I48" s="294">
        <f t="shared" ca="1" si="13"/>
        <v>1.5460379438208055E-2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6.657489645808568E-3</v>
      </c>
      <c r="F53" s="285">
        <f t="shared" ca="1" si="14"/>
        <v>1.3588750946168191E-2</v>
      </c>
      <c r="G53" s="285">
        <f t="shared" ca="1" si="14"/>
        <v>2.1186773103730665E-2</v>
      </c>
      <c r="H53" s="285">
        <f t="shared" ca="1" si="14"/>
        <v>2.911943164884935E-2</v>
      </c>
      <c r="I53" s="285">
        <f t="shared" ca="1" si="14"/>
        <v>3.7353339778431777E-2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6.657489645808568E-3</v>
      </c>
      <c r="F59" s="287">
        <f t="shared" ca="1" si="19"/>
        <v>1.3588750946168191E-2</v>
      </c>
      <c r="G59" s="287">
        <f t="shared" ca="1" si="19"/>
        <v>2.1186773103730665E-2</v>
      </c>
      <c r="H59" s="287">
        <f t="shared" ca="1" si="19"/>
        <v>2.911943164884935E-2</v>
      </c>
      <c r="I59" s="287">
        <f t="shared" ca="1" si="19"/>
        <v>3.7353339778431777E-2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0.307</v>
      </c>
      <c r="E64" s="285">
        <f t="shared" ca="1" si="20"/>
        <v>0.31691474683814774</v>
      </c>
      <c r="F64" s="285">
        <f t="shared" ca="1" si="20"/>
        <v>0.32686413644911699</v>
      </c>
      <c r="G64" s="285">
        <f t="shared" ca="1" si="20"/>
        <v>0.33744554492772805</v>
      </c>
      <c r="H64" s="285">
        <f t="shared" ca="1" si="20"/>
        <v>0.34861493801897703</v>
      </c>
      <c r="I64" s="285">
        <f t="shared" ca="1" si="20"/>
        <v>0.35981371921663985</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0.307</v>
      </c>
      <c r="E70" s="295">
        <f t="shared" ca="1" si="25"/>
        <v>0.31691474683814774</v>
      </c>
      <c r="F70" s="295">
        <f t="shared" ca="1" si="25"/>
        <v>0.32686413644911699</v>
      </c>
      <c r="G70" s="295">
        <f t="shared" ca="1" si="25"/>
        <v>0.33744554492772805</v>
      </c>
      <c r="H70" s="295">
        <f t="shared" ca="1" si="25"/>
        <v>0.34861493801897703</v>
      </c>
      <c r="I70" s="295">
        <f t="shared" ca="1" si="25"/>
        <v>0.35981371921663985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3.2572571923391823E-3</v>
      </c>
      <c r="Q77" s="285">
        <f ca="1">IF($B77&lt;&gt;0,(+VLOOKUP($B77,$A$8:$I$13,6,FALSE))*(F77),0)</f>
        <v>6.2753855029488072E-3</v>
      </c>
      <c r="R77" s="285">
        <f ca="1">IF($B77&lt;&gt;0,(+VLOOKUP($B77,$A$8:$I$13,7,FALSE))*(G77),0)</f>
        <v>9.2587718239973468E-3</v>
      </c>
      <c r="S77" s="285">
        <f ca="1">IF($B77&lt;&gt;0,(+VLOOKUP($B77,$A$8:$I$13,8,FALSE))*(H77),0)</f>
        <v>1.2495506370127678E-2</v>
      </c>
      <c r="T77" s="285">
        <f ca="1">IF($B77&lt;&gt;0,(+VLOOKUP($B77,$A$8:$I$13,9,FALSE))*(I77),0)</f>
        <v>1.5460379438208055E-2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3.2572571923391823E-3</v>
      </c>
      <c r="Q83" s="292">
        <f t="shared" ca="1" si="51"/>
        <v>6.2753855029488072E-3</v>
      </c>
      <c r="R83" s="292">
        <f t="shared" ca="1" si="51"/>
        <v>9.2587718239973468E-3</v>
      </c>
      <c r="S83" s="292">
        <f t="shared" ca="1" si="51"/>
        <v>1.2495506370127678E-2</v>
      </c>
      <c r="T83" s="292">
        <f t="shared" ca="1" si="51"/>
        <v>1.5460379438208055E-2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3.2572571923391823E-3</v>
      </c>
      <c r="F98" s="285">
        <f t="shared" ca="1" si="54"/>
        <v>6.2753855029488072E-3</v>
      </c>
      <c r="G98" s="285">
        <f t="shared" ca="1" si="54"/>
        <v>9.2587718239973468E-3</v>
      </c>
      <c r="H98" s="285">
        <f t="shared" ca="1" si="54"/>
        <v>1.2495506370127678E-2</v>
      </c>
      <c r="I98" s="285">
        <f t="shared" ca="1" si="54"/>
        <v>1.5460379438208055E-2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3.2572571923391823E-3</v>
      </c>
      <c r="F104" s="296">
        <f t="shared" ca="1" si="60"/>
        <v>6.2753855029488072E-3</v>
      </c>
      <c r="G104" s="296">
        <f t="shared" ca="1" si="60"/>
        <v>9.2587718239973468E-3</v>
      </c>
      <c r="H104" s="296">
        <f t="shared" ca="1" si="60"/>
        <v>1.2495506370127678E-2</v>
      </c>
      <c r="I104" s="296">
        <f t="shared" ca="1" si="60"/>
        <v>1.5460379438208055E-2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6.657489645808568E-3</v>
      </c>
      <c r="Q113" s="285">
        <f ca="1">IF($B113&lt;&gt;0,(+VLOOKUP($B113,$A$8:$I$13,6,FALSE)+VLOOKUP($B113,$A$42:$I$47,6,FALSE))*(F113),0)</f>
        <v>1.3588750946168191E-2</v>
      </c>
      <c r="R113" s="285">
        <f ca="1">IF($B113&lt;&gt;0,(+VLOOKUP($B113,$A$8:$I$13,7,FALSE)+VLOOKUP($B113,$A$42:$I$47,7,FALSE))*(G113),0)</f>
        <v>2.1186773103730665E-2</v>
      </c>
      <c r="S113" s="285">
        <f ca="1">IF($B113&lt;&gt;0,(+VLOOKUP($B113,$A$8:$I$13,8,FALSE)+VLOOKUP($B113,$A$42:$I$47,8,FALSE))*(H113),0)</f>
        <v>2.911943164884935E-2</v>
      </c>
      <c r="T113" s="285">
        <f ca="1">IF($B113&lt;&gt;0,(+VLOOKUP($B113,$A$8:$I$13,9,FALSE)+VLOOKUP($B113,$A$42:$I$47,9,FALSE))*(I113),0)</f>
        <v>3.7353339778431777E-2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6.657489645808568E-3</v>
      </c>
      <c r="Q119" s="292">
        <f t="shared" ca="1" si="72"/>
        <v>1.3588750946168191E-2</v>
      </c>
      <c r="R119" s="292">
        <f t="shared" ca="1" si="72"/>
        <v>2.1186773103730665E-2</v>
      </c>
      <c r="S119" s="292">
        <f t="shared" ca="1" si="72"/>
        <v>2.911943164884935E-2</v>
      </c>
      <c r="T119" s="292">
        <f t="shared" ca="1" si="72"/>
        <v>3.7353339778431777E-2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6.657489645808568E-3</v>
      </c>
      <c r="F134" s="285">
        <f t="shared" ca="1" si="75"/>
        <v>1.3588750946168191E-2</v>
      </c>
      <c r="G134" s="285">
        <f t="shared" ca="1" si="75"/>
        <v>2.1186773103730665E-2</v>
      </c>
      <c r="H134" s="285">
        <f t="shared" ca="1" si="75"/>
        <v>2.911943164884935E-2</v>
      </c>
      <c r="I134" s="285">
        <f t="shared" ca="1" si="75"/>
        <v>3.7353339778431777E-2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6.657489645808568E-3</v>
      </c>
      <c r="F140" s="296">
        <f t="shared" ca="1" si="81"/>
        <v>1.3588750946168191E-2</v>
      </c>
      <c r="G140" s="296">
        <f t="shared" ca="1" si="81"/>
        <v>2.1186773103730665E-2</v>
      </c>
      <c r="H140" s="296">
        <f t="shared" ca="1" si="81"/>
        <v>2.911943164884935E-2</v>
      </c>
      <c r="I140" s="296">
        <f t="shared" ca="1" si="81"/>
        <v>3.7353339778431777E-2</v>
      </c>
    </row>
    <row r="141" spans="1:16" ht="13.5"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9.1141913010554854E-2</v>
      </c>
      <c r="I141" s="124">
        <f t="shared" ca="1" si="82"/>
        <v>0.11583854067128785</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(SEM)'!$N$79:$R$84</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0.307</v>
      </c>
      <c r="E205" s="82">
        <f t="shared" ca="1" si="95"/>
        <v>0.307</v>
      </c>
      <c r="F205" s="82">
        <f t="shared" ca="1" si="95"/>
        <v>0.307</v>
      </c>
      <c r="G205" s="82">
        <f t="shared" ca="1" si="95"/>
        <v>0.307</v>
      </c>
      <c r="H205" s="82">
        <f t="shared" ca="1" si="95"/>
        <v>0.307</v>
      </c>
      <c r="I205" s="82">
        <f t="shared" ca="1" si="95"/>
        <v>0.307</v>
      </c>
    </row>
    <row r="206" spans="1:9" outlineLevel="1">
      <c r="A206" t="s">
        <v>156</v>
      </c>
      <c r="B206" s="82">
        <f t="shared" ref="B206:I206" ca="1" si="96">+B36</f>
        <v>0</v>
      </c>
      <c r="C206" s="82">
        <f t="shared" ca="1" si="96"/>
        <v>0</v>
      </c>
      <c r="D206" s="82">
        <f t="shared" ca="1" si="96"/>
        <v>0.307</v>
      </c>
      <c r="E206" s="82">
        <f t="shared" ca="1" si="96"/>
        <v>0.307</v>
      </c>
      <c r="F206" s="82">
        <f t="shared" ca="1" si="96"/>
        <v>0.307</v>
      </c>
      <c r="G206" s="82">
        <f t="shared" ca="1" si="96"/>
        <v>0.307</v>
      </c>
      <c r="H206" s="82">
        <f t="shared" ca="1" si="96"/>
        <v>0.307</v>
      </c>
      <c r="I206" s="82">
        <f t="shared" ca="1" si="96"/>
        <v>0.307</v>
      </c>
    </row>
    <row r="207" spans="1:9" outlineLevel="1">
      <c r="A207" t="s">
        <v>157</v>
      </c>
      <c r="B207" s="82">
        <f t="shared" ref="B207:I207" ca="1" si="97">+B36+B48</f>
        <v>0</v>
      </c>
      <c r="C207" s="82">
        <f t="shared" ca="1" si="97"/>
        <v>0</v>
      </c>
      <c r="D207" s="82">
        <f t="shared" ca="1" si="97"/>
        <v>0.307</v>
      </c>
      <c r="E207" s="82">
        <f t="shared" ca="1" si="97"/>
        <v>0.31025725719233915</v>
      </c>
      <c r="F207" s="82">
        <f t="shared" ca="1" si="97"/>
        <v>0.31327538550294881</v>
      </c>
      <c r="G207" s="82">
        <f t="shared" ca="1" si="97"/>
        <v>0.31625877182399736</v>
      </c>
      <c r="H207" s="82">
        <f t="shared" ca="1" si="97"/>
        <v>0.31949550637012769</v>
      </c>
      <c r="I207" s="82">
        <f t="shared" ca="1" si="97"/>
        <v>0.32246037943820804</v>
      </c>
    </row>
    <row r="208" spans="1:9" outlineLevel="1">
      <c r="A208" t="s">
        <v>158</v>
      </c>
      <c r="B208" s="82">
        <f t="shared" ref="B208:I208" ca="1" si="98">+B70</f>
        <v>0</v>
      </c>
      <c r="C208" s="82">
        <f t="shared" ca="1" si="98"/>
        <v>0</v>
      </c>
      <c r="D208" s="82">
        <f t="shared" ca="1" si="98"/>
        <v>0.307</v>
      </c>
      <c r="E208" s="82">
        <f t="shared" ca="1" si="98"/>
        <v>0.31691474683814774</v>
      </c>
      <c r="F208" s="82">
        <f t="shared" ca="1" si="98"/>
        <v>0.32686413644911699</v>
      </c>
      <c r="G208" s="82">
        <f t="shared" ca="1" si="98"/>
        <v>0.33744554492772805</v>
      </c>
      <c r="H208" s="82">
        <f t="shared" ca="1" si="98"/>
        <v>0.34861493801897703</v>
      </c>
      <c r="I208" s="82">
        <f t="shared" ca="1" si="98"/>
        <v>0.35981371921663985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40" priority="1" stopIfTrue="1" operator="notEqual">
      <formula>0</formula>
    </cfRule>
  </conditionalFormatting>
  <conditionalFormatting sqref="J130 J94 J70 J59 J48 J36:J37 J14 J25">
    <cfRule type="cellIs" dxfId="339" priority="2" stopIfTrue="1" operator="equal">
      <formula>"OK"</formula>
    </cfRule>
    <cfRule type="cellIs" dxfId="338" priority="3" stopIfTrue="1" operator="equal">
      <formula>"Warning Check Escalations"</formula>
    </cfRule>
  </conditionalFormatting>
  <conditionalFormatting sqref="N120:T120 N84:T84">
    <cfRule type="cellIs" dxfId="337" priority="4" stopIfTrue="1" operator="notEqual">
      <formula>0</formula>
    </cfRule>
    <cfRule type="cellIs" dxfId="33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3.xml><?xml version="1.0" encoding="utf-8"?>
<worksheet xmlns="http://schemas.openxmlformats.org/spreadsheetml/2006/main" xmlns:r="http://schemas.openxmlformats.org/officeDocument/2006/relationships">
  <sheetPr codeName="Sheet66"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2" width="22" bestFit="1" customWidth="1"/>
    <col min="3"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10</v>
      </c>
      <c r="M1" s="282"/>
      <c r="N1" s="280"/>
      <c r="O1" s="280"/>
      <c r="P1" s="280"/>
      <c r="Q1" s="280"/>
      <c r="R1" s="280"/>
      <c r="S1" s="280"/>
      <c r="T1" s="280"/>
    </row>
    <row r="2" spans="1:20" ht="15.75">
      <c r="A2" s="184" t="s">
        <v>121</v>
      </c>
      <c r="B2" s="74" t="str">
        <f ca="1">OFFSET(List_AllocOpexListStart,+$K$1,1)</f>
        <v>Corporate Finance</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2.2640000000000002</v>
      </c>
      <c r="E8" s="285">
        <f ca="1">OFFSET(Future_AOpexStart,MATCH($K$1,'I-6 Future A'!$A$6:$A$379)+2,+'I-5 Future DA'!F$5)</f>
        <v>2.2640000000000002</v>
      </c>
      <c r="F8" s="285">
        <f ca="1">OFFSET(Future_AOpexStart,MATCH($K$1,'I-6 Future A'!$A$6:$A$379)+2,+'I-5 Future DA'!G$5)</f>
        <v>2.2640000000000002</v>
      </c>
      <c r="G8" s="285">
        <f ca="1">OFFSET(Future_AOpexStart,MATCH($K$1,'I-6 Future A'!$A$6:$A$379)+2,+'I-5 Future DA'!H$5)</f>
        <v>2.2640000000000002</v>
      </c>
      <c r="H8" s="285">
        <f ca="1">OFFSET(Future_AOpexStart,MATCH($K$1,'I-6 Future A'!$A$6:$A$379)+2,+'I-5 Future DA'!I$5)</f>
        <v>2.2640000000000002</v>
      </c>
      <c r="I8" s="285">
        <f ca="1">OFFSET(Future_AOpexStart,MATCH($K$1,'I-6 Future A'!$A$6:$A$379)+2,+'I-5 Future DA'!J$5)</f>
        <v>2.2640000000000002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5.2999999999999999E-2</v>
      </c>
      <c r="E9" s="285">
        <f ca="1">OFFSET(Future_AOpexStart,MATCH($K$1,'I-6 Future A'!$A$6:$A$379)+3,+'I-5 Future DA'!F$5)</f>
        <v>5.2999999999999999E-2</v>
      </c>
      <c r="F9" s="285">
        <f ca="1">OFFSET(Future_AOpexStart,MATCH($K$1,'I-6 Future A'!$A$6:$A$379)+3,+'I-5 Future DA'!G$5)</f>
        <v>5.2999999999999999E-2</v>
      </c>
      <c r="G9" s="285">
        <f ca="1">OFFSET(Future_AOpexStart,MATCH($K$1,'I-6 Future A'!$A$6:$A$379)+3,+'I-5 Future DA'!H$5)</f>
        <v>5.2999999999999999E-2</v>
      </c>
      <c r="H9" s="285">
        <f ca="1">OFFSET(Future_AOpexStart,MATCH($K$1,'I-6 Future A'!$A$6:$A$379)+3,+'I-5 Future DA'!I$5)</f>
        <v>5.2999999999999999E-2</v>
      </c>
      <c r="I9" s="285">
        <f ca="1">OFFSET(Future_AOpexStart,MATCH($K$1,'I-6 Future A'!$A$6:$A$379)+3,+'I-5 Future DA'!J$5)</f>
        <v>5.2999999999999999E-2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1.4999999999999999E-2</v>
      </c>
      <c r="E10" s="285">
        <f ca="1">OFFSET(Future_AOpexStart,MATCH($K$1,'I-6 Future A'!$A$6:$A$379)+4,+'I-5 Future DA'!F$5)</f>
        <v>1.4999999999999999E-2</v>
      </c>
      <c r="F10" s="285">
        <f ca="1">OFFSET(Future_AOpexStart,MATCH($K$1,'I-6 Future A'!$A$6:$A$379)+4,+'I-5 Future DA'!G$5)</f>
        <v>1.4999999999999999E-2</v>
      </c>
      <c r="G10" s="285">
        <f ca="1">OFFSET(Future_AOpexStart,MATCH($K$1,'I-6 Future A'!$A$6:$A$379)+4,+'I-5 Future DA'!H$5)</f>
        <v>1.4999999999999999E-2</v>
      </c>
      <c r="H10" s="285">
        <f ca="1">OFFSET(Future_AOpexStart,MATCH($K$1,'I-6 Future A'!$A$6:$A$379)+4,+'I-5 Future DA'!I$5)</f>
        <v>1.4999999999999999E-2</v>
      </c>
      <c r="I10" s="285">
        <f ca="1">OFFSET(Future_AOpexStart,MATCH($K$1,'I-6 Future A'!$A$6:$A$379)+4,+'I-5 Future DA'!J$5)</f>
        <v>1.4999999999999999E-2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0.60799999999999998</v>
      </c>
      <c r="E11" s="285">
        <f ca="1">OFFSET(Future_AOpexStart,MATCH($K$1,'I-6 Future A'!$A$6:$A$379)+5,+'I-5 Future DA'!F$5)</f>
        <v>0.60799999999999998</v>
      </c>
      <c r="F11" s="285">
        <f ca="1">OFFSET(Future_AOpexStart,MATCH($K$1,'I-6 Future A'!$A$6:$A$379)+5,+'I-5 Future DA'!G$5)</f>
        <v>0.60799999999999998</v>
      </c>
      <c r="G11" s="285">
        <f ca="1">OFFSET(Future_AOpexStart,MATCH($K$1,'I-6 Future A'!$A$6:$A$379)+5,+'I-5 Future DA'!H$5)</f>
        <v>0.60799999999999998</v>
      </c>
      <c r="H11" s="285">
        <f ca="1">OFFSET(Future_AOpexStart,MATCH($K$1,'I-6 Future A'!$A$6:$A$379)+5,+'I-5 Future DA'!I$5)</f>
        <v>0.60799999999999998</v>
      </c>
      <c r="I11" s="285">
        <f ca="1">OFFSET(Future_AOpexStart,MATCH($K$1,'I-6 Future A'!$A$6:$A$379)+5,+'I-5 Future DA'!J$5)</f>
        <v>0.60799999999999998</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2.9400000000000004</v>
      </c>
      <c r="E14" s="287">
        <f t="shared" ca="1" si="0"/>
        <v>2.9400000000000004</v>
      </c>
      <c r="F14" s="287">
        <f t="shared" ca="1" si="0"/>
        <v>2.9400000000000004</v>
      </c>
      <c r="G14" s="287">
        <f t="shared" ca="1" si="0"/>
        <v>2.9400000000000004</v>
      </c>
      <c r="H14" s="287">
        <f t="shared" ca="1" si="0"/>
        <v>2.9400000000000004</v>
      </c>
      <c r="I14" s="287">
        <f t="shared" ca="1" si="0"/>
        <v>2.9400000000000004</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+'A-10'!B8+'A-10'!B19</f>
        <v>0</v>
      </c>
      <c r="C30" s="285">
        <f ca="1">+'A-10'!C8+'A-10'!C19</f>
        <v>0</v>
      </c>
      <c r="D30" s="285">
        <f ca="1">+'A-10'!D8+'A-10'!D19</f>
        <v>2.2640000000000002</v>
      </c>
      <c r="E30" s="285">
        <f ca="1">+'A-10'!E8+'A-10'!E19</f>
        <v>2.2640000000000002</v>
      </c>
      <c r="F30" s="285">
        <f ca="1">+'A-10'!F8+'A-10'!F19</f>
        <v>2.2640000000000002</v>
      </c>
      <c r="G30" s="285">
        <f ca="1">+'A-10'!G8+'A-10'!G19</f>
        <v>2.2640000000000002</v>
      </c>
      <c r="H30" s="285">
        <f ca="1">+'A-10'!H8+'A-10'!H19</f>
        <v>2.2640000000000002</v>
      </c>
      <c r="I30" s="285">
        <f ca="1">+'A-10'!I8+'A-10'!I19</f>
        <v>2.2640000000000002</v>
      </c>
      <c r="J30" s="42"/>
      <c r="K30" s="21"/>
      <c r="L30" s="21"/>
    </row>
    <row r="31" spans="1:12" outlineLevel="2">
      <c r="A31" s="61" t="s">
        <v>69</v>
      </c>
      <c r="B31" s="285">
        <f ca="1">+'A-10'!B9+'A-10'!B20</f>
        <v>0</v>
      </c>
      <c r="C31" s="285">
        <f ca="1">+'A-10'!C9+'A-10'!C20</f>
        <v>0</v>
      </c>
      <c r="D31" s="285">
        <f ca="1">+'A-10'!D9+'A-10'!D20</f>
        <v>5.2999999999999999E-2</v>
      </c>
      <c r="E31" s="285">
        <f ca="1">+'A-10'!E9+'A-10'!E20</f>
        <v>5.2999999999999999E-2</v>
      </c>
      <c r="F31" s="285">
        <f ca="1">+'A-10'!F9+'A-10'!F20</f>
        <v>5.2999999999999999E-2</v>
      </c>
      <c r="G31" s="285">
        <f ca="1">+'A-10'!G9+'A-10'!G20</f>
        <v>5.2999999999999999E-2</v>
      </c>
      <c r="H31" s="285">
        <f ca="1">+'A-10'!H9+'A-10'!H20</f>
        <v>5.2999999999999999E-2</v>
      </c>
      <c r="I31" s="285">
        <f ca="1">+'A-10'!I9+'A-10'!I20</f>
        <v>5.2999999999999999E-2</v>
      </c>
      <c r="J31" s="42"/>
      <c r="K31" s="21"/>
      <c r="L31" s="21"/>
    </row>
    <row r="32" spans="1:12" s="759" customFormat="1" outlineLevel="2">
      <c r="A32" s="61" t="s">
        <v>646</v>
      </c>
      <c r="B32" s="285">
        <f ca="1">+'A-10'!B10+'A-10'!B21</f>
        <v>0</v>
      </c>
      <c r="C32" s="285">
        <f ca="1">+'A-10'!C10+'A-10'!C21</f>
        <v>0</v>
      </c>
      <c r="D32" s="285">
        <f ca="1">+'A-10'!D10+'A-10'!D21</f>
        <v>1.4999999999999999E-2</v>
      </c>
      <c r="E32" s="285">
        <f ca="1">+'A-10'!E10+'A-10'!E21</f>
        <v>1.4999999999999999E-2</v>
      </c>
      <c r="F32" s="285">
        <f ca="1">+'A-10'!F10+'A-10'!F21</f>
        <v>1.4999999999999999E-2</v>
      </c>
      <c r="G32" s="285">
        <f ca="1">+'A-10'!G10+'A-10'!G21</f>
        <v>1.4999999999999999E-2</v>
      </c>
      <c r="H32" s="285">
        <f ca="1">+'A-10'!H10+'A-10'!H21</f>
        <v>1.4999999999999999E-2</v>
      </c>
      <c r="I32" s="285">
        <f ca="1">+'A-10'!I10+'A-10'!I21</f>
        <v>1.4999999999999999E-2</v>
      </c>
      <c r="J32" s="42"/>
      <c r="K32" s="732"/>
      <c r="L32" s="732"/>
    </row>
    <row r="33" spans="1:12" outlineLevel="2">
      <c r="A33" s="61" t="s">
        <v>647</v>
      </c>
      <c r="B33" s="285">
        <f ca="1">+'A-10'!B11+'A-10'!B22</f>
        <v>0</v>
      </c>
      <c r="C33" s="285">
        <f ca="1">+'A-10'!C11+'A-10'!C22</f>
        <v>0</v>
      </c>
      <c r="D33" s="285">
        <f ca="1">+'A-10'!D11+'A-10'!D22</f>
        <v>0.60799999999999998</v>
      </c>
      <c r="E33" s="285">
        <f ca="1">+'A-10'!E11+'A-10'!E22</f>
        <v>0.60799999999999998</v>
      </c>
      <c r="F33" s="285">
        <f ca="1">+'A-10'!F11+'A-10'!F22</f>
        <v>0.60799999999999998</v>
      </c>
      <c r="G33" s="285">
        <f ca="1">+'A-10'!G11+'A-10'!G22</f>
        <v>0.60799999999999998</v>
      </c>
      <c r="H33" s="285">
        <f ca="1">+'A-10'!H11+'A-10'!H22</f>
        <v>0.60799999999999998</v>
      </c>
      <c r="I33" s="285">
        <f ca="1">+'A-10'!I11+'A-10'!I22</f>
        <v>0.60799999999999998</v>
      </c>
      <c r="J33" s="42"/>
      <c r="K33" s="21"/>
      <c r="L33" s="21"/>
    </row>
    <row r="34" spans="1:12" s="759" customFormat="1" outlineLevel="2">
      <c r="A34" s="61" t="s">
        <v>575</v>
      </c>
      <c r="B34" s="285">
        <f ca="1">+'A-10'!B12+'A-10'!B23</f>
        <v>0</v>
      </c>
      <c r="C34" s="285">
        <f ca="1">+'A-10'!C12+'A-10'!C23</f>
        <v>0</v>
      </c>
      <c r="D34" s="285">
        <f ca="1">+'A-10'!D12+'A-10'!D23</f>
        <v>0</v>
      </c>
      <c r="E34" s="285">
        <f ca="1">+'A-10'!E12+'A-10'!E23</f>
        <v>0</v>
      </c>
      <c r="F34" s="285">
        <f ca="1">+'A-10'!F12+'A-10'!F23</f>
        <v>0</v>
      </c>
      <c r="G34" s="285">
        <f ca="1">+'A-10'!G12+'A-10'!G23</f>
        <v>0</v>
      </c>
      <c r="H34" s="285">
        <f ca="1">+'A-10'!H12+'A-10'!H23</f>
        <v>0</v>
      </c>
      <c r="I34" s="285">
        <f ca="1">+'A-10'!I12+'A-10'!I23</f>
        <v>0</v>
      </c>
      <c r="J34" s="42"/>
      <c r="K34" s="732"/>
      <c r="L34" s="732"/>
    </row>
    <row r="35" spans="1:12" ht="13.5" outlineLevel="2" thickBot="1">
      <c r="A35" s="83" t="s">
        <v>70</v>
      </c>
      <c r="B35" s="285">
        <f ca="1">+'A-10'!B13+'A-10'!B24</f>
        <v>0</v>
      </c>
      <c r="C35" s="285">
        <f ca="1">+'A-10'!C13+'A-10'!C24</f>
        <v>0</v>
      </c>
      <c r="D35" s="285">
        <f ca="1">+'A-10'!D13+'A-10'!D24</f>
        <v>0</v>
      </c>
      <c r="E35" s="285">
        <f ca="1">+'A-10'!E13+'A-10'!E24</f>
        <v>0</v>
      </c>
      <c r="F35" s="285">
        <f ca="1">+'A-10'!F13+'A-10'!F24</f>
        <v>0</v>
      </c>
      <c r="G35" s="285">
        <f ca="1">+'A-10'!G13+'A-10'!G24</f>
        <v>0</v>
      </c>
      <c r="H35" s="285">
        <f ca="1">+'A-10'!H13+'A-10'!H24</f>
        <v>0</v>
      </c>
      <c r="I35" s="285">
        <f ca="1">+'A-10'!I13+'A-10'!I24</f>
        <v>0</v>
      </c>
      <c r="J35" s="93"/>
      <c r="K35" s="21"/>
      <c r="L35" s="21"/>
    </row>
    <row r="36" spans="1:12" s="87" customFormat="1" ht="20.25" customHeight="1" thickBot="1">
      <c r="A36" s="94" t="s">
        <v>128</v>
      </c>
      <c r="B36" s="294">
        <f t="shared" ref="B36:I36" ca="1" si="7">SUM(B30:B35)</f>
        <v>0</v>
      </c>
      <c r="C36" s="294">
        <f t="shared" ca="1" si="7"/>
        <v>0</v>
      </c>
      <c r="D36" s="294">
        <f t="shared" ca="1" si="7"/>
        <v>2.9400000000000004</v>
      </c>
      <c r="E36" s="294">
        <f t="shared" ca="1" si="7"/>
        <v>2.9400000000000004</v>
      </c>
      <c r="F36" s="294">
        <f t="shared" ca="1" si="7"/>
        <v>2.9400000000000004</v>
      </c>
      <c r="G36" s="294">
        <f t="shared" ca="1" si="7"/>
        <v>2.9400000000000004</v>
      </c>
      <c r="H36" s="294">
        <f t="shared" ca="1" si="7"/>
        <v>2.9400000000000004</v>
      </c>
      <c r="I36" s="294">
        <f t="shared" ca="1" si="7"/>
        <v>2.9400000000000004</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2.4020945548716317E-2</v>
      </c>
      <c r="F42" s="285">
        <f t="shared" ca="1" si="8"/>
        <v>4.6278412959857004E-2</v>
      </c>
      <c r="G42" s="285">
        <f t="shared" ca="1" si="8"/>
        <v>6.827967234374592E-2</v>
      </c>
      <c r="H42" s="285">
        <f t="shared" ca="1" si="8"/>
        <v>9.2149271732798257E-2</v>
      </c>
      <c r="I42" s="285">
        <f t="shared" ca="1" si="8"/>
        <v>0.11401400341401642</v>
      </c>
      <c r="K42" s="63"/>
      <c r="L42" s="63"/>
    </row>
    <row r="43" spans="1:12" outlineLevel="1">
      <c r="A43" s="61" t="s">
        <v>69</v>
      </c>
      <c r="B43" s="82"/>
      <c r="C43" s="285">
        <f t="shared" ca="1" si="8"/>
        <v>0</v>
      </c>
      <c r="D43" s="285">
        <f t="shared" ca="1" si="8"/>
        <v>0</v>
      </c>
      <c r="E43" s="285">
        <f t="shared" ca="1" si="8"/>
        <v>5.6232778890546141E-4</v>
      </c>
      <c r="F43" s="285">
        <f t="shared" ca="1" si="8"/>
        <v>1.0833727415514227E-3</v>
      </c>
      <c r="G43" s="285">
        <f t="shared" ca="1" si="8"/>
        <v>1.5984198914392816E-3</v>
      </c>
      <c r="H43" s="285">
        <f t="shared" ca="1" si="8"/>
        <v>2.1572046827907716E-3</v>
      </c>
      <c r="I43" s="285">
        <f t="shared" ca="1" si="8"/>
        <v>2.6690557336320093E-3</v>
      </c>
      <c r="K43" s="42"/>
      <c r="L43" s="21"/>
    </row>
    <row r="44" spans="1:12" s="759" customFormat="1" outlineLevel="1">
      <c r="A44" s="61" t="s">
        <v>646</v>
      </c>
      <c r="B44" s="82"/>
      <c r="C44" s="285">
        <f t="shared" ref="C44:I44" ca="1" si="9">+C100</f>
        <v>0</v>
      </c>
      <c r="D44" s="285">
        <f t="shared" ca="1" si="9"/>
        <v>0</v>
      </c>
      <c r="E44" s="285">
        <f t="shared" ca="1" si="9"/>
        <v>1.591493742185268E-4</v>
      </c>
      <c r="F44" s="285">
        <f t="shared" ca="1" si="9"/>
        <v>3.0661492685417623E-4</v>
      </c>
      <c r="G44" s="285">
        <f t="shared" ca="1" si="9"/>
        <v>4.5238298814319285E-4</v>
      </c>
      <c r="H44" s="285">
        <f t="shared" ca="1" si="9"/>
        <v>6.105296272049354E-4</v>
      </c>
      <c r="I44" s="285">
        <f t="shared" ca="1" si="9"/>
        <v>7.553931321600027E-4</v>
      </c>
      <c r="K44" s="42"/>
      <c r="L44" s="732"/>
    </row>
    <row r="45" spans="1:12" outlineLevel="1">
      <c r="A45" s="61" t="s">
        <v>647</v>
      </c>
      <c r="B45" s="82"/>
      <c r="C45" s="285">
        <f t="shared" ref="C45:I45" ca="1" si="10">+C101</f>
        <v>0</v>
      </c>
      <c r="D45" s="285">
        <f t="shared" ca="1" si="10"/>
        <v>0</v>
      </c>
      <c r="E45" s="285">
        <f t="shared" ca="1" si="10"/>
        <v>6.4508546349909537E-3</v>
      </c>
      <c r="F45" s="285">
        <f t="shared" ca="1" si="10"/>
        <v>1.2428125035155944E-2</v>
      </c>
      <c r="G45" s="285">
        <f t="shared" ca="1" si="10"/>
        <v>1.8336590452737417E-2</v>
      </c>
      <c r="H45" s="285">
        <f t="shared" ca="1" si="10"/>
        <v>2.4746800889373383E-2</v>
      </c>
      <c r="I45" s="285">
        <f t="shared" ca="1" si="10"/>
        <v>3.0618601623552108E-2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3.1193277346831264E-2</v>
      </c>
      <c r="F48" s="294">
        <f t="shared" ca="1" si="13"/>
        <v>6.0096525663418547E-2</v>
      </c>
      <c r="G48" s="294">
        <f t="shared" ca="1" si="13"/>
        <v>8.8667065676065818E-2</v>
      </c>
      <c r="H48" s="294">
        <f t="shared" ca="1" si="13"/>
        <v>0.11966380693216735</v>
      </c>
      <c r="I48" s="294">
        <f t="shared" ca="1" si="13"/>
        <v>0.14805705390336055</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4.9096275433585017E-2</v>
      </c>
      <c r="F53" s="285">
        <f t="shared" ca="1" si="14"/>
        <v>0.10021150534894067</v>
      </c>
      <c r="G53" s="285">
        <f t="shared" ca="1" si="14"/>
        <v>0.15624382510373364</v>
      </c>
      <c r="H53" s="285">
        <f t="shared" ca="1" si="14"/>
        <v>0.21474395196415288</v>
      </c>
      <c r="I53" s="285">
        <f t="shared" ca="1" si="14"/>
        <v>0.27546567185136661</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7.5795746871091017E-5</v>
      </c>
      <c r="F55" s="285">
        <f t="shared" ca="1" si="15"/>
        <v>1.5344881464170897E-4</v>
      </c>
      <c r="G55" s="285">
        <f t="shared" ca="1" si="15"/>
        <v>2.9537577760452196E-4</v>
      </c>
      <c r="H55" s="285">
        <f t="shared" ca="1" si="15"/>
        <v>4.6544253453386188E-4</v>
      </c>
      <c r="I55" s="285">
        <f t="shared" ca="1" si="15"/>
        <v>6.725762117055753E-4</v>
      </c>
      <c r="K55" s="42"/>
      <c r="L55" s="732"/>
    </row>
    <row r="56" spans="1:12" outlineLevel="1">
      <c r="A56" s="61" t="s">
        <v>647</v>
      </c>
      <c r="B56" s="285"/>
      <c r="C56" s="285">
        <f t="shared" ref="C56:I56" ca="1" si="16">+C137</f>
        <v>0</v>
      </c>
      <c r="D56" s="285">
        <f t="shared" ca="1" si="16"/>
        <v>0</v>
      </c>
      <c r="E56" s="285">
        <f t="shared" ca="1" si="16"/>
        <v>3.0722542731748894E-3</v>
      </c>
      <c r="F56" s="285">
        <f t="shared" ca="1" si="16"/>
        <v>6.219791953477269E-3</v>
      </c>
      <c r="G56" s="285">
        <f t="shared" ca="1" si="16"/>
        <v>1.1972564852236623E-2</v>
      </c>
      <c r="H56" s="285">
        <f t="shared" ca="1" si="16"/>
        <v>1.8865937399772537E-2</v>
      </c>
      <c r="I56" s="285">
        <f t="shared" ca="1" si="16"/>
        <v>2.7261755781132657E-2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5.2244325453630995E-2</v>
      </c>
      <c r="F59" s="287">
        <f t="shared" ca="1" si="19"/>
        <v>0.10658474611705966</v>
      </c>
      <c r="G59" s="287">
        <f t="shared" ca="1" si="19"/>
        <v>0.16851176573357479</v>
      </c>
      <c r="H59" s="287">
        <f t="shared" ca="1" si="19"/>
        <v>0.2340753318984593</v>
      </c>
      <c r="I59" s="287">
        <f t="shared" ca="1" si="19"/>
        <v>0.30340000384420485</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2.2640000000000002</v>
      </c>
      <c r="E64" s="285">
        <f t="shared" ca="1" si="20"/>
        <v>2.3371172209823015</v>
      </c>
      <c r="F64" s="285">
        <f t="shared" ca="1" si="20"/>
        <v>2.410489918308798</v>
      </c>
      <c r="G64" s="285">
        <f t="shared" ca="1" si="20"/>
        <v>2.4885234974474799</v>
      </c>
      <c r="H64" s="285">
        <f t="shared" ca="1" si="20"/>
        <v>2.5708932236969511</v>
      </c>
      <c r="I64" s="285">
        <f t="shared" ca="1" si="20"/>
        <v>2.6534796752653831</v>
      </c>
      <c r="K64" s="63"/>
      <c r="L64" s="63"/>
    </row>
    <row r="65" spans="1:20" ht="12.75" customHeight="1" outlineLevel="1">
      <c r="A65" s="61" t="s">
        <v>69</v>
      </c>
      <c r="B65" s="285">
        <f t="shared" ca="1" si="20"/>
        <v>0</v>
      </c>
      <c r="C65" s="285">
        <f t="shared" ca="1" si="20"/>
        <v>0</v>
      </c>
      <c r="D65" s="285">
        <f t="shared" ca="1" si="20"/>
        <v>5.2999999999999999E-2</v>
      </c>
      <c r="E65" s="285">
        <f t="shared" ca="1" si="20"/>
        <v>5.3562327788905462E-2</v>
      </c>
      <c r="F65" s="285">
        <f t="shared" ca="1" si="20"/>
        <v>5.4083372741551422E-2</v>
      </c>
      <c r="G65" s="285">
        <f t="shared" ca="1" si="20"/>
        <v>5.4598419891439279E-2</v>
      </c>
      <c r="H65" s="285">
        <f t="shared" ca="1" si="20"/>
        <v>5.515720468279077E-2</v>
      </c>
      <c r="I65" s="285">
        <f t="shared" ca="1" si="20"/>
        <v>5.5669055733632011E-2</v>
      </c>
      <c r="K65" s="42"/>
      <c r="L65" s="21"/>
    </row>
    <row r="66" spans="1:20" s="759" customFormat="1" ht="12.75" customHeight="1" outlineLevel="1">
      <c r="A66" s="61" t="s">
        <v>646</v>
      </c>
      <c r="B66" s="285">
        <f t="shared" ref="B66:I66" ca="1" si="21">+B44+B32+B55</f>
        <v>0</v>
      </c>
      <c r="C66" s="285">
        <f t="shared" ca="1" si="21"/>
        <v>0</v>
      </c>
      <c r="D66" s="285">
        <f t="shared" ca="1" si="21"/>
        <v>1.4999999999999999E-2</v>
      </c>
      <c r="E66" s="285">
        <f t="shared" ca="1" si="21"/>
        <v>1.5234945121089617E-2</v>
      </c>
      <c r="F66" s="285">
        <f t="shared" ca="1" si="21"/>
        <v>1.5460063741495885E-2</v>
      </c>
      <c r="G66" s="285">
        <f t="shared" ca="1" si="21"/>
        <v>1.5747758765747716E-2</v>
      </c>
      <c r="H66" s="285">
        <f t="shared" ca="1" si="21"/>
        <v>1.6075972161738797E-2</v>
      </c>
      <c r="I66" s="285">
        <f t="shared" ca="1" si="21"/>
        <v>1.6427969343865576E-2</v>
      </c>
      <c r="K66" s="42"/>
      <c r="L66" s="732"/>
    </row>
    <row r="67" spans="1:20" ht="12.75" customHeight="1" outlineLevel="1">
      <c r="A67" s="61" t="s">
        <v>647</v>
      </c>
      <c r="B67" s="285">
        <f t="shared" ref="B67:I67" ca="1" si="22">+B45+B33+B56</f>
        <v>0</v>
      </c>
      <c r="C67" s="285">
        <f t="shared" ca="1" si="22"/>
        <v>0</v>
      </c>
      <c r="D67" s="285">
        <f t="shared" ca="1" si="22"/>
        <v>0.60799999999999998</v>
      </c>
      <c r="E67" s="285">
        <f t="shared" ca="1" si="22"/>
        <v>0.61752310890816586</v>
      </c>
      <c r="F67" s="285">
        <f t="shared" ca="1" si="22"/>
        <v>0.62664791698863309</v>
      </c>
      <c r="G67" s="285">
        <f t="shared" ca="1" si="22"/>
        <v>0.63830915530497401</v>
      </c>
      <c r="H67" s="285">
        <f t="shared" ca="1" si="22"/>
        <v>0.6516127382891459</v>
      </c>
      <c r="I67" s="285">
        <f t="shared" ca="1" si="22"/>
        <v>0.66588035740468476</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2.9400000000000004</v>
      </c>
      <c r="E70" s="295">
        <f t="shared" ca="1" si="25"/>
        <v>3.0234376028004624</v>
      </c>
      <c r="F70" s="295">
        <f t="shared" ca="1" si="25"/>
        <v>3.1066812717804781</v>
      </c>
      <c r="G70" s="295">
        <f t="shared" ca="1" si="25"/>
        <v>3.1971788314096408</v>
      </c>
      <c r="H70" s="295">
        <f t="shared" ca="1" si="25"/>
        <v>3.2937391388306265</v>
      </c>
      <c r="I70" s="295">
        <f t="shared" ca="1" si="25"/>
        <v>3.3914570577475649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2.4020945548716317E-2</v>
      </c>
      <c r="Q77" s="285">
        <f ca="1">IF($B77&lt;&gt;0,(+VLOOKUP($B77,$A$8:$I$13,6,FALSE))*(F77),0)</f>
        <v>4.6278412959857004E-2</v>
      </c>
      <c r="R77" s="285">
        <f ca="1">IF($B77&lt;&gt;0,(+VLOOKUP($B77,$A$8:$I$13,7,FALSE))*(G77),0)</f>
        <v>6.827967234374592E-2</v>
      </c>
      <c r="S77" s="285">
        <f ca="1">IF($B77&lt;&gt;0,(+VLOOKUP($B77,$A$8:$I$13,8,FALSE))*(H77),0)</f>
        <v>9.2149271732798257E-2</v>
      </c>
      <c r="T77" s="285">
        <f ca="1">IF($B77&lt;&gt;0,(+VLOOKUP($B77,$A$8:$I$13,9,FALSE))*(I77),0)</f>
        <v>0.11401400341401642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5.6232778890546141E-4</v>
      </c>
      <c r="Q78" s="285">
        <f ca="1">IF($B78&lt;&gt;0,(+VLOOKUP($B78,$A$8:$I$13,6,FALSE))*(F78),0)</f>
        <v>1.0833727415514227E-3</v>
      </c>
      <c r="R78" s="285">
        <f ca="1">IF($B78&lt;&gt;0,(+VLOOKUP($B78,$A$8:$I$13,7,FALSE))*(G78),0)</f>
        <v>1.5984198914392816E-3</v>
      </c>
      <c r="S78" s="285">
        <f ca="1">IF($B78&lt;&gt;0,(+VLOOKUP($B78,$A$8:$I$13,8,FALSE))*(H78),0)</f>
        <v>2.1572046827907716E-3</v>
      </c>
      <c r="T78" s="285">
        <f ca="1">IF($B78&lt;&gt;0,(+VLOOKUP($B78,$A$8:$I$13,9,FALSE))*(I78),0)</f>
        <v>2.6690557336320093E-3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1.591493742185268E-4</v>
      </c>
      <c r="Q79" s="285">
        <f t="shared" ref="Q79:Q80" ca="1" si="34">IF($B79&lt;&gt;0,(+VLOOKUP($B79,$A$8:$I$13,6,FALSE))*(F79),0)</f>
        <v>3.0661492685417623E-4</v>
      </c>
      <c r="R79" s="285">
        <f t="shared" ref="R79:R80" ca="1" si="35">IF($B79&lt;&gt;0,(+VLOOKUP($B79,$A$8:$I$13,7,FALSE))*(G79),0)</f>
        <v>4.5238298814319285E-4</v>
      </c>
      <c r="S79" s="285">
        <f t="shared" ref="S79:S80" ca="1" si="36">IF($B79&lt;&gt;0,(+VLOOKUP($B79,$A$8:$I$13,8,FALSE))*(H79),0)</f>
        <v>6.105296272049354E-4</v>
      </c>
      <c r="T79" s="285">
        <f t="shared" ref="T79:T80" ca="1" si="37">IF($B79&lt;&gt;0,(+VLOOKUP($B79,$A$8:$I$13,9,FALSE))*(I79),0)</f>
        <v>7.553931321600027E-4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6.4508546349909537E-3</v>
      </c>
      <c r="Q80" s="285">
        <f t="shared" ca="1" si="34"/>
        <v>1.2428125035155944E-2</v>
      </c>
      <c r="R80" s="285">
        <f t="shared" ca="1" si="35"/>
        <v>1.8336590452737417E-2</v>
      </c>
      <c r="S80" s="285">
        <f t="shared" ca="1" si="36"/>
        <v>2.4746800889373383E-2</v>
      </c>
      <c r="T80" s="285">
        <f t="shared" ca="1" si="37"/>
        <v>3.0618601623552108E-2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3.1193277346831264E-2</v>
      </c>
      <c r="Q83" s="292">
        <f t="shared" ca="1" si="51"/>
        <v>6.0096525663418547E-2</v>
      </c>
      <c r="R83" s="292">
        <f t="shared" ca="1" si="51"/>
        <v>8.8667065676065818E-2</v>
      </c>
      <c r="S83" s="292">
        <f t="shared" ca="1" si="51"/>
        <v>0.11966380693216735</v>
      </c>
      <c r="T83" s="292">
        <f t="shared" ca="1" si="51"/>
        <v>0.14805705390336055</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2.4020945548716317E-2</v>
      </c>
      <c r="F98" s="285">
        <f t="shared" ca="1" si="54"/>
        <v>4.6278412959857004E-2</v>
      </c>
      <c r="G98" s="285">
        <f t="shared" ca="1" si="54"/>
        <v>6.827967234374592E-2</v>
      </c>
      <c r="H98" s="285">
        <f t="shared" ca="1" si="54"/>
        <v>9.2149271732798257E-2</v>
      </c>
      <c r="I98" s="285">
        <f t="shared" ca="1" si="54"/>
        <v>0.11401400341401642</v>
      </c>
    </row>
    <row r="99" spans="1:20" outlineLevel="1">
      <c r="A99" s="61" t="s">
        <v>69</v>
      </c>
      <c r="B99" s="119"/>
      <c r="C99" s="285">
        <f t="shared" ref="C99:I99" ca="1" si="55">+C9*(C87)</f>
        <v>0</v>
      </c>
      <c r="D99" s="285">
        <f t="shared" ca="1" si="55"/>
        <v>0</v>
      </c>
      <c r="E99" s="285">
        <f t="shared" ca="1" si="55"/>
        <v>5.6232778890546141E-4</v>
      </c>
      <c r="F99" s="285">
        <f t="shared" ca="1" si="55"/>
        <v>1.0833727415514227E-3</v>
      </c>
      <c r="G99" s="285">
        <f t="shared" ca="1" si="55"/>
        <v>1.5984198914392816E-3</v>
      </c>
      <c r="H99" s="285">
        <f t="shared" ca="1" si="55"/>
        <v>2.1572046827907716E-3</v>
      </c>
      <c r="I99" s="285">
        <f t="shared" ca="1" si="55"/>
        <v>2.6690557336320093E-3</v>
      </c>
    </row>
    <row r="100" spans="1:20" s="759" customFormat="1" outlineLevel="1">
      <c r="A100" s="61" t="s">
        <v>646</v>
      </c>
      <c r="B100" s="119"/>
      <c r="C100" s="285">
        <f t="shared" ref="C100:I100" ca="1" si="56">+C10*(C88)</f>
        <v>0</v>
      </c>
      <c r="D100" s="285">
        <f t="shared" ca="1" si="56"/>
        <v>0</v>
      </c>
      <c r="E100" s="285">
        <f t="shared" ca="1" si="56"/>
        <v>1.591493742185268E-4</v>
      </c>
      <c r="F100" s="285">
        <f t="shared" ca="1" si="56"/>
        <v>3.0661492685417623E-4</v>
      </c>
      <c r="G100" s="285">
        <f t="shared" ca="1" si="56"/>
        <v>4.5238298814319285E-4</v>
      </c>
      <c r="H100" s="285">
        <f t="shared" ca="1" si="56"/>
        <v>6.105296272049354E-4</v>
      </c>
      <c r="I100" s="285">
        <f t="shared" ca="1" si="56"/>
        <v>7.553931321600027E-4</v>
      </c>
    </row>
    <row r="101" spans="1:20" outlineLevel="1">
      <c r="A101" s="61" t="s">
        <v>647</v>
      </c>
      <c r="B101" s="119"/>
      <c r="C101" s="285">
        <f t="shared" ref="C101:I101" ca="1" si="57">+C11*(C89)</f>
        <v>0</v>
      </c>
      <c r="D101" s="285">
        <f t="shared" ca="1" si="57"/>
        <v>0</v>
      </c>
      <c r="E101" s="285">
        <f t="shared" ca="1" si="57"/>
        <v>6.4508546349909537E-3</v>
      </c>
      <c r="F101" s="285">
        <f t="shared" ca="1" si="57"/>
        <v>1.2428125035155944E-2</v>
      </c>
      <c r="G101" s="285">
        <f t="shared" ca="1" si="57"/>
        <v>1.8336590452737417E-2</v>
      </c>
      <c r="H101" s="285">
        <f t="shared" ca="1" si="57"/>
        <v>2.4746800889373383E-2</v>
      </c>
      <c r="I101" s="285">
        <f t="shared" ca="1" si="57"/>
        <v>3.0618601623552108E-2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3.1193277346831264E-2</v>
      </c>
      <c r="F104" s="296">
        <f t="shared" ca="1" si="60"/>
        <v>6.0096525663418547E-2</v>
      </c>
      <c r="G104" s="296">
        <f t="shared" ca="1" si="60"/>
        <v>8.8667065676065818E-2</v>
      </c>
      <c r="H104" s="296">
        <f t="shared" ca="1" si="60"/>
        <v>0.11966380693216735</v>
      </c>
      <c r="I104" s="296">
        <f t="shared" ca="1" si="60"/>
        <v>0.14805705390336055</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4.9096275433585017E-2</v>
      </c>
      <c r="Q113" s="285">
        <f ca="1">IF($B113&lt;&gt;0,(+VLOOKUP($B113,$A$8:$I$13,6,FALSE)+VLOOKUP($B113,$A$42:$I$47,6,FALSE))*(F113),0)</f>
        <v>0.10021150534894067</v>
      </c>
      <c r="R113" s="285">
        <f ca="1">IF($B113&lt;&gt;0,(+VLOOKUP($B113,$A$8:$I$13,7,FALSE)+VLOOKUP($B113,$A$42:$I$47,7,FALSE))*(G113),0)</f>
        <v>0.15624382510373364</v>
      </c>
      <c r="S113" s="285">
        <f ca="1">IF($B113&lt;&gt;0,(+VLOOKUP($B113,$A$8:$I$13,8,FALSE)+VLOOKUP($B113,$A$42:$I$47,8,FALSE))*(H113),0)</f>
        <v>0.21474395196415288</v>
      </c>
      <c r="T113" s="285">
        <f ca="1">IF($B113&lt;&gt;0,(+VLOOKUP($B113,$A$8:$I$13,9,FALSE)+VLOOKUP($B113,$A$42:$I$47,9,FALSE))*(I113),0)</f>
        <v>0.27546567185136661</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7.5795746871091017E-5</v>
      </c>
      <c r="Q115" s="285">
        <f t="shared" ca="1" si="68"/>
        <v>1.5344881464170897E-4</v>
      </c>
      <c r="R115" s="285">
        <f t="shared" ca="1" si="69"/>
        <v>2.9537577760452196E-4</v>
      </c>
      <c r="S115" s="285">
        <f t="shared" ca="1" si="70"/>
        <v>4.6544253453386188E-4</v>
      </c>
      <c r="T115" s="285">
        <f t="shared" ca="1" si="71"/>
        <v>6.725762117055753E-4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3.0722542731748894E-3</v>
      </c>
      <c r="Q116" s="285">
        <f t="shared" ca="1" si="68"/>
        <v>6.219791953477269E-3</v>
      </c>
      <c r="R116" s="285">
        <f t="shared" ca="1" si="69"/>
        <v>1.1972564852236623E-2</v>
      </c>
      <c r="S116" s="285">
        <f t="shared" ca="1" si="70"/>
        <v>1.8865937399772537E-2</v>
      </c>
      <c r="T116" s="285">
        <f t="shared" ca="1" si="71"/>
        <v>2.7261755781132657E-2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5.2244325453630995E-2</v>
      </c>
      <c r="Q119" s="292">
        <f t="shared" ca="1" si="72"/>
        <v>0.10658474611705966</v>
      </c>
      <c r="R119" s="292">
        <f t="shared" ca="1" si="72"/>
        <v>0.16851176573357479</v>
      </c>
      <c r="S119" s="292">
        <f t="shared" ca="1" si="72"/>
        <v>0.2340753318984593</v>
      </c>
      <c r="T119" s="292">
        <f t="shared" ca="1" si="72"/>
        <v>0.30340000384420485</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4.9096275433585017E-2</v>
      </c>
      <c r="F134" s="285">
        <f t="shared" ca="1" si="75"/>
        <v>0.10021150534894067</v>
      </c>
      <c r="G134" s="285">
        <f t="shared" ca="1" si="75"/>
        <v>0.15624382510373364</v>
      </c>
      <c r="H134" s="285">
        <f t="shared" ca="1" si="75"/>
        <v>0.21474395196415288</v>
      </c>
      <c r="I134" s="285">
        <f t="shared" ca="1" si="75"/>
        <v>0.27546567185136661</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7.5795746871091017E-5</v>
      </c>
      <c r="F136" s="285">
        <f t="shared" ca="1" si="77"/>
        <v>1.5344881464170897E-4</v>
      </c>
      <c r="G136" s="285">
        <f t="shared" ca="1" si="77"/>
        <v>2.9537577760452196E-4</v>
      </c>
      <c r="H136" s="285">
        <f t="shared" ca="1" si="77"/>
        <v>4.6544253453386188E-4</v>
      </c>
      <c r="I136" s="285">
        <f t="shared" ca="1" si="77"/>
        <v>6.725762117055753E-4</v>
      </c>
    </row>
    <row r="137" spans="1:16" outlineLevel="1">
      <c r="A137" s="61" t="s">
        <v>647</v>
      </c>
      <c r="B137" s="119"/>
      <c r="C137" s="285">
        <f ca="1">(+C11+C45)*(C$125)</f>
        <v>0</v>
      </c>
      <c r="D137" s="285">
        <f t="shared" ref="D137:I137" ca="1" si="78">(+D11+D45)*(D$125)</f>
        <v>0</v>
      </c>
      <c r="E137" s="285">
        <f t="shared" ca="1" si="78"/>
        <v>3.0722542731748894E-3</v>
      </c>
      <c r="F137" s="285">
        <f t="shared" ca="1" si="78"/>
        <v>6.219791953477269E-3</v>
      </c>
      <c r="G137" s="285">
        <f t="shared" ca="1" si="78"/>
        <v>1.1972564852236623E-2</v>
      </c>
      <c r="H137" s="285">
        <f t="shared" ca="1" si="78"/>
        <v>1.8865937399772537E-2</v>
      </c>
      <c r="I137" s="285">
        <f t="shared" ca="1" si="78"/>
        <v>2.7261755781132657E-2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5.2244325453630995E-2</v>
      </c>
      <c r="F140" s="296">
        <f t="shared" ca="1" si="81"/>
        <v>0.10658474611705966</v>
      </c>
      <c r="G140" s="296">
        <f t="shared" ca="1" si="81"/>
        <v>0.16851176573357479</v>
      </c>
      <c r="H140" s="296">
        <f t="shared" ca="1" si="81"/>
        <v>0.2340753318984593</v>
      </c>
      <c r="I140" s="296">
        <f t="shared" ca="1" si="81"/>
        <v>0.30340000384420485</v>
      </c>
    </row>
    <row r="141" spans="1:16" ht="13.5" outlineLevel="1" thickBot="1">
      <c r="A141" s="122" t="s">
        <v>148</v>
      </c>
      <c r="B141" s="126"/>
      <c r="C141" s="124">
        <f t="shared" ref="C141:I141" ca="1" si="82">IF((+C36+C48)&lt;&gt;0,+C140/(+C36+C48),0)</f>
        <v>0</v>
      </c>
      <c r="D141" s="124">
        <f t="shared" ca="1" si="82"/>
        <v>0</v>
      </c>
      <c r="E141" s="124">
        <f t="shared" ca="1" si="82"/>
        <v>1.7583617279951336E-2</v>
      </c>
      <c r="F141" s="124">
        <f t="shared" ca="1" si="82"/>
        <v>3.5527105613206995E-2</v>
      </c>
      <c r="G141" s="124">
        <f t="shared" ca="1" si="82"/>
        <v>5.5638920382937232E-2</v>
      </c>
      <c r="H141" s="124">
        <f t="shared" ca="1" si="82"/>
        <v>7.6503611726269877E-2</v>
      </c>
      <c r="I141" s="124">
        <f t="shared" ca="1" si="82"/>
        <v>9.8249481323766888E-2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(SEM)'!$N$88:$R$93</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2.9400000000000004</v>
      </c>
      <c r="E205" s="82">
        <f t="shared" ca="1" si="93"/>
        <v>2.9400000000000004</v>
      </c>
      <c r="F205" s="82">
        <f t="shared" ca="1" si="93"/>
        <v>2.9400000000000004</v>
      </c>
      <c r="G205" s="82">
        <f t="shared" ca="1" si="93"/>
        <v>2.9400000000000004</v>
      </c>
      <c r="H205" s="82">
        <f t="shared" ca="1" si="93"/>
        <v>2.9400000000000004</v>
      </c>
      <c r="I205" s="82">
        <f t="shared" ca="1" si="93"/>
        <v>2.9400000000000004</v>
      </c>
    </row>
    <row r="206" spans="1:9" outlineLevel="1">
      <c r="A206" t="s">
        <v>156</v>
      </c>
      <c r="B206" s="82">
        <f t="shared" ref="B206:I206" ca="1" si="94">+B36</f>
        <v>0</v>
      </c>
      <c r="C206" s="82">
        <f t="shared" ca="1" si="94"/>
        <v>0</v>
      </c>
      <c r="D206" s="82">
        <f t="shared" ca="1" si="94"/>
        <v>2.9400000000000004</v>
      </c>
      <c r="E206" s="82">
        <f t="shared" ca="1" si="94"/>
        <v>2.9400000000000004</v>
      </c>
      <c r="F206" s="82">
        <f t="shared" ca="1" si="94"/>
        <v>2.9400000000000004</v>
      </c>
      <c r="G206" s="82">
        <f t="shared" ca="1" si="94"/>
        <v>2.9400000000000004</v>
      </c>
      <c r="H206" s="82">
        <f t="shared" ca="1" si="94"/>
        <v>2.9400000000000004</v>
      </c>
      <c r="I206" s="82">
        <f t="shared" ca="1" si="94"/>
        <v>2.9400000000000004</v>
      </c>
    </row>
    <row r="207" spans="1:9" outlineLevel="1">
      <c r="A207" t="s">
        <v>157</v>
      </c>
      <c r="B207" s="82">
        <f t="shared" ref="B207:I207" ca="1" si="95">+B36+B48</f>
        <v>0</v>
      </c>
      <c r="C207" s="82">
        <f t="shared" ca="1" si="95"/>
        <v>0</v>
      </c>
      <c r="D207" s="82">
        <f t="shared" ca="1" si="95"/>
        <v>2.9400000000000004</v>
      </c>
      <c r="E207" s="82">
        <f t="shared" ca="1" si="95"/>
        <v>2.9711932773468317</v>
      </c>
      <c r="F207" s="82">
        <f t="shared" ca="1" si="95"/>
        <v>3.0000965256634191</v>
      </c>
      <c r="G207" s="82">
        <f t="shared" ca="1" si="95"/>
        <v>3.0286670656760664</v>
      </c>
      <c r="H207" s="82">
        <f t="shared" ca="1" si="95"/>
        <v>3.0596638069321678</v>
      </c>
      <c r="I207" s="82">
        <f t="shared" ca="1" si="95"/>
        <v>3.0880570539033609</v>
      </c>
    </row>
    <row r="208" spans="1:9" outlineLevel="1">
      <c r="A208" t="s">
        <v>158</v>
      </c>
      <c r="B208" s="82">
        <f t="shared" ref="B208:I208" ca="1" si="96">+B70</f>
        <v>0</v>
      </c>
      <c r="C208" s="82">
        <f t="shared" ca="1" si="96"/>
        <v>0</v>
      </c>
      <c r="D208" s="82">
        <f t="shared" ca="1" si="96"/>
        <v>2.9400000000000004</v>
      </c>
      <c r="E208" s="82">
        <f t="shared" ca="1" si="96"/>
        <v>3.0234376028004624</v>
      </c>
      <c r="F208" s="82">
        <f t="shared" ca="1" si="96"/>
        <v>3.1066812717804781</v>
      </c>
      <c r="G208" s="82">
        <f t="shared" ca="1" si="96"/>
        <v>3.1971788314096408</v>
      </c>
      <c r="H208" s="82">
        <f t="shared" ca="1" si="96"/>
        <v>3.2937391388306265</v>
      </c>
      <c r="I208" s="82">
        <f t="shared" ca="1" si="96"/>
        <v>3.3914570577475649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35" priority="1" stopIfTrue="1" operator="notEqual">
      <formula>0</formula>
    </cfRule>
  </conditionalFormatting>
  <conditionalFormatting sqref="J130 J94 J70 J59 J48 J36:J37 J14 J25">
    <cfRule type="cellIs" dxfId="334" priority="2" stopIfTrue="1" operator="equal">
      <formula>"OK"</formula>
    </cfRule>
    <cfRule type="cellIs" dxfId="333" priority="3" stopIfTrue="1" operator="equal">
      <formula>"Warning Check Escalations"</formula>
    </cfRule>
  </conditionalFormatting>
  <conditionalFormatting sqref="N120:T120 N84:T84">
    <cfRule type="cellIs" dxfId="332" priority="4" stopIfTrue="1" operator="notEqual">
      <formula>0</formula>
    </cfRule>
    <cfRule type="cellIs" dxfId="33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3"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4.xml><?xml version="1.0" encoding="utf-8"?>
<worksheet xmlns="http://schemas.openxmlformats.org/spreadsheetml/2006/main" xmlns:r="http://schemas.openxmlformats.org/officeDocument/2006/relationships">
  <sheetPr codeName="Sheet67" enableFormatConditionsCalculation="0">
    <tabColor indexed="57"/>
    <pageSetUpPr fitToPage="1"/>
  </sheetPr>
  <dimension ref="A1:T239"/>
  <sheetViews>
    <sheetView showGridLines="0" topLeftCell="A68" zoomScaleNormal="100" workbookViewId="0">
      <selection activeCell="J123" sqref="J123"/>
    </sheetView>
  </sheetViews>
  <sheetFormatPr defaultRowHeight="12.75" outlineLevelRow="2"/>
  <cols>
    <col min="1" max="1" width="30" customWidth="1"/>
    <col min="2" max="2" width="22.28515625" customWidth="1"/>
    <col min="3"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11</v>
      </c>
      <c r="M1" s="282"/>
      <c r="N1" s="280"/>
      <c r="O1" s="280"/>
      <c r="P1" s="280"/>
      <c r="Q1" s="280"/>
      <c r="R1" s="280"/>
      <c r="S1" s="280"/>
      <c r="T1" s="280"/>
    </row>
    <row r="2" spans="1:20" ht="15.75">
      <c r="A2" s="184" t="s">
        <v>121</v>
      </c>
      <c r="B2" s="74" t="str">
        <f ca="1">OFFSET(List_AllocOpexListStart,+$K$1,1)</f>
        <v>Operational Finance</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1.202</v>
      </c>
      <c r="E8" s="285">
        <f ca="1">OFFSET(Future_AOpexStart,MATCH($K$1,'I-6 Future A'!$A$6:$A$379)+2,+'I-5 Future DA'!F$5)</f>
        <v>1.202</v>
      </c>
      <c r="F8" s="285">
        <f ca="1">OFFSET(Future_AOpexStart,MATCH($K$1,'I-6 Future A'!$A$6:$A$379)+2,+'I-5 Future DA'!G$5)</f>
        <v>1.202</v>
      </c>
      <c r="G8" s="285">
        <f ca="1">OFFSET(Future_AOpexStart,MATCH($K$1,'I-6 Future A'!$A$6:$A$379)+2,+'I-5 Future DA'!H$5)</f>
        <v>1.202</v>
      </c>
      <c r="H8" s="285">
        <f ca="1">OFFSET(Future_AOpexStart,MATCH($K$1,'I-6 Future A'!$A$6:$A$379)+2,+'I-5 Future DA'!I$5)</f>
        <v>1.202</v>
      </c>
      <c r="I8" s="285">
        <f ca="1">OFFSET(Future_AOpexStart,MATCH($K$1,'I-6 Future A'!$A$6:$A$379)+2,+'I-5 Future DA'!J$5)</f>
        <v>1.202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8.0000000000000002E-3</v>
      </c>
      <c r="E9" s="285">
        <f ca="1">OFFSET(Future_AOpexStart,MATCH($K$1,'I-6 Future A'!$A$6:$A$379)+3,+'I-5 Future DA'!F$5)</f>
        <v>8.0000000000000002E-3</v>
      </c>
      <c r="F9" s="285">
        <f ca="1">OFFSET(Future_AOpexStart,MATCH($K$1,'I-6 Future A'!$A$6:$A$379)+3,+'I-5 Future DA'!G$5)</f>
        <v>8.0000000000000002E-3</v>
      </c>
      <c r="G9" s="285">
        <f ca="1">OFFSET(Future_AOpexStart,MATCH($K$1,'I-6 Future A'!$A$6:$A$379)+3,+'I-5 Future DA'!H$5)</f>
        <v>8.0000000000000002E-3</v>
      </c>
      <c r="H9" s="285">
        <f ca="1">OFFSET(Future_AOpexStart,MATCH($K$1,'I-6 Future A'!$A$6:$A$379)+3,+'I-5 Future DA'!I$5)</f>
        <v>8.0000000000000002E-3</v>
      </c>
      <c r="I9" s="285">
        <f ca="1">OFFSET(Future_AOpexStart,MATCH($K$1,'I-6 Future A'!$A$6:$A$379)+3,+'I-5 Future DA'!J$5)</f>
        <v>8.0000000000000002E-3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4.8000000000000001E-2</v>
      </c>
      <c r="E11" s="285">
        <f ca="1">OFFSET(Future_AOpexStart,MATCH($K$1,'I-6 Future A'!$A$6:$A$379)+5,+'I-5 Future DA'!F$5)</f>
        <v>4.8000000000000001E-2</v>
      </c>
      <c r="F11" s="285">
        <f ca="1">OFFSET(Future_AOpexStart,MATCH($K$1,'I-6 Future A'!$A$6:$A$379)+5,+'I-5 Future DA'!G$5)</f>
        <v>4.8000000000000001E-2</v>
      </c>
      <c r="G11" s="285">
        <f ca="1">OFFSET(Future_AOpexStart,MATCH($K$1,'I-6 Future A'!$A$6:$A$379)+5,+'I-5 Future DA'!H$5)</f>
        <v>4.8000000000000001E-2</v>
      </c>
      <c r="H11" s="285">
        <f ca="1">OFFSET(Future_AOpexStart,MATCH($K$1,'I-6 Future A'!$A$6:$A$379)+5,+'I-5 Future DA'!I$5)</f>
        <v>4.8000000000000001E-2</v>
      </c>
      <c r="I11" s="285">
        <f ca="1">OFFSET(Future_AOpexStart,MATCH($K$1,'I-6 Future A'!$A$6:$A$379)+5,+'I-5 Future DA'!J$5)</f>
        <v>4.8000000000000001E-2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1.258</v>
      </c>
      <c r="E14" s="287">
        <f t="shared" ca="1" si="0"/>
        <v>1.258</v>
      </c>
      <c r="F14" s="287">
        <f t="shared" ca="1" si="0"/>
        <v>1.258</v>
      </c>
      <c r="G14" s="287">
        <f t="shared" ca="1" si="0"/>
        <v>1.258</v>
      </c>
      <c r="H14" s="287">
        <f t="shared" ca="1" si="0"/>
        <v>1.258</v>
      </c>
      <c r="I14" s="287">
        <f t="shared" ca="1" si="0"/>
        <v>1.258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+'A-11'!B8+'A-11'!B19</f>
        <v>0</v>
      </c>
      <c r="C30" s="285">
        <f ca="1">+'A-11'!C8+'A-11'!C19</f>
        <v>0</v>
      </c>
      <c r="D30" s="285">
        <f ca="1">+'A-11'!D8+'A-11'!D19</f>
        <v>1.202</v>
      </c>
      <c r="E30" s="285">
        <f ca="1">+'A-11'!E8+'A-11'!E19</f>
        <v>1.202</v>
      </c>
      <c r="F30" s="285">
        <f ca="1">+'A-11'!F8+'A-11'!F19</f>
        <v>1.202</v>
      </c>
      <c r="G30" s="285">
        <f ca="1">+'A-11'!G8+'A-11'!G19</f>
        <v>1.202</v>
      </c>
      <c r="H30" s="285">
        <f ca="1">+'A-11'!H8+'A-11'!H19</f>
        <v>1.202</v>
      </c>
      <c r="I30" s="285">
        <f ca="1">+'A-11'!I8+'A-11'!I19</f>
        <v>1.202</v>
      </c>
      <c r="J30" s="42"/>
      <c r="K30" s="21"/>
      <c r="L30" s="21"/>
    </row>
    <row r="31" spans="1:12" outlineLevel="2">
      <c r="A31" s="61" t="s">
        <v>69</v>
      </c>
      <c r="B31" s="285">
        <f ca="1">+'A-11'!B9+'A-11'!B20</f>
        <v>0</v>
      </c>
      <c r="C31" s="285">
        <f ca="1">+'A-11'!C9+'A-11'!C20</f>
        <v>0</v>
      </c>
      <c r="D31" s="285">
        <f ca="1">+'A-11'!D9+'A-11'!D20</f>
        <v>8.0000000000000002E-3</v>
      </c>
      <c r="E31" s="285">
        <f ca="1">+'A-11'!E9+'A-11'!E20</f>
        <v>8.0000000000000002E-3</v>
      </c>
      <c r="F31" s="285">
        <f ca="1">+'A-11'!F9+'A-11'!F20</f>
        <v>8.0000000000000002E-3</v>
      </c>
      <c r="G31" s="285">
        <f ca="1">+'A-11'!G9+'A-11'!G20</f>
        <v>8.0000000000000002E-3</v>
      </c>
      <c r="H31" s="285">
        <f ca="1">+'A-11'!H9+'A-11'!H20</f>
        <v>8.0000000000000002E-3</v>
      </c>
      <c r="I31" s="285">
        <f ca="1">+'A-11'!I9+'A-11'!I20</f>
        <v>8.0000000000000002E-3</v>
      </c>
      <c r="J31" s="42"/>
      <c r="K31" s="21"/>
      <c r="L31" s="21"/>
    </row>
    <row r="32" spans="1:12" s="759" customFormat="1" outlineLevel="2">
      <c r="A32" s="61" t="s">
        <v>646</v>
      </c>
      <c r="B32" s="285">
        <f ca="1">+'A-11'!B10+'A-11'!B21</f>
        <v>0</v>
      </c>
      <c r="C32" s="285">
        <f ca="1">+'A-11'!C10+'A-11'!C21</f>
        <v>0</v>
      </c>
      <c r="D32" s="285">
        <f ca="1">+'A-11'!D10+'A-11'!D21</f>
        <v>0</v>
      </c>
      <c r="E32" s="285">
        <f ca="1">+'A-11'!E10+'A-11'!E21</f>
        <v>0</v>
      </c>
      <c r="F32" s="285">
        <f ca="1">+'A-11'!F10+'A-11'!F21</f>
        <v>0</v>
      </c>
      <c r="G32" s="285">
        <f ca="1">+'A-11'!G10+'A-11'!G21</f>
        <v>0</v>
      </c>
      <c r="H32" s="285">
        <f ca="1">+'A-11'!H10+'A-11'!H21</f>
        <v>0</v>
      </c>
      <c r="I32" s="285">
        <f ca="1">+'A-11'!I10+'A-11'!I21</f>
        <v>0</v>
      </c>
      <c r="J32" s="42"/>
      <c r="K32" s="732"/>
      <c r="L32" s="732"/>
    </row>
    <row r="33" spans="1:12" outlineLevel="2">
      <c r="A33" s="61" t="s">
        <v>647</v>
      </c>
      <c r="B33" s="285">
        <f ca="1">+'A-11'!B11+'A-11'!B22</f>
        <v>0</v>
      </c>
      <c r="C33" s="285">
        <f ca="1">+'A-11'!C11+'A-11'!C22</f>
        <v>0</v>
      </c>
      <c r="D33" s="285">
        <f ca="1">+'A-11'!D11+'A-11'!D22</f>
        <v>4.8000000000000001E-2</v>
      </c>
      <c r="E33" s="285">
        <f ca="1">+'A-11'!E11+'A-11'!E22</f>
        <v>4.8000000000000001E-2</v>
      </c>
      <c r="F33" s="285">
        <f ca="1">+'A-11'!F11+'A-11'!F22</f>
        <v>4.8000000000000001E-2</v>
      </c>
      <c r="G33" s="285">
        <f ca="1">+'A-11'!G11+'A-11'!G22</f>
        <v>4.8000000000000001E-2</v>
      </c>
      <c r="H33" s="285">
        <f ca="1">+'A-11'!H11+'A-11'!H22</f>
        <v>4.8000000000000001E-2</v>
      </c>
      <c r="I33" s="285">
        <f ca="1">+'A-11'!I11+'A-11'!I22</f>
        <v>4.8000000000000001E-2</v>
      </c>
      <c r="J33" s="42"/>
      <c r="K33" s="21"/>
      <c r="L33" s="21"/>
    </row>
    <row r="34" spans="1:12" s="759" customFormat="1" outlineLevel="2">
      <c r="A34" s="61" t="s">
        <v>575</v>
      </c>
      <c r="B34" s="285">
        <f ca="1">+'A-11'!B12+'A-11'!B23</f>
        <v>0</v>
      </c>
      <c r="C34" s="285">
        <f ca="1">+'A-11'!C12+'A-11'!C23</f>
        <v>0</v>
      </c>
      <c r="D34" s="285">
        <f ca="1">+'A-11'!D12+'A-11'!D23</f>
        <v>0</v>
      </c>
      <c r="E34" s="285">
        <f ca="1">+'A-11'!E12+'A-11'!E23</f>
        <v>0</v>
      </c>
      <c r="F34" s="285">
        <f ca="1">+'A-11'!F12+'A-11'!F23</f>
        <v>0</v>
      </c>
      <c r="G34" s="285">
        <f ca="1">+'A-11'!G12+'A-11'!G23</f>
        <v>0</v>
      </c>
      <c r="H34" s="285">
        <f ca="1">+'A-11'!H12+'A-11'!H23</f>
        <v>0</v>
      </c>
      <c r="I34" s="285">
        <f ca="1">+'A-11'!I12+'A-11'!I23</f>
        <v>0</v>
      </c>
      <c r="J34" s="42"/>
      <c r="K34" s="732"/>
      <c r="L34" s="732"/>
    </row>
    <row r="35" spans="1:12" ht="13.5" outlineLevel="2" thickBot="1">
      <c r="A35" s="83" t="s">
        <v>70</v>
      </c>
      <c r="B35" s="285">
        <f ca="1">+'A-11'!B13+'A-11'!B24</f>
        <v>0</v>
      </c>
      <c r="C35" s="285">
        <f ca="1">+'A-11'!C13+'A-11'!C24</f>
        <v>0</v>
      </c>
      <c r="D35" s="285">
        <f ca="1">+'A-11'!D13+'A-11'!D24</f>
        <v>0</v>
      </c>
      <c r="E35" s="285">
        <f ca="1">+'A-11'!E13+'A-11'!E24</f>
        <v>0</v>
      </c>
      <c r="F35" s="285">
        <f ca="1">+'A-11'!F13+'A-11'!F24</f>
        <v>0</v>
      </c>
      <c r="G35" s="285">
        <f ca="1">+'A-11'!G13+'A-11'!G24</f>
        <v>0</v>
      </c>
      <c r="H35" s="285">
        <f ca="1">+'A-11'!H13+'A-11'!H24</f>
        <v>0</v>
      </c>
      <c r="I35" s="285">
        <f ca="1">+'A-11'!I13+'A-11'!I24</f>
        <v>0</v>
      </c>
      <c r="J35" s="93"/>
      <c r="K35" s="21"/>
      <c r="L35" s="21"/>
    </row>
    <row r="36" spans="1:12" s="87" customFormat="1" ht="20.25" customHeight="1" thickBot="1">
      <c r="A36" s="94" t="s">
        <v>128</v>
      </c>
      <c r="B36" s="294">
        <f t="shared" ref="B36:I36" ca="1" si="7">SUM(B30:B35)</f>
        <v>0</v>
      </c>
      <c r="C36" s="294">
        <f t="shared" ca="1" si="7"/>
        <v>0</v>
      </c>
      <c r="D36" s="294">
        <f t="shared" ca="1" si="7"/>
        <v>1.258</v>
      </c>
      <c r="E36" s="294">
        <f t="shared" ca="1" si="7"/>
        <v>1.258</v>
      </c>
      <c r="F36" s="294">
        <f t="shared" ca="1" si="7"/>
        <v>1.258</v>
      </c>
      <c r="G36" s="294">
        <f t="shared" ca="1" si="7"/>
        <v>1.258</v>
      </c>
      <c r="H36" s="294">
        <f t="shared" ca="1" si="7"/>
        <v>1.258</v>
      </c>
      <c r="I36" s="294">
        <f t="shared" ca="1" si="7"/>
        <v>1.258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1.2753169854044615E-2</v>
      </c>
      <c r="F42" s="285">
        <f t="shared" ca="1" si="8"/>
        <v>2.4570076138581323E-2</v>
      </c>
      <c r="G42" s="285">
        <f t="shared" ca="1" si="8"/>
        <v>3.6250956783207854E-2</v>
      </c>
      <c r="H42" s="285">
        <f t="shared" ca="1" si="8"/>
        <v>4.8923774126688822E-2</v>
      </c>
      <c r="I42" s="285">
        <f t="shared" ca="1" si="8"/>
        <v>6.0532169657088214E-2</v>
      </c>
      <c r="K42" s="63"/>
      <c r="L42" s="63"/>
    </row>
    <row r="43" spans="1:12" outlineLevel="1">
      <c r="A43" s="61" t="s">
        <v>69</v>
      </c>
      <c r="B43" s="82"/>
      <c r="C43" s="285">
        <f t="shared" ca="1" si="8"/>
        <v>0</v>
      </c>
      <c r="D43" s="285">
        <f t="shared" ca="1" si="8"/>
        <v>0</v>
      </c>
      <c r="E43" s="285">
        <f t="shared" ca="1" si="8"/>
        <v>8.4879666249880974E-5</v>
      </c>
      <c r="F43" s="285">
        <f t="shared" ca="1" si="8"/>
        <v>1.6352796098889399E-4</v>
      </c>
      <c r="G43" s="285">
        <f t="shared" ca="1" si="8"/>
        <v>2.4127092700970289E-4</v>
      </c>
      <c r="H43" s="285">
        <f t="shared" ca="1" si="8"/>
        <v>3.2561580117596554E-4</v>
      </c>
      <c r="I43" s="285">
        <f t="shared" ca="1" si="8"/>
        <v>4.0287633715200145E-4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5.0927799749928579E-4</v>
      </c>
      <c r="F45" s="285">
        <f t="shared" ca="1" si="10"/>
        <v>9.8116776593336406E-4</v>
      </c>
      <c r="G45" s="285">
        <f t="shared" ca="1" si="10"/>
        <v>1.4476255620582174E-3</v>
      </c>
      <c r="H45" s="285">
        <f t="shared" ca="1" si="10"/>
        <v>1.9536948070557935E-3</v>
      </c>
      <c r="I45" s="285">
        <f t="shared" ca="1" si="10"/>
        <v>2.4172580229120085E-3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1.3347327517793781E-2</v>
      </c>
      <c r="F48" s="294">
        <f t="shared" ca="1" si="13"/>
        <v>2.5714771865503579E-2</v>
      </c>
      <c r="G48" s="294">
        <f t="shared" ca="1" si="13"/>
        <v>3.7939853272275774E-2</v>
      </c>
      <c r="H48" s="294">
        <f t="shared" ca="1" si="13"/>
        <v>5.1203084734920586E-2</v>
      </c>
      <c r="I48" s="294">
        <f t="shared" ca="1" si="13"/>
        <v>6.3352304017152222E-2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2.6066132098572961E-2</v>
      </c>
      <c r="F53" s="285">
        <f t="shared" ca="1" si="14"/>
        <v>5.3204164942326271E-2</v>
      </c>
      <c r="G53" s="285">
        <f t="shared" ca="1" si="14"/>
        <v>8.2952772868678359E-2</v>
      </c>
      <c r="H53" s="285">
        <f t="shared" ca="1" si="14"/>
        <v>0.11401158580428963</v>
      </c>
      <c r="I53" s="285">
        <f t="shared" ca="1" si="14"/>
        <v>0.1462498840836319</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2.4254638998749128E-4</v>
      </c>
      <c r="F56" s="285">
        <f t="shared" ca="1" si="16"/>
        <v>4.9103620685346863E-4</v>
      </c>
      <c r="G56" s="285">
        <f t="shared" ca="1" si="16"/>
        <v>9.4520248833447032E-4</v>
      </c>
      <c r="H56" s="285">
        <f t="shared" ca="1" si="16"/>
        <v>1.4894161105083582E-3</v>
      </c>
      <c r="I56" s="285">
        <f t="shared" ca="1" si="16"/>
        <v>2.1522438774578415E-3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2.6308678488560451E-2</v>
      </c>
      <c r="F59" s="287">
        <f t="shared" ca="1" si="19"/>
        <v>5.3695201149179736E-2</v>
      </c>
      <c r="G59" s="287">
        <f t="shared" ca="1" si="19"/>
        <v>8.3897975357012836E-2</v>
      </c>
      <c r="H59" s="287">
        <f t="shared" ca="1" si="19"/>
        <v>0.11550100191479799</v>
      </c>
      <c r="I59" s="287">
        <f t="shared" ca="1" si="19"/>
        <v>0.14840212796108976</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1.202</v>
      </c>
      <c r="E64" s="285">
        <f t="shared" ca="1" si="20"/>
        <v>1.2408193019526175</v>
      </c>
      <c r="F64" s="285">
        <f t="shared" ca="1" si="20"/>
        <v>1.2797742410809076</v>
      </c>
      <c r="G64" s="285">
        <f t="shared" ca="1" si="20"/>
        <v>1.3212037296518861</v>
      </c>
      <c r="H64" s="285">
        <f t="shared" ca="1" si="20"/>
        <v>1.3649353599309784</v>
      </c>
      <c r="I64" s="285">
        <f t="shared" ca="1" si="20"/>
        <v>1.4087820537407201</v>
      </c>
      <c r="K64" s="63"/>
      <c r="L64" s="63"/>
    </row>
    <row r="65" spans="1:20" ht="12.75" customHeight="1" outlineLevel="1">
      <c r="A65" s="61" t="s">
        <v>69</v>
      </c>
      <c r="B65" s="285">
        <f t="shared" ca="1" si="20"/>
        <v>0</v>
      </c>
      <c r="C65" s="285">
        <f t="shared" ca="1" si="20"/>
        <v>0</v>
      </c>
      <c r="D65" s="285">
        <f t="shared" ca="1" si="20"/>
        <v>8.0000000000000002E-3</v>
      </c>
      <c r="E65" s="285">
        <f t="shared" ca="1" si="20"/>
        <v>8.0848796662498813E-3</v>
      </c>
      <c r="F65" s="285">
        <f t="shared" ca="1" si="20"/>
        <v>8.1635279609888946E-3</v>
      </c>
      <c r="G65" s="285">
        <f t="shared" ca="1" si="20"/>
        <v>8.2412709270097036E-3</v>
      </c>
      <c r="H65" s="285">
        <f t="shared" ca="1" si="20"/>
        <v>8.3256158011759656E-3</v>
      </c>
      <c r="I65" s="285">
        <f t="shared" ca="1" si="20"/>
        <v>8.4028763371520009E-3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4.8000000000000001E-2</v>
      </c>
      <c r="E67" s="285">
        <f t="shared" ca="1" si="22"/>
        <v>4.8751824387486778E-2</v>
      </c>
      <c r="F67" s="285">
        <f t="shared" ca="1" si="22"/>
        <v>4.947220397278683E-2</v>
      </c>
      <c r="G67" s="285">
        <f t="shared" ca="1" si="22"/>
        <v>5.0392828050392691E-2</v>
      </c>
      <c r="H67" s="285">
        <f t="shared" ca="1" si="22"/>
        <v>5.1443110917564157E-2</v>
      </c>
      <c r="I67" s="285">
        <f t="shared" ca="1" si="22"/>
        <v>5.2569501900369853E-2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1.258</v>
      </c>
      <c r="E70" s="295">
        <f t="shared" ca="1" si="25"/>
        <v>1.297656006006354</v>
      </c>
      <c r="F70" s="295">
        <f t="shared" ca="1" si="25"/>
        <v>1.3374099730146833</v>
      </c>
      <c r="G70" s="295">
        <f t="shared" ca="1" si="25"/>
        <v>1.3798378286292885</v>
      </c>
      <c r="H70" s="295">
        <f t="shared" ca="1" si="25"/>
        <v>1.4247040866497185</v>
      </c>
      <c r="I70" s="295">
        <f t="shared" ca="1" si="25"/>
        <v>1.4697544319782418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1.2753169854044615E-2</v>
      </c>
      <c r="Q77" s="285">
        <f ca="1">IF($B77&lt;&gt;0,(+VLOOKUP($B77,$A$8:$I$13,6,FALSE))*(F77),0)</f>
        <v>2.4570076138581323E-2</v>
      </c>
      <c r="R77" s="285">
        <f ca="1">IF($B77&lt;&gt;0,(+VLOOKUP($B77,$A$8:$I$13,7,FALSE))*(G77),0)</f>
        <v>3.6250956783207854E-2</v>
      </c>
      <c r="S77" s="285">
        <f ca="1">IF($B77&lt;&gt;0,(+VLOOKUP($B77,$A$8:$I$13,8,FALSE))*(H77),0)</f>
        <v>4.8923774126688822E-2</v>
      </c>
      <c r="T77" s="285">
        <f ca="1">IF($B77&lt;&gt;0,(+VLOOKUP($B77,$A$8:$I$13,9,FALSE))*(I77),0)</f>
        <v>6.0532169657088214E-2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8.4879666249880974E-5</v>
      </c>
      <c r="Q78" s="285">
        <f ca="1">IF($B78&lt;&gt;0,(+VLOOKUP($B78,$A$8:$I$13,6,FALSE))*(F78),0)</f>
        <v>1.6352796098889399E-4</v>
      </c>
      <c r="R78" s="285">
        <f ca="1">IF($B78&lt;&gt;0,(+VLOOKUP($B78,$A$8:$I$13,7,FALSE))*(G78),0)</f>
        <v>2.4127092700970289E-4</v>
      </c>
      <c r="S78" s="285">
        <f ca="1">IF($B78&lt;&gt;0,(+VLOOKUP($B78,$A$8:$I$13,8,FALSE))*(H78),0)</f>
        <v>3.2561580117596554E-4</v>
      </c>
      <c r="T78" s="285">
        <f ca="1">IF($B78&lt;&gt;0,(+VLOOKUP($B78,$A$8:$I$13,9,FALSE))*(I78),0)</f>
        <v>4.0287633715200145E-4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5.0927799749928579E-4</v>
      </c>
      <c r="Q80" s="285">
        <f t="shared" ca="1" si="34"/>
        <v>9.8116776593336406E-4</v>
      </c>
      <c r="R80" s="285">
        <f t="shared" ca="1" si="35"/>
        <v>1.4476255620582174E-3</v>
      </c>
      <c r="S80" s="285">
        <f t="shared" ca="1" si="36"/>
        <v>1.9536948070557935E-3</v>
      </c>
      <c r="T80" s="285">
        <f t="shared" ca="1" si="37"/>
        <v>2.4172580229120085E-3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1.3347327517793781E-2</v>
      </c>
      <c r="Q83" s="292">
        <f t="shared" ca="1" si="51"/>
        <v>2.5714771865503579E-2</v>
      </c>
      <c r="R83" s="292">
        <f t="shared" ca="1" si="51"/>
        <v>3.7939853272275774E-2</v>
      </c>
      <c r="S83" s="292">
        <f t="shared" ca="1" si="51"/>
        <v>5.1203084734920586E-2</v>
      </c>
      <c r="T83" s="292">
        <f t="shared" ca="1" si="51"/>
        <v>6.3352304017152222E-2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1.2753169854044615E-2</v>
      </c>
      <c r="F98" s="285">
        <f t="shared" ca="1" si="54"/>
        <v>2.4570076138581323E-2</v>
      </c>
      <c r="G98" s="285">
        <f t="shared" ca="1" si="54"/>
        <v>3.6250956783207854E-2</v>
      </c>
      <c r="H98" s="285">
        <f t="shared" ca="1" si="54"/>
        <v>4.8923774126688822E-2</v>
      </c>
      <c r="I98" s="285">
        <f t="shared" ca="1" si="54"/>
        <v>6.0532169657088214E-2</v>
      </c>
    </row>
    <row r="99" spans="1:20" outlineLevel="1">
      <c r="A99" s="61" t="s">
        <v>69</v>
      </c>
      <c r="B99" s="119"/>
      <c r="C99" s="285">
        <f t="shared" ref="C99:I99" ca="1" si="55">+C9*(C87)</f>
        <v>0</v>
      </c>
      <c r="D99" s="285">
        <f t="shared" ca="1" si="55"/>
        <v>0</v>
      </c>
      <c r="E99" s="285">
        <f t="shared" ca="1" si="55"/>
        <v>8.4879666249880974E-5</v>
      </c>
      <c r="F99" s="285">
        <f t="shared" ca="1" si="55"/>
        <v>1.6352796098889399E-4</v>
      </c>
      <c r="G99" s="285">
        <f t="shared" ca="1" si="55"/>
        <v>2.4127092700970289E-4</v>
      </c>
      <c r="H99" s="285">
        <f t="shared" ca="1" si="55"/>
        <v>3.2561580117596554E-4</v>
      </c>
      <c r="I99" s="285">
        <f t="shared" ca="1" si="55"/>
        <v>4.0287633715200145E-4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5.0927799749928579E-4</v>
      </c>
      <c r="F101" s="285">
        <f t="shared" ca="1" si="57"/>
        <v>9.8116776593336406E-4</v>
      </c>
      <c r="G101" s="285">
        <f t="shared" ca="1" si="57"/>
        <v>1.4476255620582174E-3</v>
      </c>
      <c r="H101" s="285">
        <f t="shared" ca="1" si="57"/>
        <v>1.9536948070557935E-3</v>
      </c>
      <c r="I101" s="285">
        <f t="shared" ca="1" si="57"/>
        <v>2.4172580229120085E-3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1.3347327517793781E-2</v>
      </c>
      <c r="F104" s="296">
        <f t="shared" ca="1" si="60"/>
        <v>2.5714771865503579E-2</v>
      </c>
      <c r="G104" s="296">
        <f t="shared" ca="1" si="60"/>
        <v>3.7939853272275774E-2</v>
      </c>
      <c r="H104" s="296">
        <f t="shared" ca="1" si="60"/>
        <v>5.1203084734920586E-2</v>
      </c>
      <c r="I104" s="296">
        <f t="shared" ca="1" si="60"/>
        <v>6.3352304017152222E-2</v>
      </c>
    </row>
    <row r="105" spans="1:20" ht="13.5" outlineLevel="1" thickBot="1">
      <c r="A105" s="122" t="s">
        <v>143</v>
      </c>
      <c r="B105" s="123"/>
      <c r="C105" s="124">
        <f t="shared" ref="C105:I105" ca="1" si="61">IF(C36&lt;&gt;0,+C104/C36,0)</f>
        <v>0</v>
      </c>
      <c r="D105" s="124">
        <f t="shared" ca="1" si="61"/>
        <v>0</v>
      </c>
      <c r="E105" s="124">
        <f t="shared" ca="1" si="61"/>
        <v>1.0609958281235119E-2</v>
      </c>
      <c r="F105" s="124">
        <f t="shared" ca="1" si="61"/>
        <v>2.0440995123611749E-2</v>
      </c>
      <c r="G105" s="124">
        <f t="shared" ca="1" si="61"/>
        <v>3.0158865876212856E-2</v>
      </c>
      <c r="H105" s="124">
        <f t="shared" ca="1" si="61"/>
        <v>4.0701975146995695E-2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2.6066132098572961E-2</v>
      </c>
      <c r="Q113" s="285">
        <f ca="1">IF($B113&lt;&gt;0,(+VLOOKUP($B113,$A$8:$I$13,6,FALSE)+VLOOKUP($B113,$A$42:$I$47,6,FALSE))*(F113),0)</f>
        <v>5.3204164942326271E-2</v>
      </c>
      <c r="R113" s="285">
        <f ca="1">IF($B113&lt;&gt;0,(+VLOOKUP($B113,$A$8:$I$13,7,FALSE)+VLOOKUP($B113,$A$42:$I$47,7,FALSE))*(G113),0)</f>
        <v>8.2952772868678359E-2</v>
      </c>
      <c r="S113" s="285">
        <f ca="1">IF($B113&lt;&gt;0,(+VLOOKUP($B113,$A$8:$I$13,8,FALSE)+VLOOKUP($B113,$A$42:$I$47,8,FALSE))*(H113),0)</f>
        <v>0.11401158580428963</v>
      </c>
      <c r="T113" s="285">
        <f ca="1">IF($B113&lt;&gt;0,(+VLOOKUP($B113,$A$8:$I$13,9,FALSE)+VLOOKUP($B113,$A$42:$I$47,9,FALSE))*(I113),0)</f>
        <v>0.1462498840836319</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2.4254638998749128E-4</v>
      </c>
      <c r="Q116" s="285">
        <f t="shared" ca="1" si="68"/>
        <v>4.9103620685346863E-4</v>
      </c>
      <c r="R116" s="285">
        <f t="shared" ca="1" si="69"/>
        <v>9.4520248833447032E-4</v>
      </c>
      <c r="S116" s="285">
        <f t="shared" ca="1" si="70"/>
        <v>1.4894161105083582E-3</v>
      </c>
      <c r="T116" s="285">
        <f t="shared" ca="1" si="71"/>
        <v>2.1522438774578415E-3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2.6308678488560451E-2</v>
      </c>
      <c r="Q119" s="292">
        <f t="shared" ca="1" si="72"/>
        <v>5.3695201149179736E-2</v>
      </c>
      <c r="R119" s="292">
        <f t="shared" ca="1" si="72"/>
        <v>8.3897975357012836E-2</v>
      </c>
      <c r="S119" s="292">
        <f t="shared" ca="1" si="72"/>
        <v>0.11550100191479799</v>
      </c>
      <c r="T119" s="292">
        <f t="shared" ca="1" si="72"/>
        <v>0.14840212796108976</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2.6066132098572961E-2</v>
      </c>
      <c r="F134" s="285">
        <f t="shared" ca="1" si="75"/>
        <v>5.3204164942326271E-2</v>
      </c>
      <c r="G134" s="285">
        <f t="shared" ca="1" si="75"/>
        <v>8.2952772868678359E-2</v>
      </c>
      <c r="H134" s="285">
        <f t="shared" ca="1" si="75"/>
        <v>0.11401158580428963</v>
      </c>
      <c r="I134" s="285">
        <f t="shared" ca="1" si="75"/>
        <v>0.1462498840836319</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2.4254638998749128E-4</v>
      </c>
      <c r="F137" s="285">
        <f t="shared" ca="1" si="78"/>
        <v>4.9103620685346863E-4</v>
      </c>
      <c r="G137" s="285">
        <f t="shared" ca="1" si="78"/>
        <v>9.4520248833447032E-4</v>
      </c>
      <c r="H137" s="285">
        <f t="shared" ca="1" si="78"/>
        <v>1.4894161105083582E-3</v>
      </c>
      <c r="I137" s="285">
        <f t="shared" ca="1" si="78"/>
        <v>2.1522438774578415E-3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2.6308678488560451E-2</v>
      </c>
      <c r="F140" s="296">
        <f t="shared" ca="1" si="81"/>
        <v>5.3695201149179736E-2</v>
      </c>
      <c r="G140" s="296">
        <f t="shared" ca="1" si="81"/>
        <v>8.3897975357012836E-2</v>
      </c>
      <c r="H140" s="296">
        <f t="shared" ca="1" si="81"/>
        <v>0.11550100191479799</v>
      </c>
      <c r="I140" s="296">
        <f t="shared" ca="1" si="81"/>
        <v>0.14840212796108976</v>
      </c>
    </row>
    <row r="141" spans="1:16" ht="13.5" outlineLevel="1" thickBot="1">
      <c r="A141" s="122" t="s">
        <v>148</v>
      </c>
      <c r="B141" s="126"/>
      <c r="C141" s="124">
        <f t="shared" ref="C141:I141" ca="1" si="82">IF((+C36+C48)&lt;&gt;0,+C140/(+C36+C48),0)</f>
        <v>0</v>
      </c>
      <c r="D141" s="124">
        <f t="shared" ca="1" si="82"/>
        <v>0</v>
      </c>
      <c r="E141" s="124">
        <f t="shared" ca="1" si="82"/>
        <v>2.0693541347136104E-2</v>
      </c>
      <c r="F141" s="124">
        <f t="shared" ca="1" si="82"/>
        <v>4.1827984164386829E-2</v>
      </c>
      <c r="G141" s="124">
        <f t="shared" ca="1" si="82"/>
        <v>6.4739096606349952E-2</v>
      </c>
      <c r="H141" s="124">
        <f t="shared" ca="1" si="82"/>
        <v>8.8222372267159704E-2</v>
      </c>
      <c r="I141" s="124">
        <f t="shared" ca="1" si="82"/>
        <v>0.1123107951678899</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(SEM)'!$N$97:$R$102</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1.258</v>
      </c>
      <c r="E205" s="82">
        <f t="shared" ca="1" si="95"/>
        <v>1.258</v>
      </c>
      <c r="F205" s="82">
        <f t="shared" ca="1" si="95"/>
        <v>1.258</v>
      </c>
      <c r="G205" s="82">
        <f t="shared" ca="1" si="95"/>
        <v>1.258</v>
      </c>
      <c r="H205" s="82">
        <f t="shared" ca="1" si="95"/>
        <v>1.258</v>
      </c>
      <c r="I205" s="82">
        <f t="shared" ca="1" si="95"/>
        <v>1.258</v>
      </c>
    </row>
    <row r="206" spans="1:9" outlineLevel="1">
      <c r="A206" t="s">
        <v>156</v>
      </c>
      <c r="B206" s="82">
        <f t="shared" ref="B206:I206" ca="1" si="96">+B36</f>
        <v>0</v>
      </c>
      <c r="C206" s="82">
        <f t="shared" ca="1" si="96"/>
        <v>0</v>
      </c>
      <c r="D206" s="82">
        <f t="shared" ca="1" si="96"/>
        <v>1.258</v>
      </c>
      <c r="E206" s="82">
        <f t="shared" ca="1" si="96"/>
        <v>1.258</v>
      </c>
      <c r="F206" s="82">
        <f t="shared" ca="1" si="96"/>
        <v>1.258</v>
      </c>
      <c r="G206" s="82">
        <f t="shared" ca="1" si="96"/>
        <v>1.258</v>
      </c>
      <c r="H206" s="82">
        <f t="shared" ca="1" si="96"/>
        <v>1.258</v>
      </c>
      <c r="I206" s="82">
        <f t="shared" ca="1" si="96"/>
        <v>1.258</v>
      </c>
    </row>
    <row r="207" spans="1:9" outlineLevel="1">
      <c r="A207" t="s">
        <v>157</v>
      </c>
      <c r="B207" s="82">
        <f t="shared" ref="B207:I207" ca="1" si="97">+B36+B48</f>
        <v>0</v>
      </c>
      <c r="C207" s="82">
        <f t="shared" ca="1" si="97"/>
        <v>0</v>
      </c>
      <c r="D207" s="82">
        <f t="shared" ca="1" si="97"/>
        <v>1.258</v>
      </c>
      <c r="E207" s="82">
        <f t="shared" ca="1" si="97"/>
        <v>1.2713473275177938</v>
      </c>
      <c r="F207" s="82">
        <f t="shared" ca="1" si="97"/>
        <v>1.2837147718655035</v>
      </c>
      <c r="G207" s="82">
        <f t="shared" ca="1" si="97"/>
        <v>1.2959398532722757</v>
      </c>
      <c r="H207" s="82">
        <f t="shared" ca="1" si="97"/>
        <v>1.3092030847349205</v>
      </c>
      <c r="I207" s="82">
        <f t="shared" ca="1" si="97"/>
        <v>1.3213523040171522</v>
      </c>
    </row>
    <row r="208" spans="1:9" outlineLevel="1">
      <c r="A208" t="s">
        <v>158</v>
      </c>
      <c r="B208" s="82">
        <f t="shared" ref="B208:I208" ca="1" si="98">+B70</f>
        <v>0</v>
      </c>
      <c r="C208" s="82">
        <f t="shared" ca="1" si="98"/>
        <v>0</v>
      </c>
      <c r="D208" s="82">
        <f t="shared" ca="1" si="98"/>
        <v>1.258</v>
      </c>
      <c r="E208" s="82">
        <f t="shared" ca="1" si="98"/>
        <v>1.297656006006354</v>
      </c>
      <c r="F208" s="82">
        <f t="shared" ca="1" si="98"/>
        <v>1.3374099730146833</v>
      </c>
      <c r="G208" s="82">
        <f t="shared" ca="1" si="98"/>
        <v>1.3798378286292885</v>
      </c>
      <c r="H208" s="82">
        <f t="shared" ca="1" si="98"/>
        <v>1.4247040866497185</v>
      </c>
      <c r="I208" s="82">
        <f t="shared" ca="1" si="98"/>
        <v>1.4697544319782418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30" priority="1" stopIfTrue="1" operator="notEqual">
      <formula>0</formula>
    </cfRule>
  </conditionalFormatting>
  <conditionalFormatting sqref="J130 J94 J70 J59 J48 J36:J37 J14 J25">
    <cfRule type="cellIs" dxfId="329" priority="2" stopIfTrue="1" operator="equal">
      <formula>"OK"</formula>
    </cfRule>
    <cfRule type="cellIs" dxfId="328" priority="3" stopIfTrue="1" operator="equal">
      <formula>"Warning Check Escalations"</formula>
    </cfRule>
  </conditionalFormatting>
  <conditionalFormatting sqref="N120:T120 N84:T84">
    <cfRule type="cellIs" dxfId="327" priority="4" stopIfTrue="1" operator="notEqual">
      <formula>0</formula>
    </cfRule>
    <cfRule type="cellIs" dxfId="32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3"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5.xml><?xml version="1.0" encoding="utf-8"?>
<worksheet xmlns="http://schemas.openxmlformats.org/spreadsheetml/2006/main" xmlns:r="http://schemas.openxmlformats.org/officeDocument/2006/relationships">
  <sheetPr codeName="Sheet68" enableFormatConditionsCalculation="0">
    <tabColor indexed="57"/>
    <pageSetUpPr fitToPage="1"/>
  </sheetPr>
  <dimension ref="A1:T239"/>
  <sheetViews>
    <sheetView showGridLines="0" topLeftCell="A71"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12</v>
      </c>
      <c r="M1" s="282"/>
      <c r="N1" s="280"/>
      <c r="O1" s="280"/>
      <c r="P1" s="280"/>
      <c r="Q1" s="280"/>
      <c r="R1" s="280"/>
      <c r="S1" s="280"/>
      <c r="T1" s="280"/>
    </row>
    <row r="2" spans="1:20" ht="15.75">
      <c r="A2" s="184" t="s">
        <v>121</v>
      </c>
      <c r="B2" s="74" t="str">
        <f ca="1">OFFSET(List_AllocOpexListStart,+$K$1,1)</f>
        <v>Regulatory Finance</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0.13600000000000001</v>
      </c>
      <c r="E8" s="285">
        <f ca="1">OFFSET(Future_AOpexStart,MATCH($K$1,'I-6 Future A'!$A$6:$A$379)+2,+'I-5 Future DA'!F$5)</f>
        <v>0.13600000000000001</v>
      </c>
      <c r="F8" s="285">
        <f ca="1">OFFSET(Future_AOpexStart,MATCH($K$1,'I-6 Future A'!$A$6:$A$379)+2,+'I-5 Future DA'!G$5)</f>
        <v>0.13600000000000001</v>
      </c>
      <c r="G8" s="285">
        <f ca="1">OFFSET(Future_AOpexStart,MATCH($K$1,'I-6 Future A'!$A$6:$A$379)+2,+'I-5 Future DA'!H$5)</f>
        <v>0.13600000000000001</v>
      </c>
      <c r="H8" s="285">
        <f ca="1">OFFSET(Future_AOpexStart,MATCH($K$1,'I-6 Future A'!$A$6:$A$379)+2,+'I-5 Future DA'!I$5)</f>
        <v>0.13600000000000001</v>
      </c>
      <c r="I8" s="285">
        <f ca="1">OFFSET(Future_AOpexStart,MATCH($K$1,'I-6 Future A'!$A$6:$A$379)+2,+'I-5 Future DA'!J$5)</f>
        <v>0.13600000000000001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0.13600000000000001</v>
      </c>
      <c r="E14" s="287">
        <f t="shared" ca="1" si="0"/>
        <v>0.13600000000000001</v>
      </c>
      <c r="F14" s="287">
        <f t="shared" ca="1" si="0"/>
        <v>0.13600000000000001</v>
      </c>
      <c r="G14" s="287">
        <f t="shared" ca="1" si="0"/>
        <v>0.13600000000000001</v>
      </c>
      <c r="H14" s="287">
        <f t="shared" ca="1" si="0"/>
        <v>0.13600000000000001</v>
      </c>
      <c r="I14" s="287">
        <f t="shared" ca="1" si="0"/>
        <v>0.13600000000000001</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+'A-12'!B8+'A-12'!B19</f>
        <v>0</v>
      </c>
      <c r="C30" s="285">
        <f ca="1">+'A-12'!C8+'A-12'!C19</f>
        <v>0</v>
      </c>
      <c r="D30" s="285">
        <f ca="1">+'A-12'!D8+'A-12'!D19</f>
        <v>0.13600000000000001</v>
      </c>
      <c r="E30" s="285">
        <f ca="1">+'A-12'!E8+'A-12'!E19</f>
        <v>0.13600000000000001</v>
      </c>
      <c r="F30" s="285">
        <f ca="1">+'A-12'!F8+'A-12'!F19</f>
        <v>0.13600000000000001</v>
      </c>
      <c r="G30" s="285">
        <f ca="1">+'A-12'!G8+'A-12'!G19</f>
        <v>0.13600000000000001</v>
      </c>
      <c r="H30" s="285">
        <f ca="1">+'A-12'!H8+'A-12'!H19</f>
        <v>0.13600000000000001</v>
      </c>
      <c r="I30" s="285">
        <f ca="1">+'A-12'!I8+'A-12'!I19</f>
        <v>0.13600000000000001</v>
      </c>
      <c r="J30" s="42"/>
      <c r="K30" s="21"/>
      <c r="L30" s="21"/>
    </row>
    <row r="31" spans="1:12" outlineLevel="2">
      <c r="A31" s="61" t="s">
        <v>69</v>
      </c>
      <c r="B31" s="285">
        <f ca="1">+'A-12'!B9+'A-12'!B20</f>
        <v>0</v>
      </c>
      <c r="C31" s="285">
        <f ca="1">+'A-12'!C9+'A-12'!C20</f>
        <v>0</v>
      </c>
      <c r="D31" s="285">
        <f ca="1">+'A-12'!D9+'A-12'!D20</f>
        <v>0</v>
      </c>
      <c r="E31" s="285">
        <f ca="1">+'A-12'!E9+'A-12'!E20</f>
        <v>0</v>
      </c>
      <c r="F31" s="285">
        <f ca="1">+'A-12'!F9+'A-12'!F20</f>
        <v>0</v>
      </c>
      <c r="G31" s="285">
        <f ca="1">+'A-12'!G9+'A-12'!G20</f>
        <v>0</v>
      </c>
      <c r="H31" s="285">
        <f ca="1">+'A-12'!H9+'A-12'!H20</f>
        <v>0</v>
      </c>
      <c r="I31" s="285">
        <f ca="1">+'A-12'!I9+'A-12'!I20</f>
        <v>0</v>
      </c>
      <c r="J31" s="42"/>
      <c r="K31" s="21"/>
      <c r="L31" s="21"/>
    </row>
    <row r="32" spans="1:12" s="759" customFormat="1" outlineLevel="2">
      <c r="A32" s="61" t="s">
        <v>646</v>
      </c>
      <c r="B32" s="285">
        <f ca="1">+'A-12'!B10+'A-12'!B21</f>
        <v>0</v>
      </c>
      <c r="C32" s="285">
        <f ca="1">+'A-12'!C10+'A-12'!C21</f>
        <v>0</v>
      </c>
      <c r="D32" s="285">
        <f ca="1">+'A-12'!D10+'A-12'!D21</f>
        <v>0</v>
      </c>
      <c r="E32" s="285">
        <f ca="1">+'A-12'!E10+'A-12'!E21</f>
        <v>0</v>
      </c>
      <c r="F32" s="285">
        <f ca="1">+'A-12'!F10+'A-12'!F21</f>
        <v>0</v>
      </c>
      <c r="G32" s="285">
        <f ca="1">+'A-12'!G10+'A-12'!G21</f>
        <v>0</v>
      </c>
      <c r="H32" s="285">
        <f ca="1">+'A-12'!H10+'A-12'!H21</f>
        <v>0</v>
      </c>
      <c r="I32" s="285">
        <f ca="1">+'A-12'!I10+'A-12'!I21</f>
        <v>0</v>
      </c>
      <c r="J32" s="42"/>
      <c r="K32" s="732"/>
      <c r="L32" s="732"/>
    </row>
    <row r="33" spans="1:12" outlineLevel="2">
      <c r="A33" s="61" t="s">
        <v>647</v>
      </c>
      <c r="B33" s="285">
        <f ca="1">+'A-12'!B11+'A-12'!B22</f>
        <v>0</v>
      </c>
      <c r="C33" s="285">
        <f ca="1">+'A-12'!C11+'A-12'!C22</f>
        <v>0</v>
      </c>
      <c r="D33" s="285">
        <f ca="1">+'A-12'!D11+'A-12'!D22</f>
        <v>0</v>
      </c>
      <c r="E33" s="285">
        <f ca="1">+'A-12'!E11+'A-12'!E22</f>
        <v>0</v>
      </c>
      <c r="F33" s="285">
        <f ca="1">+'A-12'!F11+'A-12'!F22</f>
        <v>0</v>
      </c>
      <c r="G33" s="285">
        <f ca="1">+'A-12'!G11+'A-12'!G22</f>
        <v>0</v>
      </c>
      <c r="H33" s="285">
        <f ca="1">+'A-12'!H11+'A-12'!H22</f>
        <v>0</v>
      </c>
      <c r="I33" s="285">
        <f ca="1">+'A-12'!I11+'A-12'!I22</f>
        <v>0</v>
      </c>
      <c r="J33" s="42"/>
      <c r="K33" s="21"/>
      <c r="L33" s="21"/>
    </row>
    <row r="34" spans="1:12" s="759" customFormat="1" outlineLevel="2">
      <c r="A34" s="61" t="s">
        <v>575</v>
      </c>
      <c r="B34" s="285">
        <f ca="1">+'A-12'!B12+'A-12'!B23</f>
        <v>0</v>
      </c>
      <c r="C34" s="285">
        <f ca="1">+'A-12'!C12+'A-12'!C23</f>
        <v>0</v>
      </c>
      <c r="D34" s="285">
        <f ca="1">+'A-12'!D12+'A-12'!D23</f>
        <v>0</v>
      </c>
      <c r="E34" s="285">
        <f ca="1">+'A-12'!E12+'A-12'!E23</f>
        <v>0</v>
      </c>
      <c r="F34" s="285">
        <f ca="1">+'A-12'!F12+'A-12'!F23</f>
        <v>0</v>
      </c>
      <c r="G34" s="285">
        <f ca="1">+'A-12'!G12+'A-12'!G23</f>
        <v>0</v>
      </c>
      <c r="H34" s="285">
        <f ca="1">+'A-12'!H12+'A-12'!H23</f>
        <v>0</v>
      </c>
      <c r="I34" s="285">
        <f ca="1">+'A-12'!I12+'A-12'!I23</f>
        <v>0</v>
      </c>
      <c r="J34" s="42"/>
      <c r="K34" s="732"/>
      <c r="L34" s="732"/>
    </row>
    <row r="35" spans="1:12" ht="13.5" outlineLevel="2" thickBot="1">
      <c r="A35" s="83" t="s">
        <v>70</v>
      </c>
      <c r="B35" s="285">
        <f ca="1">+'A-12'!B13+'A-12'!B24</f>
        <v>0</v>
      </c>
      <c r="C35" s="285">
        <f ca="1">+'A-12'!C13+'A-12'!C24</f>
        <v>0</v>
      </c>
      <c r="D35" s="285">
        <f ca="1">+'A-12'!D13+'A-12'!D24</f>
        <v>0</v>
      </c>
      <c r="E35" s="285">
        <f ca="1">+'A-12'!E13+'A-12'!E24</f>
        <v>0</v>
      </c>
      <c r="F35" s="285">
        <f ca="1">+'A-12'!F13+'A-12'!F24</f>
        <v>0</v>
      </c>
      <c r="G35" s="285">
        <f ca="1">+'A-12'!G13+'A-12'!G24</f>
        <v>0</v>
      </c>
      <c r="H35" s="285">
        <f ca="1">+'A-12'!H13+'A-12'!H24</f>
        <v>0</v>
      </c>
      <c r="I35" s="285">
        <f ca="1">+'A-12'!I13+'A-12'!I24</f>
        <v>0</v>
      </c>
      <c r="J35" s="93"/>
      <c r="K35" s="21"/>
      <c r="L35" s="21"/>
    </row>
    <row r="36" spans="1:12" s="87" customFormat="1" ht="20.25" customHeight="1" thickBot="1">
      <c r="A36" s="94" t="s">
        <v>128</v>
      </c>
      <c r="B36" s="294">
        <f t="shared" ref="B36:I36" ca="1" si="7">SUM(B30:B35)</f>
        <v>0</v>
      </c>
      <c r="C36" s="294">
        <f t="shared" ca="1" si="7"/>
        <v>0</v>
      </c>
      <c r="D36" s="294">
        <f t="shared" ca="1" si="7"/>
        <v>0.13600000000000001</v>
      </c>
      <c r="E36" s="294">
        <f t="shared" ca="1" si="7"/>
        <v>0.13600000000000001</v>
      </c>
      <c r="F36" s="294">
        <f t="shared" ca="1" si="7"/>
        <v>0.13600000000000001</v>
      </c>
      <c r="G36" s="294">
        <f t="shared" ca="1" si="7"/>
        <v>0.13600000000000001</v>
      </c>
      <c r="H36" s="294">
        <f t="shared" ca="1" si="7"/>
        <v>0.13600000000000001</v>
      </c>
      <c r="I36" s="294">
        <f t="shared" ca="1" si="7"/>
        <v>0.13600000000000001</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1.4429543262479765E-3</v>
      </c>
      <c r="F42" s="285">
        <f t="shared" ca="1" si="8"/>
        <v>2.7799753368111979E-3</v>
      </c>
      <c r="G42" s="285">
        <f t="shared" ca="1" si="8"/>
        <v>4.1016057591649491E-3</v>
      </c>
      <c r="H42" s="285">
        <f t="shared" ca="1" si="8"/>
        <v>5.535468619991415E-3</v>
      </c>
      <c r="I42" s="285">
        <f t="shared" ca="1" si="8"/>
        <v>6.8488977315840248E-3</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1.4429543262479765E-3</v>
      </c>
      <c r="F48" s="294">
        <f t="shared" ca="1" si="13"/>
        <v>2.7799753368111979E-3</v>
      </c>
      <c r="G48" s="294">
        <f t="shared" ca="1" si="13"/>
        <v>4.1016057591649491E-3</v>
      </c>
      <c r="H48" s="294">
        <f t="shared" ca="1" si="13"/>
        <v>5.535468619991415E-3</v>
      </c>
      <c r="I48" s="294">
        <f t="shared" ca="1" si="13"/>
        <v>6.8488977315840248E-3</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2.9492462274591704E-3</v>
      </c>
      <c r="F53" s="285">
        <f t="shared" ca="1" si="14"/>
        <v>6.0197724061201111E-3</v>
      </c>
      <c r="G53" s="285">
        <f t="shared" ca="1" si="14"/>
        <v>9.3856714726624456E-3</v>
      </c>
      <c r="H53" s="285">
        <f t="shared" ca="1" si="14"/>
        <v>1.2899813368871374E-2</v>
      </c>
      <c r="I53" s="285">
        <f t="shared" ca="1" si="14"/>
        <v>1.6547407849728735E-2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2.9492462274591704E-3</v>
      </c>
      <c r="F59" s="287">
        <f t="shared" ca="1" si="19"/>
        <v>6.0197724061201111E-3</v>
      </c>
      <c r="G59" s="287">
        <f t="shared" ca="1" si="19"/>
        <v>9.3856714726624456E-3</v>
      </c>
      <c r="H59" s="287">
        <f t="shared" ca="1" si="19"/>
        <v>1.2899813368871374E-2</v>
      </c>
      <c r="I59" s="287">
        <f t="shared" ca="1" si="19"/>
        <v>1.6547407849728735E-2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0.13600000000000001</v>
      </c>
      <c r="E64" s="285">
        <f t="shared" ca="1" si="20"/>
        <v>0.14039220055370716</v>
      </c>
      <c r="F64" s="285">
        <f t="shared" ca="1" si="20"/>
        <v>0.14479974774293133</v>
      </c>
      <c r="G64" s="285">
        <f t="shared" ca="1" si="20"/>
        <v>0.14948727723182742</v>
      </c>
      <c r="H64" s="285">
        <f t="shared" ca="1" si="20"/>
        <v>0.1544352819888628</v>
      </c>
      <c r="I64" s="285">
        <f t="shared" ca="1" si="20"/>
        <v>0.15939630558131279</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0.13600000000000001</v>
      </c>
      <c r="E70" s="295">
        <f t="shared" ca="1" si="25"/>
        <v>0.14039220055370716</v>
      </c>
      <c r="F70" s="295">
        <f t="shared" ca="1" si="25"/>
        <v>0.14479974774293133</v>
      </c>
      <c r="G70" s="295">
        <f t="shared" ca="1" si="25"/>
        <v>0.14948727723182742</v>
      </c>
      <c r="H70" s="295">
        <f t="shared" ca="1" si="25"/>
        <v>0.1544352819888628</v>
      </c>
      <c r="I70" s="295">
        <f t="shared" ca="1" si="25"/>
        <v>0.15939630558131279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1.4429543262479765E-3</v>
      </c>
      <c r="Q77" s="285">
        <f ca="1">IF($B77&lt;&gt;0,(+VLOOKUP($B77,$A$8:$I$13,6,FALSE))*(F77),0)</f>
        <v>2.7799753368111979E-3</v>
      </c>
      <c r="R77" s="285">
        <f ca="1">IF($B77&lt;&gt;0,(+VLOOKUP($B77,$A$8:$I$13,7,FALSE))*(G77),0)</f>
        <v>4.1016057591649491E-3</v>
      </c>
      <c r="S77" s="285">
        <f ca="1">IF($B77&lt;&gt;0,(+VLOOKUP($B77,$A$8:$I$13,8,FALSE))*(H77),0)</f>
        <v>5.535468619991415E-3</v>
      </c>
      <c r="T77" s="285">
        <f ca="1">IF($B77&lt;&gt;0,(+VLOOKUP($B77,$A$8:$I$13,9,FALSE))*(I77),0)</f>
        <v>6.8488977315840248E-3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1.4429543262479765E-3</v>
      </c>
      <c r="Q83" s="292">
        <f t="shared" ca="1" si="51"/>
        <v>2.7799753368111979E-3</v>
      </c>
      <c r="R83" s="292">
        <f t="shared" ca="1" si="51"/>
        <v>4.1016057591649491E-3</v>
      </c>
      <c r="S83" s="292">
        <f t="shared" ca="1" si="51"/>
        <v>5.535468619991415E-3</v>
      </c>
      <c r="T83" s="292">
        <f t="shared" ca="1" si="51"/>
        <v>6.8488977315840248E-3</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1.4429543262479765E-3</v>
      </c>
      <c r="F98" s="285">
        <f t="shared" ca="1" si="54"/>
        <v>2.7799753368111979E-3</v>
      </c>
      <c r="G98" s="285">
        <f t="shared" ca="1" si="54"/>
        <v>4.1016057591649491E-3</v>
      </c>
      <c r="H98" s="285">
        <f t="shared" ca="1" si="54"/>
        <v>5.535468619991415E-3</v>
      </c>
      <c r="I98" s="285">
        <f t="shared" ca="1" si="54"/>
        <v>6.8488977315840248E-3</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1.4429543262479765E-3</v>
      </c>
      <c r="F104" s="296">
        <f t="shared" ca="1" si="60"/>
        <v>2.7799753368111979E-3</v>
      </c>
      <c r="G104" s="296">
        <f t="shared" ca="1" si="60"/>
        <v>4.1016057591649491E-3</v>
      </c>
      <c r="H104" s="296">
        <f t="shared" ca="1" si="60"/>
        <v>5.535468619991415E-3</v>
      </c>
      <c r="I104" s="296">
        <f t="shared" ca="1" si="60"/>
        <v>6.8488977315840248E-3</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2.9492462274591704E-3</v>
      </c>
      <c r="Q113" s="285">
        <f ca="1">IF($B113&lt;&gt;0,(+VLOOKUP($B113,$A$8:$I$13,6,FALSE)+VLOOKUP($B113,$A$42:$I$47,6,FALSE))*(F113),0)</f>
        <v>6.0197724061201111E-3</v>
      </c>
      <c r="R113" s="285">
        <f ca="1">IF($B113&lt;&gt;0,(+VLOOKUP($B113,$A$8:$I$13,7,FALSE)+VLOOKUP($B113,$A$42:$I$47,7,FALSE))*(G113),0)</f>
        <v>9.3856714726624456E-3</v>
      </c>
      <c r="S113" s="285">
        <f ca="1">IF($B113&lt;&gt;0,(+VLOOKUP($B113,$A$8:$I$13,8,FALSE)+VLOOKUP($B113,$A$42:$I$47,8,FALSE))*(H113),0)</f>
        <v>1.2899813368871374E-2</v>
      </c>
      <c r="T113" s="285">
        <f ca="1">IF($B113&lt;&gt;0,(+VLOOKUP($B113,$A$8:$I$13,9,FALSE)+VLOOKUP($B113,$A$42:$I$47,9,FALSE))*(I113),0)</f>
        <v>1.6547407849728735E-2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2.9492462274591704E-3</v>
      </c>
      <c r="Q119" s="292">
        <f t="shared" ca="1" si="72"/>
        <v>6.0197724061201111E-3</v>
      </c>
      <c r="R119" s="292">
        <f t="shared" ca="1" si="72"/>
        <v>9.3856714726624456E-3</v>
      </c>
      <c r="S119" s="292">
        <f t="shared" ca="1" si="72"/>
        <v>1.2899813368871374E-2</v>
      </c>
      <c r="T119" s="292">
        <f t="shared" ca="1" si="72"/>
        <v>1.6547407849728735E-2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2.9492462274591704E-3</v>
      </c>
      <c r="F134" s="285">
        <f t="shared" ca="1" si="75"/>
        <v>6.0197724061201111E-3</v>
      </c>
      <c r="G134" s="285">
        <f t="shared" ca="1" si="75"/>
        <v>9.3856714726624456E-3</v>
      </c>
      <c r="H134" s="285">
        <f t="shared" ca="1" si="75"/>
        <v>1.2899813368871374E-2</v>
      </c>
      <c r="I134" s="285">
        <f t="shared" ca="1" si="75"/>
        <v>1.6547407849728735E-2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2.9492462274591704E-3</v>
      </c>
      <c r="F140" s="296">
        <f t="shared" ca="1" si="81"/>
        <v>6.0197724061201111E-3</v>
      </c>
      <c r="G140" s="296">
        <f t="shared" ca="1" si="81"/>
        <v>9.3856714726624456E-3</v>
      </c>
      <c r="H140" s="296">
        <f t="shared" ca="1" si="81"/>
        <v>1.2899813368871374E-2</v>
      </c>
      <c r="I140" s="296">
        <f t="shared" ca="1" si="81"/>
        <v>1.6547407849728735E-2</v>
      </c>
    </row>
    <row r="141" spans="1:16" ht="13.5"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9.1141913010554854E-2</v>
      </c>
      <c r="I141" s="124">
        <f t="shared" ca="1" si="82"/>
        <v>0.11583854067128783</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(SEM)'!$N$106:$R$111</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0.13600000000000001</v>
      </c>
      <c r="E205" s="82">
        <f t="shared" ca="1" si="95"/>
        <v>0.13600000000000001</v>
      </c>
      <c r="F205" s="82">
        <f t="shared" ca="1" si="95"/>
        <v>0.13600000000000001</v>
      </c>
      <c r="G205" s="82">
        <f t="shared" ca="1" si="95"/>
        <v>0.13600000000000001</v>
      </c>
      <c r="H205" s="82">
        <f t="shared" ca="1" si="95"/>
        <v>0.13600000000000001</v>
      </c>
      <c r="I205" s="82">
        <f t="shared" ca="1" si="95"/>
        <v>0.13600000000000001</v>
      </c>
    </row>
    <row r="206" spans="1:9" outlineLevel="1">
      <c r="A206" t="s">
        <v>156</v>
      </c>
      <c r="B206" s="82">
        <f t="shared" ref="B206:I206" ca="1" si="96">+B36</f>
        <v>0</v>
      </c>
      <c r="C206" s="82">
        <f t="shared" ca="1" si="96"/>
        <v>0</v>
      </c>
      <c r="D206" s="82">
        <f t="shared" ca="1" si="96"/>
        <v>0.13600000000000001</v>
      </c>
      <c r="E206" s="82">
        <f t="shared" ca="1" si="96"/>
        <v>0.13600000000000001</v>
      </c>
      <c r="F206" s="82">
        <f t="shared" ca="1" si="96"/>
        <v>0.13600000000000001</v>
      </c>
      <c r="G206" s="82">
        <f t="shared" ca="1" si="96"/>
        <v>0.13600000000000001</v>
      </c>
      <c r="H206" s="82">
        <f t="shared" ca="1" si="96"/>
        <v>0.13600000000000001</v>
      </c>
      <c r="I206" s="82">
        <f t="shared" ca="1" si="96"/>
        <v>0.13600000000000001</v>
      </c>
    </row>
    <row r="207" spans="1:9" outlineLevel="1">
      <c r="A207" t="s">
        <v>157</v>
      </c>
      <c r="B207" s="82">
        <f t="shared" ref="B207:I207" ca="1" si="97">+B36+B48</f>
        <v>0</v>
      </c>
      <c r="C207" s="82">
        <f t="shared" ca="1" si="97"/>
        <v>0</v>
      </c>
      <c r="D207" s="82">
        <f t="shared" ca="1" si="97"/>
        <v>0.13600000000000001</v>
      </c>
      <c r="E207" s="82">
        <f t="shared" ca="1" si="97"/>
        <v>0.13744295432624798</v>
      </c>
      <c r="F207" s="82">
        <f t="shared" ca="1" si="97"/>
        <v>0.13877997533681122</v>
      </c>
      <c r="G207" s="82">
        <f t="shared" ca="1" si="97"/>
        <v>0.14010160575916497</v>
      </c>
      <c r="H207" s="82">
        <f t="shared" ca="1" si="97"/>
        <v>0.14153546861999142</v>
      </c>
      <c r="I207" s="82">
        <f t="shared" ca="1" si="97"/>
        <v>0.14284889773158405</v>
      </c>
    </row>
    <row r="208" spans="1:9" outlineLevel="1">
      <c r="A208" t="s">
        <v>158</v>
      </c>
      <c r="B208" s="82">
        <f t="shared" ref="B208:I208" ca="1" si="98">+B70</f>
        <v>0</v>
      </c>
      <c r="C208" s="82">
        <f t="shared" ca="1" si="98"/>
        <v>0</v>
      </c>
      <c r="D208" s="82">
        <f t="shared" ca="1" si="98"/>
        <v>0.13600000000000001</v>
      </c>
      <c r="E208" s="82">
        <f t="shared" ca="1" si="98"/>
        <v>0.14039220055370716</v>
      </c>
      <c r="F208" s="82">
        <f t="shared" ca="1" si="98"/>
        <v>0.14479974774293133</v>
      </c>
      <c r="G208" s="82">
        <f t="shared" ca="1" si="98"/>
        <v>0.14948727723182742</v>
      </c>
      <c r="H208" s="82">
        <f t="shared" ca="1" si="98"/>
        <v>0.1544352819888628</v>
      </c>
      <c r="I208" s="82">
        <f t="shared" ca="1" si="98"/>
        <v>0.15939630558131279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25" priority="1" stopIfTrue="1" operator="notEqual">
      <formula>0</formula>
    </cfRule>
  </conditionalFormatting>
  <conditionalFormatting sqref="J130 J94 J70 J59 J48 J36:J37 J14 J25">
    <cfRule type="cellIs" dxfId="324" priority="2" stopIfTrue="1" operator="equal">
      <formula>"OK"</formula>
    </cfRule>
    <cfRule type="cellIs" dxfId="323" priority="3" stopIfTrue="1" operator="equal">
      <formula>"Warning Check Escalations"</formula>
    </cfRule>
  </conditionalFormatting>
  <conditionalFormatting sqref="N120:T120 N84:T84">
    <cfRule type="cellIs" dxfId="322" priority="4" stopIfTrue="1" operator="notEqual">
      <formula>0</formula>
    </cfRule>
    <cfRule type="cellIs" dxfId="32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6.xml><?xml version="1.0" encoding="utf-8"?>
<worksheet xmlns="http://schemas.openxmlformats.org/spreadsheetml/2006/main" xmlns:r="http://schemas.openxmlformats.org/officeDocument/2006/relationships">
  <sheetPr codeName="Sheet71" enableFormatConditionsCalculation="0">
    <tabColor indexed="57"/>
    <pageSetUpPr fitToPage="1"/>
  </sheetPr>
  <dimension ref="A1:T239"/>
  <sheetViews>
    <sheetView showGridLines="0" topLeftCell="A7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13</v>
      </c>
      <c r="M1" s="282"/>
      <c r="N1" s="280"/>
      <c r="O1" s="280"/>
      <c r="P1" s="280"/>
      <c r="Q1" s="280"/>
      <c r="R1" s="280"/>
      <c r="S1" s="280"/>
      <c r="T1" s="280"/>
    </row>
    <row r="2" spans="1:20" ht="15.75">
      <c r="A2" s="184" t="s">
        <v>121</v>
      </c>
      <c r="B2" s="74" t="str">
        <f ca="1">OFFSET(List_AllocOpexListStart,+$K$1,1)</f>
        <v>Accounts Payable</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0.432</v>
      </c>
      <c r="E8" s="285">
        <f ca="1">OFFSET(Future_AOpexStart,MATCH($K$1,'I-6 Future A'!$A$6:$A$379)+2,+'I-5 Future DA'!F$5)</f>
        <v>0.432</v>
      </c>
      <c r="F8" s="285">
        <f ca="1">OFFSET(Future_AOpexStart,MATCH($K$1,'I-6 Future A'!$A$6:$A$379)+2,+'I-5 Future DA'!G$5)</f>
        <v>0.432</v>
      </c>
      <c r="G8" s="285">
        <f ca="1">OFFSET(Future_AOpexStart,MATCH($K$1,'I-6 Future A'!$A$6:$A$379)+2,+'I-5 Future DA'!H$5)</f>
        <v>0.432</v>
      </c>
      <c r="H8" s="285">
        <f ca="1">OFFSET(Future_AOpexStart,MATCH($K$1,'I-6 Future A'!$A$6:$A$379)+2,+'I-5 Future DA'!I$5)</f>
        <v>0.432</v>
      </c>
      <c r="I8" s="285">
        <f ca="1">OFFSET(Future_AOpexStart,MATCH($K$1,'I-6 Future A'!$A$6:$A$379)+2,+'I-5 Future DA'!J$5)</f>
        <v>0.432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1E-3</v>
      </c>
      <c r="E11" s="285">
        <f ca="1">OFFSET(Future_AOpexStart,MATCH($K$1,'I-6 Future A'!$A$6:$A$379)+5,+'I-5 Future DA'!F$5)</f>
        <v>1E-3</v>
      </c>
      <c r="F11" s="285">
        <f ca="1">OFFSET(Future_AOpexStart,MATCH($K$1,'I-6 Future A'!$A$6:$A$379)+5,+'I-5 Future DA'!G$5)</f>
        <v>1E-3</v>
      </c>
      <c r="G11" s="285">
        <f ca="1">OFFSET(Future_AOpexStart,MATCH($K$1,'I-6 Future A'!$A$6:$A$379)+5,+'I-5 Future DA'!H$5)</f>
        <v>1E-3</v>
      </c>
      <c r="H11" s="285">
        <f ca="1">OFFSET(Future_AOpexStart,MATCH($K$1,'I-6 Future A'!$A$6:$A$379)+5,+'I-5 Future DA'!I$5)</f>
        <v>1E-3</v>
      </c>
      <c r="I11" s="285">
        <f ca="1">OFFSET(Future_AOpexStart,MATCH($K$1,'I-6 Future A'!$A$6:$A$379)+5,+'I-5 Future DA'!J$5)</f>
        <v>1E-3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0.433</v>
      </c>
      <c r="E14" s="287">
        <f t="shared" ca="1" si="0"/>
        <v>0.433</v>
      </c>
      <c r="F14" s="287">
        <f t="shared" ca="1" si="0"/>
        <v>0.433</v>
      </c>
      <c r="G14" s="287">
        <f t="shared" ca="1" si="0"/>
        <v>0.433</v>
      </c>
      <c r="H14" s="287">
        <f t="shared" ca="1" si="0"/>
        <v>0.433</v>
      </c>
      <c r="I14" s="287">
        <f t="shared" ca="1" si="0"/>
        <v>0.433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+'A-13'!B8+'A-13'!B19</f>
        <v>0</v>
      </c>
      <c r="C30" s="285">
        <f ca="1">+'A-13'!C8+'A-13'!C19</f>
        <v>0</v>
      </c>
      <c r="D30" s="285">
        <f ca="1">+'A-13'!D8+'A-13'!D19</f>
        <v>0.432</v>
      </c>
      <c r="E30" s="285">
        <f ca="1">+'A-13'!E8+'A-13'!E19</f>
        <v>0.432</v>
      </c>
      <c r="F30" s="285">
        <f ca="1">+'A-13'!F8+'A-13'!F19</f>
        <v>0.432</v>
      </c>
      <c r="G30" s="285">
        <f ca="1">+'A-13'!G8+'A-13'!G19</f>
        <v>0.432</v>
      </c>
      <c r="H30" s="285">
        <f ca="1">+'A-13'!H8+'A-13'!H19</f>
        <v>0.432</v>
      </c>
      <c r="I30" s="285">
        <f ca="1">+'A-13'!I8+'A-13'!I19</f>
        <v>0.432</v>
      </c>
      <c r="J30" s="42"/>
      <c r="K30" s="21"/>
      <c r="L30" s="21"/>
    </row>
    <row r="31" spans="1:12" outlineLevel="2">
      <c r="A31" s="61" t="s">
        <v>69</v>
      </c>
      <c r="B31" s="285">
        <f ca="1">+'A-13'!B9+'A-13'!B20</f>
        <v>0</v>
      </c>
      <c r="C31" s="285">
        <f ca="1">+'A-13'!C9+'A-13'!C20</f>
        <v>0</v>
      </c>
      <c r="D31" s="285">
        <f ca="1">+'A-13'!D9+'A-13'!D20</f>
        <v>0</v>
      </c>
      <c r="E31" s="285">
        <f ca="1">+'A-13'!E9+'A-13'!E20</f>
        <v>0</v>
      </c>
      <c r="F31" s="285">
        <f ca="1">+'A-13'!F9+'A-13'!F20</f>
        <v>0</v>
      </c>
      <c r="G31" s="285">
        <f ca="1">+'A-13'!G9+'A-13'!G20</f>
        <v>0</v>
      </c>
      <c r="H31" s="285">
        <f ca="1">+'A-13'!H9+'A-13'!H20</f>
        <v>0</v>
      </c>
      <c r="I31" s="285">
        <f ca="1">+'A-13'!I9+'A-13'!I20</f>
        <v>0</v>
      </c>
      <c r="J31" s="42"/>
      <c r="K31" s="21"/>
      <c r="L31" s="21"/>
    </row>
    <row r="32" spans="1:12" s="759" customFormat="1" outlineLevel="2">
      <c r="A32" s="61" t="s">
        <v>646</v>
      </c>
      <c r="B32" s="285">
        <f ca="1">+'A-13'!B10+'A-13'!B21</f>
        <v>0</v>
      </c>
      <c r="C32" s="285">
        <f ca="1">+'A-13'!C10+'A-13'!C21</f>
        <v>0</v>
      </c>
      <c r="D32" s="285">
        <f ca="1">+'A-13'!D10+'A-13'!D21</f>
        <v>0</v>
      </c>
      <c r="E32" s="285">
        <f ca="1">+'A-13'!E10+'A-13'!E21</f>
        <v>0</v>
      </c>
      <c r="F32" s="285">
        <f ca="1">+'A-13'!F10+'A-13'!F21</f>
        <v>0</v>
      </c>
      <c r="G32" s="285">
        <f ca="1">+'A-13'!G10+'A-13'!G21</f>
        <v>0</v>
      </c>
      <c r="H32" s="285">
        <f ca="1">+'A-13'!H10+'A-13'!H21</f>
        <v>0</v>
      </c>
      <c r="I32" s="285">
        <f ca="1">+'A-13'!I10+'A-13'!I21</f>
        <v>0</v>
      </c>
      <c r="J32" s="42"/>
      <c r="K32" s="732"/>
      <c r="L32" s="732"/>
    </row>
    <row r="33" spans="1:12" outlineLevel="2">
      <c r="A33" s="61" t="s">
        <v>647</v>
      </c>
      <c r="B33" s="285">
        <f ca="1">+'A-13'!B11+'A-13'!B22</f>
        <v>0</v>
      </c>
      <c r="C33" s="285">
        <f ca="1">+'A-13'!C11+'A-13'!C22</f>
        <v>0</v>
      </c>
      <c r="D33" s="285">
        <f ca="1">+'A-13'!D11+'A-13'!D22</f>
        <v>1E-3</v>
      </c>
      <c r="E33" s="285">
        <f ca="1">+'A-13'!E11+'A-13'!E22</f>
        <v>1E-3</v>
      </c>
      <c r="F33" s="285">
        <f ca="1">+'A-13'!F11+'A-13'!F22</f>
        <v>1E-3</v>
      </c>
      <c r="G33" s="285">
        <f ca="1">+'A-13'!G11+'A-13'!G22</f>
        <v>1E-3</v>
      </c>
      <c r="H33" s="285">
        <f ca="1">+'A-13'!H11+'A-13'!H22</f>
        <v>1E-3</v>
      </c>
      <c r="I33" s="285">
        <f ca="1">+'A-13'!I11+'A-13'!I22</f>
        <v>1E-3</v>
      </c>
      <c r="J33" s="42"/>
      <c r="K33" s="21"/>
      <c r="L33" s="21"/>
    </row>
    <row r="34" spans="1:12" s="759" customFormat="1" outlineLevel="2">
      <c r="A34" s="61" t="s">
        <v>575</v>
      </c>
      <c r="B34" s="285">
        <f ca="1">+'A-13'!B12+'A-13'!B23</f>
        <v>0</v>
      </c>
      <c r="C34" s="285">
        <f ca="1">+'A-13'!C12+'A-13'!C23</f>
        <v>0</v>
      </c>
      <c r="D34" s="285">
        <f ca="1">+'A-13'!D12+'A-13'!D23</f>
        <v>0</v>
      </c>
      <c r="E34" s="285">
        <f ca="1">+'A-13'!E12+'A-13'!E23</f>
        <v>0</v>
      </c>
      <c r="F34" s="285">
        <f ca="1">+'A-13'!F12+'A-13'!F23</f>
        <v>0</v>
      </c>
      <c r="G34" s="285">
        <f ca="1">+'A-13'!G12+'A-13'!G23</f>
        <v>0</v>
      </c>
      <c r="H34" s="285">
        <f ca="1">+'A-13'!H12+'A-13'!H23</f>
        <v>0</v>
      </c>
      <c r="I34" s="285">
        <f ca="1">+'A-13'!I12+'A-13'!I23</f>
        <v>0</v>
      </c>
      <c r="J34" s="42"/>
      <c r="K34" s="732"/>
      <c r="L34" s="732"/>
    </row>
    <row r="35" spans="1:12" ht="13.5" outlineLevel="2" thickBot="1">
      <c r="A35" s="83" t="s">
        <v>70</v>
      </c>
      <c r="B35" s="285">
        <f ca="1">+'A-13'!B13+'A-13'!B24</f>
        <v>0</v>
      </c>
      <c r="C35" s="285">
        <f ca="1">+'A-13'!C13+'A-13'!C24</f>
        <v>0</v>
      </c>
      <c r="D35" s="285">
        <f ca="1">+'A-13'!D13+'A-13'!D24</f>
        <v>0</v>
      </c>
      <c r="E35" s="285">
        <f ca="1">+'A-13'!E13+'A-13'!E24</f>
        <v>0</v>
      </c>
      <c r="F35" s="285">
        <f ca="1">+'A-13'!F13+'A-13'!F24</f>
        <v>0</v>
      </c>
      <c r="G35" s="285">
        <f ca="1">+'A-13'!G13+'A-13'!G24</f>
        <v>0</v>
      </c>
      <c r="H35" s="285">
        <f ca="1">+'A-13'!H13+'A-13'!H24</f>
        <v>0</v>
      </c>
      <c r="I35" s="285">
        <f ca="1">+'A-13'!I13+'A-13'!I24</f>
        <v>0</v>
      </c>
      <c r="J35" s="93"/>
      <c r="K35" s="21"/>
      <c r="L35" s="21"/>
    </row>
    <row r="36" spans="1:12" s="87" customFormat="1" ht="20.25" customHeight="1" thickBot="1">
      <c r="A36" s="94" t="s">
        <v>128</v>
      </c>
      <c r="B36" s="294">
        <f t="shared" ref="B36:I36" ca="1" si="7">SUM(B30:B35)</f>
        <v>0</v>
      </c>
      <c r="C36" s="294">
        <f t="shared" ca="1" si="7"/>
        <v>0</v>
      </c>
      <c r="D36" s="294">
        <f t="shared" ca="1" si="7"/>
        <v>0.433</v>
      </c>
      <c r="E36" s="294">
        <f t="shared" ca="1" si="7"/>
        <v>0.433</v>
      </c>
      <c r="F36" s="294">
        <f t="shared" ca="1" si="7"/>
        <v>0.433</v>
      </c>
      <c r="G36" s="294">
        <f t="shared" ca="1" si="7"/>
        <v>0.433</v>
      </c>
      <c r="H36" s="294">
        <f t="shared" ca="1" si="7"/>
        <v>0.433</v>
      </c>
      <c r="I36" s="294">
        <f t="shared" ca="1" si="7"/>
        <v>0.433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4.5835019774935724E-3</v>
      </c>
      <c r="F42" s="285">
        <f t="shared" ca="1" si="8"/>
        <v>8.8305098934002759E-3</v>
      </c>
      <c r="G42" s="285">
        <f t="shared" ca="1" si="8"/>
        <v>1.3028630058523954E-2</v>
      </c>
      <c r="H42" s="285">
        <f t="shared" ca="1" si="8"/>
        <v>1.758325326350214E-2</v>
      </c>
      <c r="I42" s="285">
        <f t="shared" ca="1" si="8"/>
        <v>2.1755322206208079E-2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1.0609958281235122E-5</v>
      </c>
      <c r="F45" s="285">
        <f t="shared" ca="1" si="10"/>
        <v>2.0440995123611749E-5</v>
      </c>
      <c r="G45" s="285">
        <f t="shared" ca="1" si="10"/>
        <v>3.0158865876212861E-5</v>
      </c>
      <c r="H45" s="285">
        <f t="shared" ca="1" si="10"/>
        <v>4.0701975146995693E-5</v>
      </c>
      <c r="I45" s="285">
        <f t="shared" ca="1" si="10"/>
        <v>5.0359542144000181E-5</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4.5941119357748071E-3</v>
      </c>
      <c r="F48" s="294">
        <f t="shared" ca="1" si="13"/>
        <v>8.8509508885238879E-3</v>
      </c>
      <c r="G48" s="294">
        <f t="shared" ca="1" si="13"/>
        <v>1.3058788924400168E-2</v>
      </c>
      <c r="H48" s="294">
        <f t="shared" ca="1" si="13"/>
        <v>1.7623955238649135E-2</v>
      </c>
      <c r="I48" s="294">
        <f t="shared" ca="1" si="13"/>
        <v>2.1805681748352079E-2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9.3681938989879521E-3</v>
      </c>
      <c r="F53" s="285">
        <f t="shared" ca="1" si="14"/>
        <v>1.9121629995910938E-2</v>
      </c>
      <c r="G53" s="285">
        <f t="shared" ca="1" si="14"/>
        <v>2.9813309383751291E-2</v>
      </c>
      <c r="H53" s="285">
        <f t="shared" ca="1" si="14"/>
        <v>4.0975877759944365E-2</v>
      </c>
      <c r="I53" s="285">
        <f t="shared" ca="1" si="14"/>
        <v>5.2562354346197153E-2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5.0530497914060681E-6</v>
      </c>
      <c r="F56" s="285">
        <f t="shared" ca="1" si="16"/>
        <v>1.0229920976113931E-5</v>
      </c>
      <c r="G56" s="285">
        <f t="shared" ca="1" si="16"/>
        <v>1.9691718506968131E-5</v>
      </c>
      <c r="H56" s="285">
        <f t="shared" ca="1" si="16"/>
        <v>3.1029502302257457E-5</v>
      </c>
      <c r="I56" s="285">
        <f t="shared" ca="1" si="16"/>
        <v>4.4838414113705024E-5</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9.3732469487793589E-3</v>
      </c>
      <c r="F59" s="287">
        <f t="shared" ca="1" si="19"/>
        <v>1.9131859916887053E-2</v>
      </c>
      <c r="G59" s="287">
        <f t="shared" ca="1" si="19"/>
        <v>2.9833001102258259E-2</v>
      </c>
      <c r="H59" s="287">
        <f t="shared" ca="1" si="19"/>
        <v>4.1006907262246622E-2</v>
      </c>
      <c r="I59" s="287">
        <f t="shared" ca="1" si="19"/>
        <v>5.260719276031086E-2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0.432</v>
      </c>
      <c r="E64" s="285">
        <f t="shared" ca="1" si="20"/>
        <v>0.44595169587648154</v>
      </c>
      <c r="F64" s="285">
        <f t="shared" ca="1" si="20"/>
        <v>0.45995213988931122</v>
      </c>
      <c r="G64" s="285">
        <f t="shared" ca="1" si="20"/>
        <v>0.47484193944227526</v>
      </c>
      <c r="H64" s="285">
        <f t="shared" ca="1" si="20"/>
        <v>0.4905591310234465</v>
      </c>
      <c r="I64" s="285">
        <f t="shared" ca="1" si="20"/>
        <v>0.50631767655240523</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1E-3</v>
      </c>
      <c r="E67" s="285">
        <f t="shared" ca="1" si="22"/>
        <v>1.0156630080726413E-3</v>
      </c>
      <c r="F67" s="285">
        <f t="shared" ca="1" si="22"/>
        <v>1.0306709160997258E-3</v>
      </c>
      <c r="G67" s="285">
        <f t="shared" ca="1" si="22"/>
        <v>1.0498505843831811E-3</v>
      </c>
      <c r="H67" s="285">
        <f t="shared" ca="1" si="22"/>
        <v>1.0717314774492531E-3</v>
      </c>
      <c r="I67" s="285">
        <f t="shared" ca="1" si="22"/>
        <v>1.0951979562577052E-3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0.433</v>
      </c>
      <c r="E70" s="295">
        <f t="shared" ca="1" si="25"/>
        <v>0.44696735888455419</v>
      </c>
      <c r="F70" s="295">
        <f t="shared" ca="1" si="25"/>
        <v>0.46098281080541093</v>
      </c>
      <c r="G70" s="295">
        <f t="shared" ca="1" si="25"/>
        <v>0.47589179002665843</v>
      </c>
      <c r="H70" s="295">
        <f t="shared" ca="1" si="25"/>
        <v>0.49163086250089577</v>
      </c>
      <c r="I70" s="295">
        <f t="shared" ca="1" si="25"/>
        <v>0.5074128745086629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4.5835019774935724E-3</v>
      </c>
      <c r="Q77" s="285">
        <f ca="1">IF($B77&lt;&gt;0,(+VLOOKUP($B77,$A$8:$I$13,6,FALSE))*(F77),0)</f>
        <v>8.8305098934002759E-3</v>
      </c>
      <c r="R77" s="285">
        <f ca="1">IF($B77&lt;&gt;0,(+VLOOKUP($B77,$A$8:$I$13,7,FALSE))*(G77),0)</f>
        <v>1.3028630058523954E-2</v>
      </c>
      <c r="S77" s="285">
        <f ca="1">IF($B77&lt;&gt;0,(+VLOOKUP($B77,$A$8:$I$13,8,FALSE))*(H77),0)</f>
        <v>1.758325326350214E-2</v>
      </c>
      <c r="T77" s="285">
        <f ca="1">IF($B77&lt;&gt;0,(+VLOOKUP($B77,$A$8:$I$13,9,FALSE))*(I77),0)</f>
        <v>2.1755322206208079E-2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1.0609958281235122E-5</v>
      </c>
      <c r="Q80" s="285">
        <f t="shared" ca="1" si="34"/>
        <v>2.0440995123611749E-5</v>
      </c>
      <c r="R80" s="285">
        <f t="shared" ca="1" si="35"/>
        <v>3.0158865876212861E-5</v>
      </c>
      <c r="S80" s="285">
        <f t="shared" ca="1" si="36"/>
        <v>4.0701975146995693E-5</v>
      </c>
      <c r="T80" s="285">
        <f t="shared" ca="1" si="37"/>
        <v>5.0359542144000181E-5</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4.5941119357748071E-3</v>
      </c>
      <c r="Q83" s="292">
        <f t="shared" ca="1" si="51"/>
        <v>8.8509508885238879E-3</v>
      </c>
      <c r="R83" s="292">
        <f t="shared" ca="1" si="51"/>
        <v>1.3058788924400168E-2</v>
      </c>
      <c r="S83" s="292">
        <f t="shared" ca="1" si="51"/>
        <v>1.7623955238649135E-2</v>
      </c>
      <c r="T83" s="292">
        <f t="shared" ca="1" si="51"/>
        <v>2.1805681748352079E-2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4.5835019774935724E-3</v>
      </c>
      <c r="F98" s="285">
        <f t="shared" ca="1" si="54"/>
        <v>8.8305098934002759E-3</v>
      </c>
      <c r="G98" s="285">
        <f t="shared" ca="1" si="54"/>
        <v>1.3028630058523954E-2</v>
      </c>
      <c r="H98" s="285">
        <f t="shared" ca="1" si="54"/>
        <v>1.758325326350214E-2</v>
      </c>
      <c r="I98" s="285">
        <f t="shared" ca="1" si="54"/>
        <v>2.1755322206208079E-2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1.0609958281235122E-5</v>
      </c>
      <c r="F101" s="285">
        <f t="shared" ca="1" si="57"/>
        <v>2.0440995123611749E-5</v>
      </c>
      <c r="G101" s="285">
        <f t="shared" ca="1" si="57"/>
        <v>3.0158865876212861E-5</v>
      </c>
      <c r="H101" s="285">
        <f t="shared" ca="1" si="57"/>
        <v>4.0701975146995693E-5</v>
      </c>
      <c r="I101" s="285">
        <f t="shared" ca="1" si="57"/>
        <v>5.0359542144000181E-5</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4.5941119357748071E-3</v>
      </c>
      <c r="F104" s="296">
        <f t="shared" ca="1" si="60"/>
        <v>8.8509508885238879E-3</v>
      </c>
      <c r="G104" s="296">
        <f t="shared" ca="1" si="60"/>
        <v>1.3058788924400168E-2</v>
      </c>
      <c r="H104" s="296">
        <f t="shared" ca="1" si="60"/>
        <v>1.7623955238649135E-2</v>
      </c>
      <c r="I104" s="296">
        <f t="shared" ca="1" si="60"/>
        <v>2.1805681748352079E-2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9.3681938989879521E-3</v>
      </c>
      <c r="Q113" s="285">
        <f ca="1">IF($B113&lt;&gt;0,(+VLOOKUP($B113,$A$8:$I$13,6,FALSE)+VLOOKUP($B113,$A$42:$I$47,6,FALSE))*(F113),0)</f>
        <v>1.9121629995910938E-2</v>
      </c>
      <c r="R113" s="285">
        <f ca="1">IF($B113&lt;&gt;0,(+VLOOKUP($B113,$A$8:$I$13,7,FALSE)+VLOOKUP($B113,$A$42:$I$47,7,FALSE))*(G113),0)</f>
        <v>2.9813309383751291E-2</v>
      </c>
      <c r="S113" s="285">
        <f ca="1">IF($B113&lt;&gt;0,(+VLOOKUP($B113,$A$8:$I$13,8,FALSE)+VLOOKUP($B113,$A$42:$I$47,8,FALSE))*(H113),0)</f>
        <v>4.0975877759944365E-2</v>
      </c>
      <c r="T113" s="285">
        <f ca="1">IF($B113&lt;&gt;0,(+VLOOKUP($B113,$A$8:$I$13,9,FALSE)+VLOOKUP($B113,$A$42:$I$47,9,FALSE))*(I113),0)</f>
        <v>5.2562354346197153E-2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5.0530497914060681E-6</v>
      </c>
      <c r="Q116" s="285">
        <f t="shared" ca="1" si="68"/>
        <v>1.0229920976113931E-5</v>
      </c>
      <c r="R116" s="285">
        <f t="shared" ca="1" si="69"/>
        <v>1.9691718506968131E-5</v>
      </c>
      <c r="S116" s="285">
        <f t="shared" ca="1" si="70"/>
        <v>3.1029502302257457E-5</v>
      </c>
      <c r="T116" s="285">
        <f t="shared" ca="1" si="71"/>
        <v>4.4838414113705024E-5</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9.3732469487793589E-3</v>
      </c>
      <c r="Q119" s="292">
        <f t="shared" ca="1" si="72"/>
        <v>1.9131859916887053E-2</v>
      </c>
      <c r="R119" s="292">
        <f t="shared" ca="1" si="72"/>
        <v>2.9833001102258259E-2</v>
      </c>
      <c r="S119" s="292">
        <f t="shared" ca="1" si="72"/>
        <v>4.1006907262246622E-2</v>
      </c>
      <c r="T119" s="292">
        <f t="shared" ca="1" si="72"/>
        <v>5.260719276031086E-2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9.3681938989879521E-3</v>
      </c>
      <c r="F134" s="285">
        <f t="shared" ca="1" si="75"/>
        <v>1.9121629995910938E-2</v>
      </c>
      <c r="G134" s="285">
        <f t="shared" ca="1" si="75"/>
        <v>2.9813309383751291E-2</v>
      </c>
      <c r="H134" s="285">
        <f t="shared" ca="1" si="75"/>
        <v>4.0975877759944365E-2</v>
      </c>
      <c r="I134" s="285">
        <f t="shared" ca="1" si="75"/>
        <v>5.2562354346197153E-2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5.0530497914060681E-6</v>
      </c>
      <c r="F137" s="285">
        <f t="shared" ca="1" si="78"/>
        <v>1.0229920976113931E-5</v>
      </c>
      <c r="G137" s="285">
        <f t="shared" ca="1" si="78"/>
        <v>1.9691718506968131E-5</v>
      </c>
      <c r="H137" s="285">
        <f t="shared" ca="1" si="78"/>
        <v>3.1029502302257457E-5</v>
      </c>
      <c r="I137" s="285">
        <f t="shared" ca="1" si="78"/>
        <v>4.4838414113705024E-5</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9.3732469487793589E-3</v>
      </c>
      <c r="F140" s="296">
        <f t="shared" ca="1" si="81"/>
        <v>1.9131859916887053E-2</v>
      </c>
      <c r="G140" s="296">
        <f t="shared" ca="1" si="81"/>
        <v>2.9833001102258259E-2</v>
      </c>
      <c r="H140" s="296">
        <f t="shared" ca="1" si="81"/>
        <v>4.1006907262246622E-2</v>
      </c>
      <c r="I140" s="296">
        <f t="shared" ca="1" si="81"/>
        <v>5.260719276031086E-2</v>
      </c>
    </row>
    <row r="141" spans="1:16" ht="13.5" outlineLevel="1" thickBot="1">
      <c r="A141" s="122" t="s">
        <v>148</v>
      </c>
      <c r="B141" s="126"/>
      <c r="C141" s="124">
        <f t="shared" ref="C141:I141" ca="1" si="82">IF((+C36+C48)&lt;&gt;0,+C140/(+C36+C48),0)</f>
        <v>0</v>
      </c>
      <c r="D141" s="124">
        <f t="shared" ca="1" si="82"/>
        <v>0</v>
      </c>
      <c r="E141" s="124">
        <f t="shared" ca="1" si="82"/>
        <v>2.1419956743282367E-2</v>
      </c>
      <c r="F141" s="124">
        <f t="shared" ca="1" si="82"/>
        <v>4.32993521421976E-2</v>
      </c>
      <c r="G141" s="124">
        <f t="shared" ca="1" si="82"/>
        <v>6.6881321124051374E-2</v>
      </c>
      <c r="H141" s="124">
        <f t="shared" ca="1" si="82"/>
        <v>9.1000282576032793E-2</v>
      </c>
      <c r="I141" s="124">
        <f t="shared" ca="1" si="82"/>
        <v>0.1156696032425973</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(SEM)'!$N$115:$R$120</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0.433</v>
      </c>
      <c r="E205" s="82">
        <f t="shared" ca="1" si="95"/>
        <v>0.433</v>
      </c>
      <c r="F205" s="82">
        <f t="shared" ca="1" si="95"/>
        <v>0.433</v>
      </c>
      <c r="G205" s="82">
        <f t="shared" ca="1" si="95"/>
        <v>0.433</v>
      </c>
      <c r="H205" s="82">
        <f t="shared" ca="1" si="95"/>
        <v>0.433</v>
      </c>
      <c r="I205" s="82">
        <f t="shared" ca="1" si="95"/>
        <v>0.433</v>
      </c>
    </row>
    <row r="206" spans="1:9" outlineLevel="1">
      <c r="A206" t="s">
        <v>156</v>
      </c>
      <c r="B206" s="82">
        <f t="shared" ref="B206:I206" ca="1" si="96">+B36</f>
        <v>0</v>
      </c>
      <c r="C206" s="82">
        <f t="shared" ca="1" si="96"/>
        <v>0</v>
      </c>
      <c r="D206" s="82">
        <f t="shared" ca="1" si="96"/>
        <v>0.433</v>
      </c>
      <c r="E206" s="82">
        <f t="shared" ca="1" si="96"/>
        <v>0.433</v>
      </c>
      <c r="F206" s="82">
        <f t="shared" ca="1" si="96"/>
        <v>0.433</v>
      </c>
      <c r="G206" s="82">
        <f t="shared" ca="1" si="96"/>
        <v>0.433</v>
      </c>
      <c r="H206" s="82">
        <f t="shared" ca="1" si="96"/>
        <v>0.433</v>
      </c>
      <c r="I206" s="82">
        <f t="shared" ca="1" si="96"/>
        <v>0.433</v>
      </c>
    </row>
    <row r="207" spans="1:9" outlineLevel="1">
      <c r="A207" t="s">
        <v>157</v>
      </c>
      <c r="B207" s="82">
        <f t="shared" ref="B207:I207" ca="1" si="97">+B36+B48</f>
        <v>0</v>
      </c>
      <c r="C207" s="82">
        <f t="shared" ca="1" si="97"/>
        <v>0</v>
      </c>
      <c r="D207" s="82">
        <f t="shared" ca="1" si="97"/>
        <v>0.433</v>
      </c>
      <c r="E207" s="82">
        <f t="shared" ca="1" si="97"/>
        <v>0.4375941119357748</v>
      </c>
      <c r="F207" s="82">
        <f t="shared" ca="1" si="97"/>
        <v>0.44185095088852389</v>
      </c>
      <c r="G207" s="82">
        <f t="shared" ca="1" si="97"/>
        <v>0.44605878892440015</v>
      </c>
      <c r="H207" s="82">
        <f t="shared" ca="1" si="97"/>
        <v>0.45062395523864912</v>
      </c>
      <c r="I207" s="82">
        <f t="shared" ca="1" si="97"/>
        <v>0.45480568174835206</v>
      </c>
    </row>
    <row r="208" spans="1:9" outlineLevel="1">
      <c r="A208" t="s">
        <v>158</v>
      </c>
      <c r="B208" s="82">
        <f t="shared" ref="B208:I208" ca="1" si="98">+B70</f>
        <v>0</v>
      </c>
      <c r="C208" s="82">
        <f t="shared" ca="1" si="98"/>
        <v>0</v>
      </c>
      <c r="D208" s="82">
        <f t="shared" ca="1" si="98"/>
        <v>0.433</v>
      </c>
      <c r="E208" s="82">
        <f t="shared" ca="1" si="98"/>
        <v>0.44696735888455419</v>
      </c>
      <c r="F208" s="82">
        <f t="shared" ca="1" si="98"/>
        <v>0.46098281080541093</v>
      </c>
      <c r="G208" s="82">
        <f t="shared" ca="1" si="98"/>
        <v>0.47589179002665843</v>
      </c>
      <c r="H208" s="82">
        <f t="shared" ca="1" si="98"/>
        <v>0.49163086250089577</v>
      </c>
      <c r="I208" s="82">
        <f t="shared" ca="1" si="98"/>
        <v>0.5074128745086629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20" priority="1" stopIfTrue="1" operator="notEqual">
      <formula>0</formula>
    </cfRule>
  </conditionalFormatting>
  <conditionalFormatting sqref="J130 J94 J70 J59 J48 J36:J37 J14 J25">
    <cfRule type="cellIs" dxfId="319" priority="2" stopIfTrue="1" operator="equal">
      <formula>"OK"</formula>
    </cfRule>
    <cfRule type="cellIs" dxfId="318" priority="3" stopIfTrue="1" operator="equal">
      <formula>"Warning Check Escalations"</formula>
    </cfRule>
  </conditionalFormatting>
  <conditionalFormatting sqref="N120:T120 N84:T84">
    <cfRule type="cellIs" dxfId="317" priority="4" stopIfTrue="1" operator="notEqual">
      <formula>0</formula>
    </cfRule>
    <cfRule type="cellIs" dxfId="31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7.xml><?xml version="1.0" encoding="utf-8"?>
<worksheet xmlns="http://schemas.openxmlformats.org/spreadsheetml/2006/main" xmlns:r="http://schemas.openxmlformats.org/officeDocument/2006/relationships">
  <sheetPr codeName="Sheet72" enableFormatConditionsCalculation="0">
    <tabColor indexed="57"/>
    <pageSetUpPr fitToPage="1"/>
  </sheetPr>
  <dimension ref="A1:T239"/>
  <sheetViews>
    <sheetView showGridLines="0" topLeftCell="A6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14</v>
      </c>
      <c r="M1" s="282"/>
      <c r="N1" s="280"/>
      <c r="O1" s="280"/>
      <c r="P1" s="280"/>
      <c r="Q1" s="280"/>
      <c r="R1" s="280"/>
      <c r="S1" s="280"/>
      <c r="T1" s="280"/>
    </row>
    <row r="2" spans="1:20" ht="15.75">
      <c r="A2" s="184" t="s">
        <v>121</v>
      </c>
      <c r="B2" s="74" t="str">
        <f ca="1">OFFSET(List_AllocOpexListStart,+$K$1,1)</f>
        <v>Payroll</v>
      </c>
      <c r="F2" s="284"/>
      <c r="H2" s="42"/>
      <c r="I2" s="283"/>
      <c r="L2" s="282"/>
      <c r="M2" s="282"/>
    </row>
    <row r="3" spans="1:20" ht="16.5" thickBot="1">
      <c r="A3" s="184" t="s">
        <v>371</v>
      </c>
      <c r="B3" s="236" t="str">
        <f ca="1">OFFSET(List_AllocOpexListStart,+$K$1,2)</f>
        <v>John Fleetwood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0.40500000000000003</v>
      </c>
      <c r="E8" s="285">
        <f ca="1">OFFSET(Future_AOpexStart,MATCH($K$1,'I-6 Future A'!$A$6:$A$379)+2,+'I-5 Future DA'!F$5)</f>
        <v>0.40500000000000003</v>
      </c>
      <c r="F8" s="285">
        <f ca="1">OFFSET(Future_AOpexStart,MATCH($K$1,'I-6 Future A'!$A$6:$A$379)+2,+'I-5 Future DA'!G$5)</f>
        <v>0.40500000000000003</v>
      </c>
      <c r="G8" s="285">
        <f ca="1">OFFSET(Future_AOpexStart,MATCH($K$1,'I-6 Future A'!$A$6:$A$379)+2,+'I-5 Future DA'!H$5)</f>
        <v>0.40500000000000003</v>
      </c>
      <c r="H8" s="285">
        <f ca="1">OFFSET(Future_AOpexStart,MATCH($K$1,'I-6 Future A'!$A$6:$A$379)+2,+'I-5 Future DA'!I$5)</f>
        <v>0.40500000000000003</v>
      </c>
      <c r="I8" s="285">
        <f ca="1">OFFSET(Future_AOpexStart,MATCH($K$1,'I-6 Future A'!$A$6:$A$379)+2,+'I-5 Future DA'!J$5)</f>
        <v>0.40500000000000003</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2E-3</v>
      </c>
      <c r="E9" s="285">
        <f ca="1">OFFSET(Future_AOpexStart,MATCH($K$1,'I-6 Future A'!$A$6:$A$379)+3,+'I-5 Future DA'!F$5)</f>
        <v>2E-3</v>
      </c>
      <c r="F9" s="285">
        <f ca="1">OFFSET(Future_AOpexStart,MATCH($K$1,'I-6 Future A'!$A$6:$A$379)+3,+'I-5 Future DA'!G$5)</f>
        <v>2E-3</v>
      </c>
      <c r="G9" s="285">
        <f ca="1">OFFSET(Future_AOpexStart,MATCH($K$1,'I-6 Future A'!$A$6:$A$379)+3,+'I-5 Future DA'!H$5)</f>
        <v>2E-3</v>
      </c>
      <c r="H9" s="285">
        <f ca="1">OFFSET(Future_AOpexStart,MATCH($K$1,'I-6 Future A'!$A$6:$A$379)+3,+'I-5 Future DA'!I$5)</f>
        <v>2E-3</v>
      </c>
      <c r="I9" s="285">
        <f ca="1">OFFSET(Future_AOpexStart,MATCH($K$1,'I-6 Future A'!$A$6:$A$379)+3,+'I-5 Future DA'!J$5)</f>
        <v>2E-3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8.9999999999999993E-3</v>
      </c>
      <c r="E11" s="285">
        <f ca="1">OFFSET(Future_AOpexStart,MATCH($K$1,'I-6 Future A'!$A$6:$A$379)+5,+'I-5 Future DA'!F$5)</f>
        <v>8.9999999999999993E-3</v>
      </c>
      <c r="F11" s="285">
        <f ca="1">OFFSET(Future_AOpexStart,MATCH($K$1,'I-6 Future A'!$A$6:$A$379)+5,+'I-5 Future DA'!G$5)</f>
        <v>8.9999999999999993E-3</v>
      </c>
      <c r="G11" s="285">
        <f ca="1">OFFSET(Future_AOpexStart,MATCH($K$1,'I-6 Future A'!$A$6:$A$379)+5,+'I-5 Future DA'!H$5)</f>
        <v>8.9999999999999993E-3</v>
      </c>
      <c r="H11" s="285">
        <f ca="1">OFFSET(Future_AOpexStart,MATCH($K$1,'I-6 Future A'!$A$6:$A$379)+5,+'I-5 Future DA'!I$5)</f>
        <v>8.9999999999999993E-3</v>
      </c>
      <c r="I11" s="285">
        <f ca="1">OFFSET(Future_AOpexStart,MATCH($K$1,'I-6 Future A'!$A$6:$A$379)+5,+'I-5 Future DA'!J$5)</f>
        <v>8.9999999999999993E-3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0.41600000000000004</v>
      </c>
      <c r="E14" s="287">
        <f t="shared" ca="1" si="0"/>
        <v>0.41600000000000004</v>
      </c>
      <c r="F14" s="287">
        <f t="shared" ca="1" si="0"/>
        <v>0.41600000000000004</v>
      </c>
      <c r="G14" s="287">
        <f t="shared" ca="1" si="0"/>
        <v>0.41600000000000004</v>
      </c>
      <c r="H14" s="287">
        <f t="shared" ca="1" si="0"/>
        <v>0.41600000000000004</v>
      </c>
      <c r="I14" s="287">
        <f t="shared" ca="1" si="0"/>
        <v>0.41600000000000004</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+'A-14'!B8+'A-14'!B19</f>
        <v>0</v>
      </c>
      <c r="C30" s="285">
        <f ca="1">+'A-14'!C8+'A-14'!C19</f>
        <v>0</v>
      </c>
      <c r="D30" s="285">
        <f ca="1">+'A-14'!D8+'A-14'!D19</f>
        <v>0.40500000000000003</v>
      </c>
      <c r="E30" s="285">
        <f ca="1">+'A-14'!E8+'A-14'!E19</f>
        <v>0.40500000000000003</v>
      </c>
      <c r="F30" s="285">
        <f ca="1">+'A-14'!F8+'A-14'!F19</f>
        <v>0.40500000000000003</v>
      </c>
      <c r="G30" s="285">
        <f ca="1">+'A-14'!G8+'A-14'!G19</f>
        <v>0.40500000000000003</v>
      </c>
      <c r="H30" s="285">
        <f ca="1">+'A-14'!H8+'A-14'!H19</f>
        <v>0.40500000000000003</v>
      </c>
      <c r="I30" s="285">
        <f ca="1">+'A-14'!I8+'A-14'!I19</f>
        <v>0.40500000000000003</v>
      </c>
      <c r="J30" s="42"/>
      <c r="K30" s="21"/>
      <c r="L30" s="21"/>
    </row>
    <row r="31" spans="1:12" outlineLevel="2">
      <c r="A31" s="61" t="s">
        <v>69</v>
      </c>
      <c r="B31" s="285">
        <f ca="1">+'A-14'!B9+'A-14'!B20</f>
        <v>0</v>
      </c>
      <c r="C31" s="285">
        <f ca="1">+'A-14'!C9+'A-14'!C20</f>
        <v>0</v>
      </c>
      <c r="D31" s="285">
        <f ca="1">+'A-14'!D9+'A-14'!D20</f>
        <v>2E-3</v>
      </c>
      <c r="E31" s="285">
        <f ca="1">+'A-14'!E9+'A-14'!E20</f>
        <v>2E-3</v>
      </c>
      <c r="F31" s="285">
        <f ca="1">+'A-14'!F9+'A-14'!F20</f>
        <v>2E-3</v>
      </c>
      <c r="G31" s="285">
        <f ca="1">+'A-14'!G9+'A-14'!G20</f>
        <v>2E-3</v>
      </c>
      <c r="H31" s="285">
        <f ca="1">+'A-14'!H9+'A-14'!H20</f>
        <v>2E-3</v>
      </c>
      <c r="I31" s="285">
        <f ca="1">+'A-14'!I9+'A-14'!I20</f>
        <v>2E-3</v>
      </c>
      <c r="J31" s="42"/>
      <c r="K31" s="21"/>
      <c r="L31" s="21"/>
    </row>
    <row r="32" spans="1:12" s="759" customFormat="1" outlineLevel="2">
      <c r="A32" s="61" t="s">
        <v>646</v>
      </c>
      <c r="B32" s="285">
        <f ca="1">+'A-14'!B10+'A-14'!B21</f>
        <v>0</v>
      </c>
      <c r="C32" s="285">
        <f ca="1">+'A-14'!C10+'A-14'!C21</f>
        <v>0</v>
      </c>
      <c r="D32" s="285">
        <f ca="1">+'A-14'!D10+'A-14'!D21</f>
        <v>0</v>
      </c>
      <c r="E32" s="285">
        <f ca="1">+'A-14'!E10+'A-14'!E21</f>
        <v>0</v>
      </c>
      <c r="F32" s="285">
        <f ca="1">+'A-14'!F10+'A-14'!F21</f>
        <v>0</v>
      </c>
      <c r="G32" s="285">
        <f ca="1">+'A-14'!G10+'A-14'!G21</f>
        <v>0</v>
      </c>
      <c r="H32" s="285">
        <f ca="1">+'A-14'!H10+'A-14'!H21</f>
        <v>0</v>
      </c>
      <c r="I32" s="285">
        <f ca="1">+'A-14'!I10+'A-14'!I21</f>
        <v>0</v>
      </c>
      <c r="J32" s="42"/>
      <c r="K32" s="732"/>
      <c r="L32" s="732"/>
    </row>
    <row r="33" spans="1:12" outlineLevel="2">
      <c r="A33" s="61" t="s">
        <v>647</v>
      </c>
      <c r="B33" s="285">
        <f ca="1">+'A-14'!B11+'A-14'!B22</f>
        <v>0</v>
      </c>
      <c r="C33" s="285">
        <f ca="1">+'A-14'!C11+'A-14'!C22</f>
        <v>0</v>
      </c>
      <c r="D33" s="285">
        <f ca="1">+'A-14'!D11+'A-14'!D22</f>
        <v>8.9999999999999993E-3</v>
      </c>
      <c r="E33" s="285">
        <f ca="1">+'A-14'!E11+'A-14'!E22</f>
        <v>8.9999999999999993E-3</v>
      </c>
      <c r="F33" s="285">
        <f ca="1">+'A-14'!F11+'A-14'!F22</f>
        <v>8.9999999999999993E-3</v>
      </c>
      <c r="G33" s="285">
        <f ca="1">+'A-14'!G11+'A-14'!G22</f>
        <v>8.9999999999999993E-3</v>
      </c>
      <c r="H33" s="285">
        <f ca="1">+'A-14'!H11+'A-14'!H22</f>
        <v>8.9999999999999993E-3</v>
      </c>
      <c r="I33" s="285">
        <f ca="1">+'A-14'!I11+'A-14'!I22</f>
        <v>8.9999999999999993E-3</v>
      </c>
      <c r="J33" s="42"/>
      <c r="K33" s="21"/>
      <c r="L33" s="21"/>
    </row>
    <row r="34" spans="1:12" s="759" customFormat="1" outlineLevel="2">
      <c r="A34" s="61" t="s">
        <v>575</v>
      </c>
      <c r="B34" s="285">
        <f ca="1">+'A-14'!B12+'A-14'!B23</f>
        <v>0</v>
      </c>
      <c r="C34" s="285">
        <f ca="1">+'A-14'!C12+'A-14'!C23</f>
        <v>0</v>
      </c>
      <c r="D34" s="285">
        <f ca="1">+'A-14'!D12+'A-14'!D23</f>
        <v>0</v>
      </c>
      <c r="E34" s="285">
        <f ca="1">+'A-14'!E12+'A-14'!E23</f>
        <v>0</v>
      </c>
      <c r="F34" s="285">
        <f ca="1">+'A-14'!F12+'A-14'!F23</f>
        <v>0</v>
      </c>
      <c r="G34" s="285">
        <f ca="1">+'A-14'!G12+'A-14'!G23</f>
        <v>0</v>
      </c>
      <c r="H34" s="285">
        <f ca="1">+'A-14'!H12+'A-14'!H23</f>
        <v>0</v>
      </c>
      <c r="I34" s="285">
        <f ca="1">+'A-14'!I12+'A-14'!I23</f>
        <v>0</v>
      </c>
      <c r="J34" s="42"/>
      <c r="K34" s="732"/>
      <c r="L34" s="732"/>
    </row>
    <row r="35" spans="1:12" ht="13.5" outlineLevel="2" thickBot="1">
      <c r="A35" s="83" t="s">
        <v>70</v>
      </c>
      <c r="B35" s="285">
        <f ca="1">+'A-14'!B13+'A-14'!B24</f>
        <v>0</v>
      </c>
      <c r="C35" s="285">
        <f ca="1">+'A-14'!C13+'A-14'!C24</f>
        <v>0</v>
      </c>
      <c r="D35" s="285">
        <f ca="1">+'A-14'!D13+'A-14'!D24</f>
        <v>0</v>
      </c>
      <c r="E35" s="285">
        <f ca="1">+'A-14'!E13+'A-14'!E24</f>
        <v>0</v>
      </c>
      <c r="F35" s="285">
        <f ca="1">+'A-14'!F13+'A-14'!F24</f>
        <v>0</v>
      </c>
      <c r="G35" s="285">
        <f ca="1">+'A-14'!G13+'A-14'!G24</f>
        <v>0</v>
      </c>
      <c r="H35" s="285">
        <f ca="1">+'A-14'!H13+'A-14'!H24</f>
        <v>0</v>
      </c>
      <c r="I35" s="285">
        <f ca="1">+'A-14'!I13+'A-14'!I24</f>
        <v>0</v>
      </c>
      <c r="J35" s="93"/>
      <c r="K35" s="21"/>
      <c r="L35" s="21"/>
    </row>
    <row r="36" spans="1:12" s="87" customFormat="1" ht="20.25" customHeight="1" thickBot="1">
      <c r="A36" s="94" t="s">
        <v>128</v>
      </c>
      <c r="B36" s="294">
        <f t="shared" ref="B36:I36" ca="1" si="7">SUM(B30:B35)</f>
        <v>0</v>
      </c>
      <c r="C36" s="294">
        <f t="shared" ca="1" si="7"/>
        <v>0</v>
      </c>
      <c r="D36" s="294">
        <f t="shared" ca="1" si="7"/>
        <v>0.41600000000000004</v>
      </c>
      <c r="E36" s="294">
        <f t="shared" ca="1" si="7"/>
        <v>0.41600000000000004</v>
      </c>
      <c r="F36" s="294">
        <f t="shared" ca="1" si="7"/>
        <v>0.41600000000000004</v>
      </c>
      <c r="G36" s="294">
        <f t="shared" ca="1" si="7"/>
        <v>0.41600000000000004</v>
      </c>
      <c r="H36" s="294">
        <f t="shared" ca="1" si="7"/>
        <v>0.41600000000000004</v>
      </c>
      <c r="I36" s="294">
        <f t="shared" ca="1" si="7"/>
        <v>0.41600000000000004</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4.2970331039002239E-3</v>
      </c>
      <c r="F42" s="285">
        <f t="shared" ca="1" si="8"/>
        <v>8.2786030250627599E-3</v>
      </c>
      <c r="G42" s="285">
        <f t="shared" ca="1" si="8"/>
        <v>1.2214340679866209E-2</v>
      </c>
      <c r="H42" s="285">
        <f t="shared" ca="1" si="8"/>
        <v>1.6484299934533257E-2</v>
      </c>
      <c r="I42" s="285">
        <f t="shared" ca="1" si="8"/>
        <v>2.0395614568320074E-2</v>
      </c>
      <c r="K42" s="63"/>
      <c r="L42" s="63"/>
    </row>
    <row r="43" spans="1:12" outlineLevel="1">
      <c r="A43" s="61" t="s">
        <v>69</v>
      </c>
      <c r="B43" s="82"/>
      <c r="C43" s="285">
        <f t="shared" ca="1" si="8"/>
        <v>0</v>
      </c>
      <c r="D43" s="285">
        <f t="shared" ca="1" si="8"/>
        <v>0</v>
      </c>
      <c r="E43" s="285">
        <f t="shared" ca="1" si="8"/>
        <v>2.1219916562470244E-5</v>
      </c>
      <c r="F43" s="285">
        <f t="shared" ca="1" si="8"/>
        <v>4.0881990247223498E-5</v>
      </c>
      <c r="G43" s="285">
        <f t="shared" ca="1" si="8"/>
        <v>6.0317731752425721E-5</v>
      </c>
      <c r="H43" s="285">
        <f t="shared" ca="1" si="8"/>
        <v>8.1403950293991385E-5</v>
      </c>
      <c r="I43" s="285">
        <f t="shared" ca="1" si="8"/>
        <v>1.0071908428800036E-4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9.5489624531116079E-5</v>
      </c>
      <c r="F45" s="285">
        <f t="shared" ca="1" si="10"/>
        <v>1.8396895611250572E-4</v>
      </c>
      <c r="G45" s="285">
        <f t="shared" ca="1" si="10"/>
        <v>2.7142979288591573E-4</v>
      </c>
      <c r="H45" s="285">
        <f t="shared" ca="1" si="10"/>
        <v>3.6631777632296122E-4</v>
      </c>
      <c r="I45" s="285">
        <f t="shared" ca="1" si="10"/>
        <v>4.5323587929600159E-4</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4.4137426449938101E-3</v>
      </c>
      <c r="F48" s="294">
        <f t="shared" ca="1" si="13"/>
        <v>8.5034539714224904E-3</v>
      </c>
      <c r="G48" s="294">
        <f t="shared" ca="1" si="13"/>
        <v>1.2546088204504549E-2</v>
      </c>
      <c r="H48" s="294">
        <f t="shared" ca="1" si="13"/>
        <v>1.6932021661150209E-2</v>
      </c>
      <c r="I48" s="294">
        <f t="shared" ca="1" si="13"/>
        <v>2.0949569531904074E-2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8.7826817803012061E-3</v>
      </c>
      <c r="F53" s="285">
        <f t="shared" ca="1" si="14"/>
        <v>1.7926528121166508E-2</v>
      </c>
      <c r="G53" s="285">
        <f t="shared" ca="1" si="14"/>
        <v>2.794997754726684E-2</v>
      </c>
      <c r="H53" s="285">
        <f t="shared" ca="1" si="14"/>
        <v>3.8414885399947842E-2</v>
      </c>
      <c r="I53" s="285">
        <f t="shared" ca="1" si="14"/>
        <v>4.9277207199559837E-2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4.547744812265461E-5</v>
      </c>
      <c r="F56" s="285">
        <f t="shared" ca="1" si="16"/>
        <v>9.2069288785025382E-5</v>
      </c>
      <c r="G56" s="285">
        <f t="shared" ca="1" si="16"/>
        <v>1.7722546656271314E-4</v>
      </c>
      <c r="H56" s="285">
        <f t="shared" ca="1" si="16"/>
        <v>2.7926552072031708E-4</v>
      </c>
      <c r="I56" s="285">
        <f t="shared" ca="1" si="16"/>
        <v>4.0354572702334523E-4</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8.82815922842386E-3</v>
      </c>
      <c r="F59" s="287">
        <f t="shared" ca="1" si="19"/>
        <v>1.8018597409951532E-2</v>
      </c>
      <c r="G59" s="287">
        <f t="shared" ca="1" si="19"/>
        <v>2.8127203013829552E-2</v>
      </c>
      <c r="H59" s="287">
        <f t="shared" ca="1" si="19"/>
        <v>3.8694150920668156E-2</v>
      </c>
      <c r="I59" s="287">
        <f t="shared" ca="1" si="19"/>
        <v>4.968075292658318E-2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0.40500000000000003</v>
      </c>
      <c r="E64" s="285">
        <f t="shared" ca="1" si="20"/>
        <v>0.41807971488420148</v>
      </c>
      <c r="F64" s="285">
        <f t="shared" ca="1" si="20"/>
        <v>0.43120513114622933</v>
      </c>
      <c r="G64" s="285">
        <f t="shared" ca="1" si="20"/>
        <v>0.44516431822713309</v>
      </c>
      <c r="H64" s="285">
        <f t="shared" ca="1" si="20"/>
        <v>0.45989918533448115</v>
      </c>
      <c r="I64" s="285">
        <f t="shared" ca="1" si="20"/>
        <v>0.47467282176787995</v>
      </c>
      <c r="K64" s="63"/>
      <c r="L64" s="63"/>
    </row>
    <row r="65" spans="1:20" ht="12.75" customHeight="1" outlineLevel="1">
      <c r="A65" s="61" t="s">
        <v>69</v>
      </c>
      <c r="B65" s="285">
        <f t="shared" ca="1" si="20"/>
        <v>0</v>
      </c>
      <c r="C65" s="285">
        <f t="shared" ca="1" si="20"/>
        <v>0</v>
      </c>
      <c r="D65" s="285">
        <f t="shared" ca="1" si="20"/>
        <v>2E-3</v>
      </c>
      <c r="E65" s="285">
        <f t="shared" ca="1" si="20"/>
        <v>2.0212199165624703E-3</v>
      </c>
      <c r="F65" s="285">
        <f t="shared" ca="1" si="20"/>
        <v>2.0408819902472237E-3</v>
      </c>
      <c r="G65" s="285">
        <f t="shared" ca="1" si="20"/>
        <v>2.0603177317524259E-3</v>
      </c>
      <c r="H65" s="285">
        <f t="shared" ca="1" si="20"/>
        <v>2.0814039502939914E-3</v>
      </c>
      <c r="I65" s="285">
        <f t="shared" ca="1" si="20"/>
        <v>2.1007190842880002E-3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8.9999999999999993E-3</v>
      </c>
      <c r="E67" s="285">
        <f t="shared" ca="1" si="22"/>
        <v>9.14096707265377E-3</v>
      </c>
      <c r="F67" s="285">
        <f t="shared" ca="1" si="22"/>
        <v>9.2760382448975314E-3</v>
      </c>
      <c r="G67" s="285">
        <f t="shared" ca="1" si="22"/>
        <v>9.4486552594486278E-3</v>
      </c>
      <c r="H67" s="285">
        <f t="shared" ca="1" si="22"/>
        <v>9.6455832970432764E-3</v>
      </c>
      <c r="I67" s="285">
        <f t="shared" ca="1" si="22"/>
        <v>9.8567816063193474E-3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0.41600000000000004</v>
      </c>
      <c r="E70" s="295">
        <f t="shared" ca="1" si="25"/>
        <v>0.42924190187341771</v>
      </c>
      <c r="F70" s="295">
        <f t="shared" ca="1" si="25"/>
        <v>0.44252205138137407</v>
      </c>
      <c r="G70" s="295">
        <f t="shared" ca="1" si="25"/>
        <v>0.45667329121833411</v>
      </c>
      <c r="H70" s="295">
        <f t="shared" ca="1" si="25"/>
        <v>0.47162617258181844</v>
      </c>
      <c r="I70" s="295">
        <f t="shared" ca="1" si="25"/>
        <v>0.48663032245848731</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4.2970331039002239E-3</v>
      </c>
      <c r="Q77" s="285">
        <f ca="1">IF($B77&lt;&gt;0,(+VLOOKUP($B77,$A$8:$I$13,6,FALSE))*(F77),0)</f>
        <v>8.2786030250627599E-3</v>
      </c>
      <c r="R77" s="285">
        <f ca="1">IF($B77&lt;&gt;0,(+VLOOKUP($B77,$A$8:$I$13,7,FALSE))*(G77),0)</f>
        <v>1.2214340679866209E-2</v>
      </c>
      <c r="S77" s="285">
        <f ca="1">IF($B77&lt;&gt;0,(+VLOOKUP($B77,$A$8:$I$13,8,FALSE))*(H77),0)</f>
        <v>1.6484299934533257E-2</v>
      </c>
      <c r="T77" s="285">
        <f ca="1">IF($B77&lt;&gt;0,(+VLOOKUP($B77,$A$8:$I$13,9,FALSE))*(I77),0)</f>
        <v>2.0395614568320074E-2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2.1219916562470244E-5</v>
      </c>
      <c r="Q78" s="285">
        <f ca="1">IF($B78&lt;&gt;0,(+VLOOKUP($B78,$A$8:$I$13,6,FALSE))*(F78),0)</f>
        <v>4.0881990247223498E-5</v>
      </c>
      <c r="R78" s="285">
        <f ca="1">IF($B78&lt;&gt;0,(+VLOOKUP($B78,$A$8:$I$13,7,FALSE))*(G78),0)</f>
        <v>6.0317731752425721E-5</v>
      </c>
      <c r="S78" s="285">
        <f ca="1">IF($B78&lt;&gt;0,(+VLOOKUP($B78,$A$8:$I$13,8,FALSE))*(H78),0)</f>
        <v>8.1403950293991385E-5</v>
      </c>
      <c r="T78" s="285">
        <f ca="1">IF($B78&lt;&gt;0,(+VLOOKUP($B78,$A$8:$I$13,9,FALSE))*(I78),0)</f>
        <v>1.0071908428800036E-4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9.5489624531116079E-5</v>
      </c>
      <c r="Q80" s="285">
        <f t="shared" ca="1" si="34"/>
        <v>1.8396895611250572E-4</v>
      </c>
      <c r="R80" s="285">
        <f t="shared" ca="1" si="35"/>
        <v>2.7142979288591573E-4</v>
      </c>
      <c r="S80" s="285">
        <f t="shared" ca="1" si="36"/>
        <v>3.6631777632296122E-4</v>
      </c>
      <c r="T80" s="285">
        <f t="shared" ca="1" si="37"/>
        <v>4.5323587929600159E-4</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4.4137426449938101E-3</v>
      </c>
      <c r="Q83" s="292">
        <f t="shared" ca="1" si="51"/>
        <v>8.5034539714224904E-3</v>
      </c>
      <c r="R83" s="292">
        <f t="shared" ca="1" si="51"/>
        <v>1.2546088204504549E-2</v>
      </c>
      <c r="S83" s="292">
        <f t="shared" ca="1" si="51"/>
        <v>1.6932021661150209E-2</v>
      </c>
      <c r="T83" s="292">
        <f t="shared" ca="1" si="51"/>
        <v>2.0949569531904074E-2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4.2970331039002239E-3</v>
      </c>
      <c r="F98" s="285">
        <f t="shared" ca="1" si="54"/>
        <v>8.2786030250627599E-3</v>
      </c>
      <c r="G98" s="285">
        <f t="shared" ca="1" si="54"/>
        <v>1.2214340679866209E-2</v>
      </c>
      <c r="H98" s="285">
        <f t="shared" ca="1" si="54"/>
        <v>1.6484299934533257E-2</v>
      </c>
      <c r="I98" s="285">
        <f t="shared" ca="1" si="54"/>
        <v>2.0395614568320074E-2</v>
      </c>
    </row>
    <row r="99" spans="1:20" outlineLevel="1">
      <c r="A99" s="61" t="s">
        <v>69</v>
      </c>
      <c r="B99" s="119"/>
      <c r="C99" s="285">
        <f t="shared" ref="C99:I99" ca="1" si="55">+C9*(C87)</f>
        <v>0</v>
      </c>
      <c r="D99" s="285">
        <f t="shared" ca="1" si="55"/>
        <v>0</v>
      </c>
      <c r="E99" s="285">
        <f t="shared" ca="1" si="55"/>
        <v>2.1219916562470244E-5</v>
      </c>
      <c r="F99" s="285">
        <f t="shared" ca="1" si="55"/>
        <v>4.0881990247223498E-5</v>
      </c>
      <c r="G99" s="285">
        <f t="shared" ca="1" si="55"/>
        <v>6.0317731752425721E-5</v>
      </c>
      <c r="H99" s="285">
        <f t="shared" ca="1" si="55"/>
        <v>8.1403950293991385E-5</v>
      </c>
      <c r="I99" s="285">
        <f t="shared" ca="1" si="55"/>
        <v>1.0071908428800036E-4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9.5489624531116079E-5</v>
      </c>
      <c r="F101" s="285">
        <f t="shared" ca="1" si="57"/>
        <v>1.8396895611250572E-4</v>
      </c>
      <c r="G101" s="285">
        <f t="shared" ca="1" si="57"/>
        <v>2.7142979288591573E-4</v>
      </c>
      <c r="H101" s="285">
        <f t="shared" ca="1" si="57"/>
        <v>3.6631777632296122E-4</v>
      </c>
      <c r="I101" s="285">
        <f t="shared" ca="1" si="57"/>
        <v>4.5323587929600159E-4</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4.4137426449938101E-3</v>
      </c>
      <c r="F104" s="296">
        <f t="shared" ca="1" si="60"/>
        <v>8.5034539714224904E-3</v>
      </c>
      <c r="G104" s="296">
        <f t="shared" ca="1" si="60"/>
        <v>1.2546088204504549E-2</v>
      </c>
      <c r="H104" s="296">
        <f t="shared" ca="1" si="60"/>
        <v>1.6932021661150209E-2</v>
      </c>
      <c r="I104" s="296">
        <f t="shared" ca="1" si="60"/>
        <v>2.0949569531904074E-2</v>
      </c>
    </row>
    <row r="105" spans="1:20" ht="13.5" outlineLevel="1" thickBot="1">
      <c r="A105" s="122" t="s">
        <v>143</v>
      </c>
      <c r="B105" s="123"/>
      <c r="C105" s="124">
        <f t="shared" ref="C105:I105" ca="1" si="61">IF(C36&lt;&gt;0,+C104/C36,0)</f>
        <v>0</v>
      </c>
      <c r="D105" s="124">
        <f t="shared" ca="1" si="61"/>
        <v>0</v>
      </c>
      <c r="E105" s="124">
        <f t="shared" ca="1" si="61"/>
        <v>1.0609958281235119E-2</v>
      </c>
      <c r="F105" s="124">
        <f t="shared" ca="1" si="61"/>
        <v>2.0440995123611753E-2</v>
      </c>
      <c r="G105" s="124">
        <f t="shared" ca="1" si="61"/>
        <v>3.0158865876212856E-2</v>
      </c>
      <c r="H105" s="124">
        <f t="shared" ca="1" si="61"/>
        <v>4.0701975146995695E-2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8.7826817803012061E-3</v>
      </c>
      <c r="Q113" s="285">
        <f ca="1">IF($B113&lt;&gt;0,(+VLOOKUP($B113,$A$8:$I$13,6,FALSE)+VLOOKUP($B113,$A$42:$I$47,6,FALSE))*(F113),0)</f>
        <v>1.7926528121166508E-2</v>
      </c>
      <c r="R113" s="285">
        <f ca="1">IF($B113&lt;&gt;0,(+VLOOKUP($B113,$A$8:$I$13,7,FALSE)+VLOOKUP($B113,$A$42:$I$47,7,FALSE))*(G113),0)</f>
        <v>2.794997754726684E-2</v>
      </c>
      <c r="S113" s="285">
        <f ca="1">IF($B113&lt;&gt;0,(+VLOOKUP($B113,$A$8:$I$13,8,FALSE)+VLOOKUP($B113,$A$42:$I$47,8,FALSE))*(H113),0)</f>
        <v>3.8414885399947842E-2</v>
      </c>
      <c r="T113" s="285">
        <f ca="1">IF($B113&lt;&gt;0,(+VLOOKUP($B113,$A$8:$I$13,9,FALSE)+VLOOKUP($B113,$A$42:$I$47,9,FALSE))*(I113),0)</f>
        <v>4.9277207199559837E-2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4.547744812265461E-5</v>
      </c>
      <c r="Q116" s="285">
        <f t="shared" ca="1" si="68"/>
        <v>9.2069288785025382E-5</v>
      </c>
      <c r="R116" s="285">
        <f t="shared" ca="1" si="69"/>
        <v>1.7722546656271314E-4</v>
      </c>
      <c r="S116" s="285">
        <f t="shared" ca="1" si="70"/>
        <v>2.7926552072031708E-4</v>
      </c>
      <c r="T116" s="285">
        <f t="shared" ca="1" si="71"/>
        <v>4.0354572702334523E-4</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8.82815922842386E-3</v>
      </c>
      <c r="Q119" s="292">
        <f t="shared" ca="1" si="72"/>
        <v>1.8018597409951532E-2</v>
      </c>
      <c r="R119" s="292">
        <f t="shared" ca="1" si="72"/>
        <v>2.8127203013829552E-2</v>
      </c>
      <c r="S119" s="292">
        <f t="shared" ca="1" si="72"/>
        <v>3.8694150920668156E-2</v>
      </c>
      <c r="T119" s="292">
        <f t="shared" ca="1" si="72"/>
        <v>4.968075292658318E-2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8.7826817803012061E-3</v>
      </c>
      <c r="F134" s="285">
        <f t="shared" ca="1" si="75"/>
        <v>1.7926528121166508E-2</v>
      </c>
      <c r="G134" s="285">
        <f t="shared" ca="1" si="75"/>
        <v>2.794997754726684E-2</v>
      </c>
      <c r="H134" s="285">
        <f t="shared" ca="1" si="75"/>
        <v>3.8414885399947842E-2</v>
      </c>
      <c r="I134" s="285">
        <f t="shared" ca="1" si="75"/>
        <v>4.9277207199559837E-2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4.547744812265461E-5</v>
      </c>
      <c r="F137" s="285">
        <f t="shared" ca="1" si="78"/>
        <v>9.2069288785025382E-5</v>
      </c>
      <c r="G137" s="285">
        <f t="shared" ca="1" si="78"/>
        <v>1.7722546656271314E-4</v>
      </c>
      <c r="H137" s="285">
        <f t="shared" ca="1" si="78"/>
        <v>2.7926552072031708E-4</v>
      </c>
      <c r="I137" s="285">
        <f t="shared" ca="1" si="78"/>
        <v>4.0354572702334523E-4</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8.82815922842386E-3</v>
      </c>
      <c r="F140" s="296">
        <f t="shared" ca="1" si="81"/>
        <v>1.8018597409951532E-2</v>
      </c>
      <c r="G140" s="296">
        <f t="shared" ca="1" si="81"/>
        <v>2.8127203013829552E-2</v>
      </c>
      <c r="H140" s="296">
        <f t="shared" ca="1" si="81"/>
        <v>3.8694150920668156E-2</v>
      </c>
      <c r="I140" s="296">
        <f t="shared" ca="1" si="81"/>
        <v>4.968075292658318E-2</v>
      </c>
    </row>
    <row r="141" spans="1:16" ht="13.5" outlineLevel="1" thickBot="1">
      <c r="A141" s="122" t="s">
        <v>148</v>
      </c>
      <c r="B141" s="126"/>
      <c r="C141" s="124">
        <f t="shared" ref="C141:I141" ca="1" si="82">IF((+C36+C48)&lt;&gt;0,+C140/(+C36+C48),0)</f>
        <v>0</v>
      </c>
      <c r="D141" s="124">
        <f t="shared" ca="1" si="82"/>
        <v>0</v>
      </c>
      <c r="E141" s="124">
        <f t="shared" ca="1" si="82"/>
        <v>2.0998740842490825E-2</v>
      </c>
      <c r="F141" s="124">
        <f t="shared" ca="1" si="82"/>
        <v>4.2446291641161864E-2</v>
      </c>
      <c r="G141" s="124">
        <f t="shared" ca="1" si="82"/>
        <v>6.563402114268535E-2</v>
      </c>
      <c r="H141" s="124">
        <f t="shared" ca="1" si="82"/>
        <v>8.9376966786147136E-2</v>
      </c>
      <c r="I141" s="124">
        <f t="shared" ca="1" si="82"/>
        <v>0.1136990545151589</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(SEM)'!$N$124:$R$129</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0.41600000000000004</v>
      </c>
      <c r="E205" s="82">
        <f t="shared" ca="1" si="95"/>
        <v>0.41600000000000004</v>
      </c>
      <c r="F205" s="82">
        <f t="shared" ca="1" si="95"/>
        <v>0.41600000000000004</v>
      </c>
      <c r="G205" s="82">
        <f t="shared" ca="1" si="95"/>
        <v>0.41600000000000004</v>
      </c>
      <c r="H205" s="82">
        <f t="shared" ca="1" si="95"/>
        <v>0.41600000000000004</v>
      </c>
      <c r="I205" s="82">
        <f t="shared" ca="1" si="95"/>
        <v>0.41600000000000004</v>
      </c>
    </row>
    <row r="206" spans="1:9" outlineLevel="1">
      <c r="A206" t="s">
        <v>156</v>
      </c>
      <c r="B206" s="82">
        <f t="shared" ref="B206:I206" ca="1" si="96">+B36</f>
        <v>0</v>
      </c>
      <c r="C206" s="82">
        <f t="shared" ca="1" si="96"/>
        <v>0</v>
      </c>
      <c r="D206" s="82">
        <f t="shared" ca="1" si="96"/>
        <v>0.41600000000000004</v>
      </c>
      <c r="E206" s="82">
        <f t="shared" ca="1" si="96"/>
        <v>0.41600000000000004</v>
      </c>
      <c r="F206" s="82">
        <f t="shared" ca="1" si="96"/>
        <v>0.41600000000000004</v>
      </c>
      <c r="G206" s="82">
        <f t="shared" ca="1" si="96"/>
        <v>0.41600000000000004</v>
      </c>
      <c r="H206" s="82">
        <f t="shared" ca="1" si="96"/>
        <v>0.41600000000000004</v>
      </c>
      <c r="I206" s="82">
        <f t="shared" ca="1" si="96"/>
        <v>0.41600000000000004</v>
      </c>
    </row>
    <row r="207" spans="1:9" outlineLevel="1">
      <c r="A207" t="s">
        <v>157</v>
      </c>
      <c r="B207" s="82">
        <f t="shared" ref="B207:I207" ca="1" si="97">+B36+B48</f>
        <v>0</v>
      </c>
      <c r="C207" s="82">
        <f t="shared" ca="1" si="97"/>
        <v>0</v>
      </c>
      <c r="D207" s="82">
        <f t="shared" ca="1" si="97"/>
        <v>0.41600000000000004</v>
      </c>
      <c r="E207" s="82">
        <f t="shared" ca="1" si="97"/>
        <v>0.42041374264499387</v>
      </c>
      <c r="F207" s="82">
        <f t="shared" ca="1" si="97"/>
        <v>0.42450345397142253</v>
      </c>
      <c r="G207" s="82">
        <f t="shared" ca="1" si="97"/>
        <v>0.42854608820450457</v>
      </c>
      <c r="H207" s="82">
        <f t="shared" ca="1" si="97"/>
        <v>0.43293202166115025</v>
      </c>
      <c r="I207" s="82">
        <f t="shared" ca="1" si="97"/>
        <v>0.43694956953190411</v>
      </c>
    </row>
    <row r="208" spans="1:9" outlineLevel="1">
      <c r="A208" t="s">
        <v>158</v>
      </c>
      <c r="B208" s="82">
        <f t="shared" ref="B208:I208" ca="1" si="98">+B70</f>
        <v>0</v>
      </c>
      <c r="C208" s="82">
        <f t="shared" ca="1" si="98"/>
        <v>0</v>
      </c>
      <c r="D208" s="82">
        <f t="shared" ca="1" si="98"/>
        <v>0.41600000000000004</v>
      </c>
      <c r="E208" s="82">
        <f t="shared" ca="1" si="98"/>
        <v>0.42924190187341771</v>
      </c>
      <c r="F208" s="82">
        <f t="shared" ca="1" si="98"/>
        <v>0.44252205138137407</v>
      </c>
      <c r="G208" s="82">
        <f t="shared" ca="1" si="98"/>
        <v>0.45667329121833411</v>
      </c>
      <c r="H208" s="82">
        <f t="shared" ca="1" si="98"/>
        <v>0.47162617258181844</v>
      </c>
      <c r="I208" s="82">
        <f t="shared" ca="1" si="98"/>
        <v>0.48663032245848731</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15" priority="1" stopIfTrue="1" operator="notEqual">
      <formula>0</formula>
    </cfRule>
  </conditionalFormatting>
  <conditionalFormatting sqref="J130 J94 J70 J59 J48 J36:J37 J14 J25">
    <cfRule type="cellIs" dxfId="314" priority="2" stopIfTrue="1" operator="equal">
      <formula>"OK"</formula>
    </cfRule>
    <cfRule type="cellIs" dxfId="313" priority="3" stopIfTrue="1" operator="equal">
      <formula>"Warning Check Escalations"</formula>
    </cfRule>
  </conditionalFormatting>
  <conditionalFormatting sqref="N120:T120 N84:T84">
    <cfRule type="cellIs" dxfId="312" priority="4" stopIfTrue="1" operator="notEqual">
      <formula>0</formula>
    </cfRule>
    <cfRule type="cellIs" dxfId="31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8.xml><?xml version="1.0" encoding="utf-8"?>
<worksheet xmlns="http://schemas.openxmlformats.org/spreadsheetml/2006/main" xmlns:r="http://schemas.openxmlformats.org/officeDocument/2006/relationships">
  <sheetPr codeName="Sheet73" enableFormatConditionsCalculation="0">
    <tabColor indexed="57"/>
    <pageSetUpPr fitToPage="1"/>
  </sheetPr>
  <dimension ref="A1:T239"/>
  <sheetViews>
    <sheetView showGridLines="0" topLeftCell="A67"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15</v>
      </c>
      <c r="M1" s="282"/>
      <c r="N1" s="280"/>
      <c r="O1" s="280"/>
      <c r="P1" s="280"/>
      <c r="Q1" s="280"/>
      <c r="R1" s="280"/>
      <c r="S1" s="280"/>
      <c r="T1" s="280"/>
    </row>
    <row r="2" spans="1:20" ht="15.75">
      <c r="A2" s="184" t="s">
        <v>121</v>
      </c>
      <c r="B2" s="74" t="str">
        <f ca="1">OFFSET(List_AllocOpexListStart,+$K$1,1)</f>
        <v>Purchasing and Contracts</v>
      </c>
      <c r="F2" s="284"/>
      <c r="H2" s="42"/>
      <c r="I2" s="283"/>
      <c r="L2" s="282"/>
      <c r="M2" s="282"/>
    </row>
    <row r="3" spans="1:20" ht="16.5" thickBot="1">
      <c r="A3" s="184" t="s">
        <v>371</v>
      </c>
      <c r="B3" s="236" t="str">
        <f ca="1">OFFSET(List_AllocOpexListStart,+$K$1,2)</f>
        <v>Jay Holata</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3.3239999999999998</v>
      </c>
      <c r="E8" s="285">
        <f ca="1">OFFSET(Future_AOpexStart,MATCH($K$1,'I-6 Future A'!$A$6:$A$379)+2,+'I-5 Future DA'!F$5)</f>
        <v>3.3239999999999998</v>
      </c>
      <c r="F8" s="285">
        <f ca="1">OFFSET(Future_AOpexStart,MATCH($K$1,'I-6 Future A'!$A$6:$A$379)+2,+'I-5 Future DA'!G$5)</f>
        <v>3.3239999999999998</v>
      </c>
      <c r="G8" s="285">
        <f ca="1">OFFSET(Future_AOpexStart,MATCH($K$1,'I-6 Future A'!$A$6:$A$379)+2,+'I-5 Future DA'!H$5)</f>
        <v>3.3239999999999998</v>
      </c>
      <c r="H8" s="285">
        <f ca="1">OFFSET(Future_AOpexStart,MATCH($K$1,'I-6 Future A'!$A$6:$A$379)+2,+'I-5 Future DA'!I$5)</f>
        <v>3.3239999999999998</v>
      </c>
      <c r="I8" s="285">
        <f ca="1">OFFSET(Future_AOpexStart,MATCH($K$1,'I-6 Future A'!$A$6:$A$379)+2,+'I-5 Future DA'!J$5)</f>
        <v>3.3239999999999998</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-1.2E-2</v>
      </c>
      <c r="E9" s="285">
        <f ca="1">OFFSET(Future_AOpexStart,MATCH($K$1,'I-6 Future A'!$A$6:$A$379)+3,+'I-5 Future DA'!F$5)</f>
        <v>-1.2E-2</v>
      </c>
      <c r="F9" s="285">
        <f ca="1">OFFSET(Future_AOpexStart,MATCH($K$1,'I-6 Future A'!$A$6:$A$379)+3,+'I-5 Future DA'!G$5)</f>
        <v>-1.2E-2</v>
      </c>
      <c r="G9" s="285">
        <f ca="1">OFFSET(Future_AOpexStart,MATCH($K$1,'I-6 Future A'!$A$6:$A$379)+3,+'I-5 Future DA'!H$5)</f>
        <v>-1.2E-2</v>
      </c>
      <c r="H9" s="285">
        <f ca="1">OFFSET(Future_AOpexStart,MATCH($K$1,'I-6 Future A'!$A$6:$A$379)+3,+'I-5 Future DA'!I$5)</f>
        <v>-1.2E-2</v>
      </c>
      <c r="I9" s="285">
        <f ca="1">OFFSET(Future_AOpexStart,MATCH($K$1,'I-6 Future A'!$A$6:$A$379)+3,+'I-5 Future DA'!J$5)</f>
        <v>-1.2E-2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3.1E-2</v>
      </c>
      <c r="E10" s="285">
        <f ca="1">OFFSET(Future_AOpexStart,MATCH($K$1,'I-6 Future A'!$A$6:$A$379)+4,+'I-5 Future DA'!F$5)</f>
        <v>3.1E-2</v>
      </c>
      <c r="F10" s="285">
        <f ca="1">OFFSET(Future_AOpexStart,MATCH($K$1,'I-6 Future A'!$A$6:$A$379)+4,+'I-5 Future DA'!G$5)</f>
        <v>3.1E-2</v>
      </c>
      <c r="G10" s="285">
        <f ca="1">OFFSET(Future_AOpexStart,MATCH($K$1,'I-6 Future A'!$A$6:$A$379)+4,+'I-5 Future DA'!H$5)</f>
        <v>3.1E-2</v>
      </c>
      <c r="H10" s="285">
        <f ca="1">OFFSET(Future_AOpexStart,MATCH($K$1,'I-6 Future A'!$A$6:$A$379)+4,+'I-5 Future DA'!I$5)</f>
        <v>3.1E-2</v>
      </c>
      <c r="I10" s="285">
        <f ca="1">OFFSET(Future_AOpexStart,MATCH($K$1,'I-6 Future A'!$A$6:$A$379)+4,+'I-5 Future DA'!J$5)</f>
        <v>3.1E-2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0.151</v>
      </c>
      <c r="E11" s="285">
        <f ca="1">OFFSET(Future_AOpexStart,MATCH($K$1,'I-6 Future A'!$A$6:$A$379)+5,+'I-5 Future DA'!F$5)</f>
        <v>0.151</v>
      </c>
      <c r="F11" s="285">
        <f ca="1">OFFSET(Future_AOpexStart,MATCH($K$1,'I-6 Future A'!$A$6:$A$379)+5,+'I-5 Future DA'!G$5)</f>
        <v>0.151</v>
      </c>
      <c r="G11" s="285">
        <f ca="1">OFFSET(Future_AOpexStart,MATCH($K$1,'I-6 Future A'!$A$6:$A$379)+5,+'I-5 Future DA'!H$5)</f>
        <v>0.151</v>
      </c>
      <c r="H11" s="285">
        <f ca="1">OFFSET(Future_AOpexStart,MATCH($K$1,'I-6 Future A'!$A$6:$A$379)+5,+'I-5 Future DA'!I$5)</f>
        <v>0.151</v>
      </c>
      <c r="I11" s="285">
        <f ca="1">OFFSET(Future_AOpexStart,MATCH($K$1,'I-6 Future A'!$A$6:$A$379)+5,+'I-5 Future DA'!J$5)</f>
        <v>0.151</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3.4939999999999998</v>
      </c>
      <c r="E14" s="287">
        <f t="shared" ca="1" si="0"/>
        <v>3.4939999999999998</v>
      </c>
      <c r="F14" s="287">
        <f t="shared" ca="1" si="0"/>
        <v>3.4939999999999998</v>
      </c>
      <c r="G14" s="287">
        <f t="shared" ca="1" si="0"/>
        <v>3.4939999999999998</v>
      </c>
      <c r="H14" s="287">
        <f t="shared" ca="1" si="0"/>
        <v>3.4939999999999998</v>
      </c>
      <c r="I14" s="287">
        <f t="shared" ca="1" si="0"/>
        <v>3.4939999999999998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+'A-15'!B8+'A-15'!B19</f>
        <v>0</v>
      </c>
      <c r="C30" s="285">
        <f ca="1">+'A-15'!C8+'A-15'!C19</f>
        <v>0</v>
      </c>
      <c r="D30" s="285">
        <f ca="1">+'A-15'!D8+'A-15'!D19</f>
        <v>3.3239999999999998</v>
      </c>
      <c r="E30" s="285">
        <f ca="1">+'A-15'!E8+'A-15'!E19</f>
        <v>3.3239999999999998</v>
      </c>
      <c r="F30" s="285">
        <f ca="1">+'A-15'!F8+'A-15'!F19</f>
        <v>3.3239999999999998</v>
      </c>
      <c r="G30" s="285">
        <f ca="1">+'A-15'!G8+'A-15'!G19</f>
        <v>3.3239999999999998</v>
      </c>
      <c r="H30" s="285">
        <f ca="1">+'A-15'!H8+'A-15'!H19</f>
        <v>3.3239999999999998</v>
      </c>
      <c r="I30" s="285">
        <f ca="1">+'A-15'!I8+'A-15'!I19</f>
        <v>3.3239999999999998</v>
      </c>
      <c r="J30" s="42"/>
      <c r="K30" s="21"/>
      <c r="L30" s="21"/>
    </row>
    <row r="31" spans="1:12" outlineLevel="2">
      <c r="A31" s="61" t="s">
        <v>69</v>
      </c>
      <c r="B31" s="285">
        <f ca="1">+'A-15'!B9+'A-15'!B20</f>
        <v>0</v>
      </c>
      <c r="C31" s="285">
        <f ca="1">+'A-15'!C9+'A-15'!C20</f>
        <v>0</v>
      </c>
      <c r="D31" s="285">
        <f ca="1">+'A-15'!D9+'A-15'!D20</f>
        <v>-1.2E-2</v>
      </c>
      <c r="E31" s="285">
        <f ca="1">+'A-15'!E9+'A-15'!E20</f>
        <v>-1.2E-2</v>
      </c>
      <c r="F31" s="285">
        <f ca="1">+'A-15'!F9+'A-15'!F20</f>
        <v>-1.2E-2</v>
      </c>
      <c r="G31" s="285">
        <f ca="1">+'A-15'!G9+'A-15'!G20</f>
        <v>-1.2E-2</v>
      </c>
      <c r="H31" s="285">
        <f ca="1">+'A-15'!H9+'A-15'!H20</f>
        <v>-1.2E-2</v>
      </c>
      <c r="I31" s="285">
        <f ca="1">+'A-15'!I9+'A-15'!I20</f>
        <v>-1.2E-2</v>
      </c>
      <c r="J31" s="42"/>
      <c r="K31" s="21"/>
      <c r="L31" s="21"/>
    </row>
    <row r="32" spans="1:12" s="759" customFormat="1" outlineLevel="2">
      <c r="A32" s="61" t="s">
        <v>646</v>
      </c>
      <c r="B32" s="285">
        <f ca="1">+'A-15'!B10+'A-15'!B21</f>
        <v>0</v>
      </c>
      <c r="C32" s="285">
        <f ca="1">+'A-15'!C10+'A-15'!C21</f>
        <v>0</v>
      </c>
      <c r="D32" s="285">
        <f ca="1">+'A-15'!D10+'A-15'!D21</f>
        <v>3.1E-2</v>
      </c>
      <c r="E32" s="285">
        <f ca="1">+'A-15'!E10+'A-15'!E21</f>
        <v>3.1E-2</v>
      </c>
      <c r="F32" s="285">
        <f ca="1">+'A-15'!F10+'A-15'!F21</f>
        <v>3.1E-2</v>
      </c>
      <c r="G32" s="285">
        <f ca="1">+'A-15'!G10+'A-15'!G21</f>
        <v>3.1E-2</v>
      </c>
      <c r="H32" s="285">
        <f ca="1">+'A-15'!H10+'A-15'!H21</f>
        <v>3.1E-2</v>
      </c>
      <c r="I32" s="285">
        <f ca="1">+'A-15'!I10+'A-15'!I21</f>
        <v>3.1E-2</v>
      </c>
      <c r="J32" s="42"/>
      <c r="K32" s="732"/>
      <c r="L32" s="732"/>
    </row>
    <row r="33" spans="1:12" outlineLevel="2">
      <c r="A33" s="61" t="s">
        <v>647</v>
      </c>
      <c r="B33" s="285">
        <f ca="1">+'A-15'!B11+'A-15'!B22</f>
        <v>0</v>
      </c>
      <c r="C33" s="285">
        <f ca="1">+'A-15'!C11+'A-15'!C22</f>
        <v>0</v>
      </c>
      <c r="D33" s="285">
        <f ca="1">+'A-15'!D11+'A-15'!D22</f>
        <v>0.151</v>
      </c>
      <c r="E33" s="285">
        <f ca="1">+'A-15'!E11+'A-15'!E22</f>
        <v>0.151</v>
      </c>
      <c r="F33" s="285">
        <f ca="1">+'A-15'!F11+'A-15'!F22</f>
        <v>0.151</v>
      </c>
      <c r="G33" s="285">
        <f ca="1">+'A-15'!G11+'A-15'!G22</f>
        <v>0.151</v>
      </c>
      <c r="H33" s="285">
        <f ca="1">+'A-15'!H11+'A-15'!H22</f>
        <v>0.151</v>
      </c>
      <c r="I33" s="285">
        <f ca="1">+'A-15'!I11+'A-15'!I22</f>
        <v>0.151</v>
      </c>
      <c r="J33" s="42"/>
      <c r="K33" s="21"/>
      <c r="L33" s="21"/>
    </row>
    <row r="34" spans="1:12" s="759" customFormat="1" outlineLevel="2">
      <c r="A34" s="61" t="s">
        <v>575</v>
      </c>
      <c r="B34" s="285">
        <f ca="1">+'A-15'!B12+'A-15'!B23</f>
        <v>0</v>
      </c>
      <c r="C34" s="285">
        <f ca="1">+'A-15'!C12+'A-15'!C23</f>
        <v>0</v>
      </c>
      <c r="D34" s="285">
        <f ca="1">+'A-15'!D12+'A-15'!D23</f>
        <v>0</v>
      </c>
      <c r="E34" s="285">
        <f ca="1">+'A-15'!E12+'A-15'!E23</f>
        <v>0</v>
      </c>
      <c r="F34" s="285">
        <f ca="1">+'A-15'!F12+'A-15'!F23</f>
        <v>0</v>
      </c>
      <c r="G34" s="285">
        <f ca="1">+'A-15'!G12+'A-15'!G23</f>
        <v>0</v>
      </c>
      <c r="H34" s="285">
        <f ca="1">+'A-15'!H12+'A-15'!H23</f>
        <v>0</v>
      </c>
      <c r="I34" s="285">
        <f ca="1">+'A-15'!I12+'A-15'!I23</f>
        <v>0</v>
      </c>
      <c r="J34" s="42"/>
      <c r="K34" s="732"/>
      <c r="L34" s="732"/>
    </row>
    <row r="35" spans="1:12" ht="13.5" outlineLevel="2" thickBot="1">
      <c r="A35" s="83" t="s">
        <v>70</v>
      </c>
      <c r="B35" s="285">
        <f ca="1">+'A-15'!B13+'A-15'!B24</f>
        <v>0</v>
      </c>
      <c r="C35" s="285">
        <f ca="1">+'A-15'!C13+'A-15'!C24</f>
        <v>0</v>
      </c>
      <c r="D35" s="285">
        <f ca="1">+'A-15'!D13+'A-15'!D24</f>
        <v>0</v>
      </c>
      <c r="E35" s="285">
        <f ca="1">+'A-15'!E13+'A-15'!E24</f>
        <v>0</v>
      </c>
      <c r="F35" s="285">
        <f ca="1">+'A-15'!F13+'A-15'!F24</f>
        <v>0</v>
      </c>
      <c r="G35" s="285">
        <f ca="1">+'A-15'!G13+'A-15'!G24</f>
        <v>0</v>
      </c>
      <c r="H35" s="285">
        <f ca="1">+'A-15'!H13+'A-15'!H24</f>
        <v>0</v>
      </c>
      <c r="I35" s="285">
        <f ca="1">+'A-15'!I13+'A-15'!I24</f>
        <v>0</v>
      </c>
      <c r="J35" s="93"/>
      <c r="K35" s="21"/>
      <c r="L35" s="21"/>
    </row>
    <row r="36" spans="1:12" s="87" customFormat="1" ht="20.25" customHeight="1" thickBot="1">
      <c r="A36" s="94" t="s">
        <v>128</v>
      </c>
      <c r="B36" s="294">
        <f t="shared" ref="B36:I36" ca="1" si="7">SUM(B30:B35)</f>
        <v>0</v>
      </c>
      <c r="C36" s="294">
        <f t="shared" ca="1" si="7"/>
        <v>0</v>
      </c>
      <c r="D36" s="294">
        <f t="shared" ca="1" si="7"/>
        <v>3.4939999999999998</v>
      </c>
      <c r="E36" s="294">
        <f t="shared" ca="1" si="7"/>
        <v>3.4939999999999998</v>
      </c>
      <c r="F36" s="294">
        <f t="shared" ca="1" si="7"/>
        <v>3.4939999999999998</v>
      </c>
      <c r="G36" s="294">
        <f t="shared" ca="1" si="7"/>
        <v>3.4939999999999998</v>
      </c>
      <c r="H36" s="294">
        <f t="shared" ca="1" si="7"/>
        <v>3.4939999999999998</v>
      </c>
      <c r="I36" s="294">
        <f t="shared" ca="1" si="7"/>
        <v>3.4939999999999998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3.5267501326825539E-2</v>
      </c>
      <c r="F42" s="285">
        <f t="shared" ca="1" si="8"/>
        <v>6.7945867790885447E-2</v>
      </c>
      <c r="G42" s="285">
        <f t="shared" ca="1" si="8"/>
        <v>0.10024807017253154</v>
      </c>
      <c r="H42" s="285">
        <f t="shared" ca="1" si="8"/>
        <v>0.1352933653886137</v>
      </c>
      <c r="I42" s="285">
        <f t="shared" ca="1" si="8"/>
        <v>0.16739511808665658</v>
      </c>
      <c r="K42" s="63"/>
      <c r="L42" s="63"/>
    </row>
    <row r="43" spans="1:12" outlineLevel="1">
      <c r="A43" s="61" t="s">
        <v>69</v>
      </c>
      <c r="B43" s="82"/>
      <c r="C43" s="285">
        <f t="shared" ca="1" si="8"/>
        <v>0</v>
      </c>
      <c r="D43" s="285">
        <f t="shared" ca="1" si="8"/>
        <v>0</v>
      </c>
      <c r="E43" s="285">
        <f t="shared" ca="1" si="8"/>
        <v>-1.2731949937482145E-4</v>
      </c>
      <c r="F43" s="285">
        <f t="shared" ca="1" si="8"/>
        <v>-2.4529194148334102E-4</v>
      </c>
      <c r="G43" s="285">
        <f t="shared" ca="1" si="8"/>
        <v>-3.6190639051455434E-4</v>
      </c>
      <c r="H43" s="285">
        <f t="shared" ca="1" si="8"/>
        <v>-4.8842370176394837E-4</v>
      </c>
      <c r="I43" s="285">
        <f t="shared" ca="1" si="8"/>
        <v>-6.0431450572800212E-4</v>
      </c>
      <c r="K43" s="42"/>
      <c r="L43" s="21"/>
    </row>
    <row r="44" spans="1:12" s="759" customFormat="1" outlineLevel="1">
      <c r="A44" s="61" t="s">
        <v>646</v>
      </c>
      <c r="B44" s="82"/>
      <c r="C44" s="285">
        <f t="shared" ref="C44:I44" ca="1" si="9">+C100</f>
        <v>0</v>
      </c>
      <c r="D44" s="285">
        <f t="shared" ca="1" si="9"/>
        <v>0</v>
      </c>
      <c r="E44" s="285">
        <f t="shared" ca="1" si="9"/>
        <v>3.2890870671828875E-4</v>
      </c>
      <c r="F44" s="285">
        <f t="shared" ca="1" si="9"/>
        <v>6.3367084883196427E-4</v>
      </c>
      <c r="G44" s="285">
        <f t="shared" ca="1" si="9"/>
        <v>9.3492484216259862E-4</v>
      </c>
      <c r="H44" s="285">
        <f t="shared" ca="1" si="9"/>
        <v>1.2617612295568665E-3</v>
      </c>
      <c r="I44" s="285">
        <f t="shared" ca="1" si="9"/>
        <v>1.5611458064640055E-3</v>
      </c>
      <c r="K44" s="42"/>
      <c r="L44" s="732"/>
    </row>
    <row r="45" spans="1:12" outlineLevel="1">
      <c r="A45" s="61" t="s">
        <v>647</v>
      </c>
      <c r="B45" s="82"/>
      <c r="C45" s="285">
        <f t="shared" ref="C45:I45" ca="1" si="10">+C101</f>
        <v>0</v>
      </c>
      <c r="D45" s="285">
        <f t="shared" ca="1" si="10"/>
        <v>0</v>
      </c>
      <c r="E45" s="285">
        <f t="shared" ca="1" si="10"/>
        <v>1.6021037004665033E-3</v>
      </c>
      <c r="F45" s="285">
        <f t="shared" ca="1" si="10"/>
        <v>3.086590263665374E-3</v>
      </c>
      <c r="G45" s="285">
        <f t="shared" ca="1" si="10"/>
        <v>4.5539887473081417E-3</v>
      </c>
      <c r="H45" s="285">
        <f t="shared" ca="1" si="10"/>
        <v>6.1459982471963499E-3</v>
      </c>
      <c r="I45" s="285">
        <f t="shared" ca="1" si="10"/>
        <v>7.6042908637440274E-3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3.7071194234635514E-2</v>
      </c>
      <c r="F48" s="294">
        <f t="shared" ca="1" si="13"/>
        <v>7.1420836961899437E-2</v>
      </c>
      <c r="G48" s="294">
        <f t="shared" ca="1" si="13"/>
        <v>0.10537507737148771</v>
      </c>
      <c r="H48" s="294">
        <f t="shared" ca="1" si="13"/>
        <v>0.14221270116360299</v>
      </c>
      <c r="I48" s="294">
        <f t="shared" ca="1" si="13"/>
        <v>0.1759562402511366</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7.2083047500546185E-2</v>
      </c>
      <c r="F53" s="285">
        <f t="shared" ca="1" si="14"/>
        <v>0.14713031969075915</v>
      </c>
      <c r="G53" s="285">
        <f t="shared" ca="1" si="14"/>
        <v>0.22939685275830854</v>
      </c>
      <c r="H53" s="285">
        <f t="shared" ca="1" si="14"/>
        <v>0.31528661498623856</v>
      </c>
      <c r="I53" s="285">
        <f t="shared" ca="1" si="14"/>
        <v>0.40443811538601698</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1.5664454353358812E-4</v>
      </c>
      <c r="F55" s="285">
        <f t="shared" ca="1" si="15"/>
        <v>3.1712755025953184E-4</v>
      </c>
      <c r="G55" s="285">
        <f t="shared" ca="1" si="15"/>
        <v>6.1044327371601211E-4</v>
      </c>
      <c r="H55" s="285">
        <f t="shared" ca="1" si="15"/>
        <v>9.619145713699813E-4</v>
      </c>
      <c r="I55" s="285">
        <f t="shared" ca="1" si="15"/>
        <v>1.3899908375248559E-3</v>
      </c>
      <c r="K55" s="42"/>
      <c r="L55" s="732"/>
    </row>
    <row r="56" spans="1:12" outlineLevel="1">
      <c r="A56" s="61" t="s">
        <v>647</v>
      </c>
      <c r="B56" s="285"/>
      <c r="C56" s="285">
        <f t="shared" ref="C56:I56" ca="1" si="16">+C137</f>
        <v>0</v>
      </c>
      <c r="D56" s="285">
        <f t="shared" ca="1" si="16"/>
        <v>0</v>
      </c>
      <c r="E56" s="285">
        <f t="shared" ca="1" si="16"/>
        <v>7.6301051850231622E-4</v>
      </c>
      <c r="F56" s="285">
        <f t="shared" ca="1" si="16"/>
        <v>1.5447180673932035E-3</v>
      </c>
      <c r="G56" s="285">
        <f t="shared" ca="1" si="16"/>
        <v>2.9734494945521874E-3</v>
      </c>
      <c r="H56" s="285">
        <f t="shared" ca="1" si="16"/>
        <v>4.6854548476408762E-3</v>
      </c>
      <c r="I56" s="285">
        <f t="shared" ca="1" si="16"/>
        <v>6.770600531169459E-3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7.3002702562582095E-2</v>
      </c>
      <c r="F59" s="287">
        <f t="shared" ca="1" si="19"/>
        <v>0.14899216530841189</v>
      </c>
      <c r="G59" s="287">
        <f t="shared" ca="1" si="19"/>
        <v>0.23298074552657674</v>
      </c>
      <c r="H59" s="287">
        <f t="shared" ca="1" si="19"/>
        <v>0.3209339844052494</v>
      </c>
      <c r="I59" s="287">
        <f t="shared" ca="1" si="19"/>
        <v>0.41259870675471128</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3.3239999999999998</v>
      </c>
      <c r="E64" s="285">
        <f t="shared" ca="1" si="20"/>
        <v>3.4313505488273717</v>
      </c>
      <c r="F64" s="285">
        <f t="shared" ca="1" si="20"/>
        <v>3.5390761874816441</v>
      </c>
      <c r="G64" s="285">
        <f t="shared" ca="1" si="20"/>
        <v>3.6536449229308396</v>
      </c>
      <c r="H64" s="285">
        <f t="shared" ca="1" si="20"/>
        <v>3.7745799803748517</v>
      </c>
      <c r="I64" s="285">
        <f t="shared" ca="1" si="20"/>
        <v>3.8958332334726733</v>
      </c>
      <c r="K64" s="63"/>
      <c r="L64" s="63"/>
    </row>
    <row r="65" spans="1:20" ht="12.75" customHeight="1" outlineLevel="1">
      <c r="A65" s="61" t="s">
        <v>69</v>
      </c>
      <c r="B65" s="285">
        <f t="shared" ca="1" si="20"/>
        <v>0</v>
      </c>
      <c r="C65" s="285">
        <f t="shared" ca="1" si="20"/>
        <v>0</v>
      </c>
      <c r="D65" s="285">
        <f t="shared" ca="1" si="20"/>
        <v>-1.2E-2</v>
      </c>
      <c r="E65" s="285">
        <f t="shared" ca="1" si="20"/>
        <v>-1.2127319499374822E-2</v>
      </c>
      <c r="F65" s="285">
        <f t="shared" ca="1" si="20"/>
        <v>-1.2245291941483341E-2</v>
      </c>
      <c r="G65" s="285">
        <f t="shared" ca="1" si="20"/>
        <v>-1.2361906390514555E-2</v>
      </c>
      <c r="H65" s="285">
        <f t="shared" ca="1" si="20"/>
        <v>-1.2488423701763949E-2</v>
      </c>
      <c r="I65" s="285">
        <f t="shared" ca="1" si="20"/>
        <v>-1.2604314505728003E-2</v>
      </c>
      <c r="K65" s="42"/>
      <c r="L65" s="21"/>
    </row>
    <row r="66" spans="1:20" s="759" customFormat="1" ht="12.75" customHeight="1" outlineLevel="1">
      <c r="A66" s="61" t="s">
        <v>646</v>
      </c>
      <c r="B66" s="285">
        <f t="shared" ref="B66:I66" ca="1" si="21">+B44+B32+B55</f>
        <v>0</v>
      </c>
      <c r="C66" s="285">
        <f t="shared" ca="1" si="21"/>
        <v>0</v>
      </c>
      <c r="D66" s="285">
        <f t="shared" ca="1" si="21"/>
        <v>3.1E-2</v>
      </c>
      <c r="E66" s="285">
        <f t="shared" ca="1" si="21"/>
        <v>3.1485553250251881E-2</v>
      </c>
      <c r="F66" s="285">
        <f t="shared" ca="1" si="21"/>
        <v>3.1950798399091498E-2</v>
      </c>
      <c r="G66" s="285">
        <f t="shared" ca="1" si="21"/>
        <v>3.254536811587861E-2</v>
      </c>
      <c r="H66" s="285">
        <f t="shared" ca="1" si="21"/>
        <v>3.3223675800926847E-2</v>
      </c>
      <c r="I66" s="285">
        <f t="shared" ca="1" si="21"/>
        <v>3.3951136643988862E-2</v>
      </c>
      <c r="K66" s="42"/>
      <c r="L66" s="732"/>
    </row>
    <row r="67" spans="1:20" ht="12.75" customHeight="1" outlineLevel="1">
      <c r="A67" s="61" t="s">
        <v>647</v>
      </c>
      <c r="B67" s="285">
        <f t="shared" ref="B67:I67" ca="1" si="22">+B45+B33+B56</f>
        <v>0</v>
      </c>
      <c r="C67" s="285">
        <f t="shared" ca="1" si="22"/>
        <v>0</v>
      </c>
      <c r="D67" s="285">
        <f t="shared" ca="1" si="22"/>
        <v>0.151</v>
      </c>
      <c r="E67" s="285">
        <f t="shared" ca="1" si="22"/>
        <v>0.15336511421896881</v>
      </c>
      <c r="F67" s="285">
        <f t="shared" ca="1" si="22"/>
        <v>0.15563130833105857</v>
      </c>
      <c r="G67" s="285">
        <f t="shared" ca="1" si="22"/>
        <v>0.15852743824186033</v>
      </c>
      <c r="H67" s="285">
        <f t="shared" ca="1" si="22"/>
        <v>0.16183145309483724</v>
      </c>
      <c r="I67" s="285">
        <f t="shared" ca="1" si="22"/>
        <v>0.16537489139491349</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3.4939999999999998</v>
      </c>
      <c r="E70" s="295">
        <f t="shared" ca="1" si="25"/>
        <v>3.6040738967972175</v>
      </c>
      <c r="F70" s="295">
        <f t="shared" ca="1" si="25"/>
        <v>3.7144130022703106</v>
      </c>
      <c r="G70" s="295">
        <f t="shared" ca="1" si="25"/>
        <v>3.8323558228980641</v>
      </c>
      <c r="H70" s="295">
        <f t="shared" ca="1" si="25"/>
        <v>3.9571466855688517</v>
      </c>
      <c r="I70" s="295">
        <f t="shared" ca="1" si="25"/>
        <v>4.082554947005848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3.5267501326825539E-2</v>
      </c>
      <c r="Q77" s="285">
        <f ca="1">IF($B77&lt;&gt;0,(+VLOOKUP($B77,$A$8:$I$13,6,FALSE))*(F77),0)</f>
        <v>6.7945867790885447E-2</v>
      </c>
      <c r="R77" s="285">
        <f ca="1">IF($B77&lt;&gt;0,(+VLOOKUP($B77,$A$8:$I$13,7,FALSE))*(G77),0)</f>
        <v>0.10024807017253154</v>
      </c>
      <c r="S77" s="285">
        <f ca="1">IF($B77&lt;&gt;0,(+VLOOKUP($B77,$A$8:$I$13,8,FALSE))*(H77),0)</f>
        <v>0.1352933653886137</v>
      </c>
      <c r="T77" s="285">
        <f ca="1">IF($B77&lt;&gt;0,(+VLOOKUP($B77,$A$8:$I$13,9,FALSE))*(I77),0)</f>
        <v>0.16739511808665658</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-1.2731949937482145E-4</v>
      </c>
      <c r="Q78" s="285">
        <f ca="1">IF($B78&lt;&gt;0,(+VLOOKUP($B78,$A$8:$I$13,6,FALSE))*(F78),0)</f>
        <v>-2.4529194148334102E-4</v>
      </c>
      <c r="R78" s="285">
        <f ca="1">IF($B78&lt;&gt;0,(+VLOOKUP($B78,$A$8:$I$13,7,FALSE))*(G78),0)</f>
        <v>-3.6190639051455434E-4</v>
      </c>
      <c r="S78" s="285">
        <f ca="1">IF($B78&lt;&gt;0,(+VLOOKUP($B78,$A$8:$I$13,8,FALSE))*(H78),0)</f>
        <v>-4.8842370176394837E-4</v>
      </c>
      <c r="T78" s="285">
        <f ca="1">IF($B78&lt;&gt;0,(+VLOOKUP($B78,$A$8:$I$13,9,FALSE))*(I78),0)</f>
        <v>-6.0431450572800212E-4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3.2890870671828875E-4</v>
      </c>
      <c r="Q79" s="285">
        <f t="shared" ref="Q79:Q80" ca="1" si="34">IF($B79&lt;&gt;0,(+VLOOKUP($B79,$A$8:$I$13,6,FALSE))*(F79),0)</f>
        <v>6.3367084883196427E-4</v>
      </c>
      <c r="R79" s="285">
        <f t="shared" ref="R79:R80" ca="1" si="35">IF($B79&lt;&gt;0,(+VLOOKUP($B79,$A$8:$I$13,7,FALSE))*(G79),0)</f>
        <v>9.3492484216259862E-4</v>
      </c>
      <c r="S79" s="285">
        <f t="shared" ref="S79:S80" ca="1" si="36">IF($B79&lt;&gt;0,(+VLOOKUP($B79,$A$8:$I$13,8,FALSE))*(H79),0)</f>
        <v>1.2617612295568665E-3</v>
      </c>
      <c r="T79" s="285">
        <f t="shared" ref="T79:T80" ca="1" si="37">IF($B79&lt;&gt;0,(+VLOOKUP($B79,$A$8:$I$13,9,FALSE))*(I79),0)</f>
        <v>1.5611458064640055E-3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1.6021037004665033E-3</v>
      </c>
      <c r="Q80" s="285">
        <f t="shared" ca="1" si="34"/>
        <v>3.086590263665374E-3</v>
      </c>
      <c r="R80" s="285">
        <f t="shared" ca="1" si="35"/>
        <v>4.5539887473081417E-3</v>
      </c>
      <c r="S80" s="285">
        <f t="shared" ca="1" si="36"/>
        <v>6.1459982471963499E-3</v>
      </c>
      <c r="T80" s="285">
        <f t="shared" ca="1" si="37"/>
        <v>7.6042908637440274E-3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3.7071194234635514E-2</v>
      </c>
      <c r="Q83" s="292">
        <f t="shared" ca="1" si="51"/>
        <v>7.1420836961899437E-2</v>
      </c>
      <c r="R83" s="292">
        <f t="shared" ca="1" si="51"/>
        <v>0.10537507737148771</v>
      </c>
      <c r="S83" s="292">
        <f t="shared" ca="1" si="51"/>
        <v>0.14221270116360299</v>
      </c>
      <c r="T83" s="292">
        <f t="shared" ca="1" si="51"/>
        <v>0.1759562402511366</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3.5267501326825539E-2</v>
      </c>
      <c r="F98" s="285">
        <f t="shared" ca="1" si="54"/>
        <v>6.7945867790885447E-2</v>
      </c>
      <c r="G98" s="285">
        <f t="shared" ca="1" si="54"/>
        <v>0.10024807017253154</v>
      </c>
      <c r="H98" s="285">
        <f t="shared" ca="1" si="54"/>
        <v>0.1352933653886137</v>
      </c>
      <c r="I98" s="285">
        <f t="shared" ca="1" si="54"/>
        <v>0.16739511808665658</v>
      </c>
    </row>
    <row r="99" spans="1:20" outlineLevel="1">
      <c r="A99" s="61" t="s">
        <v>69</v>
      </c>
      <c r="B99" s="119"/>
      <c r="C99" s="285">
        <f t="shared" ref="C99:I99" ca="1" si="55">+C9*(C87)</f>
        <v>0</v>
      </c>
      <c r="D99" s="285">
        <f t="shared" ca="1" si="55"/>
        <v>0</v>
      </c>
      <c r="E99" s="285">
        <f t="shared" ca="1" si="55"/>
        <v>-1.2731949937482145E-4</v>
      </c>
      <c r="F99" s="285">
        <f t="shared" ca="1" si="55"/>
        <v>-2.4529194148334102E-4</v>
      </c>
      <c r="G99" s="285">
        <f t="shared" ca="1" si="55"/>
        <v>-3.6190639051455434E-4</v>
      </c>
      <c r="H99" s="285">
        <f t="shared" ca="1" si="55"/>
        <v>-4.8842370176394837E-4</v>
      </c>
      <c r="I99" s="285">
        <f t="shared" ca="1" si="55"/>
        <v>-6.0431450572800212E-4</v>
      </c>
    </row>
    <row r="100" spans="1:20" s="759" customFormat="1" outlineLevel="1">
      <c r="A100" s="61" t="s">
        <v>646</v>
      </c>
      <c r="B100" s="119"/>
      <c r="C100" s="285">
        <f t="shared" ref="C100:I100" ca="1" si="56">+C10*(C88)</f>
        <v>0</v>
      </c>
      <c r="D100" s="285">
        <f t="shared" ca="1" si="56"/>
        <v>0</v>
      </c>
      <c r="E100" s="285">
        <f t="shared" ca="1" si="56"/>
        <v>3.2890870671828875E-4</v>
      </c>
      <c r="F100" s="285">
        <f t="shared" ca="1" si="56"/>
        <v>6.3367084883196427E-4</v>
      </c>
      <c r="G100" s="285">
        <f t="shared" ca="1" si="56"/>
        <v>9.3492484216259862E-4</v>
      </c>
      <c r="H100" s="285">
        <f t="shared" ca="1" si="56"/>
        <v>1.2617612295568665E-3</v>
      </c>
      <c r="I100" s="285">
        <f t="shared" ca="1" si="56"/>
        <v>1.5611458064640055E-3</v>
      </c>
    </row>
    <row r="101" spans="1:20" outlineLevel="1">
      <c r="A101" s="61" t="s">
        <v>647</v>
      </c>
      <c r="B101" s="119"/>
      <c r="C101" s="285">
        <f t="shared" ref="C101:I101" ca="1" si="57">+C11*(C89)</f>
        <v>0</v>
      </c>
      <c r="D101" s="285">
        <f t="shared" ca="1" si="57"/>
        <v>0</v>
      </c>
      <c r="E101" s="285">
        <f t="shared" ca="1" si="57"/>
        <v>1.6021037004665033E-3</v>
      </c>
      <c r="F101" s="285">
        <f t="shared" ca="1" si="57"/>
        <v>3.086590263665374E-3</v>
      </c>
      <c r="G101" s="285">
        <f t="shared" ca="1" si="57"/>
        <v>4.5539887473081417E-3</v>
      </c>
      <c r="H101" s="285">
        <f t="shared" ca="1" si="57"/>
        <v>6.1459982471963499E-3</v>
      </c>
      <c r="I101" s="285">
        <f t="shared" ca="1" si="57"/>
        <v>7.6042908637440274E-3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3.7071194234635514E-2</v>
      </c>
      <c r="F104" s="296">
        <f t="shared" ca="1" si="60"/>
        <v>7.1420836961899437E-2</v>
      </c>
      <c r="G104" s="296">
        <f t="shared" ca="1" si="60"/>
        <v>0.10537507737148771</v>
      </c>
      <c r="H104" s="296">
        <f t="shared" ca="1" si="60"/>
        <v>0.14221270116360299</v>
      </c>
      <c r="I104" s="296">
        <f t="shared" ca="1" si="60"/>
        <v>0.1759562402511366</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2.0440995123611746E-2</v>
      </c>
      <c r="G105" s="124">
        <f t="shared" ca="1" si="61"/>
        <v>3.0158865876212856E-2</v>
      </c>
      <c r="H105" s="124">
        <f t="shared" ca="1" si="61"/>
        <v>4.0701975146995709E-2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7.2083047500546185E-2</v>
      </c>
      <c r="Q113" s="285">
        <f ca="1">IF($B113&lt;&gt;0,(+VLOOKUP($B113,$A$8:$I$13,6,FALSE)+VLOOKUP($B113,$A$42:$I$47,6,FALSE))*(F113),0)</f>
        <v>0.14713031969075915</v>
      </c>
      <c r="R113" s="285">
        <f ca="1">IF($B113&lt;&gt;0,(+VLOOKUP($B113,$A$8:$I$13,7,FALSE)+VLOOKUP($B113,$A$42:$I$47,7,FALSE))*(G113),0)</f>
        <v>0.22939685275830854</v>
      </c>
      <c r="S113" s="285">
        <f ca="1">IF($B113&lt;&gt;0,(+VLOOKUP($B113,$A$8:$I$13,8,FALSE)+VLOOKUP($B113,$A$42:$I$47,8,FALSE))*(H113),0)</f>
        <v>0.31528661498623856</v>
      </c>
      <c r="T113" s="285">
        <f ca="1">IF($B113&lt;&gt;0,(+VLOOKUP($B113,$A$8:$I$13,9,FALSE)+VLOOKUP($B113,$A$42:$I$47,9,FALSE))*(I113),0)</f>
        <v>0.40443811538601698</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1.5664454353358812E-4</v>
      </c>
      <c r="Q115" s="285">
        <f t="shared" ca="1" si="68"/>
        <v>3.1712755025953184E-4</v>
      </c>
      <c r="R115" s="285">
        <f t="shared" ca="1" si="69"/>
        <v>6.1044327371601211E-4</v>
      </c>
      <c r="S115" s="285">
        <f t="shared" ca="1" si="70"/>
        <v>9.619145713699813E-4</v>
      </c>
      <c r="T115" s="285">
        <f t="shared" ca="1" si="71"/>
        <v>1.3899908375248559E-3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7.6301051850231622E-4</v>
      </c>
      <c r="Q116" s="285">
        <f t="shared" ca="1" si="68"/>
        <v>1.5447180673932035E-3</v>
      </c>
      <c r="R116" s="285">
        <f t="shared" ca="1" si="69"/>
        <v>2.9734494945521874E-3</v>
      </c>
      <c r="S116" s="285">
        <f t="shared" ca="1" si="70"/>
        <v>4.6854548476408762E-3</v>
      </c>
      <c r="T116" s="285">
        <f t="shared" ca="1" si="71"/>
        <v>6.770600531169459E-3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7.3002702562582095E-2</v>
      </c>
      <c r="Q119" s="292">
        <f t="shared" ca="1" si="72"/>
        <v>0.14899216530841189</v>
      </c>
      <c r="R119" s="292">
        <f t="shared" ca="1" si="72"/>
        <v>0.23298074552657674</v>
      </c>
      <c r="S119" s="292">
        <f t="shared" ca="1" si="72"/>
        <v>0.3209339844052494</v>
      </c>
      <c r="T119" s="292">
        <f t="shared" ca="1" si="72"/>
        <v>0.41259870675471128</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7.2083047500546185E-2</v>
      </c>
      <c r="F134" s="285">
        <f t="shared" ca="1" si="75"/>
        <v>0.14713031969075915</v>
      </c>
      <c r="G134" s="285">
        <f t="shared" ca="1" si="75"/>
        <v>0.22939685275830854</v>
      </c>
      <c r="H134" s="285">
        <f t="shared" ca="1" si="75"/>
        <v>0.31528661498623856</v>
      </c>
      <c r="I134" s="285">
        <f t="shared" ca="1" si="75"/>
        <v>0.40443811538601698</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1.5664454353358812E-4</v>
      </c>
      <c r="F136" s="285">
        <f t="shared" ca="1" si="77"/>
        <v>3.1712755025953184E-4</v>
      </c>
      <c r="G136" s="285">
        <f t="shared" ca="1" si="77"/>
        <v>6.1044327371601211E-4</v>
      </c>
      <c r="H136" s="285">
        <f t="shared" ca="1" si="77"/>
        <v>9.619145713699813E-4</v>
      </c>
      <c r="I136" s="285">
        <f t="shared" ca="1" si="77"/>
        <v>1.3899908375248559E-3</v>
      </c>
    </row>
    <row r="137" spans="1:16" outlineLevel="1">
      <c r="A137" s="61" t="s">
        <v>647</v>
      </c>
      <c r="B137" s="119"/>
      <c r="C137" s="285">
        <f ca="1">(+C11+C45)*(C$125)</f>
        <v>0</v>
      </c>
      <c r="D137" s="285">
        <f t="shared" ref="D137:I137" ca="1" si="78">(+D11+D45)*(D$125)</f>
        <v>0</v>
      </c>
      <c r="E137" s="285">
        <f t="shared" ca="1" si="78"/>
        <v>7.6301051850231622E-4</v>
      </c>
      <c r="F137" s="285">
        <f t="shared" ca="1" si="78"/>
        <v>1.5447180673932035E-3</v>
      </c>
      <c r="G137" s="285">
        <f t="shared" ca="1" si="78"/>
        <v>2.9734494945521874E-3</v>
      </c>
      <c r="H137" s="285">
        <f t="shared" ca="1" si="78"/>
        <v>4.6854548476408762E-3</v>
      </c>
      <c r="I137" s="285">
        <f t="shared" ca="1" si="78"/>
        <v>6.770600531169459E-3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7.3002702562582095E-2</v>
      </c>
      <c r="F140" s="296">
        <f t="shared" ca="1" si="81"/>
        <v>0.14899216530841189</v>
      </c>
      <c r="G140" s="296">
        <f t="shared" ca="1" si="81"/>
        <v>0.23298074552657674</v>
      </c>
      <c r="H140" s="296">
        <f t="shared" ca="1" si="81"/>
        <v>0.3209339844052494</v>
      </c>
      <c r="I140" s="296">
        <f t="shared" ca="1" si="81"/>
        <v>0.41259870675471128</v>
      </c>
    </row>
    <row r="141" spans="1:16" ht="13.5" outlineLevel="1" thickBot="1">
      <c r="A141" s="122" t="s">
        <v>148</v>
      </c>
      <c r="B141" s="126"/>
      <c r="C141" s="124">
        <f t="shared" ref="C141:I141" ca="1" si="82">IF((+C36+C48)&lt;&gt;0,+C140/(+C36+C48),0)</f>
        <v>0</v>
      </c>
      <c r="D141" s="124">
        <f t="shared" ca="1" si="82"/>
        <v>0</v>
      </c>
      <c r="E141" s="124">
        <f t="shared" ca="1" si="82"/>
        <v>2.0674378551692026E-2</v>
      </c>
      <c r="F141" s="124">
        <f t="shared" ca="1" si="82"/>
        <v>4.1788100794117856E-2</v>
      </c>
      <c r="G141" s="124">
        <f t="shared" ca="1" si="82"/>
        <v>6.4728109885318033E-2</v>
      </c>
      <c r="H141" s="124">
        <f t="shared" ca="1" si="82"/>
        <v>8.8260509156284847E-2</v>
      </c>
      <c r="I141" s="124">
        <f t="shared" ca="1" si="82"/>
        <v>0.11242605626449569</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(SEM)'!$N$133:$R$138</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3.4939999999999998</v>
      </c>
      <c r="E205" s="82">
        <f t="shared" ca="1" si="95"/>
        <v>3.4939999999999998</v>
      </c>
      <c r="F205" s="82">
        <f t="shared" ca="1" si="95"/>
        <v>3.4939999999999998</v>
      </c>
      <c r="G205" s="82">
        <f t="shared" ca="1" si="95"/>
        <v>3.4939999999999998</v>
      </c>
      <c r="H205" s="82">
        <f t="shared" ca="1" si="95"/>
        <v>3.4939999999999998</v>
      </c>
      <c r="I205" s="82">
        <f t="shared" ca="1" si="95"/>
        <v>3.4939999999999998</v>
      </c>
    </row>
    <row r="206" spans="1:9" outlineLevel="1">
      <c r="A206" t="s">
        <v>156</v>
      </c>
      <c r="B206" s="82">
        <f t="shared" ref="B206:I206" ca="1" si="96">+B36</f>
        <v>0</v>
      </c>
      <c r="C206" s="82">
        <f t="shared" ca="1" si="96"/>
        <v>0</v>
      </c>
      <c r="D206" s="82">
        <f t="shared" ca="1" si="96"/>
        <v>3.4939999999999998</v>
      </c>
      <c r="E206" s="82">
        <f t="shared" ca="1" si="96"/>
        <v>3.4939999999999998</v>
      </c>
      <c r="F206" s="82">
        <f t="shared" ca="1" si="96"/>
        <v>3.4939999999999998</v>
      </c>
      <c r="G206" s="82">
        <f t="shared" ca="1" si="96"/>
        <v>3.4939999999999998</v>
      </c>
      <c r="H206" s="82">
        <f t="shared" ca="1" si="96"/>
        <v>3.4939999999999998</v>
      </c>
      <c r="I206" s="82">
        <f t="shared" ca="1" si="96"/>
        <v>3.4939999999999998</v>
      </c>
    </row>
    <row r="207" spans="1:9" outlineLevel="1">
      <c r="A207" t="s">
        <v>157</v>
      </c>
      <c r="B207" s="82">
        <f t="shared" ref="B207:I207" ca="1" si="97">+B36+B48</f>
        <v>0</v>
      </c>
      <c r="C207" s="82">
        <f t="shared" ca="1" si="97"/>
        <v>0</v>
      </c>
      <c r="D207" s="82">
        <f t="shared" ca="1" si="97"/>
        <v>3.4939999999999998</v>
      </c>
      <c r="E207" s="82">
        <f t="shared" ca="1" si="97"/>
        <v>3.5310711942346353</v>
      </c>
      <c r="F207" s="82">
        <f t="shared" ca="1" si="97"/>
        <v>3.5654208369618994</v>
      </c>
      <c r="G207" s="82">
        <f t="shared" ca="1" si="97"/>
        <v>3.5993750773714877</v>
      </c>
      <c r="H207" s="82">
        <f t="shared" ca="1" si="97"/>
        <v>3.6362127011636027</v>
      </c>
      <c r="I207" s="82">
        <f t="shared" ca="1" si="97"/>
        <v>3.6699562402511363</v>
      </c>
    </row>
    <row r="208" spans="1:9" outlineLevel="1">
      <c r="A208" t="s">
        <v>158</v>
      </c>
      <c r="B208" s="82">
        <f t="shared" ref="B208:I208" ca="1" si="98">+B70</f>
        <v>0</v>
      </c>
      <c r="C208" s="82">
        <f t="shared" ca="1" si="98"/>
        <v>0</v>
      </c>
      <c r="D208" s="82">
        <f t="shared" ca="1" si="98"/>
        <v>3.4939999999999998</v>
      </c>
      <c r="E208" s="82">
        <f t="shared" ca="1" si="98"/>
        <v>3.6040738967972175</v>
      </c>
      <c r="F208" s="82">
        <f t="shared" ca="1" si="98"/>
        <v>3.7144130022703106</v>
      </c>
      <c r="G208" s="82">
        <f t="shared" ca="1" si="98"/>
        <v>3.8323558228980641</v>
      </c>
      <c r="H208" s="82">
        <f t="shared" ca="1" si="98"/>
        <v>3.9571466855688517</v>
      </c>
      <c r="I208" s="82">
        <f t="shared" ca="1" si="98"/>
        <v>4.082554947005848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10" priority="1" stopIfTrue="1" operator="notEqual">
      <formula>0</formula>
    </cfRule>
  </conditionalFormatting>
  <conditionalFormatting sqref="J130 J94 J70 J59 J48 J36:J37 J14 J25">
    <cfRule type="cellIs" dxfId="309" priority="2" stopIfTrue="1" operator="equal">
      <formula>"OK"</formula>
    </cfRule>
    <cfRule type="cellIs" dxfId="308" priority="3" stopIfTrue="1" operator="equal">
      <formula>"Warning Check Escalations"</formula>
    </cfRule>
  </conditionalFormatting>
  <conditionalFormatting sqref="N120:T120 N84:T84">
    <cfRule type="cellIs" dxfId="307" priority="4" stopIfTrue="1" operator="notEqual">
      <formula>0</formula>
    </cfRule>
    <cfRule type="cellIs" dxfId="30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29.xml><?xml version="1.0" encoding="utf-8"?>
<worksheet xmlns="http://schemas.openxmlformats.org/spreadsheetml/2006/main" xmlns:r="http://schemas.openxmlformats.org/officeDocument/2006/relationships">
  <sheetPr codeName="Sheet74"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16</v>
      </c>
      <c r="M1" s="282"/>
      <c r="N1" s="280"/>
      <c r="O1" s="280"/>
      <c r="P1" s="280"/>
      <c r="Q1" s="280"/>
      <c r="R1" s="280"/>
      <c r="S1" s="280"/>
      <c r="T1" s="280"/>
    </row>
    <row r="2" spans="1:20" ht="15.75">
      <c r="A2" s="184" t="s">
        <v>121</v>
      </c>
      <c r="B2" s="74" t="str">
        <f ca="1">OFFSET(List_AllocOpexListStart,+$K$1,1)</f>
        <v>Finance - Adjustments</v>
      </c>
      <c r="F2" s="284"/>
      <c r="H2" s="42"/>
      <c r="I2" s="283"/>
      <c r="L2" s="282"/>
      <c r="M2" s="282"/>
    </row>
    <row r="3" spans="1:20" ht="16.5" thickBot="1">
      <c r="A3" s="184" t="s">
        <v>371</v>
      </c>
      <c r="B3" s="236" t="str">
        <f ca="1">OFFSET(List_AllocOpexListStart,+$K$1,2)</f>
        <v>Darren Smith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-3.327</v>
      </c>
      <c r="E8" s="285">
        <f ca="1">OFFSET(Future_AOpexStart,MATCH($K$1,'I-6 Future A'!$A$6:$A$379)+2,+'I-5 Future DA'!F$5)</f>
        <v>-3.327</v>
      </c>
      <c r="F8" s="285">
        <f ca="1">OFFSET(Future_AOpexStart,MATCH($K$1,'I-6 Future A'!$A$6:$A$379)+2,+'I-5 Future DA'!G$5)</f>
        <v>-3.327</v>
      </c>
      <c r="G8" s="285">
        <f ca="1">OFFSET(Future_AOpexStart,MATCH($K$1,'I-6 Future A'!$A$6:$A$379)+2,+'I-5 Future DA'!H$5)</f>
        <v>-3.327</v>
      </c>
      <c r="H8" s="285">
        <f ca="1">OFFSET(Future_AOpexStart,MATCH($K$1,'I-6 Future A'!$A$6:$A$379)+2,+'I-5 Future DA'!I$5)</f>
        <v>-3.327</v>
      </c>
      <c r="I8" s="285">
        <f ca="1">OFFSET(Future_AOpexStart,MATCH($K$1,'I-6 Future A'!$A$6:$A$379)+2,+'I-5 Future DA'!J$5)</f>
        <v>-3.327</v>
      </c>
      <c r="J8" s="81"/>
      <c r="K8" s="485"/>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-0.70199999999999996</v>
      </c>
      <c r="E9" s="285">
        <f ca="1">OFFSET(Future_AOpexStart,MATCH($K$1,'I-6 Future A'!$A$6:$A$379)+3,+'I-5 Future DA'!F$5)</f>
        <v>-0.70199999999999996</v>
      </c>
      <c r="F9" s="285">
        <f ca="1">OFFSET(Future_AOpexStart,MATCH($K$1,'I-6 Future A'!$A$6:$A$379)+3,+'I-5 Future DA'!G$5)</f>
        <v>-0.70199999999999996</v>
      </c>
      <c r="G9" s="285">
        <f ca="1">OFFSET(Future_AOpexStart,MATCH($K$1,'I-6 Future A'!$A$6:$A$379)+3,+'I-5 Future DA'!H$5)</f>
        <v>-0.70199999999999996</v>
      </c>
      <c r="H9" s="285">
        <f ca="1">OFFSET(Future_AOpexStart,MATCH($K$1,'I-6 Future A'!$A$6:$A$379)+3,+'I-5 Future DA'!I$5)</f>
        <v>-0.70199999999999996</v>
      </c>
      <c r="I9" s="285">
        <f ca="1">OFFSET(Future_AOpexStart,MATCH($K$1,'I-6 Future A'!$A$6:$A$379)+3,+'I-5 Future DA'!J$5)</f>
        <v>-0.70199999999999996</v>
      </c>
      <c r="J9" s="36"/>
      <c r="K9" s="485"/>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485"/>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3.1479999999999997</v>
      </c>
      <c r="E11" s="285">
        <f ca="1">OFFSET(Future_AOpexStart,MATCH($K$1,'I-6 Future A'!$A$6:$A$379)+5,+'I-5 Future DA'!F$5)</f>
        <v>3.1479999999999997</v>
      </c>
      <c r="F11" s="285">
        <f ca="1">OFFSET(Future_AOpexStart,MATCH($K$1,'I-6 Future A'!$A$6:$A$379)+5,+'I-5 Future DA'!G$5)</f>
        <v>3.1479999999999997</v>
      </c>
      <c r="G11" s="285">
        <f ca="1">OFFSET(Future_AOpexStart,MATCH($K$1,'I-6 Future A'!$A$6:$A$379)+5,+'I-5 Future DA'!H$5)</f>
        <v>3.1479999999999997</v>
      </c>
      <c r="H11" s="285">
        <f ca="1">OFFSET(Future_AOpexStart,MATCH($K$1,'I-6 Future A'!$A$6:$A$379)+5,+'I-5 Future DA'!I$5)</f>
        <v>3.1479999999999997</v>
      </c>
      <c r="I11" s="285">
        <f ca="1">OFFSET(Future_AOpexStart,MATCH($K$1,'I-6 Future A'!$A$6:$A$379)+5,+'I-5 Future DA'!J$5)</f>
        <v>3.1479999999999997</v>
      </c>
      <c r="J11" s="36"/>
      <c r="K11" s="485"/>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485"/>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-0.88100000000000023</v>
      </c>
      <c r="E14" s="287">
        <f t="shared" ca="1" si="0"/>
        <v>-0.88100000000000023</v>
      </c>
      <c r="F14" s="287">
        <f t="shared" ca="1" si="0"/>
        <v>-0.88100000000000023</v>
      </c>
      <c r="G14" s="287">
        <f t="shared" ca="1" si="0"/>
        <v>-0.88100000000000023</v>
      </c>
      <c r="H14" s="287">
        <f t="shared" ca="1" si="0"/>
        <v>-0.88100000000000023</v>
      </c>
      <c r="I14" s="287">
        <f t="shared" ca="1" si="0"/>
        <v>-0.88100000000000023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+'A-16'!B8+'A-16'!B19</f>
        <v>0</v>
      </c>
      <c r="C30" s="285">
        <f ca="1">+'A-16'!C8+'A-16'!C19</f>
        <v>0</v>
      </c>
      <c r="D30" s="285">
        <f ca="1">+'A-16'!D8+'A-16'!D19</f>
        <v>-3.327</v>
      </c>
      <c r="E30" s="285">
        <f ca="1">+'A-16'!E8+'A-16'!E19</f>
        <v>-3.327</v>
      </c>
      <c r="F30" s="285">
        <f ca="1">+'A-16'!F8+'A-16'!F19</f>
        <v>-3.327</v>
      </c>
      <c r="G30" s="285">
        <f ca="1">+'A-16'!G8+'A-16'!G19</f>
        <v>-3.327</v>
      </c>
      <c r="H30" s="285">
        <f ca="1">+'A-16'!H8+'A-16'!H19</f>
        <v>-3.327</v>
      </c>
      <c r="I30" s="285">
        <f ca="1">+'A-16'!I8+'A-16'!I19</f>
        <v>-3.327</v>
      </c>
      <c r="J30" s="42"/>
      <c r="K30" s="21"/>
      <c r="L30" s="21"/>
    </row>
    <row r="31" spans="1:12" outlineLevel="2">
      <c r="A31" s="61" t="s">
        <v>69</v>
      </c>
      <c r="B31" s="285">
        <f ca="1">+'A-16'!B9+'A-16'!B20</f>
        <v>0</v>
      </c>
      <c r="C31" s="285">
        <f ca="1">+'A-16'!C9+'A-16'!C20</f>
        <v>0</v>
      </c>
      <c r="D31" s="285">
        <f ca="1">+'A-16'!D9+'A-16'!D20</f>
        <v>-0.70199999999999996</v>
      </c>
      <c r="E31" s="285">
        <f ca="1">+'A-16'!E9+'A-16'!E20</f>
        <v>-0.70199999999999996</v>
      </c>
      <c r="F31" s="285">
        <f ca="1">+'A-16'!F9+'A-16'!F20</f>
        <v>-0.70199999999999996</v>
      </c>
      <c r="G31" s="285">
        <f ca="1">+'A-16'!G9+'A-16'!G20</f>
        <v>-0.70199999999999996</v>
      </c>
      <c r="H31" s="285">
        <f ca="1">+'A-16'!H9+'A-16'!H20</f>
        <v>-0.70199999999999996</v>
      </c>
      <c r="I31" s="285">
        <f ca="1">+'A-16'!I9+'A-16'!I20</f>
        <v>-0.70199999999999996</v>
      </c>
      <c r="J31" s="42"/>
      <c r="K31" s="21"/>
      <c r="L31" s="21"/>
    </row>
    <row r="32" spans="1:12" s="759" customFormat="1" outlineLevel="2">
      <c r="A32" s="61" t="s">
        <v>646</v>
      </c>
      <c r="B32" s="285">
        <f ca="1">+'A-16'!B10+'A-16'!B21</f>
        <v>0</v>
      </c>
      <c r="C32" s="285">
        <f ca="1">+'A-16'!C10+'A-16'!C21</f>
        <v>0</v>
      </c>
      <c r="D32" s="285">
        <f ca="1">+'A-16'!D10+'A-16'!D21</f>
        <v>0</v>
      </c>
      <c r="E32" s="285">
        <f ca="1">+'A-16'!E10+'A-16'!E21</f>
        <v>0</v>
      </c>
      <c r="F32" s="285">
        <f ca="1">+'A-16'!F10+'A-16'!F21</f>
        <v>0</v>
      </c>
      <c r="G32" s="285">
        <f ca="1">+'A-16'!G10+'A-16'!G21</f>
        <v>0</v>
      </c>
      <c r="H32" s="285">
        <f ca="1">+'A-16'!H10+'A-16'!H21</f>
        <v>0</v>
      </c>
      <c r="I32" s="285">
        <f ca="1">+'A-16'!I10+'A-16'!I21</f>
        <v>0</v>
      </c>
      <c r="J32" s="42"/>
      <c r="K32" s="732"/>
      <c r="L32" s="732"/>
    </row>
    <row r="33" spans="1:12" outlineLevel="2">
      <c r="A33" s="61" t="s">
        <v>647</v>
      </c>
      <c r="B33" s="285">
        <f ca="1">+'A-16'!B11+'A-16'!B22</f>
        <v>0</v>
      </c>
      <c r="C33" s="285">
        <f ca="1">+'A-16'!C11+'A-16'!C22</f>
        <v>0</v>
      </c>
      <c r="D33" s="285">
        <f ca="1">+'A-16'!D11+'A-16'!D22</f>
        <v>3.1479999999999997</v>
      </c>
      <c r="E33" s="285">
        <f ca="1">+'A-16'!E11+'A-16'!E22</f>
        <v>3.1479999999999997</v>
      </c>
      <c r="F33" s="285">
        <f ca="1">+'A-16'!F11+'A-16'!F22</f>
        <v>3.1479999999999997</v>
      </c>
      <c r="G33" s="285">
        <f ca="1">+'A-16'!G11+'A-16'!G22</f>
        <v>3.1479999999999997</v>
      </c>
      <c r="H33" s="285">
        <f ca="1">+'A-16'!H11+'A-16'!H22</f>
        <v>3.1479999999999997</v>
      </c>
      <c r="I33" s="285">
        <f ca="1">+'A-16'!I11+'A-16'!I22</f>
        <v>3.1479999999999997</v>
      </c>
      <c r="J33" s="42"/>
      <c r="K33" s="21"/>
      <c r="L33" s="21"/>
    </row>
    <row r="34" spans="1:12" s="759" customFormat="1" outlineLevel="2">
      <c r="A34" s="61" t="s">
        <v>575</v>
      </c>
      <c r="B34" s="285">
        <f ca="1">+'A-16'!B12+'A-16'!B23</f>
        <v>0</v>
      </c>
      <c r="C34" s="285">
        <f ca="1">+'A-16'!C12+'A-16'!C23</f>
        <v>0</v>
      </c>
      <c r="D34" s="285">
        <f ca="1">+'A-16'!D12+'A-16'!D23</f>
        <v>0</v>
      </c>
      <c r="E34" s="285">
        <f ca="1">+'A-16'!E12+'A-16'!E23</f>
        <v>0</v>
      </c>
      <c r="F34" s="285">
        <f ca="1">+'A-16'!F12+'A-16'!F23</f>
        <v>0</v>
      </c>
      <c r="G34" s="285">
        <f ca="1">+'A-16'!G12+'A-16'!G23</f>
        <v>0</v>
      </c>
      <c r="H34" s="285">
        <f ca="1">+'A-16'!H12+'A-16'!H23</f>
        <v>0</v>
      </c>
      <c r="I34" s="285">
        <f ca="1">+'A-16'!I12+'A-16'!I23</f>
        <v>0</v>
      </c>
      <c r="J34" s="42"/>
      <c r="K34" s="732"/>
      <c r="L34" s="732"/>
    </row>
    <row r="35" spans="1:12" ht="13.5" outlineLevel="2" thickBot="1">
      <c r="A35" s="83" t="s">
        <v>70</v>
      </c>
      <c r="B35" s="285">
        <f ca="1">+'A-16'!B13+'A-16'!B24</f>
        <v>0</v>
      </c>
      <c r="C35" s="285">
        <f ca="1">+'A-16'!C13+'A-16'!C24</f>
        <v>0</v>
      </c>
      <c r="D35" s="285">
        <f ca="1">+'A-16'!D13+'A-16'!D24</f>
        <v>0</v>
      </c>
      <c r="E35" s="285">
        <f ca="1">+'A-16'!E13+'A-16'!E24</f>
        <v>0</v>
      </c>
      <c r="F35" s="285">
        <f ca="1">+'A-16'!F13+'A-16'!F24</f>
        <v>0</v>
      </c>
      <c r="G35" s="285">
        <f ca="1">+'A-16'!G13+'A-16'!G24</f>
        <v>0</v>
      </c>
      <c r="H35" s="285">
        <f ca="1">+'A-16'!H13+'A-16'!H24</f>
        <v>0</v>
      </c>
      <c r="I35" s="285">
        <f ca="1">+'A-16'!I13+'A-16'!I24</f>
        <v>0</v>
      </c>
      <c r="J35" s="93"/>
      <c r="K35" s="21"/>
      <c r="L35" s="21"/>
    </row>
    <row r="36" spans="1:12" s="87" customFormat="1" ht="20.25" customHeight="1" thickBot="1">
      <c r="A36" s="94" t="s">
        <v>128</v>
      </c>
      <c r="B36" s="294">
        <f t="shared" ref="B36:I36" ca="1" si="7">SUM(B30:B35)</f>
        <v>0</v>
      </c>
      <c r="C36" s="294">
        <f t="shared" ca="1" si="7"/>
        <v>0</v>
      </c>
      <c r="D36" s="294">
        <f t="shared" ca="1" si="7"/>
        <v>-0.88100000000000023</v>
      </c>
      <c r="E36" s="294">
        <f t="shared" ca="1" si="7"/>
        <v>-0.88100000000000023</v>
      </c>
      <c r="F36" s="294">
        <f t="shared" ca="1" si="7"/>
        <v>-0.88100000000000023</v>
      </c>
      <c r="G36" s="294">
        <f t="shared" ca="1" si="7"/>
        <v>-0.88100000000000023</v>
      </c>
      <c r="H36" s="294">
        <f t="shared" ca="1" si="7"/>
        <v>-0.88100000000000023</v>
      </c>
      <c r="I36" s="294">
        <f t="shared" ca="1" si="7"/>
        <v>-0.88100000000000023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-3.5299331201669247E-2</v>
      </c>
      <c r="F42" s="285">
        <f t="shared" ca="1" si="8"/>
        <v>-6.800719077625629E-2</v>
      </c>
      <c r="G42" s="285">
        <f t="shared" ca="1" si="8"/>
        <v>-0.10033854677016019</v>
      </c>
      <c r="H42" s="285">
        <f t="shared" ca="1" si="8"/>
        <v>-0.13541547131405468</v>
      </c>
      <c r="I42" s="285">
        <f t="shared" ca="1" si="8"/>
        <v>-0.1675461967130886</v>
      </c>
      <c r="K42" s="63"/>
      <c r="L42" s="63"/>
    </row>
    <row r="43" spans="1:12" outlineLevel="1">
      <c r="A43" s="61" t="s">
        <v>69</v>
      </c>
      <c r="B43" s="82"/>
      <c r="C43" s="285">
        <f t="shared" ca="1" si="8"/>
        <v>0</v>
      </c>
      <c r="D43" s="285">
        <f t="shared" ca="1" si="8"/>
        <v>0</v>
      </c>
      <c r="E43" s="285">
        <f t="shared" ca="1" si="8"/>
        <v>-7.4481907134270548E-3</v>
      </c>
      <c r="F43" s="285">
        <f t="shared" ca="1" si="8"/>
        <v>-1.4349578576775447E-2</v>
      </c>
      <c r="G43" s="285">
        <f t="shared" ca="1" si="8"/>
        <v>-2.1171523845101427E-2</v>
      </c>
      <c r="H43" s="285">
        <f t="shared" ca="1" si="8"/>
        <v>-2.8572786553190975E-2</v>
      </c>
      <c r="I43" s="285">
        <f t="shared" ca="1" si="8"/>
        <v>-3.5352398585088124E-2</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3.340014866932816E-2</v>
      </c>
      <c r="F45" s="285">
        <f t="shared" ca="1" si="10"/>
        <v>6.4348252649129786E-2</v>
      </c>
      <c r="G45" s="285">
        <f t="shared" ca="1" si="10"/>
        <v>9.4940109778318071E-2</v>
      </c>
      <c r="H45" s="285">
        <f t="shared" ca="1" si="10"/>
        <v>0.12812981776274243</v>
      </c>
      <c r="I45" s="285">
        <f t="shared" ca="1" si="10"/>
        <v>0.15853183866931256</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-9.347373245768141E-3</v>
      </c>
      <c r="F48" s="294">
        <f t="shared" ca="1" si="13"/>
        <v>-1.8008516703901953E-2</v>
      </c>
      <c r="G48" s="294">
        <f t="shared" ca="1" si="13"/>
        <v>-2.6569960836943546E-2</v>
      </c>
      <c r="H48" s="294">
        <f t="shared" ca="1" si="13"/>
        <v>-3.5858440104503231E-2</v>
      </c>
      <c r="I48" s="294">
        <f t="shared" ca="1" si="13"/>
        <v>-4.4366756628864162E-2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-7.2148104402622495E-2</v>
      </c>
      <c r="F53" s="285">
        <f t="shared" ca="1" si="14"/>
        <v>-0.14726310878795298</v>
      </c>
      <c r="G53" s="285">
        <f t="shared" ca="1" si="14"/>
        <v>-0.22960388962902906</v>
      </c>
      <c r="H53" s="285">
        <f t="shared" ca="1" si="14"/>
        <v>-0.31557116969290483</v>
      </c>
      <c r="I53" s="285">
        <f t="shared" ca="1" si="14"/>
        <v>-0.40480313173564336</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1.5907000743346302E-2</v>
      </c>
      <c r="F56" s="285">
        <f t="shared" ca="1" si="16"/>
        <v>3.2203791232806651E-2</v>
      </c>
      <c r="G56" s="285">
        <f t="shared" ca="1" si="16"/>
        <v>6.1989529859935673E-2</v>
      </c>
      <c r="H56" s="285">
        <f t="shared" ca="1" si="16"/>
        <v>9.7680873247506475E-2</v>
      </c>
      <c r="I56" s="285">
        <f t="shared" ca="1" si="16"/>
        <v>0.14115132762994342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-5.624110365927619E-2</v>
      </c>
      <c r="F59" s="287">
        <f t="shared" ca="1" si="19"/>
        <v>-0.11505931755514634</v>
      </c>
      <c r="G59" s="287">
        <f t="shared" ca="1" si="19"/>
        <v>-0.16761435976909339</v>
      </c>
      <c r="H59" s="287">
        <f t="shared" ca="1" si="19"/>
        <v>-0.21789029644539837</v>
      </c>
      <c r="I59" s="287">
        <f t="shared" ca="1" si="19"/>
        <v>-0.26365180410569994</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-3.327</v>
      </c>
      <c r="E64" s="285">
        <f t="shared" ca="1" si="20"/>
        <v>-3.4344474356042918</v>
      </c>
      <c r="F64" s="285">
        <f t="shared" ca="1" si="20"/>
        <v>-3.5422702995642092</v>
      </c>
      <c r="G64" s="285">
        <f t="shared" ca="1" si="20"/>
        <v>-3.6569424363991891</v>
      </c>
      <c r="H64" s="285">
        <f t="shared" ca="1" si="20"/>
        <v>-3.7779866410069594</v>
      </c>
      <c r="I64" s="285">
        <f t="shared" ca="1" si="20"/>
        <v>-3.8993493284487322</v>
      </c>
      <c r="K64" s="63"/>
      <c r="L64" s="63"/>
    </row>
    <row r="65" spans="1:20" ht="12.75" customHeight="1" outlineLevel="1">
      <c r="A65" s="61" t="s">
        <v>69</v>
      </c>
      <c r="B65" s="285">
        <f t="shared" ca="1" si="20"/>
        <v>0</v>
      </c>
      <c r="C65" s="285">
        <f t="shared" ca="1" si="20"/>
        <v>0</v>
      </c>
      <c r="D65" s="285">
        <f t="shared" ca="1" si="20"/>
        <v>-0.70199999999999996</v>
      </c>
      <c r="E65" s="285">
        <f t="shared" ca="1" si="20"/>
        <v>-0.70944819071342702</v>
      </c>
      <c r="F65" s="285">
        <f t="shared" ca="1" si="20"/>
        <v>-0.71634957857677539</v>
      </c>
      <c r="G65" s="285">
        <f t="shared" ca="1" si="20"/>
        <v>-0.72317152384510142</v>
      </c>
      <c r="H65" s="285">
        <f t="shared" ca="1" si="20"/>
        <v>-0.73057278655319091</v>
      </c>
      <c r="I65" s="285">
        <f t="shared" ca="1" si="20"/>
        <v>-0.73735239858508805</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3.1479999999999997</v>
      </c>
      <c r="E67" s="285">
        <f t="shared" ca="1" si="22"/>
        <v>3.1973071494126741</v>
      </c>
      <c r="F67" s="285">
        <f t="shared" ca="1" si="22"/>
        <v>3.2445520438819364</v>
      </c>
      <c r="G67" s="285">
        <f t="shared" ca="1" si="22"/>
        <v>3.3049296396382535</v>
      </c>
      <c r="H67" s="285">
        <f t="shared" ca="1" si="22"/>
        <v>3.3738106910102483</v>
      </c>
      <c r="I67" s="285">
        <f t="shared" ca="1" si="22"/>
        <v>3.4476831662992558</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-0.88100000000000023</v>
      </c>
      <c r="E70" s="295">
        <f t="shared" ca="1" si="25"/>
        <v>-0.946588476905045</v>
      </c>
      <c r="F70" s="295">
        <f t="shared" ca="1" si="25"/>
        <v>-1.0140678342590479</v>
      </c>
      <c r="G70" s="295">
        <f t="shared" ca="1" si="25"/>
        <v>-1.0751843206060374</v>
      </c>
      <c r="H70" s="295">
        <f t="shared" ca="1" si="25"/>
        <v>-1.1347487365499016</v>
      </c>
      <c r="I70" s="295">
        <f t="shared" ca="1" si="25"/>
        <v>-1.1890185607345645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-3.5299331201669247E-2</v>
      </c>
      <c r="Q77" s="285">
        <f ca="1">IF($B77&lt;&gt;0,(+VLOOKUP($B77,$A$8:$I$13,6,FALSE))*(F77),0)</f>
        <v>-6.800719077625629E-2</v>
      </c>
      <c r="R77" s="285">
        <f ca="1">IF($B77&lt;&gt;0,(+VLOOKUP($B77,$A$8:$I$13,7,FALSE))*(G77),0)</f>
        <v>-0.10033854677016019</v>
      </c>
      <c r="S77" s="285">
        <f ca="1">IF($B77&lt;&gt;0,(+VLOOKUP($B77,$A$8:$I$13,8,FALSE))*(H77),0)</f>
        <v>-0.13541547131405468</v>
      </c>
      <c r="T77" s="285">
        <f ca="1">IF($B77&lt;&gt;0,(+VLOOKUP($B77,$A$8:$I$13,9,FALSE))*(I77),0)</f>
        <v>-0.1675461967130886</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-7.4481907134270548E-3</v>
      </c>
      <c r="Q78" s="285">
        <f ca="1">IF($B78&lt;&gt;0,(+VLOOKUP($B78,$A$8:$I$13,6,FALSE))*(F78),0)</f>
        <v>-1.4349578576775447E-2</v>
      </c>
      <c r="R78" s="285">
        <f ca="1">IF($B78&lt;&gt;0,(+VLOOKUP($B78,$A$8:$I$13,7,FALSE))*(G78),0)</f>
        <v>-2.1171523845101427E-2</v>
      </c>
      <c r="S78" s="285">
        <f ca="1">IF($B78&lt;&gt;0,(+VLOOKUP($B78,$A$8:$I$13,8,FALSE))*(H78),0)</f>
        <v>-2.8572786553190975E-2</v>
      </c>
      <c r="T78" s="285">
        <f ca="1">IF($B78&lt;&gt;0,(+VLOOKUP($B78,$A$8:$I$13,9,FALSE))*(I78),0)</f>
        <v>-3.5352398585088124E-2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3.340014866932816E-2</v>
      </c>
      <c r="Q80" s="285">
        <f t="shared" ca="1" si="34"/>
        <v>6.4348252649129786E-2</v>
      </c>
      <c r="R80" s="285">
        <f t="shared" ca="1" si="35"/>
        <v>9.4940109778318071E-2</v>
      </c>
      <c r="S80" s="285">
        <f t="shared" ca="1" si="36"/>
        <v>0.12812981776274243</v>
      </c>
      <c r="T80" s="285">
        <f t="shared" ca="1" si="37"/>
        <v>0.15853183866931256</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-9.347373245768141E-3</v>
      </c>
      <c r="Q83" s="292">
        <f t="shared" ca="1" si="51"/>
        <v>-1.8008516703901953E-2</v>
      </c>
      <c r="R83" s="292">
        <f t="shared" ca="1" si="51"/>
        <v>-2.6569960836943546E-2</v>
      </c>
      <c r="S83" s="292">
        <f t="shared" ca="1" si="51"/>
        <v>-3.5858440104503231E-2</v>
      </c>
      <c r="T83" s="292">
        <f t="shared" ca="1" si="51"/>
        <v>-4.4366756628864162E-2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-3.5299331201669247E-2</v>
      </c>
      <c r="F98" s="285">
        <f t="shared" ca="1" si="54"/>
        <v>-6.800719077625629E-2</v>
      </c>
      <c r="G98" s="285">
        <f t="shared" ca="1" si="54"/>
        <v>-0.10033854677016019</v>
      </c>
      <c r="H98" s="285">
        <f t="shared" ca="1" si="54"/>
        <v>-0.13541547131405468</v>
      </c>
      <c r="I98" s="285">
        <f t="shared" ca="1" si="54"/>
        <v>-0.1675461967130886</v>
      </c>
    </row>
    <row r="99" spans="1:20" outlineLevel="1">
      <c r="A99" s="61" t="s">
        <v>69</v>
      </c>
      <c r="B99" s="119"/>
      <c r="C99" s="285">
        <f t="shared" ref="C99:I99" ca="1" si="55">+C9*(C87)</f>
        <v>0</v>
      </c>
      <c r="D99" s="285">
        <f t="shared" ca="1" si="55"/>
        <v>0</v>
      </c>
      <c r="E99" s="285">
        <f t="shared" ca="1" si="55"/>
        <v>-7.4481907134270548E-3</v>
      </c>
      <c r="F99" s="285">
        <f t="shared" ca="1" si="55"/>
        <v>-1.4349578576775447E-2</v>
      </c>
      <c r="G99" s="285">
        <f t="shared" ca="1" si="55"/>
        <v>-2.1171523845101427E-2</v>
      </c>
      <c r="H99" s="285">
        <f t="shared" ca="1" si="55"/>
        <v>-2.8572786553190975E-2</v>
      </c>
      <c r="I99" s="285">
        <f t="shared" ca="1" si="55"/>
        <v>-3.5352398585088124E-2</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3.340014866932816E-2</v>
      </c>
      <c r="F101" s="285">
        <f t="shared" ca="1" si="57"/>
        <v>6.4348252649129786E-2</v>
      </c>
      <c r="G101" s="285">
        <f t="shared" ca="1" si="57"/>
        <v>9.4940109778318071E-2</v>
      </c>
      <c r="H101" s="285">
        <f t="shared" ca="1" si="57"/>
        <v>0.12812981776274243</v>
      </c>
      <c r="I101" s="285">
        <f t="shared" ca="1" si="57"/>
        <v>0.15853183866931256</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-9.347373245768141E-3</v>
      </c>
      <c r="F104" s="296">
        <f t="shared" ca="1" si="60"/>
        <v>-1.8008516703901953E-2</v>
      </c>
      <c r="G104" s="296">
        <f t="shared" ca="1" si="60"/>
        <v>-2.6569960836943546E-2</v>
      </c>
      <c r="H104" s="296">
        <f t="shared" ca="1" si="60"/>
        <v>-3.5858440104503231E-2</v>
      </c>
      <c r="I104" s="296">
        <f t="shared" ca="1" si="60"/>
        <v>-4.4366756628864162E-2</v>
      </c>
    </row>
    <row r="105" spans="1:20" ht="13.5" outlineLevel="1" thickBot="1">
      <c r="A105" s="122" t="s">
        <v>143</v>
      </c>
      <c r="B105" s="123"/>
      <c r="C105" s="124">
        <f t="shared" ref="C105:I105" ca="1" si="61">IF(C36&lt;&gt;0,+C104/C36,0)</f>
        <v>0</v>
      </c>
      <c r="D105" s="124">
        <f t="shared" ca="1" si="61"/>
        <v>0</v>
      </c>
      <c r="E105" s="124">
        <f t="shared" ca="1" si="61"/>
        <v>1.0609958281235118E-2</v>
      </c>
      <c r="F105" s="124">
        <f t="shared" ca="1" si="61"/>
        <v>2.0440995123611746E-2</v>
      </c>
      <c r="G105" s="124">
        <f t="shared" ca="1" si="61"/>
        <v>3.015886587621287E-2</v>
      </c>
      <c r="H105" s="124">
        <f t="shared" ca="1" si="61"/>
        <v>4.0701975146995709E-2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-7.2148104402622495E-2</v>
      </c>
      <c r="Q113" s="285">
        <f ca="1">IF($B113&lt;&gt;0,(+VLOOKUP($B113,$A$8:$I$13,6,FALSE)+VLOOKUP($B113,$A$42:$I$47,6,FALSE))*(F113),0)</f>
        <v>-0.14726310878795298</v>
      </c>
      <c r="R113" s="285">
        <f ca="1">IF($B113&lt;&gt;0,(+VLOOKUP($B113,$A$8:$I$13,7,FALSE)+VLOOKUP($B113,$A$42:$I$47,7,FALSE))*(G113),0)</f>
        <v>-0.22960388962902906</v>
      </c>
      <c r="S113" s="285">
        <f ca="1">IF($B113&lt;&gt;0,(+VLOOKUP($B113,$A$8:$I$13,8,FALSE)+VLOOKUP($B113,$A$42:$I$47,8,FALSE))*(H113),0)</f>
        <v>-0.31557116969290483</v>
      </c>
      <c r="T113" s="285">
        <f ca="1">IF($B113&lt;&gt;0,(+VLOOKUP($B113,$A$8:$I$13,9,FALSE)+VLOOKUP($B113,$A$42:$I$47,9,FALSE))*(I113),0)</f>
        <v>-0.40480313173564336</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1.5907000743346302E-2</v>
      </c>
      <c r="Q116" s="285">
        <f t="shared" ca="1" si="68"/>
        <v>3.2203791232806651E-2</v>
      </c>
      <c r="R116" s="285">
        <f t="shared" ca="1" si="69"/>
        <v>6.1989529859935673E-2</v>
      </c>
      <c r="S116" s="285">
        <f t="shared" ca="1" si="70"/>
        <v>9.7680873247506475E-2</v>
      </c>
      <c r="T116" s="285">
        <f t="shared" ca="1" si="71"/>
        <v>0.14115132762994342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-5.624110365927619E-2</v>
      </c>
      <c r="Q119" s="292">
        <f t="shared" ca="1" si="72"/>
        <v>-0.11505931755514634</v>
      </c>
      <c r="R119" s="292">
        <f t="shared" ca="1" si="72"/>
        <v>-0.16761435976909339</v>
      </c>
      <c r="S119" s="292">
        <f t="shared" ca="1" si="72"/>
        <v>-0.21789029644539837</v>
      </c>
      <c r="T119" s="292">
        <f t="shared" ca="1" si="72"/>
        <v>-0.26365180410569994</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-7.2148104402622495E-2</v>
      </c>
      <c r="F134" s="285">
        <f t="shared" ca="1" si="75"/>
        <v>-0.14726310878795298</v>
      </c>
      <c r="G134" s="285">
        <f t="shared" ca="1" si="75"/>
        <v>-0.22960388962902906</v>
      </c>
      <c r="H134" s="285">
        <f t="shared" ca="1" si="75"/>
        <v>-0.31557116969290483</v>
      </c>
      <c r="I134" s="285">
        <f t="shared" ca="1" si="75"/>
        <v>-0.40480313173564336</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1.5907000743346302E-2</v>
      </c>
      <c r="F137" s="285">
        <f t="shared" ca="1" si="78"/>
        <v>3.2203791232806651E-2</v>
      </c>
      <c r="G137" s="285">
        <f t="shared" ca="1" si="78"/>
        <v>6.1989529859935673E-2</v>
      </c>
      <c r="H137" s="285">
        <f t="shared" ca="1" si="78"/>
        <v>9.7680873247506475E-2</v>
      </c>
      <c r="I137" s="285">
        <f t="shared" ca="1" si="78"/>
        <v>0.14115132762994342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-5.624110365927619E-2</v>
      </c>
      <c r="F140" s="296">
        <f t="shared" ca="1" si="81"/>
        <v>-0.11505931755514634</v>
      </c>
      <c r="G140" s="296">
        <f t="shared" ca="1" si="81"/>
        <v>-0.16761435976909339</v>
      </c>
      <c r="H140" s="296">
        <f t="shared" ca="1" si="81"/>
        <v>-0.21789029644539837</v>
      </c>
      <c r="I140" s="296">
        <f t="shared" ca="1" si="81"/>
        <v>-0.26365180410569994</v>
      </c>
    </row>
    <row r="141" spans="1:16" ht="13.5" outlineLevel="1" thickBot="1">
      <c r="A141" s="122" t="s">
        <v>148</v>
      </c>
      <c r="B141" s="126"/>
      <c r="C141" s="124">
        <f t="shared" ref="C141:I141" ca="1" si="82">IF((+C36+C48)&lt;&gt;0,+C140/(+C36+C48),0)</f>
        <v>0</v>
      </c>
      <c r="D141" s="124">
        <f t="shared" ca="1" si="82"/>
        <v>0</v>
      </c>
      <c r="E141" s="124">
        <f t="shared" ca="1" si="82"/>
        <v>6.3167596546333152E-2</v>
      </c>
      <c r="F141" s="124">
        <f t="shared" ca="1" si="82"/>
        <v>0.12798468025308188</v>
      </c>
      <c r="G141" s="124">
        <f t="shared" ca="1" si="82"/>
        <v>0.18468478134128924</v>
      </c>
      <c r="H141" s="124">
        <f t="shared" ca="1" si="82"/>
        <v>0.23764878733140446</v>
      </c>
      <c r="I141" s="124">
        <f t="shared" ca="1" si="82"/>
        <v>0.28491601002200517</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c r="F185" s="285"/>
      <c r="G185" s="285"/>
      <c r="H185" s="285"/>
      <c r="I185" s="285"/>
      <c r="J185" s="63"/>
      <c r="K185" s="63"/>
      <c r="L185" s="63"/>
    </row>
    <row r="186" spans="1:12" outlineLevel="1">
      <c r="A186" s="61" t="s">
        <v>69</v>
      </c>
      <c r="B186" s="65"/>
      <c r="C186" s="285"/>
      <c r="D186" s="285"/>
      <c r="E186" s="285"/>
      <c r="F186" s="285"/>
      <c r="G186" s="285"/>
      <c r="H186" s="285"/>
      <c r="I186" s="285"/>
      <c r="J186" s="42"/>
      <c r="K186" s="21"/>
      <c r="L186" s="21"/>
    </row>
    <row r="187" spans="1:12" s="759" customFormat="1" outlineLevel="1">
      <c r="A187" s="61" t="s">
        <v>646</v>
      </c>
      <c r="B187" s="65"/>
      <c r="C187" s="285"/>
      <c r="D187" s="285"/>
      <c r="E187" s="285"/>
      <c r="F187" s="285"/>
      <c r="G187" s="285"/>
      <c r="H187" s="285"/>
      <c r="I187" s="285"/>
      <c r="J187" s="42"/>
      <c r="K187" s="732"/>
      <c r="L187" s="732"/>
    </row>
    <row r="188" spans="1:12" outlineLevel="1">
      <c r="A188" s="61" t="s">
        <v>647</v>
      </c>
      <c r="B188" s="65"/>
      <c r="C188" s="285"/>
      <c r="D188" s="285"/>
      <c r="E188" s="285"/>
      <c r="F188" s="285"/>
      <c r="G188" s="285"/>
      <c r="H188" s="285"/>
      <c r="I188" s="285"/>
      <c r="J188" s="42"/>
      <c r="K188" s="21"/>
      <c r="L188" s="21"/>
    </row>
    <row r="189" spans="1:12" s="759" customFormat="1" outlineLevel="1">
      <c r="A189" s="61" t="s">
        <v>575</v>
      </c>
      <c r="B189" s="65"/>
      <c r="C189" s="285"/>
      <c r="D189" s="285"/>
      <c r="E189" s="285"/>
      <c r="F189" s="285"/>
      <c r="G189" s="285"/>
      <c r="H189" s="285"/>
      <c r="I189" s="285"/>
      <c r="J189" s="42"/>
      <c r="K189" s="732"/>
      <c r="L189" s="732"/>
    </row>
    <row r="190" spans="1:12" outlineLevel="1">
      <c r="A190" s="83" t="s">
        <v>70</v>
      </c>
      <c r="B190" s="65"/>
      <c r="C190" s="285"/>
      <c r="D190" s="285"/>
      <c r="E190" s="285"/>
      <c r="F190" s="285"/>
      <c r="G190" s="285"/>
      <c r="H190" s="285"/>
      <c r="I190" s="285"/>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-0.88100000000000023</v>
      </c>
      <c r="E205" s="82">
        <f t="shared" ca="1" si="95"/>
        <v>-0.88100000000000023</v>
      </c>
      <c r="F205" s="82">
        <f t="shared" ca="1" si="95"/>
        <v>-0.88100000000000023</v>
      </c>
      <c r="G205" s="82">
        <f t="shared" ca="1" si="95"/>
        <v>-0.88100000000000023</v>
      </c>
      <c r="H205" s="82">
        <f t="shared" ca="1" si="95"/>
        <v>-0.88100000000000023</v>
      </c>
      <c r="I205" s="82">
        <f t="shared" ca="1" si="95"/>
        <v>-0.88100000000000023</v>
      </c>
    </row>
    <row r="206" spans="1:9" outlineLevel="1">
      <c r="A206" t="s">
        <v>156</v>
      </c>
      <c r="B206" s="82">
        <f t="shared" ref="B206:I206" ca="1" si="96">+B36</f>
        <v>0</v>
      </c>
      <c r="C206" s="82">
        <f t="shared" ca="1" si="96"/>
        <v>0</v>
      </c>
      <c r="D206" s="82">
        <f t="shared" ca="1" si="96"/>
        <v>-0.88100000000000023</v>
      </c>
      <c r="E206" s="82">
        <f t="shared" ca="1" si="96"/>
        <v>-0.88100000000000023</v>
      </c>
      <c r="F206" s="82">
        <f t="shared" ca="1" si="96"/>
        <v>-0.88100000000000023</v>
      </c>
      <c r="G206" s="82">
        <f t="shared" ca="1" si="96"/>
        <v>-0.88100000000000023</v>
      </c>
      <c r="H206" s="82">
        <f t="shared" ca="1" si="96"/>
        <v>-0.88100000000000023</v>
      </c>
      <c r="I206" s="82">
        <f t="shared" ca="1" si="96"/>
        <v>-0.88100000000000023</v>
      </c>
    </row>
    <row r="207" spans="1:9" outlineLevel="1">
      <c r="A207" t="s">
        <v>157</v>
      </c>
      <c r="B207" s="82">
        <f t="shared" ref="B207:I207" ca="1" si="97">+B36+B48</f>
        <v>0</v>
      </c>
      <c r="C207" s="82">
        <f t="shared" ca="1" si="97"/>
        <v>0</v>
      </c>
      <c r="D207" s="82">
        <f t="shared" ca="1" si="97"/>
        <v>-0.88100000000000023</v>
      </c>
      <c r="E207" s="82">
        <f t="shared" ca="1" si="97"/>
        <v>-0.8903473732457684</v>
      </c>
      <c r="F207" s="82">
        <f t="shared" ca="1" si="97"/>
        <v>-0.89900851670390214</v>
      </c>
      <c r="G207" s="82">
        <f t="shared" ca="1" si="97"/>
        <v>-0.90756996083694375</v>
      </c>
      <c r="H207" s="82">
        <f t="shared" ca="1" si="97"/>
        <v>-0.91685844010450346</v>
      </c>
      <c r="I207" s="82">
        <f t="shared" ca="1" si="97"/>
        <v>-0.92536675662886436</v>
      </c>
    </row>
    <row r="208" spans="1:9" outlineLevel="1">
      <c r="A208" t="s">
        <v>158</v>
      </c>
      <c r="B208" s="82">
        <f t="shared" ref="B208:I208" ca="1" si="98">+B70</f>
        <v>0</v>
      </c>
      <c r="C208" s="82">
        <f t="shared" ca="1" si="98"/>
        <v>0</v>
      </c>
      <c r="D208" s="82">
        <f t="shared" ca="1" si="98"/>
        <v>-0.88100000000000023</v>
      </c>
      <c r="E208" s="82">
        <f t="shared" ca="1" si="98"/>
        <v>-0.946588476905045</v>
      </c>
      <c r="F208" s="82">
        <f t="shared" ca="1" si="98"/>
        <v>-1.0140678342590479</v>
      </c>
      <c r="G208" s="82">
        <f t="shared" ca="1" si="98"/>
        <v>-1.0751843206060374</v>
      </c>
      <c r="H208" s="82">
        <f t="shared" ca="1" si="98"/>
        <v>-1.1347487365499016</v>
      </c>
      <c r="I208" s="82">
        <f t="shared" ca="1" si="98"/>
        <v>-1.1890185607345645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05" priority="1" stopIfTrue="1" operator="notEqual">
      <formula>0</formula>
    </cfRule>
  </conditionalFormatting>
  <conditionalFormatting sqref="J130 J94 J70 J59 J48 J36:J37 J14 J25">
    <cfRule type="cellIs" dxfId="304" priority="2" stopIfTrue="1" operator="equal">
      <formula>"OK"</formula>
    </cfRule>
    <cfRule type="cellIs" dxfId="303" priority="3" stopIfTrue="1" operator="equal">
      <formula>"Warning Check Escalations"</formula>
    </cfRule>
  </conditionalFormatting>
  <conditionalFormatting sqref="N120:T120 N84:T84">
    <cfRule type="cellIs" dxfId="302" priority="4" stopIfTrue="1" operator="notEqual">
      <formula>0</formula>
    </cfRule>
    <cfRule type="cellIs" dxfId="30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xml><?xml version="1.0" encoding="utf-8"?>
<worksheet xmlns="http://schemas.openxmlformats.org/spreadsheetml/2006/main" xmlns:r="http://schemas.openxmlformats.org/officeDocument/2006/relationships">
  <sheetPr codeName="Sheet11" enableFormatConditionsCalculation="0">
    <tabColor indexed="58"/>
    <pageSetUpPr autoPageBreaks="0"/>
  </sheetPr>
  <dimension ref="A1:F20"/>
  <sheetViews>
    <sheetView showGridLines="0" zoomScaleNormal="100" workbookViewId="0">
      <selection activeCell="D4" sqref="D4"/>
    </sheetView>
  </sheetViews>
  <sheetFormatPr defaultColWidth="9.28515625" defaultRowHeight="12.75"/>
  <cols>
    <col min="1" max="2" width="9.28515625" customWidth="1"/>
    <col min="3" max="3" width="9.85546875" customWidth="1"/>
    <col min="4" max="4" width="6.140625" customWidth="1"/>
  </cols>
  <sheetData>
    <row r="1" spans="1:6">
      <c r="A1" s="174" t="s">
        <v>18</v>
      </c>
    </row>
    <row r="9" spans="1:6" ht="18">
      <c r="C9" s="175" t="s">
        <v>19</v>
      </c>
    </row>
    <row r="10" spans="1:6" ht="16.5">
      <c r="C10" s="176" t="s">
        <v>4</v>
      </c>
      <c r="D10" s="730">
        <v>1</v>
      </c>
    </row>
    <row r="11" spans="1:6" ht="15.75">
      <c r="C11" s="177" t="s">
        <v>496</v>
      </c>
    </row>
    <row r="12" spans="1:6">
      <c r="C12" s="882"/>
      <c r="D12" s="882"/>
      <c r="E12" s="882"/>
      <c r="F12" s="882"/>
    </row>
    <row r="13" spans="1:6">
      <c r="C13" s="178"/>
      <c r="D13" s="178"/>
    </row>
    <row r="17" spans="3:3">
      <c r="C17" s="179" t="s">
        <v>22</v>
      </c>
    </row>
    <row r="18" spans="3:3">
      <c r="C18" s="180" t="s">
        <v>20</v>
      </c>
    </row>
    <row r="19" spans="3:3">
      <c r="C19" s="180"/>
    </row>
    <row r="20" spans="3:3">
      <c r="C20" s="180"/>
    </row>
  </sheetData>
  <sheetProtection formatColumns="0" formatRows="0"/>
  <mergeCells count="1">
    <mergeCell ref="C12:F12"/>
  </mergeCells>
  <phoneticPr fontId="10" type="noConversion"/>
  <pageMargins left="0.39370078740157483" right="0.39370078740157483" top="0.59055118110236227" bottom="0.98425196850393704" header="0" footer="0.31496062992125984"/>
  <pageSetup paperSize="9" orientation="landscape" r:id="rId1"/>
  <headerFooter alignWithMargins="0">
    <oddFooter>&amp;L&amp;"Arial,Bold"&amp;7&amp;F
&amp;A
Printed: &amp;T on &amp;D&amp;C&amp;"Arial,Bold"&amp;10Page &amp;P of &amp;N</oddFooter>
  </headerFooter>
</worksheet>
</file>

<file path=xl/worksheets/sheet30.xml><?xml version="1.0" encoding="utf-8"?>
<worksheet xmlns="http://schemas.openxmlformats.org/spreadsheetml/2006/main" xmlns:r="http://schemas.openxmlformats.org/officeDocument/2006/relationships">
  <sheetPr codeName="Sheet75" enableFormatConditionsCalculation="0">
    <tabColor indexed="57"/>
    <pageSetUpPr fitToPage="1"/>
  </sheetPr>
  <dimension ref="A1:T239"/>
  <sheetViews>
    <sheetView showGridLines="0" topLeftCell="A59"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17</v>
      </c>
      <c r="M1" s="282"/>
      <c r="N1" s="280"/>
      <c r="O1" s="280"/>
      <c r="P1" s="280"/>
      <c r="Q1" s="280"/>
      <c r="R1" s="280"/>
      <c r="S1" s="280"/>
      <c r="T1" s="280"/>
    </row>
    <row r="2" spans="1:20" ht="15.75">
      <c r="A2" s="184" t="s">
        <v>121</v>
      </c>
      <c r="B2" s="74" t="str">
        <f ca="1">OFFSET(List_AllocOpexListStart,+$K$1,1)</f>
        <v>General Manager Corporate Services</v>
      </c>
      <c r="F2" s="284"/>
      <c r="H2" s="42"/>
      <c r="I2" s="283"/>
      <c r="L2" s="282"/>
      <c r="M2" s="282"/>
    </row>
    <row r="3" spans="1:20" ht="16.5" thickBot="1">
      <c r="A3" s="184" t="s">
        <v>371</v>
      </c>
      <c r="B3" s="236" t="str">
        <f ca="1">OFFSET(List_AllocOpexListStart,+$K$1,2)</f>
        <v>David Syme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0.49199999999999999</v>
      </c>
      <c r="E8" s="285">
        <f ca="1">OFFSET(Future_AOpexStart,MATCH($K$1,'I-6 Future A'!$A$6:$A$379)+2,+'I-5 Future DA'!F$5)</f>
        <v>0.49199999999999999</v>
      </c>
      <c r="F8" s="285">
        <f ca="1">OFFSET(Future_AOpexStart,MATCH($K$1,'I-6 Future A'!$A$6:$A$379)+2,+'I-5 Future DA'!G$5)</f>
        <v>0.49199999999999999</v>
      </c>
      <c r="G8" s="285">
        <f ca="1">OFFSET(Future_AOpexStart,MATCH($K$1,'I-6 Future A'!$A$6:$A$379)+2,+'I-5 Future DA'!H$5)</f>
        <v>0.49199999999999999</v>
      </c>
      <c r="H8" s="285">
        <f ca="1">OFFSET(Future_AOpexStart,MATCH($K$1,'I-6 Future A'!$A$6:$A$379)+2,+'I-5 Future DA'!I$5)</f>
        <v>0.49199999999999999</v>
      </c>
      <c r="I8" s="285">
        <f ca="1">OFFSET(Future_AOpexStart,MATCH($K$1,'I-6 Future A'!$A$6:$A$379)+2,+'I-5 Future DA'!J$5)</f>
        <v>0.49199999999999999</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7.0000000000000001E-3</v>
      </c>
      <c r="E9" s="285">
        <f ca="1">OFFSET(Future_AOpexStart,MATCH($K$1,'I-6 Future A'!$A$6:$A$379)+3,+'I-5 Future DA'!F$5)</f>
        <v>7.0000000000000001E-3</v>
      </c>
      <c r="F9" s="285">
        <f ca="1">OFFSET(Future_AOpexStart,MATCH($K$1,'I-6 Future A'!$A$6:$A$379)+3,+'I-5 Future DA'!G$5)</f>
        <v>7.0000000000000001E-3</v>
      </c>
      <c r="G9" s="285">
        <f ca="1">OFFSET(Future_AOpexStart,MATCH($K$1,'I-6 Future A'!$A$6:$A$379)+3,+'I-5 Future DA'!H$5)</f>
        <v>7.0000000000000001E-3</v>
      </c>
      <c r="H9" s="285">
        <f ca="1">OFFSET(Future_AOpexStart,MATCH($K$1,'I-6 Future A'!$A$6:$A$379)+3,+'I-5 Future DA'!I$5)</f>
        <v>7.0000000000000001E-3</v>
      </c>
      <c r="I9" s="285">
        <f ca="1">OFFSET(Future_AOpexStart,MATCH($K$1,'I-6 Future A'!$A$6:$A$379)+3,+'I-5 Future DA'!J$5)</f>
        <v>7.0000000000000001E-3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4.9000000000000002E-2</v>
      </c>
      <c r="E11" s="285">
        <f ca="1">OFFSET(Future_AOpexStart,MATCH($K$1,'I-6 Future A'!$A$6:$A$379)+5,+'I-5 Future DA'!F$5)</f>
        <v>4.9000000000000002E-2</v>
      </c>
      <c r="F11" s="285">
        <f ca="1">OFFSET(Future_AOpexStart,MATCH($K$1,'I-6 Future A'!$A$6:$A$379)+5,+'I-5 Future DA'!G$5)</f>
        <v>4.9000000000000002E-2</v>
      </c>
      <c r="G11" s="285">
        <f ca="1">OFFSET(Future_AOpexStart,MATCH($K$1,'I-6 Future A'!$A$6:$A$379)+5,+'I-5 Future DA'!H$5)</f>
        <v>4.9000000000000002E-2</v>
      </c>
      <c r="H11" s="285">
        <f ca="1">OFFSET(Future_AOpexStart,MATCH($K$1,'I-6 Future A'!$A$6:$A$379)+5,+'I-5 Future DA'!I$5)</f>
        <v>4.9000000000000002E-2</v>
      </c>
      <c r="I11" s="285">
        <f ca="1">OFFSET(Future_AOpexStart,MATCH($K$1,'I-6 Future A'!$A$6:$A$379)+5,+'I-5 Future DA'!J$5)</f>
        <v>4.9000000000000002E-2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0.54800000000000004</v>
      </c>
      <c r="E14" s="287">
        <f t="shared" ca="1" si="0"/>
        <v>0.54800000000000004</v>
      </c>
      <c r="F14" s="287">
        <f t="shared" ca="1" si="0"/>
        <v>0.54800000000000004</v>
      </c>
      <c r="G14" s="287">
        <f t="shared" ca="1" si="0"/>
        <v>0.54800000000000004</v>
      </c>
      <c r="H14" s="287">
        <f t="shared" ca="1" si="0"/>
        <v>0.54800000000000004</v>
      </c>
      <c r="I14" s="287">
        <f t="shared" ca="1" si="0"/>
        <v>0.54800000000000004</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+'A-17'!B8+'A-17'!B19</f>
        <v>0</v>
      </c>
      <c r="C30" s="285">
        <f ca="1">+'A-17'!C8+'A-17'!C19</f>
        <v>0</v>
      </c>
      <c r="D30" s="285">
        <f ca="1">+'A-17'!D8+'A-17'!D19</f>
        <v>0.49199999999999999</v>
      </c>
      <c r="E30" s="285">
        <f ca="1">+'A-17'!E8+'A-17'!E19</f>
        <v>0.49199999999999999</v>
      </c>
      <c r="F30" s="285">
        <f ca="1">+'A-17'!F8+'A-17'!F19</f>
        <v>0.49199999999999999</v>
      </c>
      <c r="G30" s="285">
        <f ca="1">+'A-17'!G8+'A-17'!G19</f>
        <v>0.49199999999999999</v>
      </c>
      <c r="H30" s="285">
        <f ca="1">+'A-17'!H8+'A-17'!H19</f>
        <v>0.49199999999999999</v>
      </c>
      <c r="I30" s="285">
        <f ca="1">+'A-17'!I8+'A-17'!I19</f>
        <v>0.49199999999999999</v>
      </c>
      <c r="J30" s="42"/>
      <c r="K30" s="21"/>
      <c r="L30" s="21"/>
    </row>
    <row r="31" spans="1:12" outlineLevel="2">
      <c r="A31" s="61" t="s">
        <v>69</v>
      </c>
      <c r="B31" s="285">
        <f ca="1">+'A-17'!B9+'A-17'!B20</f>
        <v>0</v>
      </c>
      <c r="C31" s="285">
        <f ca="1">+'A-17'!C9+'A-17'!C20</f>
        <v>0</v>
      </c>
      <c r="D31" s="285">
        <f ca="1">+'A-17'!D9+'A-17'!D20</f>
        <v>7.0000000000000001E-3</v>
      </c>
      <c r="E31" s="285">
        <f ca="1">+'A-17'!E9+'A-17'!E20</f>
        <v>7.0000000000000001E-3</v>
      </c>
      <c r="F31" s="285">
        <f ca="1">+'A-17'!F9+'A-17'!F20</f>
        <v>7.0000000000000001E-3</v>
      </c>
      <c r="G31" s="285">
        <f ca="1">+'A-17'!G9+'A-17'!G20</f>
        <v>7.0000000000000001E-3</v>
      </c>
      <c r="H31" s="285">
        <f ca="1">+'A-17'!H9+'A-17'!H20</f>
        <v>7.0000000000000001E-3</v>
      </c>
      <c r="I31" s="285">
        <f ca="1">+'A-17'!I9+'A-17'!I20</f>
        <v>7.0000000000000001E-3</v>
      </c>
      <c r="J31" s="42"/>
      <c r="K31" s="21"/>
      <c r="L31" s="21"/>
    </row>
    <row r="32" spans="1:12" s="759" customFormat="1" outlineLevel="2">
      <c r="A32" s="61" t="s">
        <v>646</v>
      </c>
      <c r="B32" s="285">
        <f ca="1">+'A-17'!B10+'A-17'!B21</f>
        <v>0</v>
      </c>
      <c r="C32" s="285">
        <f ca="1">+'A-17'!C10+'A-17'!C21</f>
        <v>0</v>
      </c>
      <c r="D32" s="285">
        <f ca="1">+'A-17'!D10+'A-17'!D21</f>
        <v>0</v>
      </c>
      <c r="E32" s="285">
        <f ca="1">+'A-17'!E10+'A-17'!E21</f>
        <v>0</v>
      </c>
      <c r="F32" s="285">
        <f ca="1">+'A-17'!F10+'A-17'!F21</f>
        <v>0</v>
      </c>
      <c r="G32" s="285">
        <f ca="1">+'A-17'!G10+'A-17'!G21</f>
        <v>0</v>
      </c>
      <c r="H32" s="285">
        <f ca="1">+'A-17'!H10+'A-17'!H21</f>
        <v>0</v>
      </c>
      <c r="I32" s="285">
        <f ca="1">+'A-17'!I10+'A-17'!I21</f>
        <v>0</v>
      </c>
      <c r="J32" s="42"/>
      <c r="K32" s="732"/>
      <c r="L32" s="732"/>
    </row>
    <row r="33" spans="1:12" outlineLevel="2">
      <c r="A33" s="61" t="s">
        <v>647</v>
      </c>
      <c r="B33" s="285">
        <f ca="1">+'A-17'!B11+'A-17'!B22</f>
        <v>0</v>
      </c>
      <c r="C33" s="285">
        <f ca="1">+'A-17'!C11+'A-17'!C22</f>
        <v>0</v>
      </c>
      <c r="D33" s="285">
        <f ca="1">+'A-17'!D11+'A-17'!D22</f>
        <v>4.9000000000000002E-2</v>
      </c>
      <c r="E33" s="285">
        <f ca="1">+'A-17'!E11+'A-17'!E22</f>
        <v>4.9000000000000002E-2</v>
      </c>
      <c r="F33" s="285">
        <f ca="1">+'A-17'!F11+'A-17'!F22</f>
        <v>4.9000000000000002E-2</v>
      </c>
      <c r="G33" s="285">
        <f ca="1">+'A-17'!G11+'A-17'!G22</f>
        <v>4.9000000000000002E-2</v>
      </c>
      <c r="H33" s="285">
        <f ca="1">+'A-17'!H11+'A-17'!H22</f>
        <v>4.9000000000000002E-2</v>
      </c>
      <c r="I33" s="285">
        <f ca="1">+'A-17'!I11+'A-17'!I22</f>
        <v>4.9000000000000002E-2</v>
      </c>
      <c r="J33" s="42"/>
      <c r="K33" s="21"/>
      <c r="L33" s="21"/>
    </row>
    <row r="34" spans="1:12" s="759" customFormat="1" outlineLevel="2">
      <c r="A34" s="61" t="s">
        <v>575</v>
      </c>
      <c r="B34" s="285">
        <f ca="1">+'A-17'!B12+'A-17'!B23</f>
        <v>0</v>
      </c>
      <c r="C34" s="285">
        <f ca="1">+'A-17'!C12+'A-17'!C23</f>
        <v>0</v>
      </c>
      <c r="D34" s="285">
        <f ca="1">+'A-17'!D12+'A-17'!D23</f>
        <v>0</v>
      </c>
      <c r="E34" s="285">
        <f ca="1">+'A-17'!E12+'A-17'!E23</f>
        <v>0</v>
      </c>
      <c r="F34" s="285">
        <f ca="1">+'A-17'!F12+'A-17'!F23</f>
        <v>0</v>
      </c>
      <c r="G34" s="285">
        <f ca="1">+'A-17'!G12+'A-17'!G23</f>
        <v>0</v>
      </c>
      <c r="H34" s="285">
        <f ca="1">+'A-17'!H12+'A-17'!H23</f>
        <v>0</v>
      </c>
      <c r="I34" s="285">
        <f ca="1">+'A-17'!I12+'A-17'!I23</f>
        <v>0</v>
      </c>
      <c r="J34" s="42"/>
      <c r="K34" s="732"/>
      <c r="L34" s="732"/>
    </row>
    <row r="35" spans="1:12" ht="13.5" outlineLevel="2" thickBot="1">
      <c r="A35" s="83" t="s">
        <v>70</v>
      </c>
      <c r="B35" s="285">
        <f ca="1">+'A-17'!B13+'A-17'!B24</f>
        <v>0</v>
      </c>
      <c r="C35" s="285">
        <f ca="1">+'A-17'!C13+'A-17'!C24</f>
        <v>0</v>
      </c>
      <c r="D35" s="285">
        <f ca="1">+'A-17'!D13+'A-17'!D24</f>
        <v>0</v>
      </c>
      <c r="E35" s="285">
        <f ca="1">+'A-17'!E13+'A-17'!E24</f>
        <v>0</v>
      </c>
      <c r="F35" s="285">
        <f ca="1">+'A-17'!F13+'A-17'!F24</f>
        <v>0</v>
      </c>
      <c r="G35" s="285">
        <f ca="1">+'A-17'!G13+'A-17'!G24</f>
        <v>0</v>
      </c>
      <c r="H35" s="285">
        <f ca="1">+'A-17'!H13+'A-17'!H24</f>
        <v>0</v>
      </c>
      <c r="I35" s="285">
        <f ca="1">+'A-17'!I13+'A-17'!I24</f>
        <v>0</v>
      </c>
      <c r="J35" s="93"/>
      <c r="K35" s="21"/>
      <c r="L35" s="21"/>
    </row>
    <row r="36" spans="1:12" s="87" customFormat="1" ht="20.25" customHeight="1" thickBot="1">
      <c r="A36" s="94" t="s">
        <v>128</v>
      </c>
      <c r="B36" s="294">
        <f t="shared" ref="B36:I36" ca="1" si="7">SUM(B30:B35)</f>
        <v>0</v>
      </c>
      <c r="C36" s="294">
        <f t="shared" ca="1" si="7"/>
        <v>0</v>
      </c>
      <c r="D36" s="294">
        <f t="shared" ca="1" si="7"/>
        <v>0.54800000000000004</v>
      </c>
      <c r="E36" s="294">
        <f t="shared" ca="1" si="7"/>
        <v>0.54800000000000004</v>
      </c>
      <c r="F36" s="294">
        <f t="shared" ca="1" si="7"/>
        <v>0.54800000000000004</v>
      </c>
      <c r="G36" s="294">
        <f t="shared" ca="1" si="7"/>
        <v>0.54800000000000004</v>
      </c>
      <c r="H36" s="294">
        <f t="shared" ca="1" si="7"/>
        <v>0.54800000000000004</v>
      </c>
      <c r="I36" s="294">
        <f t="shared" ca="1" si="7"/>
        <v>0.54800000000000004</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5.2200994743676794E-3</v>
      </c>
      <c r="F42" s="285">
        <f t="shared" ca="1" si="8"/>
        <v>1.005696960081698E-2</v>
      </c>
      <c r="G42" s="285">
        <f t="shared" ca="1" si="8"/>
        <v>1.4838162011096726E-2</v>
      </c>
      <c r="H42" s="285">
        <f t="shared" ca="1" si="8"/>
        <v>2.002537177232188E-2</v>
      </c>
      <c r="I42" s="285">
        <f t="shared" ca="1" si="8"/>
        <v>2.4776894734848089E-2</v>
      </c>
      <c r="K42" s="63"/>
      <c r="L42" s="63"/>
    </row>
    <row r="43" spans="1:12" outlineLevel="1">
      <c r="A43" s="61" t="s">
        <v>69</v>
      </c>
      <c r="B43" s="82"/>
      <c r="C43" s="285">
        <f t="shared" ca="1" si="8"/>
        <v>0</v>
      </c>
      <c r="D43" s="285">
        <f t="shared" ca="1" si="8"/>
        <v>0</v>
      </c>
      <c r="E43" s="285">
        <f t="shared" ca="1" si="8"/>
        <v>7.4269707968645856E-5</v>
      </c>
      <c r="F43" s="285">
        <f t="shared" ca="1" si="8"/>
        <v>1.4308696586528224E-4</v>
      </c>
      <c r="G43" s="285">
        <f t="shared" ca="1" si="8"/>
        <v>2.1111206113349001E-4</v>
      </c>
      <c r="H43" s="285">
        <f t="shared" ca="1" si="8"/>
        <v>2.8491382602896986E-4</v>
      </c>
      <c r="I43" s="285">
        <f t="shared" ca="1" si="8"/>
        <v>3.5251679500800126E-4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5.1988795578052094E-4</v>
      </c>
      <c r="F45" s="285">
        <f t="shared" ca="1" si="10"/>
        <v>1.0016087610569757E-3</v>
      </c>
      <c r="G45" s="285">
        <f t="shared" ca="1" si="10"/>
        <v>1.4777844279344301E-3</v>
      </c>
      <c r="H45" s="285">
        <f t="shared" ca="1" si="10"/>
        <v>1.9943967822027889E-3</v>
      </c>
      <c r="I45" s="285">
        <f t="shared" ca="1" si="10"/>
        <v>2.467617565056009E-3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5.8142571381168458E-3</v>
      </c>
      <c r="F48" s="294">
        <f t="shared" ca="1" si="13"/>
        <v>1.1201665327739238E-2</v>
      </c>
      <c r="G48" s="294">
        <f t="shared" ca="1" si="13"/>
        <v>1.6527058500164647E-2</v>
      </c>
      <c r="H48" s="294">
        <f t="shared" ca="1" si="13"/>
        <v>2.2304682380553637E-2</v>
      </c>
      <c r="I48" s="294">
        <f t="shared" ca="1" si="13"/>
        <v>2.7597029094912101E-2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1.0669331940514058E-2</v>
      </c>
      <c r="F53" s="285">
        <f t="shared" ca="1" si="14"/>
        <v>2.177741193978746E-2</v>
      </c>
      <c r="G53" s="285">
        <f t="shared" ca="1" si="14"/>
        <v>3.3954046798161198E-2</v>
      </c>
      <c r="H53" s="285">
        <f t="shared" ca="1" si="14"/>
        <v>4.6666971893269966E-2</v>
      </c>
      <c r="I53" s="285">
        <f t="shared" ca="1" si="14"/>
        <v>5.9862681338724542E-2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2.4759943977889731E-4</v>
      </c>
      <c r="F56" s="285">
        <f t="shared" ca="1" si="16"/>
        <v>5.0126612782958263E-4</v>
      </c>
      <c r="G56" s="285">
        <f t="shared" ca="1" si="16"/>
        <v>9.6489420684143839E-4</v>
      </c>
      <c r="H56" s="285">
        <f t="shared" ca="1" si="16"/>
        <v>1.5204456128106157E-3</v>
      </c>
      <c r="I56" s="285">
        <f t="shared" ca="1" si="16"/>
        <v>2.1970822915715464E-3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1.0916931380292955E-2</v>
      </c>
      <c r="F59" s="287">
        <f t="shared" ca="1" si="19"/>
        <v>2.2278678067617044E-2</v>
      </c>
      <c r="G59" s="287">
        <f t="shared" ca="1" si="19"/>
        <v>3.4918941005002639E-2</v>
      </c>
      <c r="H59" s="287">
        <f t="shared" ca="1" si="19"/>
        <v>4.8187417506080583E-2</v>
      </c>
      <c r="I59" s="287">
        <f t="shared" ca="1" si="19"/>
        <v>6.205976363029609E-2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0.49199999999999999</v>
      </c>
      <c r="E64" s="285">
        <f t="shared" ca="1" si="20"/>
        <v>0.50788943141488174</v>
      </c>
      <c r="F64" s="285">
        <f t="shared" ca="1" si="20"/>
        <v>0.52383438154060447</v>
      </c>
      <c r="G64" s="285">
        <f t="shared" ca="1" si="20"/>
        <v>0.54079220880925793</v>
      </c>
      <c r="H64" s="285">
        <f t="shared" ca="1" si="20"/>
        <v>0.55869234366559184</v>
      </c>
      <c r="I64" s="285">
        <f t="shared" ca="1" si="20"/>
        <v>0.57663957607357264</v>
      </c>
      <c r="K64" s="63"/>
      <c r="L64" s="63"/>
    </row>
    <row r="65" spans="1:20" ht="12.75" customHeight="1" outlineLevel="1">
      <c r="A65" s="61" t="s">
        <v>69</v>
      </c>
      <c r="B65" s="285">
        <f t="shared" ca="1" si="20"/>
        <v>0</v>
      </c>
      <c r="C65" s="285">
        <f t="shared" ca="1" si="20"/>
        <v>0</v>
      </c>
      <c r="D65" s="285">
        <f t="shared" ca="1" si="20"/>
        <v>7.0000000000000001E-3</v>
      </c>
      <c r="E65" s="285">
        <f t="shared" ca="1" si="20"/>
        <v>7.0742697079686457E-3</v>
      </c>
      <c r="F65" s="285">
        <f t="shared" ca="1" si="20"/>
        <v>7.1430869658652826E-3</v>
      </c>
      <c r="G65" s="285">
        <f t="shared" ca="1" si="20"/>
        <v>7.2111120611334902E-3</v>
      </c>
      <c r="H65" s="285">
        <f t="shared" ca="1" si="20"/>
        <v>7.2849138260289697E-3</v>
      </c>
      <c r="I65" s="285">
        <f t="shared" ca="1" si="20"/>
        <v>7.3525167950080012E-3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4.9000000000000002E-2</v>
      </c>
      <c r="E67" s="285">
        <f t="shared" ca="1" si="22"/>
        <v>4.9767487395559418E-2</v>
      </c>
      <c r="F67" s="285">
        <f t="shared" ca="1" si="22"/>
        <v>5.0502874888886558E-2</v>
      </c>
      <c r="G67" s="285">
        <f t="shared" ca="1" si="22"/>
        <v>5.1442678634775869E-2</v>
      </c>
      <c r="H67" s="285">
        <f t="shared" ca="1" si="22"/>
        <v>5.251484239501341E-2</v>
      </c>
      <c r="I67" s="285">
        <f t="shared" ca="1" si="22"/>
        <v>5.3664699856627557E-2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0.54800000000000004</v>
      </c>
      <c r="E70" s="295">
        <f t="shared" ca="1" si="25"/>
        <v>0.56473118851840987</v>
      </c>
      <c r="F70" s="295">
        <f t="shared" ca="1" si="25"/>
        <v>0.58148034339535637</v>
      </c>
      <c r="G70" s="295">
        <f t="shared" ca="1" si="25"/>
        <v>0.5994459995051673</v>
      </c>
      <c r="H70" s="295">
        <f t="shared" ca="1" si="25"/>
        <v>0.61849209988663412</v>
      </c>
      <c r="I70" s="295">
        <f t="shared" ca="1" si="25"/>
        <v>0.63765679272520825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5.2200994743676794E-3</v>
      </c>
      <c r="Q77" s="285">
        <f ca="1">IF($B77&lt;&gt;0,(+VLOOKUP($B77,$A$8:$I$13,6,FALSE))*(F77),0)</f>
        <v>1.005696960081698E-2</v>
      </c>
      <c r="R77" s="285">
        <f ca="1">IF($B77&lt;&gt;0,(+VLOOKUP($B77,$A$8:$I$13,7,FALSE))*(G77),0)</f>
        <v>1.4838162011096726E-2</v>
      </c>
      <c r="S77" s="285">
        <f ca="1">IF($B77&lt;&gt;0,(+VLOOKUP($B77,$A$8:$I$13,8,FALSE))*(H77),0)</f>
        <v>2.002537177232188E-2</v>
      </c>
      <c r="T77" s="285">
        <f ca="1">IF($B77&lt;&gt;0,(+VLOOKUP($B77,$A$8:$I$13,9,FALSE))*(I77),0)</f>
        <v>2.4776894734848089E-2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7.4269707968645856E-5</v>
      </c>
      <c r="Q78" s="285">
        <f ca="1">IF($B78&lt;&gt;0,(+VLOOKUP($B78,$A$8:$I$13,6,FALSE))*(F78),0)</f>
        <v>1.4308696586528224E-4</v>
      </c>
      <c r="R78" s="285">
        <f ca="1">IF($B78&lt;&gt;0,(+VLOOKUP($B78,$A$8:$I$13,7,FALSE))*(G78),0)</f>
        <v>2.1111206113349001E-4</v>
      </c>
      <c r="S78" s="285">
        <f ca="1">IF($B78&lt;&gt;0,(+VLOOKUP($B78,$A$8:$I$13,8,FALSE))*(H78),0)</f>
        <v>2.8491382602896986E-4</v>
      </c>
      <c r="T78" s="285">
        <f ca="1">IF($B78&lt;&gt;0,(+VLOOKUP($B78,$A$8:$I$13,9,FALSE))*(I78),0)</f>
        <v>3.5251679500800126E-4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5.1988795578052094E-4</v>
      </c>
      <c r="Q80" s="285">
        <f t="shared" ca="1" si="34"/>
        <v>1.0016087610569757E-3</v>
      </c>
      <c r="R80" s="285">
        <f t="shared" ca="1" si="35"/>
        <v>1.4777844279344301E-3</v>
      </c>
      <c r="S80" s="285">
        <f t="shared" ca="1" si="36"/>
        <v>1.9943967822027889E-3</v>
      </c>
      <c r="T80" s="285">
        <f t="shared" ca="1" si="37"/>
        <v>2.467617565056009E-3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5.8142571381168458E-3</v>
      </c>
      <c r="Q83" s="292">
        <f t="shared" ca="1" si="51"/>
        <v>1.1201665327739238E-2</v>
      </c>
      <c r="R83" s="292">
        <f t="shared" ca="1" si="51"/>
        <v>1.6527058500164647E-2</v>
      </c>
      <c r="S83" s="292">
        <f t="shared" ca="1" si="51"/>
        <v>2.2304682380553637E-2</v>
      </c>
      <c r="T83" s="292">
        <f t="shared" ca="1" si="51"/>
        <v>2.7597029094912101E-2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5.2200994743676794E-3</v>
      </c>
      <c r="F98" s="285">
        <f t="shared" ca="1" si="54"/>
        <v>1.005696960081698E-2</v>
      </c>
      <c r="G98" s="285">
        <f t="shared" ca="1" si="54"/>
        <v>1.4838162011096726E-2</v>
      </c>
      <c r="H98" s="285">
        <f t="shared" ca="1" si="54"/>
        <v>2.002537177232188E-2</v>
      </c>
      <c r="I98" s="285">
        <f t="shared" ca="1" si="54"/>
        <v>2.4776894734848089E-2</v>
      </c>
    </row>
    <row r="99" spans="1:20" outlineLevel="1">
      <c r="A99" s="61" t="s">
        <v>69</v>
      </c>
      <c r="B99" s="119"/>
      <c r="C99" s="285">
        <f t="shared" ref="C99:I99" ca="1" si="55">+C9*(C87)</f>
        <v>0</v>
      </c>
      <c r="D99" s="285">
        <f t="shared" ca="1" si="55"/>
        <v>0</v>
      </c>
      <c r="E99" s="285">
        <f t="shared" ca="1" si="55"/>
        <v>7.4269707968645856E-5</v>
      </c>
      <c r="F99" s="285">
        <f t="shared" ca="1" si="55"/>
        <v>1.4308696586528224E-4</v>
      </c>
      <c r="G99" s="285">
        <f t="shared" ca="1" si="55"/>
        <v>2.1111206113349001E-4</v>
      </c>
      <c r="H99" s="285">
        <f t="shared" ca="1" si="55"/>
        <v>2.8491382602896986E-4</v>
      </c>
      <c r="I99" s="285">
        <f t="shared" ca="1" si="55"/>
        <v>3.5251679500800126E-4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5.1988795578052094E-4</v>
      </c>
      <c r="F101" s="285">
        <f t="shared" ca="1" si="57"/>
        <v>1.0016087610569757E-3</v>
      </c>
      <c r="G101" s="285">
        <f t="shared" ca="1" si="57"/>
        <v>1.4777844279344301E-3</v>
      </c>
      <c r="H101" s="285">
        <f t="shared" ca="1" si="57"/>
        <v>1.9943967822027889E-3</v>
      </c>
      <c r="I101" s="285">
        <f t="shared" ca="1" si="57"/>
        <v>2.467617565056009E-3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5.8142571381168458E-3</v>
      </c>
      <c r="F104" s="296">
        <f t="shared" ca="1" si="60"/>
        <v>1.1201665327739238E-2</v>
      </c>
      <c r="G104" s="296">
        <f t="shared" ca="1" si="60"/>
        <v>1.6527058500164647E-2</v>
      </c>
      <c r="H104" s="296">
        <f t="shared" ca="1" si="60"/>
        <v>2.2304682380553637E-2</v>
      </c>
      <c r="I104" s="296">
        <f t="shared" ca="1" si="60"/>
        <v>2.7597029094912101E-2</v>
      </c>
    </row>
    <row r="105" spans="1:20" ht="13.5" outlineLevel="1" thickBot="1">
      <c r="A105" s="122" t="s">
        <v>143</v>
      </c>
      <c r="B105" s="123"/>
      <c r="C105" s="124">
        <f t="shared" ref="C105:I105" ca="1" si="61">IF(C36&lt;&gt;0,+C104/C36,0)</f>
        <v>0</v>
      </c>
      <c r="D105" s="124">
        <f t="shared" ca="1" si="61"/>
        <v>0</v>
      </c>
      <c r="E105" s="124">
        <f t="shared" ca="1" si="61"/>
        <v>1.0609958281235119E-2</v>
      </c>
      <c r="F105" s="124">
        <f t="shared" ca="1" si="61"/>
        <v>2.0440995123611746E-2</v>
      </c>
      <c r="G105" s="124">
        <f t="shared" ca="1" si="61"/>
        <v>3.0158865876212856E-2</v>
      </c>
      <c r="H105" s="124">
        <f t="shared" ca="1" si="61"/>
        <v>4.0701975146995681E-2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1.0669331940514058E-2</v>
      </c>
      <c r="Q113" s="285">
        <f ca="1">IF($B113&lt;&gt;0,(+VLOOKUP($B113,$A$8:$I$13,6,FALSE)+VLOOKUP($B113,$A$42:$I$47,6,FALSE))*(F113),0)</f>
        <v>2.177741193978746E-2</v>
      </c>
      <c r="R113" s="285">
        <f ca="1">IF($B113&lt;&gt;0,(+VLOOKUP($B113,$A$8:$I$13,7,FALSE)+VLOOKUP($B113,$A$42:$I$47,7,FALSE))*(G113),0)</f>
        <v>3.3954046798161198E-2</v>
      </c>
      <c r="S113" s="285">
        <f ca="1">IF($B113&lt;&gt;0,(+VLOOKUP($B113,$A$8:$I$13,8,FALSE)+VLOOKUP($B113,$A$42:$I$47,8,FALSE))*(H113),0)</f>
        <v>4.6666971893269966E-2</v>
      </c>
      <c r="T113" s="285">
        <f ca="1">IF($B113&lt;&gt;0,(+VLOOKUP($B113,$A$8:$I$13,9,FALSE)+VLOOKUP($B113,$A$42:$I$47,9,FALSE))*(I113),0)</f>
        <v>5.9862681338724542E-2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2.4759943977889731E-4</v>
      </c>
      <c r="Q116" s="285">
        <f t="shared" ca="1" si="68"/>
        <v>5.0126612782958263E-4</v>
      </c>
      <c r="R116" s="285">
        <f t="shared" ca="1" si="69"/>
        <v>9.6489420684143839E-4</v>
      </c>
      <c r="S116" s="285">
        <f t="shared" ca="1" si="70"/>
        <v>1.5204456128106157E-3</v>
      </c>
      <c r="T116" s="285">
        <f t="shared" ca="1" si="71"/>
        <v>2.1970822915715464E-3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1.0916931380292955E-2</v>
      </c>
      <c r="Q119" s="292">
        <f t="shared" ca="1" si="72"/>
        <v>2.2278678067617044E-2</v>
      </c>
      <c r="R119" s="292">
        <f t="shared" ca="1" si="72"/>
        <v>3.4918941005002639E-2</v>
      </c>
      <c r="S119" s="292">
        <f t="shared" ca="1" si="72"/>
        <v>4.8187417506080583E-2</v>
      </c>
      <c r="T119" s="292">
        <f t="shared" ca="1" si="72"/>
        <v>6.205976363029609E-2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1.0669331940514058E-2</v>
      </c>
      <c r="F134" s="285">
        <f t="shared" ca="1" si="75"/>
        <v>2.177741193978746E-2</v>
      </c>
      <c r="G134" s="285">
        <f t="shared" ca="1" si="75"/>
        <v>3.3954046798161198E-2</v>
      </c>
      <c r="H134" s="285">
        <f t="shared" ca="1" si="75"/>
        <v>4.6666971893269966E-2</v>
      </c>
      <c r="I134" s="285">
        <f t="shared" ca="1" si="75"/>
        <v>5.9862681338724542E-2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2.4759943977889731E-4</v>
      </c>
      <c r="F137" s="285">
        <f t="shared" ca="1" si="78"/>
        <v>5.0126612782958263E-4</v>
      </c>
      <c r="G137" s="285">
        <f t="shared" ca="1" si="78"/>
        <v>9.6489420684143839E-4</v>
      </c>
      <c r="H137" s="285">
        <f t="shared" ca="1" si="78"/>
        <v>1.5204456128106157E-3</v>
      </c>
      <c r="I137" s="285">
        <f t="shared" ca="1" si="78"/>
        <v>2.1970822915715464E-3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1.0916931380292955E-2</v>
      </c>
      <c r="F140" s="296">
        <f t="shared" ca="1" si="81"/>
        <v>2.2278678067617044E-2</v>
      </c>
      <c r="G140" s="296">
        <f t="shared" ca="1" si="81"/>
        <v>3.4918941005002639E-2</v>
      </c>
      <c r="H140" s="296">
        <f t="shared" ca="1" si="81"/>
        <v>4.8187417506080583E-2</v>
      </c>
      <c r="I140" s="296">
        <f t="shared" ca="1" si="81"/>
        <v>6.205976363029609E-2</v>
      </c>
    </row>
    <row r="141" spans="1:16" ht="13.5" outlineLevel="1" thickBot="1">
      <c r="A141" s="122" t="s">
        <v>148</v>
      </c>
      <c r="B141" s="126"/>
      <c r="C141" s="124">
        <f t="shared" ref="C141:I141" ca="1" si="82">IF((+C36+C48)&lt;&gt;0,+C140/(+C36+C48),0)</f>
        <v>0</v>
      </c>
      <c r="D141" s="124">
        <f t="shared" ca="1" si="82"/>
        <v>0</v>
      </c>
      <c r="E141" s="124">
        <f t="shared" ca="1" si="82"/>
        <v>1.9712261357638466E-2</v>
      </c>
      <c r="F141" s="124">
        <f t="shared" ca="1" si="82"/>
        <v>3.9840149715147682E-2</v>
      </c>
      <c r="G141" s="124">
        <f t="shared" ca="1" si="82"/>
        <v>6.1855212215646965E-2</v>
      </c>
      <c r="H141" s="124">
        <f t="shared" ca="1" si="82"/>
        <v>8.4494164250831144E-2</v>
      </c>
      <c r="I141" s="124">
        <f t="shared" ca="1" si="82"/>
        <v>0.10781807496102076</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(SEM)'!$N$151:$R$156</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0.54800000000000004</v>
      </c>
      <c r="E205" s="82">
        <f t="shared" ca="1" si="95"/>
        <v>0.54800000000000004</v>
      </c>
      <c r="F205" s="82">
        <f t="shared" ca="1" si="95"/>
        <v>0.54800000000000004</v>
      </c>
      <c r="G205" s="82">
        <f t="shared" ca="1" si="95"/>
        <v>0.54800000000000004</v>
      </c>
      <c r="H205" s="82">
        <f t="shared" ca="1" si="95"/>
        <v>0.54800000000000004</v>
      </c>
      <c r="I205" s="82">
        <f t="shared" ca="1" si="95"/>
        <v>0.54800000000000004</v>
      </c>
    </row>
    <row r="206" spans="1:9" outlineLevel="1">
      <c r="A206" t="s">
        <v>156</v>
      </c>
      <c r="B206" s="82">
        <f t="shared" ref="B206:I206" ca="1" si="96">+B36</f>
        <v>0</v>
      </c>
      <c r="C206" s="82">
        <f t="shared" ca="1" si="96"/>
        <v>0</v>
      </c>
      <c r="D206" s="82">
        <f t="shared" ca="1" si="96"/>
        <v>0.54800000000000004</v>
      </c>
      <c r="E206" s="82">
        <f t="shared" ca="1" si="96"/>
        <v>0.54800000000000004</v>
      </c>
      <c r="F206" s="82">
        <f t="shared" ca="1" si="96"/>
        <v>0.54800000000000004</v>
      </c>
      <c r="G206" s="82">
        <f t="shared" ca="1" si="96"/>
        <v>0.54800000000000004</v>
      </c>
      <c r="H206" s="82">
        <f t="shared" ca="1" si="96"/>
        <v>0.54800000000000004</v>
      </c>
      <c r="I206" s="82">
        <f t="shared" ca="1" si="96"/>
        <v>0.54800000000000004</v>
      </c>
    </row>
    <row r="207" spans="1:9" outlineLevel="1">
      <c r="A207" t="s">
        <v>157</v>
      </c>
      <c r="B207" s="82">
        <f t="shared" ref="B207:I207" ca="1" si="97">+B36+B48</f>
        <v>0</v>
      </c>
      <c r="C207" s="82">
        <f t="shared" ca="1" si="97"/>
        <v>0</v>
      </c>
      <c r="D207" s="82">
        <f t="shared" ca="1" si="97"/>
        <v>0.54800000000000004</v>
      </c>
      <c r="E207" s="82">
        <f t="shared" ca="1" si="97"/>
        <v>0.55381425713811694</v>
      </c>
      <c r="F207" s="82">
        <f t="shared" ca="1" si="97"/>
        <v>0.55920166532773929</v>
      </c>
      <c r="G207" s="82">
        <f t="shared" ca="1" si="97"/>
        <v>0.56452705850016471</v>
      </c>
      <c r="H207" s="82">
        <f t="shared" ca="1" si="97"/>
        <v>0.57030468238055365</v>
      </c>
      <c r="I207" s="82">
        <f t="shared" ca="1" si="97"/>
        <v>0.57559702909491217</v>
      </c>
    </row>
    <row r="208" spans="1:9" outlineLevel="1">
      <c r="A208" t="s">
        <v>158</v>
      </c>
      <c r="B208" s="82">
        <f t="shared" ref="B208:I208" ca="1" si="98">+B70</f>
        <v>0</v>
      </c>
      <c r="C208" s="82">
        <f t="shared" ca="1" si="98"/>
        <v>0</v>
      </c>
      <c r="D208" s="82">
        <f t="shared" ca="1" si="98"/>
        <v>0.54800000000000004</v>
      </c>
      <c r="E208" s="82">
        <f t="shared" ca="1" si="98"/>
        <v>0.56473118851840987</v>
      </c>
      <c r="F208" s="82">
        <f t="shared" ca="1" si="98"/>
        <v>0.58148034339535637</v>
      </c>
      <c r="G208" s="82">
        <f t="shared" ca="1" si="98"/>
        <v>0.5994459995051673</v>
      </c>
      <c r="H208" s="82">
        <f t="shared" ca="1" si="98"/>
        <v>0.61849209988663412</v>
      </c>
      <c r="I208" s="82">
        <f t="shared" ca="1" si="98"/>
        <v>0.63765679272520825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300" priority="1" stopIfTrue="1" operator="notEqual">
      <formula>0</formula>
    </cfRule>
  </conditionalFormatting>
  <conditionalFormatting sqref="J130 J94 J70 J59 J48 J36:J37 J14 J25">
    <cfRule type="cellIs" dxfId="299" priority="2" stopIfTrue="1" operator="equal">
      <formula>"OK"</formula>
    </cfRule>
    <cfRule type="cellIs" dxfId="298" priority="3" stopIfTrue="1" operator="equal">
      <formula>"Warning Check Escalations"</formula>
    </cfRule>
  </conditionalFormatting>
  <conditionalFormatting sqref="N120:T120 N84:T84">
    <cfRule type="cellIs" dxfId="297" priority="4" stopIfTrue="1" operator="notEqual">
      <formula>0</formula>
    </cfRule>
    <cfRule type="cellIs" dxfId="29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1.xml><?xml version="1.0" encoding="utf-8"?>
<worksheet xmlns="http://schemas.openxmlformats.org/spreadsheetml/2006/main" xmlns:r="http://schemas.openxmlformats.org/officeDocument/2006/relationships">
  <sheetPr codeName="Sheet76" enableFormatConditionsCalculation="0">
    <tabColor indexed="57"/>
    <pageSetUpPr fitToPage="1"/>
  </sheetPr>
  <dimension ref="A1:T239"/>
  <sheetViews>
    <sheetView showGridLines="0" topLeftCell="A6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18</v>
      </c>
      <c r="M1" s="282"/>
      <c r="N1" s="280"/>
      <c r="O1" s="280"/>
      <c r="P1" s="280"/>
      <c r="Q1" s="280"/>
      <c r="R1" s="280"/>
      <c r="S1" s="280"/>
      <c r="T1" s="280"/>
    </row>
    <row r="2" spans="1:20" ht="15.75">
      <c r="A2" s="184" t="s">
        <v>121</v>
      </c>
      <c r="B2" s="74" t="str">
        <f ca="1">OFFSET(List_AllocOpexListStart,+$K$1,1)</f>
        <v>Employee Relations</v>
      </c>
      <c r="F2" s="284"/>
      <c r="H2" s="42"/>
      <c r="I2" s="283"/>
      <c r="L2" s="282"/>
      <c r="M2" s="282"/>
    </row>
    <row r="3" spans="1:20" ht="16.5" thickBot="1">
      <c r="A3" s="184" t="s">
        <v>371</v>
      </c>
      <c r="B3" s="236" t="str">
        <f ca="1">OFFSET(List_AllocOpexListStart,+$K$1,2)</f>
        <v>John Fleetwood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2.7430000000000003</v>
      </c>
      <c r="E8" s="285">
        <f ca="1">OFFSET(Future_AOpexStart,MATCH($K$1,'I-6 Future A'!$A$6:$A$379)+2,+'I-5 Future DA'!F$5)</f>
        <v>2.7430000000000003</v>
      </c>
      <c r="F8" s="285">
        <f ca="1">OFFSET(Future_AOpexStart,MATCH($K$1,'I-6 Future A'!$A$6:$A$379)+2,+'I-5 Future DA'!G$5)</f>
        <v>2.7430000000000003</v>
      </c>
      <c r="G8" s="285">
        <f ca="1">OFFSET(Future_AOpexStart,MATCH($K$1,'I-6 Future A'!$A$6:$A$379)+2,+'I-5 Future DA'!H$5)</f>
        <v>2.7430000000000003</v>
      </c>
      <c r="H8" s="285">
        <f ca="1">OFFSET(Future_AOpexStart,MATCH($K$1,'I-6 Future A'!$A$6:$A$379)+2,+'I-5 Future DA'!I$5)</f>
        <v>2.7430000000000003</v>
      </c>
      <c r="I8" s="285">
        <f ca="1">OFFSET(Future_AOpexStart,MATCH($K$1,'I-6 Future A'!$A$6:$A$379)+2,+'I-5 Future DA'!J$5)</f>
        <v>2.7430000000000003</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2.7E-2</v>
      </c>
      <c r="E9" s="285">
        <f ca="1">OFFSET(Future_AOpexStart,MATCH($K$1,'I-6 Future A'!$A$6:$A$379)+3,+'I-5 Future DA'!F$5)</f>
        <v>2.7E-2</v>
      </c>
      <c r="F9" s="285">
        <f ca="1">OFFSET(Future_AOpexStart,MATCH($K$1,'I-6 Future A'!$A$6:$A$379)+3,+'I-5 Future DA'!G$5)</f>
        <v>2.7E-2</v>
      </c>
      <c r="G9" s="285">
        <f ca="1">OFFSET(Future_AOpexStart,MATCH($K$1,'I-6 Future A'!$A$6:$A$379)+3,+'I-5 Future DA'!H$5)</f>
        <v>2.7E-2</v>
      </c>
      <c r="H9" s="285">
        <f ca="1">OFFSET(Future_AOpexStart,MATCH($K$1,'I-6 Future A'!$A$6:$A$379)+3,+'I-5 Future DA'!I$5)</f>
        <v>2.7E-2</v>
      </c>
      <c r="I9" s="285">
        <f ca="1">OFFSET(Future_AOpexStart,MATCH($K$1,'I-6 Future A'!$A$6:$A$379)+3,+'I-5 Future DA'!J$5)</f>
        <v>2.7E-2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5.7000000000000002E-2</v>
      </c>
      <c r="E10" s="285">
        <f ca="1">OFFSET(Future_AOpexStart,MATCH($K$1,'I-6 Future A'!$A$6:$A$379)+4,+'I-5 Future DA'!F$5)</f>
        <v>5.7000000000000002E-2</v>
      </c>
      <c r="F10" s="285">
        <f ca="1">OFFSET(Future_AOpexStart,MATCH($K$1,'I-6 Future A'!$A$6:$A$379)+4,+'I-5 Future DA'!G$5)</f>
        <v>5.7000000000000002E-2</v>
      </c>
      <c r="G10" s="285">
        <f ca="1">OFFSET(Future_AOpexStart,MATCH($K$1,'I-6 Future A'!$A$6:$A$379)+4,+'I-5 Future DA'!H$5)</f>
        <v>5.7000000000000002E-2</v>
      </c>
      <c r="H10" s="285">
        <f ca="1">OFFSET(Future_AOpexStart,MATCH($K$1,'I-6 Future A'!$A$6:$A$379)+4,+'I-5 Future DA'!I$5)</f>
        <v>5.7000000000000002E-2</v>
      </c>
      <c r="I10" s="285">
        <f ca="1">OFFSET(Future_AOpexStart,MATCH($K$1,'I-6 Future A'!$A$6:$A$379)+4,+'I-5 Future DA'!J$5)</f>
        <v>5.7000000000000002E-2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0.36599999999999999</v>
      </c>
      <c r="E11" s="285">
        <f ca="1">OFFSET(Future_AOpexStart,MATCH($K$1,'I-6 Future A'!$A$6:$A$379)+5,+'I-5 Future DA'!F$5)</f>
        <v>0.36599999999999999</v>
      </c>
      <c r="F11" s="285">
        <f ca="1">OFFSET(Future_AOpexStart,MATCH($K$1,'I-6 Future A'!$A$6:$A$379)+5,+'I-5 Future DA'!G$5)</f>
        <v>0.36599999999999999</v>
      </c>
      <c r="G11" s="285">
        <f ca="1">OFFSET(Future_AOpexStart,MATCH($K$1,'I-6 Future A'!$A$6:$A$379)+5,+'I-5 Future DA'!H$5)</f>
        <v>0.36599999999999999</v>
      </c>
      <c r="H11" s="285">
        <f ca="1">OFFSET(Future_AOpexStart,MATCH($K$1,'I-6 Future A'!$A$6:$A$379)+5,+'I-5 Future DA'!I$5)</f>
        <v>0.36599999999999999</v>
      </c>
      <c r="I11" s="285">
        <f ca="1">OFFSET(Future_AOpexStart,MATCH($K$1,'I-6 Future A'!$A$6:$A$379)+5,+'I-5 Future DA'!J$5)</f>
        <v>0.36599999999999999</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3.1930000000000005</v>
      </c>
      <c r="E14" s="287">
        <f t="shared" ca="1" si="0"/>
        <v>3.1930000000000005</v>
      </c>
      <c r="F14" s="287">
        <f t="shared" ca="1" si="0"/>
        <v>3.1930000000000005</v>
      </c>
      <c r="G14" s="287">
        <f t="shared" ca="1" si="0"/>
        <v>3.1930000000000005</v>
      </c>
      <c r="H14" s="287">
        <f t="shared" ca="1" si="0"/>
        <v>3.1930000000000005</v>
      </c>
      <c r="I14" s="287">
        <f t="shared" ca="1" si="0"/>
        <v>3.1930000000000005</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+'A-18'!B8+'A-18'!B19</f>
        <v>0</v>
      </c>
      <c r="C30" s="285">
        <f ca="1">+'A-18'!C8+'A-18'!C19</f>
        <v>0</v>
      </c>
      <c r="D30" s="285">
        <f ca="1">+'A-18'!D8+'A-18'!D19</f>
        <v>2.7430000000000003</v>
      </c>
      <c r="E30" s="285">
        <f ca="1">+'A-18'!E8+'A-18'!E19</f>
        <v>2.7430000000000003</v>
      </c>
      <c r="F30" s="285">
        <f ca="1">+'A-18'!F8+'A-18'!F19</f>
        <v>2.7430000000000003</v>
      </c>
      <c r="G30" s="285">
        <f ca="1">+'A-18'!G8+'A-18'!G19</f>
        <v>2.7430000000000003</v>
      </c>
      <c r="H30" s="285">
        <f ca="1">+'A-18'!H8+'A-18'!H19</f>
        <v>2.7430000000000003</v>
      </c>
      <c r="I30" s="285">
        <f ca="1">+'A-18'!I8+'A-18'!I19</f>
        <v>2.7430000000000003</v>
      </c>
      <c r="J30" s="42"/>
      <c r="K30" s="21"/>
      <c r="L30" s="21"/>
    </row>
    <row r="31" spans="1:12" outlineLevel="2">
      <c r="A31" s="61" t="s">
        <v>69</v>
      </c>
      <c r="B31" s="285">
        <f ca="1">+'A-18'!B9+'A-18'!B20</f>
        <v>0</v>
      </c>
      <c r="C31" s="285">
        <f ca="1">+'A-18'!C9+'A-18'!C20</f>
        <v>0</v>
      </c>
      <c r="D31" s="285">
        <f ca="1">+'A-18'!D9+'A-18'!D20</f>
        <v>2.7E-2</v>
      </c>
      <c r="E31" s="285">
        <f ca="1">+'A-18'!E9+'A-18'!E20</f>
        <v>2.7E-2</v>
      </c>
      <c r="F31" s="285">
        <f ca="1">+'A-18'!F9+'A-18'!F20</f>
        <v>2.7E-2</v>
      </c>
      <c r="G31" s="285">
        <f ca="1">+'A-18'!G9+'A-18'!G20</f>
        <v>2.7E-2</v>
      </c>
      <c r="H31" s="285">
        <f ca="1">+'A-18'!H9+'A-18'!H20</f>
        <v>2.7E-2</v>
      </c>
      <c r="I31" s="285">
        <f ca="1">+'A-18'!I9+'A-18'!I20</f>
        <v>2.7E-2</v>
      </c>
      <c r="J31" s="42"/>
      <c r="K31" s="21"/>
      <c r="L31" s="21"/>
    </row>
    <row r="32" spans="1:12" s="759" customFormat="1" outlineLevel="2">
      <c r="A32" s="61" t="s">
        <v>646</v>
      </c>
      <c r="B32" s="285">
        <f ca="1">+'A-18'!B10+'A-18'!B21</f>
        <v>0</v>
      </c>
      <c r="C32" s="285">
        <f ca="1">+'A-18'!C10+'A-18'!C21</f>
        <v>0</v>
      </c>
      <c r="D32" s="285">
        <f ca="1">+'A-18'!D10+'A-18'!D21</f>
        <v>5.7000000000000002E-2</v>
      </c>
      <c r="E32" s="285">
        <f ca="1">+'A-18'!E10+'A-18'!E21</f>
        <v>5.7000000000000002E-2</v>
      </c>
      <c r="F32" s="285">
        <f ca="1">+'A-18'!F10+'A-18'!F21</f>
        <v>5.7000000000000002E-2</v>
      </c>
      <c r="G32" s="285">
        <f ca="1">+'A-18'!G10+'A-18'!G21</f>
        <v>5.7000000000000002E-2</v>
      </c>
      <c r="H32" s="285">
        <f ca="1">+'A-18'!H10+'A-18'!H21</f>
        <v>5.7000000000000002E-2</v>
      </c>
      <c r="I32" s="285">
        <f ca="1">+'A-18'!I10+'A-18'!I21</f>
        <v>5.7000000000000002E-2</v>
      </c>
      <c r="J32" s="42"/>
      <c r="K32" s="732"/>
      <c r="L32" s="732"/>
    </row>
    <row r="33" spans="1:12" outlineLevel="2">
      <c r="A33" s="61" t="s">
        <v>647</v>
      </c>
      <c r="B33" s="285">
        <f ca="1">+'A-18'!B11+'A-18'!B22</f>
        <v>0</v>
      </c>
      <c r="C33" s="285">
        <f ca="1">+'A-18'!C11+'A-18'!C22</f>
        <v>0</v>
      </c>
      <c r="D33" s="285">
        <f ca="1">+'A-18'!D11+'A-18'!D22</f>
        <v>0.36599999999999999</v>
      </c>
      <c r="E33" s="285">
        <f ca="1">+'A-18'!E11+'A-18'!E22</f>
        <v>0.36599999999999999</v>
      </c>
      <c r="F33" s="285">
        <f ca="1">+'A-18'!F11+'A-18'!F22</f>
        <v>0.36599999999999999</v>
      </c>
      <c r="G33" s="285">
        <f ca="1">+'A-18'!G11+'A-18'!G22</f>
        <v>0.36599999999999999</v>
      </c>
      <c r="H33" s="285">
        <f ca="1">+'A-18'!H11+'A-18'!H22</f>
        <v>0.36599999999999999</v>
      </c>
      <c r="I33" s="285">
        <f ca="1">+'A-18'!I11+'A-18'!I22</f>
        <v>0.36599999999999999</v>
      </c>
      <c r="J33" s="42"/>
      <c r="K33" s="21"/>
      <c r="L33" s="21"/>
    </row>
    <row r="34" spans="1:12" s="759" customFormat="1" outlineLevel="2">
      <c r="A34" s="61" t="s">
        <v>575</v>
      </c>
      <c r="B34" s="285">
        <f ca="1">+'A-18'!B12+'A-18'!B23</f>
        <v>0</v>
      </c>
      <c r="C34" s="285">
        <f ca="1">+'A-18'!C12+'A-18'!C23</f>
        <v>0</v>
      </c>
      <c r="D34" s="285">
        <f ca="1">+'A-18'!D12+'A-18'!D23</f>
        <v>0</v>
      </c>
      <c r="E34" s="285">
        <f ca="1">+'A-18'!E12+'A-18'!E23</f>
        <v>0</v>
      </c>
      <c r="F34" s="285">
        <f ca="1">+'A-18'!F12+'A-18'!F23</f>
        <v>0</v>
      </c>
      <c r="G34" s="285">
        <f ca="1">+'A-18'!G12+'A-18'!G23</f>
        <v>0</v>
      </c>
      <c r="H34" s="285">
        <f ca="1">+'A-18'!H12+'A-18'!H23</f>
        <v>0</v>
      </c>
      <c r="I34" s="285">
        <f ca="1">+'A-18'!I12+'A-18'!I23</f>
        <v>0</v>
      </c>
      <c r="J34" s="42"/>
      <c r="K34" s="732"/>
      <c r="L34" s="732"/>
    </row>
    <row r="35" spans="1:12" ht="13.5" outlineLevel="2" thickBot="1">
      <c r="A35" s="83" t="s">
        <v>70</v>
      </c>
      <c r="B35" s="285">
        <f ca="1">+'A-18'!B13+'A-18'!B24</f>
        <v>0</v>
      </c>
      <c r="C35" s="285">
        <f ca="1">+'A-18'!C13+'A-18'!C24</f>
        <v>0</v>
      </c>
      <c r="D35" s="285">
        <f ca="1">+'A-18'!D13+'A-18'!D24</f>
        <v>0</v>
      </c>
      <c r="E35" s="285">
        <f ca="1">+'A-18'!E13+'A-18'!E24</f>
        <v>0</v>
      </c>
      <c r="F35" s="285">
        <f ca="1">+'A-18'!F13+'A-18'!F24</f>
        <v>0</v>
      </c>
      <c r="G35" s="285">
        <f ca="1">+'A-18'!G13+'A-18'!G24</f>
        <v>0</v>
      </c>
      <c r="H35" s="285">
        <f ca="1">+'A-18'!H13+'A-18'!H24</f>
        <v>0</v>
      </c>
      <c r="I35" s="285">
        <f ca="1">+'A-18'!I13+'A-18'!I24</f>
        <v>0</v>
      </c>
      <c r="J35" s="93"/>
      <c r="K35" s="21"/>
      <c r="L35" s="21"/>
    </row>
    <row r="36" spans="1:12" s="87" customFormat="1" ht="20.25" customHeight="1" thickBot="1">
      <c r="A36" s="94" t="s">
        <v>128</v>
      </c>
      <c r="B36" s="294">
        <f t="shared" ref="B36:I36" ca="1" si="7">SUM(B30:B35)</f>
        <v>0</v>
      </c>
      <c r="C36" s="294">
        <f t="shared" ca="1" si="7"/>
        <v>0</v>
      </c>
      <c r="D36" s="294">
        <f t="shared" ca="1" si="7"/>
        <v>3.1930000000000005</v>
      </c>
      <c r="E36" s="294">
        <f t="shared" ca="1" si="7"/>
        <v>3.1930000000000005</v>
      </c>
      <c r="F36" s="294">
        <f t="shared" ca="1" si="7"/>
        <v>3.1930000000000005</v>
      </c>
      <c r="G36" s="294">
        <f t="shared" ca="1" si="7"/>
        <v>3.1930000000000005</v>
      </c>
      <c r="H36" s="294">
        <f t="shared" ca="1" si="7"/>
        <v>3.1930000000000005</v>
      </c>
      <c r="I36" s="294">
        <f t="shared" ca="1" si="7"/>
        <v>3.1930000000000005</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2.9103115565427939E-2</v>
      </c>
      <c r="F42" s="285">
        <f t="shared" ca="1" si="8"/>
        <v>5.6069649624067033E-2</v>
      </c>
      <c r="G42" s="285">
        <f t="shared" ca="1" si="8"/>
        <v>8.2725769098451876E-2</v>
      </c>
      <c r="H42" s="285">
        <f t="shared" ca="1" si="8"/>
        <v>0.11164551782820921</v>
      </c>
      <c r="I42" s="285">
        <f t="shared" ca="1" si="8"/>
        <v>0.13813622410099252</v>
      </c>
      <c r="K42" s="63"/>
      <c r="L42" s="63"/>
    </row>
    <row r="43" spans="1:12" outlineLevel="1">
      <c r="A43" s="61" t="s">
        <v>69</v>
      </c>
      <c r="B43" s="82"/>
      <c r="C43" s="285">
        <f t="shared" ca="1" si="8"/>
        <v>0</v>
      </c>
      <c r="D43" s="285">
        <f t="shared" ca="1" si="8"/>
        <v>0</v>
      </c>
      <c r="E43" s="285">
        <f t="shared" ca="1" si="8"/>
        <v>2.8646887359334828E-4</v>
      </c>
      <c r="F43" s="285">
        <f t="shared" ca="1" si="8"/>
        <v>5.5190686833751724E-4</v>
      </c>
      <c r="G43" s="285">
        <f t="shared" ca="1" si="8"/>
        <v>8.1428937865774713E-4</v>
      </c>
      <c r="H43" s="285">
        <f t="shared" ca="1" si="8"/>
        <v>1.0989533289688838E-3</v>
      </c>
      <c r="I43" s="285">
        <f t="shared" ca="1" si="8"/>
        <v>1.3597076378880049E-3</v>
      </c>
      <c r="K43" s="42"/>
      <c r="L43" s="21"/>
    </row>
    <row r="44" spans="1:12" s="759" customFormat="1" outlineLevel="1">
      <c r="A44" s="61" t="s">
        <v>646</v>
      </c>
      <c r="B44" s="82"/>
      <c r="C44" s="285">
        <f t="shared" ref="C44:I44" ca="1" si="9">+C100</f>
        <v>0</v>
      </c>
      <c r="D44" s="285">
        <f t="shared" ca="1" si="9"/>
        <v>0</v>
      </c>
      <c r="E44" s="285">
        <f t="shared" ca="1" si="9"/>
        <v>6.0476762203040188E-4</v>
      </c>
      <c r="F44" s="285">
        <f t="shared" ca="1" si="9"/>
        <v>1.1651367220458697E-3</v>
      </c>
      <c r="G44" s="285">
        <f t="shared" ca="1" si="9"/>
        <v>1.719055354944133E-3</v>
      </c>
      <c r="H44" s="285">
        <f t="shared" ca="1" si="9"/>
        <v>2.3200125833787548E-3</v>
      </c>
      <c r="I44" s="285">
        <f t="shared" ca="1" si="9"/>
        <v>2.8704939022080106E-3</v>
      </c>
      <c r="K44" s="42"/>
      <c r="L44" s="732"/>
    </row>
    <row r="45" spans="1:12" outlineLevel="1">
      <c r="A45" s="61" t="s">
        <v>647</v>
      </c>
      <c r="B45" s="82"/>
      <c r="C45" s="285">
        <f t="shared" ref="C45:I45" ca="1" si="10">+C101</f>
        <v>0</v>
      </c>
      <c r="D45" s="285">
        <f t="shared" ca="1" si="10"/>
        <v>0</v>
      </c>
      <c r="E45" s="285">
        <f t="shared" ca="1" si="10"/>
        <v>3.8832447309320541E-3</v>
      </c>
      <c r="F45" s="285">
        <f t="shared" ca="1" si="10"/>
        <v>7.4814042152419004E-3</v>
      </c>
      <c r="G45" s="285">
        <f t="shared" ca="1" si="10"/>
        <v>1.1038144910693905E-2</v>
      </c>
      <c r="H45" s="285">
        <f t="shared" ca="1" si="10"/>
        <v>1.4896922903800423E-2</v>
      </c>
      <c r="I45" s="285">
        <f t="shared" ca="1" si="10"/>
        <v>1.8431592424704067E-2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3.3877596791983745E-2</v>
      </c>
      <c r="F48" s="294">
        <f t="shared" ca="1" si="13"/>
        <v>6.5268097429692321E-2</v>
      </c>
      <c r="G48" s="294">
        <f t="shared" ca="1" si="13"/>
        <v>9.6297258742747666E-2</v>
      </c>
      <c r="H48" s="294">
        <f t="shared" ca="1" si="13"/>
        <v>0.12996140664435726</v>
      </c>
      <c r="I48" s="294">
        <f t="shared" ca="1" si="13"/>
        <v>0.16079801806579261</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5.9483694131768419E-2</v>
      </c>
      <c r="F53" s="285">
        <f t="shared" ca="1" si="14"/>
        <v>0.12141349786755488</v>
      </c>
      <c r="G53" s="285">
        <f t="shared" ca="1" si="14"/>
        <v>0.1893007121287727</v>
      </c>
      <c r="H53" s="285">
        <f t="shared" ca="1" si="14"/>
        <v>0.260177853461869</v>
      </c>
      <c r="I53" s="285">
        <f t="shared" ca="1" si="14"/>
        <v>0.3337466156750436</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2.8802383811014589E-4</v>
      </c>
      <c r="F55" s="285">
        <f t="shared" ca="1" si="15"/>
        <v>5.8310549563849411E-4</v>
      </c>
      <c r="G55" s="285">
        <f t="shared" ca="1" si="15"/>
        <v>1.1224279548971835E-3</v>
      </c>
      <c r="H55" s="285">
        <f t="shared" ca="1" si="15"/>
        <v>1.7686816312286753E-3</v>
      </c>
      <c r="I55" s="285">
        <f t="shared" ca="1" si="15"/>
        <v>2.5557896044811866E-3</v>
      </c>
      <c r="K55" s="42"/>
      <c r="L55" s="732"/>
    </row>
    <row r="56" spans="1:12" outlineLevel="1">
      <c r="A56" s="61" t="s">
        <v>647</v>
      </c>
      <c r="B56" s="285"/>
      <c r="C56" s="285">
        <f t="shared" ref="C56:I56" ca="1" si="16">+C137</f>
        <v>0</v>
      </c>
      <c r="D56" s="285">
        <f t="shared" ca="1" si="16"/>
        <v>0</v>
      </c>
      <c r="E56" s="285">
        <f t="shared" ca="1" si="16"/>
        <v>1.8494162236546209E-3</v>
      </c>
      <c r="F56" s="285">
        <f t="shared" ca="1" si="16"/>
        <v>3.7441510772576988E-3</v>
      </c>
      <c r="G56" s="285">
        <f t="shared" ca="1" si="16"/>
        <v>7.2071689735503349E-3</v>
      </c>
      <c r="H56" s="285">
        <f t="shared" ca="1" si="16"/>
        <v>1.1356797842626229E-2</v>
      </c>
      <c r="I56" s="285">
        <f t="shared" ca="1" si="16"/>
        <v>1.641085956561604E-2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6.162113419353319E-2</v>
      </c>
      <c r="F59" s="287">
        <f t="shared" ca="1" si="19"/>
        <v>0.12574075444045107</v>
      </c>
      <c r="G59" s="287">
        <f t="shared" ca="1" si="19"/>
        <v>0.1976303090572202</v>
      </c>
      <c r="H59" s="287">
        <f t="shared" ca="1" si="19"/>
        <v>0.2733033329357239</v>
      </c>
      <c r="I59" s="287">
        <f t="shared" ca="1" si="19"/>
        <v>0.35271326484514082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2.7430000000000003</v>
      </c>
      <c r="E64" s="285">
        <f t="shared" ca="1" si="20"/>
        <v>2.8315868096971966</v>
      </c>
      <c r="F64" s="285">
        <f t="shared" ca="1" si="20"/>
        <v>2.920483147491622</v>
      </c>
      <c r="G64" s="285">
        <f t="shared" ca="1" si="20"/>
        <v>3.0150264812272249</v>
      </c>
      <c r="H64" s="285">
        <f t="shared" ca="1" si="20"/>
        <v>3.1148233712900786</v>
      </c>
      <c r="I64" s="285">
        <f t="shared" ca="1" si="20"/>
        <v>3.2148828397760365</v>
      </c>
      <c r="K64" s="63"/>
      <c r="L64" s="63"/>
    </row>
    <row r="65" spans="1:20" ht="12.75" customHeight="1" outlineLevel="1">
      <c r="A65" s="61" t="s">
        <v>69</v>
      </c>
      <c r="B65" s="285">
        <f t="shared" ca="1" si="20"/>
        <v>0</v>
      </c>
      <c r="C65" s="285">
        <f t="shared" ca="1" si="20"/>
        <v>0</v>
      </c>
      <c r="D65" s="285">
        <f t="shared" ca="1" si="20"/>
        <v>2.7E-2</v>
      </c>
      <c r="E65" s="285">
        <f t="shared" ca="1" si="20"/>
        <v>2.7286468873593348E-2</v>
      </c>
      <c r="F65" s="285">
        <f t="shared" ca="1" si="20"/>
        <v>2.7551906868337517E-2</v>
      </c>
      <c r="G65" s="285">
        <f t="shared" ca="1" si="20"/>
        <v>2.7814289378657747E-2</v>
      </c>
      <c r="H65" s="285">
        <f t="shared" ca="1" si="20"/>
        <v>2.8098953328968883E-2</v>
      </c>
      <c r="I65" s="285">
        <f t="shared" ca="1" si="20"/>
        <v>2.8359707637888004E-2</v>
      </c>
      <c r="K65" s="42"/>
      <c r="L65" s="21"/>
    </row>
    <row r="66" spans="1:20" s="759" customFormat="1" ht="12.75" customHeight="1" outlineLevel="1">
      <c r="A66" s="61" t="s">
        <v>646</v>
      </c>
      <c r="B66" s="285">
        <f t="shared" ref="B66:I66" ca="1" si="21">+B44+B32+B55</f>
        <v>0</v>
      </c>
      <c r="C66" s="285">
        <f t="shared" ca="1" si="21"/>
        <v>0</v>
      </c>
      <c r="D66" s="285">
        <f t="shared" ca="1" si="21"/>
        <v>5.7000000000000002E-2</v>
      </c>
      <c r="E66" s="285">
        <f t="shared" ca="1" si="21"/>
        <v>5.789279146014055E-2</v>
      </c>
      <c r="F66" s="285">
        <f t="shared" ca="1" si="21"/>
        <v>5.874824221768437E-2</v>
      </c>
      <c r="G66" s="285">
        <f t="shared" ca="1" si="21"/>
        <v>5.984148330984132E-2</v>
      </c>
      <c r="H66" s="285">
        <f t="shared" ca="1" si="21"/>
        <v>6.1088694214607428E-2</v>
      </c>
      <c r="I66" s="285">
        <f t="shared" ca="1" si="21"/>
        <v>6.2426283506689204E-2</v>
      </c>
      <c r="K66" s="42"/>
      <c r="L66" s="732"/>
    </row>
    <row r="67" spans="1:20" ht="12.75" customHeight="1" outlineLevel="1">
      <c r="A67" s="61" t="s">
        <v>647</v>
      </c>
      <c r="B67" s="285">
        <f t="shared" ref="B67:I67" ca="1" si="22">+B45+B33+B56</f>
        <v>0</v>
      </c>
      <c r="C67" s="285">
        <f t="shared" ca="1" si="22"/>
        <v>0</v>
      </c>
      <c r="D67" s="285">
        <f t="shared" ca="1" si="22"/>
        <v>0.36599999999999999</v>
      </c>
      <c r="E67" s="285">
        <f t="shared" ca="1" si="22"/>
        <v>0.37173266095458668</v>
      </c>
      <c r="F67" s="285">
        <f t="shared" ca="1" si="22"/>
        <v>0.37722555529249957</v>
      </c>
      <c r="G67" s="285">
        <f t="shared" ca="1" si="22"/>
        <v>0.38424531388424421</v>
      </c>
      <c r="H67" s="285">
        <f t="shared" ca="1" si="22"/>
        <v>0.39225372074642662</v>
      </c>
      <c r="I67" s="285">
        <f t="shared" ca="1" si="22"/>
        <v>0.40084245199032009</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3.1930000000000005</v>
      </c>
      <c r="E70" s="295">
        <f t="shared" ca="1" si="25"/>
        <v>3.2884987309855171</v>
      </c>
      <c r="F70" s="295">
        <f t="shared" ca="1" si="25"/>
        <v>3.3840088518701434</v>
      </c>
      <c r="G70" s="295">
        <f t="shared" ca="1" si="25"/>
        <v>3.4869275677999685</v>
      </c>
      <c r="H70" s="295">
        <f t="shared" ca="1" si="25"/>
        <v>3.5962647395800817</v>
      </c>
      <c r="I70" s="295">
        <f t="shared" ca="1" si="25"/>
        <v>3.7065112829109337</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2.9103115565427939E-2</v>
      </c>
      <c r="Q77" s="285">
        <f ca="1">IF($B77&lt;&gt;0,(+VLOOKUP($B77,$A$8:$I$13,6,FALSE))*(F77),0)</f>
        <v>5.6069649624067033E-2</v>
      </c>
      <c r="R77" s="285">
        <f ca="1">IF($B77&lt;&gt;0,(+VLOOKUP($B77,$A$8:$I$13,7,FALSE))*(G77),0)</f>
        <v>8.2725769098451876E-2</v>
      </c>
      <c r="S77" s="285">
        <f ca="1">IF($B77&lt;&gt;0,(+VLOOKUP($B77,$A$8:$I$13,8,FALSE))*(H77),0)</f>
        <v>0.11164551782820921</v>
      </c>
      <c r="T77" s="285">
        <f ca="1">IF($B77&lt;&gt;0,(+VLOOKUP($B77,$A$8:$I$13,9,FALSE))*(I77),0)</f>
        <v>0.13813622410099252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2.8646887359334828E-4</v>
      </c>
      <c r="Q78" s="285">
        <f ca="1">IF($B78&lt;&gt;0,(+VLOOKUP($B78,$A$8:$I$13,6,FALSE))*(F78),0)</f>
        <v>5.5190686833751724E-4</v>
      </c>
      <c r="R78" s="285">
        <f ca="1">IF($B78&lt;&gt;0,(+VLOOKUP($B78,$A$8:$I$13,7,FALSE))*(G78),0)</f>
        <v>8.1428937865774713E-4</v>
      </c>
      <c r="S78" s="285">
        <f ca="1">IF($B78&lt;&gt;0,(+VLOOKUP($B78,$A$8:$I$13,8,FALSE))*(H78),0)</f>
        <v>1.0989533289688838E-3</v>
      </c>
      <c r="T78" s="285">
        <f ca="1">IF($B78&lt;&gt;0,(+VLOOKUP($B78,$A$8:$I$13,9,FALSE))*(I78),0)</f>
        <v>1.3597076378880049E-3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6.0476762203040188E-4</v>
      </c>
      <c r="Q79" s="285">
        <f t="shared" ref="Q79:Q80" ca="1" si="34">IF($B79&lt;&gt;0,(+VLOOKUP($B79,$A$8:$I$13,6,FALSE))*(F79),0)</f>
        <v>1.1651367220458697E-3</v>
      </c>
      <c r="R79" s="285">
        <f t="shared" ref="R79:R80" ca="1" si="35">IF($B79&lt;&gt;0,(+VLOOKUP($B79,$A$8:$I$13,7,FALSE))*(G79),0)</f>
        <v>1.719055354944133E-3</v>
      </c>
      <c r="S79" s="285">
        <f t="shared" ref="S79:S80" ca="1" si="36">IF($B79&lt;&gt;0,(+VLOOKUP($B79,$A$8:$I$13,8,FALSE))*(H79),0)</f>
        <v>2.3200125833787548E-3</v>
      </c>
      <c r="T79" s="285">
        <f t="shared" ref="T79:T80" ca="1" si="37">IF($B79&lt;&gt;0,(+VLOOKUP($B79,$A$8:$I$13,9,FALSE))*(I79),0)</f>
        <v>2.8704939022080106E-3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3.8832447309320541E-3</v>
      </c>
      <c r="Q80" s="285">
        <f t="shared" ca="1" si="34"/>
        <v>7.4814042152419004E-3</v>
      </c>
      <c r="R80" s="285">
        <f t="shared" ca="1" si="35"/>
        <v>1.1038144910693905E-2</v>
      </c>
      <c r="S80" s="285">
        <f t="shared" ca="1" si="36"/>
        <v>1.4896922903800423E-2</v>
      </c>
      <c r="T80" s="285">
        <f t="shared" ca="1" si="37"/>
        <v>1.8431592424704067E-2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3.3877596791983745E-2</v>
      </c>
      <c r="Q83" s="292">
        <f t="shared" ca="1" si="51"/>
        <v>6.5268097429692321E-2</v>
      </c>
      <c r="R83" s="292">
        <f t="shared" ca="1" si="51"/>
        <v>9.6297258742747666E-2</v>
      </c>
      <c r="S83" s="292">
        <f t="shared" ca="1" si="51"/>
        <v>0.12996140664435726</v>
      </c>
      <c r="T83" s="292">
        <f t="shared" ca="1" si="51"/>
        <v>0.16079801806579261</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2.9103115565427939E-2</v>
      </c>
      <c r="F98" s="285">
        <f t="shared" ca="1" si="54"/>
        <v>5.6069649624067033E-2</v>
      </c>
      <c r="G98" s="285">
        <f t="shared" ca="1" si="54"/>
        <v>8.2725769098451876E-2</v>
      </c>
      <c r="H98" s="285">
        <f t="shared" ca="1" si="54"/>
        <v>0.11164551782820921</v>
      </c>
      <c r="I98" s="285">
        <f t="shared" ca="1" si="54"/>
        <v>0.13813622410099252</v>
      </c>
    </row>
    <row r="99" spans="1:20" outlineLevel="1">
      <c r="A99" s="61" t="s">
        <v>69</v>
      </c>
      <c r="B99" s="119"/>
      <c r="C99" s="285">
        <f t="shared" ref="C99:I99" ca="1" si="55">+C9*(C87)</f>
        <v>0</v>
      </c>
      <c r="D99" s="285">
        <f t="shared" ca="1" si="55"/>
        <v>0</v>
      </c>
      <c r="E99" s="285">
        <f t="shared" ca="1" si="55"/>
        <v>2.8646887359334828E-4</v>
      </c>
      <c r="F99" s="285">
        <f t="shared" ca="1" si="55"/>
        <v>5.5190686833751724E-4</v>
      </c>
      <c r="G99" s="285">
        <f t="shared" ca="1" si="55"/>
        <v>8.1428937865774713E-4</v>
      </c>
      <c r="H99" s="285">
        <f t="shared" ca="1" si="55"/>
        <v>1.0989533289688838E-3</v>
      </c>
      <c r="I99" s="285">
        <f t="shared" ca="1" si="55"/>
        <v>1.3597076378880049E-3</v>
      </c>
    </row>
    <row r="100" spans="1:20" s="759" customFormat="1" outlineLevel="1">
      <c r="A100" s="61" t="s">
        <v>646</v>
      </c>
      <c r="B100" s="119"/>
      <c r="C100" s="285">
        <f t="shared" ref="C100:I100" ca="1" si="56">+C10*(C88)</f>
        <v>0</v>
      </c>
      <c r="D100" s="285">
        <f t="shared" ca="1" si="56"/>
        <v>0</v>
      </c>
      <c r="E100" s="285">
        <f t="shared" ca="1" si="56"/>
        <v>6.0476762203040188E-4</v>
      </c>
      <c r="F100" s="285">
        <f t="shared" ca="1" si="56"/>
        <v>1.1651367220458697E-3</v>
      </c>
      <c r="G100" s="285">
        <f t="shared" ca="1" si="56"/>
        <v>1.719055354944133E-3</v>
      </c>
      <c r="H100" s="285">
        <f t="shared" ca="1" si="56"/>
        <v>2.3200125833787548E-3</v>
      </c>
      <c r="I100" s="285">
        <f t="shared" ca="1" si="56"/>
        <v>2.8704939022080106E-3</v>
      </c>
    </row>
    <row r="101" spans="1:20" outlineLevel="1">
      <c r="A101" s="61" t="s">
        <v>647</v>
      </c>
      <c r="B101" s="119"/>
      <c r="C101" s="285">
        <f t="shared" ref="C101:I101" ca="1" si="57">+C11*(C89)</f>
        <v>0</v>
      </c>
      <c r="D101" s="285">
        <f t="shared" ca="1" si="57"/>
        <v>0</v>
      </c>
      <c r="E101" s="285">
        <f t="shared" ca="1" si="57"/>
        <v>3.8832447309320541E-3</v>
      </c>
      <c r="F101" s="285">
        <f t="shared" ca="1" si="57"/>
        <v>7.4814042152419004E-3</v>
      </c>
      <c r="G101" s="285">
        <f t="shared" ca="1" si="57"/>
        <v>1.1038144910693905E-2</v>
      </c>
      <c r="H101" s="285">
        <f t="shared" ca="1" si="57"/>
        <v>1.4896922903800423E-2</v>
      </c>
      <c r="I101" s="285">
        <f t="shared" ca="1" si="57"/>
        <v>1.8431592424704067E-2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3.3877596791983745E-2</v>
      </c>
      <c r="F104" s="296">
        <f t="shared" ca="1" si="60"/>
        <v>6.5268097429692321E-2</v>
      </c>
      <c r="G104" s="296">
        <f t="shared" ca="1" si="60"/>
        <v>9.6297258742747666E-2</v>
      </c>
      <c r="H104" s="296">
        <f t="shared" ca="1" si="60"/>
        <v>0.12996140664435726</v>
      </c>
      <c r="I104" s="296">
        <f t="shared" ca="1" si="60"/>
        <v>0.16079801806579261</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5.9483694131768419E-2</v>
      </c>
      <c r="Q113" s="285">
        <f ca="1">IF($B113&lt;&gt;0,(+VLOOKUP($B113,$A$8:$I$13,6,FALSE)+VLOOKUP($B113,$A$42:$I$47,6,FALSE))*(F113),0)</f>
        <v>0.12141349786755488</v>
      </c>
      <c r="R113" s="285">
        <f ca="1">IF($B113&lt;&gt;0,(+VLOOKUP($B113,$A$8:$I$13,7,FALSE)+VLOOKUP($B113,$A$42:$I$47,7,FALSE))*(G113),0)</f>
        <v>0.1893007121287727</v>
      </c>
      <c r="S113" s="285">
        <f ca="1">IF($B113&lt;&gt;0,(+VLOOKUP($B113,$A$8:$I$13,8,FALSE)+VLOOKUP($B113,$A$42:$I$47,8,FALSE))*(H113),0)</f>
        <v>0.260177853461869</v>
      </c>
      <c r="T113" s="285">
        <f ca="1">IF($B113&lt;&gt;0,(+VLOOKUP($B113,$A$8:$I$13,9,FALSE)+VLOOKUP($B113,$A$42:$I$47,9,FALSE))*(I113),0)</f>
        <v>0.3337466156750436</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2.8802383811014589E-4</v>
      </c>
      <c r="Q115" s="285">
        <f t="shared" ca="1" si="68"/>
        <v>5.8310549563849411E-4</v>
      </c>
      <c r="R115" s="285">
        <f t="shared" ca="1" si="69"/>
        <v>1.1224279548971835E-3</v>
      </c>
      <c r="S115" s="285">
        <f t="shared" ca="1" si="70"/>
        <v>1.7686816312286753E-3</v>
      </c>
      <c r="T115" s="285">
        <f t="shared" ca="1" si="71"/>
        <v>2.5557896044811866E-3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1.8494162236546209E-3</v>
      </c>
      <c r="Q116" s="285">
        <f t="shared" ca="1" si="68"/>
        <v>3.7441510772576988E-3</v>
      </c>
      <c r="R116" s="285">
        <f t="shared" ca="1" si="69"/>
        <v>7.2071689735503349E-3</v>
      </c>
      <c r="S116" s="285">
        <f t="shared" ca="1" si="70"/>
        <v>1.1356797842626229E-2</v>
      </c>
      <c r="T116" s="285">
        <f t="shared" ca="1" si="71"/>
        <v>1.641085956561604E-2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6.162113419353319E-2</v>
      </c>
      <c r="Q119" s="292">
        <f t="shared" ca="1" si="72"/>
        <v>0.12574075444045107</v>
      </c>
      <c r="R119" s="292">
        <f t="shared" ca="1" si="72"/>
        <v>0.1976303090572202</v>
      </c>
      <c r="S119" s="292">
        <f t="shared" ca="1" si="72"/>
        <v>0.2733033329357239</v>
      </c>
      <c r="T119" s="292">
        <f t="shared" ca="1" si="72"/>
        <v>0.35271326484514082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5.9483694131768419E-2</v>
      </c>
      <c r="F134" s="285">
        <f t="shared" ca="1" si="75"/>
        <v>0.12141349786755488</v>
      </c>
      <c r="G134" s="285">
        <f t="shared" ca="1" si="75"/>
        <v>0.1893007121287727</v>
      </c>
      <c r="H134" s="285">
        <f t="shared" ca="1" si="75"/>
        <v>0.260177853461869</v>
      </c>
      <c r="I134" s="285">
        <f t="shared" ca="1" si="75"/>
        <v>0.3337466156750436</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2.8802383811014589E-4</v>
      </c>
      <c r="F136" s="285">
        <f t="shared" ca="1" si="77"/>
        <v>5.8310549563849411E-4</v>
      </c>
      <c r="G136" s="285">
        <f t="shared" ca="1" si="77"/>
        <v>1.1224279548971835E-3</v>
      </c>
      <c r="H136" s="285">
        <f t="shared" ca="1" si="77"/>
        <v>1.7686816312286753E-3</v>
      </c>
      <c r="I136" s="285">
        <f t="shared" ca="1" si="77"/>
        <v>2.5557896044811866E-3</v>
      </c>
    </row>
    <row r="137" spans="1:16" outlineLevel="1">
      <c r="A137" s="61" t="s">
        <v>647</v>
      </c>
      <c r="B137" s="119"/>
      <c r="C137" s="285">
        <f ca="1">(+C11+C45)*(C$125)</f>
        <v>0</v>
      </c>
      <c r="D137" s="285">
        <f t="shared" ref="D137:I137" ca="1" si="78">(+D11+D45)*(D$125)</f>
        <v>0</v>
      </c>
      <c r="E137" s="285">
        <f t="shared" ca="1" si="78"/>
        <v>1.8494162236546209E-3</v>
      </c>
      <c r="F137" s="285">
        <f t="shared" ca="1" si="78"/>
        <v>3.7441510772576988E-3</v>
      </c>
      <c r="G137" s="285">
        <f t="shared" ca="1" si="78"/>
        <v>7.2071689735503349E-3</v>
      </c>
      <c r="H137" s="285">
        <f t="shared" ca="1" si="78"/>
        <v>1.1356797842626229E-2</v>
      </c>
      <c r="I137" s="285">
        <f t="shared" ca="1" si="78"/>
        <v>1.641085956561604E-2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6.162113419353319E-2</v>
      </c>
      <c r="F140" s="296">
        <f t="shared" ca="1" si="81"/>
        <v>0.12574075444045107</v>
      </c>
      <c r="G140" s="296">
        <f t="shared" ca="1" si="81"/>
        <v>0.1976303090572202</v>
      </c>
      <c r="H140" s="296">
        <f t="shared" ca="1" si="81"/>
        <v>0.2733033329357239</v>
      </c>
      <c r="I140" s="296">
        <f t="shared" ca="1" si="81"/>
        <v>0.35271326484514082</v>
      </c>
    </row>
    <row r="141" spans="1:16" ht="13.5" outlineLevel="1" thickBot="1">
      <c r="A141" s="122" t="s">
        <v>148</v>
      </c>
      <c r="B141" s="126"/>
      <c r="C141" s="124">
        <f t="shared" ref="C141:I141" ca="1" si="82">IF((+C36+C48)&lt;&gt;0,+C140/(+C36+C48),0)</f>
        <v>0</v>
      </c>
      <c r="D141" s="124">
        <f t="shared" ca="1" si="82"/>
        <v>0</v>
      </c>
      <c r="E141" s="124">
        <f t="shared" ca="1" si="82"/>
        <v>1.9096210607676641E-2</v>
      </c>
      <c r="F141" s="124">
        <f t="shared" ca="1" si="82"/>
        <v>3.8591285517493946E-2</v>
      </c>
      <c r="G141" s="124">
        <f t="shared" ca="1" si="82"/>
        <v>6.0082836396720032E-2</v>
      </c>
      <c r="H141" s="124">
        <f t="shared" ca="1" si="82"/>
        <v>8.2246917580579171E-2</v>
      </c>
      <c r="I141" s="124">
        <f t="shared" ca="1" si="82"/>
        <v>0.10516830856992339</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(SEM)'!$N$160:$R$165</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3.1930000000000005</v>
      </c>
      <c r="E205" s="82">
        <f t="shared" ca="1" si="95"/>
        <v>3.1930000000000005</v>
      </c>
      <c r="F205" s="82">
        <f t="shared" ca="1" si="95"/>
        <v>3.1930000000000005</v>
      </c>
      <c r="G205" s="82">
        <f t="shared" ca="1" si="95"/>
        <v>3.1930000000000005</v>
      </c>
      <c r="H205" s="82">
        <f t="shared" ca="1" si="95"/>
        <v>3.1930000000000005</v>
      </c>
      <c r="I205" s="82">
        <f t="shared" ca="1" si="95"/>
        <v>3.1930000000000005</v>
      </c>
    </row>
    <row r="206" spans="1:9" outlineLevel="1">
      <c r="A206" t="s">
        <v>156</v>
      </c>
      <c r="B206" s="82">
        <f t="shared" ref="B206:I206" ca="1" si="96">+B36</f>
        <v>0</v>
      </c>
      <c r="C206" s="82">
        <f t="shared" ca="1" si="96"/>
        <v>0</v>
      </c>
      <c r="D206" s="82">
        <f t="shared" ca="1" si="96"/>
        <v>3.1930000000000005</v>
      </c>
      <c r="E206" s="82">
        <f t="shared" ca="1" si="96"/>
        <v>3.1930000000000005</v>
      </c>
      <c r="F206" s="82">
        <f t="shared" ca="1" si="96"/>
        <v>3.1930000000000005</v>
      </c>
      <c r="G206" s="82">
        <f t="shared" ca="1" si="96"/>
        <v>3.1930000000000005</v>
      </c>
      <c r="H206" s="82">
        <f t="shared" ca="1" si="96"/>
        <v>3.1930000000000005</v>
      </c>
      <c r="I206" s="82">
        <f t="shared" ca="1" si="96"/>
        <v>3.1930000000000005</v>
      </c>
    </row>
    <row r="207" spans="1:9" outlineLevel="1">
      <c r="A207" t="s">
        <v>157</v>
      </c>
      <c r="B207" s="82">
        <f t="shared" ref="B207:I207" ca="1" si="97">+B36+B48</f>
        <v>0</v>
      </c>
      <c r="C207" s="82">
        <f t="shared" ca="1" si="97"/>
        <v>0</v>
      </c>
      <c r="D207" s="82">
        <f t="shared" ca="1" si="97"/>
        <v>3.1930000000000005</v>
      </c>
      <c r="E207" s="82">
        <f t="shared" ca="1" si="97"/>
        <v>3.2268775967919843</v>
      </c>
      <c r="F207" s="82">
        <f t="shared" ca="1" si="97"/>
        <v>3.2582680974296929</v>
      </c>
      <c r="G207" s="82">
        <f t="shared" ca="1" si="97"/>
        <v>3.289297258742748</v>
      </c>
      <c r="H207" s="82">
        <f t="shared" ca="1" si="97"/>
        <v>3.3229614066443576</v>
      </c>
      <c r="I207" s="82">
        <f t="shared" ca="1" si="97"/>
        <v>3.3537980180657931</v>
      </c>
    </row>
    <row r="208" spans="1:9" outlineLevel="1">
      <c r="A208" t="s">
        <v>158</v>
      </c>
      <c r="B208" s="82">
        <f t="shared" ref="B208:I208" ca="1" si="98">+B70</f>
        <v>0</v>
      </c>
      <c r="C208" s="82">
        <f t="shared" ca="1" si="98"/>
        <v>0</v>
      </c>
      <c r="D208" s="82">
        <f t="shared" ca="1" si="98"/>
        <v>3.1930000000000005</v>
      </c>
      <c r="E208" s="82">
        <f t="shared" ca="1" si="98"/>
        <v>3.2884987309855171</v>
      </c>
      <c r="F208" s="82">
        <f t="shared" ca="1" si="98"/>
        <v>3.3840088518701434</v>
      </c>
      <c r="G208" s="82">
        <f t="shared" ca="1" si="98"/>
        <v>3.4869275677999685</v>
      </c>
      <c r="H208" s="82">
        <f t="shared" ca="1" si="98"/>
        <v>3.5962647395800817</v>
      </c>
      <c r="I208" s="82">
        <f t="shared" ca="1" si="98"/>
        <v>3.7065112829109337</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95" priority="1" stopIfTrue="1" operator="notEqual">
      <formula>0</formula>
    </cfRule>
  </conditionalFormatting>
  <conditionalFormatting sqref="J130 J94 J70 J59 J48 J36:J37 J14 J25">
    <cfRule type="cellIs" dxfId="294" priority="2" stopIfTrue="1" operator="equal">
      <formula>"OK"</formula>
    </cfRule>
    <cfRule type="cellIs" dxfId="293" priority="3" stopIfTrue="1" operator="equal">
      <formula>"Warning Check Escalations"</formula>
    </cfRule>
  </conditionalFormatting>
  <conditionalFormatting sqref="N120:T120 N84:T84">
    <cfRule type="cellIs" dxfId="292" priority="4" stopIfTrue="1" operator="notEqual">
      <formula>0</formula>
    </cfRule>
    <cfRule type="cellIs" dxfId="29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2.xml><?xml version="1.0" encoding="utf-8"?>
<worksheet xmlns="http://schemas.openxmlformats.org/spreadsheetml/2006/main" xmlns:r="http://schemas.openxmlformats.org/officeDocument/2006/relationships">
  <sheetPr codeName="Sheet77" enableFormatConditionsCalculation="0">
    <tabColor indexed="57"/>
    <pageSetUpPr fitToPage="1"/>
  </sheetPr>
  <dimension ref="A1:T239"/>
  <sheetViews>
    <sheetView showGridLines="0" topLeftCell="A56"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19</v>
      </c>
      <c r="M1" s="282"/>
      <c r="N1" s="280"/>
      <c r="O1" s="280"/>
      <c r="P1" s="280"/>
      <c r="Q1" s="280"/>
      <c r="R1" s="280"/>
      <c r="S1" s="280"/>
      <c r="T1" s="280"/>
    </row>
    <row r="2" spans="1:20" ht="15.75">
      <c r="A2" s="184" t="s">
        <v>121</v>
      </c>
      <c r="B2" s="74" t="str">
        <f ca="1">OFFSET(List_AllocOpexListStart,+$K$1,1)</f>
        <v>Workforce Development</v>
      </c>
      <c r="F2" s="284"/>
      <c r="H2" s="42"/>
      <c r="I2" s="283"/>
      <c r="L2" s="282"/>
      <c r="M2" s="282"/>
    </row>
    <row r="3" spans="1:20" ht="16.5" thickBot="1">
      <c r="A3" s="184" t="s">
        <v>371</v>
      </c>
      <c r="B3" s="236" t="str">
        <f ca="1">OFFSET(List_AllocOpexListStart,+$K$1,2)</f>
        <v>David Syme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0.70200000000000007</v>
      </c>
      <c r="E8" s="285">
        <f ca="1">OFFSET(Future_AOpexStart,MATCH($K$1,'I-6 Future A'!$A$6:$A$379)+2,+'I-5 Future DA'!F$5)</f>
        <v>0.70200000000000007</v>
      </c>
      <c r="F8" s="285">
        <f ca="1">OFFSET(Future_AOpexStart,MATCH($K$1,'I-6 Future A'!$A$6:$A$379)+2,+'I-5 Future DA'!G$5)</f>
        <v>0.70200000000000007</v>
      </c>
      <c r="G8" s="285">
        <f ca="1">OFFSET(Future_AOpexStart,MATCH($K$1,'I-6 Future A'!$A$6:$A$379)+2,+'I-5 Future DA'!H$5)</f>
        <v>0.70200000000000007</v>
      </c>
      <c r="H8" s="285">
        <f ca="1">OFFSET(Future_AOpexStart,MATCH($K$1,'I-6 Future A'!$A$6:$A$379)+2,+'I-5 Future DA'!I$5)</f>
        <v>0.70200000000000007</v>
      </c>
      <c r="I8" s="285">
        <f ca="1">OFFSET(Future_AOpexStart,MATCH($K$1,'I-6 Future A'!$A$6:$A$379)+2,+'I-5 Future DA'!J$5)</f>
        <v>0.70200000000000007</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0.13</v>
      </c>
      <c r="E9" s="285">
        <f ca="1">OFFSET(Future_AOpexStart,MATCH($K$1,'I-6 Future A'!$A$6:$A$379)+3,+'I-5 Future DA'!F$5)</f>
        <v>0.13</v>
      </c>
      <c r="F9" s="285">
        <f ca="1">OFFSET(Future_AOpexStart,MATCH($K$1,'I-6 Future A'!$A$6:$A$379)+3,+'I-5 Future DA'!G$5)</f>
        <v>0.13</v>
      </c>
      <c r="G9" s="285">
        <f ca="1">OFFSET(Future_AOpexStart,MATCH($K$1,'I-6 Future A'!$A$6:$A$379)+3,+'I-5 Future DA'!H$5)</f>
        <v>0.13</v>
      </c>
      <c r="H9" s="285">
        <f ca="1">OFFSET(Future_AOpexStart,MATCH($K$1,'I-6 Future A'!$A$6:$A$379)+3,+'I-5 Future DA'!I$5)</f>
        <v>0.13</v>
      </c>
      <c r="I9" s="285">
        <f ca="1">OFFSET(Future_AOpexStart,MATCH($K$1,'I-6 Future A'!$A$6:$A$379)+3,+'I-5 Future DA'!J$5)</f>
        <v>0.13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6.8000000000000005E-2</v>
      </c>
      <c r="E11" s="285">
        <f ca="1">OFFSET(Future_AOpexStart,MATCH($K$1,'I-6 Future A'!$A$6:$A$379)+5,+'I-5 Future DA'!F$5)</f>
        <v>6.8000000000000005E-2</v>
      </c>
      <c r="F11" s="285">
        <f ca="1">OFFSET(Future_AOpexStart,MATCH($K$1,'I-6 Future A'!$A$6:$A$379)+5,+'I-5 Future DA'!G$5)</f>
        <v>6.8000000000000005E-2</v>
      </c>
      <c r="G11" s="285">
        <f ca="1">OFFSET(Future_AOpexStart,MATCH($K$1,'I-6 Future A'!$A$6:$A$379)+5,+'I-5 Future DA'!H$5)</f>
        <v>6.8000000000000005E-2</v>
      </c>
      <c r="H11" s="285">
        <f ca="1">OFFSET(Future_AOpexStart,MATCH($K$1,'I-6 Future A'!$A$6:$A$379)+5,+'I-5 Future DA'!I$5)</f>
        <v>6.8000000000000005E-2</v>
      </c>
      <c r="I11" s="285">
        <f ca="1">OFFSET(Future_AOpexStart,MATCH($K$1,'I-6 Future A'!$A$6:$A$379)+5,+'I-5 Future DA'!J$5)</f>
        <v>6.8000000000000005E-2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0.90000000000000013</v>
      </c>
      <c r="E14" s="287">
        <f t="shared" ca="1" si="0"/>
        <v>0.90000000000000013</v>
      </c>
      <c r="F14" s="287">
        <f t="shared" ca="1" si="0"/>
        <v>0.90000000000000013</v>
      </c>
      <c r="G14" s="287">
        <f t="shared" ca="1" si="0"/>
        <v>0.90000000000000013</v>
      </c>
      <c r="H14" s="287">
        <f t="shared" ca="1" si="0"/>
        <v>0.90000000000000013</v>
      </c>
      <c r="I14" s="287">
        <f t="shared" ca="1" si="0"/>
        <v>0.90000000000000013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+'A-19'!B8+'A-19'!B19</f>
        <v>0</v>
      </c>
      <c r="C30" s="285">
        <f ca="1">+'A-19'!C8+'A-19'!C19</f>
        <v>0</v>
      </c>
      <c r="D30" s="285">
        <f ca="1">+'A-19'!D8+'A-19'!D19</f>
        <v>0.70200000000000007</v>
      </c>
      <c r="E30" s="285">
        <f ca="1">+'A-19'!E8+'A-19'!E19</f>
        <v>0.70200000000000007</v>
      </c>
      <c r="F30" s="285">
        <f ca="1">+'A-19'!F8+'A-19'!F19</f>
        <v>0.70200000000000007</v>
      </c>
      <c r="G30" s="285">
        <f ca="1">+'A-19'!G8+'A-19'!G19</f>
        <v>0.70200000000000007</v>
      </c>
      <c r="H30" s="285">
        <f ca="1">+'A-19'!H8+'A-19'!H19</f>
        <v>0.70200000000000007</v>
      </c>
      <c r="I30" s="285">
        <f ca="1">+'A-19'!I8+'A-19'!I19</f>
        <v>0.70200000000000007</v>
      </c>
      <c r="J30" s="42"/>
      <c r="K30" s="21"/>
      <c r="L30" s="21"/>
    </row>
    <row r="31" spans="1:12" outlineLevel="2">
      <c r="A31" s="61" t="s">
        <v>69</v>
      </c>
      <c r="B31" s="285">
        <f ca="1">+'A-19'!B9+'A-19'!B20</f>
        <v>0</v>
      </c>
      <c r="C31" s="285">
        <f ca="1">+'A-19'!C9+'A-19'!C20</f>
        <v>0</v>
      </c>
      <c r="D31" s="285">
        <f ca="1">+'A-19'!D9+'A-19'!D20</f>
        <v>0.13</v>
      </c>
      <c r="E31" s="285">
        <f ca="1">+'A-19'!E9+'A-19'!E20</f>
        <v>0.13</v>
      </c>
      <c r="F31" s="285">
        <f ca="1">+'A-19'!F9+'A-19'!F20</f>
        <v>0.13</v>
      </c>
      <c r="G31" s="285">
        <f ca="1">+'A-19'!G9+'A-19'!G20</f>
        <v>0.13</v>
      </c>
      <c r="H31" s="285">
        <f ca="1">+'A-19'!H9+'A-19'!H20</f>
        <v>0.13</v>
      </c>
      <c r="I31" s="285">
        <f ca="1">+'A-19'!I9+'A-19'!I20</f>
        <v>0.13</v>
      </c>
      <c r="J31" s="42"/>
      <c r="K31" s="21"/>
      <c r="L31" s="21"/>
    </row>
    <row r="32" spans="1:12" s="759" customFormat="1" outlineLevel="2">
      <c r="A32" s="61" t="s">
        <v>646</v>
      </c>
      <c r="B32" s="285">
        <f ca="1">+'A-19'!B10+'A-19'!B21</f>
        <v>0</v>
      </c>
      <c r="C32" s="285">
        <f ca="1">+'A-19'!C10+'A-19'!C21</f>
        <v>0</v>
      </c>
      <c r="D32" s="285">
        <f ca="1">+'A-19'!D10+'A-19'!D21</f>
        <v>0</v>
      </c>
      <c r="E32" s="285">
        <f ca="1">+'A-19'!E10+'A-19'!E21</f>
        <v>0</v>
      </c>
      <c r="F32" s="285">
        <f ca="1">+'A-19'!F10+'A-19'!F21</f>
        <v>0</v>
      </c>
      <c r="G32" s="285">
        <f ca="1">+'A-19'!G10+'A-19'!G21</f>
        <v>0</v>
      </c>
      <c r="H32" s="285">
        <f ca="1">+'A-19'!H10+'A-19'!H21</f>
        <v>0</v>
      </c>
      <c r="I32" s="285">
        <f ca="1">+'A-19'!I10+'A-19'!I21</f>
        <v>0</v>
      </c>
      <c r="J32" s="42"/>
      <c r="K32" s="732"/>
      <c r="L32" s="732"/>
    </row>
    <row r="33" spans="1:12" outlineLevel="2">
      <c r="A33" s="61" t="s">
        <v>647</v>
      </c>
      <c r="B33" s="285">
        <f ca="1">+'A-19'!B11+'A-19'!B22</f>
        <v>0</v>
      </c>
      <c r="C33" s="285">
        <f ca="1">+'A-19'!C11+'A-19'!C22</f>
        <v>0</v>
      </c>
      <c r="D33" s="285">
        <f ca="1">+'A-19'!D11+'A-19'!D22</f>
        <v>6.8000000000000005E-2</v>
      </c>
      <c r="E33" s="285">
        <f ca="1">+'A-19'!E11+'A-19'!E22</f>
        <v>6.8000000000000005E-2</v>
      </c>
      <c r="F33" s="285">
        <f ca="1">+'A-19'!F11+'A-19'!F22</f>
        <v>6.8000000000000005E-2</v>
      </c>
      <c r="G33" s="285">
        <f ca="1">+'A-19'!G11+'A-19'!G22</f>
        <v>6.8000000000000005E-2</v>
      </c>
      <c r="H33" s="285">
        <f ca="1">+'A-19'!H11+'A-19'!H22</f>
        <v>6.8000000000000005E-2</v>
      </c>
      <c r="I33" s="285">
        <f ca="1">+'A-19'!I11+'A-19'!I22</f>
        <v>6.8000000000000005E-2</v>
      </c>
      <c r="J33" s="42"/>
      <c r="K33" s="21"/>
      <c r="L33" s="21"/>
    </row>
    <row r="34" spans="1:12" s="759" customFormat="1" outlineLevel="2">
      <c r="A34" s="61" t="s">
        <v>575</v>
      </c>
      <c r="B34" s="285">
        <f ca="1">+'A-19'!B12+'A-19'!B23</f>
        <v>0</v>
      </c>
      <c r="C34" s="285">
        <f ca="1">+'A-19'!C12+'A-19'!C23</f>
        <v>0</v>
      </c>
      <c r="D34" s="285">
        <f ca="1">+'A-19'!D12+'A-19'!D23</f>
        <v>0</v>
      </c>
      <c r="E34" s="285">
        <f ca="1">+'A-19'!E12+'A-19'!E23</f>
        <v>0</v>
      </c>
      <c r="F34" s="285">
        <f ca="1">+'A-19'!F12+'A-19'!F23</f>
        <v>0</v>
      </c>
      <c r="G34" s="285">
        <f ca="1">+'A-19'!G12+'A-19'!G23</f>
        <v>0</v>
      </c>
      <c r="H34" s="285">
        <f ca="1">+'A-19'!H12+'A-19'!H23</f>
        <v>0</v>
      </c>
      <c r="I34" s="285">
        <f ca="1">+'A-19'!I12+'A-19'!I23</f>
        <v>0</v>
      </c>
      <c r="J34" s="42"/>
      <c r="K34" s="732"/>
      <c r="L34" s="732"/>
    </row>
    <row r="35" spans="1:12" ht="13.5" outlineLevel="2" thickBot="1">
      <c r="A35" s="83" t="s">
        <v>70</v>
      </c>
      <c r="B35" s="285">
        <f ca="1">+'A-19'!B13+'A-19'!B24</f>
        <v>0</v>
      </c>
      <c r="C35" s="285">
        <f ca="1">+'A-19'!C13+'A-19'!C24</f>
        <v>0</v>
      </c>
      <c r="D35" s="285">
        <f ca="1">+'A-19'!D13+'A-19'!D24</f>
        <v>0</v>
      </c>
      <c r="E35" s="285">
        <f ca="1">+'A-19'!E13+'A-19'!E24</f>
        <v>0</v>
      </c>
      <c r="F35" s="285">
        <f ca="1">+'A-19'!F13+'A-19'!F24</f>
        <v>0</v>
      </c>
      <c r="G35" s="285">
        <f ca="1">+'A-19'!G13+'A-19'!G24</f>
        <v>0</v>
      </c>
      <c r="H35" s="285">
        <f ca="1">+'A-19'!H13+'A-19'!H24</f>
        <v>0</v>
      </c>
      <c r="I35" s="285">
        <f ca="1">+'A-19'!I13+'A-19'!I24</f>
        <v>0</v>
      </c>
      <c r="J35" s="93"/>
      <c r="K35" s="21"/>
      <c r="L35" s="21"/>
    </row>
    <row r="36" spans="1:12" s="87" customFormat="1" ht="20.25" customHeight="1" thickBot="1">
      <c r="A36" s="94" t="s">
        <v>128</v>
      </c>
      <c r="B36" s="294">
        <f t="shared" ref="B36:I36" ca="1" si="7">SUM(B30:B35)</f>
        <v>0</v>
      </c>
      <c r="C36" s="294">
        <f t="shared" ca="1" si="7"/>
        <v>0</v>
      </c>
      <c r="D36" s="294">
        <f t="shared" ca="1" si="7"/>
        <v>0.90000000000000013</v>
      </c>
      <c r="E36" s="294">
        <f t="shared" ca="1" si="7"/>
        <v>0.90000000000000013</v>
      </c>
      <c r="F36" s="294">
        <f t="shared" ca="1" si="7"/>
        <v>0.90000000000000013</v>
      </c>
      <c r="G36" s="294">
        <f t="shared" ca="1" si="7"/>
        <v>0.90000000000000013</v>
      </c>
      <c r="H36" s="294">
        <f t="shared" ca="1" si="7"/>
        <v>0.90000000000000013</v>
      </c>
      <c r="I36" s="294">
        <f t="shared" ca="1" si="7"/>
        <v>0.90000000000000013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7.4481907134270556E-3</v>
      </c>
      <c r="F42" s="285">
        <f t="shared" ca="1" si="8"/>
        <v>1.4349578576775449E-2</v>
      </c>
      <c r="G42" s="285">
        <f t="shared" ca="1" si="8"/>
        <v>2.1171523845101431E-2</v>
      </c>
      <c r="H42" s="285">
        <f t="shared" ca="1" si="8"/>
        <v>2.8572786553190982E-2</v>
      </c>
      <c r="I42" s="285">
        <f t="shared" ca="1" si="8"/>
        <v>3.5352398585088131E-2</v>
      </c>
      <c r="K42" s="63"/>
      <c r="L42" s="63"/>
    </row>
    <row r="43" spans="1:12" outlineLevel="1">
      <c r="A43" s="61" t="s">
        <v>69</v>
      </c>
      <c r="B43" s="82"/>
      <c r="C43" s="285">
        <f t="shared" ca="1" si="8"/>
        <v>0</v>
      </c>
      <c r="D43" s="285">
        <f t="shared" ca="1" si="8"/>
        <v>0</v>
      </c>
      <c r="E43" s="285">
        <f t="shared" ca="1" si="8"/>
        <v>1.3792945765605659E-3</v>
      </c>
      <c r="F43" s="285">
        <f t="shared" ca="1" si="8"/>
        <v>2.6573293660695275E-3</v>
      </c>
      <c r="G43" s="285">
        <f t="shared" ca="1" si="8"/>
        <v>3.9206525639076716E-3</v>
      </c>
      <c r="H43" s="285">
        <f t="shared" ca="1" si="8"/>
        <v>5.2912567691094405E-3</v>
      </c>
      <c r="I43" s="285">
        <f t="shared" ca="1" si="8"/>
        <v>6.5467404787200234E-3</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7.2147716312398827E-4</v>
      </c>
      <c r="F45" s="285">
        <f t="shared" ca="1" si="10"/>
        <v>1.389987668405599E-3</v>
      </c>
      <c r="G45" s="285">
        <f t="shared" ca="1" si="10"/>
        <v>2.0508028795824746E-3</v>
      </c>
      <c r="H45" s="285">
        <f t="shared" ca="1" si="10"/>
        <v>2.7677343099957075E-3</v>
      </c>
      <c r="I45" s="285">
        <f t="shared" ca="1" si="10"/>
        <v>3.4244488657920124E-3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9.5489624531116101E-3</v>
      </c>
      <c r="F48" s="294">
        <f t="shared" ca="1" si="13"/>
        <v>1.8396895611250578E-2</v>
      </c>
      <c r="G48" s="294">
        <f t="shared" ca="1" si="13"/>
        <v>2.7142979288591575E-2</v>
      </c>
      <c r="H48" s="294">
        <f t="shared" ca="1" si="13"/>
        <v>3.6631777632296129E-2</v>
      </c>
      <c r="I48" s="294">
        <f t="shared" ca="1" si="13"/>
        <v>4.5323587929600166E-2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1.5223315085855425E-2</v>
      </c>
      <c r="F53" s="285">
        <f t="shared" ca="1" si="14"/>
        <v>3.1072648743355278E-2</v>
      </c>
      <c r="G53" s="285">
        <f t="shared" ca="1" si="14"/>
        <v>4.8446627748595858E-2</v>
      </c>
      <c r="H53" s="285">
        <f t="shared" ca="1" si="14"/>
        <v>6.6585801359909588E-2</v>
      </c>
      <c r="I53" s="285">
        <f t="shared" ca="1" si="14"/>
        <v>8.5413825812570385E-2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3.4360738581561264E-4</v>
      </c>
      <c r="F56" s="285">
        <f t="shared" ca="1" si="16"/>
        <v>6.9563462637574737E-4</v>
      </c>
      <c r="G56" s="285">
        <f t="shared" ca="1" si="16"/>
        <v>1.3390368584738331E-3</v>
      </c>
      <c r="H56" s="285">
        <f t="shared" ca="1" si="16"/>
        <v>2.1100061565535073E-3</v>
      </c>
      <c r="I56" s="285">
        <f t="shared" ca="1" si="16"/>
        <v>3.0490121597319423E-3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1.5566922471671038E-2</v>
      </c>
      <c r="F59" s="287">
        <f t="shared" ca="1" si="19"/>
        <v>3.1768283369731025E-2</v>
      </c>
      <c r="G59" s="287">
        <f t="shared" ca="1" si="19"/>
        <v>4.9785664607069693E-2</v>
      </c>
      <c r="H59" s="287">
        <f t="shared" ca="1" si="19"/>
        <v>6.8695807516463092E-2</v>
      </c>
      <c r="I59" s="287">
        <f t="shared" ca="1" si="19"/>
        <v>8.8462837972302324E-2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0.70200000000000007</v>
      </c>
      <c r="E64" s="285">
        <f t="shared" ca="1" si="20"/>
        <v>0.72467150579928252</v>
      </c>
      <c r="F64" s="285">
        <f t="shared" ca="1" si="20"/>
        <v>0.74742222732013075</v>
      </c>
      <c r="G64" s="285">
        <f t="shared" ca="1" si="20"/>
        <v>0.7716181515936974</v>
      </c>
      <c r="H64" s="285">
        <f t="shared" ca="1" si="20"/>
        <v>0.79715858791310057</v>
      </c>
      <c r="I64" s="285">
        <f t="shared" ca="1" si="20"/>
        <v>0.82276622439765856</v>
      </c>
      <c r="K64" s="63"/>
      <c r="L64" s="63"/>
    </row>
    <row r="65" spans="1:20" ht="12.75" customHeight="1" outlineLevel="1">
      <c r="A65" s="61" t="s">
        <v>69</v>
      </c>
      <c r="B65" s="285">
        <f t="shared" ca="1" si="20"/>
        <v>0</v>
      </c>
      <c r="C65" s="285">
        <f t="shared" ca="1" si="20"/>
        <v>0</v>
      </c>
      <c r="D65" s="285">
        <f t="shared" ca="1" si="20"/>
        <v>0.13</v>
      </c>
      <c r="E65" s="285">
        <f t="shared" ca="1" si="20"/>
        <v>0.13137929457656056</v>
      </c>
      <c r="F65" s="285">
        <f t="shared" ca="1" si="20"/>
        <v>0.13265732936606953</v>
      </c>
      <c r="G65" s="285">
        <f t="shared" ca="1" si="20"/>
        <v>0.13392065256390767</v>
      </c>
      <c r="H65" s="285">
        <f t="shared" ca="1" si="20"/>
        <v>0.13529125676910944</v>
      </c>
      <c r="I65" s="285">
        <f t="shared" ca="1" si="20"/>
        <v>0.13654674047872004</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6.8000000000000005E-2</v>
      </c>
      <c r="E67" s="285">
        <f t="shared" ca="1" si="22"/>
        <v>6.9065084548939601E-2</v>
      </c>
      <c r="F67" s="285">
        <f t="shared" ca="1" si="22"/>
        <v>7.0085622294781352E-2</v>
      </c>
      <c r="G67" s="285">
        <f t="shared" ca="1" si="22"/>
        <v>7.1389839738056321E-2</v>
      </c>
      <c r="H67" s="285">
        <f t="shared" ca="1" si="22"/>
        <v>7.2877740466549212E-2</v>
      </c>
      <c r="I67" s="285">
        <f t="shared" ca="1" si="22"/>
        <v>7.4473461025523963E-2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0.90000000000000013</v>
      </c>
      <c r="E70" s="295">
        <f t="shared" ca="1" si="25"/>
        <v>0.92511588492478269</v>
      </c>
      <c r="F70" s="295">
        <f t="shared" ca="1" si="25"/>
        <v>0.95016517898098163</v>
      </c>
      <c r="G70" s="295">
        <f t="shared" ca="1" si="25"/>
        <v>0.97692864389566147</v>
      </c>
      <c r="H70" s="295">
        <f t="shared" ca="1" si="25"/>
        <v>1.0053275851487593</v>
      </c>
      <c r="I70" s="295">
        <f t="shared" ca="1" si="25"/>
        <v>1.0337864259019025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7.4481907134270556E-3</v>
      </c>
      <c r="Q77" s="285">
        <f ca="1">IF($B77&lt;&gt;0,(+VLOOKUP($B77,$A$8:$I$13,6,FALSE))*(F77),0)</f>
        <v>1.4349578576775449E-2</v>
      </c>
      <c r="R77" s="285">
        <f ca="1">IF($B77&lt;&gt;0,(+VLOOKUP($B77,$A$8:$I$13,7,FALSE))*(G77),0)</f>
        <v>2.1171523845101431E-2</v>
      </c>
      <c r="S77" s="285">
        <f ca="1">IF($B77&lt;&gt;0,(+VLOOKUP($B77,$A$8:$I$13,8,FALSE))*(H77),0)</f>
        <v>2.8572786553190982E-2</v>
      </c>
      <c r="T77" s="285">
        <f ca="1">IF($B77&lt;&gt;0,(+VLOOKUP($B77,$A$8:$I$13,9,FALSE))*(I77),0)</f>
        <v>3.5352398585088131E-2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1.3792945765605659E-3</v>
      </c>
      <c r="Q78" s="285">
        <f ca="1">IF($B78&lt;&gt;0,(+VLOOKUP($B78,$A$8:$I$13,6,FALSE))*(F78),0)</f>
        <v>2.6573293660695275E-3</v>
      </c>
      <c r="R78" s="285">
        <f ca="1">IF($B78&lt;&gt;0,(+VLOOKUP($B78,$A$8:$I$13,7,FALSE))*(G78),0)</f>
        <v>3.9206525639076716E-3</v>
      </c>
      <c r="S78" s="285">
        <f ca="1">IF($B78&lt;&gt;0,(+VLOOKUP($B78,$A$8:$I$13,8,FALSE))*(H78),0)</f>
        <v>5.2912567691094405E-3</v>
      </c>
      <c r="T78" s="285">
        <f ca="1">IF($B78&lt;&gt;0,(+VLOOKUP($B78,$A$8:$I$13,9,FALSE))*(I78),0)</f>
        <v>6.5467404787200234E-3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7.2147716312398827E-4</v>
      </c>
      <c r="Q80" s="285">
        <f t="shared" ca="1" si="34"/>
        <v>1.389987668405599E-3</v>
      </c>
      <c r="R80" s="285">
        <f t="shared" ca="1" si="35"/>
        <v>2.0508028795824746E-3</v>
      </c>
      <c r="S80" s="285">
        <f t="shared" ca="1" si="36"/>
        <v>2.7677343099957075E-3</v>
      </c>
      <c r="T80" s="285">
        <f t="shared" ca="1" si="37"/>
        <v>3.4244488657920124E-3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9.5489624531116101E-3</v>
      </c>
      <c r="Q83" s="292">
        <f t="shared" ca="1" si="51"/>
        <v>1.8396895611250578E-2</v>
      </c>
      <c r="R83" s="292">
        <f t="shared" ca="1" si="51"/>
        <v>2.7142979288591575E-2</v>
      </c>
      <c r="S83" s="292">
        <f t="shared" ca="1" si="51"/>
        <v>3.6631777632296129E-2</v>
      </c>
      <c r="T83" s="292">
        <f t="shared" ca="1" si="51"/>
        <v>4.5323587929600166E-2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7.4481907134270556E-3</v>
      </c>
      <c r="F98" s="285">
        <f t="shared" ca="1" si="54"/>
        <v>1.4349578576775449E-2</v>
      </c>
      <c r="G98" s="285">
        <f t="shared" ca="1" si="54"/>
        <v>2.1171523845101431E-2</v>
      </c>
      <c r="H98" s="285">
        <f t="shared" ca="1" si="54"/>
        <v>2.8572786553190982E-2</v>
      </c>
      <c r="I98" s="285">
        <f t="shared" ca="1" si="54"/>
        <v>3.5352398585088131E-2</v>
      </c>
    </row>
    <row r="99" spans="1:20" outlineLevel="1">
      <c r="A99" s="61" t="s">
        <v>69</v>
      </c>
      <c r="B99" s="119"/>
      <c r="C99" s="285">
        <f t="shared" ref="C99:I99" ca="1" si="55">+C9*(C87)</f>
        <v>0</v>
      </c>
      <c r="D99" s="285">
        <f t="shared" ca="1" si="55"/>
        <v>0</v>
      </c>
      <c r="E99" s="285">
        <f t="shared" ca="1" si="55"/>
        <v>1.3792945765605659E-3</v>
      </c>
      <c r="F99" s="285">
        <f t="shared" ca="1" si="55"/>
        <v>2.6573293660695275E-3</v>
      </c>
      <c r="G99" s="285">
        <f t="shared" ca="1" si="55"/>
        <v>3.9206525639076716E-3</v>
      </c>
      <c r="H99" s="285">
        <f t="shared" ca="1" si="55"/>
        <v>5.2912567691094405E-3</v>
      </c>
      <c r="I99" s="285">
        <f t="shared" ca="1" si="55"/>
        <v>6.5467404787200234E-3</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7.2147716312398827E-4</v>
      </c>
      <c r="F101" s="285">
        <f t="shared" ca="1" si="57"/>
        <v>1.389987668405599E-3</v>
      </c>
      <c r="G101" s="285">
        <f t="shared" ca="1" si="57"/>
        <v>2.0508028795824746E-3</v>
      </c>
      <c r="H101" s="285">
        <f t="shared" ca="1" si="57"/>
        <v>2.7677343099957075E-3</v>
      </c>
      <c r="I101" s="285">
        <f t="shared" ca="1" si="57"/>
        <v>3.4244488657920124E-3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9.5489624531116101E-3</v>
      </c>
      <c r="F104" s="296">
        <f t="shared" ca="1" si="60"/>
        <v>1.8396895611250578E-2</v>
      </c>
      <c r="G104" s="296">
        <f t="shared" ca="1" si="60"/>
        <v>2.7142979288591575E-2</v>
      </c>
      <c r="H104" s="296">
        <f t="shared" ca="1" si="60"/>
        <v>3.6631777632296129E-2</v>
      </c>
      <c r="I104" s="296">
        <f t="shared" ca="1" si="60"/>
        <v>4.5323587929600166E-2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1.5223315085855425E-2</v>
      </c>
      <c r="Q113" s="285">
        <f ca="1">IF($B113&lt;&gt;0,(+VLOOKUP($B113,$A$8:$I$13,6,FALSE)+VLOOKUP($B113,$A$42:$I$47,6,FALSE))*(F113),0)</f>
        <v>3.1072648743355278E-2</v>
      </c>
      <c r="R113" s="285">
        <f ca="1">IF($B113&lt;&gt;0,(+VLOOKUP($B113,$A$8:$I$13,7,FALSE)+VLOOKUP($B113,$A$42:$I$47,7,FALSE))*(G113),0)</f>
        <v>4.8446627748595858E-2</v>
      </c>
      <c r="S113" s="285">
        <f ca="1">IF($B113&lt;&gt;0,(+VLOOKUP($B113,$A$8:$I$13,8,FALSE)+VLOOKUP($B113,$A$42:$I$47,8,FALSE))*(H113),0)</f>
        <v>6.6585801359909588E-2</v>
      </c>
      <c r="T113" s="285">
        <f ca="1">IF($B113&lt;&gt;0,(+VLOOKUP($B113,$A$8:$I$13,9,FALSE)+VLOOKUP($B113,$A$42:$I$47,9,FALSE))*(I113),0)</f>
        <v>8.5413825812570385E-2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3.4360738581561264E-4</v>
      </c>
      <c r="Q116" s="285">
        <f t="shared" ca="1" si="68"/>
        <v>6.9563462637574737E-4</v>
      </c>
      <c r="R116" s="285">
        <f t="shared" ca="1" si="69"/>
        <v>1.3390368584738331E-3</v>
      </c>
      <c r="S116" s="285">
        <f t="shared" ca="1" si="70"/>
        <v>2.1100061565535073E-3</v>
      </c>
      <c r="T116" s="285">
        <f t="shared" ca="1" si="71"/>
        <v>3.0490121597319423E-3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1.5566922471671038E-2</v>
      </c>
      <c r="Q119" s="292">
        <f t="shared" ca="1" si="72"/>
        <v>3.1768283369731025E-2</v>
      </c>
      <c r="R119" s="292">
        <f t="shared" ca="1" si="72"/>
        <v>4.9785664607069693E-2</v>
      </c>
      <c r="S119" s="292">
        <f t="shared" ca="1" si="72"/>
        <v>6.8695807516463092E-2</v>
      </c>
      <c r="T119" s="292">
        <f t="shared" ca="1" si="72"/>
        <v>8.8462837972302324E-2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1.5223315085855425E-2</v>
      </c>
      <c r="F134" s="285">
        <f t="shared" ca="1" si="75"/>
        <v>3.1072648743355278E-2</v>
      </c>
      <c r="G134" s="285">
        <f t="shared" ca="1" si="75"/>
        <v>4.8446627748595858E-2</v>
      </c>
      <c r="H134" s="285">
        <f t="shared" ca="1" si="75"/>
        <v>6.6585801359909588E-2</v>
      </c>
      <c r="I134" s="285">
        <f t="shared" ca="1" si="75"/>
        <v>8.5413825812570385E-2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3.4360738581561264E-4</v>
      </c>
      <c r="F137" s="285">
        <f t="shared" ca="1" si="78"/>
        <v>6.9563462637574737E-4</v>
      </c>
      <c r="G137" s="285">
        <f t="shared" ca="1" si="78"/>
        <v>1.3390368584738331E-3</v>
      </c>
      <c r="H137" s="285">
        <f t="shared" ca="1" si="78"/>
        <v>2.1100061565535073E-3</v>
      </c>
      <c r="I137" s="285">
        <f t="shared" ca="1" si="78"/>
        <v>3.0490121597319423E-3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1.5566922471671038E-2</v>
      </c>
      <c r="F140" s="296">
        <f t="shared" ca="1" si="81"/>
        <v>3.1768283369731025E-2</v>
      </c>
      <c r="G140" s="296">
        <f t="shared" ca="1" si="81"/>
        <v>4.9785664607069693E-2</v>
      </c>
      <c r="H140" s="296">
        <f t="shared" ca="1" si="81"/>
        <v>6.8695807516463092E-2</v>
      </c>
      <c r="I140" s="296">
        <f t="shared" ca="1" si="81"/>
        <v>8.8462837972302324E-2</v>
      </c>
    </row>
    <row r="141" spans="1:16" ht="13.5" outlineLevel="1" thickBot="1">
      <c r="A141" s="122" t="s">
        <v>148</v>
      </c>
      <c r="B141" s="126"/>
      <c r="C141" s="124">
        <f t="shared" ref="C141:I141" ca="1" si="82">IF((+C36+C48)&lt;&gt;0,+C140/(+C36+C48),0)</f>
        <v>0</v>
      </c>
      <c r="D141" s="124">
        <f t="shared" ca="1" si="82"/>
        <v>0</v>
      </c>
      <c r="E141" s="124">
        <f t="shared" ca="1" si="82"/>
        <v>1.7114991181657831E-2</v>
      </c>
      <c r="F141" s="124">
        <f t="shared" ca="1" si="82"/>
        <v>3.4591017806726403E-2</v>
      </c>
      <c r="G141" s="124">
        <f t="shared" ca="1" si="82"/>
        <v>5.3697936261428471E-2</v>
      </c>
      <c r="H141" s="124">
        <f t="shared" ca="1" si="82"/>
        <v>7.3343451671177187E-2</v>
      </c>
      <c r="I141" s="124">
        <f t="shared" ca="1" si="82"/>
        <v>9.3579425185030179E-2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ca="1">IF(ISNUMBER($J160),OFFSET($B$177,MATCH(+$J160,$J$178:$J$196,0)+1,0),"")</f>
        <v>Proposal Step Change</v>
      </c>
      <c r="L160" s="66" t="str">
        <f ca="1">IF(ISNUMBER($J160),OFFSET($B$177,MATCH(+$J160,$J$178:$J$196,0)+2,0),"")</f>
        <v>Refer Opex Workings</v>
      </c>
      <c r="M160" s="66" t="str">
        <f ca="1">IF(ISNUMBER($J160),OFFSET($B$177,MATCH(+$J160,$J$178:$J$196,0)+3,0),"")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ref="K161:K169" ca="1" si="87">IF(ISNUMBER($J161),OFFSET($B$177,MATCH(+$J161,$J$178:$J$196,0)+1,0),"")</f>
        <v/>
      </c>
      <c r="L161" s="66" t="str">
        <f t="shared" ref="L161:L169" ca="1" si="88">IF(ISNUMBER($J161),OFFSET($B$177,MATCH(+$J161,$J$178:$J$196,0)+2,0),"")</f>
        <v/>
      </c>
      <c r="M161" s="66" t="str">
        <f t="shared" ref="M161:M169" ca="1" si="89">IF(ISNUMBER($J161),OFFSET($B$177,MATCH(+$J161,$J$178:$J$196,0)+3,0),"")</f>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(SEM)'!$N$169:$R$174</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row r="193" spans="1:9" s="634" customFormat="1"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0.90000000000000013</v>
      </c>
      <c r="E205" s="82">
        <f t="shared" ca="1" si="93"/>
        <v>0.90000000000000013</v>
      </c>
      <c r="F205" s="82">
        <f t="shared" ca="1" si="93"/>
        <v>0.90000000000000013</v>
      </c>
      <c r="G205" s="82">
        <f t="shared" ca="1" si="93"/>
        <v>0.90000000000000013</v>
      </c>
      <c r="H205" s="82">
        <f t="shared" ca="1" si="93"/>
        <v>0.90000000000000013</v>
      </c>
      <c r="I205" s="82">
        <f t="shared" ca="1" si="93"/>
        <v>0.90000000000000013</v>
      </c>
    </row>
    <row r="206" spans="1:9" outlineLevel="1">
      <c r="A206" t="s">
        <v>156</v>
      </c>
      <c r="B206" s="82">
        <f t="shared" ref="B206:I206" ca="1" si="94">+B36</f>
        <v>0</v>
      </c>
      <c r="C206" s="82">
        <f t="shared" ca="1" si="94"/>
        <v>0</v>
      </c>
      <c r="D206" s="82">
        <f t="shared" ca="1" si="94"/>
        <v>0.90000000000000013</v>
      </c>
      <c r="E206" s="82">
        <f t="shared" ca="1" si="94"/>
        <v>0.90000000000000013</v>
      </c>
      <c r="F206" s="82">
        <f t="shared" ca="1" si="94"/>
        <v>0.90000000000000013</v>
      </c>
      <c r="G206" s="82">
        <f t="shared" ca="1" si="94"/>
        <v>0.90000000000000013</v>
      </c>
      <c r="H206" s="82">
        <f t="shared" ca="1" si="94"/>
        <v>0.90000000000000013</v>
      </c>
      <c r="I206" s="82">
        <f t="shared" ca="1" si="94"/>
        <v>0.90000000000000013</v>
      </c>
    </row>
    <row r="207" spans="1:9" outlineLevel="1">
      <c r="A207" t="s">
        <v>157</v>
      </c>
      <c r="B207" s="82">
        <f t="shared" ref="B207:I207" ca="1" si="95">+B36+B48</f>
        <v>0</v>
      </c>
      <c r="C207" s="82">
        <f t="shared" ca="1" si="95"/>
        <v>0</v>
      </c>
      <c r="D207" s="82">
        <f t="shared" ca="1" si="95"/>
        <v>0.90000000000000013</v>
      </c>
      <c r="E207" s="82">
        <f t="shared" ca="1" si="95"/>
        <v>0.90954896245311179</v>
      </c>
      <c r="F207" s="82">
        <f t="shared" ca="1" si="95"/>
        <v>0.91839689561125071</v>
      </c>
      <c r="G207" s="82">
        <f t="shared" ca="1" si="95"/>
        <v>0.92714297928859168</v>
      </c>
      <c r="H207" s="82">
        <f t="shared" ca="1" si="95"/>
        <v>0.93663177763229621</v>
      </c>
      <c r="I207" s="82">
        <f t="shared" ca="1" si="95"/>
        <v>0.94532358792960025</v>
      </c>
    </row>
    <row r="208" spans="1:9" outlineLevel="1">
      <c r="A208" t="s">
        <v>158</v>
      </c>
      <c r="B208" s="82">
        <f t="shared" ref="B208:I208" ca="1" si="96">+B70</f>
        <v>0</v>
      </c>
      <c r="C208" s="82">
        <f t="shared" ca="1" si="96"/>
        <v>0</v>
      </c>
      <c r="D208" s="82">
        <f t="shared" ca="1" si="96"/>
        <v>0.90000000000000013</v>
      </c>
      <c r="E208" s="82">
        <f t="shared" ca="1" si="96"/>
        <v>0.92511588492478269</v>
      </c>
      <c r="F208" s="82">
        <f t="shared" ca="1" si="96"/>
        <v>0.95016517898098163</v>
      </c>
      <c r="G208" s="82">
        <f t="shared" ca="1" si="96"/>
        <v>0.97692864389566147</v>
      </c>
      <c r="H208" s="82">
        <f t="shared" ca="1" si="96"/>
        <v>1.0053275851487593</v>
      </c>
      <c r="I208" s="82">
        <f t="shared" ca="1" si="96"/>
        <v>1.0337864259019025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90" priority="1" stopIfTrue="1" operator="notEqual">
      <formula>0</formula>
    </cfRule>
  </conditionalFormatting>
  <conditionalFormatting sqref="J130 J94 J70 J59 J48 J36:J37 J14 J25">
    <cfRule type="cellIs" dxfId="289" priority="2" stopIfTrue="1" operator="equal">
      <formula>"OK"</formula>
    </cfRule>
    <cfRule type="cellIs" dxfId="288" priority="3" stopIfTrue="1" operator="equal">
      <formula>"Warning Check Escalations"</formula>
    </cfRule>
  </conditionalFormatting>
  <conditionalFormatting sqref="N120:T120 N84:T84">
    <cfRule type="cellIs" dxfId="287" priority="4" stopIfTrue="1" operator="notEqual">
      <formula>0</formula>
    </cfRule>
    <cfRule type="cellIs" dxfId="28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3.xml><?xml version="1.0" encoding="utf-8"?>
<worksheet xmlns="http://schemas.openxmlformats.org/spreadsheetml/2006/main" xmlns:r="http://schemas.openxmlformats.org/officeDocument/2006/relationships">
  <sheetPr codeName="Sheet78" enableFormatConditionsCalculation="0">
    <tabColor indexed="57"/>
    <pageSetUpPr fitToPage="1"/>
  </sheetPr>
  <dimension ref="A1:T239"/>
  <sheetViews>
    <sheetView showGridLines="0" zoomScaleNormal="100" workbookViewId="0">
      <selection activeCell="L8" sqref="L8"/>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20</v>
      </c>
      <c r="M1" s="282"/>
      <c r="N1" s="280"/>
      <c r="O1" s="280"/>
      <c r="P1" s="280"/>
      <c r="Q1" s="280"/>
      <c r="R1" s="280"/>
      <c r="S1" s="280"/>
      <c r="T1" s="280"/>
    </row>
    <row r="2" spans="1:20" ht="15.75">
      <c r="A2" s="184" t="s">
        <v>121</v>
      </c>
      <c r="B2" s="74" t="str">
        <f ca="1">OFFSET(List_AllocOpexListStart,+$K$1,1)</f>
        <v>Training Centre</v>
      </c>
      <c r="F2" s="284"/>
      <c r="H2" s="42"/>
      <c r="I2" s="283"/>
      <c r="L2" s="282"/>
      <c r="M2" s="282"/>
    </row>
    <row r="3" spans="1:20" ht="16.5" thickBot="1">
      <c r="A3" s="184" t="s">
        <v>371</v>
      </c>
      <c r="B3" s="236" t="str">
        <f ca="1">OFFSET(List_AllocOpexListStart,+$K$1,2)</f>
        <v>David Syme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2.9750000000000001</v>
      </c>
      <c r="E8" s="285">
        <f ca="1">OFFSET(Future_AOpexStart,MATCH($K$1,'I-6 Future A'!$A$6:$A$379)+2,+'I-5 Future DA'!F$5)</f>
        <v>2.9750000000000001</v>
      </c>
      <c r="F8" s="285">
        <f ca="1">OFFSET(Future_AOpexStart,MATCH($K$1,'I-6 Future A'!$A$6:$A$379)+2,+'I-5 Future DA'!G$5)</f>
        <v>2.9750000000000001</v>
      </c>
      <c r="G8" s="285">
        <f ca="1">OFFSET(Future_AOpexStart,MATCH($K$1,'I-6 Future A'!$A$6:$A$379)+2,+'I-5 Future DA'!H$5)</f>
        <v>2.9750000000000001</v>
      </c>
      <c r="H8" s="285">
        <f ca="1">OFFSET(Future_AOpexStart,MATCH($K$1,'I-6 Future A'!$A$6:$A$379)+2,+'I-5 Future DA'!I$5)</f>
        <v>2.9750000000000001</v>
      </c>
      <c r="I8" s="285">
        <f ca="1">OFFSET(Future_AOpexStart,MATCH($K$1,'I-6 Future A'!$A$6:$A$379)+2,+'I-5 Future DA'!J$5)</f>
        <v>2.9750000000000001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0.14200000000000002</v>
      </c>
      <c r="E9" s="285">
        <f ca="1">OFFSET(Future_AOpexStart,MATCH($K$1,'I-6 Future A'!$A$6:$A$379)+3,+'I-5 Future DA'!F$5)</f>
        <v>0.14200000000000002</v>
      </c>
      <c r="F9" s="285">
        <f ca="1">OFFSET(Future_AOpexStart,MATCH($K$1,'I-6 Future A'!$A$6:$A$379)+3,+'I-5 Future DA'!G$5)</f>
        <v>0.14200000000000002</v>
      </c>
      <c r="G9" s="285">
        <f ca="1">OFFSET(Future_AOpexStart,MATCH($K$1,'I-6 Future A'!$A$6:$A$379)+3,+'I-5 Future DA'!H$5)</f>
        <v>0.14200000000000002</v>
      </c>
      <c r="H9" s="285">
        <f ca="1">OFFSET(Future_AOpexStart,MATCH($K$1,'I-6 Future A'!$A$6:$A$379)+3,+'I-5 Future DA'!I$5)</f>
        <v>0.14200000000000002</v>
      </c>
      <c r="I9" s="285">
        <f ca="1">OFFSET(Future_AOpexStart,MATCH($K$1,'I-6 Future A'!$A$6:$A$379)+3,+'I-5 Future DA'!J$5)</f>
        <v>0.14200000000000002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0.371</v>
      </c>
      <c r="E11" s="285">
        <f ca="1">OFFSET(Future_AOpexStart,MATCH($K$1,'I-6 Future A'!$A$6:$A$379)+5,+'I-5 Future DA'!F$5)</f>
        <v>0.371</v>
      </c>
      <c r="F11" s="285">
        <f ca="1">OFFSET(Future_AOpexStart,MATCH($K$1,'I-6 Future A'!$A$6:$A$379)+5,+'I-5 Future DA'!G$5)</f>
        <v>0.371</v>
      </c>
      <c r="G11" s="285">
        <f ca="1">OFFSET(Future_AOpexStart,MATCH($K$1,'I-6 Future A'!$A$6:$A$379)+5,+'I-5 Future DA'!H$5)</f>
        <v>0.371</v>
      </c>
      <c r="H11" s="285">
        <f ca="1">OFFSET(Future_AOpexStart,MATCH($K$1,'I-6 Future A'!$A$6:$A$379)+5,+'I-5 Future DA'!I$5)</f>
        <v>0.371</v>
      </c>
      <c r="I11" s="285">
        <f ca="1">OFFSET(Future_AOpexStart,MATCH($K$1,'I-6 Future A'!$A$6:$A$379)+5,+'I-5 Future DA'!J$5)</f>
        <v>0.371</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3.488</v>
      </c>
      <c r="E14" s="287">
        <f t="shared" ca="1" si="0"/>
        <v>3.488</v>
      </c>
      <c r="F14" s="287">
        <f t="shared" ca="1" si="0"/>
        <v>3.488</v>
      </c>
      <c r="G14" s="287">
        <f t="shared" ca="1" si="0"/>
        <v>3.488</v>
      </c>
      <c r="H14" s="287">
        <f t="shared" ca="1" si="0"/>
        <v>3.488</v>
      </c>
      <c r="I14" s="287">
        <f t="shared" ca="1" si="0"/>
        <v>3.488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+'A-20'!B8+'A-20'!B19</f>
        <v>0</v>
      </c>
      <c r="C30" s="285">
        <f ca="1">+'A-20'!C8+'A-20'!C19</f>
        <v>0</v>
      </c>
      <c r="D30" s="285">
        <f ca="1">+'A-20'!D8+'A-20'!D19</f>
        <v>2.9750000000000001</v>
      </c>
      <c r="E30" s="285">
        <f ca="1">+'A-20'!E8+'A-20'!E19</f>
        <v>2.9750000000000001</v>
      </c>
      <c r="F30" s="285">
        <f ca="1">+'A-20'!F8+'A-20'!F19</f>
        <v>2.9750000000000001</v>
      </c>
      <c r="G30" s="285">
        <f ca="1">+'A-20'!G8+'A-20'!G19</f>
        <v>2.9750000000000001</v>
      </c>
      <c r="H30" s="285">
        <f ca="1">+'A-20'!H8+'A-20'!H19</f>
        <v>2.9750000000000001</v>
      </c>
      <c r="I30" s="285">
        <f ca="1">+'A-20'!I8+'A-20'!I19</f>
        <v>2.9750000000000001</v>
      </c>
      <c r="J30" s="42"/>
      <c r="K30" s="21"/>
      <c r="L30" s="21"/>
    </row>
    <row r="31" spans="1:12" outlineLevel="2">
      <c r="A31" s="61" t="s">
        <v>69</v>
      </c>
      <c r="B31" s="285">
        <f ca="1">+'A-20'!B9+'A-20'!B20</f>
        <v>0</v>
      </c>
      <c r="C31" s="285">
        <f ca="1">+'A-20'!C9+'A-20'!C20</f>
        <v>0</v>
      </c>
      <c r="D31" s="285">
        <f ca="1">+'A-20'!D9+'A-20'!D20</f>
        <v>0.14200000000000002</v>
      </c>
      <c r="E31" s="285">
        <f ca="1">+'A-20'!E9+'A-20'!E20</f>
        <v>0.14200000000000002</v>
      </c>
      <c r="F31" s="285">
        <f ca="1">+'A-20'!F9+'A-20'!F20</f>
        <v>0.14200000000000002</v>
      </c>
      <c r="G31" s="285">
        <f ca="1">+'A-20'!G9+'A-20'!G20</f>
        <v>0.14200000000000002</v>
      </c>
      <c r="H31" s="285">
        <f ca="1">+'A-20'!H9+'A-20'!H20</f>
        <v>0.14200000000000002</v>
      </c>
      <c r="I31" s="285">
        <f ca="1">+'A-20'!I9+'A-20'!I20</f>
        <v>0.14200000000000002</v>
      </c>
      <c r="J31" s="42"/>
      <c r="K31" s="21"/>
      <c r="L31" s="21"/>
    </row>
    <row r="32" spans="1:12" s="759" customFormat="1" outlineLevel="2">
      <c r="A32" s="61" t="s">
        <v>646</v>
      </c>
      <c r="B32" s="285">
        <f ca="1">+'A-20'!B10+'A-20'!B21</f>
        <v>0</v>
      </c>
      <c r="C32" s="285">
        <f ca="1">+'A-20'!C10+'A-20'!C21</f>
        <v>0</v>
      </c>
      <c r="D32" s="285">
        <f ca="1">+'A-20'!D10+'A-20'!D21</f>
        <v>0</v>
      </c>
      <c r="E32" s="285">
        <f ca="1">+'A-20'!E10+'A-20'!E21</f>
        <v>0</v>
      </c>
      <c r="F32" s="285">
        <f ca="1">+'A-20'!F10+'A-20'!F21</f>
        <v>0</v>
      </c>
      <c r="G32" s="285">
        <f ca="1">+'A-20'!G10+'A-20'!G21</f>
        <v>0</v>
      </c>
      <c r="H32" s="285">
        <f ca="1">+'A-20'!H10+'A-20'!H21</f>
        <v>0</v>
      </c>
      <c r="I32" s="285">
        <f ca="1">+'A-20'!I10+'A-20'!I21</f>
        <v>0</v>
      </c>
      <c r="J32" s="42"/>
      <c r="K32" s="732"/>
      <c r="L32" s="732"/>
    </row>
    <row r="33" spans="1:12" outlineLevel="2">
      <c r="A33" s="61" t="s">
        <v>647</v>
      </c>
      <c r="B33" s="285">
        <f ca="1">+'A-20'!B11+'A-20'!B22</f>
        <v>0</v>
      </c>
      <c r="C33" s="285">
        <f ca="1">+'A-20'!C11+'A-20'!C22</f>
        <v>0</v>
      </c>
      <c r="D33" s="285">
        <f ca="1">+'A-20'!D11+'A-20'!D22</f>
        <v>0.371</v>
      </c>
      <c r="E33" s="285">
        <f ca="1">+'A-20'!E11+'A-20'!E22</f>
        <v>0.371</v>
      </c>
      <c r="F33" s="285">
        <f ca="1">+'A-20'!F11+'A-20'!F22</f>
        <v>0.371</v>
      </c>
      <c r="G33" s="285">
        <f ca="1">+'A-20'!G11+'A-20'!G22</f>
        <v>0.371</v>
      </c>
      <c r="H33" s="285">
        <f ca="1">+'A-20'!H11+'A-20'!H22</f>
        <v>0.371</v>
      </c>
      <c r="I33" s="285">
        <f ca="1">+'A-20'!I11+'A-20'!I22</f>
        <v>0.371</v>
      </c>
      <c r="J33" s="42"/>
      <c r="K33" s="21"/>
      <c r="L33" s="21"/>
    </row>
    <row r="34" spans="1:12" s="759" customFormat="1" outlineLevel="2">
      <c r="A34" s="61" t="s">
        <v>575</v>
      </c>
      <c r="B34" s="285">
        <f ca="1">+'A-20'!B12+'A-20'!B23</f>
        <v>0</v>
      </c>
      <c r="C34" s="285">
        <f ca="1">+'A-20'!C12+'A-20'!C23</f>
        <v>0</v>
      </c>
      <c r="D34" s="285">
        <f ca="1">+'A-20'!D12+'A-20'!D23</f>
        <v>0</v>
      </c>
      <c r="E34" s="285">
        <f ca="1">+'A-20'!E12+'A-20'!E23</f>
        <v>0</v>
      </c>
      <c r="F34" s="285">
        <f ca="1">+'A-20'!F12+'A-20'!F23</f>
        <v>0</v>
      </c>
      <c r="G34" s="285">
        <f ca="1">+'A-20'!G12+'A-20'!G23</f>
        <v>0</v>
      </c>
      <c r="H34" s="285">
        <f ca="1">+'A-20'!H12+'A-20'!H23</f>
        <v>0</v>
      </c>
      <c r="I34" s="285">
        <f ca="1">+'A-20'!I12+'A-20'!I23</f>
        <v>0</v>
      </c>
      <c r="J34" s="42"/>
      <c r="K34" s="732"/>
      <c r="L34" s="732"/>
    </row>
    <row r="35" spans="1:12" ht="13.5" outlineLevel="2" thickBot="1">
      <c r="A35" s="83" t="s">
        <v>70</v>
      </c>
      <c r="B35" s="285">
        <f ca="1">+'A-20'!B13+'A-20'!B24</f>
        <v>0</v>
      </c>
      <c r="C35" s="285">
        <f ca="1">+'A-20'!C13+'A-20'!C24</f>
        <v>0</v>
      </c>
      <c r="D35" s="285">
        <f ca="1">+'A-20'!D13+'A-20'!D24</f>
        <v>0</v>
      </c>
      <c r="E35" s="285">
        <f ca="1">+'A-20'!E13+'A-20'!E24</f>
        <v>0</v>
      </c>
      <c r="F35" s="285">
        <f ca="1">+'A-20'!F13+'A-20'!F24</f>
        <v>0</v>
      </c>
      <c r="G35" s="285">
        <f ca="1">+'A-20'!G13+'A-20'!G24</f>
        <v>0</v>
      </c>
      <c r="H35" s="285">
        <f ca="1">+'A-20'!H13+'A-20'!H24</f>
        <v>0</v>
      </c>
      <c r="I35" s="285">
        <f ca="1">+'A-20'!I13+'A-20'!I24</f>
        <v>0</v>
      </c>
      <c r="J35" s="93"/>
      <c r="K35" s="21"/>
      <c r="L35" s="21"/>
    </row>
    <row r="36" spans="1:12" s="87" customFormat="1" ht="20.25" customHeight="1" thickBot="1">
      <c r="A36" s="94" t="s">
        <v>128</v>
      </c>
      <c r="B36" s="294">
        <f t="shared" ref="B36:I36" ca="1" si="7">SUM(B30:B35)</f>
        <v>0</v>
      </c>
      <c r="C36" s="294">
        <f t="shared" ca="1" si="7"/>
        <v>0</v>
      </c>
      <c r="D36" s="294">
        <f t="shared" ca="1" si="7"/>
        <v>3.488</v>
      </c>
      <c r="E36" s="294">
        <f t="shared" ca="1" si="7"/>
        <v>3.488</v>
      </c>
      <c r="F36" s="294">
        <f t="shared" ca="1" si="7"/>
        <v>3.488</v>
      </c>
      <c r="G36" s="294">
        <f t="shared" ca="1" si="7"/>
        <v>3.488</v>
      </c>
      <c r="H36" s="294">
        <f t="shared" ca="1" si="7"/>
        <v>3.488</v>
      </c>
      <c r="I36" s="294">
        <f t="shared" ca="1" si="7"/>
        <v>3.488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3.156462588667449E-2</v>
      </c>
      <c r="F42" s="285">
        <f t="shared" ca="1" si="8"/>
        <v>6.0811960492744954E-2</v>
      </c>
      <c r="G42" s="285">
        <f t="shared" ca="1" si="8"/>
        <v>8.9722625981733264E-2</v>
      </c>
      <c r="H42" s="285">
        <f t="shared" ca="1" si="8"/>
        <v>0.12108837606231219</v>
      </c>
      <c r="I42" s="285">
        <f t="shared" ca="1" si="8"/>
        <v>0.14981963787840055</v>
      </c>
      <c r="K42" s="63"/>
      <c r="L42" s="63"/>
    </row>
    <row r="43" spans="1:12" outlineLevel="1">
      <c r="A43" s="61" t="s">
        <v>69</v>
      </c>
      <c r="B43" s="82"/>
      <c r="C43" s="285">
        <f t="shared" ca="1" si="8"/>
        <v>0</v>
      </c>
      <c r="D43" s="285">
        <f t="shared" ca="1" si="8"/>
        <v>0</v>
      </c>
      <c r="E43" s="285">
        <f t="shared" ca="1" si="8"/>
        <v>1.5066140759353874E-3</v>
      </c>
      <c r="F43" s="285">
        <f t="shared" ca="1" si="8"/>
        <v>2.9026213075528688E-3</v>
      </c>
      <c r="G43" s="285">
        <f t="shared" ca="1" si="8"/>
        <v>4.2825589544222267E-3</v>
      </c>
      <c r="H43" s="285">
        <f t="shared" ca="1" si="8"/>
        <v>5.7796804708733895E-3</v>
      </c>
      <c r="I43" s="285">
        <f t="shared" ca="1" si="8"/>
        <v>7.1510549844480261E-3</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3.9362945223382299E-3</v>
      </c>
      <c r="F45" s="285">
        <f t="shared" ca="1" si="10"/>
        <v>7.5836091908599587E-3</v>
      </c>
      <c r="G45" s="285">
        <f t="shared" ca="1" si="10"/>
        <v>1.118893924007497E-2</v>
      </c>
      <c r="H45" s="285">
        <f t="shared" ca="1" si="10"/>
        <v>1.5100432779535402E-2</v>
      </c>
      <c r="I45" s="285">
        <f t="shared" ca="1" si="10"/>
        <v>1.8683390135424065E-2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3.7007534484948104E-2</v>
      </c>
      <c r="F48" s="294">
        <f t="shared" ca="1" si="13"/>
        <v>7.1298190991157778E-2</v>
      </c>
      <c r="G48" s="294">
        <f t="shared" ca="1" si="13"/>
        <v>0.10519412417623046</v>
      </c>
      <c r="H48" s="294">
        <f t="shared" ca="1" si="13"/>
        <v>0.14196848931272099</v>
      </c>
      <c r="I48" s="294">
        <f t="shared" ca="1" si="13"/>
        <v>0.17565408299827262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6.4514761225669348E-2</v>
      </c>
      <c r="F53" s="285">
        <f t="shared" ca="1" si="14"/>
        <v>0.13168252138387743</v>
      </c>
      <c r="G53" s="285">
        <f t="shared" ca="1" si="14"/>
        <v>0.20531156346449098</v>
      </c>
      <c r="H53" s="285">
        <f t="shared" ca="1" si="14"/>
        <v>0.28218341744406134</v>
      </c>
      <c r="I53" s="285">
        <f t="shared" ca="1" si="14"/>
        <v>0.36197454671281609</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1.8746814726116512E-3</v>
      </c>
      <c r="F56" s="285">
        <f t="shared" ca="1" si="16"/>
        <v>3.7953006821382688E-3</v>
      </c>
      <c r="G56" s="285">
        <f t="shared" ca="1" si="16"/>
        <v>7.3056275660851764E-3</v>
      </c>
      <c r="H56" s="285">
        <f t="shared" ca="1" si="16"/>
        <v>1.1511945354137517E-2</v>
      </c>
      <c r="I56" s="285">
        <f t="shared" ca="1" si="16"/>
        <v>1.6635051636184565E-2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6.6389442698280995E-2</v>
      </c>
      <c r="F59" s="287">
        <f t="shared" ca="1" si="19"/>
        <v>0.13547782206601569</v>
      </c>
      <c r="G59" s="287">
        <f t="shared" ca="1" si="19"/>
        <v>0.21261719103057616</v>
      </c>
      <c r="H59" s="287">
        <f t="shared" ca="1" si="19"/>
        <v>0.29369536279819886</v>
      </c>
      <c r="I59" s="287">
        <f t="shared" ca="1" si="19"/>
        <v>0.37860959834900065</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2.9750000000000001</v>
      </c>
      <c r="E64" s="285">
        <f t="shared" ca="1" si="20"/>
        <v>3.0710793871123441</v>
      </c>
      <c r="F64" s="285">
        <f t="shared" ca="1" si="20"/>
        <v>3.1674944818766226</v>
      </c>
      <c r="G64" s="285">
        <f t="shared" ca="1" si="20"/>
        <v>3.2700341894462244</v>
      </c>
      <c r="H64" s="285">
        <f t="shared" ca="1" si="20"/>
        <v>3.3782717935063737</v>
      </c>
      <c r="I64" s="285">
        <f t="shared" ca="1" si="20"/>
        <v>3.4867941845912167</v>
      </c>
      <c r="K64" s="63"/>
      <c r="L64" s="63"/>
    </row>
    <row r="65" spans="1:20" ht="12.75" customHeight="1" outlineLevel="1">
      <c r="A65" s="61" t="s">
        <v>69</v>
      </c>
      <c r="B65" s="285">
        <f t="shared" ca="1" si="20"/>
        <v>0</v>
      </c>
      <c r="C65" s="285">
        <f t="shared" ca="1" si="20"/>
        <v>0</v>
      </c>
      <c r="D65" s="285">
        <f t="shared" ca="1" si="20"/>
        <v>0.14200000000000002</v>
      </c>
      <c r="E65" s="285">
        <f t="shared" ca="1" si="20"/>
        <v>0.1435066140759354</v>
      </c>
      <c r="F65" s="285">
        <f t="shared" ca="1" si="20"/>
        <v>0.14490262130755288</v>
      </c>
      <c r="G65" s="285">
        <f t="shared" ca="1" si="20"/>
        <v>0.14628255895442224</v>
      </c>
      <c r="H65" s="285">
        <f t="shared" ca="1" si="20"/>
        <v>0.14777968047087339</v>
      </c>
      <c r="I65" s="285">
        <f t="shared" ca="1" si="20"/>
        <v>0.14915105498444803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0.371</v>
      </c>
      <c r="E67" s="285">
        <f t="shared" ca="1" si="22"/>
        <v>0.37681097599494989</v>
      </c>
      <c r="F67" s="285">
        <f t="shared" ca="1" si="22"/>
        <v>0.38237890987299827</v>
      </c>
      <c r="G67" s="285">
        <f t="shared" ca="1" si="22"/>
        <v>0.38949456680616013</v>
      </c>
      <c r="H67" s="285">
        <f t="shared" ca="1" si="22"/>
        <v>0.39761237813367289</v>
      </c>
      <c r="I67" s="285">
        <f t="shared" ca="1" si="22"/>
        <v>0.40631844177160864</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3.488</v>
      </c>
      <c r="E70" s="295">
        <f t="shared" ca="1" si="25"/>
        <v>3.5913969771832295</v>
      </c>
      <c r="F70" s="295">
        <f t="shared" ca="1" si="25"/>
        <v>3.6947760130571741</v>
      </c>
      <c r="G70" s="295">
        <f t="shared" ca="1" si="25"/>
        <v>3.8058113152068067</v>
      </c>
      <c r="H70" s="295">
        <f t="shared" ca="1" si="25"/>
        <v>3.9236638521109199</v>
      </c>
      <c r="I70" s="295">
        <f t="shared" ca="1" si="25"/>
        <v>4.042263681347273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3.156462588667449E-2</v>
      </c>
      <c r="Q77" s="285">
        <f ca="1">IF($B77&lt;&gt;0,(+VLOOKUP($B77,$A$8:$I$13,6,FALSE))*(F77),0)</f>
        <v>6.0811960492744954E-2</v>
      </c>
      <c r="R77" s="285">
        <f ca="1">IF($B77&lt;&gt;0,(+VLOOKUP($B77,$A$8:$I$13,7,FALSE))*(G77),0)</f>
        <v>8.9722625981733264E-2</v>
      </c>
      <c r="S77" s="285">
        <f ca="1">IF($B77&lt;&gt;0,(+VLOOKUP($B77,$A$8:$I$13,8,FALSE))*(H77),0)</f>
        <v>0.12108837606231219</v>
      </c>
      <c r="T77" s="285">
        <f ca="1">IF($B77&lt;&gt;0,(+VLOOKUP($B77,$A$8:$I$13,9,FALSE))*(I77),0)</f>
        <v>0.14981963787840055</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1.5066140759353874E-3</v>
      </c>
      <c r="Q78" s="285">
        <f ca="1">IF($B78&lt;&gt;0,(+VLOOKUP($B78,$A$8:$I$13,6,FALSE))*(F78),0)</f>
        <v>2.9026213075528688E-3</v>
      </c>
      <c r="R78" s="285">
        <f ca="1">IF($B78&lt;&gt;0,(+VLOOKUP($B78,$A$8:$I$13,7,FALSE))*(G78),0)</f>
        <v>4.2825589544222267E-3</v>
      </c>
      <c r="S78" s="285">
        <f ca="1">IF($B78&lt;&gt;0,(+VLOOKUP($B78,$A$8:$I$13,8,FALSE))*(H78),0)</f>
        <v>5.7796804708733895E-3</v>
      </c>
      <c r="T78" s="285">
        <f ca="1">IF($B78&lt;&gt;0,(+VLOOKUP($B78,$A$8:$I$13,9,FALSE))*(I78),0)</f>
        <v>7.1510549844480261E-3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3.9362945223382299E-3</v>
      </c>
      <c r="Q80" s="285">
        <f t="shared" ca="1" si="34"/>
        <v>7.5836091908599587E-3</v>
      </c>
      <c r="R80" s="285">
        <f t="shared" ca="1" si="35"/>
        <v>1.118893924007497E-2</v>
      </c>
      <c r="S80" s="285">
        <f t="shared" ca="1" si="36"/>
        <v>1.5100432779535402E-2</v>
      </c>
      <c r="T80" s="285">
        <f t="shared" ca="1" si="37"/>
        <v>1.8683390135424065E-2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3.7007534484948104E-2</v>
      </c>
      <c r="Q83" s="292">
        <f t="shared" ca="1" si="51"/>
        <v>7.1298190991157778E-2</v>
      </c>
      <c r="R83" s="292">
        <f t="shared" ca="1" si="51"/>
        <v>0.10519412417623046</v>
      </c>
      <c r="S83" s="292">
        <f t="shared" ca="1" si="51"/>
        <v>0.14196848931272099</v>
      </c>
      <c r="T83" s="292">
        <f t="shared" ca="1" si="51"/>
        <v>0.17565408299827262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3.156462588667449E-2</v>
      </c>
      <c r="F98" s="285">
        <f t="shared" ca="1" si="54"/>
        <v>6.0811960492744954E-2</v>
      </c>
      <c r="G98" s="285">
        <f t="shared" ca="1" si="54"/>
        <v>8.9722625981733264E-2</v>
      </c>
      <c r="H98" s="285">
        <f t="shared" ca="1" si="54"/>
        <v>0.12108837606231219</v>
      </c>
      <c r="I98" s="285">
        <f t="shared" ca="1" si="54"/>
        <v>0.14981963787840055</v>
      </c>
    </row>
    <row r="99" spans="1:20" outlineLevel="1">
      <c r="A99" s="61" t="s">
        <v>69</v>
      </c>
      <c r="B99" s="119"/>
      <c r="C99" s="285">
        <f t="shared" ref="C99:I99" ca="1" si="55">+C9*(C87)</f>
        <v>0</v>
      </c>
      <c r="D99" s="285">
        <f t="shared" ca="1" si="55"/>
        <v>0</v>
      </c>
      <c r="E99" s="285">
        <f t="shared" ca="1" si="55"/>
        <v>1.5066140759353874E-3</v>
      </c>
      <c r="F99" s="285">
        <f t="shared" ca="1" si="55"/>
        <v>2.9026213075528688E-3</v>
      </c>
      <c r="G99" s="285">
        <f t="shared" ca="1" si="55"/>
        <v>4.2825589544222267E-3</v>
      </c>
      <c r="H99" s="285">
        <f t="shared" ca="1" si="55"/>
        <v>5.7796804708733895E-3</v>
      </c>
      <c r="I99" s="285">
        <f t="shared" ca="1" si="55"/>
        <v>7.1510549844480261E-3</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3.9362945223382299E-3</v>
      </c>
      <c r="F101" s="285">
        <f t="shared" ca="1" si="57"/>
        <v>7.5836091908599587E-3</v>
      </c>
      <c r="G101" s="285">
        <f t="shared" ca="1" si="57"/>
        <v>1.118893924007497E-2</v>
      </c>
      <c r="H101" s="285">
        <f t="shared" ca="1" si="57"/>
        <v>1.5100432779535402E-2</v>
      </c>
      <c r="I101" s="285">
        <f t="shared" ca="1" si="57"/>
        <v>1.8683390135424065E-2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3.7007534484948104E-2</v>
      </c>
      <c r="F104" s="296">
        <f t="shared" ca="1" si="60"/>
        <v>7.1298190991157778E-2</v>
      </c>
      <c r="G104" s="296">
        <f t="shared" ca="1" si="60"/>
        <v>0.10519412417623046</v>
      </c>
      <c r="H104" s="296">
        <f t="shared" ca="1" si="60"/>
        <v>0.14196848931272099</v>
      </c>
      <c r="I104" s="296">
        <f t="shared" ca="1" si="60"/>
        <v>0.17565408299827262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3.0158865876212863E-2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6.4514761225669348E-2</v>
      </c>
      <c r="Q113" s="285">
        <f ca="1">IF($B113&lt;&gt;0,(+VLOOKUP($B113,$A$8:$I$13,6,FALSE)+VLOOKUP($B113,$A$42:$I$47,6,FALSE))*(F113),0)</f>
        <v>0.13168252138387743</v>
      </c>
      <c r="R113" s="285">
        <f ca="1">IF($B113&lt;&gt;0,(+VLOOKUP($B113,$A$8:$I$13,7,FALSE)+VLOOKUP($B113,$A$42:$I$47,7,FALSE))*(G113),0)</f>
        <v>0.20531156346449098</v>
      </c>
      <c r="S113" s="285">
        <f ca="1">IF($B113&lt;&gt;0,(+VLOOKUP($B113,$A$8:$I$13,8,FALSE)+VLOOKUP($B113,$A$42:$I$47,8,FALSE))*(H113),0)</f>
        <v>0.28218341744406134</v>
      </c>
      <c r="T113" s="285">
        <f ca="1">IF($B113&lt;&gt;0,(+VLOOKUP($B113,$A$8:$I$13,9,FALSE)+VLOOKUP($B113,$A$42:$I$47,9,FALSE))*(I113),0)</f>
        <v>0.36197454671281609</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1.8746814726116512E-3</v>
      </c>
      <c r="Q116" s="285">
        <f t="shared" ca="1" si="68"/>
        <v>3.7953006821382688E-3</v>
      </c>
      <c r="R116" s="285">
        <f t="shared" ca="1" si="69"/>
        <v>7.3056275660851764E-3</v>
      </c>
      <c r="S116" s="285">
        <f t="shared" ca="1" si="70"/>
        <v>1.1511945354137517E-2</v>
      </c>
      <c r="T116" s="285">
        <f t="shared" ca="1" si="71"/>
        <v>1.6635051636184565E-2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6.6389442698280995E-2</v>
      </c>
      <c r="Q119" s="292">
        <f t="shared" ca="1" si="72"/>
        <v>0.13547782206601569</v>
      </c>
      <c r="R119" s="292">
        <f t="shared" ca="1" si="72"/>
        <v>0.21261719103057616</v>
      </c>
      <c r="S119" s="292">
        <f t="shared" ca="1" si="72"/>
        <v>0.29369536279819886</v>
      </c>
      <c r="T119" s="292">
        <f t="shared" ca="1" si="72"/>
        <v>0.37860959834900065</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6.4514761225669348E-2</v>
      </c>
      <c r="F134" s="285">
        <f t="shared" ca="1" si="75"/>
        <v>0.13168252138387743</v>
      </c>
      <c r="G134" s="285">
        <f t="shared" ca="1" si="75"/>
        <v>0.20531156346449098</v>
      </c>
      <c r="H134" s="285">
        <f t="shared" ca="1" si="75"/>
        <v>0.28218341744406134</v>
      </c>
      <c r="I134" s="285">
        <f t="shared" ca="1" si="75"/>
        <v>0.36197454671281609</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1.8746814726116512E-3</v>
      </c>
      <c r="F137" s="285">
        <f t="shared" ca="1" si="78"/>
        <v>3.7953006821382688E-3</v>
      </c>
      <c r="G137" s="285">
        <f t="shared" ca="1" si="78"/>
        <v>7.3056275660851764E-3</v>
      </c>
      <c r="H137" s="285">
        <f t="shared" ca="1" si="78"/>
        <v>1.1511945354137517E-2</v>
      </c>
      <c r="I137" s="285">
        <f t="shared" ca="1" si="78"/>
        <v>1.6635051636184565E-2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6.6389442698280995E-2</v>
      </c>
      <c r="F140" s="296">
        <f t="shared" ca="1" si="81"/>
        <v>0.13547782206601569</v>
      </c>
      <c r="G140" s="296">
        <f t="shared" ca="1" si="81"/>
        <v>0.21261719103057616</v>
      </c>
      <c r="H140" s="296">
        <f t="shared" ca="1" si="81"/>
        <v>0.29369536279819886</v>
      </c>
      <c r="I140" s="296">
        <f t="shared" ca="1" si="81"/>
        <v>0.37860959834900065</v>
      </c>
    </row>
    <row r="141" spans="1:16" ht="13.5" outlineLevel="1" thickBot="1">
      <c r="A141" s="122" t="s">
        <v>148</v>
      </c>
      <c r="B141" s="126"/>
      <c r="C141" s="124">
        <f t="shared" ref="C141:I141" ca="1" si="82">IF((+C36+C48)&lt;&gt;0,+C140/(+C36+C48),0)</f>
        <v>0</v>
      </c>
      <c r="D141" s="124">
        <f t="shared" ca="1" si="82"/>
        <v>0</v>
      </c>
      <c r="E141" s="124">
        <f t="shared" ca="1" si="82"/>
        <v>1.8833844197153296E-2</v>
      </c>
      <c r="F141" s="124">
        <f t="shared" ca="1" si="82"/>
        <v>3.8063071649607753E-2</v>
      </c>
      <c r="G141" s="124">
        <f t="shared" ca="1" si="82"/>
        <v>5.9172197126789082E-2</v>
      </c>
      <c r="H141" s="124">
        <f t="shared" ca="1" si="82"/>
        <v>8.0908515779927775E-2</v>
      </c>
      <c r="I141" s="124">
        <f t="shared" ca="1" si="82"/>
        <v>0.10334207044982614</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488"/>
      <c r="E185" s="285">
        <f t="array" ref="E185:I190">'[2]TOTAL (SEM)'!$N$178:$R$183</f>
        <v>0</v>
      </c>
      <c r="F185" s="285">
        <v>0</v>
      </c>
      <c r="G185" s="285">
        <v>0</v>
      </c>
      <c r="H185" s="285">
        <v>0</v>
      </c>
      <c r="I185" s="285">
        <v>0</v>
      </c>
      <c r="J185" s="63"/>
      <c r="K185" s="63"/>
      <c r="L185" s="63"/>
    </row>
    <row r="186" spans="1:12" outlineLevel="1">
      <c r="A186" s="61" t="s">
        <v>69</v>
      </c>
      <c r="B186" s="65"/>
      <c r="C186" s="65"/>
      <c r="D186" s="488"/>
      <c r="E186" s="285">
        <v>0</v>
      </c>
      <c r="F186" s="285">
        <v>0</v>
      </c>
      <c r="G186" s="285">
        <v>0</v>
      </c>
      <c r="H186" s="285">
        <v>0</v>
      </c>
      <c r="I186" s="285">
        <v>0</v>
      </c>
      <c r="J186" s="42"/>
      <c r="K186" s="21"/>
      <c r="L186" s="21"/>
    </row>
    <row r="187" spans="1:12" s="759" customFormat="1" outlineLevel="1">
      <c r="A187" s="61" t="s">
        <v>646</v>
      </c>
      <c r="B187" s="65"/>
      <c r="C187" s="65"/>
      <c r="D187" s="488"/>
      <c r="E187" s="285">
        <v>0</v>
      </c>
      <c r="F187" s="285">
        <v>0</v>
      </c>
      <c r="G187" s="285">
        <v>0</v>
      </c>
      <c r="H187" s="285">
        <v>0</v>
      </c>
      <c r="I187" s="285">
        <v>0</v>
      </c>
      <c r="J187" s="42"/>
      <c r="K187" s="732"/>
      <c r="L187" s="732"/>
    </row>
    <row r="188" spans="1:12" outlineLevel="1">
      <c r="A188" s="61" t="s">
        <v>647</v>
      </c>
      <c r="B188" s="65"/>
      <c r="C188" s="65"/>
      <c r="D188" s="488"/>
      <c r="E188" s="285">
        <v>0</v>
      </c>
      <c r="F188" s="285">
        <v>0</v>
      </c>
      <c r="G188" s="285">
        <v>0</v>
      </c>
      <c r="H188" s="285">
        <v>0</v>
      </c>
      <c r="I188" s="285">
        <v>0</v>
      </c>
      <c r="J188" s="42"/>
      <c r="K188" s="21"/>
      <c r="L188" s="21"/>
    </row>
    <row r="189" spans="1:12" s="759" customFormat="1" outlineLevel="1">
      <c r="A189" s="61" t="s">
        <v>575</v>
      </c>
      <c r="B189" s="65"/>
      <c r="C189" s="65"/>
      <c r="D189" s="488"/>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3.488</v>
      </c>
      <c r="E205" s="82">
        <f t="shared" ca="1" si="93"/>
        <v>3.488</v>
      </c>
      <c r="F205" s="82">
        <f t="shared" ca="1" si="93"/>
        <v>3.488</v>
      </c>
      <c r="G205" s="82">
        <f t="shared" ca="1" si="93"/>
        <v>3.488</v>
      </c>
      <c r="H205" s="82">
        <f t="shared" ca="1" si="93"/>
        <v>3.488</v>
      </c>
      <c r="I205" s="82">
        <f t="shared" ca="1" si="93"/>
        <v>3.488</v>
      </c>
    </row>
    <row r="206" spans="1:9" outlineLevel="1">
      <c r="A206" t="s">
        <v>156</v>
      </c>
      <c r="B206" s="82">
        <f t="shared" ref="B206:I206" ca="1" si="94">+B36</f>
        <v>0</v>
      </c>
      <c r="C206" s="82">
        <f t="shared" ca="1" si="94"/>
        <v>0</v>
      </c>
      <c r="D206" s="82">
        <f t="shared" ca="1" si="94"/>
        <v>3.488</v>
      </c>
      <c r="E206" s="82">
        <f t="shared" ca="1" si="94"/>
        <v>3.488</v>
      </c>
      <c r="F206" s="82">
        <f t="shared" ca="1" si="94"/>
        <v>3.488</v>
      </c>
      <c r="G206" s="82">
        <f t="shared" ca="1" si="94"/>
        <v>3.488</v>
      </c>
      <c r="H206" s="82">
        <f t="shared" ca="1" si="94"/>
        <v>3.488</v>
      </c>
      <c r="I206" s="82">
        <f t="shared" ca="1" si="94"/>
        <v>3.488</v>
      </c>
    </row>
    <row r="207" spans="1:9" outlineLevel="1">
      <c r="A207" t="s">
        <v>157</v>
      </c>
      <c r="B207" s="82">
        <f t="shared" ref="B207:I207" ca="1" si="95">+B36+B48</f>
        <v>0</v>
      </c>
      <c r="C207" s="82">
        <f t="shared" ca="1" si="95"/>
        <v>0</v>
      </c>
      <c r="D207" s="82">
        <f t="shared" ca="1" si="95"/>
        <v>3.488</v>
      </c>
      <c r="E207" s="82">
        <f t="shared" ca="1" si="95"/>
        <v>3.5250075344849483</v>
      </c>
      <c r="F207" s="82">
        <f t="shared" ca="1" si="95"/>
        <v>3.5592981909911576</v>
      </c>
      <c r="G207" s="82">
        <f t="shared" ca="1" si="95"/>
        <v>3.5931941241762306</v>
      </c>
      <c r="H207" s="82">
        <f t="shared" ca="1" si="95"/>
        <v>3.6299684893127209</v>
      </c>
      <c r="I207" s="82">
        <f t="shared" ca="1" si="95"/>
        <v>3.6636540829982724</v>
      </c>
    </row>
    <row r="208" spans="1:9" outlineLevel="1">
      <c r="A208" t="s">
        <v>158</v>
      </c>
      <c r="B208" s="82">
        <f t="shared" ref="B208:I208" ca="1" si="96">+B70</f>
        <v>0</v>
      </c>
      <c r="C208" s="82">
        <f t="shared" ca="1" si="96"/>
        <v>0</v>
      </c>
      <c r="D208" s="82">
        <f t="shared" ca="1" si="96"/>
        <v>3.488</v>
      </c>
      <c r="E208" s="82">
        <f t="shared" ca="1" si="96"/>
        <v>3.5913969771832295</v>
      </c>
      <c r="F208" s="82">
        <f t="shared" ca="1" si="96"/>
        <v>3.6947760130571741</v>
      </c>
      <c r="G208" s="82">
        <f t="shared" ca="1" si="96"/>
        <v>3.8058113152068067</v>
      </c>
      <c r="H208" s="82">
        <f t="shared" ca="1" si="96"/>
        <v>3.9236638521109199</v>
      </c>
      <c r="I208" s="82">
        <f t="shared" ca="1" si="96"/>
        <v>4.042263681347273</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85" priority="1" stopIfTrue="1" operator="notEqual">
      <formula>0</formula>
    </cfRule>
  </conditionalFormatting>
  <conditionalFormatting sqref="J130 J94 J70 J59 J48 J36:J37 J14 J25">
    <cfRule type="cellIs" dxfId="284" priority="2" stopIfTrue="1" operator="equal">
      <formula>"OK"</formula>
    </cfRule>
    <cfRule type="cellIs" dxfId="283" priority="3" stopIfTrue="1" operator="equal">
      <formula>"Warning Check Escalations"</formula>
    </cfRule>
  </conditionalFormatting>
  <conditionalFormatting sqref="N120:T120 N84:T84">
    <cfRule type="cellIs" dxfId="282" priority="4" stopIfTrue="1" operator="notEqual">
      <formula>0</formula>
    </cfRule>
    <cfRule type="cellIs" dxfId="28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4.xml><?xml version="1.0" encoding="utf-8"?>
<worksheet xmlns="http://schemas.openxmlformats.org/spreadsheetml/2006/main" xmlns:r="http://schemas.openxmlformats.org/officeDocument/2006/relationships">
  <sheetPr codeName="Sheet69" enableFormatConditionsCalculation="0">
    <tabColor indexed="57"/>
    <pageSetUpPr fitToPage="1"/>
  </sheetPr>
  <dimension ref="A1:T239"/>
  <sheetViews>
    <sheetView showGridLines="0" topLeftCell="A70"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21</v>
      </c>
      <c r="M1" s="282"/>
      <c r="N1" s="280"/>
      <c r="O1" s="280"/>
      <c r="P1" s="280"/>
      <c r="Q1" s="280"/>
      <c r="R1" s="280"/>
      <c r="S1" s="280"/>
      <c r="T1" s="280"/>
    </row>
    <row r="2" spans="1:20" ht="15.75">
      <c r="A2" s="184" t="s">
        <v>121</v>
      </c>
      <c r="B2" s="74" t="str">
        <f ca="1">OFFSET(List_AllocOpexListStart,+$K$1,1)</f>
        <v>Apprentice Training</v>
      </c>
      <c r="F2" s="284"/>
      <c r="H2" s="42"/>
      <c r="I2" s="283"/>
      <c r="L2" s="282"/>
      <c r="M2" s="282"/>
    </row>
    <row r="3" spans="1:20" ht="16.5" thickBot="1">
      <c r="A3" s="184" t="s">
        <v>371</v>
      </c>
      <c r="B3" s="236" t="str">
        <f ca="1">OFFSET(List_AllocOpexListStart,+$K$1,2)</f>
        <v>David Syme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1.4E-2</v>
      </c>
      <c r="E8" s="285">
        <f ca="1">OFFSET(Future_AOpexStart,MATCH($K$1,'I-6 Future A'!$A$6:$A$379)+2,+'I-5 Future DA'!F$5)</f>
        <v>1.4E-2</v>
      </c>
      <c r="F8" s="285">
        <f ca="1">OFFSET(Future_AOpexStart,MATCH($K$1,'I-6 Future A'!$A$6:$A$379)+2,+'I-5 Future DA'!G$5)</f>
        <v>1.4E-2</v>
      </c>
      <c r="G8" s="285">
        <f ca="1">OFFSET(Future_AOpexStart,MATCH($K$1,'I-6 Future A'!$A$6:$A$379)+2,+'I-5 Future DA'!H$5)</f>
        <v>1.4E-2</v>
      </c>
      <c r="H8" s="285">
        <f ca="1">OFFSET(Future_AOpexStart,MATCH($K$1,'I-6 Future A'!$A$6:$A$379)+2,+'I-5 Future DA'!I$5)</f>
        <v>1.4E-2</v>
      </c>
      <c r="I8" s="285">
        <f ca="1">OFFSET(Future_AOpexStart,MATCH($K$1,'I-6 Future A'!$A$6:$A$379)+2,+'I-5 Future DA'!J$5)</f>
        <v>1.4E-2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1E-3</v>
      </c>
      <c r="E9" s="285">
        <f ca="1">OFFSET(Future_AOpexStart,MATCH($K$1,'I-6 Future A'!$A$6:$A$379)+3,+'I-5 Future DA'!F$5)</f>
        <v>1E-3</v>
      </c>
      <c r="F9" s="285">
        <f ca="1">OFFSET(Future_AOpexStart,MATCH($K$1,'I-6 Future A'!$A$6:$A$379)+3,+'I-5 Future DA'!G$5)</f>
        <v>1E-3</v>
      </c>
      <c r="G9" s="285">
        <f ca="1">OFFSET(Future_AOpexStart,MATCH($K$1,'I-6 Future A'!$A$6:$A$379)+3,+'I-5 Future DA'!H$5)</f>
        <v>1E-3</v>
      </c>
      <c r="H9" s="285">
        <f ca="1">OFFSET(Future_AOpexStart,MATCH($K$1,'I-6 Future A'!$A$6:$A$379)+3,+'I-5 Future DA'!I$5)</f>
        <v>1E-3</v>
      </c>
      <c r="I9" s="285">
        <f ca="1">OFFSET(Future_AOpexStart,MATCH($K$1,'I-6 Future A'!$A$6:$A$379)+3,+'I-5 Future DA'!J$5)</f>
        <v>1E-3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2E-3</v>
      </c>
      <c r="E10" s="285">
        <f ca="1">OFFSET(Future_AOpexStart,MATCH($K$1,'I-6 Future A'!$A$6:$A$379)+4,+'I-5 Future DA'!F$5)</f>
        <v>2E-3</v>
      </c>
      <c r="F10" s="285">
        <f ca="1">OFFSET(Future_AOpexStart,MATCH($K$1,'I-6 Future A'!$A$6:$A$379)+4,+'I-5 Future DA'!G$5)</f>
        <v>2E-3</v>
      </c>
      <c r="G10" s="285">
        <f ca="1">OFFSET(Future_AOpexStart,MATCH($K$1,'I-6 Future A'!$A$6:$A$379)+4,+'I-5 Future DA'!H$5)</f>
        <v>2E-3</v>
      </c>
      <c r="H10" s="285">
        <f ca="1">OFFSET(Future_AOpexStart,MATCH($K$1,'I-6 Future A'!$A$6:$A$379)+4,+'I-5 Future DA'!I$5)</f>
        <v>2E-3</v>
      </c>
      <c r="I10" s="285">
        <f ca="1">OFFSET(Future_AOpexStart,MATCH($K$1,'I-6 Future A'!$A$6:$A$379)+4,+'I-5 Future DA'!J$5)</f>
        <v>2E-3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1.7000000000000001E-2</v>
      </c>
      <c r="E14" s="287">
        <f t="shared" ca="1" si="0"/>
        <v>1.7000000000000001E-2</v>
      </c>
      <c r="F14" s="287">
        <f t="shared" ca="1" si="0"/>
        <v>1.7000000000000001E-2</v>
      </c>
      <c r="G14" s="287">
        <f t="shared" ca="1" si="0"/>
        <v>1.7000000000000001E-2</v>
      </c>
      <c r="H14" s="287">
        <f t="shared" ca="1" si="0"/>
        <v>1.7000000000000001E-2</v>
      </c>
      <c r="I14" s="287">
        <f t="shared" ca="1" si="0"/>
        <v>1.7000000000000001E-2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+'A-21'!B8+'A-21'!B19</f>
        <v>0</v>
      </c>
      <c r="C30" s="285">
        <f ca="1">+'A-21'!C8+'A-21'!C19</f>
        <v>0</v>
      </c>
      <c r="D30" s="285">
        <f ca="1">+'A-21'!D8+'A-21'!D19</f>
        <v>1.4E-2</v>
      </c>
      <c r="E30" s="285">
        <f ca="1">+'A-21'!E8+'A-21'!E19</f>
        <v>1.4E-2</v>
      </c>
      <c r="F30" s="285">
        <f ca="1">+'A-21'!F8+'A-21'!F19</f>
        <v>1.4E-2</v>
      </c>
      <c r="G30" s="285">
        <f ca="1">+'A-21'!G8+'A-21'!G19</f>
        <v>1.4E-2</v>
      </c>
      <c r="H30" s="285">
        <f ca="1">+'A-21'!H8+'A-21'!H19</f>
        <v>1.4E-2</v>
      </c>
      <c r="I30" s="285">
        <f ca="1">+'A-21'!I8+'A-21'!I19</f>
        <v>1.4E-2</v>
      </c>
      <c r="J30" s="42"/>
      <c r="K30" s="21"/>
      <c r="L30" s="21"/>
    </row>
    <row r="31" spans="1:12" outlineLevel="2">
      <c r="A31" s="61" t="s">
        <v>69</v>
      </c>
      <c r="B31" s="285">
        <f ca="1">+'A-21'!B9+'A-21'!B20</f>
        <v>0</v>
      </c>
      <c r="C31" s="285">
        <f ca="1">+'A-21'!C9+'A-21'!C20</f>
        <v>0</v>
      </c>
      <c r="D31" s="285">
        <f ca="1">+'A-21'!D9+'A-21'!D20</f>
        <v>1E-3</v>
      </c>
      <c r="E31" s="285">
        <f ca="1">+'A-21'!E9+'A-21'!E20</f>
        <v>1E-3</v>
      </c>
      <c r="F31" s="285">
        <f ca="1">+'A-21'!F9+'A-21'!F20</f>
        <v>1E-3</v>
      </c>
      <c r="G31" s="285">
        <f ca="1">+'A-21'!G9+'A-21'!G20</f>
        <v>1E-3</v>
      </c>
      <c r="H31" s="285">
        <f ca="1">+'A-21'!H9+'A-21'!H20</f>
        <v>1E-3</v>
      </c>
      <c r="I31" s="285">
        <f ca="1">+'A-21'!I9+'A-21'!I20</f>
        <v>1E-3</v>
      </c>
      <c r="J31" s="42"/>
      <c r="K31" s="21"/>
      <c r="L31" s="21"/>
    </row>
    <row r="32" spans="1:12" s="759" customFormat="1" outlineLevel="2">
      <c r="A32" s="61" t="s">
        <v>646</v>
      </c>
      <c r="B32" s="285">
        <f ca="1">+'A-21'!B10+'A-21'!B21</f>
        <v>0</v>
      </c>
      <c r="C32" s="285">
        <f ca="1">+'A-21'!C10+'A-21'!C21</f>
        <v>0</v>
      </c>
      <c r="D32" s="285">
        <f ca="1">+'A-21'!D10+'A-21'!D21</f>
        <v>2E-3</v>
      </c>
      <c r="E32" s="285">
        <f ca="1">+'A-21'!E10+'A-21'!E21</f>
        <v>2E-3</v>
      </c>
      <c r="F32" s="285">
        <f ca="1">+'A-21'!F10+'A-21'!F21</f>
        <v>2E-3</v>
      </c>
      <c r="G32" s="285">
        <f ca="1">+'A-21'!G10+'A-21'!G21</f>
        <v>2E-3</v>
      </c>
      <c r="H32" s="285">
        <f ca="1">+'A-21'!H10+'A-21'!H21</f>
        <v>2E-3</v>
      </c>
      <c r="I32" s="285">
        <f ca="1">+'A-21'!I10+'A-21'!I21</f>
        <v>2E-3</v>
      </c>
      <c r="J32" s="42"/>
      <c r="K32" s="732"/>
      <c r="L32" s="732"/>
    </row>
    <row r="33" spans="1:12" outlineLevel="2">
      <c r="A33" s="61" t="s">
        <v>647</v>
      </c>
      <c r="B33" s="285">
        <f ca="1">+'A-21'!B11+'A-21'!B22</f>
        <v>0</v>
      </c>
      <c r="C33" s="285">
        <f ca="1">+'A-21'!C11+'A-21'!C22</f>
        <v>0</v>
      </c>
      <c r="D33" s="285">
        <f ca="1">+'A-21'!D11+'A-21'!D22</f>
        <v>0</v>
      </c>
      <c r="E33" s="285">
        <f ca="1">+'A-21'!E11+'A-21'!E22</f>
        <v>0</v>
      </c>
      <c r="F33" s="285">
        <f ca="1">+'A-21'!F11+'A-21'!F22</f>
        <v>0</v>
      </c>
      <c r="G33" s="285">
        <f ca="1">+'A-21'!G11+'A-21'!G22</f>
        <v>0</v>
      </c>
      <c r="H33" s="285">
        <f ca="1">+'A-21'!H11+'A-21'!H22</f>
        <v>0</v>
      </c>
      <c r="I33" s="285">
        <f ca="1">+'A-21'!I11+'A-21'!I22</f>
        <v>0</v>
      </c>
      <c r="J33" s="42"/>
      <c r="K33" s="21"/>
      <c r="L33" s="21"/>
    </row>
    <row r="34" spans="1:12" s="759" customFormat="1" outlineLevel="2">
      <c r="A34" s="61" t="s">
        <v>575</v>
      </c>
      <c r="B34" s="285">
        <f ca="1">+'A-21'!B12+'A-21'!B23</f>
        <v>0</v>
      </c>
      <c r="C34" s="285">
        <f ca="1">+'A-21'!C12+'A-21'!C23</f>
        <v>0</v>
      </c>
      <c r="D34" s="285">
        <f ca="1">+'A-21'!D12+'A-21'!D23</f>
        <v>0</v>
      </c>
      <c r="E34" s="285">
        <f ca="1">+'A-21'!E12+'A-21'!E23</f>
        <v>0</v>
      </c>
      <c r="F34" s="285">
        <f ca="1">+'A-21'!F12+'A-21'!F23</f>
        <v>0</v>
      </c>
      <c r="G34" s="285">
        <f ca="1">+'A-21'!G12+'A-21'!G23</f>
        <v>0</v>
      </c>
      <c r="H34" s="285">
        <f ca="1">+'A-21'!H12+'A-21'!H23</f>
        <v>0</v>
      </c>
      <c r="I34" s="285">
        <f ca="1">+'A-21'!I12+'A-21'!I23</f>
        <v>0</v>
      </c>
      <c r="J34" s="42"/>
      <c r="K34" s="732"/>
      <c r="L34" s="732"/>
    </row>
    <row r="35" spans="1:12" ht="13.5" outlineLevel="2" thickBot="1">
      <c r="A35" s="83" t="s">
        <v>70</v>
      </c>
      <c r="B35" s="285">
        <f ca="1">+'A-21'!B13+'A-21'!B24</f>
        <v>0</v>
      </c>
      <c r="C35" s="285">
        <f ca="1">+'A-21'!C13+'A-21'!C24</f>
        <v>0</v>
      </c>
      <c r="D35" s="285">
        <f ca="1">+'A-21'!D13+'A-21'!D24</f>
        <v>0</v>
      </c>
      <c r="E35" s="285">
        <f ca="1">+'A-21'!E13+'A-21'!E24</f>
        <v>0</v>
      </c>
      <c r="F35" s="285">
        <f ca="1">+'A-21'!F13+'A-21'!F24</f>
        <v>0</v>
      </c>
      <c r="G35" s="285">
        <f ca="1">+'A-21'!G13+'A-21'!G24</f>
        <v>0</v>
      </c>
      <c r="H35" s="285">
        <f ca="1">+'A-21'!H13+'A-21'!H24</f>
        <v>0</v>
      </c>
      <c r="I35" s="285">
        <f ca="1">+'A-21'!I13+'A-21'!I24</f>
        <v>0</v>
      </c>
      <c r="J35" s="93"/>
      <c r="K35" s="21"/>
      <c r="L35" s="21"/>
    </row>
    <row r="36" spans="1:12" s="87" customFormat="1" ht="20.25" customHeight="1" thickBot="1">
      <c r="A36" s="94" t="s">
        <v>128</v>
      </c>
      <c r="B36" s="294">
        <f t="shared" ref="B36:I36" ca="1" si="7">SUM(B30:B35)</f>
        <v>0</v>
      </c>
      <c r="C36" s="294">
        <f t="shared" ca="1" si="7"/>
        <v>0</v>
      </c>
      <c r="D36" s="294">
        <f t="shared" ca="1" si="7"/>
        <v>1.7000000000000001E-2</v>
      </c>
      <c r="E36" s="294">
        <f t="shared" ca="1" si="7"/>
        <v>1.7000000000000001E-2</v>
      </c>
      <c r="F36" s="294">
        <f t="shared" ca="1" si="7"/>
        <v>1.7000000000000001E-2</v>
      </c>
      <c r="G36" s="294">
        <f t="shared" ca="1" si="7"/>
        <v>1.7000000000000001E-2</v>
      </c>
      <c r="H36" s="294">
        <f t="shared" ca="1" si="7"/>
        <v>1.7000000000000001E-2</v>
      </c>
      <c r="I36" s="294">
        <f t="shared" ca="1" si="7"/>
        <v>1.7000000000000001E-2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ca="1">+E98</f>
        <v>1.4853941593729171E-4</v>
      </c>
      <c r="F42" s="285">
        <f t="shared" ca="1" si="8"/>
        <v>2.8617393173056447E-4</v>
      </c>
      <c r="G42" s="285">
        <f t="shared" ca="1" si="8"/>
        <v>4.2222412226698003E-4</v>
      </c>
      <c r="H42" s="285">
        <f t="shared" ca="1" si="8"/>
        <v>5.6982765205793972E-4</v>
      </c>
      <c r="I42" s="285">
        <f t="shared" ca="1" si="8"/>
        <v>7.0503359001600251E-4</v>
      </c>
      <c r="K42" s="63"/>
      <c r="L42" s="63"/>
    </row>
    <row r="43" spans="1:12" outlineLevel="1">
      <c r="A43" s="61" t="s">
        <v>69</v>
      </c>
      <c r="B43" s="82"/>
      <c r="C43" s="285">
        <f t="shared" ca="1" si="8"/>
        <v>0</v>
      </c>
      <c r="D43" s="285">
        <f t="shared" ca="1" si="8"/>
        <v>0</v>
      </c>
      <c r="E43" s="285">
        <f t="shared" ca="1" si="8"/>
        <v>1.0609958281235122E-5</v>
      </c>
      <c r="F43" s="285">
        <f t="shared" ca="1" si="8"/>
        <v>2.0440995123611749E-5</v>
      </c>
      <c r="G43" s="285">
        <f t="shared" ca="1" si="8"/>
        <v>3.0158865876212861E-5</v>
      </c>
      <c r="H43" s="285">
        <f t="shared" ca="1" si="8"/>
        <v>4.0701975146995693E-5</v>
      </c>
      <c r="I43" s="285">
        <f t="shared" ca="1" si="8"/>
        <v>5.0359542144000181E-5</v>
      </c>
      <c r="K43" s="42"/>
      <c r="L43" s="21"/>
    </row>
    <row r="44" spans="1:12" s="759" customFormat="1" outlineLevel="1">
      <c r="A44" s="61" t="s">
        <v>646</v>
      </c>
      <c r="B44" s="82"/>
      <c r="C44" s="285">
        <f t="shared" ref="C44:I44" ca="1" si="9">+C100</f>
        <v>0</v>
      </c>
      <c r="D44" s="285">
        <f t="shared" ca="1" si="9"/>
        <v>0</v>
      </c>
      <c r="E44" s="285">
        <f t="shared" ca="1" si="9"/>
        <v>2.1219916562470244E-5</v>
      </c>
      <c r="F44" s="285">
        <f t="shared" ca="1" si="9"/>
        <v>4.0881990247223498E-5</v>
      </c>
      <c r="G44" s="285">
        <f t="shared" ca="1" si="9"/>
        <v>6.0317731752425721E-5</v>
      </c>
      <c r="H44" s="285">
        <f t="shared" ca="1" si="9"/>
        <v>8.1403950293991385E-5</v>
      </c>
      <c r="I44" s="285">
        <f t="shared" ca="1" si="9"/>
        <v>1.0071908428800036E-4</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1.8036929078099707E-4</v>
      </c>
      <c r="F48" s="294">
        <f t="shared" ca="1" si="13"/>
        <v>3.4749691710139974E-4</v>
      </c>
      <c r="G48" s="294">
        <f t="shared" ca="1" si="13"/>
        <v>5.1270071989561864E-4</v>
      </c>
      <c r="H48" s="294">
        <f t="shared" ca="1" si="13"/>
        <v>6.9193357749892676E-4</v>
      </c>
      <c r="I48" s="294">
        <f t="shared" ca="1" si="13"/>
        <v>8.5611221644800309E-4</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3.0359887635609108E-4</v>
      </c>
      <c r="F53" s="285">
        <f t="shared" ca="1" si="14"/>
        <v>6.1968245357118786E-4</v>
      </c>
      <c r="G53" s="285">
        <f t="shared" ca="1" si="14"/>
        <v>9.6617206336231047E-4</v>
      </c>
      <c r="H53" s="285">
        <f t="shared" ca="1" si="14"/>
        <v>1.3279219644426413E-3</v>
      </c>
      <c r="I53" s="285">
        <f t="shared" ca="1" si="14"/>
        <v>1.7034096315897227E-3</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1.0106099582812136E-5</v>
      </c>
      <c r="F55" s="285">
        <f t="shared" ca="1" si="15"/>
        <v>2.0459841952227862E-5</v>
      </c>
      <c r="G55" s="285">
        <f t="shared" ca="1" si="15"/>
        <v>3.9383437013936261E-5</v>
      </c>
      <c r="H55" s="285">
        <f t="shared" ca="1" si="15"/>
        <v>6.2059004604514913E-5</v>
      </c>
      <c r="I55" s="285">
        <f t="shared" ca="1" si="15"/>
        <v>8.9676828227410049E-5</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3.137049759389032E-4</v>
      </c>
      <c r="F59" s="287">
        <f t="shared" ca="1" si="19"/>
        <v>6.4014229552341575E-4</v>
      </c>
      <c r="G59" s="287">
        <f t="shared" ca="1" si="19"/>
        <v>1.0055555003762467E-3</v>
      </c>
      <c r="H59" s="287">
        <f t="shared" ca="1" si="19"/>
        <v>1.3899809690471562E-3</v>
      </c>
      <c r="I59" s="287">
        <f t="shared" ca="1" si="19"/>
        <v>1.7930864598171327E-3</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1.4E-2</v>
      </c>
      <c r="E64" s="285">
        <f t="shared" ca="1" si="20"/>
        <v>1.4452138292293382E-2</v>
      </c>
      <c r="F64" s="285">
        <f t="shared" ca="1" si="20"/>
        <v>1.4905856385301753E-2</v>
      </c>
      <c r="G64" s="285">
        <f t="shared" ca="1" si="20"/>
        <v>1.538839618562929E-2</v>
      </c>
      <c r="H64" s="285">
        <f t="shared" ca="1" si="20"/>
        <v>1.5897749616500582E-2</v>
      </c>
      <c r="I64" s="285">
        <f t="shared" ca="1" si="20"/>
        <v>1.6408443221605725E-2</v>
      </c>
      <c r="K64" s="63"/>
      <c r="L64" s="63"/>
    </row>
    <row r="65" spans="1:20" ht="12.75" customHeight="1" outlineLevel="1">
      <c r="A65" s="61" t="s">
        <v>69</v>
      </c>
      <c r="B65" s="285">
        <f t="shared" ca="1" si="20"/>
        <v>0</v>
      </c>
      <c r="C65" s="285">
        <f t="shared" ca="1" si="20"/>
        <v>0</v>
      </c>
      <c r="D65" s="285">
        <f t="shared" ca="1" si="20"/>
        <v>1E-3</v>
      </c>
      <c r="E65" s="285">
        <f t="shared" ca="1" si="20"/>
        <v>1.0106099582812352E-3</v>
      </c>
      <c r="F65" s="285">
        <f t="shared" ca="1" si="20"/>
        <v>1.0204409951236118E-3</v>
      </c>
      <c r="G65" s="285">
        <f t="shared" ca="1" si="20"/>
        <v>1.0301588658762129E-3</v>
      </c>
      <c r="H65" s="285">
        <f t="shared" ca="1" si="20"/>
        <v>1.0407019751469957E-3</v>
      </c>
      <c r="I65" s="285">
        <f t="shared" ca="1" si="20"/>
        <v>1.0503595421440001E-3</v>
      </c>
      <c r="K65" s="42"/>
      <c r="L65" s="21"/>
    </row>
    <row r="66" spans="1:20" s="759" customFormat="1" ht="12.75" customHeight="1" outlineLevel="1">
      <c r="A66" s="61" t="s">
        <v>646</v>
      </c>
      <c r="B66" s="285">
        <f t="shared" ref="B66:I66" ca="1" si="21">+B44+B32+B55</f>
        <v>0</v>
      </c>
      <c r="C66" s="285">
        <f t="shared" ca="1" si="21"/>
        <v>0</v>
      </c>
      <c r="D66" s="285">
        <f t="shared" ca="1" si="21"/>
        <v>2E-3</v>
      </c>
      <c r="E66" s="285">
        <f t="shared" ca="1" si="21"/>
        <v>2.0313260161452826E-3</v>
      </c>
      <c r="F66" s="285">
        <f t="shared" ca="1" si="21"/>
        <v>2.0613418321994517E-3</v>
      </c>
      <c r="G66" s="285">
        <f t="shared" ca="1" si="21"/>
        <v>2.0997011687663623E-3</v>
      </c>
      <c r="H66" s="285">
        <f t="shared" ca="1" si="21"/>
        <v>2.1434629548985062E-3</v>
      </c>
      <c r="I66" s="285">
        <f t="shared" ca="1" si="21"/>
        <v>2.1903959125154104E-3</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1.7000000000000001E-2</v>
      </c>
      <c r="E70" s="295">
        <f t="shared" ca="1" si="25"/>
        <v>1.7494074266719898E-2</v>
      </c>
      <c r="F70" s="295">
        <f t="shared" ca="1" si="25"/>
        <v>1.7987639212624817E-2</v>
      </c>
      <c r="G70" s="295">
        <f t="shared" ca="1" si="25"/>
        <v>1.8518256220271864E-2</v>
      </c>
      <c r="H70" s="295">
        <f t="shared" ca="1" si="25"/>
        <v>1.9081914546546085E-2</v>
      </c>
      <c r="I70" s="295">
        <f t="shared" ca="1" si="25"/>
        <v>1.9649198676265137E-2</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1.4853941593729171E-4</v>
      </c>
      <c r="Q77" s="285">
        <f ca="1">IF($B77&lt;&gt;0,(+VLOOKUP($B77,$A$8:$I$13,6,FALSE))*(F77),0)</f>
        <v>2.8617393173056447E-4</v>
      </c>
      <c r="R77" s="285">
        <f ca="1">IF($B77&lt;&gt;0,(+VLOOKUP($B77,$A$8:$I$13,7,FALSE))*(G77),0)</f>
        <v>4.2222412226698003E-4</v>
      </c>
      <c r="S77" s="285">
        <f ca="1">IF($B77&lt;&gt;0,(+VLOOKUP($B77,$A$8:$I$13,8,FALSE))*(H77),0)</f>
        <v>5.6982765205793972E-4</v>
      </c>
      <c r="T77" s="285">
        <f ca="1">IF($B77&lt;&gt;0,(+VLOOKUP($B77,$A$8:$I$13,9,FALSE))*(I77),0)</f>
        <v>7.0503359001600251E-4</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1.0609958281235122E-5</v>
      </c>
      <c r="Q78" s="285">
        <f ca="1">IF($B78&lt;&gt;0,(+VLOOKUP($B78,$A$8:$I$13,6,FALSE))*(F78),0)</f>
        <v>2.0440995123611749E-5</v>
      </c>
      <c r="R78" s="285">
        <f ca="1">IF($B78&lt;&gt;0,(+VLOOKUP($B78,$A$8:$I$13,7,FALSE))*(G78),0)</f>
        <v>3.0158865876212861E-5</v>
      </c>
      <c r="S78" s="285">
        <f ca="1">IF($B78&lt;&gt;0,(+VLOOKUP($B78,$A$8:$I$13,8,FALSE))*(H78),0)</f>
        <v>4.0701975146995693E-5</v>
      </c>
      <c r="T78" s="285">
        <f ca="1">IF($B78&lt;&gt;0,(+VLOOKUP($B78,$A$8:$I$13,9,FALSE))*(I78),0)</f>
        <v>5.0359542144000181E-5</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2.1219916562470244E-5</v>
      </c>
      <c r="Q79" s="285">
        <f t="shared" ref="Q79:Q80" ca="1" si="34">IF($B79&lt;&gt;0,(+VLOOKUP($B79,$A$8:$I$13,6,FALSE))*(F79),0)</f>
        <v>4.0881990247223498E-5</v>
      </c>
      <c r="R79" s="285">
        <f t="shared" ref="R79:R80" ca="1" si="35">IF($B79&lt;&gt;0,(+VLOOKUP($B79,$A$8:$I$13,7,FALSE))*(G79),0)</f>
        <v>6.0317731752425721E-5</v>
      </c>
      <c r="S79" s="285">
        <f t="shared" ref="S79:S80" ca="1" si="36">IF($B79&lt;&gt;0,(+VLOOKUP($B79,$A$8:$I$13,8,FALSE))*(H79),0)</f>
        <v>8.1403950293991385E-5</v>
      </c>
      <c r="T79" s="285">
        <f t="shared" ref="T79:T80" ca="1" si="37">IF($B79&lt;&gt;0,(+VLOOKUP($B79,$A$8:$I$13,9,FALSE))*(I79),0)</f>
        <v>1.0071908428800036E-4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1.8036929078099707E-4</v>
      </c>
      <c r="Q83" s="292">
        <f t="shared" ca="1" si="51"/>
        <v>3.4749691710139974E-4</v>
      </c>
      <c r="R83" s="292">
        <f t="shared" ca="1" si="51"/>
        <v>5.1270071989561864E-4</v>
      </c>
      <c r="S83" s="292">
        <f t="shared" ca="1" si="51"/>
        <v>6.9193357749892676E-4</v>
      </c>
      <c r="T83" s="292">
        <f t="shared" ca="1" si="51"/>
        <v>8.5611221644800309E-4</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1.4853941593729171E-4</v>
      </c>
      <c r="F98" s="285">
        <f t="shared" ca="1" si="54"/>
        <v>2.8617393173056447E-4</v>
      </c>
      <c r="G98" s="285">
        <f t="shared" ca="1" si="54"/>
        <v>4.2222412226698003E-4</v>
      </c>
      <c r="H98" s="285">
        <f t="shared" ca="1" si="54"/>
        <v>5.6982765205793972E-4</v>
      </c>
      <c r="I98" s="285">
        <f t="shared" ca="1" si="54"/>
        <v>7.0503359001600251E-4</v>
      </c>
    </row>
    <row r="99" spans="1:20" outlineLevel="1">
      <c r="A99" s="61" t="s">
        <v>69</v>
      </c>
      <c r="B99" s="119"/>
      <c r="C99" s="285">
        <f t="shared" ref="C99:I99" ca="1" si="55">+C9*(C87)</f>
        <v>0</v>
      </c>
      <c r="D99" s="285">
        <f t="shared" ca="1" si="55"/>
        <v>0</v>
      </c>
      <c r="E99" s="285">
        <f t="shared" ca="1" si="55"/>
        <v>1.0609958281235122E-5</v>
      </c>
      <c r="F99" s="285">
        <f t="shared" ca="1" si="55"/>
        <v>2.0440995123611749E-5</v>
      </c>
      <c r="G99" s="285">
        <f t="shared" ca="1" si="55"/>
        <v>3.0158865876212861E-5</v>
      </c>
      <c r="H99" s="285">
        <f t="shared" ca="1" si="55"/>
        <v>4.0701975146995693E-5</v>
      </c>
      <c r="I99" s="285">
        <f t="shared" ca="1" si="55"/>
        <v>5.0359542144000181E-5</v>
      </c>
    </row>
    <row r="100" spans="1:20" s="759" customFormat="1" outlineLevel="1">
      <c r="A100" s="61" t="s">
        <v>646</v>
      </c>
      <c r="B100" s="119"/>
      <c r="C100" s="285">
        <f t="shared" ref="C100:I100" ca="1" si="56">+C10*(C88)</f>
        <v>0</v>
      </c>
      <c r="D100" s="285">
        <f t="shared" ca="1" si="56"/>
        <v>0</v>
      </c>
      <c r="E100" s="285">
        <f t="shared" ca="1" si="56"/>
        <v>2.1219916562470244E-5</v>
      </c>
      <c r="F100" s="285">
        <f t="shared" ca="1" si="56"/>
        <v>4.0881990247223498E-5</v>
      </c>
      <c r="G100" s="285">
        <f t="shared" ca="1" si="56"/>
        <v>6.0317731752425721E-5</v>
      </c>
      <c r="H100" s="285">
        <f t="shared" ca="1" si="56"/>
        <v>8.1403950293991385E-5</v>
      </c>
      <c r="I100" s="285">
        <f t="shared" ca="1" si="56"/>
        <v>1.0071908428800036E-4</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1.8036929078099707E-4</v>
      </c>
      <c r="F104" s="296">
        <f t="shared" ca="1" si="60"/>
        <v>3.4749691710139974E-4</v>
      </c>
      <c r="G104" s="296">
        <f t="shared" ca="1" si="60"/>
        <v>5.1270071989561864E-4</v>
      </c>
      <c r="H104" s="296">
        <f t="shared" ca="1" si="60"/>
        <v>6.9193357749892676E-4</v>
      </c>
      <c r="I104" s="296">
        <f t="shared" ca="1" si="60"/>
        <v>8.5611221644800309E-4</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4.0701975146995688E-2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3.0359887635609108E-4</v>
      </c>
      <c r="Q113" s="285">
        <f ca="1">IF($B113&lt;&gt;0,(+VLOOKUP($B113,$A$8:$I$13,6,FALSE)+VLOOKUP($B113,$A$42:$I$47,6,FALSE))*(F113),0)</f>
        <v>6.1968245357118786E-4</v>
      </c>
      <c r="R113" s="285">
        <f ca="1">IF($B113&lt;&gt;0,(+VLOOKUP($B113,$A$8:$I$13,7,FALSE)+VLOOKUP($B113,$A$42:$I$47,7,FALSE))*(G113),0)</f>
        <v>9.6617206336231047E-4</v>
      </c>
      <c r="S113" s="285">
        <f ca="1">IF($B113&lt;&gt;0,(+VLOOKUP($B113,$A$8:$I$13,8,FALSE)+VLOOKUP($B113,$A$42:$I$47,8,FALSE))*(H113),0)</f>
        <v>1.3279219644426413E-3</v>
      </c>
      <c r="T113" s="285">
        <f ca="1">IF($B113&lt;&gt;0,(+VLOOKUP($B113,$A$8:$I$13,9,FALSE)+VLOOKUP($B113,$A$42:$I$47,9,FALSE))*(I113),0)</f>
        <v>1.7034096315897227E-3</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1.0106099582812136E-5</v>
      </c>
      <c r="Q115" s="285">
        <f t="shared" ca="1" si="68"/>
        <v>2.0459841952227862E-5</v>
      </c>
      <c r="R115" s="285">
        <f t="shared" ca="1" si="69"/>
        <v>3.9383437013936261E-5</v>
      </c>
      <c r="S115" s="285">
        <f t="shared" ca="1" si="70"/>
        <v>6.2059004604514913E-5</v>
      </c>
      <c r="T115" s="285">
        <f t="shared" ca="1" si="71"/>
        <v>8.9676828227410049E-5</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3.137049759389032E-4</v>
      </c>
      <c r="Q119" s="292">
        <f t="shared" ca="1" si="72"/>
        <v>6.4014229552341575E-4</v>
      </c>
      <c r="R119" s="292">
        <f t="shared" ca="1" si="72"/>
        <v>1.0055555003762467E-3</v>
      </c>
      <c r="S119" s="292">
        <f t="shared" ca="1" si="72"/>
        <v>1.3899809690471562E-3</v>
      </c>
      <c r="T119" s="292">
        <f t="shared" ca="1" si="72"/>
        <v>1.7930864598171327E-3</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3.0359887635609108E-4</v>
      </c>
      <c r="F134" s="285">
        <f t="shared" ca="1" si="75"/>
        <v>6.1968245357118786E-4</v>
      </c>
      <c r="G134" s="285">
        <f t="shared" ca="1" si="75"/>
        <v>9.6617206336231047E-4</v>
      </c>
      <c r="H134" s="285">
        <f t="shared" ca="1" si="75"/>
        <v>1.3279219644426413E-3</v>
      </c>
      <c r="I134" s="285">
        <f t="shared" ca="1" si="75"/>
        <v>1.7034096315897227E-3</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1.0106099582812136E-5</v>
      </c>
      <c r="F136" s="285">
        <f t="shared" ca="1" si="77"/>
        <v>2.0459841952227862E-5</v>
      </c>
      <c r="G136" s="285">
        <f t="shared" ca="1" si="77"/>
        <v>3.9383437013936261E-5</v>
      </c>
      <c r="H136" s="285">
        <f t="shared" ca="1" si="77"/>
        <v>6.2059004604514913E-5</v>
      </c>
      <c r="I136" s="285">
        <f t="shared" ca="1" si="77"/>
        <v>8.9676828227410049E-5</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3.137049759389032E-4</v>
      </c>
      <c r="F140" s="296">
        <f t="shared" ca="1" si="81"/>
        <v>6.4014229552341575E-4</v>
      </c>
      <c r="G140" s="296">
        <f t="shared" ca="1" si="81"/>
        <v>1.0055555003762467E-3</v>
      </c>
      <c r="H140" s="296">
        <f t="shared" ca="1" si="81"/>
        <v>1.3899809690471562E-3</v>
      </c>
      <c r="I140" s="296">
        <f t="shared" ca="1" si="81"/>
        <v>1.7930864598171327E-3</v>
      </c>
    </row>
    <row r="141" spans="1:16" ht="13.5" outlineLevel="1" thickBot="1">
      <c r="A141" s="122" t="s">
        <v>148</v>
      </c>
      <c r="B141" s="126"/>
      <c r="C141" s="124">
        <f t="shared" ref="C141:I141" ca="1" si="82">IF((+C36+C48)&lt;&gt;0,+C140/(+C36+C48),0)</f>
        <v>0</v>
      </c>
      <c r="D141" s="124">
        <f t="shared" ca="1" si="82"/>
        <v>0</v>
      </c>
      <c r="E141" s="124">
        <f t="shared" ca="1" si="82"/>
        <v>1.8259501331396734E-2</v>
      </c>
      <c r="F141" s="124">
        <f t="shared" ca="1" si="82"/>
        <v>3.6901133263344446E-2</v>
      </c>
      <c r="G141" s="124">
        <f t="shared" ca="1" si="82"/>
        <v>5.7418642416121872E-2</v>
      </c>
      <c r="H141" s="124">
        <f t="shared" ca="1" si="82"/>
        <v>7.8565803051339228E-2</v>
      </c>
      <c r="I141" s="124">
        <f t="shared" ca="1" si="82"/>
        <v>0.10041863749968184</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(SEM)'!$N$187:$R$192</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1.7000000000000001E-2</v>
      </c>
      <c r="E205" s="82">
        <f t="shared" ca="1" si="95"/>
        <v>1.7000000000000001E-2</v>
      </c>
      <c r="F205" s="82">
        <f t="shared" ca="1" si="95"/>
        <v>1.7000000000000001E-2</v>
      </c>
      <c r="G205" s="82">
        <f t="shared" ca="1" si="95"/>
        <v>1.7000000000000001E-2</v>
      </c>
      <c r="H205" s="82">
        <f t="shared" ca="1" si="95"/>
        <v>1.7000000000000001E-2</v>
      </c>
      <c r="I205" s="82">
        <f t="shared" ca="1" si="95"/>
        <v>1.7000000000000001E-2</v>
      </c>
    </row>
    <row r="206" spans="1:9" outlineLevel="1">
      <c r="A206" t="s">
        <v>156</v>
      </c>
      <c r="B206" s="82">
        <f t="shared" ref="B206:I206" ca="1" si="96">+B36</f>
        <v>0</v>
      </c>
      <c r="C206" s="82">
        <f t="shared" ca="1" si="96"/>
        <v>0</v>
      </c>
      <c r="D206" s="82">
        <f t="shared" ca="1" si="96"/>
        <v>1.7000000000000001E-2</v>
      </c>
      <c r="E206" s="82">
        <f t="shared" ca="1" si="96"/>
        <v>1.7000000000000001E-2</v>
      </c>
      <c r="F206" s="82">
        <f t="shared" ca="1" si="96"/>
        <v>1.7000000000000001E-2</v>
      </c>
      <c r="G206" s="82">
        <f t="shared" ca="1" si="96"/>
        <v>1.7000000000000001E-2</v>
      </c>
      <c r="H206" s="82">
        <f t="shared" ca="1" si="96"/>
        <v>1.7000000000000001E-2</v>
      </c>
      <c r="I206" s="82">
        <f t="shared" ca="1" si="96"/>
        <v>1.7000000000000001E-2</v>
      </c>
    </row>
    <row r="207" spans="1:9" outlineLevel="1">
      <c r="A207" t="s">
        <v>157</v>
      </c>
      <c r="B207" s="82">
        <f t="shared" ref="B207:I207" ca="1" si="97">+B36+B48</f>
        <v>0</v>
      </c>
      <c r="C207" s="82">
        <f t="shared" ca="1" si="97"/>
        <v>0</v>
      </c>
      <c r="D207" s="82">
        <f t="shared" ca="1" si="97"/>
        <v>1.7000000000000001E-2</v>
      </c>
      <c r="E207" s="82">
        <f t="shared" ca="1" si="97"/>
        <v>1.7180369290780997E-2</v>
      </c>
      <c r="F207" s="82">
        <f t="shared" ca="1" si="97"/>
        <v>1.7347496917101402E-2</v>
      </c>
      <c r="G207" s="82">
        <f t="shared" ca="1" si="97"/>
        <v>1.7512700719895621E-2</v>
      </c>
      <c r="H207" s="82">
        <f t="shared" ca="1" si="97"/>
        <v>1.7691933577498927E-2</v>
      </c>
      <c r="I207" s="82">
        <f t="shared" ca="1" si="97"/>
        <v>1.7856112216448006E-2</v>
      </c>
    </row>
    <row r="208" spans="1:9" outlineLevel="1">
      <c r="A208" t="s">
        <v>158</v>
      </c>
      <c r="B208" s="82">
        <f t="shared" ref="B208:I208" ca="1" si="98">+B70</f>
        <v>0</v>
      </c>
      <c r="C208" s="82">
        <f t="shared" ca="1" si="98"/>
        <v>0</v>
      </c>
      <c r="D208" s="82">
        <f t="shared" ca="1" si="98"/>
        <v>1.7000000000000001E-2</v>
      </c>
      <c r="E208" s="82">
        <f t="shared" ca="1" si="98"/>
        <v>1.7494074266719898E-2</v>
      </c>
      <c r="F208" s="82">
        <f t="shared" ca="1" si="98"/>
        <v>1.7987639212624817E-2</v>
      </c>
      <c r="G208" s="82">
        <f t="shared" ca="1" si="98"/>
        <v>1.8518256220271864E-2</v>
      </c>
      <c r="H208" s="82">
        <f t="shared" ca="1" si="98"/>
        <v>1.9081914546546085E-2</v>
      </c>
      <c r="I208" s="82">
        <f t="shared" ca="1" si="98"/>
        <v>1.9649198676265137E-2</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80" priority="1" stopIfTrue="1" operator="notEqual">
      <formula>0</formula>
    </cfRule>
  </conditionalFormatting>
  <conditionalFormatting sqref="J130 J94 J70 J59 J48 J36:J37 J14 J25">
    <cfRule type="cellIs" dxfId="279" priority="2" stopIfTrue="1" operator="equal">
      <formula>"OK"</formula>
    </cfRule>
    <cfRule type="cellIs" dxfId="278" priority="3" stopIfTrue="1" operator="equal">
      <formula>"Warning Check Escalations"</formula>
    </cfRule>
  </conditionalFormatting>
  <conditionalFormatting sqref="N120:T120 N84:T84">
    <cfRule type="cellIs" dxfId="277" priority="4" stopIfTrue="1" operator="notEqual">
      <formula>0</formula>
    </cfRule>
    <cfRule type="cellIs" dxfId="27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5.xml><?xml version="1.0" encoding="utf-8"?>
<worksheet xmlns="http://schemas.openxmlformats.org/spreadsheetml/2006/main" xmlns:r="http://schemas.openxmlformats.org/officeDocument/2006/relationships">
  <sheetPr codeName="Sheet70"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22</v>
      </c>
      <c r="M1" s="282"/>
      <c r="N1" s="280"/>
      <c r="O1" s="280"/>
      <c r="P1" s="280"/>
      <c r="Q1" s="280"/>
      <c r="R1" s="280"/>
      <c r="S1" s="280"/>
      <c r="T1" s="280"/>
    </row>
    <row r="2" spans="1:20" ht="15.75">
      <c r="A2" s="184" t="s">
        <v>121</v>
      </c>
      <c r="B2" s="74" t="str">
        <f ca="1">OFFSET(List_AllocOpexListStart,+$K$1,1)</f>
        <v>Training Centre Management</v>
      </c>
      <c r="F2" s="284"/>
      <c r="H2" s="42"/>
      <c r="I2" s="283"/>
      <c r="L2" s="282"/>
      <c r="M2" s="282"/>
    </row>
    <row r="3" spans="1:20" ht="16.5" thickBot="1">
      <c r="A3" s="184" t="s">
        <v>371</v>
      </c>
      <c r="B3" s="236" t="str">
        <f ca="1">OFFSET(List_AllocOpexListStart,+$K$1,2)</f>
        <v>David Syme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1.0049999999999999</v>
      </c>
      <c r="E8" s="285">
        <f ca="1">OFFSET(Future_AOpexStart,MATCH($K$1,'I-6 Future A'!$A$6:$A$379)+2,+'I-5 Future DA'!F$5)</f>
        <v>1.0049999999999999</v>
      </c>
      <c r="F8" s="285">
        <f ca="1">OFFSET(Future_AOpexStart,MATCH($K$1,'I-6 Future A'!$A$6:$A$379)+2,+'I-5 Future DA'!G$5)</f>
        <v>1.0049999999999999</v>
      </c>
      <c r="G8" s="285">
        <f ca="1">OFFSET(Future_AOpexStart,MATCH($K$1,'I-6 Future A'!$A$6:$A$379)+2,+'I-5 Future DA'!H$5)</f>
        <v>1.0049999999999999</v>
      </c>
      <c r="H8" s="285">
        <f ca="1">OFFSET(Future_AOpexStart,MATCH($K$1,'I-6 Future A'!$A$6:$A$379)+2,+'I-5 Future DA'!I$5)</f>
        <v>1.0049999999999999</v>
      </c>
      <c r="I8" s="285">
        <f ca="1">OFFSET(Future_AOpexStart,MATCH($K$1,'I-6 Future A'!$A$6:$A$379)+2,+'I-5 Future DA'!J$5)</f>
        <v>1.0049999999999999</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-2.2000000000000002E-2</v>
      </c>
      <c r="E9" s="285">
        <f ca="1">OFFSET(Future_AOpexStart,MATCH($K$1,'I-6 Future A'!$A$6:$A$379)+3,+'I-5 Future DA'!F$5)</f>
        <v>-2.2000000000000002E-2</v>
      </c>
      <c r="F9" s="285">
        <f ca="1">OFFSET(Future_AOpexStart,MATCH($K$1,'I-6 Future A'!$A$6:$A$379)+3,+'I-5 Future DA'!G$5)</f>
        <v>-2.2000000000000002E-2</v>
      </c>
      <c r="G9" s="285">
        <f ca="1">OFFSET(Future_AOpexStart,MATCH($K$1,'I-6 Future A'!$A$6:$A$379)+3,+'I-5 Future DA'!H$5)</f>
        <v>-2.2000000000000002E-2</v>
      </c>
      <c r="H9" s="285">
        <f ca="1">OFFSET(Future_AOpexStart,MATCH($K$1,'I-6 Future A'!$A$6:$A$379)+3,+'I-5 Future DA'!I$5)</f>
        <v>-2.2000000000000002E-2</v>
      </c>
      <c r="I9" s="285">
        <f ca="1">OFFSET(Future_AOpexStart,MATCH($K$1,'I-6 Future A'!$A$6:$A$379)+3,+'I-5 Future DA'!J$5)</f>
        <v>-2.2000000000000002E-2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1.7000000000000001E-2</v>
      </c>
      <c r="E10" s="285">
        <f ca="1">OFFSET(Future_AOpexStart,MATCH($K$1,'I-6 Future A'!$A$6:$A$379)+4,+'I-5 Future DA'!F$5)</f>
        <v>1.7000000000000001E-2</v>
      </c>
      <c r="F10" s="285">
        <f ca="1">OFFSET(Future_AOpexStart,MATCH($K$1,'I-6 Future A'!$A$6:$A$379)+4,+'I-5 Future DA'!G$5)</f>
        <v>1.7000000000000001E-2</v>
      </c>
      <c r="G10" s="285">
        <f ca="1">OFFSET(Future_AOpexStart,MATCH($K$1,'I-6 Future A'!$A$6:$A$379)+4,+'I-5 Future DA'!H$5)</f>
        <v>1.7000000000000001E-2</v>
      </c>
      <c r="H10" s="285">
        <f ca="1">OFFSET(Future_AOpexStart,MATCH($K$1,'I-6 Future A'!$A$6:$A$379)+4,+'I-5 Future DA'!I$5)</f>
        <v>1.7000000000000001E-2</v>
      </c>
      <c r="I10" s="285">
        <f ca="1">OFFSET(Future_AOpexStart,MATCH($K$1,'I-6 Future A'!$A$6:$A$379)+4,+'I-5 Future DA'!J$5)</f>
        <v>1.7000000000000001E-2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5.3999999999999999E-2</v>
      </c>
      <c r="E11" s="285">
        <f ca="1">OFFSET(Future_AOpexStart,MATCH($K$1,'I-6 Future A'!$A$6:$A$379)+5,+'I-5 Future DA'!F$5)</f>
        <v>5.3999999999999999E-2</v>
      </c>
      <c r="F11" s="285">
        <f ca="1">OFFSET(Future_AOpexStart,MATCH($K$1,'I-6 Future A'!$A$6:$A$379)+5,+'I-5 Future DA'!G$5)</f>
        <v>5.3999999999999999E-2</v>
      </c>
      <c r="G11" s="285">
        <f ca="1">OFFSET(Future_AOpexStart,MATCH($K$1,'I-6 Future A'!$A$6:$A$379)+5,+'I-5 Future DA'!H$5)</f>
        <v>5.3999999999999999E-2</v>
      </c>
      <c r="H11" s="285">
        <f ca="1">OFFSET(Future_AOpexStart,MATCH($K$1,'I-6 Future A'!$A$6:$A$379)+5,+'I-5 Future DA'!I$5)</f>
        <v>5.3999999999999999E-2</v>
      </c>
      <c r="I11" s="285">
        <f ca="1">OFFSET(Future_AOpexStart,MATCH($K$1,'I-6 Future A'!$A$6:$A$379)+5,+'I-5 Future DA'!J$5)</f>
        <v>5.3999999999999999E-2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1.0539999999999998</v>
      </c>
      <c r="E14" s="287">
        <f t="shared" ca="1" si="0"/>
        <v>1.0539999999999998</v>
      </c>
      <c r="F14" s="287">
        <f t="shared" ca="1" si="0"/>
        <v>1.0539999999999998</v>
      </c>
      <c r="G14" s="287">
        <f t="shared" ca="1" si="0"/>
        <v>1.0539999999999998</v>
      </c>
      <c r="H14" s="287">
        <f t="shared" ca="1" si="0"/>
        <v>1.0539999999999998</v>
      </c>
      <c r="I14" s="287">
        <f t="shared" ca="1" si="0"/>
        <v>1.0539999999999998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+'A-22'!B8+'A-22'!B19</f>
        <v>0</v>
      </c>
      <c r="C30" s="285">
        <f ca="1">+'A-22'!C8+'A-22'!C19</f>
        <v>0</v>
      </c>
      <c r="D30" s="285">
        <f ca="1">+'A-22'!D8+'A-22'!D19</f>
        <v>1.0049999999999999</v>
      </c>
      <c r="E30" s="285">
        <f ca="1">+'A-22'!E8+'A-22'!E19</f>
        <v>1.0049999999999999</v>
      </c>
      <c r="F30" s="285">
        <f ca="1">+'A-22'!F8+'A-22'!F19</f>
        <v>1.0049999999999999</v>
      </c>
      <c r="G30" s="285">
        <f ca="1">+'A-22'!G8+'A-22'!G19</f>
        <v>1.0049999999999999</v>
      </c>
      <c r="H30" s="285">
        <f ca="1">+'A-22'!H8+'A-22'!H19</f>
        <v>1.0049999999999999</v>
      </c>
      <c r="I30" s="285">
        <f ca="1">+'A-22'!I8+'A-22'!I19</f>
        <v>1.0049999999999999</v>
      </c>
      <c r="J30" s="42"/>
      <c r="K30" s="21"/>
      <c r="L30" s="21"/>
    </row>
    <row r="31" spans="1:12" outlineLevel="2">
      <c r="A31" s="61" t="s">
        <v>69</v>
      </c>
      <c r="B31" s="285">
        <f ca="1">+'A-22'!B9+'A-22'!B20</f>
        <v>0</v>
      </c>
      <c r="C31" s="285">
        <f ca="1">+'A-22'!C9+'A-22'!C20</f>
        <v>0</v>
      </c>
      <c r="D31" s="285">
        <f ca="1">+'A-22'!D9+'A-22'!D20</f>
        <v>-2.2000000000000002E-2</v>
      </c>
      <c r="E31" s="285">
        <f ca="1">+'A-22'!E9+'A-22'!E20</f>
        <v>-2.2000000000000002E-2</v>
      </c>
      <c r="F31" s="285">
        <f ca="1">+'A-22'!F9+'A-22'!F20</f>
        <v>-2.2000000000000002E-2</v>
      </c>
      <c r="G31" s="285">
        <f ca="1">+'A-22'!G9+'A-22'!G20</f>
        <v>-2.2000000000000002E-2</v>
      </c>
      <c r="H31" s="285">
        <f ca="1">+'A-22'!H9+'A-22'!H20</f>
        <v>-2.2000000000000002E-2</v>
      </c>
      <c r="I31" s="285">
        <f ca="1">+'A-22'!I9+'A-22'!I20</f>
        <v>-2.2000000000000002E-2</v>
      </c>
      <c r="J31" s="42"/>
      <c r="K31" s="21"/>
      <c r="L31" s="21"/>
    </row>
    <row r="32" spans="1:12" s="759" customFormat="1" outlineLevel="2">
      <c r="A32" s="61" t="s">
        <v>646</v>
      </c>
      <c r="B32" s="285">
        <f ca="1">+'A-22'!B10+'A-22'!B21</f>
        <v>0</v>
      </c>
      <c r="C32" s="285">
        <f ca="1">+'A-22'!C10+'A-22'!C21</f>
        <v>0</v>
      </c>
      <c r="D32" s="285">
        <f ca="1">+'A-22'!D10+'A-22'!D21</f>
        <v>1.7000000000000001E-2</v>
      </c>
      <c r="E32" s="285">
        <f ca="1">+'A-22'!E10+'A-22'!E21</f>
        <v>1.7000000000000001E-2</v>
      </c>
      <c r="F32" s="285">
        <f ca="1">+'A-22'!F10+'A-22'!F21</f>
        <v>1.7000000000000001E-2</v>
      </c>
      <c r="G32" s="285">
        <f ca="1">+'A-22'!G10+'A-22'!G21</f>
        <v>1.7000000000000001E-2</v>
      </c>
      <c r="H32" s="285">
        <f ca="1">+'A-22'!H10+'A-22'!H21</f>
        <v>1.7000000000000001E-2</v>
      </c>
      <c r="I32" s="285">
        <f ca="1">+'A-22'!I10+'A-22'!I21</f>
        <v>1.7000000000000001E-2</v>
      </c>
      <c r="J32" s="42"/>
      <c r="K32" s="732"/>
      <c r="L32" s="732"/>
    </row>
    <row r="33" spans="1:12" outlineLevel="2">
      <c r="A33" s="61" t="s">
        <v>647</v>
      </c>
      <c r="B33" s="285">
        <f ca="1">+'A-22'!B11+'A-22'!B22</f>
        <v>0</v>
      </c>
      <c r="C33" s="285">
        <f ca="1">+'A-22'!C11+'A-22'!C22</f>
        <v>0</v>
      </c>
      <c r="D33" s="285">
        <f ca="1">+'A-22'!D11+'A-22'!D22</f>
        <v>5.3999999999999999E-2</v>
      </c>
      <c r="E33" s="285">
        <f ca="1">+'A-22'!E11+'A-22'!E22</f>
        <v>5.3999999999999999E-2</v>
      </c>
      <c r="F33" s="285">
        <f ca="1">+'A-22'!F11+'A-22'!F22</f>
        <v>5.3999999999999999E-2</v>
      </c>
      <c r="G33" s="285">
        <f ca="1">+'A-22'!G11+'A-22'!G22</f>
        <v>5.3999999999999999E-2</v>
      </c>
      <c r="H33" s="285">
        <f ca="1">+'A-22'!H11+'A-22'!H22</f>
        <v>5.3999999999999999E-2</v>
      </c>
      <c r="I33" s="285">
        <f ca="1">+'A-22'!I11+'A-22'!I22</f>
        <v>5.3999999999999999E-2</v>
      </c>
      <c r="J33" s="42"/>
      <c r="K33" s="21"/>
      <c r="L33" s="21"/>
    </row>
    <row r="34" spans="1:12" s="759" customFormat="1" outlineLevel="2">
      <c r="A34" s="61" t="s">
        <v>575</v>
      </c>
      <c r="B34" s="285">
        <f ca="1">+'A-22'!B12+'A-22'!B23</f>
        <v>0</v>
      </c>
      <c r="C34" s="285">
        <f ca="1">+'A-22'!C12+'A-22'!C23</f>
        <v>0</v>
      </c>
      <c r="D34" s="285">
        <f ca="1">+'A-22'!D12+'A-22'!D23</f>
        <v>0</v>
      </c>
      <c r="E34" s="285">
        <f ca="1">+'A-22'!E12+'A-22'!E23</f>
        <v>0</v>
      </c>
      <c r="F34" s="285">
        <f ca="1">+'A-22'!F12+'A-22'!F23</f>
        <v>0</v>
      </c>
      <c r="G34" s="285">
        <f ca="1">+'A-22'!G12+'A-22'!G23</f>
        <v>0</v>
      </c>
      <c r="H34" s="285">
        <f ca="1">+'A-22'!H12+'A-22'!H23</f>
        <v>0</v>
      </c>
      <c r="I34" s="285">
        <f ca="1">+'A-22'!I12+'A-22'!I23</f>
        <v>0</v>
      </c>
      <c r="J34" s="42"/>
      <c r="K34" s="732"/>
      <c r="L34" s="732"/>
    </row>
    <row r="35" spans="1:12" ht="13.5" outlineLevel="2" thickBot="1">
      <c r="A35" s="83" t="s">
        <v>70</v>
      </c>
      <c r="B35" s="285">
        <f ca="1">+'A-22'!B13+'A-22'!B24</f>
        <v>0</v>
      </c>
      <c r="C35" s="285">
        <f ca="1">+'A-22'!C13+'A-22'!C24</f>
        <v>0</v>
      </c>
      <c r="D35" s="285">
        <f ca="1">+'A-22'!D13+'A-22'!D24</f>
        <v>0</v>
      </c>
      <c r="E35" s="285">
        <f ca="1">+'A-22'!E13+'A-22'!E24</f>
        <v>0</v>
      </c>
      <c r="F35" s="285">
        <f ca="1">+'A-22'!F13+'A-22'!F24</f>
        <v>0</v>
      </c>
      <c r="G35" s="285">
        <f ca="1">+'A-22'!G13+'A-22'!G24</f>
        <v>0</v>
      </c>
      <c r="H35" s="285">
        <f ca="1">+'A-22'!H13+'A-22'!H24</f>
        <v>0</v>
      </c>
      <c r="I35" s="285">
        <f ca="1">+'A-22'!I13+'A-22'!I24</f>
        <v>0</v>
      </c>
      <c r="J35" s="93"/>
      <c r="K35" s="21"/>
      <c r="L35" s="21"/>
    </row>
    <row r="36" spans="1:12" s="87" customFormat="1" ht="20.25" customHeight="1" thickBot="1">
      <c r="A36" s="94" t="s">
        <v>128</v>
      </c>
      <c r="B36" s="294">
        <f t="shared" ref="B36:I36" ca="1" si="7">SUM(B30:B35)</f>
        <v>0</v>
      </c>
      <c r="C36" s="294">
        <f t="shared" ca="1" si="7"/>
        <v>0</v>
      </c>
      <c r="D36" s="294">
        <f t="shared" ca="1" si="7"/>
        <v>1.0539999999999998</v>
      </c>
      <c r="E36" s="294">
        <f t="shared" ca="1" si="7"/>
        <v>1.0539999999999998</v>
      </c>
      <c r="F36" s="294">
        <f t="shared" ca="1" si="7"/>
        <v>1.0539999999999998</v>
      </c>
      <c r="G36" s="294">
        <f t="shared" ca="1" si="7"/>
        <v>1.0539999999999998</v>
      </c>
      <c r="H36" s="294">
        <f t="shared" ca="1" si="7"/>
        <v>1.0539999999999998</v>
      </c>
      <c r="I36" s="294">
        <f t="shared" ca="1" si="7"/>
        <v>1.0539999999999998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1.0663008072641296E-2</v>
      </c>
      <c r="F42" s="285">
        <f t="shared" ca="1" si="8"/>
        <v>2.0543200099229806E-2</v>
      </c>
      <c r="G42" s="285">
        <f t="shared" ca="1" si="8"/>
        <v>3.0309660205593919E-2</v>
      </c>
      <c r="H42" s="285">
        <f t="shared" ca="1" si="8"/>
        <v>4.090548502273067E-2</v>
      </c>
      <c r="I42" s="285">
        <f t="shared" ca="1" si="8"/>
        <v>5.0611339854720175E-2</v>
      </c>
      <c r="K42" s="63"/>
      <c r="L42" s="63"/>
    </row>
    <row r="43" spans="1:12" outlineLevel="1">
      <c r="A43" s="61" t="s">
        <v>69</v>
      </c>
      <c r="B43" s="82"/>
      <c r="C43" s="285">
        <f t="shared" ca="1" si="8"/>
        <v>0</v>
      </c>
      <c r="D43" s="285">
        <f t="shared" ca="1" si="8"/>
        <v>0</v>
      </c>
      <c r="E43" s="285">
        <f t="shared" ca="1" si="8"/>
        <v>-2.3341908218717269E-4</v>
      </c>
      <c r="F43" s="285">
        <f t="shared" ca="1" si="8"/>
        <v>-4.4970189271945852E-4</v>
      </c>
      <c r="G43" s="285">
        <f t="shared" ca="1" si="8"/>
        <v>-6.6349504927668294E-4</v>
      </c>
      <c r="H43" s="285">
        <f t="shared" ca="1" si="8"/>
        <v>-8.9544345323390537E-4</v>
      </c>
      <c r="I43" s="285">
        <f t="shared" ca="1" si="8"/>
        <v>-1.1079099271680041E-3</v>
      </c>
      <c r="K43" s="42"/>
      <c r="L43" s="21"/>
    </row>
    <row r="44" spans="1:12" s="759" customFormat="1" outlineLevel="1">
      <c r="A44" s="61" t="s">
        <v>646</v>
      </c>
      <c r="B44" s="82"/>
      <c r="C44" s="285">
        <f t="shared" ref="C44:I44" ca="1" si="9">+C100</f>
        <v>0</v>
      </c>
      <c r="D44" s="285">
        <f t="shared" ca="1" si="9"/>
        <v>0</v>
      </c>
      <c r="E44" s="285">
        <f t="shared" ca="1" si="9"/>
        <v>1.8036929078099707E-4</v>
      </c>
      <c r="F44" s="285">
        <f t="shared" ca="1" si="9"/>
        <v>3.4749691710139974E-4</v>
      </c>
      <c r="G44" s="285">
        <f t="shared" ca="1" si="9"/>
        <v>5.1270071989561864E-4</v>
      </c>
      <c r="H44" s="285">
        <f t="shared" ca="1" si="9"/>
        <v>6.9193357749892687E-4</v>
      </c>
      <c r="I44" s="285">
        <f t="shared" ca="1" si="9"/>
        <v>8.5611221644800309E-4</v>
      </c>
      <c r="K44" s="42"/>
      <c r="L44" s="732"/>
    </row>
    <row r="45" spans="1:12" outlineLevel="1">
      <c r="A45" s="61" t="s">
        <v>647</v>
      </c>
      <c r="B45" s="82"/>
      <c r="C45" s="285">
        <f t="shared" ref="C45:I45" ca="1" si="10">+C101</f>
        <v>0</v>
      </c>
      <c r="D45" s="285">
        <f t="shared" ca="1" si="10"/>
        <v>0</v>
      </c>
      <c r="E45" s="285">
        <f t="shared" ca="1" si="10"/>
        <v>5.7293774718669655E-4</v>
      </c>
      <c r="F45" s="285">
        <f t="shared" ca="1" si="10"/>
        <v>1.1038137366750345E-3</v>
      </c>
      <c r="G45" s="285">
        <f t="shared" ca="1" si="10"/>
        <v>1.6285787573154943E-3</v>
      </c>
      <c r="H45" s="285">
        <f t="shared" ca="1" si="10"/>
        <v>2.1979066579377675E-3</v>
      </c>
      <c r="I45" s="285">
        <f t="shared" ca="1" si="10"/>
        <v>2.7194152757760099E-3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1.1182896028421818E-2</v>
      </c>
      <c r="F48" s="294">
        <f t="shared" ca="1" si="13"/>
        <v>2.1544808860286785E-2</v>
      </c>
      <c r="G48" s="294">
        <f t="shared" ca="1" si="13"/>
        <v>3.1787444633528353E-2</v>
      </c>
      <c r="H48" s="294">
        <f t="shared" ca="1" si="13"/>
        <v>4.2899881804933461E-2</v>
      </c>
      <c r="I48" s="294">
        <f t="shared" ca="1" si="13"/>
        <v>5.3078957419776182E-2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2.179406219556225E-2</v>
      </c>
      <c r="F53" s="285">
        <f t="shared" ca="1" si="14"/>
        <v>4.4484347559931692E-2</v>
      </c>
      <c r="G53" s="285">
        <f t="shared" ca="1" si="14"/>
        <v>6.9357351691365851E-2</v>
      </c>
      <c r="H53" s="285">
        <f t="shared" ca="1" si="14"/>
        <v>9.5325826733203889E-2</v>
      </c>
      <c r="I53" s="285">
        <f t="shared" ca="1" si="14"/>
        <v>0.12228047712483364</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8.5901846453903161E-5</v>
      </c>
      <c r="F55" s="285">
        <f t="shared" ca="1" si="15"/>
        <v>1.7390865659393684E-4</v>
      </c>
      <c r="G55" s="285">
        <f t="shared" ca="1" si="15"/>
        <v>3.3475921461845827E-4</v>
      </c>
      <c r="H55" s="285">
        <f t="shared" ca="1" si="15"/>
        <v>5.2750153913837684E-4</v>
      </c>
      <c r="I55" s="285">
        <f t="shared" ca="1" si="15"/>
        <v>7.6225303993298558E-4</v>
      </c>
      <c r="K55" s="42"/>
      <c r="L55" s="732"/>
    </row>
    <row r="56" spans="1:12" outlineLevel="1">
      <c r="A56" s="61" t="s">
        <v>647</v>
      </c>
      <c r="B56" s="285"/>
      <c r="C56" s="285">
        <f t="shared" ref="C56:I56" ca="1" si="16">+C137</f>
        <v>0</v>
      </c>
      <c r="D56" s="285">
        <f t="shared" ca="1" si="16"/>
        <v>0</v>
      </c>
      <c r="E56" s="285">
        <f t="shared" ca="1" si="16"/>
        <v>2.7286468873592766E-4</v>
      </c>
      <c r="F56" s="285">
        <f t="shared" ca="1" si="16"/>
        <v>5.5241573271015232E-4</v>
      </c>
      <c r="G56" s="285">
        <f t="shared" ca="1" si="16"/>
        <v>1.063352799376279E-3</v>
      </c>
      <c r="H56" s="285">
        <f t="shared" ca="1" si="16"/>
        <v>1.6755931243219028E-3</v>
      </c>
      <c r="I56" s="285">
        <f t="shared" ca="1" si="16"/>
        <v>2.4212743621400716E-3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2.215282873075208E-2</v>
      </c>
      <c r="F59" s="287">
        <f t="shared" ca="1" si="19"/>
        <v>4.5210671949235781E-2</v>
      </c>
      <c r="G59" s="287">
        <f t="shared" ca="1" si="19"/>
        <v>7.075546370536058E-2</v>
      </c>
      <c r="H59" s="287">
        <f t="shared" ca="1" si="19"/>
        <v>9.7528921396664164E-2</v>
      </c>
      <c r="I59" s="287">
        <f t="shared" ca="1" si="19"/>
        <v>0.1254640045269067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1.0049999999999999</v>
      </c>
      <c r="E64" s="285">
        <f t="shared" ca="1" si="20"/>
        <v>1.0374570702682036</v>
      </c>
      <c r="F64" s="285">
        <f t="shared" ca="1" si="20"/>
        <v>1.0700275476591614</v>
      </c>
      <c r="G64" s="285">
        <f t="shared" ca="1" si="20"/>
        <v>1.1046670118969597</v>
      </c>
      <c r="H64" s="285">
        <f t="shared" ca="1" si="20"/>
        <v>1.1412313117559343</v>
      </c>
      <c r="I64" s="285">
        <f t="shared" ca="1" si="20"/>
        <v>1.1778918169795536</v>
      </c>
      <c r="K64" s="63"/>
      <c r="L64" s="63"/>
    </row>
    <row r="65" spans="1:20" ht="12.75" customHeight="1" outlineLevel="1">
      <c r="A65" s="61" t="s">
        <v>69</v>
      </c>
      <c r="B65" s="285">
        <f t="shared" ca="1" si="20"/>
        <v>0</v>
      </c>
      <c r="C65" s="285">
        <f t="shared" ca="1" si="20"/>
        <v>0</v>
      </c>
      <c r="D65" s="285">
        <f t="shared" ca="1" si="20"/>
        <v>-2.2000000000000002E-2</v>
      </c>
      <c r="E65" s="285">
        <f t="shared" ca="1" si="20"/>
        <v>-2.2233419082187175E-2</v>
      </c>
      <c r="F65" s="285">
        <f t="shared" ca="1" si="20"/>
        <v>-2.244970189271946E-2</v>
      </c>
      <c r="G65" s="285">
        <f t="shared" ca="1" si="20"/>
        <v>-2.2663495049276686E-2</v>
      </c>
      <c r="H65" s="285">
        <f t="shared" ca="1" si="20"/>
        <v>-2.2895443453233907E-2</v>
      </c>
      <c r="I65" s="285">
        <f t="shared" ca="1" si="20"/>
        <v>-2.3107909927168005E-2</v>
      </c>
      <c r="K65" s="42"/>
      <c r="L65" s="21"/>
    </row>
    <row r="66" spans="1:20" s="759" customFormat="1" ht="12.75" customHeight="1" outlineLevel="1">
      <c r="A66" s="61" t="s">
        <v>646</v>
      </c>
      <c r="B66" s="285">
        <f t="shared" ref="B66:I66" ca="1" si="21">+B44+B32+B55</f>
        <v>0</v>
      </c>
      <c r="C66" s="285">
        <f t="shared" ca="1" si="21"/>
        <v>0</v>
      </c>
      <c r="D66" s="285">
        <f t="shared" ca="1" si="21"/>
        <v>1.7000000000000001E-2</v>
      </c>
      <c r="E66" s="285">
        <f t="shared" ca="1" si="21"/>
        <v>1.72662711372349E-2</v>
      </c>
      <c r="F66" s="285">
        <f t="shared" ca="1" si="21"/>
        <v>1.7521405573695338E-2</v>
      </c>
      <c r="G66" s="285">
        <f t="shared" ca="1" si="21"/>
        <v>1.784745993451408E-2</v>
      </c>
      <c r="H66" s="285">
        <f t="shared" ca="1" si="21"/>
        <v>1.8219435116637303E-2</v>
      </c>
      <c r="I66" s="285">
        <f t="shared" ca="1" si="21"/>
        <v>1.8618365256380991E-2</v>
      </c>
      <c r="K66" s="42"/>
      <c r="L66" s="732"/>
    </row>
    <row r="67" spans="1:20" ht="12.75" customHeight="1" outlineLevel="1">
      <c r="A67" s="61" t="s">
        <v>647</v>
      </c>
      <c r="B67" s="285">
        <f t="shared" ref="B67:I67" ca="1" si="22">+B45+B33+B56</f>
        <v>0</v>
      </c>
      <c r="C67" s="285">
        <f t="shared" ca="1" si="22"/>
        <v>0</v>
      </c>
      <c r="D67" s="285">
        <f t="shared" ca="1" si="22"/>
        <v>5.3999999999999999E-2</v>
      </c>
      <c r="E67" s="285">
        <f t="shared" ca="1" si="22"/>
        <v>5.4845802435922623E-2</v>
      </c>
      <c r="F67" s="285">
        <f t="shared" ca="1" si="22"/>
        <v>5.5656229469385185E-2</v>
      </c>
      <c r="G67" s="285">
        <f t="shared" ca="1" si="22"/>
        <v>5.669193155669177E-2</v>
      </c>
      <c r="H67" s="285">
        <f t="shared" ca="1" si="22"/>
        <v>5.7873499782259669E-2</v>
      </c>
      <c r="I67" s="285">
        <f t="shared" ca="1" si="22"/>
        <v>5.9140689637916077E-2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1.0539999999999998</v>
      </c>
      <c r="E70" s="295">
        <f t="shared" ca="1" si="25"/>
        <v>1.0873357247591739</v>
      </c>
      <c r="F70" s="295">
        <f t="shared" ca="1" si="25"/>
        <v>1.1207554808095226</v>
      </c>
      <c r="G70" s="295">
        <f t="shared" ca="1" si="25"/>
        <v>1.1565429083388887</v>
      </c>
      <c r="H70" s="295">
        <f t="shared" ca="1" si="25"/>
        <v>1.1944288032015975</v>
      </c>
      <c r="I70" s="295">
        <f t="shared" ca="1" si="25"/>
        <v>1.2325429619466826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1.0663008072641296E-2</v>
      </c>
      <c r="Q77" s="285">
        <f ca="1">IF($B77&lt;&gt;0,(+VLOOKUP($B77,$A$8:$I$13,6,FALSE))*(F77),0)</f>
        <v>2.0543200099229806E-2</v>
      </c>
      <c r="R77" s="285">
        <f ca="1">IF($B77&lt;&gt;0,(+VLOOKUP($B77,$A$8:$I$13,7,FALSE))*(G77),0)</f>
        <v>3.0309660205593919E-2</v>
      </c>
      <c r="S77" s="285">
        <f ca="1">IF($B77&lt;&gt;0,(+VLOOKUP($B77,$A$8:$I$13,8,FALSE))*(H77),0)</f>
        <v>4.090548502273067E-2</v>
      </c>
      <c r="T77" s="285">
        <f ca="1">IF($B77&lt;&gt;0,(+VLOOKUP($B77,$A$8:$I$13,9,FALSE))*(I77),0)</f>
        <v>5.0611339854720175E-2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-2.3341908218717269E-4</v>
      </c>
      <c r="Q78" s="285">
        <f ca="1">IF($B78&lt;&gt;0,(+VLOOKUP($B78,$A$8:$I$13,6,FALSE))*(F78),0)</f>
        <v>-4.4970189271945852E-4</v>
      </c>
      <c r="R78" s="285">
        <f ca="1">IF($B78&lt;&gt;0,(+VLOOKUP($B78,$A$8:$I$13,7,FALSE))*(G78),0)</f>
        <v>-6.6349504927668294E-4</v>
      </c>
      <c r="S78" s="285">
        <f ca="1">IF($B78&lt;&gt;0,(+VLOOKUP($B78,$A$8:$I$13,8,FALSE))*(H78),0)</f>
        <v>-8.9544345323390537E-4</v>
      </c>
      <c r="T78" s="285">
        <f ca="1">IF($B78&lt;&gt;0,(+VLOOKUP($B78,$A$8:$I$13,9,FALSE))*(I78),0)</f>
        <v>-1.1079099271680041E-3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1.8036929078099707E-4</v>
      </c>
      <c r="Q79" s="285">
        <f t="shared" ref="Q79:Q80" ca="1" si="34">IF($B79&lt;&gt;0,(+VLOOKUP($B79,$A$8:$I$13,6,FALSE))*(F79),0)</f>
        <v>3.4749691710139974E-4</v>
      </c>
      <c r="R79" s="285">
        <f t="shared" ref="R79:R80" ca="1" si="35">IF($B79&lt;&gt;0,(+VLOOKUP($B79,$A$8:$I$13,7,FALSE))*(G79),0)</f>
        <v>5.1270071989561864E-4</v>
      </c>
      <c r="S79" s="285">
        <f t="shared" ref="S79:S80" ca="1" si="36">IF($B79&lt;&gt;0,(+VLOOKUP($B79,$A$8:$I$13,8,FALSE))*(H79),0)</f>
        <v>6.9193357749892687E-4</v>
      </c>
      <c r="T79" s="285">
        <f t="shared" ref="T79:T80" ca="1" si="37">IF($B79&lt;&gt;0,(+VLOOKUP($B79,$A$8:$I$13,9,FALSE))*(I79),0)</f>
        <v>8.5611221644800309E-4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5.7293774718669655E-4</v>
      </c>
      <c r="Q80" s="285">
        <f t="shared" ca="1" si="34"/>
        <v>1.1038137366750345E-3</v>
      </c>
      <c r="R80" s="285">
        <f t="shared" ca="1" si="35"/>
        <v>1.6285787573154943E-3</v>
      </c>
      <c r="S80" s="285">
        <f t="shared" ca="1" si="36"/>
        <v>2.1979066579377675E-3</v>
      </c>
      <c r="T80" s="285">
        <f t="shared" ca="1" si="37"/>
        <v>2.7194152757760099E-3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1.1182896028421818E-2</v>
      </c>
      <c r="Q83" s="292">
        <f t="shared" ca="1" si="51"/>
        <v>2.1544808860286785E-2</v>
      </c>
      <c r="R83" s="292">
        <f t="shared" ca="1" si="51"/>
        <v>3.1787444633528353E-2</v>
      </c>
      <c r="S83" s="292">
        <f t="shared" ca="1" si="51"/>
        <v>4.2899881804933461E-2</v>
      </c>
      <c r="T83" s="292">
        <f t="shared" ca="1" si="51"/>
        <v>5.3078957419776182E-2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1.0663008072641296E-2</v>
      </c>
      <c r="F98" s="285">
        <f t="shared" ca="1" si="54"/>
        <v>2.0543200099229806E-2</v>
      </c>
      <c r="G98" s="285">
        <f t="shared" ca="1" si="54"/>
        <v>3.0309660205593919E-2</v>
      </c>
      <c r="H98" s="285">
        <f t="shared" ca="1" si="54"/>
        <v>4.090548502273067E-2</v>
      </c>
      <c r="I98" s="285">
        <f t="shared" ca="1" si="54"/>
        <v>5.0611339854720175E-2</v>
      </c>
    </row>
    <row r="99" spans="1:20" outlineLevel="1">
      <c r="A99" s="61" t="s">
        <v>69</v>
      </c>
      <c r="B99" s="119"/>
      <c r="C99" s="285">
        <f t="shared" ref="C99:I99" ca="1" si="55">+C9*(C87)</f>
        <v>0</v>
      </c>
      <c r="D99" s="285">
        <f t="shared" ca="1" si="55"/>
        <v>0</v>
      </c>
      <c r="E99" s="285">
        <f t="shared" ca="1" si="55"/>
        <v>-2.3341908218717269E-4</v>
      </c>
      <c r="F99" s="285">
        <f t="shared" ca="1" si="55"/>
        <v>-4.4970189271945852E-4</v>
      </c>
      <c r="G99" s="285">
        <f t="shared" ca="1" si="55"/>
        <v>-6.6349504927668294E-4</v>
      </c>
      <c r="H99" s="285">
        <f t="shared" ca="1" si="55"/>
        <v>-8.9544345323390537E-4</v>
      </c>
      <c r="I99" s="285">
        <f t="shared" ca="1" si="55"/>
        <v>-1.1079099271680041E-3</v>
      </c>
    </row>
    <row r="100" spans="1:20" s="759" customFormat="1" outlineLevel="1">
      <c r="A100" s="61" t="s">
        <v>646</v>
      </c>
      <c r="B100" s="119"/>
      <c r="C100" s="285">
        <f t="shared" ref="C100:I100" ca="1" si="56">+C10*(C88)</f>
        <v>0</v>
      </c>
      <c r="D100" s="285">
        <f t="shared" ca="1" si="56"/>
        <v>0</v>
      </c>
      <c r="E100" s="285">
        <f t="shared" ca="1" si="56"/>
        <v>1.8036929078099707E-4</v>
      </c>
      <c r="F100" s="285">
        <f t="shared" ca="1" si="56"/>
        <v>3.4749691710139974E-4</v>
      </c>
      <c r="G100" s="285">
        <f t="shared" ca="1" si="56"/>
        <v>5.1270071989561864E-4</v>
      </c>
      <c r="H100" s="285">
        <f t="shared" ca="1" si="56"/>
        <v>6.9193357749892687E-4</v>
      </c>
      <c r="I100" s="285">
        <f t="shared" ca="1" si="56"/>
        <v>8.5611221644800309E-4</v>
      </c>
    </row>
    <row r="101" spans="1:20" outlineLevel="1">
      <c r="A101" s="61" t="s">
        <v>647</v>
      </c>
      <c r="B101" s="119"/>
      <c r="C101" s="285">
        <f t="shared" ref="C101:I101" ca="1" si="57">+C11*(C89)</f>
        <v>0</v>
      </c>
      <c r="D101" s="285">
        <f t="shared" ca="1" si="57"/>
        <v>0</v>
      </c>
      <c r="E101" s="285">
        <f t="shared" ca="1" si="57"/>
        <v>5.7293774718669655E-4</v>
      </c>
      <c r="F101" s="285">
        <f t="shared" ca="1" si="57"/>
        <v>1.1038137366750345E-3</v>
      </c>
      <c r="G101" s="285">
        <f t="shared" ca="1" si="57"/>
        <v>1.6285787573154943E-3</v>
      </c>
      <c r="H101" s="285">
        <f t="shared" ca="1" si="57"/>
        <v>2.1979066579377675E-3</v>
      </c>
      <c r="I101" s="285">
        <f t="shared" ca="1" si="57"/>
        <v>2.7194152757760099E-3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1.1182896028421818E-2</v>
      </c>
      <c r="F104" s="296">
        <f t="shared" ca="1" si="60"/>
        <v>2.1544808860286785E-2</v>
      </c>
      <c r="G104" s="296">
        <f t="shared" ca="1" si="60"/>
        <v>3.1787444633528353E-2</v>
      </c>
      <c r="H104" s="296">
        <f t="shared" ca="1" si="60"/>
        <v>4.2899881804933461E-2</v>
      </c>
      <c r="I104" s="296">
        <f t="shared" ca="1" si="60"/>
        <v>5.3078957419776182E-2</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2.0440995123611753E-2</v>
      </c>
      <c r="G105" s="124">
        <f t="shared" ca="1" si="61"/>
        <v>3.0158865876212863E-2</v>
      </c>
      <c r="H105" s="124">
        <f t="shared" ca="1" si="61"/>
        <v>4.0701975146995702E-2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2.179406219556225E-2</v>
      </c>
      <c r="Q113" s="285">
        <f ca="1">IF($B113&lt;&gt;0,(+VLOOKUP($B113,$A$8:$I$13,6,FALSE)+VLOOKUP($B113,$A$42:$I$47,6,FALSE))*(F113),0)</f>
        <v>4.4484347559931692E-2</v>
      </c>
      <c r="R113" s="285">
        <f ca="1">IF($B113&lt;&gt;0,(+VLOOKUP($B113,$A$8:$I$13,7,FALSE)+VLOOKUP($B113,$A$42:$I$47,7,FALSE))*(G113),0)</f>
        <v>6.9357351691365851E-2</v>
      </c>
      <c r="S113" s="285">
        <f ca="1">IF($B113&lt;&gt;0,(+VLOOKUP($B113,$A$8:$I$13,8,FALSE)+VLOOKUP($B113,$A$42:$I$47,8,FALSE))*(H113),0)</f>
        <v>9.5325826733203889E-2</v>
      </c>
      <c r="T113" s="285">
        <f ca="1">IF($B113&lt;&gt;0,(+VLOOKUP($B113,$A$8:$I$13,9,FALSE)+VLOOKUP($B113,$A$42:$I$47,9,FALSE))*(I113),0)</f>
        <v>0.12228047712483364</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8.5901846453903161E-5</v>
      </c>
      <c r="Q115" s="285">
        <f t="shared" ca="1" si="68"/>
        <v>1.7390865659393684E-4</v>
      </c>
      <c r="R115" s="285">
        <f t="shared" ca="1" si="69"/>
        <v>3.3475921461845827E-4</v>
      </c>
      <c r="S115" s="285">
        <f t="shared" ca="1" si="70"/>
        <v>5.2750153913837684E-4</v>
      </c>
      <c r="T115" s="285">
        <f t="shared" ca="1" si="71"/>
        <v>7.6225303993298558E-4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2.7286468873592766E-4</v>
      </c>
      <c r="Q116" s="285">
        <f t="shared" ca="1" si="68"/>
        <v>5.5241573271015232E-4</v>
      </c>
      <c r="R116" s="285">
        <f t="shared" ca="1" si="69"/>
        <v>1.063352799376279E-3</v>
      </c>
      <c r="S116" s="285">
        <f t="shared" ca="1" si="70"/>
        <v>1.6755931243219028E-3</v>
      </c>
      <c r="T116" s="285">
        <f t="shared" ca="1" si="71"/>
        <v>2.4212743621400716E-3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2.215282873075208E-2</v>
      </c>
      <c r="Q119" s="292">
        <f t="shared" ca="1" si="72"/>
        <v>4.5210671949235781E-2</v>
      </c>
      <c r="R119" s="292">
        <f t="shared" ca="1" si="72"/>
        <v>7.075546370536058E-2</v>
      </c>
      <c r="S119" s="292">
        <f t="shared" ca="1" si="72"/>
        <v>9.7528921396664164E-2</v>
      </c>
      <c r="T119" s="292">
        <f t="shared" ca="1" si="72"/>
        <v>0.1254640045269067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2.179406219556225E-2</v>
      </c>
      <c r="F134" s="285">
        <f t="shared" ca="1" si="75"/>
        <v>4.4484347559931692E-2</v>
      </c>
      <c r="G134" s="285">
        <f t="shared" ca="1" si="75"/>
        <v>6.9357351691365851E-2</v>
      </c>
      <c r="H134" s="285">
        <f t="shared" ca="1" si="75"/>
        <v>9.5325826733203889E-2</v>
      </c>
      <c r="I134" s="285">
        <f t="shared" ca="1" si="75"/>
        <v>0.12228047712483364</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8.5901846453903161E-5</v>
      </c>
      <c r="F136" s="285">
        <f t="shared" ca="1" si="77"/>
        <v>1.7390865659393684E-4</v>
      </c>
      <c r="G136" s="285">
        <f t="shared" ca="1" si="77"/>
        <v>3.3475921461845827E-4</v>
      </c>
      <c r="H136" s="285">
        <f t="shared" ca="1" si="77"/>
        <v>5.2750153913837684E-4</v>
      </c>
      <c r="I136" s="285">
        <f t="shared" ca="1" si="77"/>
        <v>7.6225303993298558E-4</v>
      </c>
    </row>
    <row r="137" spans="1:16" outlineLevel="1">
      <c r="A137" s="61" t="s">
        <v>647</v>
      </c>
      <c r="B137" s="119"/>
      <c r="C137" s="285">
        <f ca="1">(+C11+C45)*(C$125)</f>
        <v>0</v>
      </c>
      <c r="D137" s="285">
        <f t="shared" ref="D137:I137" ca="1" si="78">(+D11+D45)*(D$125)</f>
        <v>0</v>
      </c>
      <c r="E137" s="285">
        <f t="shared" ca="1" si="78"/>
        <v>2.7286468873592766E-4</v>
      </c>
      <c r="F137" s="285">
        <f t="shared" ca="1" si="78"/>
        <v>5.5241573271015232E-4</v>
      </c>
      <c r="G137" s="285">
        <f t="shared" ca="1" si="78"/>
        <v>1.063352799376279E-3</v>
      </c>
      <c r="H137" s="285">
        <f t="shared" ca="1" si="78"/>
        <v>1.6755931243219028E-3</v>
      </c>
      <c r="I137" s="285">
        <f t="shared" ca="1" si="78"/>
        <v>2.4212743621400716E-3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2.215282873075208E-2</v>
      </c>
      <c r="F140" s="296">
        <f t="shared" ca="1" si="81"/>
        <v>4.5210671949235781E-2</v>
      </c>
      <c r="G140" s="296">
        <f t="shared" ca="1" si="81"/>
        <v>7.075546370536058E-2</v>
      </c>
      <c r="H140" s="296">
        <f t="shared" ca="1" si="81"/>
        <v>9.7528921396664164E-2</v>
      </c>
      <c r="I140" s="296">
        <f t="shared" ca="1" si="81"/>
        <v>0.1254640045269067</v>
      </c>
    </row>
    <row r="141" spans="1:16" ht="13.5" outlineLevel="1" thickBot="1">
      <c r="A141" s="122" t="s">
        <v>148</v>
      </c>
      <c r="B141" s="126"/>
      <c r="C141" s="124">
        <f t="shared" ref="C141:I141" ca="1" si="82">IF((+C36+C48)&lt;&gt;0,+C140/(+C36+C48),0)</f>
        <v>0</v>
      </c>
      <c r="D141" s="124">
        <f t="shared" ca="1" si="82"/>
        <v>0</v>
      </c>
      <c r="E141" s="124">
        <f t="shared" ca="1" si="82"/>
        <v>2.0797206576776452E-2</v>
      </c>
      <c r="F141" s="124">
        <f t="shared" ca="1" si="82"/>
        <v>4.2035135660357832E-2</v>
      </c>
      <c r="G141" s="124">
        <f t="shared" ca="1" si="82"/>
        <v>6.5165115009449895E-2</v>
      </c>
      <c r="H141" s="124">
        <f t="shared" ca="1" si="82"/>
        <v>8.8913239042547526E-2</v>
      </c>
      <c r="I141" s="124">
        <f t="shared" ca="1" si="82"/>
        <v>0.11332886754466057</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(SEM)'!$N$196:$R$201</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1.0539999999999998</v>
      </c>
      <c r="E205" s="82">
        <f t="shared" ca="1" si="95"/>
        <v>1.0539999999999998</v>
      </c>
      <c r="F205" s="82">
        <f t="shared" ca="1" si="95"/>
        <v>1.0539999999999998</v>
      </c>
      <c r="G205" s="82">
        <f t="shared" ca="1" si="95"/>
        <v>1.0539999999999998</v>
      </c>
      <c r="H205" s="82">
        <f t="shared" ca="1" si="95"/>
        <v>1.0539999999999998</v>
      </c>
      <c r="I205" s="82">
        <f t="shared" ca="1" si="95"/>
        <v>1.0539999999999998</v>
      </c>
    </row>
    <row r="206" spans="1:9" outlineLevel="1">
      <c r="A206" t="s">
        <v>156</v>
      </c>
      <c r="B206" s="82">
        <f t="shared" ref="B206:I206" ca="1" si="96">+B36</f>
        <v>0</v>
      </c>
      <c r="C206" s="82">
        <f t="shared" ca="1" si="96"/>
        <v>0</v>
      </c>
      <c r="D206" s="82">
        <f t="shared" ca="1" si="96"/>
        <v>1.0539999999999998</v>
      </c>
      <c r="E206" s="82">
        <f t="shared" ca="1" si="96"/>
        <v>1.0539999999999998</v>
      </c>
      <c r="F206" s="82">
        <f t="shared" ca="1" si="96"/>
        <v>1.0539999999999998</v>
      </c>
      <c r="G206" s="82">
        <f t="shared" ca="1" si="96"/>
        <v>1.0539999999999998</v>
      </c>
      <c r="H206" s="82">
        <f t="shared" ca="1" si="96"/>
        <v>1.0539999999999998</v>
      </c>
      <c r="I206" s="82">
        <f t="shared" ca="1" si="96"/>
        <v>1.0539999999999998</v>
      </c>
    </row>
    <row r="207" spans="1:9" outlineLevel="1">
      <c r="A207" t="s">
        <v>157</v>
      </c>
      <c r="B207" s="82">
        <f t="shared" ref="B207:I207" ca="1" si="97">+B36+B48</f>
        <v>0</v>
      </c>
      <c r="C207" s="82">
        <f t="shared" ca="1" si="97"/>
        <v>0</v>
      </c>
      <c r="D207" s="82">
        <f t="shared" ca="1" si="97"/>
        <v>1.0539999999999998</v>
      </c>
      <c r="E207" s="82">
        <f t="shared" ca="1" si="97"/>
        <v>1.0651828960284218</v>
      </c>
      <c r="F207" s="82">
        <f t="shared" ca="1" si="97"/>
        <v>1.0755448088602866</v>
      </c>
      <c r="G207" s="82">
        <f t="shared" ca="1" si="97"/>
        <v>1.0857874446335283</v>
      </c>
      <c r="H207" s="82">
        <f t="shared" ca="1" si="97"/>
        <v>1.0968998818049334</v>
      </c>
      <c r="I207" s="82">
        <f t="shared" ca="1" si="97"/>
        <v>1.1070789574197759</v>
      </c>
    </row>
    <row r="208" spans="1:9" outlineLevel="1">
      <c r="A208" t="s">
        <v>158</v>
      </c>
      <c r="B208" s="82">
        <f t="shared" ref="B208:I208" ca="1" si="98">+B70</f>
        <v>0</v>
      </c>
      <c r="C208" s="82">
        <f t="shared" ca="1" si="98"/>
        <v>0</v>
      </c>
      <c r="D208" s="82">
        <f t="shared" ca="1" si="98"/>
        <v>1.0539999999999998</v>
      </c>
      <c r="E208" s="82">
        <f t="shared" ca="1" si="98"/>
        <v>1.0873357247591739</v>
      </c>
      <c r="F208" s="82">
        <f t="shared" ca="1" si="98"/>
        <v>1.1207554808095226</v>
      </c>
      <c r="G208" s="82">
        <f t="shared" ca="1" si="98"/>
        <v>1.1565429083388887</v>
      </c>
      <c r="H208" s="82">
        <f t="shared" ca="1" si="98"/>
        <v>1.1944288032015975</v>
      </c>
      <c r="I208" s="82">
        <f t="shared" ca="1" si="98"/>
        <v>1.2325429619466826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75" priority="1" stopIfTrue="1" operator="notEqual">
      <formula>0</formula>
    </cfRule>
  </conditionalFormatting>
  <conditionalFormatting sqref="J130 J94 J70 J59 J48 J36:J37 J14 J25">
    <cfRule type="cellIs" dxfId="274" priority="2" stopIfTrue="1" operator="equal">
      <formula>"OK"</formula>
    </cfRule>
    <cfRule type="cellIs" dxfId="273" priority="3" stopIfTrue="1" operator="equal">
      <formula>"Warning Check Escalations"</formula>
    </cfRule>
  </conditionalFormatting>
  <conditionalFormatting sqref="N120:T120 N84:T84">
    <cfRule type="cellIs" dxfId="272" priority="4" stopIfTrue="1" operator="notEqual">
      <formula>0</formula>
    </cfRule>
    <cfRule type="cellIs" dxfId="27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6.xml><?xml version="1.0" encoding="utf-8"?>
<worksheet xmlns="http://schemas.openxmlformats.org/spreadsheetml/2006/main" xmlns:r="http://schemas.openxmlformats.org/officeDocument/2006/relationships">
  <sheetPr codeName="Sheet79" enableFormatConditionsCalculation="0">
    <tabColor indexed="57"/>
    <pageSetUpPr fitToPage="1"/>
  </sheetPr>
  <dimension ref="A1:T239"/>
  <sheetViews>
    <sheetView showGridLines="0" topLeftCell="A145" zoomScaleNormal="100" workbookViewId="0">
      <selection activeCell="L70" sqref="L70"/>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23</v>
      </c>
      <c r="M1" s="282"/>
      <c r="N1" s="280"/>
      <c r="O1" s="280"/>
      <c r="P1" s="280"/>
      <c r="Q1" s="280"/>
      <c r="R1" s="280"/>
      <c r="S1" s="280"/>
      <c r="T1" s="280"/>
    </row>
    <row r="2" spans="1:20" ht="15.75">
      <c r="A2" s="184" t="s">
        <v>121</v>
      </c>
      <c r="B2" s="74" t="str">
        <f ca="1">OFFSET(List_AllocOpexListStart,+$K$1,1)</f>
        <v>Information Technology</v>
      </c>
      <c r="F2" s="284"/>
      <c r="H2" s="42"/>
      <c r="I2" s="283"/>
      <c r="L2" s="282"/>
      <c r="M2" s="282"/>
    </row>
    <row r="3" spans="1:20" ht="16.5" thickBot="1">
      <c r="A3" s="184" t="s">
        <v>371</v>
      </c>
      <c r="B3" s="236" t="str">
        <f ca="1">OFFSET(List_AllocOpexListStart,+$K$1,2)</f>
        <v>Janette Bettcher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11.222</v>
      </c>
      <c r="E8" s="285">
        <f ca="1">OFFSET(Future_AOpexStart,MATCH($K$1,'I-6 Future A'!$A$6:$A$379)+2,+'I-5 Future DA'!F$5)</f>
        <v>11.222</v>
      </c>
      <c r="F8" s="285">
        <f ca="1">OFFSET(Future_AOpexStart,MATCH($K$1,'I-6 Future A'!$A$6:$A$379)+2,+'I-5 Future DA'!G$5)</f>
        <v>11.222</v>
      </c>
      <c r="G8" s="285">
        <f ca="1">OFFSET(Future_AOpexStart,MATCH($K$1,'I-6 Future A'!$A$6:$A$379)+2,+'I-5 Future DA'!H$5)</f>
        <v>11.222</v>
      </c>
      <c r="H8" s="285">
        <f ca="1">OFFSET(Future_AOpexStart,MATCH($K$1,'I-6 Future A'!$A$6:$A$379)+2,+'I-5 Future DA'!I$5)</f>
        <v>11.222</v>
      </c>
      <c r="I8" s="285">
        <f ca="1">OFFSET(Future_AOpexStart,MATCH($K$1,'I-6 Future A'!$A$6:$A$379)+2,+'I-5 Future DA'!J$5)</f>
        <v>11.222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0.36699999999999999</v>
      </c>
      <c r="E9" s="285">
        <f ca="1">OFFSET(Future_AOpexStart,MATCH($K$1,'I-6 Future A'!$A$6:$A$379)+3,+'I-5 Future DA'!F$5)</f>
        <v>0.36699999999999999</v>
      </c>
      <c r="F9" s="285">
        <f ca="1">OFFSET(Future_AOpexStart,MATCH($K$1,'I-6 Future A'!$A$6:$A$379)+3,+'I-5 Future DA'!G$5)</f>
        <v>0.36699999999999999</v>
      </c>
      <c r="G9" s="285">
        <f ca="1">OFFSET(Future_AOpexStart,MATCH($K$1,'I-6 Future A'!$A$6:$A$379)+3,+'I-5 Future DA'!H$5)</f>
        <v>0.36699999999999999</v>
      </c>
      <c r="H9" s="285">
        <f ca="1">OFFSET(Future_AOpexStart,MATCH($K$1,'I-6 Future A'!$A$6:$A$379)+3,+'I-5 Future DA'!I$5)</f>
        <v>0.36699999999999999</v>
      </c>
      <c r="I9" s="285">
        <f ca="1">OFFSET(Future_AOpexStart,MATCH($K$1,'I-6 Future A'!$A$6:$A$379)+3,+'I-5 Future DA'!J$5)</f>
        <v>0.36699999999999999</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-7.3999999999999996E-2</v>
      </c>
      <c r="E10" s="285">
        <f ca="1">OFFSET(Future_AOpexStart,MATCH($K$1,'I-6 Future A'!$A$6:$A$379)+4,+'I-5 Future DA'!F$5)</f>
        <v>-7.3999999999999996E-2</v>
      </c>
      <c r="F10" s="285">
        <f ca="1">OFFSET(Future_AOpexStart,MATCH($K$1,'I-6 Future A'!$A$6:$A$379)+4,+'I-5 Future DA'!G$5)</f>
        <v>-7.3999999999999996E-2</v>
      </c>
      <c r="G10" s="285">
        <f ca="1">OFFSET(Future_AOpexStart,MATCH($K$1,'I-6 Future A'!$A$6:$A$379)+4,+'I-5 Future DA'!H$5)</f>
        <v>-7.3999999999999996E-2</v>
      </c>
      <c r="H10" s="285">
        <f ca="1">OFFSET(Future_AOpexStart,MATCH($K$1,'I-6 Future A'!$A$6:$A$379)+4,+'I-5 Future DA'!I$5)</f>
        <v>-7.3999999999999996E-2</v>
      </c>
      <c r="I10" s="285">
        <f ca="1">OFFSET(Future_AOpexStart,MATCH($K$1,'I-6 Future A'!$A$6:$A$379)+4,+'I-5 Future DA'!J$5)</f>
        <v>-7.3999999999999996E-2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6.4559999999999995</v>
      </c>
      <c r="E11" s="285">
        <f ca="1">OFFSET(Future_AOpexStart,MATCH($K$1,'I-6 Future A'!$A$6:$A$379)+5,+'I-5 Future DA'!F$5)</f>
        <v>6.4559999999999995</v>
      </c>
      <c r="F11" s="285">
        <f ca="1">OFFSET(Future_AOpexStart,MATCH($K$1,'I-6 Future A'!$A$6:$A$379)+5,+'I-5 Future DA'!G$5)</f>
        <v>6.4559999999999995</v>
      </c>
      <c r="G11" s="285">
        <f ca="1">OFFSET(Future_AOpexStart,MATCH($K$1,'I-6 Future A'!$A$6:$A$379)+5,+'I-5 Future DA'!H$5)</f>
        <v>6.4559999999999995</v>
      </c>
      <c r="H11" s="285">
        <f ca="1">OFFSET(Future_AOpexStart,MATCH($K$1,'I-6 Future A'!$A$6:$A$379)+5,+'I-5 Future DA'!I$5)</f>
        <v>6.4559999999999995</v>
      </c>
      <c r="I11" s="285">
        <f ca="1">OFFSET(Future_AOpexStart,MATCH($K$1,'I-6 Future A'!$A$6:$A$379)+5,+'I-5 Future DA'!J$5)</f>
        <v>6.4559999999999995</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-2.6140000000000003</v>
      </c>
      <c r="E12" s="285">
        <f ca="1">OFFSET(Future_AOpexStart,MATCH($K$1,'I-6 Future A'!$A$6:$A$379)+6,+'I-5 Future DA'!F$5)</f>
        <v>-2.6140000000000003</v>
      </c>
      <c r="F12" s="285">
        <f ca="1">OFFSET(Future_AOpexStart,MATCH($K$1,'I-6 Future A'!$A$6:$A$379)+6,+'I-5 Future DA'!G$5)</f>
        <v>-2.6140000000000003</v>
      </c>
      <c r="G12" s="285">
        <f ca="1">OFFSET(Future_AOpexStart,MATCH($K$1,'I-6 Future A'!$A$6:$A$379)+6,+'I-5 Future DA'!H$5)</f>
        <v>-2.6140000000000003</v>
      </c>
      <c r="H12" s="285">
        <f ca="1">OFFSET(Future_AOpexStart,MATCH($K$1,'I-6 Future A'!$A$6:$A$379)+6,+'I-5 Future DA'!I$5)</f>
        <v>-2.6140000000000003</v>
      </c>
      <c r="I12" s="285">
        <f ca="1">OFFSET(Future_AOpexStart,MATCH($K$1,'I-6 Future A'!$A$6:$A$379)+6,+'I-5 Future DA'!J$5)</f>
        <v>-2.6140000000000003</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15.356999999999996</v>
      </c>
      <c r="E14" s="287">
        <f t="shared" ca="1" si="0"/>
        <v>15.356999999999996</v>
      </c>
      <c r="F14" s="287">
        <f t="shared" ca="1" si="0"/>
        <v>15.356999999999996</v>
      </c>
      <c r="G14" s="287">
        <f t="shared" ca="1" si="0"/>
        <v>15.356999999999996</v>
      </c>
      <c r="H14" s="287">
        <f t="shared" ca="1" si="0"/>
        <v>15.356999999999996</v>
      </c>
      <c r="I14" s="287">
        <f t="shared" ca="1" si="0"/>
        <v>15.356999999999996</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0.9064255683297987</v>
      </c>
      <c r="E19" s="285">
        <f t="shared" si="1"/>
        <v>1.24</v>
      </c>
      <c r="F19" s="285">
        <f t="shared" si="1"/>
        <v>1.579</v>
      </c>
      <c r="G19" s="285">
        <f t="shared" si="1"/>
        <v>2.0110000000000001</v>
      </c>
      <c r="H19" s="285">
        <f t="shared" si="1"/>
        <v>2.0110000000000001</v>
      </c>
      <c r="I19" s="285">
        <f t="shared" si="1"/>
        <v>2.0110000000000001</v>
      </c>
      <c r="J19" s="42"/>
      <c r="K19" s="21"/>
      <c r="L19" s="21"/>
    </row>
    <row r="20" spans="1:12" outlineLevel="1">
      <c r="A20" s="61" t="s">
        <v>69</v>
      </c>
      <c r="B20" s="289"/>
      <c r="C20" s="285">
        <f t="shared" si="1"/>
        <v>0</v>
      </c>
      <c r="D20" s="285">
        <f t="shared" si="1"/>
        <v>0</v>
      </c>
      <c r="E20" s="285">
        <f t="shared" si="1"/>
        <v>0.121</v>
      </c>
      <c r="F20" s="285">
        <f t="shared" si="1"/>
        <v>0.29099999999999998</v>
      </c>
      <c r="G20" s="285">
        <f t="shared" si="1"/>
        <v>0.3</v>
      </c>
      <c r="H20" s="285">
        <f t="shared" si="1"/>
        <v>0.313</v>
      </c>
      <c r="I20" s="285">
        <f t="shared" si="1"/>
        <v>0.313</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0.9064255683297987</v>
      </c>
      <c r="E22" s="285">
        <f t="shared" si="3"/>
        <v>1.3460000000000001</v>
      </c>
      <c r="F22" s="285">
        <f t="shared" si="3"/>
        <v>1.181</v>
      </c>
      <c r="G22" s="285">
        <f t="shared" si="3"/>
        <v>1.905</v>
      </c>
      <c r="H22" s="285">
        <f t="shared" si="3"/>
        <v>2.0419999999999998</v>
      </c>
      <c r="I22" s="285">
        <f t="shared" si="3"/>
        <v>2.097</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1.8128511366595974</v>
      </c>
      <c r="E25" s="287">
        <f t="shared" si="6"/>
        <v>2.7069999999999999</v>
      </c>
      <c r="F25" s="287">
        <f t="shared" si="6"/>
        <v>3.0510000000000002</v>
      </c>
      <c r="G25" s="287">
        <f t="shared" si="6"/>
        <v>4.2160000000000002</v>
      </c>
      <c r="H25" s="287">
        <f t="shared" si="6"/>
        <v>4.3659999999999997</v>
      </c>
      <c r="I25" s="287">
        <f t="shared" si="6"/>
        <v>4.4210000000000003</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+'A-23'!B8+'A-23'!B19</f>
        <v>0</v>
      </c>
      <c r="C30" s="285">
        <f ca="1">+'A-23'!C8+'A-23'!C19</f>
        <v>0</v>
      </c>
      <c r="D30" s="285">
        <f ca="1">+'A-23'!D8+'A-23'!D19</f>
        <v>12.128425568329797</v>
      </c>
      <c r="E30" s="285">
        <f ca="1">+'A-23'!E8+'A-23'!E19</f>
        <v>12.462</v>
      </c>
      <c r="F30" s="285">
        <f ca="1">+'A-23'!F8+'A-23'!F19</f>
        <v>12.801</v>
      </c>
      <c r="G30" s="285">
        <f ca="1">+'A-23'!G8+'A-23'!G19</f>
        <v>13.233000000000001</v>
      </c>
      <c r="H30" s="285">
        <f ca="1">+'A-23'!H8+'A-23'!H19</f>
        <v>13.233000000000001</v>
      </c>
      <c r="I30" s="285">
        <f ca="1">+'A-23'!I8+'A-23'!I19</f>
        <v>13.233000000000001</v>
      </c>
      <c r="J30" s="42"/>
      <c r="K30" s="21"/>
      <c r="L30" s="21"/>
    </row>
    <row r="31" spans="1:12" outlineLevel="2">
      <c r="A31" s="61" t="s">
        <v>69</v>
      </c>
      <c r="B31" s="285">
        <f ca="1">+'A-23'!B9+'A-23'!B20</f>
        <v>0</v>
      </c>
      <c r="C31" s="285">
        <f ca="1">+'A-23'!C9+'A-23'!C20</f>
        <v>0</v>
      </c>
      <c r="D31" s="285">
        <f ca="1">+'A-23'!D9+'A-23'!D20</f>
        <v>0.36699999999999999</v>
      </c>
      <c r="E31" s="285">
        <f ca="1">+'A-23'!E9+'A-23'!E20</f>
        <v>0.48799999999999999</v>
      </c>
      <c r="F31" s="285">
        <f ca="1">+'A-23'!F9+'A-23'!F20</f>
        <v>0.65799999999999992</v>
      </c>
      <c r="G31" s="285">
        <f ca="1">+'A-23'!G9+'A-23'!G20</f>
        <v>0.66700000000000004</v>
      </c>
      <c r="H31" s="285">
        <f ca="1">+'A-23'!H9+'A-23'!H20</f>
        <v>0.67999999999999994</v>
      </c>
      <c r="I31" s="285">
        <f ca="1">+'A-23'!I9+'A-23'!I20</f>
        <v>0.67999999999999994</v>
      </c>
      <c r="J31" s="42"/>
      <c r="K31" s="21"/>
      <c r="L31" s="21"/>
    </row>
    <row r="32" spans="1:12" s="759" customFormat="1" outlineLevel="2">
      <c r="A32" s="61" t="s">
        <v>646</v>
      </c>
      <c r="B32" s="285">
        <f ca="1">+'A-23'!B10+'A-23'!B21</f>
        <v>0</v>
      </c>
      <c r="C32" s="285">
        <f ca="1">+'A-23'!C10+'A-23'!C21</f>
        <v>0</v>
      </c>
      <c r="D32" s="285">
        <f ca="1">+'A-23'!D10+'A-23'!D21</f>
        <v>-7.3999999999999996E-2</v>
      </c>
      <c r="E32" s="285">
        <f ca="1">+'A-23'!E10+'A-23'!E21</f>
        <v>-7.3999999999999996E-2</v>
      </c>
      <c r="F32" s="285">
        <f ca="1">+'A-23'!F10+'A-23'!F21</f>
        <v>-7.3999999999999996E-2</v>
      </c>
      <c r="G32" s="285">
        <f ca="1">+'A-23'!G10+'A-23'!G21</f>
        <v>-7.3999999999999996E-2</v>
      </c>
      <c r="H32" s="285">
        <f ca="1">+'A-23'!H10+'A-23'!H21</f>
        <v>-7.3999999999999996E-2</v>
      </c>
      <c r="I32" s="285">
        <f ca="1">+'A-23'!I10+'A-23'!I21</f>
        <v>-7.3999999999999996E-2</v>
      </c>
      <c r="J32" s="42"/>
      <c r="K32" s="732"/>
      <c r="L32" s="732"/>
    </row>
    <row r="33" spans="1:12" outlineLevel="2">
      <c r="A33" s="61" t="s">
        <v>647</v>
      </c>
      <c r="B33" s="285">
        <f ca="1">+'A-23'!B11+'A-23'!B22</f>
        <v>0</v>
      </c>
      <c r="C33" s="285">
        <f ca="1">+'A-23'!C11+'A-23'!C22</f>
        <v>0</v>
      </c>
      <c r="D33" s="285">
        <f ca="1">+'A-23'!D11+'A-23'!D22</f>
        <v>7.3624255683297983</v>
      </c>
      <c r="E33" s="285">
        <f ca="1">+'A-23'!E11+'A-23'!E22</f>
        <v>7.8019999999999996</v>
      </c>
      <c r="F33" s="285">
        <f ca="1">+'A-23'!F11+'A-23'!F22</f>
        <v>7.6369999999999996</v>
      </c>
      <c r="G33" s="285">
        <f ca="1">+'A-23'!G11+'A-23'!G22</f>
        <v>8.3609999999999989</v>
      </c>
      <c r="H33" s="285">
        <f ca="1">+'A-23'!H11+'A-23'!H22</f>
        <v>8.4979999999999993</v>
      </c>
      <c r="I33" s="285">
        <f ca="1">+'A-23'!I11+'A-23'!I22</f>
        <v>8.552999999999999</v>
      </c>
      <c r="J33" s="42"/>
      <c r="K33" s="21"/>
      <c r="L33" s="21"/>
    </row>
    <row r="34" spans="1:12" s="759" customFormat="1" outlineLevel="2">
      <c r="A34" s="61" t="s">
        <v>575</v>
      </c>
      <c r="B34" s="285">
        <f ca="1">+'A-23'!B12+'A-23'!B23</f>
        <v>0</v>
      </c>
      <c r="C34" s="285">
        <f ca="1">+'A-23'!C12+'A-23'!C23</f>
        <v>0</v>
      </c>
      <c r="D34" s="285">
        <f ca="1">+'A-23'!D12+'A-23'!D23</f>
        <v>-2.6140000000000003</v>
      </c>
      <c r="E34" s="285">
        <f ca="1">+'A-23'!E12+'A-23'!E23</f>
        <v>-2.6140000000000003</v>
      </c>
      <c r="F34" s="285">
        <f ca="1">+'A-23'!F12+'A-23'!F23</f>
        <v>-2.6140000000000003</v>
      </c>
      <c r="G34" s="285">
        <f ca="1">+'A-23'!G12+'A-23'!G23</f>
        <v>-2.6140000000000003</v>
      </c>
      <c r="H34" s="285">
        <f ca="1">+'A-23'!H12+'A-23'!H23</f>
        <v>-2.6140000000000003</v>
      </c>
      <c r="I34" s="285">
        <f ca="1">+'A-23'!I12+'A-23'!I23</f>
        <v>-2.6140000000000003</v>
      </c>
      <c r="J34" s="42"/>
      <c r="K34" s="732"/>
      <c r="L34" s="732"/>
    </row>
    <row r="35" spans="1:12" ht="13.5" outlineLevel="2" thickBot="1">
      <c r="A35" s="83" t="s">
        <v>70</v>
      </c>
      <c r="B35" s="285">
        <f ca="1">+'A-23'!B13+'A-23'!B24</f>
        <v>0</v>
      </c>
      <c r="C35" s="285">
        <f ca="1">+'A-23'!C13+'A-23'!C24</f>
        <v>0</v>
      </c>
      <c r="D35" s="285">
        <f ca="1">+'A-23'!D13+'A-23'!D24</f>
        <v>0</v>
      </c>
      <c r="E35" s="285">
        <f ca="1">+'A-23'!E13+'A-23'!E24</f>
        <v>0</v>
      </c>
      <c r="F35" s="285">
        <f ca="1">+'A-23'!F13+'A-23'!F24</f>
        <v>0</v>
      </c>
      <c r="G35" s="285">
        <f ca="1">+'A-23'!G13+'A-23'!G24</f>
        <v>0</v>
      </c>
      <c r="H35" s="285">
        <f ca="1">+'A-23'!H13+'A-23'!H24</f>
        <v>0</v>
      </c>
      <c r="I35" s="285">
        <f ca="1">+'A-23'!I13+'A-23'!I24</f>
        <v>0</v>
      </c>
      <c r="J35" s="93"/>
      <c r="K35" s="21"/>
      <c r="L35" s="21"/>
    </row>
    <row r="36" spans="1:12" s="87" customFormat="1" ht="20.25" customHeight="1" thickBot="1">
      <c r="A36" s="94" t="s">
        <v>128</v>
      </c>
      <c r="B36" s="294">
        <f t="shared" ref="B36:I36" ca="1" si="7">SUM(B30:B35)</f>
        <v>0</v>
      </c>
      <c r="C36" s="294">
        <f t="shared" ca="1" si="7"/>
        <v>0</v>
      </c>
      <c r="D36" s="294">
        <f t="shared" ca="1" si="7"/>
        <v>17.169851136659595</v>
      </c>
      <c r="E36" s="294">
        <f t="shared" ca="1" si="7"/>
        <v>18.063999999999997</v>
      </c>
      <c r="F36" s="294">
        <f t="shared" ca="1" si="7"/>
        <v>18.407999999999998</v>
      </c>
      <c r="G36" s="294">
        <f t="shared" ca="1" si="7"/>
        <v>19.572999999999997</v>
      </c>
      <c r="H36" s="294">
        <f t="shared" ca="1" si="7"/>
        <v>19.722999999999999</v>
      </c>
      <c r="I36" s="294">
        <f t="shared" ca="1" si="7"/>
        <v>19.777999999999999</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0.11906495183202052</v>
      </c>
      <c r="F42" s="285">
        <f t="shared" ca="1" si="8"/>
        <v>0.22938884727717104</v>
      </c>
      <c r="G42" s="285">
        <f t="shared" ca="1" si="8"/>
        <v>0.33844279286286066</v>
      </c>
      <c r="H42" s="285">
        <f t="shared" ca="1" si="8"/>
        <v>0.45675756509958565</v>
      </c>
      <c r="I42" s="285">
        <f t="shared" ca="1" si="8"/>
        <v>0.56513478193997002</v>
      </c>
      <c r="K42" s="63"/>
      <c r="L42" s="63"/>
    </row>
    <row r="43" spans="1:12" outlineLevel="1">
      <c r="A43" s="61" t="s">
        <v>69</v>
      </c>
      <c r="B43" s="82"/>
      <c r="C43" s="285">
        <f t="shared" ca="1" si="8"/>
        <v>0</v>
      </c>
      <c r="D43" s="285">
        <f t="shared" ca="1" si="8"/>
        <v>0</v>
      </c>
      <c r="E43" s="285">
        <f t="shared" ca="1" si="8"/>
        <v>3.8938546892132893E-3</v>
      </c>
      <c r="F43" s="285">
        <f t="shared" ca="1" si="8"/>
        <v>7.5018452103655115E-3</v>
      </c>
      <c r="G43" s="285">
        <f t="shared" ca="1" si="8"/>
        <v>1.1068303776570119E-2</v>
      </c>
      <c r="H43" s="285">
        <f t="shared" ca="1" si="8"/>
        <v>1.493762487894742E-2</v>
      </c>
      <c r="I43" s="285">
        <f t="shared" ca="1" si="8"/>
        <v>1.8481951966848067E-2</v>
      </c>
      <c r="K43" s="42"/>
      <c r="L43" s="21"/>
    </row>
    <row r="44" spans="1:12" s="759" customFormat="1" outlineLevel="1">
      <c r="A44" s="61" t="s">
        <v>646</v>
      </c>
      <c r="B44" s="82"/>
      <c r="C44" s="285">
        <f t="shared" ref="C44:I44" ca="1" si="9">+C100</f>
        <v>0</v>
      </c>
      <c r="D44" s="285">
        <f t="shared" ca="1" si="9"/>
        <v>0</v>
      </c>
      <c r="E44" s="285">
        <f t="shared" ca="1" si="9"/>
        <v>-7.8513691281139892E-4</v>
      </c>
      <c r="F44" s="285">
        <f t="shared" ca="1" si="9"/>
        <v>-1.5126336391472694E-3</v>
      </c>
      <c r="G44" s="285">
        <f t="shared" ca="1" si="9"/>
        <v>-2.2317560748397513E-3</v>
      </c>
      <c r="H44" s="285">
        <f t="shared" ca="1" si="9"/>
        <v>-3.0119461608776811E-3</v>
      </c>
      <c r="I44" s="285">
        <f t="shared" ca="1" si="9"/>
        <v>-3.7266061186560133E-3</v>
      </c>
      <c r="K44" s="42"/>
      <c r="L44" s="732"/>
    </row>
    <row r="45" spans="1:12" outlineLevel="1">
      <c r="A45" s="61" t="s">
        <v>647</v>
      </c>
      <c r="B45" s="82"/>
      <c r="C45" s="285">
        <f t="shared" ref="C45:I45" ca="1" si="10">+C101</f>
        <v>0</v>
      </c>
      <c r="D45" s="285">
        <f t="shared" ca="1" si="10"/>
        <v>0</v>
      </c>
      <c r="E45" s="285">
        <f t="shared" ca="1" si="10"/>
        <v>6.8497890663653943E-2</v>
      </c>
      <c r="F45" s="285">
        <f t="shared" ca="1" si="10"/>
        <v>0.13196706451803744</v>
      </c>
      <c r="G45" s="285">
        <f t="shared" ca="1" si="10"/>
        <v>0.1947056380968302</v>
      </c>
      <c r="H45" s="285">
        <f t="shared" ca="1" si="10"/>
        <v>0.26277195154900418</v>
      </c>
      <c r="I45" s="285">
        <f t="shared" ca="1" si="10"/>
        <v>0.32512120408166512</v>
      </c>
      <c r="K45" s="42"/>
      <c r="L45" s="21"/>
    </row>
    <row r="46" spans="1:12" s="759" customFormat="1" outlineLevel="1">
      <c r="A46" s="61" t="s">
        <v>575</v>
      </c>
      <c r="B46" s="82"/>
      <c r="C46" s="285">
        <f t="shared" ref="C46:I46" ca="1" si="11">+C102</f>
        <v>0</v>
      </c>
      <c r="D46" s="285">
        <f t="shared" ca="1" si="11"/>
        <v>0</v>
      </c>
      <c r="E46" s="285">
        <f t="shared" ca="1" si="11"/>
        <v>-2.773443094714861E-2</v>
      </c>
      <c r="F46" s="285">
        <f t="shared" ca="1" si="11"/>
        <v>-5.3432761253121117E-2</v>
      </c>
      <c r="G46" s="285">
        <f t="shared" ca="1" si="11"/>
        <v>-7.8835275400420429E-2</v>
      </c>
      <c r="H46" s="285">
        <f t="shared" ca="1" si="11"/>
        <v>-0.10639496303424675</v>
      </c>
      <c r="I46" s="285">
        <f t="shared" ca="1" si="11"/>
        <v>-0.13163984316441649</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0.16293712932492774</v>
      </c>
      <c r="F48" s="294">
        <f t="shared" ca="1" si="13"/>
        <v>0.31391236211330559</v>
      </c>
      <c r="G48" s="294">
        <f t="shared" ca="1" si="13"/>
        <v>0.4631497032610008</v>
      </c>
      <c r="H48" s="294">
        <f t="shared" ca="1" si="13"/>
        <v>0.6250602323324127</v>
      </c>
      <c r="I48" s="294">
        <f t="shared" ca="1" si="13"/>
        <v>0.77337148870541073</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0.24335618503343243</v>
      </c>
      <c r="F53" s="285">
        <f t="shared" ca="1" si="14"/>
        <v>0.49671974956970494</v>
      </c>
      <c r="G53" s="285">
        <f t="shared" ca="1" si="14"/>
        <v>0.77445592107513195</v>
      </c>
      <c r="H53" s="285">
        <f t="shared" ca="1" si="14"/>
        <v>1.0644243060696659</v>
      </c>
      <c r="I53" s="285">
        <f t="shared" ca="1" si="14"/>
        <v>1.3654044918357047</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-3.73925684564049E-4</v>
      </c>
      <c r="F55" s="285">
        <f t="shared" ca="1" si="15"/>
        <v>-7.5701415223243095E-4</v>
      </c>
      <c r="G55" s="285">
        <f t="shared" ca="1" si="15"/>
        <v>-1.4571871695156415E-3</v>
      </c>
      <c r="H55" s="285">
        <f t="shared" ca="1" si="15"/>
        <v>-2.2961831703670519E-3</v>
      </c>
      <c r="I55" s="285">
        <f t="shared" ca="1" si="15"/>
        <v>-3.3180426444141715E-3</v>
      </c>
      <c r="K55" s="42"/>
      <c r="L55" s="732"/>
    </row>
    <row r="56" spans="1:12" outlineLevel="1">
      <c r="A56" s="61" t="s">
        <v>647</v>
      </c>
      <c r="B56" s="285"/>
      <c r="C56" s="285">
        <f t="shared" ref="C56:I56" ca="1" si="16">+C137</f>
        <v>0</v>
      </c>
      <c r="D56" s="285">
        <f t="shared" ca="1" si="16"/>
        <v>0</v>
      </c>
      <c r="E56" s="285">
        <f t="shared" ca="1" si="16"/>
        <v>3.2622489453317569E-2</v>
      </c>
      <c r="F56" s="285">
        <f t="shared" ca="1" si="16"/>
        <v>6.6044369821791529E-2</v>
      </c>
      <c r="G56" s="285">
        <f t="shared" ca="1" si="16"/>
        <v>0.12712973468098623</v>
      </c>
      <c r="H56" s="285">
        <f t="shared" ca="1" si="16"/>
        <v>0.20032646686337413</v>
      </c>
      <c r="I56" s="285">
        <f t="shared" ca="1" si="16"/>
        <v>0.28947680151807959</v>
      </c>
      <c r="K56" s="42"/>
      <c r="L56" s="21"/>
    </row>
    <row r="57" spans="1:12" s="759" customFormat="1" outlineLevel="1">
      <c r="A57" s="61" t="s">
        <v>575</v>
      </c>
      <c r="B57" s="285"/>
      <c r="C57" s="285">
        <f t="shared" ref="C57:I57" ca="1" si="17">+C138</f>
        <v>0</v>
      </c>
      <c r="D57" s="285">
        <f t="shared" ca="1" si="17"/>
        <v>0</v>
      </c>
      <c r="E57" s="285">
        <f t="shared" ca="1" si="17"/>
        <v>-5.6686247342487298E-2</v>
      </c>
      <c r="F57" s="285">
        <f t="shared" ca="1" si="17"/>
        <v>-0.11570356668822036</v>
      </c>
      <c r="G57" s="285">
        <f t="shared" ca="1" si="17"/>
        <v>-0.1803981266877914</v>
      </c>
      <c r="H57" s="285">
        <f t="shared" ca="1" si="17"/>
        <v>-0.24794200107521894</v>
      </c>
      <c r="I57" s="285">
        <f t="shared" ca="1" si="17"/>
        <v>-0.31805091264110968</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0.21891850145969866</v>
      </c>
      <c r="F59" s="287">
        <f t="shared" ca="1" si="19"/>
        <v>0.44630353855104365</v>
      </c>
      <c r="G59" s="287">
        <f t="shared" ca="1" si="19"/>
        <v>0.71973034189881113</v>
      </c>
      <c r="H59" s="287">
        <f t="shared" ca="1" si="19"/>
        <v>1.0145125886874542</v>
      </c>
      <c r="I59" s="287">
        <f t="shared" ca="1" si="19"/>
        <v>1.3335123380682603</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12.128425568329797</v>
      </c>
      <c r="E64" s="285">
        <f t="shared" ca="1" si="20"/>
        <v>12.824421136865453</v>
      </c>
      <c r="F64" s="285">
        <f t="shared" ca="1" si="20"/>
        <v>13.527108596846876</v>
      </c>
      <c r="G64" s="285">
        <f t="shared" ca="1" si="20"/>
        <v>14.345898713937993</v>
      </c>
      <c r="H64" s="285">
        <f t="shared" ca="1" si="20"/>
        <v>14.754181871169253</v>
      </c>
      <c r="I64" s="285">
        <f t="shared" ca="1" si="20"/>
        <v>15.163539273775674</v>
      </c>
      <c r="K64" s="63"/>
      <c r="L64" s="63"/>
    </row>
    <row r="65" spans="1:20" ht="12.75" customHeight="1" outlineLevel="1">
      <c r="A65" s="61" t="s">
        <v>69</v>
      </c>
      <c r="B65" s="285">
        <f t="shared" ca="1" si="20"/>
        <v>0</v>
      </c>
      <c r="C65" s="285">
        <f t="shared" ca="1" si="20"/>
        <v>0</v>
      </c>
      <c r="D65" s="285">
        <f t="shared" ca="1" si="20"/>
        <v>0.36699999999999999</v>
      </c>
      <c r="E65" s="285">
        <f t="shared" ca="1" si="20"/>
        <v>0.49189385468921326</v>
      </c>
      <c r="F65" s="285">
        <f t="shared" ca="1" si="20"/>
        <v>0.66550184521036548</v>
      </c>
      <c r="G65" s="285">
        <f t="shared" ca="1" si="20"/>
        <v>0.67806830377657012</v>
      </c>
      <c r="H65" s="285">
        <f t="shared" ca="1" si="20"/>
        <v>0.69493762487894739</v>
      </c>
      <c r="I65" s="285">
        <f t="shared" ca="1" si="20"/>
        <v>0.69848195196684804</v>
      </c>
      <c r="K65" s="42"/>
      <c r="L65" s="21"/>
    </row>
    <row r="66" spans="1:20" s="759" customFormat="1" ht="12.75" customHeight="1" outlineLevel="1">
      <c r="A66" s="61" t="s">
        <v>646</v>
      </c>
      <c r="B66" s="285">
        <f t="shared" ref="B66:I66" ca="1" si="21">+B44+B32+B55</f>
        <v>0</v>
      </c>
      <c r="C66" s="285">
        <f t="shared" ca="1" si="21"/>
        <v>0</v>
      </c>
      <c r="D66" s="285">
        <f t="shared" ca="1" si="21"/>
        <v>-7.3999999999999996E-2</v>
      </c>
      <c r="E66" s="285">
        <f t="shared" ca="1" si="21"/>
        <v>-7.5159062597375453E-2</v>
      </c>
      <c r="F66" s="285">
        <f t="shared" ca="1" si="21"/>
        <v>-7.6269647791379708E-2</v>
      </c>
      <c r="G66" s="285">
        <f t="shared" ca="1" si="21"/>
        <v>-7.768894324435538E-2</v>
      </c>
      <c r="H66" s="285">
        <f t="shared" ca="1" si="21"/>
        <v>-7.9308129331244731E-2</v>
      </c>
      <c r="I66" s="285">
        <f t="shared" ca="1" si="21"/>
        <v>-8.1044648763070173E-2</v>
      </c>
      <c r="K66" s="42"/>
      <c r="L66" s="732"/>
    </row>
    <row r="67" spans="1:20" ht="12.75" customHeight="1" outlineLevel="1">
      <c r="A67" s="61" t="s">
        <v>647</v>
      </c>
      <c r="B67" s="285">
        <f t="shared" ref="B67:I67" ca="1" si="22">+B45+B33+B56</f>
        <v>0</v>
      </c>
      <c r="C67" s="285">
        <f t="shared" ca="1" si="22"/>
        <v>0</v>
      </c>
      <c r="D67" s="285">
        <f t="shared" ca="1" si="22"/>
        <v>7.3624255683297983</v>
      </c>
      <c r="E67" s="285">
        <f t="shared" ca="1" si="22"/>
        <v>7.9031203801169712</v>
      </c>
      <c r="F67" s="285">
        <f t="shared" ca="1" si="22"/>
        <v>7.8350114343398287</v>
      </c>
      <c r="G67" s="285">
        <f t="shared" ca="1" si="22"/>
        <v>8.6828353727778147</v>
      </c>
      <c r="H67" s="285">
        <f t="shared" ca="1" si="22"/>
        <v>8.9610984184123765</v>
      </c>
      <c r="I67" s="285">
        <f t="shared" ca="1" si="22"/>
        <v>9.1675980055997428</v>
      </c>
      <c r="K67" s="42"/>
      <c r="L67" s="21"/>
    </row>
    <row r="68" spans="1:20" s="759" customFormat="1" ht="12.75" customHeight="1" outlineLevel="1">
      <c r="A68" s="61" t="s">
        <v>575</v>
      </c>
      <c r="B68" s="285">
        <f t="shared" ref="B68:I68" ca="1" si="23">+B46+B34+B57</f>
        <v>0</v>
      </c>
      <c r="C68" s="285">
        <f t="shared" ca="1" si="23"/>
        <v>0</v>
      </c>
      <c r="D68" s="285">
        <f t="shared" ca="1" si="23"/>
        <v>-2.6140000000000003</v>
      </c>
      <c r="E68" s="285">
        <f t="shared" ca="1" si="23"/>
        <v>-2.6984206782896365</v>
      </c>
      <c r="F68" s="285">
        <f t="shared" ca="1" si="23"/>
        <v>-2.7831363279413415</v>
      </c>
      <c r="G68" s="285">
        <f t="shared" ca="1" si="23"/>
        <v>-2.873233402088212</v>
      </c>
      <c r="H68" s="285">
        <f t="shared" ca="1" si="23"/>
        <v>-2.9683369641094663</v>
      </c>
      <c r="I68" s="285">
        <f t="shared" ca="1" si="23"/>
        <v>-3.0636907558055264</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17.169851136659595</v>
      </c>
      <c r="E70" s="295">
        <f t="shared" ca="1" si="25"/>
        <v>18.445855630784624</v>
      </c>
      <c r="F70" s="295">
        <f t="shared" ca="1" si="25"/>
        <v>19.168215900664347</v>
      </c>
      <c r="G70" s="295">
        <f t="shared" ca="1" si="25"/>
        <v>20.755880045159813</v>
      </c>
      <c r="H70" s="295">
        <f t="shared" ca="1" si="25"/>
        <v>21.362572821019867</v>
      </c>
      <c r="I70" s="295">
        <f t="shared" ca="1" si="25"/>
        <v>21.884883826773667</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0.11906495183202052</v>
      </c>
      <c r="Q77" s="285">
        <f ca="1">IF($B77&lt;&gt;0,(+VLOOKUP($B77,$A$8:$I$13,6,FALSE))*(F77),0)</f>
        <v>0.22938884727717104</v>
      </c>
      <c r="R77" s="285">
        <f ca="1">IF($B77&lt;&gt;0,(+VLOOKUP($B77,$A$8:$I$13,7,FALSE))*(G77),0)</f>
        <v>0.33844279286286066</v>
      </c>
      <c r="S77" s="285">
        <f ca="1">IF($B77&lt;&gt;0,(+VLOOKUP($B77,$A$8:$I$13,8,FALSE))*(H77),0)</f>
        <v>0.45675756509958565</v>
      </c>
      <c r="T77" s="285">
        <f ca="1">IF($B77&lt;&gt;0,(+VLOOKUP($B77,$A$8:$I$13,9,FALSE))*(I77),0)</f>
        <v>0.56513478193997002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3.8938546892132893E-3</v>
      </c>
      <c r="Q78" s="285">
        <f ca="1">IF($B78&lt;&gt;0,(+VLOOKUP($B78,$A$8:$I$13,6,FALSE))*(F78),0)</f>
        <v>7.5018452103655115E-3</v>
      </c>
      <c r="R78" s="285">
        <f ca="1">IF($B78&lt;&gt;0,(+VLOOKUP($B78,$A$8:$I$13,7,FALSE))*(G78),0)</f>
        <v>1.1068303776570119E-2</v>
      </c>
      <c r="S78" s="285">
        <f ca="1">IF($B78&lt;&gt;0,(+VLOOKUP($B78,$A$8:$I$13,8,FALSE))*(H78),0)</f>
        <v>1.493762487894742E-2</v>
      </c>
      <c r="T78" s="285">
        <f ca="1">IF($B78&lt;&gt;0,(+VLOOKUP($B78,$A$8:$I$13,9,FALSE))*(I78),0)</f>
        <v>1.8481951966848067E-2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-7.8513691281139892E-4</v>
      </c>
      <c r="Q79" s="285">
        <f t="shared" ref="Q79:Q80" ca="1" si="34">IF($B79&lt;&gt;0,(+VLOOKUP($B79,$A$8:$I$13,6,FALSE))*(F79),0)</f>
        <v>-1.5126336391472694E-3</v>
      </c>
      <c r="R79" s="285">
        <f t="shared" ref="R79:R80" ca="1" si="35">IF($B79&lt;&gt;0,(+VLOOKUP($B79,$A$8:$I$13,7,FALSE))*(G79),0)</f>
        <v>-2.2317560748397513E-3</v>
      </c>
      <c r="S79" s="285">
        <f t="shared" ref="S79:S80" ca="1" si="36">IF($B79&lt;&gt;0,(+VLOOKUP($B79,$A$8:$I$13,8,FALSE))*(H79),0)</f>
        <v>-3.0119461608776811E-3</v>
      </c>
      <c r="T79" s="285">
        <f t="shared" ref="T79:T80" ca="1" si="37">IF($B79&lt;&gt;0,(+VLOOKUP($B79,$A$8:$I$13,9,FALSE))*(I79),0)</f>
        <v>-3.7266061186560133E-3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6.8497890663653943E-2</v>
      </c>
      <c r="Q80" s="285">
        <f t="shared" ca="1" si="34"/>
        <v>0.13196706451803744</v>
      </c>
      <c r="R80" s="285">
        <f t="shared" ca="1" si="35"/>
        <v>0.1947056380968302</v>
      </c>
      <c r="S80" s="285">
        <f t="shared" ca="1" si="36"/>
        <v>0.26277195154900418</v>
      </c>
      <c r="T80" s="285">
        <f t="shared" ca="1" si="37"/>
        <v>0.32512120408166512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-2.773443094714861E-2</v>
      </c>
      <c r="Q81" s="285">
        <f ca="1">IF($B81&lt;&gt;0,(+VLOOKUP($B81,$A$8:$I$13,6,FALSE))*(F81),0)</f>
        <v>-5.3432761253121117E-2</v>
      </c>
      <c r="R81" s="285">
        <f ca="1">IF($B81&lt;&gt;0,(+VLOOKUP($B81,$A$8:$I$13,7,FALSE))*(G81),0)</f>
        <v>-7.8835275400420429E-2</v>
      </c>
      <c r="S81" s="285">
        <f ca="1">IF($B81&lt;&gt;0,(+VLOOKUP($B81,$A$8:$I$13,8,FALSE))*(H81),0)</f>
        <v>-0.10639496303424675</v>
      </c>
      <c r="T81" s="285">
        <f ca="1">IF($B81&lt;&gt;0,(+VLOOKUP($B81,$A$8:$I$13,9,FALSE))*(I81),0)</f>
        <v>-0.13163984316441649</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0.16293712932492774</v>
      </c>
      <c r="Q83" s="292">
        <f t="shared" ca="1" si="51"/>
        <v>0.31391236211330559</v>
      </c>
      <c r="R83" s="292">
        <f t="shared" ca="1" si="51"/>
        <v>0.4631497032610008</v>
      </c>
      <c r="S83" s="292">
        <f t="shared" ca="1" si="51"/>
        <v>0.6250602323324127</v>
      </c>
      <c r="T83" s="292">
        <f t="shared" ca="1" si="51"/>
        <v>0.77337148870541073</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0.11906495183202052</v>
      </c>
      <c r="F98" s="285">
        <f t="shared" ca="1" si="54"/>
        <v>0.22938884727717104</v>
      </c>
      <c r="G98" s="285">
        <f t="shared" ca="1" si="54"/>
        <v>0.33844279286286066</v>
      </c>
      <c r="H98" s="285">
        <f t="shared" ca="1" si="54"/>
        <v>0.45675756509958565</v>
      </c>
      <c r="I98" s="285">
        <f t="shared" ca="1" si="54"/>
        <v>0.56513478193997002</v>
      </c>
    </row>
    <row r="99" spans="1:20" outlineLevel="1">
      <c r="A99" s="61" t="s">
        <v>69</v>
      </c>
      <c r="B99" s="119"/>
      <c r="C99" s="285">
        <f t="shared" ref="C99:I99" ca="1" si="55">+C9*(C87)</f>
        <v>0</v>
      </c>
      <c r="D99" s="285">
        <f t="shared" ca="1" si="55"/>
        <v>0</v>
      </c>
      <c r="E99" s="285">
        <f t="shared" ca="1" si="55"/>
        <v>3.8938546892132893E-3</v>
      </c>
      <c r="F99" s="285">
        <f t="shared" ca="1" si="55"/>
        <v>7.5018452103655115E-3</v>
      </c>
      <c r="G99" s="285">
        <f t="shared" ca="1" si="55"/>
        <v>1.1068303776570119E-2</v>
      </c>
      <c r="H99" s="285">
        <f t="shared" ca="1" si="55"/>
        <v>1.493762487894742E-2</v>
      </c>
      <c r="I99" s="285">
        <f t="shared" ca="1" si="55"/>
        <v>1.8481951966848067E-2</v>
      </c>
    </row>
    <row r="100" spans="1:20" s="759" customFormat="1" outlineLevel="1">
      <c r="A100" s="61" t="s">
        <v>646</v>
      </c>
      <c r="B100" s="119"/>
      <c r="C100" s="285">
        <f t="shared" ref="C100:I100" ca="1" si="56">+C10*(C88)</f>
        <v>0</v>
      </c>
      <c r="D100" s="285">
        <f t="shared" ca="1" si="56"/>
        <v>0</v>
      </c>
      <c r="E100" s="285">
        <f t="shared" ca="1" si="56"/>
        <v>-7.8513691281139892E-4</v>
      </c>
      <c r="F100" s="285">
        <f t="shared" ca="1" si="56"/>
        <v>-1.5126336391472694E-3</v>
      </c>
      <c r="G100" s="285">
        <f t="shared" ca="1" si="56"/>
        <v>-2.2317560748397513E-3</v>
      </c>
      <c r="H100" s="285">
        <f t="shared" ca="1" si="56"/>
        <v>-3.0119461608776811E-3</v>
      </c>
      <c r="I100" s="285">
        <f t="shared" ca="1" si="56"/>
        <v>-3.7266061186560133E-3</v>
      </c>
    </row>
    <row r="101" spans="1:20" outlineLevel="1">
      <c r="A101" s="61" t="s">
        <v>647</v>
      </c>
      <c r="B101" s="119"/>
      <c r="C101" s="285">
        <f t="shared" ref="C101:I101" ca="1" si="57">+C11*(C89)</f>
        <v>0</v>
      </c>
      <c r="D101" s="285">
        <f t="shared" ca="1" si="57"/>
        <v>0</v>
      </c>
      <c r="E101" s="285">
        <f t="shared" ca="1" si="57"/>
        <v>6.8497890663653943E-2</v>
      </c>
      <c r="F101" s="285">
        <f t="shared" ca="1" si="57"/>
        <v>0.13196706451803744</v>
      </c>
      <c r="G101" s="285">
        <f t="shared" ca="1" si="57"/>
        <v>0.1947056380968302</v>
      </c>
      <c r="H101" s="285">
        <f t="shared" ca="1" si="57"/>
        <v>0.26277195154900418</v>
      </c>
      <c r="I101" s="285">
        <f t="shared" ca="1" si="57"/>
        <v>0.32512120408166512</v>
      </c>
    </row>
    <row r="102" spans="1:20" s="759" customFormat="1" outlineLevel="1">
      <c r="A102" s="61" t="s">
        <v>575</v>
      </c>
      <c r="B102" s="119"/>
      <c r="C102" s="285">
        <f t="shared" ref="C102:I102" ca="1" si="58">+C12*(C90)</f>
        <v>0</v>
      </c>
      <c r="D102" s="285">
        <f t="shared" ca="1" si="58"/>
        <v>0</v>
      </c>
      <c r="E102" s="285">
        <f t="shared" ca="1" si="58"/>
        <v>-2.773443094714861E-2</v>
      </c>
      <c r="F102" s="285">
        <f t="shared" ca="1" si="58"/>
        <v>-5.3432761253121117E-2</v>
      </c>
      <c r="G102" s="285">
        <f t="shared" ca="1" si="58"/>
        <v>-7.8835275400420429E-2</v>
      </c>
      <c r="H102" s="285">
        <f t="shared" ca="1" si="58"/>
        <v>-0.10639496303424675</v>
      </c>
      <c r="I102" s="285">
        <f t="shared" ca="1" si="58"/>
        <v>-0.13163984316441649</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0.16293712932492774</v>
      </c>
      <c r="F104" s="296">
        <f t="shared" ca="1" si="60"/>
        <v>0.31391236211330559</v>
      </c>
      <c r="G104" s="296">
        <f t="shared" ca="1" si="60"/>
        <v>0.4631497032610008</v>
      </c>
      <c r="H104" s="296">
        <f t="shared" ca="1" si="60"/>
        <v>0.6250602323324127</v>
      </c>
      <c r="I104" s="296">
        <f t="shared" ca="1" si="60"/>
        <v>0.77337148870541073</v>
      </c>
    </row>
    <row r="105" spans="1:20" ht="13.5" outlineLevel="1" thickBot="1">
      <c r="A105" s="122" t="s">
        <v>143</v>
      </c>
      <c r="B105" s="123"/>
      <c r="C105" s="124">
        <f t="shared" ref="C105:I105" ca="1" si="61">IF(C36&lt;&gt;0,+C104/C36,0)</f>
        <v>0</v>
      </c>
      <c r="D105" s="124">
        <f t="shared" ca="1" si="61"/>
        <v>0</v>
      </c>
      <c r="E105" s="124">
        <f t="shared" ca="1" si="61"/>
        <v>9.0199916588201822E-3</v>
      </c>
      <c r="F105" s="124">
        <f t="shared" ca="1" si="61"/>
        <v>1.7053040097419907E-2</v>
      </c>
      <c r="G105" s="124">
        <f t="shared" ca="1" si="61"/>
        <v>2.3662683454810242E-2</v>
      </c>
      <c r="H105" s="124">
        <f t="shared" ca="1" si="61"/>
        <v>3.1691945055641269E-2</v>
      </c>
      <c r="I105" s="124">
        <f t="shared" ca="1" si="61"/>
        <v>3.9102613444504539E-2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0.24335618503343243</v>
      </c>
      <c r="Q113" s="285">
        <f ca="1">IF($B113&lt;&gt;0,(+VLOOKUP($B113,$A$8:$I$13,6,FALSE)+VLOOKUP($B113,$A$42:$I$47,6,FALSE))*(F113),0)</f>
        <v>0.49671974956970494</v>
      </c>
      <c r="R113" s="285">
        <f ca="1">IF($B113&lt;&gt;0,(+VLOOKUP($B113,$A$8:$I$13,7,FALSE)+VLOOKUP($B113,$A$42:$I$47,7,FALSE))*(G113),0)</f>
        <v>0.77445592107513195</v>
      </c>
      <c r="S113" s="285">
        <f ca="1">IF($B113&lt;&gt;0,(+VLOOKUP($B113,$A$8:$I$13,8,FALSE)+VLOOKUP($B113,$A$42:$I$47,8,FALSE))*(H113),0)</f>
        <v>1.0644243060696659</v>
      </c>
      <c r="T113" s="285">
        <f ca="1">IF($B113&lt;&gt;0,(+VLOOKUP($B113,$A$8:$I$13,9,FALSE)+VLOOKUP($B113,$A$42:$I$47,9,FALSE))*(I113),0)</f>
        <v>1.3654044918357047</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-3.73925684564049E-4</v>
      </c>
      <c r="Q115" s="285">
        <f t="shared" ca="1" si="68"/>
        <v>-7.5701415223243095E-4</v>
      </c>
      <c r="R115" s="285">
        <f t="shared" ca="1" si="69"/>
        <v>-1.4571871695156415E-3</v>
      </c>
      <c r="S115" s="285">
        <f t="shared" ca="1" si="70"/>
        <v>-2.2961831703670519E-3</v>
      </c>
      <c r="T115" s="285">
        <f t="shared" ca="1" si="71"/>
        <v>-3.3180426444141715E-3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3.2622489453317569E-2</v>
      </c>
      <c r="Q116" s="285">
        <f t="shared" ca="1" si="68"/>
        <v>6.6044369821791529E-2</v>
      </c>
      <c r="R116" s="285">
        <f t="shared" ca="1" si="69"/>
        <v>0.12712973468098623</v>
      </c>
      <c r="S116" s="285">
        <f t="shared" ca="1" si="70"/>
        <v>0.20032646686337413</v>
      </c>
      <c r="T116" s="285">
        <f t="shared" ca="1" si="71"/>
        <v>0.28947680151807959</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-5.6686247342487298E-2</v>
      </c>
      <c r="Q117" s="285">
        <f t="shared" ca="1" si="68"/>
        <v>-0.11570356668822036</v>
      </c>
      <c r="R117" s="285">
        <f t="shared" ca="1" si="69"/>
        <v>-0.1803981266877914</v>
      </c>
      <c r="S117" s="285">
        <f t="shared" ca="1" si="70"/>
        <v>-0.24794200107521894</v>
      </c>
      <c r="T117" s="285">
        <f t="shared" ca="1" si="71"/>
        <v>-0.31805091264110968</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0.21891850145969866</v>
      </c>
      <c r="Q119" s="292">
        <f t="shared" ca="1" si="72"/>
        <v>0.44630353855104365</v>
      </c>
      <c r="R119" s="292">
        <f t="shared" ca="1" si="72"/>
        <v>0.71973034189881113</v>
      </c>
      <c r="S119" s="292">
        <f t="shared" ca="1" si="72"/>
        <v>1.0145125886874542</v>
      </c>
      <c r="T119" s="292">
        <f t="shared" ca="1" si="72"/>
        <v>1.3335123380682603</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0.24335618503343243</v>
      </c>
      <c r="F134" s="285">
        <f t="shared" ca="1" si="75"/>
        <v>0.49671974956970494</v>
      </c>
      <c r="G134" s="285">
        <f t="shared" ca="1" si="75"/>
        <v>0.77445592107513195</v>
      </c>
      <c r="H134" s="285">
        <f t="shared" ca="1" si="75"/>
        <v>1.0644243060696659</v>
      </c>
      <c r="I134" s="285">
        <f t="shared" ca="1" si="75"/>
        <v>1.3654044918357047</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-3.73925684564049E-4</v>
      </c>
      <c r="F136" s="285">
        <f t="shared" ca="1" si="77"/>
        <v>-7.5701415223243095E-4</v>
      </c>
      <c r="G136" s="285">
        <f t="shared" ca="1" si="77"/>
        <v>-1.4571871695156415E-3</v>
      </c>
      <c r="H136" s="285">
        <f t="shared" ca="1" si="77"/>
        <v>-2.2961831703670519E-3</v>
      </c>
      <c r="I136" s="285">
        <f t="shared" ca="1" si="77"/>
        <v>-3.3180426444141715E-3</v>
      </c>
    </row>
    <row r="137" spans="1:16" outlineLevel="1">
      <c r="A137" s="61" t="s">
        <v>647</v>
      </c>
      <c r="B137" s="119"/>
      <c r="C137" s="285">
        <f ca="1">(+C11+C45)*(C$125)</f>
        <v>0</v>
      </c>
      <c r="D137" s="285">
        <f t="shared" ref="D137:I137" ca="1" si="78">(+D11+D45)*(D$125)</f>
        <v>0</v>
      </c>
      <c r="E137" s="285">
        <f t="shared" ca="1" si="78"/>
        <v>3.2622489453317569E-2</v>
      </c>
      <c r="F137" s="285">
        <f t="shared" ca="1" si="78"/>
        <v>6.6044369821791529E-2</v>
      </c>
      <c r="G137" s="285">
        <f t="shared" ca="1" si="78"/>
        <v>0.12712973468098623</v>
      </c>
      <c r="H137" s="285">
        <f t="shared" ca="1" si="78"/>
        <v>0.20032646686337413</v>
      </c>
      <c r="I137" s="285">
        <f t="shared" ca="1" si="78"/>
        <v>0.28947680151807959</v>
      </c>
    </row>
    <row r="138" spans="1:16" s="759" customFormat="1" outlineLevel="1">
      <c r="A138" s="61" t="s">
        <v>575</v>
      </c>
      <c r="B138" s="119"/>
      <c r="C138" s="285">
        <f ca="1">(+C12+C46)*(C$126)</f>
        <v>0</v>
      </c>
      <c r="D138" s="285">
        <f t="shared" ref="D138:I138" ca="1" si="79">(+D12+D46)*(D$126)</f>
        <v>0</v>
      </c>
      <c r="E138" s="285">
        <f t="shared" ca="1" si="79"/>
        <v>-5.6686247342487298E-2</v>
      </c>
      <c r="F138" s="285">
        <f t="shared" ca="1" si="79"/>
        <v>-0.11570356668822036</v>
      </c>
      <c r="G138" s="285">
        <f t="shared" ca="1" si="79"/>
        <v>-0.1803981266877914</v>
      </c>
      <c r="H138" s="285">
        <f t="shared" ca="1" si="79"/>
        <v>-0.24794200107521894</v>
      </c>
      <c r="I138" s="285">
        <f t="shared" ca="1" si="79"/>
        <v>-0.31805091264110968</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0.21891850145969866</v>
      </c>
      <c r="F140" s="296">
        <f t="shared" ca="1" si="81"/>
        <v>0.44630353855104365</v>
      </c>
      <c r="G140" s="296">
        <f t="shared" ca="1" si="81"/>
        <v>0.71973034189881113</v>
      </c>
      <c r="H140" s="296">
        <f t="shared" ca="1" si="81"/>
        <v>1.0145125886874542</v>
      </c>
      <c r="I140" s="296">
        <f t="shared" ca="1" si="81"/>
        <v>1.3335123380682603</v>
      </c>
    </row>
    <row r="141" spans="1:16" ht="13.5" outlineLevel="1" thickBot="1">
      <c r="A141" s="122" t="s">
        <v>148</v>
      </c>
      <c r="B141" s="126"/>
      <c r="C141" s="124">
        <f t="shared" ref="C141:I141" ca="1" si="82">IF((+C36+C48)&lt;&gt;0,+C140/(+C36+C48),0)</f>
        <v>0</v>
      </c>
      <c r="D141" s="124">
        <f t="shared" ca="1" si="82"/>
        <v>0</v>
      </c>
      <c r="E141" s="124">
        <f t="shared" ca="1" si="82"/>
        <v>1.2010712491430358E-2</v>
      </c>
      <c r="F141" s="124">
        <f t="shared" ca="1" si="82"/>
        <v>2.3838565736169565E-2</v>
      </c>
      <c r="G141" s="124">
        <f t="shared" ca="1" si="82"/>
        <v>3.5921589355147956E-2</v>
      </c>
      <c r="H141" s="124">
        <f t="shared" ca="1" si="82"/>
        <v>4.9857950935068812E-2</v>
      </c>
      <c r="I141" s="124">
        <f t="shared" ca="1" si="82"/>
        <v>6.4886780855532192E-2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0.9064255683297987</v>
      </c>
      <c r="E149" s="285">
        <f t="shared" si="83"/>
        <v>1.24</v>
      </c>
      <c r="F149" s="285">
        <f t="shared" si="83"/>
        <v>1.579</v>
      </c>
      <c r="G149" s="285">
        <f t="shared" si="83"/>
        <v>2.0110000000000001</v>
      </c>
      <c r="H149" s="285">
        <f t="shared" si="83"/>
        <v>2.0110000000000001</v>
      </c>
      <c r="I149" s="285">
        <f t="shared" si="83"/>
        <v>2.0110000000000001</v>
      </c>
      <c r="J149" s="63"/>
      <c r="K149" s="63"/>
      <c r="L149" s="63"/>
    </row>
    <row r="150" spans="1:13" outlineLevel="1">
      <c r="A150" s="61" t="s">
        <v>69</v>
      </c>
      <c r="B150" s="65"/>
      <c r="C150" s="285">
        <f t="shared" si="83"/>
        <v>0</v>
      </c>
      <c r="D150" s="285">
        <f t="shared" si="83"/>
        <v>0</v>
      </c>
      <c r="E150" s="285">
        <f t="shared" si="83"/>
        <v>0.121</v>
      </c>
      <c r="F150" s="285">
        <f t="shared" si="83"/>
        <v>0.29099999999999998</v>
      </c>
      <c r="G150" s="285">
        <f t="shared" si="83"/>
        <v>0.3</v>
      </c>
      <c r="H150" s="285">
        <f t="shared" si="83"/>
        <v>0.313</v>
      </c>
      <c r="I150" s="285">
        <f t="shared" si="83"/>
        <v>0.313</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0.9064255683297987</v>
      </c>
      <c r="E152" s="285">
        <f t="shared" si="83"/>
        <v>1.3460000000000001</v>
      </c>
      <c r="F152" s="285">
        <f t="shared" si="83"/>
        <v>1.181</v>
      </c>
      <c r="G152" s="285">
        <f t="shared" si="83"/>
        <v>1.905</v>
      </c>
      <c r="H152" s="285">
        <f t="shared" si="83"/>
        <v>2.0419999999999998</v>
      </c>
      <c r="I152" s="285">
        <f t="shared" si="83"/>
        <v>2.097</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1.8128511366595974</v>
      </c>
      <c r="E155" s="296">
        <f t="shared" si="84"/>
        <v>2.7069999999999999</v>
      </c>
      <c r="F155" s="296">
        <f t="shared" si="84"/>
        <v>3.0510000000000002</v>
      </c>
      <c r="G155" s="296">
        <f t="shared" si="84"/>
        <v>4.2160000000000002</v>
      </c>
      <c r="H155" s="296">
        <f t="shared" si="84"/>
        <v>4.3659999999999997</v>
      </c>
      <c r="I155" s="296">
        <f t="shared" si="84"/>
        <v>4.4210000000000003</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1.8128511366595974</v>
      </c>
      <c r="E160" s="285">
        <f t="shared" ca="1" si="86"/>
        <v>2.7069999999999999</v>
      </c>
      <c r="F160" s="285">
        <f t="shared" ca="1" si="86"/>
        <v>3.0510000000000002</v>
      </c>
      <c r="G160" s="285">
        <f t="shared" ca="1" si="86"/>
        <v>4.2160000000000002</v>
      </c>
      <c r="H160" s="285">
        <f t="shared" ca="1" si="86"/>
        <v>4.3659999999999997</v>
      </c>
      <c r="I160" s="285">
        <f t="shared" ca="1" si="86"/>
        <v>4.4210000000000003</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1.8128511366595974</v>
      </c>
      <c r="E170" s="296">
        <f t="shared" ca="1" si="91"/>
        <v>2.7069999999999999</v>
      </c>
      <c r="F170" s="296">
        <f t="shared" ca="1" si="91"/>
        <v>3.0510000000000002</v>
      </c>
      <c r="G170" s="296">
        <f t="shared" ca="1" si="91"/>
        <v>4.2160000000000002</v>
      </c>
      <c r="H170" s="296">
        <f t="shared" ca="1" si="91"/>
        <v>4.3659999999999997</v>
      </c>
      <c r="I170" s="296">
        <f t="shared" ca="1" si="91"/>
        <v>4.4210000000000003</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v>0.9064255683297987</v>
      </c>
      <c r="E185" s="285">
        <f t="array" ref="E185:I190">'[2]TOTAL (SEM)'!$N$205:$R$210</f>
        <v>1.24</v>
      </c>
      <c r="F185" s="285">
        <v>1.579</v>
      </c>
      <c r="G185" s="285">
        <v>2.0110000000000001</v>
      </c>
      <c r="H185" s="285">
        <v>2.0110000000000001</v>
      </c>
      <c r="I185" s="285">
        <v>2.0110000000000001</v>
      </c>
      <c r="J185" s="63"/>
      <c r="K185" s="63"/>
      <c r="L185" s="63"/>
    </row>
    <row r="186" spans="1:12" outlineLevel="1">
      <c r="A186" s="61" t="s">
        <v>69</v>
      </c>
      <c r="B186" s="65"/>
      <c r="C186" s="65"/>
      <c r="D186" s="285"/>
      <c r="E186" s="285">
        <v>0.121</v>
      </c>
      <c r="F186" s="285">
        <v>0.29099999999999998</v>
      </c>
      <c r="G186" s="285">
        <v>0.3</v>
      </c>
      <c r="H186" s="285">
        <v>0.313</v>
      </c>
      <c r="I186" s="285">
        <v>0.313</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v>0.9064255683297987</v>
      </c>
      <c r="E188" s="285">
        <v>1.3460000000000001</v>
      </c>
      <c r="F188" s="285">
        <v>1.181</v>
      </c>
      <c r="G188" s="285">
        <v>1.905</v>
      </c>
      <c r="H188" s="285">
        <v>2.0419999999999998</v>
      </c>
      <c r="I188" s="285">
        <v>2.097</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601">
        <f t="shared" si="92"/>
        <v>1.8128511366595974</v>
      </c>
      <c r="E191" s="601">
        <f t="shared" si="92"/>
        <v>2.7069999999999999</v>
      </c>
      <c r="F191" s="601">
        <f t="shared" si="92"/>
        <v>3.0510000000000002</v>
      </c>
      <c r="G191" s="601">
        <f t="shared" si="92"/>
        <v>4.2160000000000002</v>
      </c>
      <c r="H191" s="601">
        <f t="shared" si="92"/>
        <v>4.3659999999999997</v>
      </c>
      <c r="I191" s="601">
        <f t="shared" si="92"/>
        <v>4.4210000000000003</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15.356999999999996</v>
      </c>
      <c r="E205" s="82">
        <f t="shared" ca="1" si="93"/>
        <v>15.356999999999996</v>
      </c>
      <c r="F205" s="82">
        <f t="shared" ca="1" si="93"/>
        <v>15.356999999999996</v>
      </c>
      <c r="G205" s="82">
        <f t="shared" ca="1" si="93"/>
        <v>15.356999999999996</v>
      </c>
      <c r="H205" s="82">
        <f t="shared" ca="1" si="93"/>
        <v>15.356999999999996</v>
      </c>
      <c r="I205" s="82">
        <f t="shared" ca="1" si="93"/>
        <v>15.356999999999996</v>
      </c>
    </row>
    <row r="206" spans="1:9" outlineLevel="1">
      <c r="A206" t="s">
        <v>156</v>
      </c>
      <c r="B206" s="82">
        <f t="shared" ref="B206:I206" ca="1" si="94">+B36</f>
        <v>0</v>
      </c>
      <c r="C206" s="82">
        <f t="shared" ca="1" si="94"/>
        <v>0</v>
      </c>
      <c r="D206" s="82">
        <f t="shared" ca="1" si="94"/>
        <v>17.169851136659595</v>
      </c>
      <c r="E206" s="82">
        <f t="shared" ca="1" si="94"/>
        <v>18.063999999999997</v>
      </c>
      <c r="F206" s="82">
        <f t="shared" ca="1" si="94"/>
        <v>18.407999999999998</v>
      </c>
      <c r="G206" s="82">
        <f t="shared" ca="1" si="94"/>
        <v>19.572999999999997</v>
      </c>
      <c r="H206" s="82">
        <f t="shared" ca="1" si="94"/>
        <v>19.722999999999999</v>
      </c>
      <c r="I206" s="82">
        <f t="shared" ca="1" si="94"/>
        <v>19.777999999999999</v>
      </c>
    </row>
    <row r="207" spans="1:9" outlineLevel="1">
      <c r="A207" t="s">
        <v>157</v>
      </c>
      <c r="B207" s="82">
        <f t="shared" ref="B207:I207" ca="1" si="95">+B36+B48</f>
        <v>0</v>
      </c>
      <c r="C207" s="82">
        <f t="shared" ca="1" si="95"/>
        <v>0</v>
      </c>
      <c r="D207" s="82">
        <f t="shared" ca="1" si="95"/>
        <v>17.169851136659595</v>
      </c>
      <c r="E207" s="82">
        <f t="shared" ca="1" si="95"/>
        <v>18.226937129324924</v>
      </c>
      <c r="F207" s="82">
        <f t="shared" ca="1" si="95"/>
        <v>18.721912362113304</v>
      </c>
      <c r="G207" s="82">
        <f t="shared" ca="1" si="95"/>
        <v>20.036149703260996</v>
      </c>
      <c r="H207" s="82">
        <f t="shared" ca="1" si="95"/>
        <v>20.348060232332411</v>
      </c>
      <c r="I207" s="82">
        <f t="shared" ca="1" si="95"/>
        <v>20.55137148870541</v>
      </c>
    </row>
    <row r="208" spans="1:9" outlineLevel="1">
      <c r="A208" t="s">
        <v>158</v>
      </c>
      <c r="B208" s="82">
        <f t="shared" ref="B208:I208" ca="1" si="96">+B70</f>
        <v>0</v>
      </c>
      <c r="C208" s="82">
        <f t="shared" ca="1" si="96"/>
        <v>0</v>
      </c>
      <c r="D208" s="82">
        <f t="shared" ca="1" si="96"/>
        <v>17.169851136659595</v>
      </c>
      <c r="E208" s="82">
        <f t="shared" ca="1" si="96"/>
        <v>18.445855630784624</v>
      </c>
      <c r="F208" s="82">
        <f t="shared" ca="1" si="96"/>
        <v>19.168215900664347</v>
      </c>
      <c r="G208" s="82">
        <f t="shared" ca="1" si="96"/>
        <v>20.755880045159813</v>
      </c>
      <c r="H208" s="82">
        <f t="shared" ca="1" si="96"/>
        <v>21.362572821019867</v>
      </c>
      <c r="I208" s="82">
        <f t="shared" ca="1" si="96"/>
        <v>21.884883826773667</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70" priority="1" stopIfTrue="1" operator="notEqual">
      <formula>0</formula>
    </cfRule>
  </conditionalFormatting>
  <conditionalFormatting sqref="J130 J94 J70 J59 J48 J36:J37 J14 J25">
    <cfRule type="cellIs" dxfId="269" priority="2" stopIfTrue="1" operator="equal">
      <formula>"OK"</formula>
    </cfRule>
    <cfRule type="cellIs" dxfId="268" priority="3" stopIfTrue="1" operator="equal">
      <formula>"Warning Check Escalations"</formula>
    </cfRule>
  </conditionalFormatting>
  <conditionalFormatting sqref="N120:T120 N84:T84">
    <cfRule type="cellIs" dxfId="267" priority="4" stopIfTrue="1" operator="notEqual">
      <formula>0</formula>
    </cfRule>
    <cfRule type="cellIs" dxfId="26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7.xml><?xml version="1.0" encoding="utf-8"?>
<worksheet xmlns="http://schemas.openxmlformats.org/spreadsheetml/2006/main" xmlns:r="http://schemas.openxmlformats.org/officeDocument/2006/relationships">
  <sheetPr codeName="Sheet80" enableFormatConditionsCalculation="0">
    <tabColor indexed="57"/>
    <pageSetUpPr fitToPage="1"/>
  </sheetPr>
  <dimension ref="A1:T239"/>
  <sheetViews>
    <sheetView showGridLines="0" topLeftCell="A188" zoomScaleNormal="100" workbookViewId="0">
      <selection activeCell="M198" sqref="M198"/>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24</v>
      </c>
      <c r="M1" s="282"/>
      <c r="N1" s="280"/>
      <c r="O1" s="280"/>
      <c r="P1" s="280"/>
      <c r="Q1" s="280"/>
      <c r="R1" s="280"/>
      <c r="S1" s="280"/>
      <c r="T1" s="280"/>
    </row>
    <row r="2" spans="1:20" ht="15.75">
      <c r="A2" s="184" t="s">
        <v>121</v>
      </c>
      <c r="B2" s="74" t="str">
        <f ca="1">OFFSET(List_AllocOpexListStart,+$K$1,1)</f>
        <v>Property – Offices and Depots</v>
      </c>
      <c r="F2" s="284"/>
      <c r="H2" s="42"/>
      <c r="I2" s="283"/>
      <c r="L2" s="282"/>
      <c r="M2" s="282"/>
    </row>
    <row r="3" spans="1:20" ht="16.5" thickBot="1">
      <c r="A3" s="184" t="s">
        <v>371</v>
      </c>
      <c r="B3" s="236" t="str">
        <f ca="1">OFFSET(List_AllocOpexListStart,+$K$1,2)</f>
        <v>Peter Chapple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0.78300000000000003</v>
      </c>
      <c r="E8" s="285">
        <f ca="1">OFFSET(Future_AOpexStart,MATCH($K$1,'I-6 Future A'!$A$6:$A$379)+2,+'I-5 Future DA'!F$5)</f>
        <v>0.78300000000000003</v>
      </c>
      <c r="F8" s="285">
        <f ca="1">OFFSET(Future_AOpexStart,MATCH($K$1,'I-6 Future A'!$A$6:$A$379)+2,+'I-5 Future DA'!G$5)</f>
        <v>0.78300000000000003</v>
      </c>
      <c r="G8" s="285">
        <f ca="1">OFFSET(Future_AOpexStart,MATCH($K$1,'I-6 Future A'!$A$6:$A$379)+2,+'I-5 Future DA'!H$5)</f>
        <v>0.78300000000000003</v>
      </c>
      <c r="H8" s="285">
        <f ca="1">OFFSET(Future_AOpexStart,MATCH($K$1,'I-6 Future A'!$A$6:$A$379)+2,+'I-5 Future DA'!I$5)</f>
        <v>0.78300000000000003</v>
      </c>
      <c r="I8" s="285">
        <f ca="1">OFFSET(Future_AOpexStart,MATCH($K$1,'I-6 Future A'!$A$6:$A$379)+2,+'I-5 Future DA'!J$5)</f>
        <v>0.78300000000000003</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0.20600000000000002</v>
      </c>
      <c r="E9" s="285">
        <f ca="1">OFFSET(Future_AOpexStart,MATCH($K$1,'I-6 Future A'!$A$6:$A$379)+3,+'I-5 Future DA'!F$5)</f>
        <v>0.20600000000000002</v>
      </c>
      <c r="F9" s="285">
        <f ca="1">OFFSET(Future_AOpexStart,MATCH($K$1,'I-6 Future A'!$A$6:$A$379)+3,+'I-5 Future DA'!G$5)</f>
        <v>0.20600000000000002</v>
      </c>
      <c r="G9" s="285">
        <f ca="1">OFFSET(Future_AOpexStart,MATCH($K$1,'I-6 Future A'!$A$6:$A$379)+3,+'I-5 Future DA'!H$5)</f>
        <v>0.20600000000000002</v>
      </c>
      <c r="H9" s="285">
        <f ca="1">OFFSET(Future_AOpexStart,MATCH($K$1,'I-6 Future A'!$A$6:$A$379)+3,+'I-5 Future DA'!I$5)</f>
        <v>0.20600000000000002</v>
      </c>
      <c r="I9" s="285">
        <f ca="1">OFFSET(Future_AOpexStart,MATCH($K$1,'I-6 Future A'!$A$6:$A$379)+3,+'I-5 Future DA'!J$5)</f>
        <v>0.20600000000000002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3.0000000000000001E-3</v>
      </c>
      <c r="E10" s="285">
        <f ca="1">OFFSET(Future_AOpexStart,MATCH($K$1,'I-6 Future A'!$A$6:$A$379)+4,+'I-5 Future DA'!F$5)</f>
        <v>3.0000000000000001E-3</v>
      </c>
      <c r="F10" s="285">
        <f ca="1">OFFSET(Future_AOpexStart,MATCH($K$1,'I-6 Future A'!$A$6:$A$379)+4,+'I-5 Future DA'!G$5)</f>
        <v>3.0000000000000001E-3</v>
      </c>
      <c r="G10" s="285">
        <f ca="1">OFFSET(Future_AOpexStart,MATCH($K$1,'I-6 Future A'!$A$6:$A$379)+4,+'I-5 Future DA'!H$5)</f>
        <v>3.0000000000000001E-3</v>
      </c>
      <c r="H10" s="285">
        <f ca="1">OFFSET(Future_AOpexStart,MATCH($K$1,'I-6 Future A'!$A$6:$A$379)+4,+'I-5 Future DA'!I$5)</f>
        <v>3.0000000000000001E-3</v>
      </c>
      <c r="I10" s="285">
        <f ca="1">OFFSET(Future_AOpexStart,MATCH($K$1,'I-6 Future A'!$A$6:$A$379)+4,+'I-5 Future DA'!J$5)</f>
        <v>3.0000000000000001E-3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6.4190000000000005</v>
      </c>
      <c r="E11" s="285">
        <f ca="1">OFFSET(Future_AOpexStart,MATCH($K$1,'I-6 Future A'!$A$6:$A$379)+5,+'I-5 Future DA'!F$5)</f>
        <v>6.4190000000000005</v>
      </c>
      <c r="F11" s="285">
        <f ca="1">OFFSET(Future_AOpexStart,MATCH($K$1,'I-6 Future A'!$A$6:$A$379)+5,+'I-5 Future DA'!G$5)</f>
        <v>6.4190000000000005</v>
      </c>
      <c r="G11" s="285">
        <f ca="1">OFFSET(Future_AOpexStart,MATCH($K$1,'I-6 Future A'!$A$6:$A$379)+5,+'I-5 Future DA'!H$5)</f>
        <v>6.4190000000000005</v>
      </c>
      <c r="H11" s="285">
        <f ca="1">OFFSET(Future_AOpexStart,MATCH($K$1,'I-6 Future A'!$A$6:$A$379)+5,+'I-5 Future DA'!I$5)</f>
        <v>6.4190000000000005</v>
      </c>
      <c r="I11" s="285">
        <f ca="1">OFFSET(Future_AOpexStart,MATCH($K$1,'I-6 Future A'!$A$6:$A$379)+5,+'I-5 Future DA'!J$5)</f>
        <v>6.4190000000000005</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-3.95</v>
      </c>
      <c r="E12" s="285">
        <f ca="1">OFFSET(Future_AOpexStart,MATCH($K$1,'I-6 Future A'!$A$6:$A$379)+6,+'I-5 Future DA'!F$5)</f>
        <v>-3.95</v>
      </c>
      <c r="F12" s="285">
        <f ca="1">OFFSET(Future_AOpexStart,MATCH($K$1,'I-6 Future A'!$A$6:$A$379)+6,+'I-5 Future DA'!G$5)</f>
        <v>-3.95</v>
      </c>
      <c r="G12" s="285">
        <f ca="1">OFFSET(Future_AOpexStart,MATCH($K$1,'I-6 Future A'!$A$6:$A$379)+6,+'I-5 Future DA'!H$5)</f>
        <v>-3.95</v>
      </c>
      <c r="H12" s="285">
        <f ca="1">OFFSET(Future_AOpexStart,MATCH($K$1,'I-6 Future A'!$A$6:$A$379)+6,+'I-5 Future DA'!I$5)</f>
        <v>-3.95</v>
      </c>
      <c r="I12" s="285">
        <f ca="1">OFFSET(Future_AOpexStart,MATCH($K$1,'I-6 Future A'!$A$6:$A$379)+6,+'I-5 Future DA'!J$5)</f>
        <v>-3.95</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1E-3</v>
      </c>
      <c r="E13" s="286">
        <f ca="1">OFFSET(Future_AOpexStart,MATCH($K$1,'I-6 Future A'!$A$6:$A$379)+7,+'I-5 Future DA'!F$5)</f>
        <v>1E-3</v>
      </c>
      <c r="F13" s="286">
        <f ca="1">OFFSET(Future_AOpexStart,MATCH($K$1,'I-6 Future A'!$A$6:$A$379)+7,+'I-5 Future DA'!G$5)</f>
        <v>1E-3</v>
      </c>
      <c r="G13" s="286">
        <f ca="1">OFFSET(Future_AOpexStart,MATCH($K$1,'I-6 Future A'!$A$6:$A$379)+7,+'I-5 Future DA'!H$5)</f>
        <v>1E-3</v>
      </c>
      <c r="H13" s="286">
        <f ca="1">OFFSET(Future_AOpexStart,MATCH($K$1,'I-6 Future A'!$A$6:$A$379)+7,+'I-5 Future DA'!I$5)</f>
        <v>1E-3</v>
      </c>
      <c r="I13" s="286">
        <f ca="1">OFFSET(Future_AOpexStart,MATCH($K$1,'I-6 Future A'!$A$6:$A$379)+7,+'I-5 Future DA'!J$5)</f>
        <v>1E-3</v>
      </c>
      <c r="J13" s="36"/>
      <c r="K13" s="21"/>
      <c r="L13" s="21"/>
    </row>
    <row r="14" spans="1:20" s="87" customFormat="1" ht="18" customHeight="1">
      <c r="A14" s="84" t="s">
        <v>71</v>
      </c>
      <c r="B14" s="287">
        <f t="shared" ref="B14:I14" ca="1" si="0">SUM(B8:B13)</f>
        <v>0</v>
      </c>
      <c r="C14" s="287">
        <f t="shared" ca="1" si="0"/>
        <v>0</v>
      </c>
      <c r="D14" s="287">
        <f t="shared" ca="1" si="0"/>
        <v>3.4620000000000002</v>
      </c>
      <c r="E14" s="287">
        <f t="shared" ca="1" si="0"/>
        <v>3.4620000000000002</v>
      </c>
      <c r="F14" s="287">
        <f t="shared" ca="1" si="0"/>
        <v>3.4620000000000002</v>
      </c>
      <c r="G14" s="287">
        <f t="shared" ca="1" si="0"/>
        <v>3.4620000000000002</v>
      </c>
      <c r="H14" s="287">
        <f t="shared" ca="1" si="0"/>
        <v>3.4620000000000002</v>
      </c>
      <c r="I14" s="287">
        <f t="shared" ca="1" si="0"/>
        <v>3.4620000000000002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+'A-24'!B8+'A-24'!B19</f>
        <v>0</v>
      </c>
      <c r="C30" s="285">
        <f ca="1">+'A-24'!C8+'A-24'!C19</f>
        <v>0</v>
      </c>
      <c r="D30" s="285">
        <f ca="1">+'A-24'!D8+'A-24'!D19</f>
        <v>0.78300000000000003</v>
      </c>
      <c r="E30" s="285">
        <f ca="1">+'A-24'!E8+'A-24'!E19</f>
        <v>0.78300000000000003</v>
      </c>
      <c r="F30" s="285">
        <f ca="1">+'A-24'!F8+'A-24'!F19</f>
        <v>0.78300000000000003</v>
      </c>
      <c r="G30" s="285">
        <f ca="1">+'A-24'!G8+'A-24'!G19</f>
        <v>0.78300000000000003</v>
      </c>
      <c r="H30" s="285">
        <f ca="1">+'A-24'!H8+'A-24'!H19</f>
        <v>0.78300000000000003</v>
      </c>
      <c r="I30" s="285">
        <f ca="1">+'A-24'!I8+'A-24'!I19</f>
        <v>0.78300000000000003</v>
      </c>
      <c r="J30" s="42"/>
      <c r="K30" s="21"/>
      <c r="L30" s="21"/>
    </row>
    <row r="31" spans="1:12" outlineLevel="2">
      <c r="A31" s="61" t="s">
        <v>69</v>
      </c>
      <c r="B31" s="285">
        <f ca="1">+'A-24'!B9+'A-24'!B20</f>
        <v>0</v>
      </c>
      <c r="C31" s="285">
        <f ca="1">+'A-24'!C9+'A-24'!C20</f>
        <v>0</v>
      </c>
      <c r="D31" s="285">
        <f ca="1">+'A-24'!D9+'A-24'!D20</f>
        <v>0.20600000000000002</v>
      </c>
      <c r="E31" s="285">
        <f ca="1">+'A-24'!E9+'A-24'!E20</f>
        <v>0.20600000000000002</v>
      </c>
      <c r="F31" s="285">
        <f ca="1">+'A-24'!F9+'A-24'!F20</f>
        <v>0.20600000000000002</v>
      </c>
      <c r="G31" s="285">
        <f ca="1">+'A-24'!G9+'A-24'!G20</f>
        <v>0.20600000000000002</v>
      </c>
      <c r="H31" s="285">
        <f ca="1">+'A-24'!H9+'A-24'!H20</f>
        <v>0.20600000000000002</v>
      </c>
      <c r="I31" s="285">
        <f ca="1">+'A-24'!I9+'A-24'!I20</f>
        <v>0.20600000000000002</v>
      </c>
      <c r="J31" s="42"/>
      <c r="K31" s="21"/>
      <c r="L31" s="21"/>
    </row>
    <row r="32" spans="1:12" s="759" customFormat="1" outlineLevel="2">
      <c r="A32" s="61" t="s">
        <v>646</v>
      </c>
      <c r="B32" s="285">
        <f ca="1">+'A-24'!B10+'A-24'!B21</f>
        <v>0</v>
      </c>
      <c r="C32" s="285">
        <f ca="1">+'A-24'!C10+'A-24'!C21</f>
        <v>0</v>
      </c>
      <c r="D32" s="285">
        <f ca="1">+'A-24'!D10+'A-24'!D21</f>
        <v>3.0000000000000001E-3</v>
      </c>
      <c r="E32" s="285">
        <f ca="1">+'A-24'!E10+'A-24'!E21</f>
        <v>3.0000000000000001E-3</v>
      </c>
      <c r="F32" s="285">
        <f ca="1">+'A-24'!F10+'A-24'!F21</f>
        <v>3.0000000000000001E-3</v>
      </c>
      <c r="G32" s="285">
        <f ca="1">+'A-24'!G10+'A-24'!G21</f>
        <v>3.0000000000000001E-3</v>
      </c>
      <c r="H32" s="285">
        <f ca="1">+'A-24'!H10+'A-24'!H21</f>
        <v>3.0000000000000001E-3</v>
      </c>
      <c r="I32" s="285">
        <f ca="1">+'A-24'!I10+'A-24'!I21</f>
        <v>3.0000000000000001E-3</v>
      </c>
      <c r="J32" s="42"/>
      <c r="K32" s="732"/>
      <c r="L32" s="732"/>
    </row>
    <row r="33" spans="1:12" outlineLevel="2">
      <c r="A33" s="61" t="s">
        <v>647</v>
      </c>
      <c r="B33" s="285">
        <f ca="1">+'A-24'!B11+'A-24'!B22</f>
        <v>0</v>
      </c>
      <c r="C33" s="285">
        <f ca="1">+'A-24'!C11+'A-24'!C22</f>
        <v>0</v>
      </c>
      <c r="D33" s="285">
        <f ca="1">+'A-24'!D11+'A-24'!D22</f>
        <v>6.4190000000000005</v>
      </c>
      <c r="E33" s="285">
        <f ca="1">+'A-24'!E11+'A-24'!E22</f>
        <v>6.4190000000000005</v>
      </c>
      <c r="F33" s="285">
        <f ca="1">+'A-24'!F11+'A-24'!F22</f>
        <v>6.4190000000000005</v>
      </c>
      <c r="G33" s="285">
        <f ca="1">+'A-24'!G11+'A-24'!G22</f>
        <v>6.4190000000000005</v>
      </c>
      <c r="H33" s="285">
        <f ca="1">+'A-24'!H11+'A-24'!H22</f>
        <v>6.4190000000000005</v>
      </c>
      <c r="I33" s="285">
        <f ca="1">+'A-24'!I11+'A-24'!I22</f>
        <v>6.4190000000000005</v>
      </c>
      <c r="J33" s="42"/>
      <c r="K33" s="21"/>
      <c r="L33" s="21"/>
    </row>
    <row r="34" spans="1:12" s="759" customFormat="1" outlineLevel="2">
      <c r="A34" s="61" t="s">
        <v>575</v>
      </c>
      <c r="B34" s="285">
        <f ca="1">+'A-24'!B12+'A-24'!B23</f>
        <v>0</v>
      </c>
      <c r="C34" s="285">
        <f ca="1">+'A-24'!C12+'A-24'!C23</f>
        <v>0</v>
      </c>
      <c r="D34" s="285">
        <f ca="1">+'A-24'!D12+'A-24'!D23</f>
        <v>-3.95</v>
      </c>
      <c r="E34" s="285">
        <f ca="1">+'A-24'!E12+'A-24'!E23</f>
        <v>-3.95</v>
      </c>
      <c r="F34" s="285">
        <f ca="1">+'A-24'!F12+'A-24'!F23</f>
        <v>-3.95</v>
      </c>
      <c r="G34" s="285">
        <f ca="1">+'A-24'!G12+'A-24'!G23</f>
        <v>-3.95</v>
      </c>
      <c r="H34" s="285">
        <f ca="1">+'A-24'!H12+'A-24'!H23</f>
        <v>-3.95</v>
      </c>
      <c r="I34" s="285">
        <f ca="1">+'A-24'!I12+'A-24'!I23</f>
        <v>-3.95</v>
      </c>
      <c r="J34" s="42"/>
      <c r="K34" s="732"/>
      <c r="L34" s="732"/>
    </row>
    <row r="35" spans="1:12" ht="13.5" outlineLevel="2" thickBot="1">
      <c r="A35" s="83" t="s">
        <v>70</v>
      </c>
      <c r="B35" s="285">
        <f ca="1">+'A-24'!B13+'A-24'!B24</f>
        <v>0</v>
      </c>
      <c r="C35" s="285">
        <f ca="1">+'A-24'!C13+'A-24'!C24</f>
        <v>0</v>
      </c>
      <c r="D35" s="285">
        <f ca="1">+'A-24'!D13+'A-24'!D24</f>
        <v>1E-3</v>
      </c>
      <c r="E35" s="285">
        <f ca="1">+'A-24'!E13+'A-24'!E24</f>
        <v>1E-3</v>
      </c>
      <c r="F35" s="285">
        <f ca="1">+'A-24'!F13+'A-24'!F24</f>
        <v>1E-3</v>
      </c>
      <c r="G35" s="285">
        <f ca="1">+'A-24'!G13+'A-24'!G24</f>
        <v>1E-3</v>
      </c>
      <c r="H35" s="285">
        <f ca="1">+'A-24'!H13+'A-24'!H24</f>
        <v>1E-3</v>
      </c>
      <c r="I35" s="285">
        <f ca="1">+'A-24'!I13+'A-24'!I24</f>
        <v>1E-3</v>
      </c>
      <c r="J35" s="93"/>
      <c r="K35" s="21"/>
      <c r="L35" s="21"/>
    </row>
    <row r="36" spans="1:12" s="87" customFormat="1" ht="20.25" customHeight="1" thickBot="1">
      <c r="A36" s="94" t="s">
        <v>128</v>
      </c>
      <c r="B36" s="294">
        <f t="shared" ref="B36:I36" ca="1" si="7">SUM(B30:B35)</f>
        <v>0</v>
      </c>
      <c r="C36" s="294">
        <f t="shared" ca="1" si="7"/>
        <v>0</v>
      </c>
      <c r="D36" s="294">
        <f t="shared" ca="1" si="7"/>
        <v>3.4620000000000002</v>
      </c>
      <c r="E36" s="294">
        <f t="shared" ca="1" si="7"/>
        <v>3.4620000000000002</v>
      </c>
      <c r="F36" s="294">
        <f t="shared" ca="1" si="7"/>
        <v>3.4620000000000002</v>
      </c>
      <c r="G36" s="294">
        <f t="shared" ca="1" si="7"/>
        <v>3.4620000000000002</v>
      </c>
      <c r="H36" s="294">
        <f t="shared" ca="1" si="7"/>
        <v>3.4620000000000002</v>
      </c>
      <c r="I36" s="294">
        <f t="shared" ca="1" si="7"/>
        <v>3.4620000000000002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8.3075973342070994E-3</v>
      </c>
      <c r="F42" s="285">
        <f t="shared" ca="1" si="8"/>
        <v>1.6005299181788002E-2</v>
      </c>
      <c r="G42" s="285">
        <f t="shared" ca="1" si="8"/>
        <v>2.3614391981074671E-2</v>
      </c>
      <c r="H42" s="285">
        <f t="shared" ca="1" si="8"/>
        <v>3.1869646540097628E-2</v>
      </c>
      <c r="I42" s="285">
        <f t="shared" ca="1" si="8"/>
        <v>3.9431521498752141E-2</v>
      </c>
      <c r="K42" s="63"/>
      <c r="L42" s="63"/>
    </row>
    <row r="43" spans="1:12" outlineLevel="1">
      <c r="A43" s="61" t="s">
        <v>69</v>
      </c>
      <c r="B43" s="82"/>
      <c r="C43" s="285">
        <f t="shared" ca="1" si="8"/>
        <v>0</v>
      </c>
      <c r="D43" s="285">
        <f t="shared" ca="1" si="8"/>
        <v>0</v>
      </c>
      <c r="E43" s="285">
        <f t="shared" ca="1" si="8"/>
        <v>2.1856514059344352E-3</v>
      </c>
      <c r="F43" s="285">
        <f t="shared" ca="1" si="8"/>
        <v>4.2108449954640203E-3</v>
      </c>
      <c r="G43" s="285">
        <f t="shared" ca="1" si="8"/>
        <v>6.2127263704998496E-3</v>
      </c>
      <c r="H43" s="285">
        <f t="shared" ca="1" si="8"/>
        <v>8.3846068802811129E-3</v>
      </c>
      <c r="I43" s="285">
        <f t="shared" ca="1" si="8"/>
        <v>1.0374065681664038E-2</v>
      </c>
      <c r="K43" s="42"/>
      <c r="L43" s="21"/>
    </row>
    <row r="44" spans="1:12" s="759" customFormat="1" outlineLevel="1">
      <c r="A44" s="61" t="s">
        <v>646</v>
      </c>
      <c r="B44" s="82"/>
      <c r="C44" s="285">
        <f t="shared" ref="C44:I44" ca="1" si="9">+C100</f>
        <v>0</v>
      </c>
      <c r="D44" s="285">
        <f t="shared" ca="1" si="9"/>
        <v>0</v>
      </c>
      <c r="E44" s="285">
        <f t="shared" ca="1" si="9"/>
        <v>3.1829874843705362E-5</v>
      </c>
      <c r="F44" s="285">
        <f t="shared" ca="1" si="9"/>
        <v>6.1322985370835254E-5</v>
      </c>
      <c r="G44" s="285">
        <f t="shared" ca="1" si="9"/>
        <v>9.0476597628638586E-5</v>
      </c>
      <c r="H44" s="285">
        <f t="shared" ca="1" si="9"/>
        <v>1.2210592544098709E-4</v>
      </c>
      <c r="I44" s="285">
        <f t="shared" ca="1" si="9"/>
        <v>1.5107862643200053E-4</v>
      </c>
      <c r="K44" s="42"/>
      <c r="L44" s="732"/>
    </row>
    <row r="45" spans="1:12" outlineLevel="1">
      <c r="A45" s="61" t="s">
        <v>647</v>
      </c>
      <c r="B45" s="82"/>
      <c r="C45" s="285">
        <f t="shared" ref="C45:I45" ca="1" si="10">+C101</f>
        <v>0</v>
      </c>
      <c r="D45" s="285">
        <f t="shared" ca="1" si="10"/>
        <v>0</v>
      </c>
      <c r="E45" s="285">
        <f t="shared" ca="1" si="10"/>
        <v>6.8105322207248242E-2</v>
      </c>
      <c r="F45" s="285">
        <f t="shared" ca="1" si="10"/>
        <v>0.13121074769846383</v>
      </c>
      <c r="G45" s="285">
        <f t="shared" ca="1" si="10"/>
        <v>0.19358976005941037</v>
      </c>
      <c r="H45" s="285">
        <f t="shared" ca="1" si="10"/>
        <v>0.26126597846856536</v>
      </c>
      <c r="I45" s="285">
        <f t="shared" ca="1" si="10"/>
        <v>0.3232579010223372</v>
      </c>
      <c r="K45" s="42"/>
      <c r="L45" s="21"/>
    </row>
    <row r="46" spans="1:12" s="759" customFormat="1" outlineLevel="1">
      <c r="A46" s="61" t="s">
        <v>575</v>
      </c>
      <c r="B46" s="82"/>
      <c r="C46" s="285">
        <f t="shared" ref="C46:I46" ca="1" si="11">+C102</f>
        <v>0</v>
      </c>
      <c r="D46" s="285">
        <f t="shared" ca="1" si="11"/>
        <v>0</v>
      </c>
      <c r="E46" s="285">
        <f t="shared" ca="1" si="11"/>
        <v>-4.190933521087873E-2</v>
      </c>
      <c r="F46" s="285">
        <f t="shared" ca="1" si="11"/>
        <v>-8.074193073826641E-2</v>
      </c>
      <c r="G46" s="285">
        <f t="shared" ca="1" si="11"/>
        <v>-0.1191275202110408</v>
      </c>
      <c r="H46" s="285">
        <f t="shared" ca="1" si="11"/>
        <v>-0.160772801830633</v>
      </c>
      <c r="I46" s="285">
        <f t="shared" ca="1" si="11"/>
        <v>-0.19892019146880072</v>
      </c>
      <c r="K46" s="42"/>
      <c r="L46" s="732"/>
    </row>
    <row r="47" spans="1:12" ht="13.5" outlineLevel="1" thickBot="1">
      <c r="A47" s="83" t="s">
        <v>70</v>
      </c>
      <c r="B47" s="82"/>
      <c r="C47" s="285">
        <f t="shared" ref="C47:I47" ca="1" si="12">+C103</f>
        <v>0</v>
      </c>
      <c r="D47" s="285">
        <f t="shared" ca="1" si="12"/>
        <v>0</v>
      </c>
      <c r="E47" s="285">
        <f t="shared" ca="1" si="12"/>
        <v>1.0609958281235122E-5</v>
      </c>
      <c r="F47" s="285">
        <f t="shared" ca="1" si="12"/>
        <v>2.0440995123611749E-5</v>
      </c>
      <c r="G47" s="285">
        <f t="shared" ca="1" si="12"/>
        <v>3.0158865876212861E-5</v>
      </c>
      <c r="H47" s="285">
        <f t="shared" ca="1" si="12"/>
        <v>4.0701975146995693E-5</v>
      </c>
      <c r="I47" s="285">
        <f t="shared" ca="1" si="12"/>
        <v>5.0359542144000181E-5</v>
      </c>
      <c r="K47" s="42"/>
      <c r="L47" s="21"/>
    </row>
    <row r="48" spans="1:12" s="87" customFormat="1" ht="18" customHeight="1" thickBot="1">
      <c r="A48" s="94" t="s">
        <v>74</v>
      </c>
      <c r="B48" s="294"/>
      <c r="C48" s="294">
        <f t="shared" ref="C48:I48" ca="1" si="13">SUM(C42:C47)</f>
        <v>0</v>
      </c>
      <c r="D48" s="294">
        <f t="shared" ca="1" si="13"/>
        <v>0</v>
      </c>
      <c r="E48" s="294">
        <f t="shared" ca="1" si="13"/>
        <v>3.6731675569635983E-2</v>
      </c>
      <c r="F48" s="294">
        <f t="shared" ca="1" si="13"/>
        <v>7.0766725117943879E-2</v>
      </c>
      <c r="G48" s="294">
        <f t="shared" ca="1" si="13"/>
        <v>0.10440999366344893</v>
      </c>
      <c r="H48" s="294">
        <f t="shared" ca="1" si="13"/>
        <v>0.14091023795889909</v>
      </c>
      <c r="I48" s="294">
        <f t="shared" ca="1" si="13"/>
        <v>0.17434473490252869</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1.6979851441915664E-2</v>
      </c>
      <c r="F53" s="285">
        <f t="shared" ca="1" si="14"/>
        <v>3.4657954367588575E-2</v>
      </c>
      <c r="G53" s="285">
        <f t="shared" ca="1" si="14"/>
        <v>5.403662325804922E-2</v>
      </c>
      <c r="H53" s="285">
        <f t="shared" ca="1" si="14"/>
        <v>7.4268778439899166E-2</v>
      </c>
      <c r="I53" s="285">
        <f t="shared" ca="1" si="14"/>
        <v>9.5269267252482359E-2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1.5159149374218205E-5</v>
      </c>
      <c r="F55" s="285">
        <f t="shared" ca="1" si="15"/>
        <v>3.0689762928341789E-5</v>
      </c>
      <c r="G55" s="285">
        <f t="shared" ca="1" si="15"/>
        <v>5.9075155520904395E-5</v>
      </c>
      <c r="H55" s="285">
        <f t="shared" ca="1" si="15"/>
        <v>9.308850690677239E-5</v>
      </c>
      <c r="I55" s="285">
        <f t="shared" ca="1" si="15"/>
        <v>1.3451524234111509E-4</v>
      </c>
      <c r="K55" s="42"/>
      <c r="L55" s="732"/>
    </row>
    <row r="56" spans="1:12" outlineLevel="1">
      <c r="A56" s="61" t="s">
        <v>647</v>
      </c>
      <c r="B56" s="285"/>
      <c r="C56" s="285">
        <f t="shared" ref="C56:I56" ca="1" si="16">+C137</f>
        <v>0</v>
      </c>
      <c r="D56" s="285">
        <f t="shared" ca="1" si="16"/>
        <v>0</v>
      </c>
      <c r="E56" s="285">
        <f t="shared" ca="1" si="16"/>
        <v>3.2435526611035555E-2</v>
      </c>
      <c r="F56" s="285">
        <f t="shared" ca="1" si="16"/>
        <v>6.5665862745675319E-2</v>
      </c>
      <c r="G56" s="285">
        <f t="shared" ca="1" si="16"/>
        <v>0.12640114109622844</v>
      </c>
      <c r="H56" s="285">
        <f t="shared" ca="1" si="16"/>
        <v>0.19917837527819066</v>
      </c>
      <c r="I56" s="285">
        <f t="shared" ca="1" si="16"/>
        <v>0.28781778019587262</v>
      </c>
      <c r="K56" s="42"/>
      <c r="L56" s="21"/>
    </row>
    <row r="57" spans="1:12" s="759" customFormat="1" outlineLevel="1">
      <c r="A57" s="61" t="s">
        <v>575</v>
      </c>
      <c r="B57" s="285"/>
      <c r="C57" s="285">
        <f t="shared" ref="C57:I57" ca="1" si="17">+C138</f>
        <v>0</v>
      </c>
      <c r="D57" s="285">
        <f t="shared" ca="1" si="17"/>
        <v>0</v>
      </c>
      <c r="E57" s="285">
        <f t="shared" ca="1" si="17"/>
        <v>-8.565825440046855E-2</v>
      </c>
      <c r="F57" s="285">
        <f t="shared" ca="1" si="17"/>
        <v>-0.17483897797187087</v>
      </c>
      <c r="G57" s="285">
        <f t="shared" ca="1" si="17"/>
        <v>-0.27259854644865189</v>
      </c>
      <c r="H57" s="285">
        <f t="shared" ca="1" si="17"/>
        <v>-0.37466369711060238</v>
      </c>
      <c r="I57" s="285">
        <f t="shared" ca="1" si="17"/>
        <v>-0.48060486034138611</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-3.6227717198143113E-2</v>
      </c>
      <c r="F59" s="287">
        <f t="shared" ca="1" si="19"/>
        <v>-7.4484471095678628E-2</v>
      </c>
      <c r="G59" s="287">
        <f t="shared" ca="1" si="19"/>
        <v>-9.2101706938853334E-2</v>
      </c>
      <c r="H59" s="287">
        <f t="shared" ca="1" si="19"/>
        <v>-0.10112345488560576</v>
      </c>
      <c r="I59" s="287">
        <f t="shared" ca="1" si="19"/>
        <v>-9.7383297650690037E-2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0.78300000000000003</v>
      </c>
      <c r="E64" s="285">
        <f t="shared" ca="1" si="20"/>
        <v>0.8082874487761228</v>
      </c>
      <c r="F64" s="285">
        <f t="shared" ca="1" si="20"/>
        <v>0.83366325354937654</v>
      </c>
      <c r="G64" s="285">
        <f t="shared" ca="1" si="20"/>
        <v>0.86065101523912391</v>
      </c>
      <c r="H64" s="285">
        <f t="shared" ca="1" si="20"/>
        <v>0.88913842497999684</v>
      </c>
      <c r="I64" s="285">
        <f t="shared" ca="1" si="20"/>
        <v>0.91770078875123451</v>
      </c>
      <c r="K64" s="63"/>
      <c r="L64" s="63"/>
    </row>
    <row r="65" spans="1:20" ht="12.75" customHeight="1" outlineLevel="1">
      <c r="A65" s="61" t="s">
        <v>69</v>
      </c>
      <c r="B65" s="285">
        <f t="shared" ca="1" si="20"/>
        <v>0</v>
      </c>
      <c r="C65" s="285">
        <f t="shared" ca="1" si="20"/>
        <v>0</v>
      </c>
      <c r="D65" s="285">
        <f t="shared" ca="1" si="20"/>
        <v>0.20600000000000002</v>
      </c>
      <c r="E65" s="285">
        <f t="shared" ca="1" si="20"/>
        <v>0.20818565140593445</v>
      </c>
      <c r="F65" s="285">
        <f t="shared" ca="1" si="20"/>
        <v>0.21021084499546402</v>
      </c>
      <c r="G65" s="285">
        <f t="shared" ca="1" si="20"/>
        <v>0.21221272637049987</v>
      </c>
      <c r="H65" s="285">
        <f t="shared" ca="1" si="20"/>
        <v>0.21438460688028113</v>
      </c>
      <c r="I65" s="285">
        <f t="shared" ca="1" si="20"/>
        <v>0.21637406568166406</v>
      </c>
      <c r="K65" s="42"/>
      <c r="L65" s="21"/>
    </row>
    <row r="66" spans="1:20" s="759" customFormat="1" ht="12.75" customHeight="1" outlineLevel="1">
      <c r="A66" s="61" t="s">
        <v>646</v>
      </c>
      <c r="B66" s="285">
        <f t="shared" ref="B66:I66" ca="1" si="21">+B44+B32+B55</f>
        <v>0</v>
      </c>
      <c r="C66" s="285">
        <f t="shared" ca="1" si="21"/>
        <v>0</v>
      </c>
      <c r="D66" s="285">
        <f t="shared" ca="1" si="21"/>
        <v>3.0000000000000001E-3</v>
      </c>
      <c r="E66" s="285">
        <f t="shared" ca="1" si="21"/>
        <v>3.0469890242179236E-3</v>
      </c>
      <c r="F66" s="285">
        <f t="shared" ca="1" si="21"/>
        <v>3.0920127482991768E-3</v>
      </c>
      <c r="G66" s="285">
        <f t="shared" ca="1" si="21"/>
        <v>3.1495517531495432E-3</v>
      </c>
      <c r="H66" s="285">
        <f t="shared" ca="1" si="21"/>
        <v>3.2151944323477598E-3</v>
      </c>
      <c r="I66" s="285">
        <f t="shared" ca="1" si="21"/>
        <v>3.2855938687731158E-3</v>
      </c>
      <c r="K66" s="42"/>
      <c r="L66" s="732"/>
    </row>
    <row r="67" spans="1:20" ht="12.75" customHeight="1" outlineLevel="1">
      <c r="A67" s="61" t="s">
        <v>647</v>
      </c>
      <c r="B67" s="285">
        <f t="shared" ref="B67:I67" ca="1" si="22">+B45+B33+B56</f>
        <v>0</v>
      </c>
      <c r="C67" s="285">
        <f t="shared" ca="1" si="22"/>
        <v>0</v>
      </c>
      <c r="D67" s="285">
        <f t="shared" ca="1" si="22"/>
        <v>6.4190000000000005</v>
      </c>
      <c r="E67" s="285">
        <f t="shared" ca="1" si="22"/>
        <v>6.5195408488182842</v>
      </c>
      <c r="F67" s="285">
        <f t="shared" ca="1" si="22"/>
        <v>6.6158766104441389</v>
      </c>
      <c r="G67" s="285">
        <f t="shared" ca="1" si="22"/>
        <v>6.7389909011556393</v>
      </c>
      <c r="H67" s="285">
        <f t="shared" ca="1" si="22"/>
        <v>6.8794443537467567</v>
      </c>
      <c r="I67" s="285">
        <f t="shared" ca="1" si="22"/>
        <v>7.0300756812182108</v>
      </c>
      <c r="K67" s="42"/>
      <c r="L67" s="21"/>
    </row>
    <row r="68" spans="1:20" s="759" customFormat="1" ht="12.75" customHeight="1" outlineLevel="1">
      <c r="A68" s="61" t="s">
        <v>575</v>
      </c>
      <c r="B68" s="285">
        <f t="shared" ref="B68:I68" ca="1" si="23">+B46+B34+B57</f>
        <v>0</v>
      </c>
      <c r="C68" s="285">
        <f t="shared" ca="1" si="23"/>
        <v>0</v>
      </c>
      <c r="D68" s="285">
        <f t="shared" ca="1" si="23"/>
        <v>-3.95</v>
      </c>
      <c r="E68" s="285">
        <f t="shared" ca="1" si="23"/>
        <v>-4.0775675896113475</v>
      </c>
      <c r="F68" s="285">
        <f t="shared" ca="1" si="23"/>
        <v>-4.2055809087101377</v>
      </c>
      <c r="G68" s="285">
        <f t="shared" ca="1" si="23"/>
        <v>-4.3417260666596933</v>
      </c>
      <c r="H68" s="285">
        <f t="shared" ca="1" si="23"/>
        <v>-4.485436498941235</v>
      </c>
      <c r="I68" s="285">
        <f t="shared" ca="1" si="23"/>
        <v>-4.6295250518101874</v>
      </c>
      <c r="K68" s="42"/>
      <c r="L68" s="732"/>
    </row>
    <row r="69" spans="1:20" ht="12.75" customHeight="1" outlineLevel="1" thickBot="1">
      <c r="A69" s="83" t="s">
        <v>70</v>
      </c>
      <c r="B69" s="286">
        <f t="shared" ref="B69:I69" ca="1" si="24">+B47+B35+B58</f>
        <v>0</v>
      </c>
      <c r="C69" s="286">
        <f t="shared" ca="1" si="24"/>
        <v>0</v>
      </c>
      <c r="D69" s="286">
        <f t="shared" ca="1" si="24"/>
        <v>1E-3</v>
      </c>
      <c r="E69" s="286">
        <f t="shared" ca="1" si="24"/>
        <v>1.0106099582812352E-3</v>
      </c>
      <c r="F69" s="286">
        <f t="shared" ca="1" si="24"/>
        <v>1.0204409951236118E-3</v>
      </c>
      <c r="G69" s="286">
        <f t="shared" ca="1" si="24"/>
        <v>1.0301588658762129E-3</v>
      </c>
      <c r="H69" s="286">
        <f t="shared" ca="1" si="24"/>
        <v>1.0407019751469957E-3</v>
      </c>
      <c r="I69" s="286">
        <f t="shared" ca="1" si="24"/>
        <v>1.0503595421440001E-3</v>
      </c>
      <c r="K69" s="42"/>
      <c r="L69" s="21"/>
    </row>
    <row r="70" spans="1:20" s="87" customFormat="1" ht="18" customHeight="1" thickBot="1">
      <c r="A70" s="99" t="s">
        <v>129</v>
      </c>
      <c r="B70" s="295">
        <f t="shared" ref="B70:I70" ca="1" si="25">SUM(B64:B69)</f>
        <v>0</v>
      </c>
      <c r="C70" s="295">
        <f t="shared" ca="1" si="25"/>
        <v>0</v>
      </c>
      <c r="D70" s="295">
        <f t="shared" ca="1" si="25"/>
        <v>3.4620000000000002</v>
      </c>
      <c r="E70" s="295">
        <f t="shared" ca="1" si="25"/>
        <v>3.4625039583714932</v>
      </c>
      <c r="F70" s="295">
        <f t="shared" ca="1" si="25"/>
        <v>3.4582822540222642</v>
      </c>
      <c r="G70" s="295">
        <f t="shared" ca="1" si="25"/>
        <v>3.4743082867245949</v>
      </c>
      <c r="H70" s="295">
        <f t="shared" ca="1" si="25"/>
        <v>3.5017867830732943</v>
      </c>
      <c r="I70" s="295">
        <f t="shared" ca="1" si="25"/>
        <v>3.5389614372518396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8.3075973342070994E-3</v>
      </c>
      <c r="Q77" s="285">
        <f ca="1">IF($B77&lt;&gt;0,(+VLOOKUP($B77,$A$8:$I$13,6,FALSE))*(F77),0)</f>
        <v>1.6005299181788002E-2</v>
      </c>
      <c r="R77" s="285">
        <f ca="1">IF($B77&lt;&gt;0,(+VLOOKUP($B77,$A$8:$I$13,7,FALSE))*(G77),0)</f>
        <v>2.3614391981074671E-2</v>
      </c>
      <c r="S77" s="285">
        <f ca="1">IF($B77&lt;&gt;0,(+VLOOKUP($B77,$A$8:$I$13,8,FALSE))*(H77),0)</f>
        <v>3.1869646540097628E-2</v>
      </c>
      <c r="T77" s="285">
        <f ca="1">IF($B77&lt;&gt;0,(+VLOOKUP($B77,$A$8:$I$13,9,FALSE))*(I77),0)</f>
        <v>3.9431521498752141E-2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2.1856514059344352E-3</v>
      </c>
      <c r="Q78" s="285">
        <f ca="1">IF($B78&lt;&gt;0,(+VLOOKUP($B78,$A$8:$I$13,6,FALSE))*(F78),0)</f>
        <v>4.2108449954640203E-3</v>
      </c>
      <c r="R78" s="285">
        <f ca="1">IF($B78&lt;&gt;0,(+VLOOKUP($B78,$A$8:$I$13,7,FALSE))*(G78),0)</f>
        <v>6.2127263704998496E-3</v>
      </c>
      <c r="S78" s="285">
        <f ca="1">IF($B78&lt;&gt;0,(+VLOOKUP($B78,$A$8:$I$13,8,FALSE))*(H78),0)</f>
        <v>8.3846068802811129E-3</v>
      </c>
      <c r="T78" s="285">
        <f ca="1">IF($B78&lt;&gt;0,(+VLOOKUP($B78,$A$8:$I$13,9,FALSE))*(I78),0)</f>
        <v>1.0374065681664038E-2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3.1829874843705362E-5</v>
      </c>
      <c r="Q79" s="285">
        <f t="shared" ref="Q79:Q80" ca="1" si="34">IF($B79&lt;&gt;0,(+VLOOKUP($B79,$A$8:$I$13,6,FALSE))*(F79),0)</f>
        <v>6.1322985370835254E-5</v>
      </c>
      <c r="R79" s="285">
        <f t="shared" ref="R79:R80" ca="1" si="35">IF($B79&lt;&gt;0,(+VLOOKUP($B79,$A$8:$I$13,7,FALSE))*(G79),0)</f>
        <v>9.0476597628638586E-5</v>
      </c>
      <c r="S79" s="285">
        <f t="shared" ref="S79:S80" ca="1" si="36">IF($B79&lt;&gt;0,(+VLOOKUP($B79,$A$8:$I$13,8,FALSE))*(H79),0)</f>
        <v>1.2210592544098709E-4</v>
      </c>
      <c r="T79" s="285">
        <f t="shared" ref="T79:T80" ca="1" si="37">IF($B79&lt;&gt;0,(+VLOOKUP($B79,$A$8:$I$13,9,FALSE))*(I79),0)</f>
        <v>1.5107862643200053E-4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6.8105322207248242E-2</v>
      </c>
      <c r="Q80" s="285">
        <f t="shared" ca="1" si="34"/>
        <v>0.13121074769846383</v>
      </c>
      <c r="R80" s="285">
        <f t="shared" ca="1" si="35"/>
        <v>0.19358976005941037</v>
      </c>
      <c r="S80" s="285">
        <f t="shared" ca="1" si="36"/>
        <v>0.26126597846856536</v>
      </c>
      <c r="T80" s="285">
        <f t="shared" ca="1" si="37"/>
        <v>0.3232579010223372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-4.190933521087873E-2</v>
      </c>
      <c r="Q81" s="285">
        <f ca="1">IF($B81&lt;&gt;0,(+VLOOKUP($B81,$A$8:$I$13,6,FALSE))*(F81),0)</f>
        <v>-8.074193073826641E-2</v>
      </c>
      <c r="R81" s="285">
        <f ca="1">IF($B81&lt;&gt;0,(+VLOOKUP($B81,$A$8:$I$13,7,FALSE))*(G81),0)</f>
        <v>-0.1191275202110408</v>
      </c>
      <c r="S81" s="285">
        <f ca="1">IF($B81&lt;&gt;0,(+VLOOKUP($B81,$A$8:$I$13,8,FALSE))*(H81),0)</f>
        <v>-0.160772801830633</v>
      </c>
      <c r="T81" s="285">
        <f ca="1">IF($B81&lt;&gt;0,(+VLOOKUP($B81,$A$8:$I$13,9,FALSE))*(I81),0)</f>
        <v>-0.19892019146880072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1.0609958281235122E-5</v>
      </c>
      <c r="Q82" s="285">
        <f t="shared" ref="Q82" ca="1" si="47">IF($B82&lt;&gt;0,(+VLOOKUP($B82,$A$8:$I$13,6,FALSE))*(F82),0)</f>
        <v>2.0440995123611749E-5</v>
      </c>
      <c r="R82" s="285">
        <f t="shared" ref="R82" ca="1" si="48">IF($B82&lt;&gt;0,(+VLOOKUP($B82,$A$8:$I$13,7,FALSE))*(G82),0)</f>
        <v>3.0158865876212861E-5</v>
      </c>
      <c r="S82" s="285">
        <f t="shared" ref="S82" ca="1" si="49">IF($B82&lt;&gt;0,(+VLOOKUP($B82,$A$8:$I$13,8,FALSE))*(H82),0)</f>
        <v>4.0701975146995693E-5</v>
      </c>
      <c r="T82" s="285">
        <f t="shared" ref="T82" ca="1" si="50">IF($B82&lt;&gt;0,(+VLOOKUP($B82,$A$8:$I$13,9,FALSE))*(I82),0)</f>
        <v>5.0359542144000181E-5</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3.6731675569635983E-2</v>
      </c>
      <c r="Q83" s="292">
        <f t="shared" ca="1" si="51"/>
        <v>7.0766725117943879E-2</v>
      </c>
      <c r="R83" s="292">
        <f t="shared" ca="1" si="51"/>
        <v>0.10440999366344893</v>
      </c>
      <c r="S83" s="292">
        <f t="shared" ca="1" si="51"/>
        <v>0.14091023795889909</v>
      </c>
      <c r="T83" s="292">
        <f t="shared" ca="1" si="51"/>
        <v>0.17434473490252869</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8.3075973342070994E-3</v>
      </c>
      <c r="F98" s="285">
        <f t="shared" ca="1" si="54"/>
        <v>1.6005299181788002E-2</v>
      </c>
      <c r="G98" s="285">
        <f t="shared" ca="1" si="54"/>
        <v>2.3614391981074671E-2</v>
      </c>
      <c r="H98" s="285">
        <f t="shared" ca="1" si="54"/>
        <v>3.1869646540097628E-2</v>
      </c>
      <c r="I98" s="285">
        <f t="shared" ca="1" si="54"/>
        <v>3.9431521498752141E-2</v>
      </c>
    </row>
    <row r="99" spans="1:20" outlineLevel="1">
      <c r="A99" s="61" t="s">
        <v>69</v>
      </c>
      <c r="B99" s="119"/>
      <c r="C99" s="285">
        <f t="shared" ref="C99:I99" ca="1" si="55">+C9*(C87)</f>
        <v>0</v>
      </c>
      <c r="D99" s="285">
        <f t="shared" ca="1" si="55"/>
        <v>0</v>
      </c>
      <c r="E99" s="285">
        <f t="shared" ca="1" si="55"/>
        <v>2.1856514059344352E-3</v>
      </c>
      <c r="F99" s="285">
        <f t="shared" ca="1" si="55"/>
        <v>4.2108449954640203E-3</v>
      </c>
      <c r="G99" s="285">
        <f t="shared" ca="1" si="55"/>
        <v>6.2127263704998496E-3</v>
      </c>
      <c r="H99" s="285">
        <f t="shared" ca="1" si="55"/>
        <v>8.3846068802811129E-3</v>
      </c>
      <c r="I99" s="285">
        <f t="shared" ca="1" si="55"/>
        <v>1.0374065681664038E-2</v>
      </c>
    </row>
    <row r="100" spans="1:20" s="759" customFormat="1" outlineLevel="1">
      <c r="A100" s="61" t="s">
        <v>646</v>
      </c>
      <c r="B100" s="119"/>
      <c r="C100" s="285">
        <f t="shared" ref="C100:I100" ca="1" si="56">+C10*(C88)</f>
        <v>0</v>
      </c>
      <c r="D100" s="285">
        <f t="shared" ca="1" si="56"/>
        <v>0</v>
      </c>
      <c r="E100" s="285">
        <f t="shared" ca="1" si="56"/>
        <v>3.1829874843705362E-5</v>
      </c>
      <c r="F100" s="285">
        <f t="shared" ca="1" si="56"/>
        <v>6.1322985370835254E-5</v>
      </c>
      <c r="G100" s="285">
        <f t="shared" ca="1" si="56"/>
        <v>9.0476597628638586E-5</v>
      </c>
      <c r="H100" s="285">
        <f t="shared" ca="1" si="56"/>
        <v>1.2210592544098709E-4</v>
      </c>
      <c r="I100" s="285">
        <f t="shared" ca="1" si="56"/>
        <v>1.5107862643200053E-4</v>
      </c>
    </row>
    <row r="101" spans="1:20" outlineLevel="1">
      <c r="A101" s="61" t="s">
        <v>647</v>
      </c>
      <c r="B101" s="119"/>
      <c r="C101" s="285">
        <f t="shared" ref="C101:I101" ca="1" si="57">+C11*(C89)</f>
        <v>0</v>
      </c>
      <c r="D101" s="285">
        <f t="shared" ca="1" si="57"/>
        <v>0</v>
      </c>
      <c r="E101" s="285">
        <f t="shared" ca="1" si="57"/>
        <v>6.8105322207248242E-2</v>
      </c>
      <c r="F101" s="285">
        <f t="shared" ca="1" si="57"/>
        <v>0.13121074769846383</v>
      </c>
      <c r="G101" s="285">
        <f t="shared" ca="1" si="57"/>
        <v>0.19358976005941037</v>
      </c>
      <c r="H101" s="285">
        <f t="shared" ca="1" si="57"/>
        <v>0.26126597846856536</v>
      </c>
      <c r="I101" s="285">
        <f t="shared" ca="1" si="57"/>
        <v>0.3232579010223372</v>
      </c>
    </row>
    <row r="102" spans="1:20" s="759" customFormat="1" outlineLevel="1">
      <c r="A102" s="61" t="s">
        <v>575</v>
      </c>
      <c r="B102" s="119"/>
      <c r="C102" s="285">
        <f t="shared" ref="C102:I102" ca="1" si="58">+C12*(C90)</f>
        <v>0</v>
      </c>
      <c r="D102" s="285">
        <f t="shared" ca="1" si="58"/>
        <v>0</v>
      </c>
      <c r="E102" s="285">
        <f t="shared" ca="1" si="58"/>
        <v>-4.190933521087873E-2</v>
      </c>
      <c r="F102" s="285">
        <f t="shared" ca="1" si="58"/>
        <v>-8.074193073826641E-2</v>
      </c>
      <c r="G102" s="285">
        <f t="shared" ca="1" si="58"/>
        <v>-0.1191275202110408</v>
      </c>
      <c r="H102" s="285">
        <f t="shared" ca="1" si="58"/>
        <v>-0.160772801830633</v>
      </c>
      <c r="I102" s="285">
        <f t="shared" ca="1" si="58"/>
        <v>-0.19892019146880072</v>
      </c>
    </row>
    <row r="103" spans="1:20" outlineLevel="1">
      <c r="A103" s="83" t="s">
        <v>70</v>
      </c>
      <c r="B103" s="119"/>
      <c r="C103" s="285">
        <f t="shared" ref="C103:I103" ca="1" si="59">+C13*(C91)</f>
        <v>0</v>
      </c>
      <c r="D103" s="285">
        <f t="shared" ca="1" si="59"/>
        <v>0</v>
      </c>
      <c r="E103" s="285">
        <f t="shared" ca="1" si="59"/>
        <v>1.0609958281235122E-5</v>
      </c>
      <c r="F103" s="285">
        <f t="shared" ca="1" si="59"/>
        <v>2.0440995123611749E-5</v>
      </c>
      <c r="G103" s="285">
        <f t="shared" ca="1" si="59"/>
        <v>3.0158865876212861E-5</v>
      </c>
      <c r="H103" s="285">
        <f t="shared" ca="1" si="59"/>
        <v>4.0701975146995693E-5</v>
      </c>
      <c r="I103" s="285">
        <f t="shared" ca="1" si="59"/>
        <v>5.0359542144000181E-5</v>
      </c>
    </row>
    <row r="104" spans="1:20" outlineLevel="1">
      <c r="A104" s="120" t="s">
        <v>142</v>
      </c>
      <c r="B104" s="121"/>
      <c r="C104" s="296">
        <f t="shared" ref="C104:I104" ca="1" si="60">SUM(C98:C103)</f>
        <v>0</v>
      </c>
      <c r="D104" s="296">
        <f t="shared" ca="1" si="60"/>
        <v>0</v>
      </c>
      <c r="E104" s="296">
        <f t="shared" ca="1" si="60"/>
        <v>3.6731675569635983E-2</v>
      </c>
      <c r="F104" s="296">
        <f t="shared" ca="1" si="60"/>
        <v>7.0766725117943879E-2</v>
      </c>
      <c r="G104" s="296">
        <f t="shared" ca="1" si="60"/>
        <v>0.10440999366344893</v>
      </c>
      <c r="H104" s="296">
        <f t="shared" ca="1" si="60"/>
        <v>0.14091023795889909</v>
      </c>
      <c r="I104" s="296">
        <f t="shared" ca="1" si="60"/>
        <v>0.17434473490252869</v>
      </c>
    </row>
    <row r="105" spans="1:20" ht="13.5" outlineLevel="1" thickBot="1">
      <c r="A105" s="122" t="s">
        <v>143</v>
      </c>
      <c r="B105" s="123"/>
      <c r="C105" s="124">
        <f t="shared" ref="C105:I105" ca="1" si="61">IF(C36&lt;&gt;0,+C104/C36,0)</f>
        <v>0</v>
      </c>
      <c r="D105" s="124">
        <f t="shared" ca="1" si="61"/>
        <v>0</v>
      </c>
      <c r="E105" s="124">
        <f t="shared" ca="1" si="61"/>
        <v>1.0609958281235119E-2</v>
      </c>
      <c r="F105" s="124">
        <f t="shared" ca="1" si="61"/>
        <v>2.0440995123611749E-2</v>
      </c>
      <c r="G105" s="124">
        <f t="shared" ca="1" si="61"/>
        <v>3.0158865876212859E-2</v>
      </c>
      <c r="H105" s="124">
        <f t="shared" ca="1" si="61"/>
        <v>4.0701975146995695E-2</v>
      </c>
      <c r="I105" s="124">
        <f t="shared" ca="1" si="61"/>
        <v>5.0359542144000194E-2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1.6979851441915664E-2</v>
      </c>
      <c r="Q113" s="285">
        <f ca="1">IF($B113&lt;&gt;0,(+VLOOKUP($B113,$A$8:$I$13,6,FALSE)+VLOOKUP($B113,$A$42:$I$47,6,FALSE))*(F113),0)</f>
        <v>3.4657954367588575E-2</v>
      </c>
      <c r="R113" s="285">
        <f ca="1">IF($B113&lt;&gt;0,(+VLOOKUP($B113,$A$8:$I$13,7,FALSE)+VLOOKUP($B113,$A$42:$I$47,7,FALSE))*(G113),0)</f>
        <v>5.403662325804922E-2</v>
      </c>
      <c r="S113" s="285">
        <f ca="1">IF($B113&lt;&gt;0,(+VLOOKUP($B113,$A$8:$I$13,8,FALSE)+VLOOKUP($B113,$A$42:$I$47,8,FALSE))*(H113),0)</f>
        <v>7.4268778439899166E-2</v>
      </c>
      <c r="T113" s="285">
        <f ca="1">IF($B113&lt;&gt;0,(+VLOOKUP($B113,$A$8:$I$13,9,FALSE)+VLOOKUP($B113,$A$42:$I$47,9,FALSE))*(I113),0)</f>
        <v>9.5269267252482359E-2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1.5159149374218205E-5</v>
      </c>
      <c r="Q115" s="285">
        <f t="shared" ca="1" si="68"/>
        <v>3.0689762928341789E-5</v>
      </c>
      <c r="R115" s="285">
        <f t="shared" ca="1" si="69"/>
        <v>5.9075155520904395E-5</v>
      </c>
      <c r="S115" s="285">
        <f t="shared" ca="1" si="70"/>
        <v>9.308850690677239E-5</v>
      </c>
      <c r="T115" s="285">
        <f t="shared" ca="1" si="71"/>
        <v>1.3451524234111509E-4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3.2435526611035555E-2</v>
      </c>
      <c r="Q116" s="285">
        <f t="shared" ca="1" si="68"/>
        <v>6.5665862745675319E-2</v>
      </c>
      <c r="R116" s="285">
        <f t="shared" ca="1" si="69"/>
        <v>0.12640114109622844</v>
      </c>
      <c r="S116" s="285">
        <f t="shared" ca="1" si="70"/>
        <v>0.19917837527819066</v>
      </c>
      <c r="T116" s="285">
        <f t="shared" ca="1" si="71"/>
        <v>0.28781778019587262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-8.565825440046855E-2</v>
      </c>
      <c r="Q117" s="285">
        <f t="shared" ca="1" si="68"/>
        <v>-0.17483897797187087</v>
      </c>
      <c r="R117" s="285">
        <f t="shared" ca="1" si="69"/>
        <v>-0.27259854644865189</v>
      </c>
      <c r="S117" s="285">
        <f t="shared" ca="1" si="70"/>
        <v>-0.37466369711060238</v>
      </c>
      <c r="T117" s="285">
        <f t="shared" ca="1" si="71"/>
        <v>-0.48060486034138611</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-3.6227717198143113E-2</v>
      </c>
      <c r="Q119" s="292">
        <f t="shared" ca="1" si="72"/>
        <v>-7.4484471095678628E-2</v>
      </c>
      <c r="R119" s="292">
        <f t="shared" ca="1" si="72"/>
        <v>-9.2101706938853334E-2</v>
      </c>
      <c r="S119" s="292">
        <f t="shared" ca="1" si="72"/>
        <v>-0.10112345488560576</v>
      </c>
      <c r="T119" s="292">
        <f t="shared" ca="1" si="72"/>
        <v>-9.7383297650690037E-2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1.6979851441915664E-2</v>
      </c>
      <c r="F134" s="285">
        <f t="shared" ca="1" si="75"/>
        <v>3.4657954367588575E-2</v>
      </c>
      <c r="G134" s="285">
        <f t="shared" ca="1" si="75"/>
        <v>5.403662325804922E-2</v>
      </c>
      <c r="H134" s="285">
        <f t="shared" ca="1" si="75"/>
        <v>7.4268778439899166E-2</v>
      </c>
      <c r="I134" s="285">
        <f t="shared" ca="1" si="75"/>
        <v>9.5269267252482359E-2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1.5159149374218205E-5</v>
      </c>
      <c r="F136" s="285">
        <f t="shared" ca="1" si="77"/>
        <v>3.0689762928341789E-5</v>
      </c>
      <c r="G136" s="285">
        <f t="shared" ca="1" si="77"/>
        <v>5.9075155520904395E-5</v>
      </c>
      <c r="H136" s="285">
        <f t="shared" ca="1" si="77"/>
        <v>9.308850690677239E-5</v>
      </c>
      <c r="I136" s="285">
        <f t="shared" ca="1" si="77"/>
        <v>1.3451524234111509E-4</v>
      </c>
    </row>
    <row r="137" spans="1:16" outlineLevel="1">
      <c r="A137" s="61" t="s">
        <v>647</v>
      </c>
      <c r="B137" s="119"/>
      <c r="C137" s="285">
        <f ca="1">(+C11+C45)*(C$125)</f>
        <v>0</v>
      </c>
      <c r="D137" s="285">
        <f t="shared" ref="D137:I137" ca="1" si="78">(+D11+D45)*(D$125)</f>
        <v>0</v>
      </c>
      <c r="E137" s="285">
        <f t="shared" ca="1" si="78"/>
        <v>3.2435526611035555E-2</v>
      </c>
      <c r="F137" s="285">
        <f t="shared" ca="1" si="78"/>
        <v>6.5665862745675319E-2</v>
      </c>
      <c r="G137" s="285">
        <f t="shared" ca="1" si="78"/>
        <v>0.12640114109622844</v>
      </c>
      <c r="H137" s="285">
        <f t="shared" ca="1" si="78"/>
        <v>0.19917837527819066</v>
      </c>
      <c r="I137" s="285">
        <f t="shared" ca="1" si="78"/>
        <v>0.28781778019587262</v>
      </c>
    </row>
    <row r="138" spans="1:16" s="759" customFormat="1" outlineLevel="1">
      <c r="A138" s="61" t="s">
        <v>575</v>
      </c>
      <c r="B138" s="119"/>
      <c r="C138" s="285">
        <f ca="1">(+C12+C46)*(C$126)</f>
        <v>0</v>
      </c>
      <c r="D138" s="285">
        <f t="shared" ref="D138:I138" ca="1" si="79">(+D12+D46)*(D$126)</f>
        <v>0</v>
      </c>
      <c r="E138" s="285">
        <f t="shared" ca="1" si="79"/>
        <v>-8.565825440046855E-2</v>
      </c>
      <c r="F138" s="285">
        <f t="shared" ca="1" si="79"/>
        <v>-0.17483897797187087</v>
      </c>
      <c r="G138" s="285">
        <f t="shared" ca="1" si="79"/>
        <v>-0.27259854644865189</v>
      </c>
      <c r="H138" s="285">
        <f t="shared" ca="1" si="79"/>
        <v>-0.37466369711060238</v>
      </c>
      <c r="I138" s="285">
        <f t="shared" ca="1" si="79"/>
        <v>-0.48060486034138611</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-3.6227717198143113E-2</v>
      </c>
      <c r="F140" s="296">
        <f t="shared" ca="1" si="81"/>
        <v>-7.4484471095678628E-2</v>
      </c>
      <c r="G140" s="296">
        <f t="shared" ca="1" si="81"/>
        <v>-9.2101706938853334E-2</v>
      </c>
      <c r="H140" s="296">
        <f t="shared" ca="1" si="81"/>
        <v>-0.10112345488560576</v>
      </c>
      <c r="I140" s="296">
        <f t="shared" ca="1" si="81"/>
        <v>-9.7383297650690037E-2</v>
      </c>
    </row>
    <row r="141" spans="1:16" ht="13.5" outlineLevel="1" thickBot="1">
      <c r="A141" s="122" t="s">
        <v>148</v>
      </c>
      <c r="B141" s="126"/>
      <c r="C141" s="124">
        <f t="shared" ref="C141:I141" ca="1" si="82">IF((+C36+C48)&lt;&gt;0,+C140/(+C36+C48),0)</f>
        <v>0</v>
      </c>
      <c r="D141" s="124">
        <f t="shared" ca="1" si="82"/>
        <v>0</v>
      </c>
      <c r="E141" s="124">
        <f t="shared" ca="1" si="82"/>
        <v>-1.0354528599923227E-2</v>
      </c>
      <c r="F141" s="124">
        <f t="shared" ca="1" si="82"/>
        <v>-2.1083891717529668E-2</v>
      </c>
      <c r="G141" s="124">
        <f t="shared" ca="1" si="82"/>
        <v>-2.5824766951217971E-2</v>
      </c>
      <c r="H141" s="124">
        <f t="shared" ca="1" si="82"/>
        <v>-2.8067159103828704E-2</v>
      </c>
      <c r="I141" s="124">
        <f t="shared" ca="1" si="82"/>
        <v>-2.6780546056588434E-2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285"/>
      <c r="E184" s="285"/>
      <c r="F184" s="285"/>
      <c r="G184" s="285"/>
      <c r="H184" s="285"/>
      <c r="I184" s="285"/>
      <c r="J184" s="60"/>
      <c r="K184" s="60"/>
      <c r="L184" s="60"/>
    </row>
    <row r="185" spans="1:12" s="64" customFormat="1" ht="14.25" outlineLevel="1">
      <c r="A185" s="61" t="s">
        <v>68</v>
      </c>
      <c r="B185" s="62"/>
      <c r="C185" s="62"/>
      <c r="D185" s="285"/>
      <c r="E185" s="285">
        <f t="array" ref="E185:I190">'[2]TOTAL (SEM)'!$N$214:$R$219</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602">
        <f t="shared" si="92"/>
        <v>0</v>
      </c>
      <c r="E191" s="602">
        <f t="shared" si="92"/>
        <v>0</v>
      </c>
      <c r="F191" s="602">
        <f t="shared" si="92"/>
        <v>0</v>
      </c>
      <c r="G191" s="602">
        <f t="shared" si="92"/>
        <v>0</v>
      </c>
      <c r="H191" s="602">
        <f t="shared" si="92"/>
        <v>0</v>
      </c>
      <c r="I191" s="602">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3.4620000000000002</v>
      </c>
      <c r="E205" s="82">
        <f t="shared" ca="1" si="93"/>
        <v>3.4620000000000002</v>
      </c>
      <c r="F205" s="82">
        <f t="shared" ca="1" si="93"/>
        <v>3.4620000000000002</v>
      </c>
      <c r="G205" s="82">
        <f t="shared" ca="1" si="93"/>
        <v>3.4620000000000002</v>
      </c>
      <c r="H205" s="82">
        <f t="shared" ca="1" si="93"/>
        <v>3.4620000000000002</v>
      </c>
      <c r="I205" s="82">
        <f t="shared" ca="1" si="93"/>
        <v>3.4620000000000002</v>
      </c>
    </row>
    <row r="206" spans="1:9" outlineLevel="1">
      <c r="A206" t="s">
        <v>156</v>
      </c>
      <c r="B206" s="82">
        <f t="shared" ref="B206:I206" ca="1" si="94">+B36</f>
        <v>0</v>
      </c>
      <c r="C206" s="82">
        <f t="shared" ca="1" si="94"/>
        <v>0</v>
      </c>
      <c r="D206" s="82">
        <f t="shared" ca="1" si="94"/>
        <v>3.4620000000000002</v>
      </c>
      <c r="E206" s="82">
        <f t="shared" ca="1" si="94"/>
        <v>3.4620000000000002</v>
      </c>
      <c r="F206" s="82">
        <f t="shared" ca="1" si="94"/>
        <v>3.4620000000000002</v>
      </c>
      <c r="G206" s="82">
        <f t="shared" ca="1" si="94"/>
        <v>3.4620000000000002</v>
      </c>
      <c r="H206" s="82">
        <f t="shared" ca="1" si="94"/>
        <v>3.4620000000000002</v>
      </c>
      <c r="I206" s="82">
        <f t="shared" ca="1" si="94"/>
        <v>3.4620000000000002</v>
      </c>
    </row>
    <row r="207" spans="1:9" outlineLevel="1">
      <c r="A207" t="s">
        <v>157</v>
      </c>
      <c r="B207" s="82">
        <f t="shared" ref="B207:I207" ca="1" si="95">+B36+B48</f>
        <v>0</v>
      </c>
      <c r="C207" s="82">
        <f t="shared" ca="1" si="95"/>
        <v>0</v>
      </c>
      <c r="D207" s="82">
        <f t="shared" ca="1" si="95"/>
        <v>3.4620000000000002</v>
      </c>
      <c r="E207" s="82">
        <f t="shared" ca="1" si="95"/>
        <v>3.498731675569636</v>
      </c>
      <c r="F207" s="82">
        <f t="shared" ca="1" si="95"/>
        <v>3.532766725117944</v>
      </c>
      <c r="G207" s="82">
        <f t="shared" ca="1" si="95"/>
        <v>3.566409993663449</v>
      </c>
      <c r="H207" s="82">
        <f t="shared" ca="1" si="95"/>
        <v>3.6029102379588993</v>
      </c>
      <c r="I207" s="82">
        <f t="shared" ca="1" si="95"/>
        <v>3.6363447349025289</v>
      </c>
    </row>
    <row r="208" spans="1:9" outlineLevel="1">
      <c r="A208" t="s">
        <v>158</v>
      </c>
      <c r="B208" s="82">
        <f t="shared" ref="B208:I208" ca="1" si="96">+B70</f>
        <v>0</v>
      </c>
      <c r="C208" s="82">
        <f t="shared" ca="1" si="96"/>
        <v>0</v>
      </c>
      <c r="D208" s="82">
        <f t="shared" ca="1" si="96"/>
        <v>3.4620000000000002</v>
      </c>
      <c r="E208" s="82">
        <f t="shared" ca="1" si="96"/>
        <v>3.4625039583714932</v>
      </c>
      <c r="F208" s="82">
        <f t="shared" ca="1" si="96"/>
        <v>3.4582822540222642</v>
      </c>
      <c r="G208" s="82">
        <f t="shared" ca="1" si="96"/>
        <v>3.4743082867245949</v>
      </c>
      <c r="H208" s="82">
        <f t="shared" ca="1" si="96"/>
        <v>3.5017867830732943</v>
      </c>
      <c r="I208" s="82">
        <f t="shared" ca="1" si="96"/>
        <v>3.5389614372518396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65" priority="1" stopIfTrue="1" operator="notEqual">
      <formula>0</formula>
    </cfRule>
  </conditionalFormatting>
  <conditionalFormatting sqref="J130 J94 J70 J59 J48 J36:J37 J14 J25">
    <cfRule type="cellIs" dxfId="264" priority="2" stopIfTrue="1" operator="equal">
      <formula>"OK"</formula>
    </cfRule>
    <cfRule type="cellIs" dxfId="263" priority="3" stopIfTrue="1" operator="equal">
      <formula>"Warning Check Escalations"</formula>
    </cfRule>
  </conditionalFormatting>
  <conditionalFormatting sqref="N120:T120 N84:T84">
    <cfRule type="cellIs" dxfId="262" priority="4" stopIfTrue="1" operator="notEqual">
      <formula>0</formula>
    </cfRule>
    <cfRule type="cellIs" dxfId="26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8.xml><?xml version="1.0" encoding="utf-8"?>
<worksheet xmlns="http://schemas.openxmlformats.org/spreadsheetml/2006/main" xmlns:r="http://schemas.openxmlformats.org/officeDocument/2006/relationships">
  <sheetPr codeName="Sheet81" enableFormatConditionsCalculation="0">
    <tabColor indexed="57"/>
    <pageSetUpPr fitToPage="1"/>
  </sheetPr>
  <dimension ref="A1:T239"/>
  <sheetViews>
    <sheetView showGridLines="0" topLeftCell="A6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25</v>
      </c>
      <c r="M1" s="282"/>
      <c r="N1" s="280"/>
      <c r="O1" s="280"/>
      <c r="P1" s="280"/>
      <c r="Q1" s="280"/>
      <c r="R1" s="280"/>
      <c r="S1" s="280"/>
      <c r="T1" s="280"/>
    </row>
    <row r="2" spans="1:20" ht="15.75">
      <c r="A2" s="184" t="s">
        <v>121</v>
      </c>
      <c r="B2" s="74" t="str">
        <f ca="1">OFFSET(List_AllocOpexListStart,+$K$1,1)</f>
        <v>Property – DLC Land Tax</v>
      </c>
      <c r="F2" s="284"/>
      <c r="H2" s="42"/>
      <c r="I2" s="283"/>
      <c r="L2" s="282"/>
      <c r="M2" s="282"/>
    </row>
    <row r="3" spans="1:20" ht="16.5" thickBot="1">
      <c r="A3" s="184" t="s">
        <v>371</v>
      </c>
      <c r="B3" s="236" t="str">
        <f ca="1">OFFSET(List_AllocOpexListStart,+$K$1,2)</f>
        <v>Peter Chapple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2.5339999999999998</v>
      </c>
      <c r="E13" s="286">
        <f ca="1">OFFSET(Future_AOpexStart,MATCH($K$1,'I-6 Future A'!$A$6:$A$379)+7,+'I-5 Future DA'!F$5)</f>
        <v>2.5339999999999998</v>
      </c>
      <c r="F13" s="286">
        <f ca="1">OFFSET(Future_AOpexStart,MATCH($K$1,'I-6 Future A'!$A$6:$A$379)+7,+'I-5 Future DA'!G$5)</f>
        <v>2.5339999999999998</v>
      </c>
      <c r="G13" s="286">
        <f ca="1">OFFSET(Future_AOpexStart,MATCH($K$1,'I-6 Future A'!$A$6:$A$379)+7,+'I-5 Future DA'!H$5)</f>
        <v>2.5339999999999998</v>
      </c>
      <c r="H13" s="286">
        <f ca="1">OFFSET(Future_AOpexStart,MATCH($K$1,'I-6 Future A'!$A$6:$A$379)+7,+'I-5 Future DA'!I$5)</f>
        <v>2.5339999999999998</v>
      </c>
      <c r="I13" s="286">
        <f ca="1">OFFSET(Future_AOpexStart,MATCH($K$1,'I-6 Future A'!$A$6:$A$379)+7,+'I-5 Future DA'!J$5)</f>
        <v>2.5339999999999998</v>
      </c>
      <c r="J13" s="36"/>
      <c r="K13" s="21"/>
      <c r="L13" s="21"/>
    </row>
    <row r="14" spans="1:20" s="87" customFormat="1" ht="18" customHeight="1">
      <c r="A14" s="84" t="s">
        <v>71</v>
      </c>
      <c r="B14" s="287">
        <f t="shared" ref="B14:I14" ca="1" si="0">SUM(B8:B13)</f>
        <v>0</v>
      </c>
      <c r="C14" s="287">
        <f t="shared" ca="1" si="0"/>
        <v>0</v>
      </c>
      <c r="D14" s="287">
        <f t="shared" ca="1" si="0"/>
        <v>2.5339999999999998</v>
      </c>
      <c r="E14" s="287">
        <f t="shared" ca="1" si="0"/>
        <v>2.5339999999999998</v>
      </c>
      <c r="F14" s="287">
        <f t="shared" ca="1" si="0"/>
        <v>2.5339999999999998</v>
      </c>
      <c r="G14" s="287">
        <f t="shared" ca="1" si="0"/>
        <v>2.5339999999999998</v>
      </c>
      <c r="H14" s="287">
        <f t="shared" ca="1" si="0"/>
        <v>2.5339999999999998</v>
      </c>
      <c r="I14" s="287">
        <f t="shared" ca="1" si="0"/>
        <v>2.5339999999999998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+'A-25'!B8+'A-25'!B19</f>
        <v>0</v>
      </c>
      <c r="C30" s="285">
        <f ca="1">+'A-25'!C8+'A-25'!C19</f>
        <v>0</v>
      </c>
      <c r="D30" s="285">
        <f ca="1">+'A-25'!D8+'A-25'!D19</f>
        <v>0</v>
      </c>
      <c r="E30" s="285">
        <f ca="1">+'A-25'!E8+'A-25'!E19</f>
        <v>0</v>
      </c>
      <c r="F30" s="285">
        <f ca="1">+'A-25'!F8+'A-25'!F19</f>
        <v>0</v>
      </c>
      <c r="G30" s="285">
        <f ca="1">+'A-25'!G8+'A-25'!G19</f>
        <v>0</v>
      </c>
      <c r="H30" s="285">
        <f ca="1">+'A-25'!H8+'A-25'!H19</f>
        <v>0</v>
      </c>
      <c r="I30" s="285">
        <f ca="1">+'A-25'!I8+'A-25'!I19</f>
        <v>0</v>
      </c>
      <c r="J30" s="42"/>
      <c r="K30" s="21"/>
      <c r="L30" s="21"/>
    </row>
    <row r="31" spans="1:12" outlineLevel="2">
      <c r="A31" s="61" t="s">
        <v>69</v>
      </c>
      <c r="B31" s="285">
        <f ca="1">+'A-25'!B9+'A-25'!B20</f>
        <v>0</v>
      </c>
      <c r="C31" s="285">
        <f ca="1">+'A-25'!C9+'A-25'!C20</f>
        <v>0</v>
      </c>
      <c r="D31" s="285">
        <f ca="1">+'A-25'!D9+'A-25'!D20</f>
        <v>0</v>
      </c>
      <c r="E31" s="285">
        <f ca="1">+'A-25'!E9+'A-25'!E20</f>
        <v>0</v>
      </c>
      <c r="F31" s="285">
        <f ca="1">+'A-25'!F9+'A-25'!F20</f>
        <v>0</v>
      </c>
      <c r="G31" s="285">
        <f ca="1">+'A-25'!G9+'A-25'!G20</f>
        <v>0</v>
      </c>
      <c r="H31" s="285">
        <f ca="1">+'A-25'!H9+'A-25'!H20</f>
        <v>0</v>
      </c>
      <c r="I31" s="285">
        <f ca="1">+'A-25'!I9+'A-25'!I20</f>
        <v>0</v>
      </c>
      <c r="J31" s="42"/>
      <c r="K31" s="21"/>
      <c r="L31" s="21"/>
    </row>
    <row r="32" spans="1:12" s="759" customFormat="1" outlineLevel="2">
      <c r="A32" s="61" t="s">
        <v>646</v>
      </c>
      <c r="B32" s="285">
        <f ca="1">+'A-25'!B10+'A-25'!B21</f>
        <v>0</v>
      </c>
      <c r="C32" s="285">
        <f ca="1">+'A-25'!C10+'A-25'!C21</f>
        <v>0</v>
      </c>
      <c r="D32" s="285">
        <f ca="1">+'A-25'!D10+'A-25'!D21</f>
        <v>0</v>
      </c>
      <c r="E32" s="285">
        <f ca="1">+'A-25'!E10+'A-25'!E21</f>
        <v>0</v>
      </c>
      <c r="F32" s="285">
        <f ca="1">+'A-25'!F10+'A-25'!F21</f>
        <v>0</v>
      </c>
      <c r="G32" s="285">
        <f ca="1">+'A-25'!G10+'A-25'!G21</f>
        <v>0</v>
      </c>
      <c r="H32" s="285">
        <f ca="1">+'A-25'!H10+'A-25'!H21</f>
        <v>0</v>
      </c>
      <c r="I32" s="285">
        <f ca="1">+'A-25'!I10+'A-25'!I21</f>
        <v>0</v>
      </c>
      <c r="J32" s="42"/>
      <c r="K32" s="732"/>
      <c r="L32" s="732"/>
    </row>
    <row r="33" spans="1:12" outlineLevel="2">
      <c r="A33" s="61" t="s">
        <v>647</v>
      </c>
      <c r="B33" s="285">
        <f ca="1">+'A-25'!B11+'A-25'!B22</f>
        <v>0</v>
      </c>
      <c r="C33" s="285">
        <f ca="1">+'A-25'!C11+'A-25'!C22</f>
        <v>0</v>
      </c>
      <c r="D33" s="285">
        <f ca="1">+'A-25'!D11+'A-25'!D22</f>
        <v>0</v>
      </c>
      <c r="E33" s="285">
        <f ca="1">+'A-25'!E11+'A-25'!E22</f>
        <v>0</v>
      </c>
      <c r="F33" s="285">
        <f ca="1">+'A-25'!F11+'A-25'!F22</f>
        <v>0</v>
      </c>
      <c r="G33" s="285">
        <f ca="1">+'A-25'!G11+'A-25'!G22</f>
        <v>0</v>
      </c>
      <c r="H33" s="285">
        <f ca="1">+'A-25'!H11+'A-25'!H22</f>
        <v>0</v>
      </c>
      <c r="I33" s="285">
        <f ca="1">+'A-25'!I11+'A-25'!I22</f>
        <v>0</v>
      </c>
      <c r="J33" s="42"/>
      <c r="K33" s="21"/>
      <c r="L33" s="21"/>
    </row>
    <row r="34" spans="1:12" s="759" customFormat="1" outlineLevel="2">
      <c r="A34" s="61" t="s">
        <v>575</v>
      </c>
      <c r="B34" s="285">
        <f ca="1">+'A-25'!B12+'A-25'!B23</f>
        <v>0</v>
      </c>
      <c r="C34" s="285">
        <f ca="1">+'A-25'!C12+'A-25'!C23</f>
        <v>0</v>
      </c>
      <c r="D34" s="285">
        <f ca="1">+'A-25'!D12+'A-25'!D23</f>
        <v>0</v>
      </c>
      <c r="E34" s="285">
        <f ca="1">+'A-25'!E12+'A-25'!E23</f>
        <v>0</v>
      </c>
      <c r="F34" s="285">
        <f ca="1">+'A-25'!F12+'A-25'!F23</f>
        <v>0</v>
      </c>
      <c r="G34" s="285">
        <f ca="1">+'A-25'!G12+'A-25'!G23</f>
        <v>0</v>
      </c>
      <c r="H34" s="285">
        <f ca="1">+'A-25'!H12+'A-25'!H23</f>
        <v>0</v>
      </c>
      <c r="I34" s="285">
        <f ca="1">+'A-25'!I12+'A-25'!I23</f>
        <v>0</v>
      </c>
      <c r="J34" s="42"/>
      <c r="K34" s="732"/>
      <c r="L34" s="732"/>
    </row>
    <row r="35" spans="1:12" ht="13.5" outlineLevel="2" thickBot="1">
      <c r="A35" s="83" t="s">
        <v>70</v>
      </c>
      <c r="B35" s="285">
        <f ca="1">+'A-25'!B13+'A-25'!B24</f>
        <v>0</v>
      </c>
      <c r="C35" s="285">
        <f ca="1">+'A-25'!C13+'A-25'!C24</f>
        <v>0</v>
      </c>
      <c r="D35" s="285">
        <f ca="1">+'A-25'!D13+'A-25'!D24</f>
        <v>2.5339999999999998</v>
      </c>
      <c r="E35" s="285">
        <f ca="1">+'A-25'!E13+'A-25'!E24</f>
        <v>2.5339999999999998</v>
      </c>
      <c r="F35" s="285">
        <f ca="1">+'A-25'!F13+'A-25'!F24</f>
        <v>2.5339999999999998</v>
      </c>
      <c r="G35" s="285">
        <f ca="1">+'A-25'!G13+'A-25'!G24</f>
        <v>2.5339999999999998</v>
      </c>
      <c r="H35" s="285">
        <f ca="1">+'A-25'!H13+'A-25'!H24</f>
        <v>2.5339999999999998</v>
      </c>
      <c r="I35" s="285">
        <f ca="1">+'A-25'!I13+'A-25'!I24</f>
        <v>2.5339999999999998</v>
      </c>
      <c r="J35" s="93"/>
      <c r="K35" s="21"/>
      <c r="L35" s="21"/>
    </row>
    <row r="36" spans="1:12" s="87" customFormat="1" ht="20.25" customHeight="1" thickBot="1">
      <c r="A36" s="94" t="s">
        <v>128</v>
      </c>
      <c r="B36" s="294">
        <f t="shared" ref="B36:I36" ca="1" si="7">SUM(B30:B35)</f>
        <v>0</v>
      </c>
      <c r="C36" s="294">
        <f t="shared" ca="1" si="7"/>
        <v>0</v>
      </c>
      <c r="D36" s="294">
        <f t="shared" ca="1" si="7"/>
        <v>2.5339999999999998</v>
      </c>
      <c r="E36" s="294">
        <f t="shared" ca="1" si="7"/>
        <v>2.5339999999999998</v>
      </c>
      <c r="F36" s="294">
        <f t="shared" ca="1" si="7"/>
        <v>2.5339999999999998</v>
      </c>
      <c r="G36" s="294">
        <f t="shared" ca="1" si="7"/>
        <v>2.5339999999999998</v>
      </c>
      <c r="H36" s="294">
        <f t="shared" ca="1" si="7"/>
        <v>2.5339999999999998</v>
      </c>
      <c r="I36" s="294">
        <f t="shared" ca="1" si="7"/>
        <v>2.5339999999999998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2.6885634284649795E-2</v>
      </c>
      <c r="F47" s="285">
        <f t="shared" ca="1" si="12"/>
        <v>5.1797481643232168E-2</v>
      </c>
      <c r="G47" s="285">
        <f t="shared" ca="1" si="12"/>
        <v>7.6422566130323374E-2</v>
      </c>
      <c r="H47" s="285">
        <f t="shared" ca="1" si="12"/>
        <v>0.10313880502248708</v>
      </c>
      <c r="I47" s="285">
        <f t="shared" ca="1" si="12"/>
        <v>0.12761107979289646</v>
      </c>
      <c r="K47" s="42"/>
      <c r="L47" s="21"/>
    </row>
    <row r="48" spans="1:12" s="87" customFormat="1" ht="18" customHeight="1" thickBot="1">
      <c r="A48" s="94" t="s">
        <v>74</v>
      </c>
      <c r="B48" s="294"/>
      <c r="C48" s="294">
        <f t="shared" ref="C48:I48" ca="1" si="13">SUM(C42:C47)</f>
        <v>0</v>
      </c>
      <c r="D48" s="294">
        <f t="shared" ca="1" si="13"/>
        <v>0</v>
      </c>
      <c r="E48" s="294">
        <f t="shared" ca="1" si="13"/>
        <v>2.6885634284649795E-2</v>
      </c>
      <c r="F48" s="294">
        <f t="shared" ca="1" si="13"/>
        <v>5.1797481643232168E-2</v>
      </c>
      <c r="G48" s="294">
        <f t="shared" ca="1" si="13"/>
        <v>7.6422566130323374E-2</v>
      </c>
      <c r="H48" s="294">
        <f t="shared" ca="1" si="13"/>
        <v>0.10313880502248708</v>
      </c>
      <c r="I48" s="294">
        <f t="shared" ca="1" si="13"/>
        <v>0.12761107979289646</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2.5339999999999998</v>
      </c>
      <c r="E69" s="286">
        <f t="shared" ca="1" si="24"/>
        <v>2.5608856342846495</v>
      </c>
      <c r="F69" s="286">
        <f t="shared" ca="1" si="24"/>
        <v>2.5857974816432319</v>
      </c>
      <c r="G69" s="286">
        <f t="shared" ca="1" si="24"/>
        <v>2.6104225661303233</v>
      </c>
      <c r="H69" s="286">
        <f t="shared" ca="1" si="24"/>
        <v>2.6371388050224871</v>
      </c>
      <c r="I69" s="286">
        <f t="shared" ca="1" si="24"/>
        <v>2.6616110797928965</v>
      </c>
      <c r="K69" s="42"/>
      <c r="L69" s="21"/>
    </row>
    <row r="70" spans="1:20" s="87" customFormat="1" ht="18" customHeight="1" thickBot="1">
      <c r="A70" s="99" t="s">
        <v>129</v>
      </c>
      <c r="B70" s="295">
        <f t="shared" ref="B70:I70" ca="1" si="25">SUM(B64:B69)</f>
        <v>0</v>
      </c>
      <c r="C70" s="295">
        <f t="shared" ca="1" si="25"/>
        <v>0</v>
      </c>
      <c r="D70" s="295">
        <f t="shared" ca="1" si="25"/>
        <v>2.5339999999999998</v>
      </c>
      <c r="E70" s="295">
        <f t="shared" ca="1" si="25"/>
        <v>2.5608856342846495</v>
      </c>
      <c r="F70" s="295">
        <f t="shared" ca="1" si="25"/>
        <v>2.5857974816432319</v>
      </c>
      <c r="G70" s="295">
        <f t="shared" ca="1" si="25"/>
        <v>2.6104225661303233</v>
      </c>
      <c r="H70" s="295">
        <f t="shared" ca="1" si="25"/>
        <v>2.6371388050224871</v>
      </c>
      <c r="I70" s="295">
        <f t="shared" ca="1" si="25"/>
        <v>2.6616110797928965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2.6885634284649795E-2</v>
      </c>
      <c r="Q82" s="285">
        <f t="shared" ref="Q82" ca="1" si="47">IF($B82&lt;&gt;0,(+VLOOKUP($B82,$A$8:$I$13,6,FALSE))*(F82),0)</f>
        <v>5.1797481643232168E-2</v>
      </c>
      <c r="R82" s="285">
        <f t="shared" ref="R82" ca="1" si="48">IF($B82&lt;&gt;0,(+VLOOKUP($B82,$A$8:$I$13,7,FALSE))*(G82),0)</f>
        <v>7.6422566130323374E-2</v>
      </c>
      <c r="S82" s="285">
        <f t="shared" ref="S82" ca="1" si="49">IF($B82&lt;&gt;0,(+VLOOKUP($B82,$A$8:$I$13,8,FALSE))*(H82),0)</f>
        <v>0.10313880502248708</v>
      </c>
      <c r="T82" s="285">
        <f t="shared" ref="T82" ca="1" si="50">IF($B82&lt;&gt;0,(+VLOOKUP($B82,$A$8:$I$13,9,FALSE))*(I82),0)</f>
        <v>0.12761107979289646</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2.6885634284649795E-2</v>
      </c>
      <c r="Q83" s="292">
        <f t="shared" ca="1" si="51"/>
        <v>5.1797481643232168E-2</v>
      </c>
      <c r="R83" s="292">
        <f t="shared" ca="1" si="51"/>
        <v>7.6422566130323374E-2</v>
      </c>
      <c r="S83" s="292">
        <f t="shared" ca="1" si="51"/>
        <v>0.10313880502248708</v>
      </c>
      <c r="T83" s="292">
        <f t="shared" ca="1" si="51"/>
        <v>0.12761107979289646</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2.6885634284649795E-2</v>
      </c>
      <c r="F103" s="285">
        <f t="shared" ca="1" si="59"/>
        <v>5.1797481643232168E-2</v>
      </c>
      <c r="G103" s="285">
        <f t="shared" ca="1" si="59"/>
        <v>7.6422566130323374E-2</v>
      </c>
      <c r="H103" s="285">
        <f t="shared" ca="1" si="59"/>
        <v>0.10313880502248708</v>
      </c>
      <c r="I103" s="285">
        <f t="shared" ca="1" si="59"/>
        <v>0.12761107979289646</v>
      </c>
    </row>
    <row r="104" spans="1:20" outlineLevel="1">
      <c r="A104" s="120" t="s">
        <v>142</v>
      </c>
      <c r="B104" s="121"/>
      <c r="C104" s="296">
        <f t="shared" ref="C104:I104" ca="1" si="60">SUM(C98:C103)</f>
        <v>0</v>
      </c>
      <c r="D104" s="296">
        <f t="shared" ca="1" si="60"/>
        <v>0</v>
      </c>
      <c r="E104" s="296">
        <f t="shared" ca="1" si="60"/>
        <v>2.6885634284649795E-2</v>
      </c>
      <c r="F104" s="296">
        <f t="shared" ca="1" si="60"/>
        <v>5.1797481643232168E-2</v>
      </c>
      <c r="G104" s="296">
        <f t="shared" ca="1" si="60"/>
        <v>7.6422566130323374E-2</v>
      </c>
      <c r="H104" s="296">
        <f t="shared" ca="1" si="60"/>
        <v>0.10313880502248708</v>
      </c>
      <c r="I104" s="296">
        <f t="shared" ca="1" si="60"/>
        <v>0.12761107979289646</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3.0158865876212856E-2</v>
      </c>
      <c r="H105" s="124">
        <f t="shared" ca="1" si="61"/>
        <v>4.0701975146995695E-2</v>
      </c>
      <c r="I105" s="124">
        <f t="shared" ca="1" si="61"/>
        <v>5.0359542144000187E-2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654"/>
      <c r="E185" s="654">
        <f t="array" ref="E185:I190">'[2]TOTAL (SEM)'!$N$223:$R$228</f>
        <v>0</v>
      </c>
      <c r="F185" s="654">
        <v>0</v>
      </c>
      <c r="G185" s="654">
        <v>0</v>
      </c>
      <c r="H185" s="654">
        <v>0</v>
      </c>
      <c r="I185" s="654">
        <v>0</v>
      </c>
      <c r="J185" s="63"/>
      <c r="K185" s="63"/>
      <c r="L185" s="63"/>
    </row>
    <row r="186" spans="1:12" outlineLevel="1">
      <c r="A186" s="61" t="s">
        <v>69</v>
      </c>
      <c r="B186" s="65"/>
      <c r="C186" s="65"/>
      <c r="D186" s="654"/>
      <c r="E186" s="654">
        <v>0</v>
      </c>
      <c r="F186" s="654">
        <v>0</v>
      </c>
      <c r="G186" s="654">
        <v>0</v>
      </c>
      <c r="H186" s="654">
        <v>0</v>
      </c>
      <c r="I186" s="654">
        <v>0</v>
      </c>
      <c r="J186" s="42"/>
      <c r="K186" s="21"/>
      <c r="L186" s="21"/>
    </row>
    <row r="187" spans="1:12" s="759" customFormat="1" outlineLevel="1">
      <c r="A187" s="61" t="s">
        <v>646</v>
      </c>
      <c r="B187" s="65"/>
      <c r="C187" s="65"/>
      <c r="D187" s="654"/>
      <c r="E187" s="654">
        <v>0</v>
      </c>
      <c r="F187" s="654">
        <v>0</v>
      </c>
      <c r="G187" s="654">
        <v>0</v>
      </c>
      <c r="H187" s="654">
        <v>0</v>
      </c>
      <c r="I187" s="654">
        <v>0</v>
      </c>
      <c r="J187" s="42"/>
      <c r="K187" s="732"/>
      <c r="L187" s="732"/>
    </row>
    <row r="188" spans="1:12" outlineLevel="1">
      <c r="A188" s="61" t="s">
        <v>647</v>
      </c>
      <c r="B188" s="65"/>
      <c r="C188" s="598">
        <v>0</v>
      </c>
      <c r="D188" s="654"/>
      <c r="E188" s="654">
        <v>0</v>
      </c>
      <c r="F188" s="654">
        <v>0</v>
      </c>
      <c r="G188" s="654">
        <v>0</v>
      </c>
      <c r="H188" s="654">
        <v>0</v>
      </c>
      <c r="I188" s="654">
        <v>0</v>
      </c>
      <c r="J188" s="42"/>
      <c r="K188" s="21"/>
      <c r="L188" s="21"/>
    </row>
    <row r="189" spans="1:12" s="759" customFormat="1" outlineLevel="1">
      <c r="A189" s="61" t="s">
        <v>575</v>
      </c>
      <c r="B189" s="65"/>
      <c r="C189" s="598"/>
      <c r="D189" s="654"/>
      <c r="E189" s="654">
        <v>0</v>
      </c>
      <c r="F189" s="654">
        <v>0</v>
      </c>
      <c r="G189" s="654">
        <v>0</v>
      </c>
      <c r="H189" s="654">
        <v>0</v>
      </c>
      <c r="I189" s="654">
        <v>0</v>
      </c>
      <c r="J189" s="42"/>
      <c r="K189" s="732"/>
      <c r="L189" s="732"/>
    </row>
    <row r="190" spans="1:12" outlineLevel="1">
      <c r="A190" s="83" t="s">
        <v>70</v>
      </c>
      <c r="B190" s="65"/>
      <c r="C190" s="65"/>
      <c r="D190" s="654"/>
      <c r="E190" s="654">
        <v>0</v>
      </c>
      <c r="F190" s="654">
        <v>0</v>
      </c>
      <c r="G190" s="654">
        <v>0</v>
      </c>
      <c r="H190" s="654">
        <v>0</v>
      </c>
      <c r="I190" s="654">
        <v>0</v>
      </c>
      <c r="J190" s="42"/>
      <c r="K190" s="21"/>
      <c r="L190" s="21"/>
    </row>
    <row r="191" spans="1:12" outlineLevel="1">
      <c r="A191" s="129" t="s">
        <v>154</v>
      </c>
      <c r="B191" s="132"/>
      <c r="C191" s="296">
        <f t="shared" ref="C191:I191" si="94">SUM(C185:C190)</f>
        <v>0</v>
      </c>
      <c r="D191" s="602">
        <f t="shared" si="94"/>
        <v>0</v>
      </c>
      <c r="E191" s="602">
        <f t="shared" si="94"/>
        <v>0</v>
      </c>
      <c r="F191" s="602">
        <f t="shared" si="94"/>
        <v>0</v>
      </c>
      <c r="G191" s="602">
        <f t="shared" si="94"/>
        <v>0</v>
      </c>
      <c r="H191" s="602">
        <f t="shared" si="94"/>
        <v>0</v>
      </c>
      <c r="I191" s="602">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2.5339999999999998</v>
      </c>
      <c r="E205" s="82">
        <f t="shared" ca="1" si="95"/>
        <v>2.5339999999999998</v>
      </c>
      <c r="F205" s="82">
        <f t="shared" ca="1" si="95"/>
        <v>2.5339999999999998</v>
      </c>
      <c r="G205" s="82">
        <f t="shared" ca="1" si="95"/>
        <v>2.5339999999999998</v>
      </c>
      <c r="H205" s="82">
        <f t="shared" ca="1" si="95"/>
        <v>2.5339999999999998</v>
      </c>
      <c r="I205" s="82">
        <f t="shared" ca="1" si="95"/>
        <v>2.5339999999999998</v>
      </c>
    </row>
    <row r="206" spans="1:9" outlineLevel="1">
      <c r="A206" t="s">
        <v>156</v>
      </c>
      <c r="B206" s="82">
        <f t="shared" ref="B206:I206" ca="1" si="96">+B36</f>
        <v>0</v>
      </c>
      <c r="C206" s="82">
        <f t="shared" ca="1" si="96"/>
        <v>0</v>
      </c>
      <c r="D206" s="82">
        <f t="shared" ca="1" si="96"/>
        <v>2.5339999999999998</v>
      </c>
      <c r="E206" s="82">
        <f t="shared" ca="1" si="96"/>
        <v>2.5339999999999998</v>
      </c>
      <c r="F206" s="82">
        <f t="shared" ca="1" si="96"/>
        <v>2.5339999999999998</v>
      </c>
      <c r="G206" s="82">
        <f t="shared" ca="1" si="96"/>
        <v>2.5339999999999998</v>
      </c>
      <c r="H206" s="82">
        <f t="shared" ca="1" si="96"/>
        <v>2.5339999999999998</v>
      </c>
      <c r="I206" s="82">
        <f t="shared" ca="1" si="96"/>
        <v>2.5339999999999998</v>
      </c>
    </row>
    <row r="207" spans="1:9" outlineLevel="1">
      <c r="A207" t="s">
        <v>157</v>
      </c>
      <c r="B207" s="82">
        <f t="shared" ref="B207:I207" ca="1" si="97">+B36+B48</f>
        <v>0</v>
      </c>
      <c r="C207" s="82">
        <f t="shared" ca="1" si="97"/>
        <v>0</v>
      </c>
      <c r="D207" s="82">
        <f t="shared" ca="1" si="97"/>
        <v>2.5339999999999998</v>
      </c>
      <c r="E207" s="82">
        <f t="shared" ca="1" si="97"/>
        <v>2.5608856342846495</v>
      </c>
      <c r="F207" s="82">
        <f t="shared" ca="1" si="97"/>
        <v>2.5857974816432319</v>
      </c>
      <c r="G207" s="82">
        <f t="shared" ca="1" si="97"/>
        <v>2.6104225661303233</v>
      </c>
      <c r="H207" s="82">
        <f t="shared" ca="1" si="97"/>
        <v>2.6371388050224871</v>
      </c>
      <c r="I207" s="82">
        <f t="shared" ca="1" si="97"/>
        <v>2.6616110797928965</v>
      </c>
    </row>
    <row r="208" spans="1:9" outlineLevel="1">
      <c r="A208" t="s">
        <v>158</v>
      </c>
      <c r="B208" s="82">
        <f t="shared" ref="B208:I208" ca="1" si="98">+B70</f>
        <v>0</v>
      </c>
      <c r="C208" s="82">
        <f t="shared" ca="1" si="98"/>
        <v>0</v>
      </c>
      <c r="D208" s="82">
        <f t="shared" ca="1" si="98"/>
        <v>2.5339999999999998</v>
      </c>
      <c r="E208" s="82">
        <f t="shared" ca="1" si="98"/>
        <v>2.5608856342846495</v>
      </c>
      <c r="F208" s="82">
        <f t="shared" ca="1" si="98"/>
        <v>2.5857974816432319</v>
      </c>
      <c r="G208" s="82">
        <f t="shared" ca="1" si="98"/>
        <v>2.6104225661303233</v>
      </c>
      <c r="H208" s="82">
        <f t="shared" ca="1" si="98"/>
        <v>2.6371388050224871</v>
      </c>
      <c r="I208" s="82">
        <f t="shared" ca="1" si="98"/>
        <v>2.6616110797928965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60" priority="1" stopIfTrue="1" operator="notEqual">
      <formula>0</formula>
    </cfRule>
  </conditionalFormatting>
  <conditionalFormatting sqref="J130 J94 J70 J59 J48 J36:J37 J14 J25">
    <cfRule type="cellIs" dxfId="259" priority="2" stopIfTrue="1" operator="equal">
      <formula>"OK"</formula>
    </cfRule>
    <cfRule type="cellIs" dxfId="258" priority="3" stopIfTrue="1" operator="equal">
      <formula>"Warning Check Escalations"</formula>
    </cfRule>
  </conditionalFormatting>
  <conditionalFormatting sqref="N120:T120 N84:T84">
    <cfRule type="cellIs" dxfId="257" priority="4" stopIfTrue="1" operator="notEqual">
      <formula>0</formula>
    </cfRule>
    <cfRule type="cellIs" dxfId="25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39.xml><?xml version="1.0" encoding="utf-8"?>
<worksheet xmlns="http://schemas.openxmlformats.org/spreadsheetml/2006/main" xmlns:r="http://schemas.openxmlformats.org/officeDocument/2006/relationships">
  <sheetPr codeName="Sheet82" enableFormatConditionsCalculation="0">
    <tabColor indexed="57"/>
    <pageSetUpPr fitToPage="1"/>
  </sheetPr>
  <dimension ref="A1:T239"/>
  <sheetViews>
    <sheetView showGridLines="0" topLeftCell="A180" zoomScaleNormal="100" workbookViewId="0">
      <selection activeCell="J188" sqref="J188"/>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26</v>
      </c>
      <c r="M1" s="282"/>
      <c r="N1" s="280"/>
      <c r="O1" s="280"/>
      <c r="P1" s="280"/>
      <c r="Q1" s="280"/>
      <c r="R1" s="280"/>
      <c r="S1" s="280"/>
      <c r="T1" s="280"/>
    </row>
    <row r="2" spans="1:20" ht="15.75">
      <c r="A2" s="184" t="s">
        <v>121</v>
      </c>
      <c r="B2" s="74" t="str">
        <f ca="1">OFFSET(List_AllocOpexListStart,+$K$1,1)</f>
        <v>OHS</v>
      </c>
      <c r="F2" s="284"/>
      <c r="H2" s="42"/>
      <c r="I2" s="283"/>
      <c r="L2" s="282"/>
      <c r="M2" s="282"/>
    </row>
    <row r="3" spans="1:20" ht="16.5" thickBot="1">
      <c r="A3" s="184" t="s">
        <v>371</v>
      </c>
      <c r="B3" s="236" t="str">
        <f ca="1">OFFSET(List_AllocOpexListStart,+$K$1,2)</f>
        <v>George Karlis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1.81</v>
      </c>
      <c r="E8" s="285">
        <f ca="1">OFFSET(Future_AOpexStart,MATCH($K$1,'I-6 Future A'!$A$6:$A$379)+2,+'I-5 Future DA'!F$5)</f>
        <v>1.81</v>
      </c>
      <c r="F8" s="285">
        <f ca="1">OFFSET(Future_AOpexStart,MATCH($K$1,'I-6 Future A'!$A$6:$A$379)+2,+'I-5 Future DA'!G$5)</f>
        <v>1.81</v>
      </c>
      <c r="G8" s="285">
        <f ca="1">OFFSET(Future_AOpexStart,MATCH($K$1,'I-6 Future A'!$A$6:$A$379)+2,+'I-5 Future DA'!H$5)</f>
        <v>1.81</v>
      </c>
      <c r="H8" s="285">
        <f ca="1">OFFSET(Future_AOpexStart,MATCH($K$1,'I-6 Future A'!$A$6:$A$379)+2,+'I-5 Future DA'!I$5)</f>
        <v>1.81</v>
      </c>
      <c r="I8" s="285">
        <f ca="1">OFFSET(Future_AOpexStart,MATCH($K$1,'I-6 Future A'!$A$6:$A$379)+2,+'I-5 Future DA'!J$5)</f>
        <v>1.81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2.2000000000000002E-2</v>
      </c>
      <c r="E9" s="285">
        <f ca="1">OFFSET(Future_AOpexStart,MATCH($K$1,'I-6 Future A'!$A$6:$A$379)+3,+'I-5 Future DA'!F$5)</f>
        <v>2.2000000000000002E-2</v>
      </c>
      <c r="F9" s="285">
        <f ca="1">OFFSET(Future_AOpexStart,MATCH($K$1,'I-6 Future A'!$A$6:$A$379)+3,+'I-5 Future DA'!G$5)</f>
        <v>2.2000000000000002E-2</v>
      </c>
      <c r="G9" s="285">
        <f ca="1">OFFSET(Future_AOpexStart,MATCH($K$1,'I-6 Future A'!$A$6:$A$379)+3,+'I-5 Future DA'!H$5)</f>
        <v>2.2000000000000002E-2</v>
      </c>
      <c r="H9" s="285">
        <f ca="1">OFFSET(Future_AOpexStart,MATCH($K$1,'I-6 Future A'!$A$6:$A$379)+3,+'I-5 Future DA'!I$5)</f>
        <v>2.2000000000000002E-2</v>
      </c>
      <c r="I9" s="285">
        <f ca="1">OFFSET(Future_AOpexStart,MATCH($K$1,'I-6 Future A'!$A$6:$A$379)+3,+'I-5 Future DA'!J$5)</f>
        <v>2.2000000000000002E-2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8.8999999999999996E-2</v>
      </c>
      <c r="E10" s="285">
        <f ca="1">OFFSET(Future_AOpexStart,MATCH($K$1,'I-6 Future A'!$A$6:$A$379)+4,+'I-5 Future DA'!F$5)</f>
        <v>8.8999999999999996E-2</v>
      </c>
      <c r="F10" s="285">
        <f ca="1">OFFSET(Future_AOpexStart,MATCH($K$1,'I-6 Future A'!$A$6:$A$379)+4,+'I-5 Future DA'!G$5)</f>
        <v>8.8999999999999996E-2</v>
      </c>
      <c r="G10" s="285">
        <f ca="1">OFFSET(Future_AOpexStart,MATCH($K$1,'I-6 Future A'!$A$6:$A$379)+4,+'I-5 Future DA'!H$5)</f>
        <v>8.8999999999999996E-2</v>
      </c>
      <c r="H10" s="285">
        <f ca="1">OFFSET(Future_AOpexStart,MATCH($K$1,'I-6 Future A'!$A$6:$A$379)+4,+'I-5 Future DA'!I$5)</f>
        <v>8.8999999999999996E-2</v>
      </c>
      <c r="I10" s="285">
        <f ca="1">OFFSET(Future_AOpexStart,MATCH($K$1,'I-6 Future A'!$A$6:$A$379)+4,+'I-5 Future DA'!J$5)</f>
        <v>8.8999999999999996E-2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0.188</v>
      </c>
      <c r="E11" s="285">
        <f ca="1">OFFSET(Future_AOpexStart,MATCH($K$1,'I-6 Future A'!$A$6:$A$379)+5,+'I-5 Future DA'!F$5)</f>
        <v>0.188</v>
      </c>
      <c r="F11" s="285">
        <f ca="1">OFFSET(Future_AOpexStart,MATCH($K$1,'I-6 Future A'!$A$6:$A$379)+5,+'I-5 Future DA'!G$5)</f>
        <v>0.188</v>
      </c>
      <c r="G11" s="285">
        <f ca="1">OFFSET(Future_AOpexStart,MATCH($K$1,'I-6 Future A'!$A$6:$A$379)+5,+'I-5 Future DA'!H$5)</f>
        <v>0.188</v>
      </c>
      <c r="H11" s="285">
        <f ca="1">OFFSET(Future_AOpexStart,MATCH($K$1,'I-6 Future A'!$A$6:$A$379)+5,+'I-5 Future DA'!I$5)</f>
        <v>0.188</v>
      </c>
      <c r="I11" s="285">
        <f ca="1">OFFSET(Future_AOpexStart,MATCH($K$1,'I-6 Future A'!$A$6:$A$379)+5,+'I-5 Future DA'!J$5)</f>
        <v>0.188</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2.109</v>
      </c>
      <c r="E14" s="287">
        <f t="shared" ca="1" si="0"/>
        <v>2.109</v>
      </c>
      <c r="F14" s="287">
        <f t="shared" ca="1" si="0"/>
        <v>2.109</v>
      </c>
      <c r="G14" s="287">
        <f t="shared" ca="1" si="0"/>
        <v>2.109</v>
      </c>
      <c r="H14" s="287">
        <f t="shared" ca="1" si="0"/>
        <v>2.109</v>
      </c>
      <c r="I14" s="287">
        <f t="shared" ca="1" si="0"/>
        <v>2.109</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4.4999999999999998E-2</v>
      </c>
      <c r="G19" s="285">
        <f t="shared" si="1"/>
        <v>4.4999999999999998E-2</v>
      </c>
      <c r="H19" s="285">
        <f t="shared" si="1"/>
        <v>4.4999999999999998E-2</v>
      </c>
      <c r="I19" s="285">
        <f t="shared" si="1"/>
        <v>4.4999999999999998E-2</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2" si="2">+C151</f>
        <v>0</v>
      </c>
      <c r="D21" s="285">
        <f t="shared" si="2"/>
        <v>0</v>
      </c>
      <c r="E21" s="285">
        <f t="shared" si="2"/>
        <v>0.88</v>
      </c>
      <c r="F21" s="285">
        <f t="shared" si="2"/>
        <v>1.034</v>
      </c>
      <c r="G21" s="285">
        <f t="shared" si="2"/>
        <v>1.224</v>
      </c>
      <c r="H21" s="285">
        <f t="shared" si="2"/>
        <v>1.3180000000000001</v>
      </c>
      <c r="I21" s="285">
        <f t="shared" si="2"/>
        <v>1.3180000000000001</v>
      </c>
      <c r="J21" s="42"/>
      <c r="K21" s="732"/>
      <c r="L21" s="732"/>
    </row>
    <row r="22" spans="1:12" outlineLevel="1">
      <c r="A22" s="61" t="s">
        <v>647</v>
      </c>
      <c r="B22" s="289"/>
      <c r="C22" s="285">
        <f t="shared" ref="C22:I22" si="3">+C152</f>
        <v>0</v>
      </c>
      <c r="D22" s="285">
        <f t="shared" si="2"/>
        <v>0.20508241247162998</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0.20508241247162998</v>
      </c>
      <c r="E25" s="287">
        <f t="shared" si="6"/>
        <v>0.88</v>
      </c>
      <c r="F25" s="287">
        <f t="shared" si="6"/>
        <v>1.079</v>
      </c>
      <c r="G25" s="287">
        <f t="shared" si="6"/>
        <v>1.2689999999999999</v>
      </c>
      <c r="H25" s="287">
        <f t="shared" si="6"/>
        <v>1.363</v>
      </c>
      <c r="I25" s="287">
        <f t="shared" si="6"/>
        <v>1.363</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+'A-26'!B8+'A-26'!B19</f>
        <v>0</v>
      </c>
      <c r="C30" s="285">
        <f ca="1">+'A-26'!C8+'A-26'!C19</f>
        <v>0</v>
      </c>
      <c r="D30" s="285">
        <f ca="1">+'A-26'!D8+'A-26'!D19</f>
        <v>1.81</v>
      </c>
      <c r="E30" s="285">
        <f ca="1">+'A-26'!E8+'A-26'!E19</f>
        <v>1.81</v>
      </c>
      <c r="F30" s="285">
        <f ca="1">+'A-26'!F8+'A-26'!F19</f>
        <v>1.855</v>
      </c>
      <c r="G30" s="285">
        <f ca="1">+'A-26'!G8+'A-26'!G19</f>
        <v>1.855</v>
      </c>
      <c r="H30" s="285">
        <f ca="1">+'A-26'!H8+'A-26'!H19</f>
        <v>1.855</v>
      </c>
      <c r="I30" s="285">
        <f ca="1">+'A-26'!I8+'A-26'!I19</f>
        <v>1.855</v>
      </c>
      <c r="J30" s="42"/>
      <c r="K30" s="21"/>
      <c r="L30" s="21"/>
    </row>
    <row r="31" spans="1:12" outlineLevel="2">
      <c r="A31" s="61" t="s">
        <v>69</v>
      </c>
      <c r="B31" s="285">
        <f ca="1">+'A-26'!B9+'A-26'!B20</f>
        <v>0</v>
      </c>
      <c r="C31" s="285">
        <f ca="1">+'A-26'!C9+'A-26'!C20</f>
        <v>0</v>
      </c>
      <c r="D31" s="285">
        <f ca="1">+'A-26'!D9+'A-26'!D20</f>
        <v>2.2000000000000002E-2</v>
      </c>
      <c r="E31" s="285">
        <f ca="1">+'A-26'!E9+'A-26'!E20</f>
        <v>2.2000000000000002E-2</v>
      </c>
      <c r="F31" s="285">
        <f ca="1">+'A-26'!F9+'A-26'!F20</f>
        <v>2.2000000000000002E-2</v>
      </c>
      <c r="G31" s="285">
        <f ca="1">+'A-26'!G9+'A-26'!G20</f>
        <v>2.2000000000000002E-2</v>
      </c>
      <c r="H31" s="285">
        <f ca="1">+'A-26'!H9+'A-26'!H20</f>
        <v>2.2000000000000002E-2</v>
      </c>
      <c r="I31" s="285">
        <f ca="1">+'A-26'!I9+'A-26'!I20</f>
        <v>2.2000000000000002E-2</v>
      </c>
      <c r="J31" s="42"/>
      <c r="K31" s="21"/>
      <c r="L31" s="21"/>
    </row>
    <row r="32" spans="1:12" s="759" customFormat="1" outlineLevel="2">
      <c r="A32" s="61" t="s">
        <v>646</v>
      </c>
      <c r="B32" s="285">
        <f ca="1">+'A-26'!B10+'A-26'!B21</f>
        <v>0</v>
      </c>
      <c r="C32" s="285">
        <f ca="1">+'A-26'!C10+'A-26'!C21</f>
        <v>0</v>
      </c>
      <c r="D32" s="285">
        <f ca="1">+'A-26'!D10+'A-26'!D21</f>
        <v>8.8999999999999996E-2</v>
      </c>
      <c r="E32" s="285">
        <f ca="1">+'A-26'!E10+'A-26'!E21</f>
        <v>0.96899999999999997</v>
      </c>
      <c r="F32" s="285">
        <f ca="1">+'A-26'!F10+'A-26'!F21</f>
        <v>1.123</v>
      </c>
      <c r="G32" s="285">
        <f ca="1">+'A-26'!G10+'A-26'!G21</f>
        <v>1.3129999999999999</v>
      </c>
      <c r="H32" s="285">
        <f ca="1">+'A-26'!H10+'A-26'!H21</f>
        <v>1.407</v>
      </c>
      <c r="I32" s="285">
        <f ca="1">+'A-26'!I10+'A-26'!I21</f>
        <v>1.407</v>
      </c>
      <c r="J32" s="42"/>
      <c r="K32" s="732"/>
      <c r="L32" s="732"/>
    </row>
    <row r="33" spans="1:12" outlineLevel="2">
      <c r="A33" s="61" t="s">
        <v>647</v>
      </c>
      <c r="B33" s="285">
        <f ca="1">+'A-26'!B11+'A-26'!B22</f>
        <v>0</v>
      </c>
      <c r="C33" s="285">
        <f ca="1">+'A-26'!C11+'A-26'!C22</f>
        <v>0</v>
      </c>
      <c r="D33" s="285">
        <f ca="1">+'A-26'!D11+'A-26'!D22</f>
        <v>0.39308241247163</v>
      </c>
      <c r="E33" s="285">
        <f ca="1">+'A-26'!E11+'A-26'!E22</f>
        <v>0.188</v>
      </c>
      <c r="F33" s="285">
        <f ca="1">+'A-26'!F11+'A-26'!F22</f>
        <v>0.188</v>
      </c>
      <c r="G33" s="285">
        <f ca="1">+'A-26'!G11+'A-26'!G22</f>
        <v>0.188</v>
      </c>
      <c r="H33" s="285">
        <f ca="1">+'A-26'!H11+'A-26'!H22</f>
        <v>0.188</v>
      </c>
      <c r="I33" s="285">
        <f ca="1">+'A-26'!I11+'A-26'!I22</f>
        <v>0.188</v>
      </c>
      <c r="J33" s="42"/>
      <c r="K33" s="21"/>
      <c r="L33" s="21"/>
    </row>
    <row r="34" spans="1:12" s="759" customFormat="1" outlineLevel="2">
      <c r="A34" s="61" t="s">
        <v>575</v>
      </c>
      <c r="B34" s="285">
        <f ca="1">+'A-26'!B12+'A-26'!B23</f>
        <v>0</v>
      </c>
      <c r="C34" s="285">
        <f ca="1">+'A-26'!C12+'A-26'!C23</f>
        <v>0</v>
      </c>
      <c r="D34" s="285">
        <f ca="1">+'A-26'!D12+'A-26'!D23</f>
        <v>0</v>
      </c>
      <c r="E34" s="285">
        <f ca="1">+'A-26'!E12+'A-26'!E23</f>
        <v>0</v>
      </c>
      <c r="F34" s="285">
        <f ca="1">+'A-26'!F12+'A-26'!F23</f>
        <v>0</v>
      </c>
      <c r="G34" s="285">
        <f ca="1">+'A-26'!G12+'A-26'!G23</f>
        <v>0</v>
      </c>
      <c r="H34" s="285">
        <f ca="1">+'A-26'!H12+'A-26'!H23</f>
        <v>0</v>
      </c>
      <c r="I34" s="285">
        <f ca="1">+'A-26'!I12+'A-26'!I23</f>
        <v>0</v>
      </c>
      <c r="J34" s="42"/>
      <c r="K34" s="732"/>
      <c r="L34" s="732"/>
    </row>
    <row r="35" spans="1:12" ht="13.5" outlineLevel="2" thickBot="1">
      <c r="A35" s="83" t="s">
        <v>70</v>
      </c>
      <c r="B35" s="285">
        <f ca="1">+'A-26'!B13+'A-26'!B24</f>
        <v>0</v>
      </c>
      <c r="C35" s="285">
        <f ca="1">+'A-26'!C13+'A-26'!C24</f>
        <v>0</v>
      </c>
      <c r="D35" s="285">
        <f ca="1">+'A-26'!D13+'A-26'!D24</f>
        <v>0</v>
      </c>
      <c r="E35" s="285">
        <f ca="1">+'A-26'!E13+'A-26'!E24</f>
        <v>0</v>
      </c>
      <c r="F35" s="285">
        <f ca="1">+'A-26'!F13+'A-26'!F24</f>
        <v>0</v>
      </c>
      <c r="G35" s="285">
        <f ca="1">+'A-26'!G13+'A-26'!G24</f>
        <v>0</v>
      </c>
      <c r="H35" s="285">
        <f ca="1">+'A-26'!H13+'A-26'!H24</f>
        <v>0</v>
      </c>
      <c r="I35" s="285">
        <f ca="1">+'A-26'!I13+'A-26'!I24</f>
        <v>0</v>
      </c>
      <c r="J35" s="93"/>
      <c r="K35" s="21"/>
      <c r="L35" s="21"/>
    </row>
    <row r="36" spans="1:12" s="87" customFormat="1" ht="20.25" customHeight="1" thickBot="1">
      <c r="A36" s="94" t="s">
        <v>128</v>
      </c>
      <c r="B36" s="294">
        <f t="shared" ref="B36:I36" ca="1" si="7">SUM(B30:B35)</f>
        <v>0</v>
      </c>
      <c r="C36" s="294">
        <f t="shared" ca="1" si="7"/>
        <v>0</v>
      </c>
      <c r="D36" s="294">
        <f t="shared" ca="1" si="7"/>
        <v>2.3140824124716302</v>
      </c>
      <c r="E36" s="294">
        <f t="shared" ca="1" si="7"/>
        <v>2.9890000000000003</v>
      </c>
      <c r="F36" s="294">
        <f t="shared" ca="1" si="7"/>
        <v>3.1880000000000002</v>
      </c>
      <c r="G36" s="294">
        <f t="shared" ca="1" si="7"/>
        <v>3.3780000000000001</v>
      </c>
      <c r="H36" s="294">
        <f t="shared" ca="1" si="7"/>
        <v>3.472</v>
      </c>
      <c r="I36" s="294">
        <f t="shared" ca="1" si="7"/>
        <v>3.472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1.9204024489035569E-2</v>
      </c>
      <c r="F42" s="285">
        <f t="shared" ca="1" si="8"/>
        <v>3.6998201173737269E-2</v>
      </c>
      <c r="G42" s="285">
        <f t="shared" ca="1" si="8"/>
        <v>5.4587547235945277E-2</v>
      </c>
      <c r="H42" s="285">
        <f t="shared" ca="1" si="8"/>
        <v>7.3670575016062209E-2</v>
      </c>
      <c r="I42" s="285">
        <f t="shared" ca="1" si="8"/>
        <v>9.1150771280640322E-2</v>
      </c>
      <c r="K42" s="63"/>
      <c r="L42" s="63"/>
    </row>
    <row r="43" spans="1:12" outlineLevel="1">
      <c r="A43" s="61" t="s">
        <v>69</v>
      </c>
      <c r="B43" s="82"/>
      <c r="C43" s="285">
        <f t="shared" ca="1" si="8"/>
        <v>0</v>
      </c>
      <c r="D43" s="285">
        <f t="shared" ca="1" si="8"/>
        <v>0</v>
      </c>
      <c r="E43" s="285">
        <f t="shared" ca="1" si="8"/>
        <v>2.3341908218717269E-4</v>
      </c>
      <c r="F43" s="285">
        <f t="shared" ca="1" si="8"/>
        <v>4.4970189271945852E-4</v>
      </c>
      <c r="G43" s="285">
        <f t="shared" ca="1" si="8"/>
        <v>6.6349504927668294E-4</v>
      </c>
      <c r="H43" s="285">
        <f t="shared" ca="1" si="8"/>
        <v>8.9544345323390537E-4</v>
      </c>
      <c r="I43" s="285">
        <f t="shared" ca="1" si="8"/>
        <v>1.1079099271680041E-3</v>
      </c>
      <c r="K43" s="42"/>
      <c r="L43" s="21"/>
    </row>
    <row r="44" spans="1:12" s="759" customFormat="1" outlineLevel="1">
      <c r="A44" s="61" t="s">
        <v>646</v>
      </c>
      <c r="B44" s="82"/>
      <c r="C44" s="285">
        <f t="shared" ref="C44:I44" ca="1" si="9">+C100</f>
        <v>0</v>
      </c>
      <c r="D44" s="285">
        <f t="shared" ca="1" si="9"/>
        <v>0</v>
      </c>
      <c r="E44" s="285">
        <f t="shared" ca="1" si="9"/>
        <v>9.4428628702992578E-4</v>
      </c>
      <c r="F44" s="285">
        <f t="shared" ca="1" si="9"/>
        <v>1.8192485660014457E-3</v>
      </c>
      <c r="G44" s="285">
        <f t="shared" ca="1" si="9"/>
        <v>2.6841390629829443E-3</v>
      </c>
      <c r="H44" s="285">
        <f t="shared" ca="1" si="9"/>
        <v>3.6224757880826165E-3</v>
      </c>
      <c r="I44" s="285">
        <f t="shared" ca="1" si="9"/>
        <v>4.4819992508160159E-3</v>
      </c>
      <c r="K44" s="42"/>
      <c r="L44" s="732"/>
    </row>
    <row r="45" spans="1:12" outlineLevel="1">
      <c r="A45" s="61" t="s">
        <v>647</v>
      </c>
      <c r="B45" s="82"/>
      <c r="C45" s="285">
        <f t="shared" ref="C45:I45" ca="1" si="10">+C101</f>
        <v>0</v>
      </c>
      <c r="D45" s="285">
        <f t="shared" ca="1" si="10"/>
        <v>0</v>
      </c>
      <c r="E45" s="285">
        <f t="shared" ca="1" si="10"/>
        <v>1.9946721568722026E-3</v>
      </c>
      <c r="F45" s="285">
        <f t="shared" ca="1" si="10"/>
        <v>3.842907083239009E-3</v>
      </c>
      <c r="G45" s="285">
        <f t="shared" ca="1" si="10"/>
        <v>5.6698667847280178E-3</v>
      </c>
      <c r="H45" s="285">
        <f t="shared" ca="1" si="10"/>
        <v>7.6519713276351903E-3</v>
      </c>
      <c r="I45" s="285">
        <f t="shared" ca="1" si="10"/>
        <v>9.4675939230720336E-3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2.237640201512487E-2</v>
      </c>
      <c r="F48" s="294">
        <f t="shared" ca="1" si="13"/>
        <v>4.3110058715697175E-2</v>
      </c>
      <c r="G48" s="294">
        <f t="shared" ca="1" si="13"/>
        <v>6.3605048132932926E-2</v>
      </c>
      <c r="H48" s="294">
        <f t="shared" ca="1" si="13"/>
        <v>8.5840465585013917E-2</v>
      </c>
      <c r="I48" s="294">
        <f t="shared" ca="1" si="13"/>
        <v>0.10620827438169637</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3.9250997586037485E-2</v>
      </c>
      <c r="F53" s="285">
        <f t="shared" ca="1" si="14"/>
        <v>8.0116088640275002E-2</v>
      </c>
      <c r="G53" s="285">
        <f t="shared" ca="1" si="14"/>
        <v>0.1249122453346987</v>
      </c>
      <c r="H53" s="285">
        <f t="shared" ca="1" si="14"/>
        <v>0.17168133968865579</v>
      </c>
      <c r="I53" s="285">
        <f t="shared" ca="1" si="14"/>
        <v>0.22022653094124273</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4.4972143143514004E-4</v>
      </c>
      <c r="F55" s="285">
        <f t="shared" ca="1" si="15"/>
        <v>9.1046296687413979E-4</v>
      </c>
      <c r="G55" s="285">
        <f t="shared" ca="1" si="15"/>
        <v>1.7525629471201634E-3</v>
      </c>
      <c r="H55" s="285">
        <f t="shared" ca="1" si="15"/>
        <v>2.7616257049009139E-3</v>
      </c>
      <c r="I55" s="285">
        <f t="shared" ca="1" si="15"/>
        <v>3.9906188561197476E-3</v>
      </c>
      <c r="K55" s="42"/>
      <c r="L55" s="732"/>
    </row>
    <row r="56" spans="1:12" outlineLevel="1">
      <c r="A56" s="61" t="s">
        <v>647</v>
      </c>
      <c r="B56" s="285"/>
      <c r="C56" s="285">
        <f t="shared" ref="C56:I56" ca="1" si="16">+C137</f>
        <v>0</v>
      </c>
      <c r="D56" s="285">
        <f t="shared" ca="1" si="16"/>
        <v>0</v>
      </c>
      <c r="E56" s="285">
        <f t="shared" ca="1" si="16"/>
        <v>9.4997336078434078E-4</v>
      </c>
      <c r="F56" s="285">
        <f t="shared" ca="1" si="16"/>
        <v>1.923225143509419E-3</v>
      </c>
      <c r="G56" s="285">
        <f t="shared" ca="1" si="16"/>
        <v>3.7020430793100086E-3</v>
      </c>
      <c r="H56" s="285">
        <f t="shared" ca="1" si="16"/>
        <v>5.8335464328244024E-3</v>
      </c>
      <c r="I56" s="285">
        <f t="shared" ca="1" si="16"/>
        <v>8.4296218533765448E-3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4.0650692378256963E-2</v>
      </c>
      <c r="F59" s="287">
        <f t="shared" ca="1" si="19"/>
        <v>8.2949776750658552E-2</v>
      </c>
      <c r="G59" s="287">
        <f t="shared" ca="1" si="19"/>
        <v>0.13036685136112888</v>
      </c>
      <c r="H59" s="287">
        <f t="shared" ca="1" si="19"/>
        <v>0.1802765118263811</v>
      </c>
      <c r="I59" s="287">
        <f t="shared" ca="1" si="19"/>
        <v>0.23264677165073902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1.81</v>
      </c>
      <c r="E64" s="285">
        <f t="shared" ca="1" si="20"/>
        <v>1.8684550220750731</v>
      </c>
      <c r="F64" s="285">
        <f t="shared" ca="1" si="20"/>
        <v>1.9721142898140123</v>
      </c>
      <c r="G64" s="285">
        <f t="shared" ca="1" si="20"/>
        <v>2.0344997925706441</v>
      </c>
      <c r="H64" s="285">
        <f t="shared" ca="1" si="20"/>
        <v>2.100351914704718</v>
      </c>
      <c r="I64" s="285">
        <f t="shared" ca="1" si="20"/>
        <v>2.1663773022218829</v>
      </c>
      <c r="K64" s="63"/>
      <c r="L64" s="63"/>
    </row>
    <row r="65" spans="1:20" ht="12.75" customHeight="1" outlineLevel="1">
      <c r="A65" s="61" t="s">
        <v>69</v>
      </c>
      <c r="B65" s="285">
        <f t="shared" ca="1" si="20"/>
        <v>0</v>
      </c>
      <c r="C65" s="285">
        <f t="shared" ca="1" si="20"/>
        <v>0</v>
      </c>
      <c r="D65" s="285">
        <f t="shared" ca="1" si="20"/>
        <v>2.2000000000000002E-2</v>
      </c>
      <c r="E65" s="285">
        <f t="shared" ca="1" si="20"/>
        <v>2.2233419082187175E-2</v>
      </c>
      <c r="F65" s="285">
        <f t="shared" ca="1" si="20"/>
        <v>2.244970189271946E-2</v>
      </c>
      <c r="G65" s="285">
        <f t="shared" ca="1" si="20"/>
        <v>2.2663495049276686E-2</v>
      </c>
      <c r="H65" s="285">
        <f t="shared" ca="1" si="20"/>
        <v>2.2895443453233907E-2</v>
      </c>
      <c r="I65" s="285">
        <f t="shared" ca="1" si="20"/>
        <v>2.3107909927168005E-2</v>
      </c>
      <c r="K65" s="42"/>
      <c r="L65" s="21"/>
    </row>
    <row r="66" spans="1:20" s="759" customFormat="1" ht="12.75" customHeight="1" outlineLevel="1">
      <c r="A66" s="61" t="s">
        <v>646</v>
      </c>
      <c r="B66" s="285">
        <f t="shared" ref="B66:I66" ca="1" si="21">+B44+B32+B55</f>
        <v>0</v>
      </c>
      <c r="C66" s="285">
        <f t="shared" ca="1" si="21"/>
        <v>0</v>
      </c>
      <c r="D66" s="285">
        <f t="shared" ca="1" si="21"/>
        <v>8.8999999999999996E-2</v>
      </c>
      <c r="E66" s="285">
        <f t="shared" ca="1" si="21"/>
        <v>0.97039400771846507</v>
      </c>
      <c r="F66" s="285">
        <f t="shared" ca="1" si="21"/>
        <v>1.1257297115328755</v>
      </c>
      <c r="G66" s="285">
        <f t="shared" ca="1" si="21"/>
        <v>1.3174367020101032</v>
      </c>
      <c r="H66" s="285">
        <f t="shared" ca="1" si="21"/>
        <v>1.4133841014929838</v>
      </c>
      <c r="I66" s="285">
        <f t="shared" ca="1" si="21"/>
        <v>1.4154726181069359</v>
      </c>
      <c r="K66" s="42"/>
      <c r="L66" s="732"/>
    </row>
    <row r="67" spans="1:20" ht="12.75" customHeight="1" outlineLevel="1">
      <c r="A67" s="61" t="s">
        <v>647</v>
      </c>
      <c r="B67" s="285">
        <f t="shared" ref="B67:I67" ca="1" si="22">+B45+B33+B56</f>
        <v>0</v>
      </c>
      <c r="C67" s="285">
        <f t="shared" ca="1" si="22"/>
        <v>0</v>
      </c>
      <c r="D67" s="285">
        <f t="shared" ca="1" si="22"/>
        <v>0.39308241247163</v>
      </c>
      <c r="E67" s="285">
        <f t="shared" ca="1" si="22"/>
        <v>0.19094464551765655</v>
      </c>
      <c r="F67" s="285">
        <f t="shared" ca="1" si="22"/>
        <v>0.19376613222674843</v>
      </c>
      <c r="G67" s="285">
        <f t="shared" ca="1" si="22"/>
        <v>0.19737190986403805</v>
      </c>
      <c r="H67" s="285">
        <f t="shared" ca="1" si="22"/>
        <v>0.20148551776045959</v>
      </c>
      <c r="I67" s="285">
        <f t="shared" ca="1" si="22"/>
        <v>0.20589721577644857</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2.3140824124716302</v>
      </c>
      <c r="E70" s="295">
        <f t="shared" ca="1" si="25"/>
        <v>3.0520270943933818</v>
      </c>
      <c r="F70" s="295">
        <f t="shared" ca="1" si="25"/>
        <v>3.3140598354663555</v>
      </c>
      <c r="G70" s="295">
        <f t="shared" ca="1" si="25"/>
        <v>3.5719718994940619</v>
      </c>
      <c r="H70" s="295">
        <f t="shared" ca="1" si="25"/>
        <v>3.7381169774113956</v>
      </c>
      <c r="I70" s="295">
        <f t="shared" ca="1" si="25"/>
        <v>3.8108550460324349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1.9204024489035569E-2</v>
      </c>
      <c r="Q77" s="285">
        <f ca="1">IF($B77&lt;&gt;0,(+VLOOKUP($B77,$A$8:$I$13,6,FALSE))*(F77),0)</f>
        <v>3.6998201173737269E-2</v>
      </c>
      <c r="R77" s="285">
        <f ca="1">IF($B77&lt;&gt;0,(+VLOOKUP($B77,$A$8:$I$13,7,FALSE))*(G77),0)</f>
        <v>5.4587547235945277E-2</v>
      </c>
      <c r="S77" s="285">
        <f ca="1">IF($B77&lt;&gt;0,(+VLOOKUP($B77,$A$8:$I$13,8,FALSE))*(H77),0)</f>
        <v>7.3670575016062209E-2</v>
      </c>
      <c r="T77" s="285">
        <f ca="1">IF($B77&lt;&gt;0,(+VLOOKUP($B77,$A$8:$I$13,9,FALSE))*(I77),0)</f>
        <v>9.1150771280640322E-2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2.3341908218717269E-4</v>
      </c>
      <c r="Q78" s="285">
        <f ca="1">IF($B78&lt;&gt;0,(+VLOOKUP($B78,$A$8:$I$13,6,FALSE))*(F78),0)</f>
        <v>4.4970189271945852E-4</v>
      </c>
      <c r="R78" s="285">
        <f ca="1">IF($B78&lt;&gt;0,(+VLOOKUP($B78,$A$8:$I$13,7,FALSE))*(G78),0)</f>
        <v>6.6349504927668294E-4</v>
      </c>
      <c r="S78" s="285">
        <f ca="1">IF($B78&lt;&gt;0,(+VLOOKUP($B78,$A$8:$I$13,8,FALSE))*(H78),0)</f>
        <v>8.9544345323390537E-4</v>
      </c>
      <c r="T78" s="285">
        <f ca="1">IF($B78&lt;&gt;0,(+VLOOKUP($B78,$A$8:$I$13,9,FALSE))*(I78),0)</f>
        <v>1.1079099271680041E-3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9.4428628702992578E-4</v>
      </c>
      <c r="Q79" s="285">
        <f t="shared" ref="Q79:Q80" ca="1" si="34">IF($B79&lt;&gt;0,(+VLOOKUP($B79,$A$8:$I$13,6,FALSE))*(F79),0)</f>
        <v>1.8192485660014457E-3</v>
      </c>
      <c r="R79" s="285">
        <f t="shared" ref="R79:R80" ca="1" si="35">IF($B79&lt;&gt;0,(+VLOOKUP($B79,$A$8:$I$13,7,FALSE))*(G79),0)</f>
        <v>2.6841390629829443E-3</v>
      </c>
      <c r="S79" s="285">
        <f t="shared" ref="S79:S80" ca="1" si="36">IF($B79&lt;&gt;0,(+VLOOKUP($B79,$A$8:$I$13,8,FALSE))*(H79),0)</f>
        <v>3.6224757880826165E-3</v>
      </c>
      <c r="T79" s="285">
        <f t="shared" ref="T79:T80" ca="1" si="37">IF($B79&lt;&gt;0,(+VLOOKUP($B79,$A$8:$I$13,9,FALSE))*(I79),0)</f>
        <v>4.4819992508160159E-3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1.9946721568722026E-3</v>
      </c>
      <c r="Q80" s="285">
        <f t="shared" ca="1" si="34"/>
        <v>3.842907083239009E-3</v>
      </c>
      <c r="R80" s="285">
        <f t="shared" ca="1" si="35"/>
        <v>5.6698667847280178E-3</v>
      </c>
      <c r="S80" s="285">
        <f t="shared" ca="1" si="36"/>
        <v>7.6519713276351903E-3</v>
      </c>
      <c r="T80" s="285">
        <f t="shared" ca="1" si="37"/>
        <v>9.4675939230720336E-3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2.237640201512487E-2</v>
      </c>
      <c r="Q83" s="292">
        <f t="shared" ca="1" si="51"/>
        <v>4.3110058715697175E-2</v>
      </c>
      <c r="R83" s="292">
        <f t="shared" ca="1" si="51"/>
        <v>6.3605048132932926E-2</v>
      </c>
      <c r="S83" s="292">
        <f t="shared" ca="1" si="51"/>
        <v>8.5840465585013917E-2</v>
      </c>
      <c r="T83" s="292">
        <f t="shared" ca="1" si="51"/>
        <v>0.10620827438169637</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1.9204024489035569E-2</v>
      </c>
      <c r="F98" s="285">
        <f t="shared" ca="1" si="54"/>
        <v>3.6998201173737269E-2</v>
      </c>
      <c r="G98" s="285">
        <f t="shared" ca="1" si="54"/>
        <v>5.4587547235945277E-2</v>
      </c>
      <c r="H98" s="285">
        <f t="shared" ca="1" si="54"/>
        <v>7.3670575016062209E-2</v>
      </c>
      <c r="I98" s="285">
        <f t="shared" ca="1" si="54"/>
        <v>9.1150771280640322E-2</v>
      </c>
    </row>
    <row r="99" spans="1:20" outlineLevel="1">
      <c r="A99" s="61" t="s">
        <v>69</v>
      </c>
      <c r="B99" s="119"/>
      <c r="C99" s="285">
        <f t="shared" ref="C99:I99" ca="1" si="55">+C9*(C87)</f>
        <v>0</v>
      </c>
      <c r="D99" s="285">
        <f t="shared" ca="1" si="55"/>
        <v>0</v>
      </c>
      <c r="E99" s="285">
        <f t="shared" ca="1" si="55"/>
        <v>2.3341908218717269E-4</v>
      </c>
      <c r="F99" s="285">
        <f t="shared" ca="1" si="55"/>
        <v>4.4970189271945852E-4</v>
      </c>
      <c r="G99" s="285">
        <f t="shared" ca="1" si="55"/>
        <v>6.6349504927668294E-4</v>
      </c>
      <c r="H99" s="285">
        <f t="shared" ca="1" si="55"/>
        <v>8.9544345323390537E-4</v>
      </c>
      <c r="I99" s="285">
        <f t="shared" ca="1" si="55"/>
        <v>1.1079099271680041E-3</v>
      </c>
    </row>
    <row r="100" spans="1:20" s="759" customFormat="1" outlineLevel="1">
      <c r="A100" s="61" t="s">
        <v>646</v>
      </c>
      <c r="B100" s="119"/>
      <c r="C100" s="285">
        <f t="shared" ref="C100:I100" ca="1" si="56">+C10*(C88)</f>
        <v>0</v>
      </c>
      <c r="D100" s="285">
        <f t="shared" ca="1" si="56"/>
        <v>0</v>
      </c>
      <c r="E100" s="285">
        <f t="shared" ca="1" si="56"/>
        <v>9.4428628702992578E-4</v>
      </c>
      <c r="F100" s="285">
        <f t="shared" ca="1" si="56"/>
        <v>1.8192485660014457E-3</v>
      </c>
      <c r="G100" s="285">
        <f t="shared" ca="1" si="56"/>
        <v>2.6841390629829443E-3</v>
      </c>
      <c r="H100" s="285">
        <f t="shared" ca="1" si="56"/>
        <v>3.6224757880826165E-3</v>
      </c>
      <c r="I100" s="285">
        <f t="shared" ca="1" si="56"/>
        <v>4.4819992508160159E-3</v>
      </c>
    </row>
    <row r="101" spans="1:20" outlineLevel="1">
      <c r="A101" s="61" t="s">
        <v>647</v>
      </c>
      <c r="B101" s="119"/>
      <c r="C101" s="285">
        <f t="shared" ref="C101:I101" ca="1" si="57">+C11*(C89)</f>
        <v>0</v>
      </c>
      <c r="D101" s="285">
        <f t="shared" ca="1" si="57"/>
        <v>0</v>
      </c>
      <c r="E101" s="285">
        <f t="shared" ca="1" si="57"/>
        <v>1.9946721568722026E-3</v>
      </c>
      <c r="F101" s="285">
        <f t="shared" ca="1" si="57"/>
        <v>3.842907083239009E-3</v>
      </c>
      <c r="G101" s="285">
        <f t="shared" ca="1" si="57"/>
        <v>5.6698667847280178E-3</v>
      </c>
      <c r="H101" s="285">
        <f t="shared" ca="1" si="57"/>
        <v>7.6519713276351903E-3</v>
      </c>
      <c r="I101" s="285">
        <f t="shared" ca="1" si="57"/>
        <v>9.4675939230720336E-3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2.237640201512487E-2</v>
      </c>
      <c r="F104" s="296">
        <f t="shared" ca="1" si="60"/>
        <v>4.3110058715697175E-2</v>
      </c>
      <c r="G104" s="296">
        <f t="shared" ca="1" si="60"/>
        <v>6.3605048132932926E-2</v>
      </c>
      <c r="H104" s="296">
        <f t="shared" ca="1" si="60"/>
        <v>8.5840465585013917E-2</v>
      </c>
      <c r="I104" s="296">
        <f t="shared" ca="1" si="60"/>
        <v>0.10620827438169637</v>
      </c>
    </row>
    <row r="105" spans="1:20" ht="13.5" outlineLevel="1" thickBot="1">
      <c r="A105" s="122" t="s">
        <v>143</v>
      </c>
      <c r="B105" s="123"/>
      <c r="C105" s="124">
        <f t="shared" ref="C105:I105" ca="1" si="61">IF(C36&lt;&gt;0,+C104/C36,0)</f>
        <v>0</v>
      </c>
      <c r="D105" s="124">
        <f t="shared" ca="1" si="61"/>
        <v>0</v>
      </c>
      <c r="E105" s="124">
        <f t="shared" ca="1" si="61"/>
        <v>7.4862502559802169E-3</v>
      </c>
      <c r="F105" s="124">
        <f t="shared" ca="1" si="61"/>
        <v>1.3522603110319062E-2</v>
      </c>
      <c r="G105" s="124">
        <f t="shared" ca="1" si="61"/>
        <v>1.8829203118097371E-2</v>
      </c>
      <c r="H105" s="124">
        <f t="shared" ca="1" si="61"/>
        <v>2.4723636401213687E-2</v>
      </c>
      <c r="I105" s="124">
        <f t="shared" ca="1" si="61"/>
        <v>3.0589940778138355E-2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3.9250997586037485E-2</v>
      </c>
      <c r="Q113" s="285">
        <f ca="1">IF($B113&lt;&gt;0,(+VLOOKUP($B113,$A$8:$I$13,6,FALSE)+VLOOKUP($B113,$A$42:$I$47,6,FALSE))*(F113),0)</f>
        <v>8.0116088640275002E-2</v>
      </c>
      <c r="R113" s="285">
        <f ca="1">IF($B113&lt;&gt;0,(+VLOOKUP($B113,$A$8:$I$13,7,FALSE)+VLOOKUP($B113,$A$42:$I$47,7,FALSE))*(G113),0)</f>
        <v>0.1249122453346987</v>
      </c>
      <c r="S113" s="285">
        <f ca="1">IF($B113&lt;&gt;0,(+VLOOKUP($B113,$A$8:$I$13,8,FALSE)+VLOOKUP($B113,$A$42:$I$47,8,FALSE))*(H113),0)</f>
        <v>0.17168133968865579</v>
      </c>
      <c r="T113" s="285">
        <f ca="1">IF($B113&lt;&gt;0,(+VLOOKUP($B113,$A$8:$I$13,9,FALSE)+VLOOKUP($B113,$A$42:$I$47,9,FALSE))*(I113),0)</f>
        <v>0.22022653094124273</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4.4972143143514004E-4</v>
      </c>
      <c r="Q115" s="285">
        <f t="shared" ca="1" si="68"/>
        <v>9.1046296687413979E-4</v>
      </c>
      <c r="R115" s="285">
        <f t="shared" ca="1" si="69"/>
        <v>1.7525629471201634E-3</v>
      </c>
      <c r="S115" s="285">
        <f t="shared" ca="1" si="70"/>
        <v>2.7616257049009139E-3</v>
      </c>
      <c r="T115" s="285">
        <f t="shared" ca="1" si="71"/>
        <v>3.9906188561197476E-3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9.4997336078434078E-4</v>
      </c>
      <c r="Q116" s="285">
        <f t="shared" ca="1" si="68"/>
        <v>1.923225143509419E-3</v>
      </c>
      <c r="R116" s="285">
        <f t="shared" ca="1" si="69"/>
        <v>3.7020430793100086E-3</v>
      </c>
      <c r="S116" s="285">
        <f t="shared" ca="1" si="70"/>
        <v>5.8335464328244024E-3</v>
      </c>
      <c r="T116" s="285">
        <f t="shared" ca="1" si="71"/>
        <v>8.4296218533765448E-3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4.0650692378256963E-2</v>
      </c>
      <c r="Q119" s="292">
        <f t="shared" ca="1" si="72"/>
        <v>8.2949776750658552E-2</v>
      </c>
      <c r="R119" s="292">
        <f t="shared" ca="1" si="72"/>
        <v>0.13036685136112888</v>
      </c>
      <c r="S119" s="292">
        <f t="shared" ca="1" si="72"/>
        <v>0.1802765118263811</v>
      </c>
      <c r="T119" s="292">
        <f t="shared" ca="1" si="72"/>
        <v>0.23264677165073902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3.9250997586037485E-2</v>
      </c>
      <c r="F134" s="285">
        <f t="shared" ca="1" si="75"/>
        <v>8.0116088640275002E-2</v>
      </c>
      <c r="G134" s="285">
        <f t="shared" ca="1" si="75"/>
        <v>0.1249122453346987</v>
      </c>
      <c r="H134" s="285">
        <f t="shared" ca="1" si="75"/>
        <v>0.17168133968865579</v>
      </c>
      <c r="I134" s="285">
        <f t="shared" ca="1" si="75"/>
        <v>0.22022653094124273</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4.4972143143514004E-4</v>
      </c>
      <c r="F136" s="285">
        <f t="shared" ca="1" si="77"/>
        <v>9.1046296687413979E-4</v>
      </c>
      <c r="G136" s="285">
        <f t="shared" ca="1" si="77"/>
        <v>1.7525629471201634E-3</v>
      </c>
      <c r="H136" s="285">
        <f t="shared" ca="1" si="77"/>
        <v>2.7616257049009139E-3</v>
      </c>
      <c r="I136" s="285">
        <f t="shared" ca="1" si="77"/>
        <v>3.9906188561197476E-3</v>
      </c>
    </row>
    <row r="137" spans="1:16" outlineLevel="1">
      <c r="A137" s="61" t="s">
        <v>647</v>
      </c>
      <c r="B137" s="119"/>
      <c r="C137" s="285">
        <f ca="1">(+C11+C45)*(C$125)</f>
        <v>0</v>
      </c>
      <c r="D137" s="285">
        <f t="shared" ref="D137:I137" ca="1" si="78">(+D11+D45)*(D$125)</f>
        <v>0</v>
      </c>
      <c r="E137" s="285">
        <f t="shared" ca="1" si="78"/>
        <v>9.4997336078434078E-4</v>
      </c>
      <c r="F137" s="285">
        <f t="shared" ca="1" si="78"/>
        <v>1.923225143509419E-3</v>
      </c>
      <c r="G137" s="285">
        <f t="shared" ca="1" si="78"/>
        <v>3.7020430793100086E-3</v>
      </c>
      <c r="H137" s="285">
        <f t="shared" ca="1" si="78"/>
        <v>5.8335464328244024E-3</v>
      </c>
      <c r="I137" s="285">
        <f t="shared" ca="1" si="78"/>
        <v>8.4296218533765448E-3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4.0650692378256963E-2</v>
      </c>
      <c r="F140" s="296">
        <f t="shared" ca="1" si="81"/>
        <v>8.2949776750658552E-2</v>
      </c>
      <c r="G140" s="296">
        <f t="shared" ca="1" si="81"/>
        <v>0.13036685136112888</v>
      </c>
      <c r="H140" s="296">
        <f t="shared" ca="1" si="81"/>
        <v>0.1802765118263811</v>
      </c>
      <c r="I140" s="296">
        <f t="shared" ca="1" si="81"/>
        <v>0.23264677165073902</v>
      </c>
    </row>
    <row r="141" spans="1:16" ht="13.5" outlineLevel="1" thickBot="1">
      <c r="A141" s="122" t="s">
        <v>148</v>
      </c>
      <c r="B141" s="126"/>
      <c r="C141" s="124">
        <f t="shared" ref="C141:I141" ca="1" si="82">IF((+C36+C48)&lt;&gt;0,+C140/(+C36+C48),0)</f>
        <v>0</v>
      </c>
      <c r="D141" s="124">
        <f t="shared" ca="1" si="82"/>
        <v>0</v>
      </c>
      <c r="E141" s="124">
        <f t="shared" ca="1" si="82"/>
        <v>1.3499040621775048E-2</v>
      </c>
      <c r="F141" s="124">
        <f t="shared" ca="1" si="82"/>
        <v>2.5672222624205335E-2</v>
      </c>
      <c r="G141" s="124">
        <f t="shared" ca="1" si="82"/>
        <v>3.7879666474760883E-2</v>
      </c>
      <c r="H141" s="124">
        <f t="shared" ca="1" si="82"/>
        <v>5.0670206708309594E-2</v>
      </c>
      <c r="I141" s="124">
        <f t="shared" ca="1" si="82"/>
        <v>6.5017671921553999E-2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4.4999999999999998E-2</v>
      </c>
      <c r="G149" s="285">
        <f t="shared" si="84"/>
        <v>4.4999999999999998E-2</v>
      </c>
      <c r="H149" s="285">
        <f t="shared" si="84"/>
        <v>4.4999999999999998E-2</v>
      </c>
      <c r="I149" s="285">
        <f t="shared" si="84"/>
        <v>4.4999999999999998E-2</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0.88</v>
      </c>
      <c r="F151" s="285">
        <f t="shared" si="85"/>
        <v>1.034</v>
      </c>
      <c r="G151" s="285">
        <f t="shared" si="85"/>
        <v>1.224</v>
      </c>
      <c r="H151" s="285">
        <f t="shared" si="85"/>
        <v>1.3180000000000001</v>
      </c>
      <c r="I151" s="285">
        <f t="shared" si="85"/>
        <v>1.3180000000000001</v>
      </c>
      <c r="J151" s="42"/>
      <c r="K151" s="732"/>
      <c r="L151" s="732"/>
    </row>
    <row r="152" spans="1:13" outlineLevel="1">
      <c r="A152" s="61" t="s">
        <v>647</v>
      </c>
      <c r="B152" s="65"/>
      <c r="C152" s="285">
        <f t="shared" si="83"/>
        <v>0</v>
      </c>
      <c r="D152" s="285">
        <f t="shared" si="85"/>
        <v>0.20508241247162998</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0.20508241247162998</v>
      </c>
      <c r="E155" s="296">
        <f t="shared" si="86"/>
        <v>0.88</v>
      </c>
      <c r="F155" s="296">
        <f t="shared" si="86"/>
        <v>1.079</v>
      </c>
      <c r="G155" s="296">
        <f t="shared" si="86"/>
        <v>1.2689999999999999</v>
      </c>
      <c r="H155" s="296">
        <f t="shared" si="86"/>
        <v>1.363</v>
      </c>
      <c r="I155" s="296">
        <f t="shared" si="86"/>
        <v>1.363</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0.20508241247162998</v>
      </c>
      <c r="E160" s="285">
        <f t="shared" ca="1" si="88"/>
        <v>0.88</v>
      </c>
      <c r="F160" s="285">
        <f t="shared" ca="1" si="88"/>
        <v>1.079</v>
      </c>
      <c r="G160" s="285">
        <f t="shared" ca="1" si="88"/>
        <v>1.2689999999999999</v>
      </c>
      <c r="H160" s="285">
        <f t="shared" ca="1" si="88"/>
        <v>1.363</v>
      </c>
      <c r="I160" s="285">
        <f t="shared" ca="1" si="88"/>
        <v>1.363</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ca="1">IF(ISNUMBER($J161),OFFSET(D$177,MATCH(+$J161,$J$178:$J$195,0)+13,0),"")</f>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0.20508241247162998</v>
      </c>
      <c r="E170" s="296">
        <f t="shared" ca="1" si="93"/>
        <v>0.88</v>
      </c>
      <c r="F170" s="296">
        <f t="shared" ca="1" si="93"/>
        <v>1.079</v>
      </c>
      <c r="G170" s="296">
        <f t="shared" ca="1" si="93"/>
        <v>1.2689999999999999</v>
      </c>
      <c r="H170" s="296">
        <f t="shared" ca="1" si="93"/>
        <v>1.363</v>
      </c>
      <c r="I170" s="296">
        <f t="shared" ca="1" si="93"/>
        <v>1.363</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(SEM)'!$N$232:$R$237</f>
        <v>0</v>
      </c>
      <c r="F185" s="285">
        <v>4.4999999999999998E-2</v>
      </c>
      <c r="G185" s="285">
        <v>4.4999999999999998E-2</v>
      </c>
      <c r="H185" s="285">
        <v>4.4999999999999998E-2</v>
      </c>
      <c r="I185" s="285">
        <v>4.4999999999999998E-2</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0.88</v>
      </c>
      <c r="F187" s="285">
        <v>1.034</v>
      </c>
      <c r="G187" s="285">
        <v>1.224</v>
      </c>
      <c r="H187" s="285">
        <v>1.3180000000000001</v>
      </c>
      <c r="I187" s="285">
        <v>1.3180000000000001</v>
      </c>
      <c r="J187" s="42"/>
      <c r="K187" s="732"/>
      <c r="L187" s="732"/>
    </row>
    <row r="188" spans="1:12" outlineLevel="1">
      <c r="A188" s="61" t="s">
        <v>647</v>
      </c>
      <c r="B188" s="65"/>
      <c r="C188" s="285"/>
      <c r="D188" s="285">
        <v>0.20508241247162998</v>
      </c>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0.20508241247162998</v>
      </c>
      <c r="E191" s="296">
        <f t="shared" si="94"/>
        <v>0.88</v>
      </c>
      <c r="F191" s="296">
        <f t="shared" si="94"/>
        <v>1.079</v>
      </c>
      <c r="G191" s="296">
        <f t="shared" si="94"/>
        <v>1.2689999999999999</v>
      </c>
      <c r="H191" s="296">
        <f t="shared" si="94"/>
        <v>1.363</v>
      </c>
      <c r="I191" s="296">
        <f t="shared" si="94"/>
        <v>1.363</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2.109</v>
      </c>
      <c r="E205" s="82">
        <f t="shared" ca="1" si="95"/>
        <v>2.109</v>
      </c>
      <c r="F205" s="82">
        <f t="shared" ca="1" si="95"/>
        <v>2.109</v>
      </c>
      <c r="G205" s="82">
        <f t="shared" ca="1" si="95"/>
        <v>2.109</v>
      </c>
      <c r="H205" s="82">
        <f t="shared" ca="1" si="95"/>
        <v>2.109</v>
      </c>
      <c r="I205" s="82">
        <f t="shared" ca="1" si="95"/>
        <v>2.109</v>
      </c>
    </row>
    <row r="206" spans="1:9" outlineLevel="1">
      <c r="A206" t="s">
        <v>156</v>
      </c>
      <c r="B206" s="82">
        <f t="shared" ref="B206:I206" ca="1" si="96">+B36</f>
        <v>0</v>
      </c>
      <c r="C206" s="82">
        <f t="shared" ca="1" si="96"/>
        <v>0</v>
      </c>
      <c r="D206" s="82">
        <f t="shared" ca="1" si="96"/>
        <v>2.3140824124716302</v>
      </c>
      <c r="E206" s="82">
        <f t="shared" ca="1" si="96"/>
        <v>2.9890000000000003</v>
      </c>
      <c r="F206" s="82">
        <f t="shared" ca="1" si="96"/>
        <v>3.1880000000000002</v>
      </c>
      <c r="G206" s="82">
        <f t="shared" ca="1" si="96"/>
        <v>3.3780000000000001</v>
      </c>
      <c r="H206" s="82">
        <f t="shared" ca="1" si="96"/>
        <v>3.472</v>
      </c>
      <c r="I206" s="82">
        <f t="shared" ca="1" si="96"/>
        <v>3.472</v>
      </c>
    </row>
    <row r="207" spans="1:9" outlineLevel="1">
      <c r="A207" t="s">
        <v>157</v>
      </c>
      <c r="B207" s="82">
        <f t="shared" ref="B207:I207" ca="1" si="97">+B36+B48</f>
        <v>0</v>
      </c>
      <c r="C207" s="82">
        <f t="shared" ca="1" si="97"/>
        <v>0</v>
      </c>
      <c r="D207" s="82">
        <f t="shared" ca="1" si="97"/>
        <v>2.3140824124716302</v>
      </c>
      <c r="E207" s="82">
        <f t="shared" ca="1" si="97"/>
        <v>3.011376402015125</v>
      </c>
      <c r="F207" s="82">
        <f t="shared" ca="1" si="97"/>
        <v>3.2311100587156973</v>
      </c>
      <c r="G207" s="82">
        <f t="shared" ca="1" si="97"/>
        <v>3.4416050481329332</v>
      </c>
      <c r="H207" s="82">
        <f t="shared" ca="1" si="97"/>
        <v>3.5578404655850138</v>
      </c>
      <c r="I207" s="82">
        <f t="shared" ca="1" si="97"/>
        <v>3.5782082743816965</v>
      </c>
    </row>
    <row r="208" spans="1:9" outlineLevel="1">
      <c r="A208" t="s">
        <v>158</v>
      </c>
      <c r="B208" s="82">
        <f t="shared" ref="B208:I208" ca="1" si="98">+B70</f>
        <v>0</v>
      </c>
      <c r="C208" s="82">
        <f t="shared" ca="1" si="98"/>
        <v>0</v>
      </c>
      <c r="D208" s="82">
        <f t="shared" ca="1" si="98"/>
        <v>2.3140824124716302</v>
      </c>
      <c r="E208" s="82">
        <f t="shared" ca="1" si="98"/>
        <v>3.0520270943933818</v>
      </c>
      <c r="F208" s="82">
        <f t="shared" ca="1" si="98"/>
        <v>3.3140598354663555</v>
      </c>
      <c r="G208" s="82">
        <f t="shared" ca="1" si="98"/>
        <v>3.5719718994940619</v>
      </c>
      <c r="H208" s="82">
        <f t="shared" ca="1" si="98"/>
        <v>3.7381169774113956</v>
      </c>
      <c r="I208" s="82">
        <f t="shared" ca="1" si="98"/>
        <v>3.8108550460324349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55" priority="1" stopIfTrue="1" operator="notEqual">
      <formula>0</formula>
    </cfRule>
  </conditionalFormatting>
  <conditionalFormatting sqref="J130 J94 J70 J59 J48 J36:J37 J14 J25">
    <cfRule type="cellIs" dxfId="254" priority="2" stopIfTrue="1" operator="equal">
      <formula>"OK"</formula>
    </cfRule>
    <cfRule type="cellIs" dxfId="253" priority="3" stopIfTrue="1" operator="equal">
      <formula>"Warning Check Escalations"</formula>
    </cfRule>
  </conditionalFormatting>
  <conditionalFormatting sqref="N120:T120 N84:T84">
    <cfRule type="cellIs" dxfId="252" priority="4" stopIfTrue="1" operator="notEqual">
      <formula>0</formula>
    </cfRule>
    <cfRule type="cellIs" dxfId="25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xml><?xml version="1.0" encoding="utf-8"?>
<worksheet xmlns="http://schemas.openxmlformats.org/spreadsheetml/2006/main" xmlns:r="http://schemas.openxmlformats.org/officeDocument/2006/relationships">
  <sheetPr codeName="Sheet9">
    <pageSetUpPr fitToPage="1"/>
  </sheetPr>
  <dimension ref="A1:Z43"/>
  <sheetViews>
    <sheetView showGridLines="0" zoomScaleNormal="100" workbookViewId="0">
      <selection activeCell="L34" sqref="L34"/>
    </sheetView>
  </sheetViews>
  <sheetFormatPr defaultRowHeight="12.75"/>
  <cols>
    <col min="1" max="1" width="6.42578125" style="679" customWidth="1"/>
    <col min="2" max="2" width="13.5703125" style="679" customWidth="1"/>
    <col min="3" max="7" width="9.140625" style="679"/>
    <col min="8" max="8" width="19" style="679" bestFit="1" customWidth="1"/>
    <col min="9" max="9" width="9.5703125" style="679" bestFit="1" customWidth="1"/>
    <col min="10" max="10" width="9.28515625" style="679" bestFit="1" customWidth="1"/>
    <col min="11" max="19" width="9.140625" style="679"/>
    <col min="20" max="20" width="8.140625" style="679" bestFit="1" customWidth="1"/>
    <col min="21" max="21" width="8.140625" style="679" customWidth="1"/>
    <col min="22" max="16384" width="9.140625" style="679"/>
  </cols>
  <sheetData>
    <row r="1" spans="1:25" ht="15.75">
      <c r="A1" s="678" t="s">
        <v>342</v>
      </c>
      <c r="B1" s="678" t="s">
        <v>336</v>
      </c>
    </row>
    <row r="4" spans="1:25" ht="15">
      <c r="A4" s="697" t="s">
        <v>337</v>
      </c>
      <c r="B4" s="697"/>
      <c r="C4" s="697"/>
      <c r="D4" s="697"/>
      <c r="E4" s="697"/>
      <c r="F4" s="697"/>
      <c r="G4" s="697"/>
      <c r="H4" s="697"/>
      <c r="I4" s="697"/>
      <c r="J4" s="697"/>
      <c r="K4" s="697"/>
      <c r="L4" s="697"/>
      <c r="M4" s="697"/>
      <c r="N4" s="697"/>
      <c r="O4" s="697"/>
      <c r="P4" s="697"/>
      <c r="Y4" s="681"/>
    </row>
    <row r="5" spans="1:25" ht="15">
      <c r="A5" s="702" t="s">
        <v>339</v>
      </c>
      <c r="B5" s="700"/>
      <c r="C5" s="700"/>
      <c r="D5" s="700"/>
      <c r="E5" s="701">
        <v>2010</v>
      </c>
      <c r="F5" s="701">
        <v>2011</v>
      </c>
      <c r="G5" s="701">
        <v>2012</v>
      </c>
      <c r="H5" s="701">
        <v>2013</v>
      </c>
      <c r="I5" s="701">
        <v>2014</v>
      </c>
      <c r="J5" s="701">
        <v>2015</v>
      </c>
      <c r="K5" s="701">
        <v>2016</v>
      </c>
      <c r="L5" s="701">
        <v>2017</v>
      </c>
      <c r="M5" s="701">
        <v>2018</v>
      </c>
      <c r="N5" s="701">
        <v>2019</v>
      </c>
      <c r="O5" s="701">
        <v>2020</v>
      </c>
      <c r="P5" s="701">
        <v>2021</v>
      </c>
    </row>
    <row r="6" spans="1:25">
      <c r="A6" s="680"/>
      <c r="E6" s="682"/>
      <c r="F6" s="682"/>
      <c r="G6" s="682"/>
      <c r="H6" s="682"/>
      <c r="I6" s="682"/>
      <c r="J6" s="682"/>
      <c r="K6" s="682"/>
      <c r="L6" s="682"/>
      <c r="M6" s="682"/>
      <c r="N6" s="682"/>
      <c r="O6" s="682"/>
      <c r="P6" s="682"/>
    </row>
    <row r="7" spans="1:25">
      <c r="A7" s="680" t="s">
        <v>338</v>
      </c>
      <c r="H7" s="696"/>
      <c r="I7" s="696">
        <v>2.5000000000000001E-2</v>
      </c>
      <c r="J7" s="696">
        <v>0.02</v>
      </c>
      <c r="K7" s="696">
        <v>2.5499999999999998E-2</v>
      </c>
      <c r="L7" s="696">
        <v>2.5499999999999998E-2</v>
      </c>
      <c r="M7" s="696">
        <v>2.5499999999999998E-2</v>
      </c>
      <c r="N7" s="696">
        <v>2.5499999999999998E-2</v>
      </c>
      <c r="O7" s="696">
        <v>2.5499999999999998E-2</v>
      </c>
      <c r="P7" s="696">
        <v>2.5499999999999998E-2</v>
      </c>
      <c r="Y7" s="681"/>
    </row>
    <row r="8" spans="1:25">
      <c r="A8" s="686" t="s">
        <v>579</v>
      </c>
      <c r="E8" s="682"/>
      <c r="F8" s="682"/>
      <c r="G8" s="682"/>
      <c r="H8" s="682"/>
      <c r="I8" s="781" t="s">
        <v>668</v>
      </c>
      <c r="J8" s="781" t="s">
        <v>665</v>
      </c>
      <c r="K8" s="682"/>
      <c r="L8" s="682"/>
      <c r="M8" s="682"/>
      <c r="N8" s="682"/>
      <c r="O8" s="682"/>
      <c r="P8" s="682"/>
    </row>
    <row r="9" spans="1:25">
      <c r="A9" s="680"/>
      <c r="E9" s="682"/>
      <c r="F9" s="682"/>
      <c r="G9" s="682"/>
      <c r="H9" s="682"/>
      <c r="I9" s="682"/>
      <c r="J9" s="682"/>
      <c r="K9" s="682"/>
      <c r="L9" s="682"/>
      <c r="M9" s="682"/>
      <c r="N9" s="682"/>
      <c r="O9" s="682"/>
      <c r="P9" s="682"/>
    </row>
    <row r="10" spans="1:25" ht="15">
      <c r="A10" s="698" t="s">
        <v>576</v>
      </c>
      <c r="B10" s="698"/>
      <c r="C10" s="698"/>
      <c r="D10" s="698"/>
      <c r="E10" s="699" t="str">
        <f t="shared" ref="E10:G10" si="0">IF(E11&gt;0,"Actual", "Forecast")</f>
        <v>Actual</v>
      </c>
      <c r="F10" s="699" t="str">
        <f t="shared" si="0"/>
        <v>Actual</v>
      </c>
      <c r="G10" s="699" t="str">
        <f t="shared" si="0"/>
        <v>Actual</v>
      </c>
      <c r="H10" s="699" t="str">
        <f>IF(H11&gt;0,"Actual", "Forecast")</f>
        <v>Actual</v>
      </c>
      <c r="I10" s="699" t="str">
        <f t="shared" ref="I10:P10" si="1">IF(I11&gt;0,"Actual", "Forecast")</f>
        <v>Actual</v>
      </c>
      <c r="J10" s="699" t="str">
        <f t="shared" si="1"/>
        <v>Forecast</v>
      </c>
      <c r="K10" s="699" t="str">
        <f t="shared" si="1"/>
        <v>Forecast</v>
      </c>
      <c r="L10" s="699" t="str">
        <f t="shared" si="1"/>
        <v>Forecast</v>
      </c>
      <c r="M10" s="699" t="str">
        <f t="shared" si="1"/>
        <v>Forecast</v>
      </c>
      <c r="N10" s="699" t="str">
        <f t="shared" si="1"/>
        <v>Forecast</v>
      </c>
      <c r="O10" s="699" t="str">
        <f t="shared" si="1"/>
        <v>Forecast</v>
      </c>
      <c r="P10" s="699" t="str">
        <f t="shared" si="1"/>
        <v>Forecast</v>
      </c>
      <c r="Q10" s="686" t="s">
        <v>583</v>
      </c>
    </row>
    <row r="11" spans="1:25">
      <c r="A11" s="677" t="s">
        <v>578</v>
      </c>
      <c r="E11" s="676">
        <v>95.2</v>
      </c>
      <c r="F11" s="676">
        <v>98.3</v>
      </c>
      <c r="G11" s="676">
        <v>99.9</v>
      </c>
      <c r="H11" s="676">
        <v>102.4</v>
      </c>
      <c r="I11" s="676">
        <v>105.4</v>
      </c>
      <c r="J11" s="676"/>
      <c r="K11" s="676"/>
      <c r="L11" s="676"/>
      <c r="M11" s="676"/>
      <c r="N11" s="676"/>
      <c r="O11" s="676"/>
      <c r="P11" s="676"/>
      <c r="Q11" s="686" t="s">
        <v>580</v>
      </c>
    </row>
    <row r="12" spans="1:25">
      <c r="A12" s="677" t="s">
        <v>581</v>
      </c>
      <c r="E12" s="683"/>
      <c r="F12" s="703">
        <f t="shared" ref="F12:G12" si="2">IF(F11&gt;0,+F11/E11-1,+F$7)</f>
        <v>3.2563025210083918E-2</v>
      </c>
      <c r="G12" s="703">
        <f t="shared" si="2"/>
        <v>1.6276703967446737E-2</v>
      </c>
      <c r="H12" s="703">
        <f t="shared" ref="H12:P12" si="3">IF(H11&gt;0,+H11/G11-1,+H$7)</f>
        <v>2.5025025025025016E-2</v>
      </c>
      <c r="I12" s="703">
        <f t="shared" si="3"/>
        <v>2.9296875E-2</v>
      </c>
      <c r="J12" s="703">
        <f t="shared" si="3"/>
        <v>0.02</v>
      </c>
      <c r="K12" s="703">
        <f t="shared" si="3"/>
        <v>2.5499999999999998E-2</v>
      </c>
      <c r="L12" s="703">
        <f t="shared" si="3"/>
        <v>2.5499999999999998E-2</v>
      </c>
      <c r="M12" s="703">
        <f t="shared" si="3"/>
        <v>2.5499999999999998E-2</v>
      </c>
      <c r="N12" s="703">
        <f t="shared" si="3"/>
        <v>2.5499999999999998E-2</v>
      </c>
      <c r="O12" s="703">
        <f t="shared" si="3"/>
        <v>2.5499999999999998E-2</v>
      </c>
      <c r="P12" s="703">
        <f t="shared" si="3"/>
        <v>2.5499999999999998E-2</v>
      </c>
    </row>
    <row r="13" spans="1:25" ht="12" customHeight="1">
      <c r="A13" s="684" t="s">
        <v>582</v>
      </c>
      <c r="E13" s="685">
        <f t="shared" ref="E13:F13" si="4">+E11</f>
        <v>95.2</v>
      </c>
      <c r="F13" s="685">
        <f t="shared" si="4"/>
        <v>98.3</v>
      </c>
      <c r="G13" s="685">
        <f>+G11</f>
        <v>99.9</v>
      </c>
      <c r="H13" s="685">
        <f t="shared" ref="H13:P13" si="5">IF(H11&gt;0,H11,G13*(1+H$7))</f>
        <v>102.4</v>
      </c>
      <c r="I13" s="685">
        <f t="shared" si="5"/>
        <v>105.4</v>
      </c>
      <c r="J13" s="685">
        <f>IF(J11&gt;0,J11,I13*(1+J$7))</f>
        <v>107.50800000000001</v>
      </c>
      <c r="K13" s="685">
        <f t="shared" si="5"/>
        <v>110.24945400000001</v>
      </c>
      <c r="L13" s="685">
        <f t="shared" si="5"/>
        <v>113.06081507700003</v>
      </c>
      <c r="M13" s="685">
        <f t="shared" si="5"/>
        <v>115.94386586146354</v>
      </c>
      <c r="N13" s="685">
        <f t="shared" si="5"/>
        <v>118.90043444093087</v>
      </c>
      <c r="O13" s="685">
        <f t="shared" si="5"/>
        <v>121.93239551917461</v>
      </c>
      <c r="P13" s="685">
        <f t="shared" si="5"/>
        <v>125.04167160491356</v>
      </c>
    </row>
    <row r="14" spans="1:25">
      <c r="E14" s="685"/>
      <c r="F14" s="685"/>
      <c r="G14" s="685"/>
      <c r="H14" s="685"/>
      <c r="I14" s="685"/>
      <c r="J14" s="685"/>
      <c r="K14" s="685"/>
      <c r="L14" s="685"/>
      <c r="M14" s="685"/>
      <c r="N14" s="685"/>
      <c r="O14" s="685"/>
      <c r="P14" s="685"/>
    </row>
    <row r="15" spans="1:25" ht="15">
      <c r="A15" s="698" t="s">
        <v>577</v>
      </c>
      <c r="B15" s="698"/>
      <c r="C15" s="698"/>
      <c r="D15" s="698"/>
      <c r="E15" s="699" t="str">
        <f t="shared" ref="E15" si="6">IF(E16&gt;0,"Actual", "Forecast")</f>
        <v>Actual</v>
      </c>
      <c r="F15" s="699" t="str">
        <f t="shared" ref="F15" si="7">IF(F16&gt;0,"Actual", "Forecast")</f>
        <v>Actual</v>
      </c>
      <c r="G15" s="699" t="str">
        <f t="shared" ref="G15" si="8">IF(G16&gt;0,"Actual", "Forecast")</f>
        <v>Actual</v>
      </c>
      <c r="H15" s="699" t="str">
        <f>IF(H16&gt;0,"Actual", "Forecast")</f>
        <v>Actual</v>
      </c>
      <c r="I15" s="699" t="str">
        <f t="shared" ref="I15" si="9">IF(I16&gt;0,"Actual", "Forecast")</f>
        <v>Forecast</v>
      </c>
      <c r="J15" s="699" t="str">
        <f t="shared" ref="J15" si="10">IF(J16&gt;0,"Actual", "Forecast")</f>
        <v>Forecast</v>
      </c>
      <c r="K15" s="699" t="str">
        <f t="shared" ref="K15" si="11">IF(K16&gt;0,"Actual", "Forecast")</f>
        <v>Forecast</v>
      </c>
      <c r="L15" s="699" t="str">
        <f t="shared" ref="L15" si="12">IF(L16&gt;0,"Actual", "Forecast")</f>
        <v>Forecast</v>
      </c>
      <c r="M15" s="699" t="str">
        <f t="shared" ref="M15" si="13">IF(M16&gt;0,"Actual", "Forecast")</f>
        <v>Forecast</v>
      </c>
      <c r="N15" s="699" t="str">
        <f t="shared" ref="N15" si="14">IF(N16&gt;0,"Actual", "Forecast")</f>
        <v>Forecast</v>
      </c>
      <c r="O15" s="699" t="str">
        <f t="shared" ref="O15" si="15">IF(O16&gt;0,"Actual", "Forecast")</f>
        <v>Forecast</v>
      </c>
      <c r="P15" s="699" t="str">
        <f t="shared" ref="P15" si="16">IF(P16&gt;0,"Actual", "Forecast")</f>
        <v>Forecast</v>
      </c>
      <c r="Q15" s="686" t="s">
        <v>586</v>
      </c>
    </row>
    <row r="16" spans="1:25">
      <c r="A16" s="677" t="s">
        <v>585</v>
      </c>
      <c r="E16" s="676">
        <v>96.5</v>
      </c>
      <c r="F16" s="676">
        <v>99.8</v>
      </c>
      <c r="G16" s="676">
        <v>101.8</v>
      </c>
      <c r="H16" s="775">
        <v>104</v>
      </c>
      <c r="I16" s="676"/>
      <c r="J16" s="676"/>
      <c r="K16" s="676"/>
      <c r="L16" s="676"/>
      <c r="M16" s="676"/>
      <c r="N16" s="676"/>
      <c r="O16" s="676"/>
      <c r="P16" s="676"/>
      <c r="Q16" s="686" t="s">
        <v>587</v>
      </c>
    </row>
    <row r="17" spans="1:26">
      <c r="A17" s="677" t="s">
        <v>581</v>
      </c>
      <c r="E17" s="683"/>
      <c r="F17" s="703">
        <f t="shared" ref="F17" si="17">IF(F16&gt;0,+F16/E16-1,+F$7)</f>
        <v>3.4196891191709877E-2</v>
      </c>
      <c r="G17" s="703">
        <f t="shared" ref="G17" si="18">IF(G16&gt;0,+G16/F16-1,+G$7)</f>
        <v>2.0040080160320661E-2</v>
      </c>
      <c r="H17" s="703">
        <f t="shared" ref="H17:P17" si="19">IF(H16&gt;0,+H16/G16-1,+H$7)</f>
        <v>2.16110019646365E-2</v>
      </c>
      <c r="I17" s="703">
        <f t="shared" si="19"/>
        <v>2.5000000000000001E-2</v>
      </c>
      <c r="J17" s="703">
        <f t="shared" si="19"/>
        <v>0.02</v>
      </c>
      <c r="K17" s="703">
        <f t="shared" si="19"/>
        <v>2.5499999999999998E-2</v>
      </c>
      <c r="L17" s="703">
        <f t="shared" si="19"/>
        <v>2.5499999999999998E-2</v>
      </c>
      <c r="M17" s="703">
        <f t="shared" si="19"/>
        <v>2.5499999999999998E-2</v>
      </c>
      <c r="N17" s="703">
        <f t="shared" si="19"/>
        <v>2.5499999999999998E-2</v>
      </c>
      <c r="O17" s="703">
        <f t="shared" si="19"/>
        <v>2.5499999999999998E-2</v>
      </c>
      <c r="P17" s="703">
        <f t="shared" si="19"/>
        <v>2.5499999999999998E-2</v>
      </c>
    </row>
    <row r="18" spans="1:26">
      <c r="A18" s="684" t="s">
        <v>582</v>
      </c>
      <c r="E18" s="685">
        <f t="shared" ref="E18:F18" si="20">+E16</f>
        <v>96.5</v>
      </c>
      <c r="F18" s="685">
        <f t="shared" si="20"/>
        <v>99.8</v>
      </c>
      <c r="G18" s="685">
        <f t="shared" ref="G18" si="21">IF(G16&gt;0,G16,F18*(1+G$7))</f>
        <v>101.8</v>
      </c>
      <c r="H18" s="685">
        <f t="shared" ref="H18" si="22">IF(H16&gt;0,H16,G18*(1+H$7))</f>
        <v>104</v>
      </c>
      <c r="I18" s="685">
        <f t="shared" ref="I18" si="23">IF(I16&gt;0,I16,H18*(1+I$7))</f>
        <v>106.6</v>
      </c>
      <c r="J18" s="685"/>
      <c r="K18" s="685"/>
      <c r="L18" s="685"/>
      <c r="M18" s="685"/>
      <c r="N18" s="685"/>
      <c r="O18" s="685"/>
      <c r="P18" s="685"/>
    </row>
    <row r="19" spans="1:26">
      <c r="A19" s="686" t="s">
        <v>510</v>
      </c>
      <c r="V19" s="681"/>
    </row>
    <row r="20" spans="1:26">
      <c r="V20" s="681"/>
    </row>
    <row r="21" spans="1:26">
      <c r="V21" s="681"/>
    </row>
    <row r="22" spans="1:26" ht="13.5" thickBot="1">
      <c r="C22" s="687"/>
      <c r="D22" s="687"/>
      <c r="E22" s="688">
        <v>40359</v>
      </c>
      <c r="F22" s="688">
        <f t="shared" ref="F22:M22" si="24">+E22+365</f>
        <v>40724</v>
      </c>
      <c r="G22" s="688">
        <f t="shared" si="24"/>
        <v>41089</v>
      </c>
      <c r="H22" s="688">
        <f t="shared" si="24"/>
        <v>41454</v>
      </c>
      <c r="I22" s="688">
        <f t="shared" si="24"/>
        <v>41819</v>
      </c>
      <c r="J22" s="688">
        <f t="shared" si="24"/>
        <v>42184</v>
      </c>
      <c r="K22" s="688">
        <f t="shared" si="24"/>
        <v>42549</v>
      </c>
      <c r="L22" s="688">
        <f t="shared" si="24"/>
        <v>42914</v>
      </c>
      <c r="M22" s="688">
        <f t="shared" si="24"/>
        <v>43279</v>
      </c>
      <c r="N22" s="688">
        <f t="shared" ref="N22:P22" si="25">+M22+365</f>
        <v>43644</v>
      </c>
      <c r="O22" s="688">
        <f t="shared" si="25"/>
        <v>44009</v>
      </c>
      <c r="P22" s="688">
        <f t="shared" si="25"/>
        <v>44374</v>
      </c>
      <c r="V22" s="681"/>
    </row>
    <row r="23" spans="1:26">
      <c r="A23" s="684" t="s">
        <v>340</v>
      </c>
      <c r="C23" s="684"/>
      <c r="D23" s="689"/>
      <c r="E23" s="690">
        <v>1</v>
      </c>
      <c r="F23" s="689">
        <f t="shared" ref="F23:P23" si="26">ROUND((+F13/$E$13),4)</f>
        <v>1.0326</v>
      </c>
      <c r="G23" s="689">
        <f t="shared" si="26"/>
        <v>1.0494000000000001</v>
      </c>
      <c r="H23" s="689">
        <f t="shared" si="26"/>
        <v>1.0755999999999999</v>
      </c>
      <c r="I23" s="689">
        <f t="shared" si="26"/>
        <v>1.1071</v>
      </c>
      <c r="J23" s="689">
        <f t="shared" si="26"/>
        <v>1.1293</v>
      </c>
      <c r="K23" s="689">
        <f t="shared" si="26"/>
        <v>1.1580999999999999</v>
      </c>
      <c r="L23" s="689">
        <f t="shared" si="26"/>
        <v>1.1876</v>
      </c>
      <c r="M23" s="689">
        <f t="shared" si="26"/>
        <v>1.2179</v>
      </c>
      <c r="N23" s="689">
        <f t="shared" si="26"/>
        <v>1.2490000000000001</v>
      </c>
      <c r="O23" s="689">
        <f t="shared" si="26"/>
        <v>1.2807999999999999</v>
      </c>
      <c r="P23" s="689">
        <f t="shared" si="26"/>
        <v>1.3134999999999999</v>
      </c>
      <c r="Z23" s="681"/>
    </row>
    <row r="24" spans="1:26">
      <c r="A24" s="691" t="s">
        <v>584</v>
      </c>
      <c r="B24" s="684"/>
      <c r="C24" s="692"/>
      <c r="D24" s="692"/>
      <c r="E24" s="689"/>
      <c r="F24" s="689"/>
      <c r="G24" s="689"/>
      <c r="I24" s="689"/>
      <c r="J24" s="689"/>
      <c r="K24" s="685"/>
      <c r="L24" s="685"/>
      <c r="M24" s="685"/>
      <c r="N24" s="685"/>
      <c r="Z24" s="681"/>
    </row>
    <row r="25" spans="1:26">
      <c r="A25" s="691" t="s">
        <v>621</v>
      </c>
      <c r="B25" s="684"/>
      <c r="C25" s="692"/>
      <c r="D25" s="692"/>
      <c r="E25" s="692"/>
      <c r="F25" s="693"/>
      <c r="G25" s="693"/>
      <c r="H25" s="853">
        <f>+$J$13/H18</f>
        <v>1.0337307692307693</v>
      </c>
      <c r="I25" s="693"/>
      <c r="J25" s="685"/>
      <c r="K25" s="685"/>
      <c r="L25" s="685"/>
      <c r="M25" s="685"/>
      <c r="N25" s="685"/>
      <c r="O25" s="685"/>
      <c r="P25" s="685"/>
      <c r="Q25" s="685"/>
      <c r="R25" s="685"/>
      <c r="S25" s="685"/>
      <c r="Z25" s="681"/>
    </row>
    <row r="26" spans="1:26">
      <c r="B26" s="694"/>
      <c r="C26" s="694"/>
      <c r="D26" s="695"/>
      <c r="E26" s="695"/>
      <c r="F26" s="686"/>
      <c r="J26" s="686"/>
    </row>
    <row r="27" spans="1:26">
      <c r="D27" s="720" t="s">
        <v>622</v>
      </c>
      <c r="E27" s="721"/>
      <c r="F27" s="721"/>
      <c r="G27" s="721"/>
      <c r="H27" s="722"/>
      <c r="J27" s="815" t="s">
        <v>696</v>
      </c>
    </row>
    <row r="28" spans="1:26">
      <c r="D28" s="723" t="s">
        <v>623</v>
      </c>
      <c r="E28" s="724"/>
      <c r="F28" s="67"/>
      <c r="G28" s="67"/>
      <c r="H28" s="475"/>
      <c r="J28" s="774" t="s">
        <v>653</v>
      </c>
    </row>
    <row r="29" spans="1:26">
      <c r="D29" s="723" t="s">
        <v>652</v>
      </c>
      <c r="E29" s="67"/>
      <c r="F29" s="724"/>
      <c r="G29" s="67"/>
      <c r="H29" s="725">
        <f>H18</f>
        <v>104</v>
      </c>
      <c r="J29" s="774" t="s">
        <v>654</v>
      </c>
    </row>
    <row r="30" spans="1:26">
      <c r="D30" s="723" t="s">
        <v>547</v>
      </c>
      <c r="E30" s="67"/>
      <c r="F30" s="724"/>
      <c r="G30" s="67"/>
      <c r="H30" s="725">
        <f>+'I-1'!J13</f>
        <v>107.50800000000001</v>
      </c>
      <c r="J30" s="815" t="s">
        <v>697</v>
      </c>
    </row>
    <row r="31" spans="1:26">
      <c r="D31" s="726"/>
      <c r="E31" s="67"/>
      <c r="F31" s="67"/>
      <c r="G31" s="67"/>
      <c r="H31" s="852">
        <f>+H30/H29</f>
        <v>1.0337307692307693</v>
      </c>
      <c r="J31" s="774" t="s">
        <v>658</v>
      </c>
    </row>
    <row r="32" spans="1:26">
      <c r="D32" s="729" t="s">
        <v>624</v>
      </c>
      <c r="E32" s="727"/>
      <c r="F32" s="727"/>
      <c r="G32" s="727"/>
      <c r="H32" s="728"/>
      <c r="J32" s="774" t="s">
        <v>656</v>
      </c>
      <c r="K32" s="774"/>
      <c r="L32" s="776">
        <f>I11/H18</f>
        <v>1.0134615384615384</v>
      </c>
      <c r="M32" s="777" t="s">
        <v>460</v>
      </c>
    </row>
    <row r="33" spans="1:13" ht="16.5" customHeight="1">
      <c r="J33" s="774"/>
      <c r="K33" s="778" t="s">
        <v>657</v>
      </c>
      <c r="L33" s="776">
        <f>1+J7</f>
        <v>1.02</v>
      </c>
      <c r="M33" s="774" t="s">
        <v>655</v>
      </c>
    </row>
    <row r="34" spans="1:13">
      <c r="A34" s="686"/>
      <c r="J34" s="774"/>
      <c r="K34" s="774"/>
      <c r="L34" s="779">
        <f>+L33*L32</f>
        <v>1.0337307692307691</v>
      </c>
      <c r="M34" s="774"/>
    </row>
    <row r="35" spans="1:13">
      <c r="A35" s="680" t="s">
        <v>588</v>
      </c>
    </row>
    <row r="37" spans="1:13">
      <c r="A37" s="679" t="s">
        <v>589</v>
      </c>
    </row>
    <row r="38" spans="1:13">
      <c r="A38" s="686" t="s">
        <v>590</v>
      </c>
    </row>
    <row r="39" spans="1:13">
      <c r="A39" s="686" t="s">
        <v>341</v>
      </c>
    </row>
    <row r="40" spans="1:13">
      <c r="J40" s="782" t="s">
        <v>667</v>
      </c>
    </row>
    <row r="41" spans="1:13">
      <c r="G41"/>
      <c r="H41"/>
      <c r="I41"/>
      <c r="J41" s="774" t="s">
        <v>666</v>
      </c>
    </row>
    <row r="42" spans="1:13">
      <c r="J42" s="774" t="s">
        <v>669</v>
      </c>
    </row>
    <row r="43" spans="1:13">
      <c r="J43" s="774" t="s">
        <v>670</v>
      </c>
    </row>
  </sheetData>
  <sheetProtection formatColumns="0" formatRows="0"/>
  <phoneticPr fontId="10" type="noConversion"/>
  <pageMargins left="0.37" right="0.26" top="1" bottom="1" header="0.5" footer="0.5"/>
  <pageSetup paperSize="9" scale="65" orientation="landscape" r:id="rId1"/>
  <headerFooter alignWithMargins="0">
    <oddFooter>&amp;L&amp;8File: &amp;F
&amp;D&amp;C&amp;8Worksheet: &amp;A&amp;R&amp;8Page &amp;P of &amp;N</oddFooter>
  </headerFooter>
  <drawing r:id="rId2"/>
</worksheet>
</file>

<file path=xl/worksheets/sheet40.xml><?xml version="1.0" encoding="utf-8"?>
<worksheet xmlns="http://schemas.openxmlformats.org/spreadsheetml/2006/main" xmlns:r="http://schemas.openxmlformats.org/officeDocument/2006/relationships">
  <sheetPr codeName="Sheet83" enableFormatConditionsCalculation="0">
    <tabColor indexed="57"/>
    <pageSetUpPr fitToPage="1"/>
  </sheetPr>
  <dimension ref="A1:T239"/>
  <sheetViews>
    <sheetView showGridLines="0" topLeftCell="A181" zoomScaleNormal="100" workbookViewId="0">
      <selection activeCell="J188" sqref="J188"/>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27</v>
      </c>
      <c r="M1" s="282"/>
      <c r="N1" s="280"/>
      <c r="O1" s="280"/>
      <c r="P1" s="280"/>
      <c r="Q1" s="280"/>
      <c r="R1" s="280"/>
      <c r="S1" s="280"/>
      <c r="T1" s="280"/>
    </row>
    <row r="2" spans="1:20" ht="15.75">
      <c r="A2" s="184" t="s">
        <v>121</v>
      </c>
      <c r="B2" s="74" t="str">
        <f ca="1">OFFSET(List_AllocOpexListStart,+$K$1,1)</f>
        <v>Environment</v>
      </c>
      <c r="F2" s="284"/>
      <c r="H2" s="42"/>
      <c r="I2" s="283"/>
      <c r="L2" s="282"/>
      <c r="M2" s="282"/>
    </row>
    <row r="3" spans="1:20" ht="16.5" thickBot="1">
      <c r="A3" s="184" t="s">
        <v>371</v>
      </c>
      <c r="B3" s="236" t="str">
        <f ca="1">OFFSET(List_AllocOpexListStart,+$K$1,2)</f>
        <v>Tim McCullough</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0.48699999999999999</v>
      </c>
      <c r="E8" s="285">
        <f ca="1">OFFSET(Future_AOpexStart,MATCH($K$1,'I-6 Future A'!$A$6:$A$379)+2,+'I-5 Future DA'!F$5)</f>
        <v>0.48699999999999999</v>
      </c>
      <c r="F8" s="285">
        <f ca="1">OFFSET(Future_AOpexStart,MATCH($K$1,'I-6 Future A'!$A$6:$A$379)+2,+'I-5 Future DA'!G$5)</f>
        <v>0.48699999999999999</v>
      </c>
      <c r="G8" s="285">
        <f ca="1">OFFSET(Future_AOpexStart,MATCH($K$1,'I-6 Future A'!$A$6:$A$379)+2,+'I-5 Future DA'!H$5)</f>
        <v>0.48699999999999999</v>
      </c>
      <c r="H8" s="285">
        <f ca="1">OFFSET(Future_AOpexStart,MATCH($K$1,'I-6 Future A'!$A$6:$A$379)+2,+'I-5 Future DA'!I$5)</f>
        <v>0.48699999999999999</v>
      </c>
      <c r="I8" s="285">
        <f ca="1">OFFSET(Future_AOpexStart,MATCH($K$1,'I-6 Future A'!$A$6:$A$379)+2,+'I-5 Future DA'!J$5)</f>
        <v>0.48699999999999999</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1.7000000000000001E-2</v>
      </c>
      <c r="E9" s="285">
        <f ca="1">OFFSET(Future_AOpexStart,MATCH($K$1,'I-6 Future A'!$A$6:$A$379)+3,+'I-5 Future DA'!F$5)</f>
        <v>1.7000000000000001E-2</v>
      </c>
      <c r="F9" s="285">
        <f ca="1">OFFSET(Future_AOpexStart,MATCH($K$1,'I-6 Future A'!$A$6:$A$379)+3,+'I-5 Future DA'!G$5)</f>
        <v>1.7000000000000001E-2</v>
      </c>
      <c r="G9" s="285">
        <f ca="1">OFFSET(Future_AOpexStart,MATCH($K$1,'I-6 Future A'!$A$6:$A$379)+3,+'I-5 Future DA'!H$5)</f>
        <v>1.7000000000000001E-2</v>
      </c>
      <c r="H9" s="285">
        <f ca="1">OFFSET(Future_AOpexStart,MATCH($K$1,'I-6 Future A'!$A$6:$A$379)+3,+'I-5 Future DA'!I$5)</f>
        <v>1.7000000000000001E-2</v>
      </c>
      <c r="I9" s="285">
        <f ca="1">OFFSET(Future_AOpexStart,MATCH($K$1,'I-6 Future A'!$A$6:$A$379)+3,+'I-5 Future DA'!J$5)</f>
        <v>1.7000000000000001E-2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-5.0000000000000001E-3</v>
      </c>
      <c r="E10" s="285">
        <f ca="1">OFFSET(Future_AOpexStart,MATCH($K$1,'I-6 Future A'!$A$6:$A$379)+4,+'I-5 Future DA'!F$5)</f>
        <v>-5.0000000000000001E-3</v>
      </c>
      <c r="F10" s="285">
        <f ca="1">OFFSET(Future_AOpexStart,MATCH($K$1,'I-6 Future A'!$A$6:$A$379)+4,+'I-5 Future DA'!G$5)</f>
        <v>-5.0000000000000001E-3</v>
      </c>
      <c r="G10" s="285">
        <f ca="1">OFFSET(Future_AOpexStart,MATCH($K$1,'I-6 Future A'!$A$6:$A$379)+4,+'I-5 Future DA'!H$5)</f>
        <v>-5.0000000000000001E-3</v>
      </c>
      <c r="H10" s="285">
        <f ca="1">OFFSET(Future_AOpexStart,MATCH($K$1,'I-6 Future A'!$A$6:$A$379)+4,+'I-5 Future DA'!I$5)</f>
        <v>-5.0000000000000001E-3</v>
      </c>
      <c r="I10" s="285">
        <f ca="1">OFFSET(Future_AOpexStart,MATCH($K$1,'I-6 Future A'!$A$6:$A$379)+4,+'I-5 Future DA'!J$5)</f>
        <v>-5.0000000000000001E-3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0.106</v>
      </c>
      <c r="E11" s="285">
        <f ca="1">OFFSET(Future_AOpexStart,MATCH($K$1,'I-6 Future A'!$A$6:$A$379)+5,+'I-5 Future DA'!F$5)</f>
        <v>0.106</v>
      </c>
      <c r="F11" s="285">
        <f ca="1">OFFSET(Future_AOpexStart,MATCH($K$1,'I-6 Future A'!$A$6:$A$379)+5,+'I-5 Future DA'!G$5)</f>
        <v>0.106</v>
      </c>
      <c r="G11" s="285">
        <f ca="1">OFFSET(Future_AOpexStart,MATCH($K$1,'I-6 Future A'!$A$6:$A$379)+5,+'I-5 Future DA'!H$5)</f>
        <v>0.106</v>
      </c>
      <c r="H11" s="285">
        <f ca="1">OFFSET(Future_AOpexStart,MATCH($K$1,'I-6 Future A'!$A$6:$A$379)+5,+'I-5 Future DA'!I$5)</f>
        <v>0.106</v>
      </c>
      <c r="I11" s="285">
        <f ca="1">OFFSET(Future_AOpexStart,MATCH($K$1,'I-6 Future A'!$A$6:$A$379)+5,+'I-5 Future DA'!J$5)</f>
        <v>0.106</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0.60499999999999998</v>
      </c>
      <c r="E14" s="287">
        <f t="shared" ca="1" si="0"/>
        <v>0.60499999999999998</v>
      </c>
      <c r="F14" s="287">
        <f t="shared" ca="1" si="0"/>
        <v>0.60499999999999998</v>
      </c>
      <c r="G14" s="287">
        <f t="shared" ca="1" si="0"/>
        <v>0.60499999999999998</v>
      </c>
      <c r="H14" s="287">
        <f t="shared" ca="1" si="0"/>
        <v>0.60499999999999998</v>
      </c>
      <c r="I14" s="287">
        <f t="shared" ca="1" si="0"/>
        <v>0.60499999999999998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+'A-27'!B8+'A-27'!B19</f>
        <v>0</v>
      </c>
      <c r="C30" s="285">
        <f ca="1">+'A-27'!C8+'A-27'!C19</f>
        <v>0</v>
      </c>
      <c r="D30" s="285">
        <f ca="1">+'A-27'!D8+'A-27'!D19</f>
        <v>0.48699999999999999</v>
      </c>
      <c r="E30" s="285">
        <f ca="1">+'A-27'!E8+'A-27'!E19</f>
        <v>0.48699999999999999</v>
      </c>
      <c r="F30" s="285">
        <f ca="1">+'A-27'!F8+'A-27'!F19</f>
        <v>0.48699999999999999</v>
      </c>
      <c r="G30" s="285">
        <f ca="1">+'A-27'!G8+'A-27'!G19</f>
        <v>0.48699999999999999</v>
      </c>
      <c r="H30" s="285">
        <f ca="1">+'A-27'!H8+'A-27'!H19</f>
        <v>0.48699999999999999</v>
      </c>
      <c r="I30" s="285">
        <f ca="1">+'A-27'!I8+'A-27'!I19</f>
        <v>0.48699999999999999</v>
      </c>
      <c r="J30" s="42"/>
      <c r="K30" s="21"/>
      <c r="L30" s="21"/>
    </row>
    <row r="31" spans="1:12" outlineLevel="2">
      <c r="A31" s="61" t="s">
        <v>69</v>
      </c>
      <c r="B31" s="285">
        <f ca="1">+'A-27'!B9+'A-27'!B20</f>
        <v>0</v>
      </c>
      <c r="C31" s="285">
        <f ca="1">+'A-27'!C9+'A-27'!C20</f>
        <v>0</v>
      </c>
      <c r="D31" s="285">
        <f ca="1">+'A-27'!D9+'A-27'!D20</f>
        <v>1.7000000000000001E-2</v>
      </c>
      <c r="E31" s="285">
        <f ca="1">+'A-27'!E9+'A-27'!E20</f>
        <v>1.7000000000000001E-2</v>
      </c>
      <c r="F31" s="285">
        <f ca="1">+'A-27'!F9+'A-27'!F20</f>
        <v>1.7000000000000001E-2</v>
      </c>
      <c r="G31" s="285">
        <f ca="1">+'A-27'!G9+'A-27'!G20</f>
        <v>1.7000000000000001E-2</v>
      </c>
      <c r="H31" s="285">
        <f ca="1">+'A-27'!H9+'A-27'!H20</f>
        <v>1.7000000000000001E-2</v>
      </c>
      <c r="I31" s="285">
        <f ca="1">+'A-27'!I9+'A-27'!I20</f>
        <v>1.7000000000000001E-2</v>
      </c>
      <c r="J31" s="42"/>
      <c r="K31" s="21"/>
      <c r="L31" s="21"/>
    </row>
    <row r="32" spans="1:12" s="759" customFormat="1" outlineLevel="2">
      <c r="A32" s="61" t="s">
        <v>646</v>
      </c>
      <c r="B32" s="285">
        <f ca="1">+'A-27'!B10+'A-27'!B21</f>
        <v>0</v>
      </c>
      <c r="C32" s="285">
        <f ca="1">+'A-27'!C10+'A-27'!C21</f>
        <v>0</v>
      </c>
      <c r="D32" s="285">
        <f ca="1">+'A-27'!D10+'A-27'!D21</f>
        <v>-5.0000000000000001E-3</v>
      </c>
      <c r="E32" s="285">
        <f ca="1">+'A-27'!E10+'A-27'!E21</f>
        <v>-5.0000000000000001E-3</v>
      </c>
      <c r="F32" s="285">
        <f ca="1">+'A-27'!F10+'A-27'!F21</f>
        <v>-5.0000000000000001E-3</v>
      </c>
      <c r="G32" s="285">
        <f ca="1">+'A-27'!G10+'A-27'!G21</f>
        <v>-5.0000000000000001E-3</v>
      </c>
      <c r="H32" s="285">
        <f ca="1">+'A-27'!H10+'A-27'!H21</f>
        <v>-5.0000000000000001E-3</v>
      </c>
      <c r="I32" s="285">
        <f ca="1">+'A-27'!I10+'A-27'!I21</f>
        <v>-5.0000000000000001E-3</v>
      </c>
      <c r="J32" s="42"/>
      <c r="K32" s="732"/>
      <c r="L32" s="732"/>
    </row>
    <row r="33" spans="1:12" outlineLevel="2">
      <c r="A33" s="61" t="s">
        <v>647</v>
      </c>
      <c r="B33" s="285">
        <f ca="1">+'A-27'!B11+'A-27'!B22</f>
        <v>0</v>
      </c>
      <c r="C33" s="285">
        <f ca="1">+'A-27'!C11+'A-27'!C22</f>
        <v>0</v>
      </c>
      <c r="D33" s="285">
        <f ca="1">+'A-27'!D11+'A-27'!D22</f>
        <v>0.106</v>
      </c>
      <c r="E33" s="285">
        <f ca="1">+'A-27'!E11+'A-27'!E22</f>
        <v>0.106</v>
      </c>
      <c r="F33" s="285">
        <f ca="1">+'A-27'!F11+'A-27'!F22</f>
        <v>0.106</v>
      </c>
      <c r="G33" s="285">
        <f ca="1">+'A-27'!G11+'A-27'!G22</f>
        <v>0.106</v>
      </c>
      <c r="H33" s="285">
        <f ca="1">+'A-27'!H11+'A-27'!H22</f>
        <v>0.106</v>
      </c>
      <c r="I33" s="285">
        <f ca="1">+'A-27'!I11+'A-27'!I22</f>
        <v>0.106</v>
      </c>
      <c r="J33" s="42"/>
      <c r="K33" s="21"/>
      <c r="L33" s="21"/>
    </row>
    <row r="34" spans="1:12" s="759" customFormat="1" outlineLevel="2">
      <c r="A34" s="61" t="s">
        <v>575</v>
      </c>
      <c r="B34" s="285">
        <f ca="1">+'A-27'!B12+'A-27'!B23</f>
        <v>0</v>
      </c>
      <c r="C34" s="285">
        <f ca="1">+'A-27'!C12+'A-27'!C23</f>
        <v>0</v>
      </c>
      <c r="D34" s="285">
        <f ca="1">+'A-27'!D12+'A-27'!D23</f>
        <v>0</v>
      </c>
      <c r="E34" s="285">
        <f ca="1">+'A-27'!E12+'A-27'!E23</f>
        <v>0</v>
      </c>
      <c r="F34" s="285">
        <f ca="1">+'A-27'!F12+'A-27'!F23</f>
        <v>0</v>
      </c>
      <c r="G34" s="285">
        <f ca="1">+'A-27'!G12+'A-27'!G23</f>
        <v>0</v>
      </c>
      <c r="H34" s="285">
        <f ca="1">+'A-27'!H12+'A-27'!H23</f>
        <v>0</v>
      </c>
      <c r="I34" s="285">
        <f ca="1">+'A-27'!I12+'A-27'!I23</f>
        <v>0</v>
      </c>
      <c r="J34" s="42"/>
      <c r="K34" s="732"/>
      <c r="L34" s="732"/>
    </row>
    <row r="35" spans="1:12" ht="13.5" outlineLevel="2" thickBot="1">
      <c r="A35" s="83" t="s">
        <v>70</v>
      </c>
      <c r="B35" s="285">
        <f ca="1">+'A-27'!B13+'A-27'!B24</f>
        <v>0</v>
      </c>
      <c r="C35" s="285">
        <f ca="1">+'A-27'!C13+'A-27'!C24</f>
        <v>0</v>
      </c>
      <c r="D35" s="285">
        <f ca="1">+'A-27'!D13+'A-27'!D24</f>
        <v>0</v>
      </c>
      <c r="E35" s="285">
        <f ca="1">+'A-27'!E13+'A-27'!E24</f>
        <v>0</v>
      </c>
      <c r="F35" s="285">
        <f ca="1">+'A-27'!F13+'A-27'!F24</f>
        <v>0</v>
      </c>
      <c r="G35" s="285">
        <f ca="1">+'A-27'!G13+'A-27'!G24</f>
        <v>0</v>
      </c>
      <c r="H35" s="285">
        <f ca="1">+'A-27'!H13+'A-27'!H24</f>
        <v>0</v>
      </c>
      <c r="I35" s="285">
        <f ca="1">+'A-27'!I13+'A-27'!I24</f>
        <v>0</v>
      </c>
      <c r="J35" s="93"/>
      <c r="K35" s="21"/>
      <c r="L35" s="21"/>
    </row>
    <row r="36" spans="1:12" s="87" customFormat="1" ht="20.25" customHeight="1" thickBot="1">
      <c r="A36" s="94" t="s">
        <v>128</v>
      </c>
      <c r="B36" s="294">
        <f t="shared" ref="B36:I36" ca="1" si="7">SUM(B30:B35)</f>
        <v>0</v>
      </c>
      <c r="C36" s="294">
        <f t="shared" ca="1" si="7"/>
        <v>0</v>
      </c>
      <c r="D36" s="294">
        <f t="shared" ca="1" si="7"/>
        <v>0.60499999999999998</v>
      </c>
      <c r="E36" s="294">
        <f t="shared" ca="1" si="7"/>
        <v>0.60499999999999998</v>
      </c>
      <c r="F36" s="294">
        <f t="shared" ca="1" si="7"/>
        <v>0.60499999999999998</v>
      </c>
      <c r="G36" s="294">
        <f t="shared" ca="1" si="7"/>
        <v>0.60499999999999998</v>
      </c>
      <c r="H36" s="294">
        <f t="shared" ca="1" si="7"/>
        <v>0.60499999999999998</v>
      </c>
      <c r="I36" s="294">
        <f t="shared" ca="1" si="7"/>
        <v>0.60499999999999998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5.1670496829615041E-3</v>
      </c>
      <c r="F42" s="285">
        <f t="shared" ca="1" si="8"/>
        <v>9.9547646251989218E-3</v>
      </c>
      <c r="G42" s="285">
        <f t="shared" ca="1" si="8"/>
        <v>1.4687367681715663E-2</v>
      </c>
      <c r="H42" s="285">
        <f t="shared" ca="1" si="8"/>
        <v>1.9821861896586902E-2</v>
      </c>
      <c r="I42" s="285">
        <f t="shared" ca="1" si="8"/>
        <v>2.4525097024128088E-2</v>
      </c>
      <c r="K42" s="63"/>
      <c r="L42" s="63"/>
    </row>
    <row r="43" spans="1:12" outlineLevel="1">
      <c r="A43" s="61" t="s">
        <v>69</v>
      </c>
      <c r="B43" s="82"/>
      <c r="C43" s="285">
        <f t="shared" ca="1" si="8"/>
        <v>0</v>
      </c>
      <c r="D43" s="285">
        <f t="shared" ca="1" si="8"/>
        <v>0</v>
      </c>
      <c r="E43" s="285">
        <f t="shared" ca="1" si="8"/>
        <v>1.8036929078099707E-4</v>
      </c>
      <c r="F43" s="285">
        <f t="shared" ca="1" si="8"/>
        <v>3.4749691710139974E-4</v>
      </c>
      <c r="G43" s="285">
        <f t="shared" ca="1" si="8"/>
        <v>5.1270071989561864E-4</v>
      </c>
      <c r="H43" s="285">
        <f t="shared" ca="1" si="8"/>
        <v>6.9193357749892687E-4</v>
      </c>
      <c r="I43" s="285">
        <f t="shared" ca="1" si="8"/>
        <v>8.5611221644800309E-4</v>
      </c>
      <c r="K43" s="42"/>
      <c r="L43" s="21"/>
    </row>
    <row r="44" spans="1:12" s="759" customFormat="1" outlineLevel="1">
      <c r="A44" s="61" t="s">
        <v>646</v>
      </c>
      <c r="B44" s="82"/>
      <c r="C44" s="285">
        <f t="shared" ref="C44:I44" ca="1" si="9">+C100</f>
        <v>0</v>
      </c>
      <c r="D44" s="285">
        <f t="shared" ca="1" si="9"/>
        <v>0</v>
      </c>
      <c r="E44" s="285">
        <f t="shared" ca="1" si="9"/>
        <v>-5.3049791406175605E-5</v>
      </c>
      <c r="F44" s="285">
        <f t="shared" ca="1" si="9"/>
        <v>-1.0220497561805875E-4</v>
      </c>
      <c r="G44" s="285">
        <f t="shared" ca="1" si="9"/>
        <v>-1.507943293810643E-4</v>
      </c>
      <c r="H44" s="285">
        <f t="shared" ca="1" si="9"/>
        <v>-2.0350987573497848E-4</v>
      </c>
      <c r="I44" s="285">
        <f t="shared" ca="1" si="9"/>
        <v>-2.5179771072000092E-4</v>
      </c>
      <c r="K44" s="42"/>
      <c r="L44" s="732"/>
    </row>
    <row r="45" spans="1:12" outlineLevel="1">
      <c r="A45" s="61" t="s">
        <v>647</v>
      </c>
      <c r="B45" s="82"/>
      <c r="C45" s="285">
        <f t="shared" ref="C45:I45" ca="1" si="10">+C101</f>
        <v>0</v>
      </c>
      <c r="D45" s="285">
        <f t="shared" ca="1" si="10"/>
        <v>0</v>
      </c>
      <c r="E45" s="285">
        <f t="shared" ca="1" si="10"/>
        <v>1.1246555778109228E-3</v>
      </c>
      <c r="F45" s="285">
        <f t="shared" ca="1" si="10"/>
        <v>2.1667454831028454E-3</v>
      </c>
      <c r="G45" s="285">
        <f t="shared" ca="1" si="10"/>
        <v>3.1968397828785631E-3</v>
      </c>
      <c r="H45" s="285">
        <f t="shared" ca="1" si="10"/>
        <v>4.3144093655815433E-3</v>
      </c>
      <c r="I45" s="285">
        <f t="shared" ca="1" si="10"/>
        <v>5.3381114672640187E-3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6.4190247601472487E-3</v>
      </c>
      <c r="F48" s="294">
        <f t="shared" ca="1" si="13"/>
        <v>1.2366802049785108E-2</v>
      </c>
      <c r="G48" s="294">
        <f t="shared" ca="1" si="13"/>
        <v>1.824611385510878E-2</v>
      </c>
      <c r="H48" s="294">
        <f t="shared" ca="1" si="13"/>
        <v>2.4624694963932391E-2</v>
      </c>
      <c r="I48" s="294">
        <f t="shared" ca="1" si="13"/>
        <v>3.0467522997120109E-2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1.0560903770386881E-2</v>
      </c>
      <c r="F53" s="285">
        <f t="shared" ca="1" si="14"/>
        <v>2.1556096777797747E-2</v>
      </c>
      <c r="G53" s="285">
        <f t="shared" ca="1" si="14"/>
        <v>3.3608985346960364E-2</v>
      </c>
      <c r="H53" s="285">
        <f t="shared" ca="1" si="14"/>
        <v>4.6192714048826161E-2</v>
      </c>
      <c r="I53" s="285">
        <f t="shared" ca="1" si="14"/>
        <v>5.9254320756013924E-2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-2.5265248957030338E-5</v>
      </c>
      <c r="F55" s="285">
        <f t="shared" ca="1" si="15"/>
        <v>-5.1149604880569651E-5</v>
      </c>
      <c r="G55" s="285">
        <f t="shared" ca="1" si="15"/>
        <v>-9.8458592534840649E-5</v>
      </c>
      <c r="H55" s="285">
        <f t="shared" ca="1" si="15"/>
        <v>-1.551475115112873E-4</v>
      </c>
      <c r="I55" s="285">
        <f t="shared" ca="1" si="15"/>
        <v>-2.2419207056852513E-4</v>
      </c>
      <c r="K55" s="42"/>
      <c r="L55" s="732"/>
    </row>
    <row r="56" spans="1:12" outlineLevel="1">
      <c r="A56" s="61" t="s">
        <v>647</v>
      </c>
      <c r="B56" s="285"/>
      <c r="C56" s="285">
        <f t="shared" ref="C56:I56" ca="1" si="16">+C137</f>
        <v>0</v>
      </c>
      <c r="D56" s="285">
        <f t="shared" ca="1" si="16"/>
        <v>0</v>
      </c>
      <c r="E56" s="285">
        <f t="shared" ca="1" si="16"/>
        <v>5.356232778890432E-4</v>
      </c>
      <c r="F56" s="285">
        <f t="shared" ca="1" si="16"/>
        <v>1.0843716234680766E-3</v>
      </c>
      <c r="G56" s="285">
        <f t="shared" ca="1" si="16"/>
        <v>2.0873221617386216E-3</v>
      </c>
      <c r="H56" s="285">
        <f t="shared" ca="1" si="16"/>
        <v>3.2891272440392907E-3</v>
      </c>
      <c r="I56" s="285">
        <f t="shared" ca="1" si="16"/>
        <v>4.7528718960527325E-3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1.1071261799318895E-2</v>
      </c>
      <c r="F59" s="287">
        <f t="shared" ca="1" si="19"/>
        <v>2.2589318796385253E-2</v>
      </c>
      <c r="G59" s="287">
        <f t="shared" ca="1" si="19"/>
        <v>3.5597848916164146E-2</v>
      </c>
      <c r="H59" s="287">
        <f t="shared" ca="1" si="19"/>
        <v>4.9326693781354167E-2</v>
      </c>
      <c r="I59" s="287">
        <f t="shared" ca="1" si="19"/>
        <v>6.3783000581498134E-2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0.48699999999999999</v>
      </c>
      <c r="E64" s="285">
        <f t="shared" ca="1" si="20"/>
        <v>0.50272795345334842</v>
      </c>
      <c r="F64" s="285">
        <f t="shared" ca="1" si="20"/>
        <v>0.51851086140299663</v>
      </c>
      <c r="G64" s="285">
        <f t="shared" ca="1" si="20"/>
        <v>0.53529635302867595</v>
      </c>
      <c r="H64" s="285">
        <f t="shared" ca="1" si="20"/>
        <v>0.55301457594541303</v>
      </c>
      <c r="I64" s="285">
        <f t="shared" ca="1" si="20"/>
        <v>0.57077941778014196</v>
      </c>
      <c r="K64" s="63"/>
      <c r="L64" s="63"/>
    </row>
    <row r="65" spans="1:20" ht="12.75" customHeight="1" outlineLevel="1">
      <c r="A65" s="61" t="s">
        <v>69</v>
      </c>
      <c r="B65" s="285">
        <f t="shared" ca="1" si="20"/>
        <v>0</v>
      </c>
      <c r="C65" s="285">
        <f t="shared" ca="1" si="20"/>
        <v>0</v>
      </c>
      <c r="D65" s="285">
        <f t="shared" ca="1" si="20"/>
        <v>1.7000000000000001E-2</v>
      </c>
      <c r="E65" s="285">
        <f t="shared" ca="1" si="20"/>
        <v>1.7180369290780997E-2</v>
      </c>
      <c r="F65" s="285">
        <f t="shared" ca="1" si="20"/>
        <v>1.7347496917101402E-2</v>
      </c>
      <c r="G65" s="285">
        <f t="shared" ca="1" si="20"/>
        <v>1.7512700719895621E-2</v>
      </c>
      <c r="H65" s="285">
        <f t="shared" ca="1" si="20"/>
        <v>1.7691933577498927E-2</v>
      </c>
      <c r="I65" s="285">
        <f t="shared" ca="1" si="20"/>
        <v>1.7856112216448006E-2</v>
      </c>
      <c r="K65" s="42"/>
      <c r="L65" s="21"/>
    </row>
    <row r="66" spans="1:20" s="759" customFormat="1" ht="12.75" customHeight="1" outlineLevel="1">
      <c r="A66" s="61" t="s">
        <v>646</v>
      </c>
      <c r="B66" s="285">
        <f t="shared" ref="B66:I66" ca="1" si="21">+B44+B32+B55</f>
        <v>0</v>
      </c>
      <c r="C66" s="285">
        <f t="shared" ca="1" si="21"/>
        <v>0</v>
      </c>
      <c r="D66" s="285">
        <f t="shared" ca="1" si="21"/>
        <v>-5.0000000000000001E-3</v>
      </c>
      <c r="E66" s="285">
        <f t="shared" ca="1" si="21"/>
        <v>-5.0783150403632057E-3</v>
      </c>
      <c r="F66" s="285">
        <f t="shared" ca="1" si="21"/>
        <v>-5.1533545804986281E-3</v>
      </c>
      <c r="G66" s="285">
        <f t="shared" ca="1" si="21"/>
        <v>-5.249252921915905E-3</v>
      </c>
      <c r="H66" s="285">
        <f t="shared" ca="1" si="21"/>
        <v>-5.3586573872462656E-3</v>
      </c>
      <c r="I66" s="285">
        <f t="shared" ca="1" si="21"/>
        <v>-5.4759897812885257E-3</v>
      </c>
      <c r="K66" s="42"/>
      <c r="L66" s="732"/>
    </row>
    <row r="67" spans="1:20" ht="12.75" customHeight="1" outlineLevel="1">
      <c r="A67" s="61" t="s">
        <v>647</v>
      </c>
      <c r="B67" s="285">
        <f t="shared" ref="B67:I67" ca="1" si="22">+B45+B33+B56</f>
        <v>0</v>
      </c>
      <c r="C67" s="285">
        <f t="shared" ca="1" si="22"/>
        <v>0</v>
      </c>
      <c r="D67" s="285">
        <f t="shared" ca="1" si="22"/>
        <v>0.106</v>
      </c>
      <c r="E67" s="285">
        <f t="shared" ca="1" si="22"/>
        <v>0.10766027885569997</v>
      </c>
      <c r="F67" s="285">
        <f t="shared" ca="1" si="22"/>
        <v>0.10925111710657093</v>
      </c>
      <c r="G67" s="285">
        <f t="shared" ca="1" si="22"/>
        <v>0.11128416194461718</v>
      </c>
      <c r="H67" s="285">
        <f t="shared" ca="1" si="22"/>
        <v>0.11360353660962083</v>
      </c>
      <c r="I67" s="285">
        <f t="shared" ca="1" si="22"/>
        <v>0.11609098336331676</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0.60499999999999998</v>
      </c>
      <c r="E70" s="295">
        <f t="shared" ca="1" si="25"/>
        <v>0.62249028655946625</v>
      </c>
      <c r="F70" s="295">
        <f t="shared" ca="1" si="25"/>
        <v>0.63995612084617037</v>
      </c>
      <c r="G70" s="295">
        <f t="shared" ca="1" si="25"/>
        <v>0.65884396277127288</v>
      </c>
      <c r="H70" s="295">
        <f t="shared" ca="1" si="25"/>
        <v>0.67895138874528649</v>
      </c>
      <c r="I70" s="295">
        <f t="shared" ca="1" si="25"/>
        <v>0.69925052357861828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5.1670496829615041E-3</v>
      </c>
      <c r="Q77" s="285">
        <f ca="1">IF($B77&lt;&gt;0,(+VLOOKUP($B77,$A$8:$I$13,6,FALSE))*(F77),0)</f>
        <v>9.9547646251989218E-3</v>
      </c>
      <c r="R77" s="285">
        <f ca="1">IF($B77&lt;&gt;0,(+VLOOKUP($B77,$A$8:$I$13,7,FALSE))*(G77),0)</f>
        <v>1.4687367681715663E-2</v>
      </c>
      <c r="S77" s="285">
        <f ca="1">IF($B77&lt;&gt;0,(+VLOOKUP($B77,$A$8:$I$13,8,FALSE))*(H77),0)</f>
        <v>1.9821861896586902E-2</v>
      </c>
      <c r="T77" s="285">
        <f ca="1">IF($B77&lt;&gt;0,(+VLOOKUP($B77,$A$8:$I$13,9,FALSE))*(I77),0)</f>
        <v>2.4525097024128088E-2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1.8036929078099707E-4</v>
      </c>
      <c r="Q78" s="285">
        <f ca="1">IF($B78&lt;&gt;0,(+VLOOKUP($B78,$A$8:$I$13,6,FALSE))*(F78),0)</f>
        <v>3.4749691710139974E-4</v>
      </c>
      <c r="R78" s="285">
        <f ca="1">IF($B78&lt;&gt;0,(+VLOOKUP($B78,$A$8:$I$13,7,FALSE))*(G78),0)</f>
        <v>5.1270071989561864E-4</v>
      </c>
      <c r="S78" s="285">
        <f ca="1">IF($B78&lt;&gt;0,(+VLOOKUP($B78,$A$8:$I$13,8,FALSE))*(H78),0)</f>
        <v>6.9193357749892687E-4</v>
      </c>
      <c r="T78" s="285">
        <f ca="1">IF($B78&lt;&gt;0,(+VLOOKUP($B78,$A$8:$I$13,9,FALSE))*(I78),0)</f>
        <v>8.5611221644800309E-4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-5.3049791406175605E-5</v>
      </c>
      <c r="Q79" s="285">
        <f t="shared" ref="Q79:Q80" ca="1" si="34">IF($B79&lt;&gt;0,(+VLOOKUP($B79,$A$8:$I$13,6,FALSE))*(F79),0)</f>
        <v>-1.0220497561805875E-4</v>
      </c>
      <c r="R79" s="285">
        <f t="shared" ref="R79:R80" ca="1" si="35">IF($B79&lt;&gt;0,(+VLOOKUP($B79,$A$8:$I$13,7,FALSE))*(G79),0)</f>
        <v>-1.507943293810643E-4</v>
      </c>
      <c r="S79" s="285">
        <f t="shared" ref="S79:S80" ca="1" si="36">IF($B79&lt;&gt;0,(+VLOOKUP($B79,$A$8:$I$13,8,FALSE))*(H79),0)</f>
        <v>-2.0350987573497848E-4</v>
      </c>
      <c r="T79" s="285">
        <f t="shared" ref="T79:T80" ca="1" si="37">IF($B79&lt;&gt;0,(+VLOOKUP($B79,$A$8:$I$13,9,FALSE))*(I79),0)</f>
        <v>-2.5179771072000092E-4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1.1246555778109228E-3</v>
      </c>
      <c r="Q80" s="285">
        <f t="shared" ca="1" si="34"/>
        <v>2.1667454831028454E-3</v>
      </c>
      <c r="R80" s="285">
        <f t="shared" ca="1" si="35"/>
        <v>3.1968397828785631E-3</v>
      </c>
      <c r="S80" s="285">
        <f t="shared" ca="1" si="36"/>
        <v>4.3144093655815433E-3</v>
      </c>
      <c r="T80" s="285">
        <f t="shared" ca="1" si="37"/>
        <v>5.3381114672640187E-3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6.4190247601472487E-3</v>
      </c>
      <c r="Q83" s="292">
        <f t="shared" ca="1" si="51"/>
        <v>1.2366802049785108E-2</v>
      </c>
      <c r="R83" s="292">
        <f t="shared" ca="1" si="51"/>
        <v>1.824611385510878E-2</v>
      </c>
      <c r="S83" s="292">
        <f t="shared" ca="1" si="51"/>
        <v>2.4624694963932391E-2</v>
      </c>
      <c r="T83" s="292">
        <f t="shared" ca="1" si="51"/>
        <v>3.0467522997120109E-2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5.1670496829615041E-3</v>
      </c>
      <c r="F98" s="285">
        <f t="shared" ca="1" si="54"/>
        <v>9.9547646251989218E-3</v>
      </c>
      <c r="G98" s="285">
        <f t="shared" ca="1" si="54"/>
        <v>1.4687367681715663E-2</v>
      </c>
      <c r="H98" s="285">
        <f t="shared" ca="1" si="54"/>
        <v>1.9821861896586902E-2</v>
      </c>
      <c r="I98" s="285">
        <f t="shared" ca="1" si="54"/>
        <v>2.4525097024128088E-2</v>
      </c>
    </row>
    <row r="99" spans="1:20" outlineLevel="1">
      <c r="A99" s="61" t="s">
        <v>69</v>
      </c>
      <c r="B99" s="119"/>
      <c r="C99" s="285">
        <f t="shared" ref="C99:I99" ca="1" si="55">+C9*(C87)</f>
        <v>0</v>
      </c>
      <c r="D99" s="285">
        <f t="shared" ca="1" si="55"/>
        <v>0</v>
      </c>
      <c r="E99" s="285">
        <f t="shared" ca="1" si="55"/>
        <v>1.8036929078099707E-4</v>
      </c>
      <c r="F99" s="285">
        <f t="shared" ca="1" si="55"/>
        <v>3.4749691710139974E-4</v>
      </c>
      <c r="G99" s="285">
        <f t="shared" ca="1" si="55"/>
        <v>5.1270071989561864E-4</v>
      </c>
      <c r="H99" s="285">
        <f t="shared" ca="1" si="55"/>
        <v>6.9193357749892687E-4</v>
      </c>
      <c r="I99" s="285">
        <f t="shared" ca="1" si="55"/>
        <v>8.5611221644800309E-4</v>
      </c>
    </row>
    <row r="100" spans="1:20" s="759" customFormat="1" outlineLevel="1">
      <c r="A100" s="61" t="s">
        <v>646</v>
      </c>
      <c r="B100" s="119"/>
      <c r="C100" s="285">
        <f t="shared" ref="C100:I100" ca="1" si="56">+C10*(C88)</f>
        <v>0</v>
      </c>
      <c r="D100" s="285">
        <f t="shared" ca="1" si="56"/>
        <v>0</v>
      </c>
      <c r="E100" s="285">
        <f t="shared" ca="1" si="56"/>
        <v>-5.3049791406175605E-5</v>
      </c>
      <c r="F100" s="285">
        <f t="shared" ca="1" si="56"/>
        <v>-1.0220497561805875E-4</v>
      </c>
      <c r="G100" s="285">
        <f t="shared" ca="1" si="56"/>
        <v>-1.507943293810643E-4</v>
      </c>
      <c r="H100" s="285">
        <f t="shared" ca="1" si="56"/>
        <v>-2.0350987573497848E-4</v>
      </c>
      <c r="I100" s="285">
        <f t="shared" ca="1" si="56"/>
        <v>-2.5179771072000092E-4</v>
      </c>
    </row>
    <row r="101" spans="1:20" outlineLevel="1">
      <c r="A101" s="61" t="s">
        <v>647</v>
      </c>
      <c r="B101" s="119"/>
      <c r="C101" s="285">
        <f t="shared" ref="C101:I101" ca="1" si="57">+C11*(C89)</f>
        <v>0</v>
      </c>
      <c r="D101" s="285">
        <f t="shared" ca="1" si="57"/>
        <v>0</v>
      </c>
      <c r="E101" s="285">
        <f t="shared" ca="1" si="57"/>
        <v>1.1246555778109228E-3</v>
      </c>
      <c r="F101" s="285">
        <f t="shared" ca="1" si="57"/>
        <v>2.1667454831028454E-3</v>
      </c>
      <c r="G101" s="285">
        <f t="shared" ca="1" si="57"/>
        <v>3.1968397828785631E-3</v>
      </c>
      <c r="H101" s="285">
        <f t="shared" ca="1" si="57"/>
        <v>4.3144093655815433E-3</v>
      </c>
      <c r="I101" s="285">
        <f t="shared" ca="1" si="57"/>
        <v>5.3381114672640187E-3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6.4190247601472487E-3</v>
      </c>
      <c r="F104" s="296">
        <f t="shared" ca="1" si="60"/>
        <v>1.2366802049785108E-2</v>
      </c>
      <c r="G104" s="296">
        <f t="shared" ca="1" si="60"/>
        <v>1.824611385510878E-2</v>
      </c>
      <c r="H104" s="296">
        <f t="shared" ca="1" si="60"/>
        <v>2.4624694963932391E-2</v>
      </c>
      <c r="I104" s="296">
        <f t="shared" ca="1" si="60"/>
        <v>3.0467522997120109E-2</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2.0440995123611749E-2</v>
      </c>
      <c r="G105" s="124">
        <f t="shared" ca="1" si="61"/>
        <v>3.0158865876212859E-2</v>
      </c>
      <c r="H105" s="124">
        <f t="shared" ca="1" si="61"/>
        <v>4.0701975146995688E-2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1.0560903770386881E-2</v>
      </c>
      <c r="Q113" s="285">
        <f ca="1">IF($B113&lt;&gt;0,(+VLOOKUP($B113,$A$8:$I$13,6,FALSE)+VLOOKUP($B113,$A$42:$I$47,6,FALSE))*(F113),0)</f>
        <v>2.1556096777797747E-2</v>
      </c>
      <c r="R113" s="285">
        <f ca="1">IF($B113&lt;&gt;0,(+VLOOKUP($B113,$A$8:$I$13,7,FALSE)+VLOOKUP($B113,$A$42:$I$47,7,FALSE))*(G113),0)</f>
        <v>3.3608985346960364E-2</v>
      </c>
      <c r="S113" s="285">
        <f ca="1">IF($B113&lt;&gt;0,(+VLOOKUP($B113,$A$8:$I$13,8,FALSE)+VLOOKUP($B113,$A$42:$I$47,8,FALSE))*(H113),0)</f>
        <v>4.6192714048826161E-2</v>
      </c>
      <c r="T113" s="285">
        <f ca="1">IF($B113&lt;&gt;0,(+VLOOKUP($B113,$A$8:$I$13,9,FALSE)+VLOOKUP($B113,$A$42:$I$47,9,FALSE))*(I113),0)</f>
        <v>5.9254320756013924E-2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-2.5265248957030338E-5</v>
      </c>
      <c r="Q115" s="285">
        <f t="shared" ca="1" si="68"/>
        <v>-5.1149604880569651E-5</v>
      </c>
      <c r="R115" s="285">
        <f t="shared" ca="1" si="69"/>
        <v>-9.8458592534840649E-5</v>
      </c>
      <c r="S115" s="285">
        <f t="shared" ca="1" si="70"/>
        <v>-1.551475115112873E-4</v>
      </c>
      <c r="T115" s="285">
        <f t="shared" ca="1" si="71"/>
        <v>-2.2419207056852513E-4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5.356232778890432E-4</v>
      </c>
      <c r="Q116" s="285">
        <f t="shared" ca="1" si="68"/>
        <v>1.0843716234680766E-3</v>
      </c>
      <c r="R116" s="285">
        <f t="shared" ca="1" si="69"/>
        <v>2.0873221617386216E-3</v>
      </c>
      <c r="S116" s="285">
        <f t="shared" ca="1" si="70"/>
        <v>3.2891272440392907E-3</v>
      </c>
      <c r="T116" s="285">
        <f t="shared" ca="1" si="71"/>
        <v>4.7528718960527325E-3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1.1071261799318895E-2</v>
      </c>
      <c r="Q119" s="292">
        <f t="shared" ca="1" si="72"/>
        <v>2.2589318796385253E-2</v>
      </c>
      <c r="R119" s="292">
        <f t="shared" ca="1" si="72"/>
        <v>3.5597848916164146E-2</v>
      </c>
      <c r="S119" s="292">
        <f t="shared" ca="1" si="72"/>
        <v>4.9326693781354167E-2</v>
      </c>
      <c r="T119" s="292">
        <f t="shared" ca="1" si="72"/>
        <v>6.3783000581498134E-2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1.0560903770386881E-2</v>
      </c>
      <c r="F134" s="285">
        <f t="shared" ca="1" si="75"/>
        <v>2.1556096777797747E-2</v>
      </c>
      <c r="G134" s="285">
        <f t="shared" ca="1" si="75"/>
        <v>3.3608985346960364E-2</v>
      </c>
      <c r="H134" s="285">
        <f t="shared" ca="1" si="75"/>
        <v>4.6192714048826161E-2</v>
      </c>
      <c r="I134" s="285">
        <f t="shared" ca="1" si="75"/>
        <v>5.9254320756013924E-2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-2.5265248957030338E-5</v>
      </c>
      <c r="F136" s="285">
        <f t="shared" ca="1" si="77"/>
        <v>-5.1149604880569651E-5</v>
      </c>
      <c r="G136" s="285">
        <f t="shared" ca="1" si="77"/>
        <v>-9.8458592534840649E-5</v>
      </c>
      <c r="H136" s="285">
        <f t="shared" ca="1" si="77"/>
        <v>-1.551475115112873E-4</v>
      </c>
      <c r="I136" s="285">
        <f t="shared" ca="1" si="77"/>
        <v>-2.2419207056852513E-4</v>
      </c>
    </row>
    <row r="137" spans="1:16" outlineLevel="1">
      <c r="A137" s="61" t="s">
        <v>647</v>
      </c>
      <c r="B137" s="119"/>
      <c r="C137" s="285">
        <f ca="1">(+C11+C45)*(C$125)</f>
        <v>0</v>
      </c>
      <c r="D137" s="285">
        <f t="shared" ref="D137:I137" ca="1" si="78">(+D11+D45)*(D$125)</f>
        <v>0</v>
      </c>
      <c r="E137" s="285">
        <f t="shared" ca="1" si="78"/>
        <v>5.356232778890432E-4</v>
      </c>
      <c r="F137" s="285">
        <f t="shared" ca="1" si="78"/>
        <v>1.0843716234680766E-3</v>
      </c>
      <c r="G137" s="285">
        <f t="shared" ca="1" si="78"/>
        <v>2.0873221617386216E-3</v>
      </c>
      <c r="H137" s="285">
        <f t="shared" ca="1" si="78"/>
        <v>3.2891272440392907E-3</v>
      </c>
      <c r="I137" s="285">
        <f t="shared" ca="1" si="78"/>
        <v>4.7528718960527325E-3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1.1071261799318895E-2</v>
      </c>
      <c r="F140" s="296">
        <f t="shared" ca="1" si="81"/>
        <v>2.2589318796385253E-2</v>
      </c>
      <c r="G140" s="296">
        <f t="shared" ca="1" si="81"/>
        <v>3.5597848916164146E-2</v>
      </c>
      <c r="H140" s="296">
        <f t="shared" ca="1" si="81"/>
        <v>4.9326693781354167E-2</v>
      </c>
      <c r="I140" s="296">
        <f t="shared" ca="1" si="81"/>
        <v>6.3783000581498134E-2</v>
      </c>
    </row>
    <row r="141" spans="1:16" ht="13.5" outlineLevel="1" thickBot="1">
      <c r="A141" s="122" t="s">
        <v>148</v>
      </c>
      <c r="B141" s="126"/>
      <c r="C141" s="124">
        <f t="shared" ref="C141:I141" ca="1" si="82">IF((+C36+C48)&lt;&gt;0,+C140/(+C36+C48),0)</f>
        <v>0</v>
      </c>
      <c r="D141" s="124">
        <f t="shared" ca="1" si="82"/>
        <v>0</v>
      </c>
      <c r="E141" s="124">
        <f t="shared" ca="1" si="82"/>
        <v>1.8107486602436072E-2</v>
      </c>
      <c r="F141" s="124">
        <f t="shared" ca="1" si="82"/>
        <v>3.658978539400573E-2</v>
      </c>
      <c r="G141" s="124">
        <f t="shared" ca="1" si="82"/>
        <v>5.7116840562346255E-2</v>
      </c>
      <c r="H141" s="124">
        <f t="shared" ca="1" si="82"/>
        <v>7.8343010011987874E-2</v>
      </c>
      <c r="I141" s="124">
        <f t="shared" ca="1" si="82"/>
        <v>0.10037177081949347</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(SEM)'!$N$241:$R$246</f>
        <v>0</v>
      </c>
      <c r="F185" s="285">
        <v>0</v>
      </c>
      <c r="G185" s="285">
        <v>0</v>
      </c>
      <c r="H185" s="285">
        <v>0</v>
      </c>
      <c r="I185" s="285">
        <v>0</v>
      </c>
      <c r="J185" s="63"/>
      <c r="K185" s="63"/>
      <c r="L185" s="63"/>
    </row>
    <row r="186" spans="1:12" outlineLevel="1">
      <c r="A186" s="61" t="s">
        <v>69</v>
      </c>
      <c r="B186" s="65"/>
      <c r="C186" s="598"/>
      <c r="D186" s="285">
        <v>0</v>
      </c>
      <c r="E186" s="285">
        <v>0</v>
      </c>
      <c r="F186" s="285">
        <v>0</v>
      </c>
      <c r="G186" s="285">
        <v>0</v>
      </c>
      <c r="H186" s="285">
        <v>0</v>
      </c>
      <c r="I186" s="285">
        <v>0</v>
      </c>
      <c r="J186" s="42"/>
      <c r="K186" s="21"/>
      <c r="L186" s="21"/>
    </row>
    <row r="187" spans="1:12" s="759" customFormat="1" outlineLevel="1">
      <c r="A187" s="61" t="s">
        <v>646</v>
      </c>
      <c r="B187" s="65"/>
      <c r="C187" s="598"/>
      <c r="D187" s="285">
        <v>0</v>
      </c>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v>0</v>
      </c>
      <c r="E189" s="285">
        <v>0</v>
      </c>
      <c r="F189" s="285">
        <v>0</v>
      </c>
      <c r="G189" s="285">
        <v>0</v>
      </c>
      <c r="H189" s="285">
        <v>0</v>
      </c>
      <c r="I189" s="285">
        <v>0</v>
      </c>
      <c r="J189" s="42"/>
      <c r="K189" s="732"/>
      <c r="L189" s="732"/>
    </row>
    <row r="190" spans="1:12" outlineLevel="1">
      <c r="A190" s="83" t="s">
        <v>70</v>
      </c>
      <c r="B190" s="65"/>
      <c r="C190" s="65"/>
      <c r="D190" s="285">
        <v>0</v>
      </c>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0.60499999999999998</v>
      </c>
      <c r="E205" s="82">
        <f t="shared" ca="1" si="95"/>
        <v>0.60499999999999998</v>
      </c>
      <c r="F205" s="82">
        <f t="shared" ca="1" si="95"/>
        <v>0.60499999999999998</v>
      </c>
      <c r="G205" s="82">
        <f t="shared" ca="1" si="95"/>
        <v>0.60499999999999998</v>
      </c>
      <c r="H205" s="82">
        <f t="shared" ca="1" si="95"/>
        <v>0.60499999999999998</v>
      </c>
      <c r="I205" s="82">
        <f t="shared" ca="1" si="95"/>
        <v>0.60499999999999998</v>
      </c>
    </row>
    <row r="206" spans="1:9" outlineLevel="1">
      <c r="A206" t="s">
        <v>156</v>
      </c>
      <c r="B206" s="82">
        <f t="shared" ref="B206:I206" ca="1" si="96">+B36</f>
        <v>0</v>
      </c>
      <c r="C206" s="82">
        <f t="shared" ca="1" si="96"/>
        <v>0</v>
      </c>
      <c r="D206" s="82">
        <f t="shared" ca="1" si="96"/>
        <v>0.60499999999999998</v>
      </c>
      <c r="E206" s="82">
        <f t="shared" ca="1" si="96"/>
        <v>0.60499999999999998</v>
      </c>
      <c r="F206" s="82">
        <f t="shared" ca="1" si="96"/>
        <v>0.60499999999999998</v>
      </c>
      <c r="G206" s="82">
        <f t="shared" ca="1" si="96"/>
        <v>0.60499999999999998</v>
      </c>
      <c r="H206" s="82">
        <f t="shared" ca="1" si="96"/>
        <v>0.60499999999999998</v>
      </c>
      <c r="I206" s="82">
        <f t="shared" ca="1" si="96"/>
        <v>0.60499999999999998</v>
      </c>
    </row>
    <row r="207" spans="1:9" outlineLevel="1">
      <c r="A207" t="s">
        <v>157</v>
      </c>
      <c r="B207" s="82">
        <f t="shared" ref="B207:I207" ca="1" si="97">+B36+B48</f>
        <v>0</v>
      </c>
      <c r="C207" s="82">
        <f t="shared" ca="1" si="97"/>
        <v>0</v>
      </c>
      <c r="D207" s="82">
        <f t="shared" ca="1" si="97"/>
        <v>0.60499999999999998</v>
      </c>
      <c r="E207" s="82">
        <f t="shared" ca="1" si="97"/>
        <v>0.6114190247601472</v>
      </c>
      <c r="F207" s="82">
        <f t="shared" ca="1" si="97"/>
        <v>0.61736680204978511</v>
      </c>
      <c r="G207" s="82">
        <f t="shared" ca="1" si="97"/>
        <v>0.62324611385510875</v>
      </c>
      <c r="H207" s="82">
        <f t="shared" ca="1" si="97"/>
        <v>0.62962469496393236</v>
      </c>
      <c r="I207" s="82">
        <f t="shared" ca="1" si="97"/>
        <v>0.63546752299712006</v>
      </c>
    </row>
    <row r="208" spans="1:9" outlineLevel="1">
      <c r="A208" t="s">
        <v>158</v>
      </c>
      <c r="B208" s="82">
        <f t="shared" ref="B208:I208" ca="1" si="98">+B70</f>
        <v>0</v>
      </c>
      <c r="C208" s="82">
        <f t="shared" ca="1" si="98"/>
        <v>0</v>
      </c>
      <c r="D208" s="82">
        <f t="shared" ca="1" si="98"/>
        <v>0.60499999999999998</v>
      </c>
      <c r="E208" s="82">
        <f t="shared" ca="1" si="98"/>
        <v>0.62249028655946625</v>
      </c>
      <c r="F208" s="82">
        <f t="shared" ca="1" si="98"/>
        <v>0.63995612084617037</v>
      </c>
      <c r="G208" s="82">
        <f t="shared" ca="1" si="98"/>
        <v>0.65884396277127288</v>
      </c>
      <c r="H208" s="82">
        <f t="shared" ca="1" si="98"/>
        <v>0.67895138874528649</v>
      </c>
      <c r="I208" s="82">
        <f t="shared" ca="1" si="98"/>
        <v>0.69925052357861828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50" priority="1" stopIfTrue="1" operator="notEqual">
      <formula>0</formula>
    </cfRule>
  </conditionalFormatting>
  <conditionalFormatting sqref="J130 J94 J70 J59 J48 J36:J37 J14 J25">
    <cfRule type="cellIs" dxfId="249" priority="2" stopIfTrue="1" operator="equal">
      <formula>"OK"</formula>
    </cfRule>
    <cfRule type="cellIs" dxfId="248" priority="3" stopIfTrue="1" operator="equal">
      <formula>"Warning Check Escalations"</formula>
    </cfRule>
  </conditionalFormatting>
  <conditionalFormatting sqref="N120:T120 N84:T84">
    <cfRule type="cellIs" dxfId="247" priority="4" stopIfTrue="1" operator="notEqual">
      <formula>0</formula>
    </cfRule>
    <cfRule type="cellIs" dxfId="24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1.xml><?xml version="1.0" encoding="utf-8"?>
<worksheet xmlns="http://schemas.openxmlformats.org/spreadsheetml/2006/main" xmlns:r="http://schemas.openxmlformats.org/officeDocument/2006/relationships">
  <sheetPr codeName="Sheet84" enableFormatConditionsCalculation="0">
    <tabColor indexed="57"/>
    <pageSetUpPr fitToPage="1"/>
  </sheetPr>
  <dimension ref="A1:T239"/>
  <sheetViews>
    <sheetView showGridLines="0" topLeftCell="A59"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28</v>
      </c>
      <c r="M1" s="282"/>
      <c r="N1" s="280"/>
      <c r="O1" s="280"/>
      <c r="P1" s="280"/>
      <c r="Q1" s="280"/>
      <c r="R1" s="280"/>
      <c r="S1" s="280"/>
      <c r="T1" s="280"/>
    </row>
    <row r="2" spans="1:20" ht="15.75">
      <c r="A2" s="184" t="s">
        <v>121</v>
      </c>
      <c r="B2" s="74" t="str">
        <f ca="1">OFFSET(List_AllocOpexListStart,+$K$1,1)</f>
        <v xml:space="preserve">Printing </v>
      </c>
      <c r="F2" s="284"/>
      <c r="H2" s="42"/>
      <c r="I2" s="283"/>
      <c r="L2" s="282"/>
      <c r="M2" s="282"/>
    </row>
    <row r="3" spans="1:20" ht="16.5" thickBot="1">
      <c r="A3" s="184" t="s">
        <v>371</v>
      </c>
      <c r="B3" s="236" t="str">
        <f ca="1">OFFSET(List_AllocOpexListStart,+$K$1,2)</f>
        <v>Peter Chapple</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0.161</v>
      </c>
      <c r="E8" s="285">
        <f ca="1">OFFSET(Future_AOpexStart,MATCH($K$1,'I-6 Future A'!$A$6:$A$379)+2,+'I-5 Future DA'!F$5)</f>
        <v>0.161</v>
      </c>
      <c r="F8" s="285">
        <f ca="1">OFFSET(Future_AOpexStart,MATCH($K$1,'I-6 Future A'!$A$6:$A$379)+2,+'I-5 Future DA'!G$5)</f>
        <v>0.161</v>
      </c>
      <c r="G8" s="285">
        <f ca="1">OFFSET(Future_AOpexStart,MATCH($K$1,'I-6 Future A'!$A$6:$A$379)+2,+'I-5 Future DA'!H$5)</f>
        <v>0.161</v>
      </c>
      <c r="H8" s="285">
        <f ca="1">OFFSET(Future_AOpexStart,MATCH($K$1,'I-6 Future A'!$A$6:$A$379)+2,+'I-5 Future DA'!I$5)</f>
        <v>0.161</v>
      </c>
      <c r="I8" s="285">
        <f ca="1">OFFSET(Future_AOpexStart,MATCH($K$1,'I-6 Future A'!$A$6:$A$379)+2,+'I-5 Future DA'!J$5)</f>
        <v>0.161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6.0000000000000005E-2</v>
      </c>
      <c r="E9" s="285">
        <f ca="1">OFFSET(Future_AOpexStart,MATCH($K$1,'I-6 Future A'!$A$6:$A$379)+3,+'I-5 Future DA'!F$5)</f>
        <v>6.0000000000000005E-2</v>
      </c>
      <c r="F9" s="285">
        <f ca="1">OFFSET(Future_AOpexStart,MATCH($K$1,'I-6 Future A'!$A$6:$A$379)+3,+'I-5 Future DA'!G$5)</f>
        <v>6.0000000000000005E-2</v>
      </c>
      <c r="G9" s="285">
        <f ca="1">OFFSET(Future_AOpexStart,MATCH($K$1,'I-6 Future A'!$A$6:$A$379)+3,+'I-5 Future DA'!H$5)</f>
        <v>6.0000000000000005E-2</v>
      </c>
      <c r="H9" s="285">
        <f ca="1">OFFSET(Future_AOpexStart,MATCH($K$1,'I-6 Future A'!$A$6:$A$379)+3,+'I-5 Future DA'!I$5)</f>
        <v>6.0000000000000005E-2</v>
      </c>
      <c r="I9" s="285">
        <f ca="1">OFFSET(Future_AOpexStart,MATCH($K$1,'I-6 Future A'!$A$6:$A$379)+3,+'I-5 Future DA'!J$5)</f>
        <v>6.0000000000000005E-2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-0.39300000000000002</v>
      </c>
      <c r="E10" s="285">
        <f ca="1">OFFSET(Future_AOpexStart,MATCH($K$1,'I-6 Future A'!$A$6:$A$379)+4,+'I-5 Future DA'!F$5)</f>
        <v>-0.39300000000000002</v>
      </c>
      <c r="F10" s="285">
        <f ca="1">OFFSET(Future_AOpexStart,MATCH($K$1,'I-6 Future A'!$A$6:$A$379)+4,+'I-5 Future DA'!G$5)</f>
        <v>-0.39300000000000002</v>
      </c>
      <c r="G10" s="285">
        <f ca="1">OFFSET(Future_AOpexStart,MATCH($K$1,'I-6 Future A'!$A$6:$A$379)+4,+'I-5 Future DA'!H$5)</f>
        <v>-0.39300000000000002</v>
      </c>
      <c r="H10" s="285">
        <f ca="1">OFFSET(Future_AOpexStart,MATCH($K$1,'I-6 Future A'!$A$6:$A$379)+4,+'I-5 Future DA'!I$5)</f>
        <v>-0.39300000000000002</v>
      </c>
      <c r="I10" s="285">
        <f ca="1">OFFSET(Future_AOpexStart,MATCH($K$1,'I-6 Future A'!$A$6:$A$379)+4,+'I-5 Future DA'!J$5)</f>
        <v>-0.39300000000000002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0.153</v>
      </c>
      <c r="E11" s="285">
        <f ca="1">OFFSET(Future_AOpexStart,MATCH($K$1,'I-6 Future A'!$A$6:$A$379)+5,+'I-5 Future DA'!F$5)</f>
        <v>0.153</v>
      </c>
      <c r="F11" s="285">
        <f ca="1">OFFSET(Future_AOpexStart,MATCH($K$1,'I-6 Future A'!$A$6:$A$379)+5,+'I-5 Future DA'!G$5)</f>
        <v>0.153</v>
      </c>
      <c r="G11" s="285">
        <f ca="1">OFFSET(Future_AOpexStart,MATCH($K$1,'I-6 Future A'!$A$6:$A$379)+5,+'I-5 Future DA'!H$5)</f>
        <v>0.153</v>
      </c>
      <c r="H11" s="285">
        <f ca="1">OFFSET(Future_AOpexStart,MATCH($K$1,'I-6 Future A'!$A$6:$A$379)+5,+'I-5 Future DA'!I$5)</f>
        <v>0.153</v>
      </c>
      <c r="I11" s="285">
        <f ca="1">OFFSET(Future_AOpexStart,MATCH($K$1,'I-6 Future A'!$A$6:$A$379)+5,+'I-5 Future DA'!J$5)</f>
        <v>0.153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-1.9000000000000017E-2</v>
      </c>
      <c r="E14" s="287">
        <f t="shared" ca="1" si="0"/>
        <v>-1.9000000000000017E-2</v>
      </c>
      <c r="F14" s="287">
        <f t="shared" ca="1" si="0"/>
        <v>-1.9000000000000017E-2</v>
      </c>
      <c r="G14" s="287">
        <f t="shared" ca="1" si="0"/>
        <v>-1.9000000000000017E-2</v>
      </c>
      <c r="H14" s="287">
        <f t="shared" ca="1" si="0"/>
        <v>-1.9000000000000017E-2</v>
      </c>
      <c r="I14" s="287">
        <f t="shared" ca="1" si="0"/>
        <v>-1.9000000000000017E-2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+'A-28'!B8+'A-28'!B19</f>
        <v>0</v>
      </c>
      <c r="C30" s="285">
        <f ca="1">+'A-28'!C8+'A-28'!C19</f>
        <v>0</v>
      </c>
      <c r="D30" s="285">
        <f ca="1">+'A-28'!D8+'A-28'!D19</f>
        <v>0.161</v>
      </c>
      <c r="E30" s="285">
        <f ca="1">+'A-28'!E8+'A-28'!E19</f>
        <v>0.161</v>
      </c>
      <c r="F30" s="285">
        <f ca="1">+'A-28'!F8+'A-28'!F19</f>
        <v>0.161</v>
      </c>
      <c r="G30" s="285">
        <f ca="1">+'A-28'!G8+'A-28'!G19</f>
        <v>0.161</v>
      </c>
      <c r="H30" s="285">
        <f ca="1">+'A-28'!H8+'A-28'!H19</f>
        <v>0.161</v>
      </c>
      <c r="I30" s="285">
        <f ca="1">+'A-28'!I8+'A-28'!I19</f>
        <v>0.161</v>
      </c>
      <c r="J30" s="42"/>
      <c r="K30" s="21"/>
      <c r="L30" s="21"/>
    </row>
    <row r="31" spans="1:12" outlineLevel="2">
      <c r="A31" s="61" t="s">
        <v>69</v>
      </c>
      <c r="B31" s="285">
        <f ca="1">+'A-28'!B9+'A-28'!B20</f>
        <v>0</v>
      </c>
      <c r="C31" s="285">
        <f ca="1">+'A-28'!C9+'A-28'!C20</f>
        <v>0</v>
      </c>
      <c r="D31" s="285">
        <f ca="1">+'A-28'!D9+'A-28'!D20</f>
        <v>6.0000000000000005E-2</v>
      </c>
      <c r="E31" s="285">
        <f ca="1">+'A-28'!E9+'A-28'!E20</f>
        <v>6.0000000000000005E-2</v>
      </c>
      <c r="F31" s="285">
        <f ca="1">+'A-28'!F9+'A-28'!F20</f>
        <v>6.0000000000000005E-2</v>
      </c>
      <c r="G31" s="285">
        <f ca="1">+'A-28'!G9+'A-28'!G20</f>
        <v>6.0000000000000005E-2</v>
      </c>
      <c r="H31" s="285">
        <f ca="1">+'A-28'!H9+'A-28'!H20</f>
        <v>6.0000000000000005E-2</v>
      </c>
      <c r="I31" s="285">
        <f ca="1">+'A-28'!I9+'A-28'!I20</f>
        <v>6.0000000000000005E-2</v>
      </c>
      <c r="J31" s="42"/>
      <c r="K31" s="21"/>
      <c r="L31" s="21"/>
    </row>
    <row r="32" spans="1:12" s="759" customFormat="1" outlineLevel="2">
      <c r="A32" s="61" t="s">
        <v>646</v>
      </c>
      <c r="B32" s="285">
        <f ca="1">+'A-28'!B10+'A-28'!B21</f>
        <v>0</v>
      </c>
      <c r="C32" s="285">
        <f ca="1">+'A-28'!C10+'A-28'!C21</f>
        <v>0</v>
      </c>
      <c r="D32" s="285">
        <f ca="1">+'A-28'!D10+'A-28'!D21</f>
        <v>-0.39300000000000002</v>
      </c>
      <c r="E32" s="285">
        <f ca="1">+'A-28'!E10+'A-28'!E21</f>
        <v>-0.39300000000000002</v>
      </c>
      <c r="F32" s="285">
        <f ca="1">+'A-28'!F10+'A-28'!F21</f>
        <v>-0.39300000000000002</v>
      </c>
      <c r="G32" s="285">
        <f ca="1">+'A-28'!G10+'A-28'!G21</f>
        <v>-0.39300000000000002</v>
      </c>
      <c r="H32" s="285">
        <f ca="1">+'A-28'!H10+'A-28'!H21</f>
        <v>-0.39300000000000002</v>
      </c>
      <c r="I32" s="285">
        <f ca="1">+'A-28'!I10+'A-28'!I21</f>
        <v>-0.39300000000000002</v>
      </c>
      <c r="J32" s="42"/>
      <c r="K32" s="732"/>
      <c r="L32" s="732"/>
    </row>
    <row r="33" spans="1:12" outlineLevel="2">
      <c r="A33" s="61" t="s">
        <v>647</v>
      </c>
      <c r="B33" s="285">
        <f ca="1">+'A-28'!B11+'A-28'!B22</f>
        <v>0</v>
      </c>
      <c r="C33" s="285">
        <f ca="1">+'A-28'!C11+'A-28'!C22</f>
        <v>0</v>
      </c>
      <c r="D33" s="285">
        <f ca="1">+'A-28'!D11+'A-28'!D22</f>
        <v>0.153</v>
      </c>
      <c r="E33" s="285">
        <f ca="1">+'A-28'!E11+'A-28'!E22</f>
        <v>0.153</v>
      </c>
      <c r="F33" s="285">
        <f ca="1">+'A-28'!F11+'A-28'!F22</f>
        <v>0.153</v>
      </c>
      <c r="G33" s="285">
        <f ca="1">+'A-28'!G11+'A-28'!G22</f>
        <v>0.153</v>
      </c>
      <c r="H33" s="285">
        <f ca="1">+'A-28'!H11+'A-28'!H22</f>
        <v>0.153</v>
      </c>
      <c r="I33" s="285">
        <f ca="1">+'A-28'!I11+'A-28'!I22</f>
        <v>0.153</v>
      </c>
      <c r="J33" s="42"/>
      <c r="K33" s="21"/>
      <c r="L33" s="21"/>
    </row>
    <row r="34" spans="1:12" s="759" customFormat="1" outlineLevel="2">
      <c r="A34" s="61" t="s">
        <v>575</v>
      </c>
      <c r="B34" s="285">
        <f ca="1">+'A-28'!B12+'A-28'!B23</f>
        <v>0</v>
      </c>
      <c r="C34" s="285">
        <f ca="1">+'A-28'!C12+'A-28'!C23</f>
        <v>0</v>
      </c>
      <c r="D34" s="285">
        <f ca="1">+'A-28'!D12+'A-28'!D23</f>
        <v>0</v>
      </c>
      <c r="E34" s="285">
        <f ca="1">+'A-28'!E12+'A-28'!E23</f>
        <v>0</v>
      </c>
      <c r="F34" s="285">
        <f ca="1">+'A-28'!F12+'A-28'!F23</f>
        <v>0</v>
      </c>
      <c r="G34" s="285">
        <f ca="1">+'A-28'!G12+'A-28'!G23</f>
        <v>0</v>
      </c>
      <c r="H34" s="285">
        <f ca="1">+'A-28'!H12+'A-28'!H23</f>
        <v>0</v>
      </c>
      <c r="I34" s="285">
        <f ca="1">+'A-28'!I12+'A-28'!I23</f>
        <v>0</v>
      </c>
      <c r="J34" s="42"/>
      <c r="K34" s="732"/>
      <c r="L34" s="732"/>
    </row>
    <row r="35" spans="1:12" ht="13.5" outlineLevel="2" thickBot="1">
      <c r="A35" s="83" t="s">
        <v>70</v>
      </c>
      <c r="B35" s="285">
        <f ca="1">+'A-28'!B13+'A-28'!B24</f>
        <v>0</v>
      </c>
      <c r="C35" s="285">
        <f ca="1">+'A-28'!C13+'A-28'!C24</f>
        <v>0</v>
      </c>
      <c r="D35" s="285">
        <f ca="1">+'A-28'!D13+'A-28'!D24</f>
        <v>0</v>
      </c>
      <c r="E35" s="285">
        <f ca="1">+'A-28'!E13+'A-28'!E24</f>
        <v>0</v>
      </c>
      <c r="F35" s="285">
        <f ca="1">+'A-28'!F13+'A-28'!F24</f>
        <v>0</v>
      </c>
      <c r="G35" s="285">
        <f ca="1">+'A-28'!G13+'A-28'!G24</f>
        <v>0</v>
      </c>
      <c r="H35" s="285">
        <f ca="1">+'A-28'!H13+'A-28'!H24</f>
        <v>0</v>
      </c>
      <c r="I35" s="285">
        <f ca="1">+'A-28'!I13+'A-28'!I24</f>
        <v>0</v>
      </c>
      <c r="J35" s="93"/>
      <c r="K35" s="21"/>
      <c r="L35" s="21"/>
    </row>
    <row r="36" spans="1:12" s="87" customFormat="1" ht="20.25" customHeight="1" thickBot="1">
      <c r="A36" s="94" t="s">
        <v>128</v>
      </c>
      <c r="B36" s="294">
        <f t="shared" ref="B36:I36" ca="1" si="7">SUM(B30:B35)</f>
        <v>0</v>
      </c>
      <c r="C36" s="294">
        <f t="shared" ca="1" si="7"/>
        <v>0</v>
      </c>
      <c r="D36" s="294">
        <f t="shared" ca="1" si="7"/>
        <v>-1.9000000000000017E-2</v>
      </c>
      <c r="E36" s="294">
        <f t="shared" ca="1" si="7"/>
        <v>-1.9000000000000017E-2</v>
      </c>
      <c r="F36" s="294">
        <f t="shared" ca="1" si="7"/>
        <v>-1.9000000000000017E-2</v>
      </c>
      <c r="G36" s="294">
        <f t="shared" ca="1" si="7"/>
        <v>-1.9000000000000017E-2</v>
      </c>
      <c r="H36" s="294">
        <f t="shared" ca="1" si="7"/>
        <v>-1.9000000000000017E-2</v>
      </c>
      <c r="I36" s="294">
        <f t="shared" ca="1" si="7"/>
        <v>-1.9000000000000017E-2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1.7082032832788545E-3</v>
      </c>
      <c r="F42" s="285">
        <f t="shared" ca="1" si="8"/>
        <v>3.2910002149014917E-3</v>
      </c>
      <c r="G42" s="285">
        <f t="shared" ca="1" si="8"/>
        <v>4.8555774060702701E-3</v>
      </c>
      <c r="H42" s="285">
        <f t="shared" ca="1" si="8"/>
        <v>6.5530179986663072E-3</v>
      </c>
      <c r="I42" s="285">
        <f t="shared" ca="1" si="8"/>
        <v>8.1078862851840291E-3</v>
      </c>
      <c r="K42" s="63"/>
      <c r="L42" s="63"/>
    </row>
    <row r="43" spans="1:12" outlineLevel="1">
      <c r="A43" s="61" t="s">
        <v>69</v>
      </c>
      <c r="B43" s="82"/>
      <c r="C43" s="285">
        <f t="shared" ca="1" si="8"/>
        <v>0</v>
      </c>
      <c r="D43" s="285">
        <f t="shared" ca="1" si="8"/>
        <v>0</v>
      </c>
      <c r="E43" s="285">
        <f t="shared" ca="1" si="8"/>
        <v>6.3659749687410732E-4</v>
      </c>
      <c r="F43" s="285">
        <f t="shared" ca="1" si="8"/>
        <v>1.2264597074167051E-3</v>
      </c>
      <c r="G43" s="285">
        <f t="shared" ca="1" si="8"/>
        <v>1.8095319525727716E-3</v>
      </c>
      <c r="H43" s="285">
        <f t="shared" ca="1" si="8"/>
        <v>2.442118508819742E-3</v>
      </c>
      <c r="I43" s="285">
        <f t="shared" ca="1" si="8"/>
        <v>3.0215725286400113E-3</v>
      </c>
      <c r="K43" s="42"/>
      <c r="L43" s="21"/>
    </row>
    <row r="44" spans="1:12" s="759" customFormat="1" outlineLevel="1">
      <c r="A44" s="61" t="s">
        <v>646</v>
      </c>
      <c r="B44" s="82"/>
      <c r="C44" s="285">
        <f t="shared" ref="C44:I44" ca="1" si="9">+C100</f>
        <v>0</v>
      </c>
      <c r="D44" s="285">
        <f t="shared" ca="1" si="9"/>
        <v>0</v>
      </c>
      <c r="E44" s="285">
        <f t="shared" ca="1" si="9"/>
        <v>-4.1697136045254031E-3</v>
      </c>
      <c r="F44" s="285">
        <f t="shared" ca="1" si="9"/>
        <v>-8.0333110835794173E-3</v>
      </c>
      <c r="G44" s="285">
        <f t="shared" ca="1" si="9"/>
        <v>-1.1852434289351654E-2</v>
      </c>
      <c r="H44" s="285">
        <f t="shared" ca="1" si="9"/>
        <v>-1.599587623276931E-2</v>
      </c>
      <c r="I44" s="285">
        <f t="shared" ca="1" si="9"/>
        <v>-1.9791300062592072E-2</v>
      </c>
      <c r="K44" s="42"/>
      <c r="L44" s="732"/>
    </row>
    <row r="45" spans="1:12" outlineLevel="1">
      <c r="A45" s="61" t="s">
        <v>647</v>
      </c>
      <c r="B45" s="82"/>
      <c r="C45" s="285">
        <f t="shared" ref="C45:I45" ca="1" si="10">+C101</f>
        <v>0</v>
      </c>
      <c r="D45" s="285">
        <f t="shared" ca="1" si="10"/>
        <v>0</v>
      </c>
      <c r="E45" s="285">
        <f t="shared" ca="1" si="10"/>
        <v>1.6233236170289736E-3</v>
      </c>
      <c r="F45" s="285">
        <f t="shared" ca="1" si="10"/>
        <v>3.1274722539125976E-3</v>
      </c>
      <c r="G45" s="285">
        <f t="shared" ca="1" si="10"/>
        <v>4.6143064790605676E-3</v>
      </c>
      <c r="H45" s="285">
        <f t="shared" ca="1" si="10"/>
        <v>6.2274021974903409E-3</v>
      </c>
      <c r="I45" s="285">
        <f t="shared" ca="1" si="10"/>
        <v>7.7050099480320275E-3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-2.0158920734346755E-4</v>
      </c>
      <c r="F48" s="294">
        <f t="shared" ca="1" si="13"/>
        <v>-3.8837890734862244E-4</v>
      </c>
      <c r="G48" s="294">
        <f t="shared" ca="1" si="13"/>
        <v>-5.7301845164804514E-4</v>
      </c>
      <c r="H48" s="294">
        <f t="shared" ca="1" si="13"/>
        <v>-7.7333752779292029E-4</v>
      </c>
      <c r="I48" s="294">
        <f t="shared" ca="1" si="13"/>
        <v>-9.5683130073600294E-4</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3.4913870780950477E-3</v>
      </c>
      <c r="F53" s="285">
        <f t="shared" ca="1" si="14"/>
        <v>7.1263482160686606E-3</v>
      </c>
      <c r="G53" s="285">
        <f t="shared" ca="1" si="14"/>
        <v>1.1110978728666569E-2</v>
      </c>
      <c r="H53" s="285">
        <f t="shared" ca="1" si="14"/>
        <v>1.5271102591090376E-2</v>
      </c>
      <c r="I53" s="285">
        <f t="shared" ca="1" si="14"/>
        <v>1.9589210763281812E-2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-1.9858485680225848E-3</v>
      </c>
      <c r="F55" s="285">
        <f t="shared" ca="1" si="15"/>
        <v>-4.0203589436127746E-3</v>
      </c>
      <c r="G55" s="285">
        <f t="shared" ca="1" si="15"/>
        <v>-7.738845373238476E-3</v>
      </c>
      <c r="H55" s="285">
        <f t="shared" ca="1" si="15"/>
        <v>-1.2194594404787183E-2</v>
      </c>
      <c r="I55" s="285">
        <f t="shared" ca="1" si="15"/>
        <v>-1.7621496746686074E-2</v>
      </c>
      <c r="K55" s="42"/>
      <c r="L55" s="732"/>
    </row>
    <row r="56" spans="1:12" outlineLevel="1">
      <c r="A56" s="61" t="s">
        <v>647</v>
      </c>
      <c r="B56" s="285"/>
      <c r="C56" s="285">
        <f t="shared" ref="C56:I56" ca="1" si="16">+C137</f>
        <v>0</v>
      </c>
      <c r="D56" s="285">
        <f t="shared" ca="1" si="16"/>
        <v>0</v>
      </c>
      <c r="E56" s="285">
        <f t="shared" ca="1" si="16"/>
        <v>7.7311661808512834E-4</v>
      </c>
      <c r="F56" s="285">
        <f t="shared" ca="1" si="16"/>
        <v>1.5651779093454315E-3</v>
      </c>
      <c r="G56" s="285">
        <f t="shared" ca="1" si="16"/>
        <v>3.0128329315661237E-3</v>
      </c>
      <c r="H56" s="285">
        <f t="shared" ca="1" si="16"/>
        <v>4.7475138522453915E-3</v>
      </c>
      <c r="I56" s="285">
        <f t="shared" ca="1" si="16"/>
        <v>6.8602773593968687E-3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2.2786551281575914E-3</v>
      </c>
      <c r="F59" s="287">
        <f t="shared" ca="1" si="19"/>
        <v>4.6711671818013174E-3</v>
      </c>
      <c r="G59" s="287">
        <f t="shared" ca="1" si="19"/>
        <v>6.3849662869942163E-3</v>
      </c>
      <c r="H59" s="287">
        <f t="shared" ca="1" si="19"/>
        <v>7.8240220385485844E-3</v>
      </c>
      <c r="I59" s="287">
        <f t="shared" ca="1" si="19"/>
        <v>8.8279913759926054E-3</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0.161</v>
      </c>
      <c r="E64" s="285">
        <f t="shared" ca="1" si="20"/>
        <v>0.16619959036137391</v>
      </c>
      <c r="F64" s="285">
        <f t="shared" ca="1" si="20"/>
        <v>0.17141734843097017</v>
      </c>
      <c r="G64" s="285">
        <f t="shared" ca="1" si="20"/>
        <v>0.17696655613473683</v>
      </c>
      <c r="H64" s="285">
        <f t="shared" ca="1" si="20"/>
        <v>0.18282412058975669</v>
      </c>
      <c r="I64" s="285">
        <f t="shared" ca="1" si="20"/>
        <v>0.18869709704846585</v>
      </c>
      <c r="K64" s="63"/>
      <c r="L64" s="63"/>
    </row>
    <row r="65" spans="1:20" ht="12.75" customHeight="1" outlineLevel="1">
      <c r="A65" s="61" t="s">
        <v>69</v>
      </c>
      <c r="B65" s="285">
        <f t="shared" ca="1" si="20"/>
        <v>0</v>
      </c>
      <c r="C65" s="285">
        <f t="shared" ca="1" si="20"/>
        <v>0</v>
      </c>
      <c r="D65" s="285">
        <f t="shared" ca="1" si="20"/>
        <v>6.0000000000000005E-2</v>
      </c>
      <c r="E65" s="285">
        <f t="shared" ca="1" si="20"/>
        <v>6.0636597496874112E-2</v>
      </c>
      <c r="F65" s="285">
        <f t="shared" ca="1" si="20"/>
        <v>6.1226459707416712E-2</v>
      </c>
      <c r="G65" s="285">
        <f t="shared" ca="1" si="20"/>
        <v>6.1809531952572778E-2</v>
      </c>
      <c r="H65" s="285">
        <f t="shared" ca="1" si="20"/>
        <v>6.2442118508819748E-2</v>
      </c>
      <c r="I65" s="285">
        <f t="shared" ca="1" si="20"/>
        <v>6.3021572528640019E-2</v>
      </c>
      <c r="K65" s="42"/>
      <c r="L65" s="21"/>
    </row>
    <row r="66" spans="1:20" s="759" customFormat="1" ht="12.75" customHeight="1" outlineLevel="1">
      <c r="A66" s="61" t="s">
        <v>646</v>
      </c>
      <c r="B66" s="285">
        <f t="shared" ref="B66:I66" ca="1" si="21">+B44+B32+B55</f>
        <v>0</v>
      </c>
      <c r="C66" s="285">
        <f t="shared" ca="1" si="21"/>
        <v>0</v>
      </c>
      <c r="D66" s="285">
        <f t="shared" ca="1" si="21"/>
        <v>-0.39300000000000002</v>
      </c>
      <c r="E66" s="285">
        <f t="shared" ca="1" si="21"/>
        <v>-0.399155562172548</v>
      </c>
      <c r="F66" s="285">
        <f t="shared" ca="1" si="21"/>
        <v>-0.40505367002719223</v>
      </c>
      <c r="G66" s="285">
        <f t="shared" ca="1" si="21"/>
        <v>-0.41259127966259018</v>
      </c>
      <c r="H66" s="285">
        <f t="shared" ca="1" si="21"/>
        <v>-0.42119047063755655</v>
      </c>
      <c r="I66" s="285">
        <f t="shared" ca="1" si="21"/>
        <v>-0.43041279680927813</v>
      </c>
      <c r="K66" s="42"/>
      <c r="L66" s="732"/>
    </row>
    <row r="67" spans="1:20" ht="12.75" customHeight="1" outlineLevel="1">
      <c r="A67" s="61" t="s">
        <v>647</v>
      </c>
      <c r="B67" s="285">
        <f t="shared" ref="B67:I67" ca="1" si="22">+B45+B33+B56</f>
        <v>0</v>
      </c>
      <c r="C67" s="285">
        <f t="shared" ca="1" si="22"/>
        <v>0</v>
      </c>
      <c r="D67" s="285">
        <f t="shared" ca="1" si="22"/>
        <v>0.153</v>
      </c>
      <c r="E67" s="285">
        <f t="shared" ca="1" si="22"/>
        <v>0.15539644023511409</v>
      </c>
      <c r="F67" s="285">
        <f t="shared" ca="1" si="22"/>
        <v>0.15769265016325804</v>
      </c>
      <c r="G67" s="285">
        <f t="shared" ca="1" si="22"/>
        <v>0.16062713941062667</v>
      </c>
      <c r="H67" s="285">
        <f t="shared" ca="1" si="22"/>
        <v>0.16397491604973574</v>
      </c>
      <c r="I67" s="285">
        <f t="shared" ca="1" si="22"/>
        <v>0.1675652873074289</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-1.9000000000000017E-2</v>
      </c>
      <c r="E70" s="295">
        <f t="shared" ca="1" si="25"/>
        <v>-1.6922934079185881E-2</v>
      </c>
      <c r="F70" s="295">
        <f t="shared" ca="1" si="25"/>
        <v>-1.4717211725547297E-2</v>
      </c>
      <c r="G70" s="295">
        <f t="shared" ca="1" si="25"/>
        <v>-1.3188052164653907E-2</v>
      </c>
      <c r="H70" s="295">
        <f t="shared" ca="1" si="25"/>
        <v>-1.1949315489244355E-2</v>
      </c>
      <c r="I70" s="295">
        <f t="shared" ca="1" si="25"/>
        <v>-1.1128839924743367E-2</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1.7082032832788545E-3</v>
      </c>
      <c r="Q77" s="285">
        <f ca="1">IF($B77&lt;&gt;0,(+VLOOKUP($B77,$A$8:$I$13,6,FALSE))*(F77),0)</f>
        <v>3.2910002149014917E-3</v>
      </c>
      <c r="R77" s="285">
        <f ca="1">IF($B77&lt;&gt;0,(+VLOOKUP($B77,$A$8:$I$13,7,FALSE))*(G77),0)</f>
        <v>4.8555774060702701E-3</v>
      </c>
      <c r="S77" s="285">
        <f ca="1">IF($B77&lt;&gt;0,(+VLOOKUP($B77,$A$8:$I$13,8,FALSE))*(H77),0)</f>
        <v>6.5530179986663072E-3</v>
      </c>
      <c r="T77" s="285">
        <f ca="1">IF($B77&lt;&gt;0,(+VLOOKUP($B77,$A$8:$I$13,9,FALSE))*(I77),0)</f>
        <v>8.1078862851840291E-3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6.3659749687410732E-4</v>
      </c>
      <c r="Q78" s="285">
        <f ca="1">IF($B78&lt;&gt;0,(+VLOOKUP($B78,$A$8:$I$13,6,FALSE))*(F78),0)</f>
        <v>1.2264597074167051E-3</v>
      </c>
      <c r="R78" s="285">
        <f ca="1">IF($B78&lt;&gt;0,(+VLOOKUP($B78,$A$8:$I$13,7,FALSE))*(G78),0)</f>
        <v>1.8095319525727716E-3</v>
      </c>
      <c r="S78" s="285">
        <f ca="1">IF($B78&lt;&gt;0,(+VLOOKUP($B78,$A$8:$I$13,8,FALSE))*(H78),0)</f>
        <v>2.442118508819742E-3</v>
      </c>
      <c r="T78" s="285">
        <f ca="1">IF($B78&lt;&gt;0,(+VLOOKUP($B78,$A$8:$I$13,9,FALSE))*(I78),0)</f>
        <v>3.0215725286400113E-3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-4.1697136045254031E-3</v>
      </c>
      <c r="Q79" s="285">
        <f t="shared" ref="Q79:Q80" ca="1" si="34">IF($B79&lt;&gt;0,(+VLOOKUP($B79,$A$8:$I$13,6,FALSE))*(F79),0)</f>
        <v>-8.0333110835794173E-3</v>
      </c>
      <c r="R79" s="285">
        <f t="shared" ref="R79:R80" ca="1" si="35">IF($B79&lt;&gt;0,(+VLOOKUP($B79,$A$8:$I$13,7,FALSE))*(G79),0)</f>
        <v>-1.1852434289351654E-2</v>
      </c>
      <c r="S79" s="285">
        <f t="shared" ref="S79:S80" ca="1" si="36">IF($B79&lt;&gt;0,(+VLOOKUP($B79,$A$8:$I$13,8,FALSE))*(H79),0)</f>
        <v>-1.599587623276931E-2</v>
      </c>
      <c r="T79" s="285">
        <f t="shared" ref="T79:T80" ca="1" si="37">IF($B79&lt;&gt;0,(+VLOOKUP($B79,$A$8:$I$13,9,FALSE))*(I79),0)</f>
        <v>-1.9791300062592072E-2</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1.6233236170289736E-3</v>
      </c>
      <c r="Q80" s="285">
        <f t="shared" ca="1" si="34"/>
        <v>3.1274722539125976E-3</v>
      </c>
      <c r="R80" s="285">
        <f t="shared" ca="1" si="35"/>
        <v>4.6143064790605676E-3</v>
      </c>
      <c r="S80" s="285">
        <f t="shared" ca="1" si="36"/>
        <v>6.2274021974903409E-3</v>
      </c>
      <c r="T80" s="285">
        <f t="shared" ca="1" si="37"/>
        <v>7.7050099480320275E-3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-2.0158920734346755E-4</v>
      </c>
      <c r="Q83" s="292">
        <f t="shared" ca="1" si="51"/>
        <v>-3.8837890734862244E-4</v>
      </c>
      <c r="R83" s="292">
        <f t="shared" ca="1" si="51"/>
        <v>-5.7301845164804514E-4</v>
      </c>
      <c r="S83" s="292">
        <f t="shared" ca="1" si="51"/>
        <v>-7.7333752779292029E-4</v>
      </c>
      <c r="T83" s="292">
        <f t="shared" ca="1" si="51"/>
        <v>-9.5683130073600294E-4</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1.7082032832788545E-3</v>
      </c>
      <c r="F98" s="285">
        <f t="shared" ca="1" si="54"/>
        <v>3.2910002149014917E-3</v>
      </c>
      <c r="G98" s="285">
        <f t="shared" ca="1" si="54"/>
        <v>4.8555774060702701E-3</v>
      </c>
      <c r="H98" s="285">
        <f t="shared" ca="1" si="54"/>
        <v>6.5530179986663072E-3</v>
      </c>
      <c r="I98" s="285">
        <f t="shared" ca="1" si="54"/>
        <v>8.1078862851840291E-3</v>
      </c>
    </row>
    <row r="99" spans="1:20" outlineLevel="1">
      <c r="A99" s="61" t="s">
        <v>69</v>
      </c>
      <c r="B99" s="119"/>
      <c r="C99" s="285">
        <f t="shared" ref="C99:I99" ca="1" si="55">+C9*(C87)</f>
        <v>0</v>
      </c>
      <c r="D99" s="285">
        <f t="shared" ca="1" si="55"/>
        <v>0</v>
      </c>
      <c r="E99" s="285">
        <f t="shared" ca="1" si="55"/>
        <v>6.3659749687410732E-4</v>
      </c>
      <c r="F99" s="285">
        <f t="shared" ca="1" si="55"/>
        <v>1.2264597074167051E-3</v>
      </c>
      <c r="G99" s="285">
        <f t="shared" ca="1" si="55"/>
        <v>1.8095319525727716E-3</v>
      </c>
      <c r="H99" s="285">
        <f t="shared" ca="1" si="55"/>
        <v>2.442118508819742E-3</v>
      </c>
      <c r="I99" s="285">
        <f t="shared" ca="1" si="55"/>
        <v>3.0215725286400113E-3</v>
      </c>
    </row>
    <row r="100" spans="1:20" s="759" customFormat="1" outlineLevel="1">
      <c r="A100" s="61" t="s">
        <v>646</v>
      </c>
      <c r="B100" s="119"/>
      <c r="C100" s="285">
        <f t="shared" ref="C100:I100" ca="1" si="56">+C10*(C88)</f>
        <v>0</v>
      </c>
      <c r="D100" s="285">
        <f t="shared" ca="1" si="56"/>
        <v>0</v>
      </c>
      <c r="E100" s="285">
        <f t="shared" ca="1" si="56"/>
        <v>-4.1697136045254031E-3</v>
      </c>
      <c r="F100" s="285">
        <f t="shared" ca="1" si="56"/>
        <v>-8.0333110835794173E-3</v>
      </c>
      <c r="G100" s="285">
        <f t="shared" ca="1" si="56"/>
        <v>-1.1852434289351654E-2</v>
      </c>
      <c r="H100" s="285">
        <f t="shared" ca="1" si="56"/>
        <v>-1.599587623276931E-2</v>
      </c>
      <c r="I100" s="285">
        <f t="shared" ca="1" si="56"/>
        <v>-1.9791300062592072E-2</v>
      </c>
    </row>
    <row r="101" spans="1:20" outlineLevel="1">
      <c r="A101" s="61" t="s">
        <v>647</v>
      </c>
      <c r="B101" s="119"/>
      <c r="C101" s="285">
        <f t="shared" ref="C101:I101" ca="1" si="57">+C11*(C89)</f>
        <v>0</v>
      </c>
      <c r="D101" s="285">
        <f t="shared" ca="1" si="57"/>
        <v>0</v>
      </c>
      <c r="E101" s="285">
        <f t="shared" ca="1" si="57"/>
        <v>1.6233236170289736E-3</v>
      </c>
      <c r="F101" s="285">
        <f t="shared" ca="1" si="57"/>
        <v>3.1274722539125976E-3</v>
      </c>
      <c r="G101" s="285">
        <f t="shared" ca="1" si="57"/>
        <v>4.6143064790605676E-3</v>
      </c>
      <c r="H101" s="285">
        <f t="shared" ca="1" si="57"/>
        <v>6.2274021974903409E-3</v>
      </c>
      <c r="I101" s="285">
        <f t="shared" ca="1" si="57"/>
        <v>7.7050099480320275E-3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-2.0158920734346755E-4</v>
      </c>
      <c r="F104" s="296">
        <f t="shared" ca="1" si="60"/>
        <v>-3.8837890734862244E-4</v>
      </c>
      <c r="G104" s="296">
        <f t="shared" ca="1" si="60"/>
        <v>-5.7301845164804514E-4</v>
      </c>
      <c r="H104" s="296">
        <f t="shared" ca="1" si="60"/>
        <v>-7.7333752779292029E-4</v>
      </c>
      <c r="I104" s="296">
        <f t="shared" ca="1" si="60"/>
        <v>-9.5683130073600294E-4</v>
      </c>
    </row>
    <row r="105" spans="1:20" ht="13.5" outlineLevel="1" thickBot="1">
      <c r="A105" s="122" t="s">
        <v>143</v>
      </c>
      <c r="B105" s="123"/>
      <c r="C105" s="124">
        <f t="shared" ref="C105:I105" ca="1" si="61">IF(C36&lt;&gt;0,+C104/C36,0)</f>
        <v>0</v>
      </c>
      <c r="D105" s="124">
        <f t="shared" ca="1" si="61"/>
        <v>0</v>
      </c>
      <c r="E105" s="124">
        <f t="shared" ca="1" si="61"/>
        <v>1.0609958281235125E-2</v>
      </c>
      <c r="F105" s="124">
        <f t="shared" ca="1" si="61"/>
        <v>2.044099512361169E-2</v>
      </c>
      <c r="G105" s="124">
        <f t="shared" ca="1" si="61"/>
        <v>3.0158865876212877E-2</v>
      </c>
      <c r="H105" s="124">
        <f t="shared" ca="1" si="61"/>
        <v>4.0701975146995771E-2</v>
      </c>
      <c r="I105" s="124">
        <f t="shared" ca="1" si="61"/>
        <v>5.0359542144000111E-2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3.4913870780950477E-3</v>
      </c>
      <c r="Q113" s="285">
        <f ca="1">IF($B113&lt;&gt;0,(+VLOOKUP($B113,$A$8:$I$13,6,FALSE)+VLOOKUP($B113,$A$42:$I$47,6,FALSE))*(F113),0)</f>
        <v>7.1263482160686606E-3</v>
      </c>
      <c r="R113" s="285">
        <f ca="1">IF($B113&lt;&gt;0,(+VLOOKUP($B113,$A$8:$I$13,7,FALSE)+VLOOKUP($B113,$A$42:$I$47,7,FALSE))*(G113),0)</f>
        <v>1.1110978728666569E-2</v>
      </c>
      <c r="S113" s="285">
        <f ca="1">IF($B113&lt;&gt;0,(+VLOOKUP($B113,$A$8:$I$13,8,FALSE)+VLOOKUP($B113,$A$42:$I$47,8,FALSE))*(H113),0)</f>
        <v>1.5271102591090376E-2</v>
      </c>
      <c r="T113" s="285">
        <f ca="1">IF($B113&lt;&gt;0,(+VLOOKUP($B113,$A$8:$I$13,9,FALSE)+VLOOKUP($B113,$A$42:$I$47,9,FALSE))*(I113),0)</f>
        <v>1.9589210763281812E-2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-1.9858485680225848E-3</v>
      </c>
      <c r="Q115" s="285">
        <f t="shared" ca="1" si="68"/>
        <v>-4.0203589436127746E-3</v>
      </c>
      <c r="R115" s="285">
        <f t="shared" ca="1" si="69"/>
        <v>-7.738845373238476E-3</v>
      </c>
      <c r="S115" s="285">
        <f t="shared" ca="1" si="70"/>
        <v>-1.2194594404787183E-2</v>
      </c>
      <c r="T115" s="285">
        <f t="shared" ca="1" si="71"/>
        <v>-1.7621496746686074E-2</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7.7311661808512834E-4</v>
      </c>
      <c r="Q116" s="285">
        <f t="shared" ca="1" si="68"/>
        <v>1.5651779093454315E-3</v>
      </c>
      <c r="R116" s="285">
        <f t="shared" ca="1" si="69"/>
        <v>3.0128329315661237E-3</v>
      </c>
      <c r="S116" s="285">
        <f t="shared" ca="1" si="70"/>
        <v>4.7475138522453915E-3</v>
      </c>
      <c r="T116" s="285">
        <f t="shared" ca="1" si="71"/>
        <v>6.8602773593968687E-3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2.2786551281575914E-3</v>
      </c>
      <c r="Q119" s="292">
        <f t="shared" ca="1" si="72"/>
        <v>4.6711671818013174E-3</v>
      </c>
      <c r="R119" s="292">
        <f t="shared" ca="1" si="72"/>
        <v>6.3849662869942163E-3</v>
      </c>
      <c r="S119" s="292">
        <f t="shared" ca="1" si="72"/>
        <v>7.8240220385485844E-3</v>
      </c>
      <c r="T119" s="292">
        <f t="shared" ca="1" si="72"/>
        <v>8.8279913759926054E-3</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3.4913870780950477E-3</v>
      </c>
      <c r="F134" s="285">
        <f t="shared" ca="1" si="75"/>
        <v>7.1263482160686606E-3</v>
      </c>
      <c r="G134" s="285">
        <f t="shared" ca="1" si="75"/>
        <v>1.1110978728666569E-2</v>
      </c>
      <c r="H134" s="285">
        <f t="shared" ca="1" si="75"/>
        <v>1.5271102591090376E-2</v>
      </c>
      <c r="I134" s="285">
        <f t="shared" ca="1" si="75"/>
        <v>1.9589210763281812E-2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-1.9858485680225848E-3</v>
      </c>
      <c r="F136" s="285">
        <f t="shared" ca="1" si="77"/>
        <v>-4.0203589436127746E-3</v>
      </c>
      <c r="G136" s="285">
        <f t="shared" ca="1" si="77"/>
        <v>-7.738845373238476E-3</v>
      </c>
      <c r="H136" s="285">
        <f t="shared" ca="1" si="77"/>
        <v>-1.2194594404787183E-2</v>
      </c>
      <c r="I136" s="285">
        <f t="shared" ca="1" si="77"/>
        <v>-1.7621496746686074E-2</v>
      </c>
    </row>
    <row r="137" spans="1:16" outlineLevel="1">
      <c r="A137" s="61" t="s">
        <v>647</v>
      </c>
      <c r="B137" s="119"/>
      <c r="C137" s="285">
        <f ca="1">(+C11+C45)*(C$125)</f>
        <v>0</v>
      </c>
      <c r="D137" s="285">
        <f t="shared" ref="D137:I137" ca="1" si="78">(+D11+D45)*(D$125)</f>
        <v>0</v>
      </c>
      <c r="E137" s="285">
        <f t="shared" ca="1" si="78"/>
        <v>7.7311661808512834E-4</v>
      </c>
      <c r="F137" s="285">
        <f t="shared" ca="1" si="78"/>
        <v>1.5651779093454315E-3</v>
      </c>
      <c r="G137" s="285">
        <f t="shared" ca="1" si="78"/>
        <v>3.0128329315661237E-3</v>
      </c>
      <c r="H137" s="285">
        <f t="shared" ca="1" si="78"/>
        <v>4.7475138522453915E-3</v>
      </c>
      <c r="I137" s="285">
        <f t="shared" ca="1" si="78"/>
        <v>6.8602773593968687E-3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2.2786551281575914E-3</v>
      </c>
      <c r="F140" s="296">
        <f t="shared" ca="1" si="81"/>
        <v>4.6711671818013174E-3</v>
      </c>
      <c r="G140" s="296">
        <f t="shared" ca="1" si="81"/>
        <v>6.3849662869942163E-3</v>
      </c>
      <c r="H140" s="296">
        <f t="shared" ca="1" si="81"/>
        <v>7.8240220385485844E-3</v>
      </c>
      <c r="I140" s="296">
        <f t="shared" ca="1" si="81"/>
        <v>8.8279913759926054E-3</v>
      </c>
    </row>
    <row r="141" spans="1:16" ht="13.5" outlineLevel="1" thickBot="1">
      <c r="A141" s="122" t="s">
        <v>148</v>
      </c>
      <c r="B141" s="126"/>
      <c r="C141" s="124">
        <f t="shared" ref="C141:I141" ca="1" si="82">IF((+C36+C48)&lt;&gt;0,+C140/(+C36+C48),0)</f>
        <v>0</v>
      </c>
      <c r="D141" s="124">
        <f t="shared" ca="1" si="82"/>
        <v>0</v>
      </c>
      <c r="E141" s="124">
        <f t="shared" ca="1" si="82"/>
        <v>-0.11867013212042569</v>
      </c>
      <c r="F141" s="124">
        <f t="shared" ca="1" si="82"/>
        <v>-0.2409261343675741</v>
      </c>
      <c r="G141" s="124">
        <f t="shared" ca="1" si="82"/>
        <v>-0.3262126535448393</v>
      </c>
      <c r="H141" s="124">
        <f t="shared" ca="1" si="82"/>
        <v>-0.39568545408944361</v>
      </c>
      <c r="I141" s="124">
        <f t="shared" ca="1" si="82"/>
        <v>-0.44235436192052308</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(SEM)'!$N$250:$R$255</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-1.9000000000000017E-2</v>
      </c>
      <c r="E205" s="82">
        <f t="shared" ca="1" si="95"/>
        <v>-1.9000000000000017E-2</v>
      </c>
      <c r="F205" s="82">
        <f t="shared" ca="1" si="95"/>
        <v>-1.9000000000000017E-2</v>
      </c>
      <c r="G205" s="82">
        <f t="shared" ca="1" si="95"/>
        <v>-1.9000000000000017E-2</v>
      </c>
      <c r="H205" s="82">
        <f t="shared" ca="1" si="95"/>
        <v>-1.9000000000000017E-2</v>
      </c>
      <c r="I205" s="82">
        <f t="shared" ca="1" si="95"/>
        <v>-1.9000000000000017E-2</v>
      </c>
    </row>
    <row r="206" spans="1:9" outlineLevel="1">
      <c r="A206" t="s">
        <v>156</v>
      </c>
      <c r="B206" s="82">
        <f t="shared" ref="B206:I206" ca="1" si="96">+B36</f>
        <v>0</v>
      </c>
      <c r="C206" s="82">
        <f t="shared" ca="1" si="96"/>
        <v>0</v>
      </c>
      <c r="D206" s="82">
        <f t="shared" ca="1" si="96"/>
        <v>-1.9000000000000017E-2</v>
      </c>
      <c r="E206" s="82">
        <f t="shared" ca="1" si="96"/>
        <v>-1.9000000000000017E-2</v>
      </c>
      <c r="F206" s="82">
        <f t="shared" ca="1" si="96"/>
        <v>-1.9000000000000017E-2</v>
      </c>
      <c r="G206" s="82">
        <f t="shared" ca="1" si="96"/>
        <v>-1.9000000000000017E-2</v>
      </c>
      <c r="H206" s="82">
        <f t="shared" ca="1" si="96"/>
        <v>-1.9000000000000017E-2</v>
      </c>
      <c r="I206" s="82">
        <f t="shared" ca="1" si="96"/>
        <v>-1.9000000000000017E-2</v>
      </c>
    </row>
    <row r="207" spans="1:9" outlineLevel="1">
      <c r="A207" t="s">
        <v>157</v>
      </c>
      <c r="B207" s="82">
        <f t="shared" ref="B207:I207" ca="1" si="97">+B36+B48</f>
        <v>0</v>
      </c>
      <c r="C207" s="82">
        <f t="shared" ca="1" si="97"/>
        <v>0</v>
      </c>
      <c r="D207" s="82">
        <f t="shared" ca="1" si="97"/>
        <v>-1.9000000000000017E-2</v>
      </c>
      <c r="E207" s="82">
        <f t="shared" ca="1" si="97"/>
        <v>-1.9201589207343484E-2</v>
      </c>
      <c r="F207" s="82">
        <f t="shared" ca="1" si="97"/>
        <v>-1.9388378907348638E-2</v>
      </c>
      <c r="G207" s="82">
        <f t="shared" ca="1" si="97"/>
        <v>-1.9573018451648064E-2</v>
      </c>
      <c r="H207" s="82">
        <f t="shared" ca="1" si="97"/>
        <v>-1.9773337527792936E-2</v>
      </c>
      <c r="I207" s="82">
        <f t="shared" ca="1" si="97"/>
        <v>-1.9956831300736021E-2</v>
      </c>
    </row>
    <row r="208" spans="1:9" outlineLevel="1">
      <c r="A208" t="s">
        <v>158</v>
      </c>
      <c r="B208" s="82">
        <f t="shared" ref="B208:I208" ca="1" si="98">+B70</f>
        <v>0</v>
      </c>
      <c r="C208" s="82">
        <f t="shared" ca="1" si="98"/>
        <v>0</v>
      </c>
      <c r="D208" s="82">
        <f t="shared" ca="1" si="98"/>
        <v>-1.9000000000000017E-2</v>
      </c>
      <c r="E208" s="82">
        <f t="shared" ca="1" si="98"/>
        <v>-1.6922934079185881E-2</v>
      </c>
      <c r="F208" s="82">
        <f t="shared" ca="1" si="98"/>
        <v>-1.4717211725547297E-2</v>
      </c>
      <c r="G208" s="82">
        <f t="shared" ca="1" si="98"/>
        <v>-1.3188052164653907E-2</v>
      </c>
      <c r="H208" s="82">
        <f t="shared" ca="1" si="98"/>
        <v>-1.1949315489244355E-2</v>
      </c>
      <c r="I208" s="82">
        <f t="shared" ca="1" si="98"/>
        <v>-1.1128839924743367E-2</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45" priority="1" stopIfTrue="1" operator="notEqual">
      <formula>0</formula>
    </cfRule>
  </conditionalFormatting>
  <conditionalFormatting sqref="J130 J94 J70 J59 J48 J36:J37 J14 J25">
    <cfRule type="cellIs" dxfId="244" priority="2" stopIfTrue="1" operator="equal">
      <formula>"OK"</formula>
    </cfRule>
    <cfRule type="cellIs" dxfId="243" priority="3" stopIfTrue="1" operator="equal">
      <formula>"Warning Check Escalations"</formula>
    </cfRule>
  </conditionalFormatting>
  <conditionalFormatting sqref="N120:T120 N84:T84">
    <cfRule type="cellIs" dxfId="242" priority="4" stopIfTrue="1" operator="notEqual">
      <formula>0</formula>
    </cfRule>
    <cfRule type="cellIs" dxfId="24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2.xml><?xml version="1.0" encoding="utf-8"?>
<worksheet xmlns="http://schemas.openxmlformats.org/spreadsheetml/2006/main" xmlns:r="http://schemas.openxmlformats.org/officeDocument/2006/relationships">
  <sheetPr codeName="Sheet85" enableFormatConditionsCalculation="0">
    <tabColor indexed="57"/>
    <pageSetUpPr fitToPage="1"/>
  </sheetPr>
  <dimension ref="A1:T239"/>
  <sheetViews>
    <sheetView showGridLines="0" topLeftCell="A49"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29</v>
      </c>
      <c r="M1" s="282"/>
      <c r="N1" s="280"/>
      <c r="O1" s="280"/>
      <c r="P1" s="280"/>
      <c r="Q1" s="280"/>
      <c r="R1" s="280"/>
      <c r="S1" s="280"/>
      <c r="T1" s="280"/>
    </row>
    <row r="2" spans="1:20" ht="15.75">
      <c r="A2" s="184" t="s">
        <v>121</v>
      </c>
      <c r="B2" s="74" t="str">
        <f ca="1">OFFSET(List_AllocOpexListStart,+$K$1,1)</f>
        <v xml:space="preserve">Risk &amp; Insurance – Shared Insurance Premiums </v>
      </c>
      <c r="F2" s="284"/>
      <c r="H2" s="42"/>
      <c r="I2" s="283"/>
      <c r="L2" s="282"/>
      <c r="M2" s="282"/>
    </row>
    <row r="3" spans="1:20" ht="16.5" thickBot="1">
      <c r="A3" s="184" t="s">
        <v>371</v>
      </c>
      <c r="B3" s="236" t="str">
        <f ca="1">OFFSET(List_AllocOpexListStart,+$K$1,2)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0.14100000000000001</v>
      </c>
      <c r="E8" s="285">
        <f ca="1">OFFSET(Future_AOpexStart,MATCH($K$1,'I-6 Future A'!$A$6:$A$379)+2,+'I-5 Future DA'!F$5)</f>
        <v>0.14100000000000001</v>
      </c>
      <c r="F8" s="285">
        <f ca="1">OFFSET(Future_AOpexStart,MATCH($K$1,'I-6 Future A'!$A$6:$A$379)+2,+'I-5 Future DA'!G$5)</f>
        <v>0.14100000000000001</v>
      </c>
      <c r="G8" s="285">
        <f ca="1">OFFSET(Future_AOpexStart,MATCH($K$1,'I-6 Future A'!$A$6:$A$379)+2,+'I-5 Future DA'!H$5)</f>
        <v>0.14100000000000001</v>
      </c>
      <c r="H8" s="285">
        <f ca="1">OFFSET(Future_AOpexStart,MATCH($K$1,'I-6 Future A'!$A$6:$A$379)+2,+'I-5 Future DA'!I$5)</f>
        <v>0.14100000000000001</v>
      </c>
      <c r="I8" s="285">
        <f ca="1">OFFSET(Future_AOpexStart,MATCH($K$1,'I-6 Future A'!$A$6:$A$379)+2,+'I-5 Future DA'!J$5)</f>
        <v>0.14100000000000001</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2E-3</v>
      </c>
      <c r="E10" s="285">
        <f ca="1">OFFSET(Future_AOpexStart,MATCH($K$1,'I-6 Future A'!$A$6:$A$379)+4,+'I-5 Future DA'!F$5)</f>
        <v>2E-3</v>
      </c>
      <c r="F10" s="285">
        <f ca="1">OFFSET(Future_AOpexStart,MATCH($K$1,'I-6 Future A'!$A$6:$A$379)+4,+'I-5 Future DA'!G$5)</f>
        <v>2E-3</v>
      </c>
      <c r="G10" s="285">
        <f ca="1">OFFSET(Future_AOpexStart,MATCH($K$1,'I-6 Future A'!$A$6:$A$379)+4,+'I-5 Future DA'!H$5)</f>
        <v>2E-3</v>
      </c>
      <c r="H10" s="285">
        <f ca="1">OFFSET(Future_AOpexStart,MATCH($K$1,'I-6 Future A'!$A$6:$A$379)+4,+'I-5 Future DA'!I$5)</f>
        <v>2E-3</v>
      </c>
      <c r="I10" s="285">
        <f ca="1">OFFSET(Future_AOpexStart,MATCH($K$1,'I-6 Future A'!$A$6:$A$379)+4,+'I-5 Future DA'!J$5)</f>
        <v>2E-3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0.76900000000000002</v>
      </c>
      <c r="E13" s="286">
        <f ca="1">OFFSET(Future_AOpexStart,MATCH($K$1,'I-6 Future A'!$A$6:$A$379)+7,+'I-5 Future DA'!F$5)</f>
        <v>0.76900000000000002</v>
      </c>
      <c r="F13" s="286">
        <f ca="1">OFFSET(Future_AOpexStart,MATCH($K$1,'I-6 Future A'!$A$6:$A$379)+7,+'I-5 Future DA'!G$5)</f>
        <v>0.76900000000000002</v>
      </c>
      <c r="G13" s="286">
        <f ca="1">OFFSET(Future_AOpexStart,MATCH($K$1,'I-6 Future A'!$A$6:$A$379)+7,+'I-5 Future DA'!H$5)</f>
        <v>0.76900000000000002</v>
      </c>
      <c r="H13" s="286">
        <f ca="1">OFFSET(Future_AOpexStart,MATCH($K$1,'I-6 Future A'!$A$6:$A$379)+7,+'I-5 Future DA'!I$5)</f>
        <v>0.76900000000000002</v>
      </c>
      <c r="I13" s="286">
        <f ca="1">OFFSET(Future_AOpexStart,MATCH($K$1,'I-6 Future A'!$A$6:$A$379)+7,+'I-5 Future DA'!J$5)</f>
        <v>0.76900000000000002</v>
      </c>
      <c r="J13" s="36"/>
      <c r="K13" s="21"/>
      <c r="L13" s="21"/>
    </row>
    <row r="14" spans="1:20" s="87" customFormat="1" ht="18" customHeight="1">
      <c r="A14" s="84" t="s">
        <v>71</v>
      </c>
      <c r="B14" s="287">
        <f t="shared" ref="B14:I14" ca="1" si="0">SUM(B8:B13)</f>
        <v>0</v>
      </c>
      <c r="C14" s="287">
        <f t="shared" ca="1" si="0"/>
        <v>0</v>
      </c>
      <c r="D14" s="287">
        <f t="shared" ca="1" si="0"/>
        <v>0.91200000000000003</v>
      </c>
      <c r="E14" s="287">
        <f t="shared" ca="1" si="0"/>
        <v>0.91200000000000003</v>
      </c>
      <c r="F14" s="287">
        <f t="shared" ca="1" si="0"/>
        <v>0.91200000000000003</v>
      </c>
      <c r="G14" s="287">
        <f t="shared" ca="1" si="0"/>
        <v>0.91200000000000003</v>
      </c>
      <c r="H14" s="287">
        <f t="shared" ca="1" si="0"/>
        <v>0.91200000000000003</v>
      </c>
      <c r="I14" s="287">
        <f t="shared" ca="1" si="0"/>
        <v>0.91200000000000003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+'A-29'!B8+'A-29'!B19</f>
        <v>0</v>
      </c>
      <c r="C30" s="285">
        <f ca="1">+'A-29'!C8+'A-29'!C19</f>
        <v>0</v>
      </c>
      <c r="D30" s="285">
        <f ca="1">+'A-29'!D8+'A-29'!D19</f>
        <v>0.14100000000000001</v>
      </c>
      <c r="E30" s="285">
        <f ca="1">+'A-29'!E8+'A-29'!E19</f>
        <v>0.14100000000000001</v>
      </c>
      <c r="F30" s="285">
        <f ca="1">+'A-29'!F8+'A-29'!F19</f>
        <v>0.14100000000000001</v>
      </c>
      <c r="G30" s="285">
        <f ca="1">+'A-29'!G8+'A-29'!G19</f>
        <v>0.14100000000000001</v>
      </c>
      <c r="H30" s="285">
        <f ca="1">+'A-29'!H8+'A-29'!H19</f>
        <v>0.14100000000000001</v>
      </c>
      <c r="I30" s="285">
        <f ca="1">+'A-29'!I8+'A-29'!I19</f>
        <v>0.14100000000000001</v>
      </c>
      <c r="J30" s="42"/>
      <c r="K30" s="21"/>
      <c r="L30" s="21"/>
    </row>
    <row r="31" spans="1:12" outlineLevel="2">
      <c r="A31" s="61" t="s">
        <v>69</v>
      </c>
      <c r="B31" s="285">
        <f ca="1">+'A-29'!B9+'A-29'!B20</f>
        <v>0</v>
      </c>
      <c r="C31" s="285">
        <f ca="1">+'A-29'!C9+'A-29'!C20</f>
        <v>0</v>
      </c>
      <c r="D31" s="285">
        <f ca="1">+'A-29'!D9+'A-29'!D20</f>
        <v>0</v>
      </c>
      <c r="E31" s="285">
        <f ca="1">+'A-29'!E9+'A-29'!E20</f>
        <v>0</v>
      </c>
      <c r="F31" s="285">
        <f ca="1">+'A-29'!F9+'A-29'!F20</f>
        <v>0</v>
      </c>
      <c r="G31" s="285">
        <f ca="1">+'A-29'!G9+'A-29'!G20</f>
        <v>0</v>
      </c>
      <c r="H31" s="285">
        <f ca="1">+'A-29'!H9+'A-29'!H20</f>
        <v>0</v>
      </c>
      <c r="I31" s="285">
        <f ca="1">+'A-29'!I9+'A-29'!I20</f>
        <v>0</v>
      </c>
      <c r="J31" s="42"/>
      <c r="K31" s="21"/>
      <c r="L31" s="21"/>
    </row>
    <row r="32" spans="1:12" s="759" customFormat="1" outlineLevel="2">
      <c r="A32" s="61" t="s">
        <v>646</v>
      </c>
      <c r="B32" s="285">
        <f ca="1">+'A-29'!B10+'A-29'!B21</f>
        <v>0</v>
      </c>
      <c r="C32" s="285">
        <f ca="1">+'A-29'!C10+'A-29'!C21</f>
        <v>0</v>
      </c>
      <c r="D32" s="285">
        <f ca="1">+'A-29'!D10+'A-29'!D21</f>
        <v>2E-3</v>
      </c>
      <c r="E32" s="285">
        <f ca="1">+'A-29'!E10+'A-29'!E21</f>
        <v>2E-3</v>
      </c>
      <c r="F32" s="285">
        <f ca="1">+'A-29'!F10+'A-29'!F21</f>
        <v>2E-3</v>
      </c>
      <c r="G32" s="285">
        <f ca="1">+'A-29'!G10+'A-29'!G21</f>
        <v>2E-3</v>
      </c>
      <c r="H32" s="285">
        <f ca="1">+'A-29'!H10+'A-29'!H21</f>
        <v>2E-3</v>
      </c>
      <c r="I32" s="285">
        <f ca="1">+'A-29'!I10+'A-29'!I21</f>
        <v>2E-3</v>
      </c>
      <c r="J32" s="42"/>
      <c r="K32" s="732"/>
      <c r="L32" s="732"/>
    </row>
    <row r="33" spans="1:12" outlineLevel="2">
      <c r="A33" s="61" t="s">
        <v>647</v>
      </c>
      <c r="B33" s="285">
        <f ca="1">+'A-29'!B11+'A-29'!B22</f>
        <v>0</v>
      </c>
      <c r="C33" s="285">
        <f ca="1">+'A-29'!C11+'A-29'!C22</f>
        <v>0</v>
      </c>
      <c r="D33" s="285">
        <f ca="1">+'A-29'!D11+'A-29'!D22</f>
        <v>0</v>
      </c>
      <c r="E33" s="285">
        <f ca="1">+'A-29'!E11+'A-29'!E22</f>
        <v>0</v>
      </c>
      <c r="F33" s="285">
        <f ca="1">+'A-29'!F11+'A-29'!F22</f>
        <v>0</v>
      </c>
      <c r="G33" s="285">
        <f ca="1">+'A-29'!G11+'A-29'!G22</f>
        <v>0</v>
      </c>
      <c r="H33" s="285">
        <f ca="1">+'A-29'!H11+'A-29'!H22</f>
        <v>0</v>
      </c>
      <c r="I33" s="285">
        <f ca="1">+'A-29'!I11+'A-29'!I22</f>
        <v>0</v>
      </c>
      <c r="J33" s="42"/>
      <c r="K33" s="21"/>
      <c r="L33" s="21"/>
    </row>
    <row r="34" spans="1:12" s="759" customFormat="1" outlineLevel="2">
      <c r="A34" s="61" t="s">
        <v>575</v>
      </c>
      <c r="B34" s="285">
        <f ca="1">+'A-29'!B12+'A-29'!B23</f>
        <v>0</v>
      </c>
      <c r="C34" s="285">
        <f ca="1">+'A-29'!C12+'A-29'!C23</f>
        <v>0</v>
      </c>
      <c r="D34" s="285">
        <f ca="1">+'A-29'!D12+'A-29'!D23</f>
        <v>0</v>
      </c>
      <c r="E34" s="285">
        <f ca="1">+'A-29'!E12+'A-29'!E23</f>
        <v>0</v>
      </c>
      <c r="F34" s="285">
        <f ca="1">+'A-29'!F12+'A-29'!F23</f>
        <v>0</v>
      </c>
      <c r="G34" s="285">
        <f ca="1">+'A-29'!G12+'A-29'!G23</f>
        <v>0</v>
      </c>
      <c r="H34" s="285">
        <f ca="1">+'A-29'!H12+'A-29'!H23</f>
        <v>0</v>
      </c>
      <c r="I34" s="285">
        <f ca="1">+'A-29'!I12+'A-29'!I23</f>
        <v>0</v>
      </c>
      <c r="J34" s="42"/>
      <c r="K34" s="732"/>
      <c r="L34" s="732"/>
    </row>
    <row r="35" spans="1:12" ht="13.5" outlineLevel="2" thickBot="1">
      <c r="A35" s="83" t="s">
        <v>70</v>
      </c>
      <c r="B35" s="285">
        <f ca="1">+'A-29'!B13+'A-29'!B24</f>
        <v>0</v>
      </c>
      <c r="C35" s="285">
        <f ca="1">+'A-29'!C13+'A-29'!C24</f>
        <v>0</v>
      </c>
      <c r="D35" s="285">
        <f ca="1">+'A-29'!D13+'A-29'!D24</f>
        <v>0.76900000000000002</v>
      </c>
      <c r="E35" s="285">
        <f ca="1">+'A-29'!E13+'A-29'!E24</f>
        <v>0.76900000000000002</v>
      </c>
      <c r="F35" s="285">
        <f ca="1">+'A-29'!F13+'A-29'!F24</f>
        <v>0.76900000000000002</v>
      </c>
      <c r="G35" s="285">
        <f ca="1">+'A-29'!G13+'A-29'!G24</f>
        <v>0.76900000000000002</v>
      </c>
      <c r="H35" s="285">
        <f ca="1">+'A-29'!H13+'A-29'!H24</f>
        <v>0.76900000000000002</v>
      </c>
      <c r="I35" s="285">
        <f ca="1">+'A-29'!I13+'A-29'!I24</f>
        <v>0.76900000000000002</v>
      </c>
      <c r="J35" s="93"/>
      <c r="K35" s="21"/>
      <c r="L35" s="21"/>
    </row>
    <row r="36" spans="1:12" s="87" customFormat="1" ht="20.25" customHeight="1" thickBot="1">
      <c r="A36" s="94" t="s">
        <v>128</v>
      </c>
      <c r="B36" s="294">
        <f t="shared" ref="B36:I36" ca="1" si="7">SUM(B30:B35)</f>
        <v>0</v>
      </c>
      <c r="C36" s="294">
        <f t="shared" ca="1" si="7"/>
        <v>0</v>
      </c>
      <c r="D36" s="294">
        <f t="shared" ca="1" si="7"/>
        <v>0.91200000000000003</v>
      </c>
      <c r="E36" s="294">
        <f t="shared" ca="1" si="7"/>
        <v>0.91200000000000003</v>
      </c>
      <c r="F36" s="294">
        <f t="shared" ca="1" si="7"/>
        <v>0.91200000000000003</v>
      </c>
      <c r="G36" s="294">
        <f t="shared" ca="1" si="7"/>
        <v>0.91200000000000003</v>
      </c>
      <c r="H36" s="294">
        <f t="shared" ca="1" si="7"/>
        <v>0.91200000000000003</v>
      </c>
      <c r="I36" s="294">
        <f t="shared" ca="1" si="7"/>
        <v>0.91200000000000003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1.4960041176541523E-3</v>
      </c>
      <c r="F42" s="285">
        <f t="shared" ca="1" si="8"/>
        <v>2.8821803124292568E-3</v>
      </c>
      <c r="G42" s="285">
        <f t="shared" ca="1" si="8"/>
        <v>4.2524000885460133E-3</v>
      </c>
      <c r="H42" s="285">
        <f t="shared" ca="1" si="8"/>
        <v>5.7389784957263936E-3</v>
      </c>
      <c r="I42" s="285">
        <f t="shared" ca="1" si="8"/>
        <v>7.1006954423040265E-3</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2.1219916562470244E-5</v>
      </c>
      <c r="F44" s="285">
        <f t="shared" ca="1" si="9"/>
        <v>4.0881990247223498E-5</v>
      </c>
      <c r="G44" s="285">
        <f t="shared" ca="1" si="9"/>
        <v>6.0317731752425721E-5</v>
      </c>
      <c r="H44" s="285">
        <f t="shared" ca="1" si="9"/>
        <v>8.1403950293991385E-5</v>
      </c>
      <c r="I44" s="285">
        <f t="shared" ca="1" si="9"/>
        <v>1.0071908428800036E-4</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8.1590579182698082E-3</v>
      </c>
      <c r="F47" s="285">
        <f t="shared" ca="1" si="12"/>
        <v>1.5719125250057437E-2</v>
      </c>
      <c r="G47" s="285">
        <f t="shared" ca="1" si="12"/>
        <v>2.3192167858807688E-2</v>
      </c>
      <c r="H47" s="285">
        <f t="shared" ca="1" si="12"/>
        <v>3.129981888803969E-2</v>
      </c>
      <c r="I47" s="285">
        <f t="shared" ca="1" si="12"/>
        <v>3.8726487908736139E-2</v>
      </c>
      <c r="K47" s="42"/>
      <c r="L47" s="21"/>
    </row>
    <row r="48" spans="1:12" s="87" customFormat="1" ht="18" customHeight="1" thickBot="1">
      <c r="A48" s="94" t="s">
        <v>74</v>
      </c>
      <c r="B48" s="294"/>
      <c r="C48" s="294">
        <f t="shared" ref="C48:I48" ca="1" si="13">SUM(C42:C47)</f>
        <v>0</v>
      </c>
      <c r="D48" s="294">
        <f t="shared" ca="1" si="13"/>
        <v>0</v>
      </c>
      <c r="E48" s="294">
        <f t="shared" ca="1" si="13"/>
        <v>9.6762819524864301E-3</v>
      </c>
      <c r="F48" s="294">
        <f t="shared" ca="1" si="13"/>
        <v>1.8642187552733919E-2</v>
      </c>
      <c r="G48" s="294">
        <f t="shared" ca="1" si="13"/>
        <v>2.7504885679106125E-2</v>
      </c>
      <c r="H48" s="294">
        <f t="shared" ca="1" si="13"/>
        <v>3.7120201334060077E-2</v>
      </c>
      <c r="I48" s="294">
        <f t="shared" ca="1" si="13"/>
        <v>4.5927902435328169E-2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3.057674397586346E-3</v>
      </c>
      <c r="F53" s="285">
        <f t="shared" ca="1" si="14"/>
        <v>6.2410875681098207E-3</v>
      </c>
      <c r="G53" s="285">
        <f t="shared" ca="1" si="14"/>
        <v>9.7307329238632712E-3</v>
      </c>
      <c r="H53" s="285">
        <f t="shared" ca="1" si="14"/>
        <v>1.3374071213315174E-2</v>
      </c>
      <c r="I53" s="285">
        <f t="shared" ca="1" si="14"/>
        <v>1.715576843243935E-2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1.0106099582812136E-5</v>
      </c>
      <c r="F55" s="285">
        <f t="shared" ca="1" si="15"/>
        <v>2.0459841952227862E-5</v>
      </c>
      <c r="G55" s="285">
        <f t="shared" ca="1" si="15"/>
        <v>3.9383437013936261E-5</v>
      </c>
      <c r="H55" s="285">
        <f t="shared" ca="1" si="15"/>
        <v>6.2059004604514913E-5</v>
      </c>
      <c r="I55" s="285">
        <f t="shared" ca="1" si="15"/>
        <v>8.9676828227410049E-5</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3.0677804971691583E-3</v>
      </c>
      <c r="F59" s="287">
        <f t="shared" ca="1" si="19"/>
        <v>6.2615474100620487E-3</v>
      </c>
      <c r="G59" s="287">
        <f t="shared" ca="1" si="19"/>
        <v>9.7701163608772072E-3</v>
      </c>
      <c r="H59" s="287">
        <f t="shared" ca="1" si="19"/>
        <v>1.3436130217919688E-2</v>
      </c>
      <c r="I59" s="287">
        <f t="shared" ca="1" si="19"/>
        <v>1.7245445260666761E-2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0.14100000000000001</v>
      </c>
      <c r="E64" s="285">
        <f t="shared" ca="1" si="20"/>
        <v>0.14555367851524051</v>
      </c>
      <c r="F64" s="285">
        <f t="shared" ca="1" si="20"/>
        <v>0.15012326788053909</v>
      </c>
      <c r="G64" s="285">
        <f t="shared" ca="1" si="20"/>
        <v>0.15498313301240932</v>
      </c>
      <c r="H64" s="285">
        <f t="shared" ca="1" si="20"/>
        <v>0.16011304970904158</v>
      </c>
      <c r="I64" s="285">
        <f t="shared" ca="1" si="20"/>
        <v>0.16525646387474338</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2E-3</v>
      </c>
      <c r="E66" s="285">
        <f t="shared" ca="1" si="21"/>
        <v>2.0313260161452826E-3</v>
      </c>
      <c r="F66" s="285">
        <f t="shared" ca="1" si="21"/>
        <v>2.0613418321994517E-3</v>
      </c>
      <c r="G66" s="285">
        <f t="shared" ca="1" si="21"/>
        <v>2.0997011687663623E-3</v>
      </c>
      <c r="H66" s="285">
        <f t="shared" ca="1" si="21"/>
        <v>2.1434629548985062E-3</v>
      </c>
      <c r="I66" s="285">
        <f t="shared" ca="1" si="21"/>
        <v>2.1903959125154104E-3</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0.76900000000000002</v>
      </c>
      <c r="E69" s="286">
        <f t="shared" ca="1" si="24"/>
        <v>0.77715905791826978</v>
      </c>
      <c r="F69" s="286">
        <f t="shared" ca="1" si="24"/>
        <v>0.78471912525005749</v>
      </c>
      <c r="G69" s="286">
        <f t="shared" ca="1" si="24"/>
        <v>0.79219216785880775</v>
      </c>
      <c r="H69" s="286">
        <f t="shared" ca="1" si="24"/>
        <v>0.80029981888803969</v>
      </c>
      <c r="I69" s="286">
        <f t="shared" ca="1" si="24"/>
        <v>0.80772648790873613</v>
      </c>
      <c r="K69" s="42"/>
      <c r="L69" s="21"/>
    </row>
    <row r="70" spans="1:20" s="87" customFormat="1" ht="18" customHeight="1" thickBot="1">
      <c r="A70" s="99" t="s">
        <v>129</v>
      </c>
      <c r="B70" s="295">
        <f t="shared" ref="B70:I70" ca="1" si="25">SUM(B64:B69)</f>
        <v>0</v>
      </c>
      <c r="C70" s="295">
        <f t="shared" ca="1" si="25"/>
        <v>0</v>
      </c>
      <c r="D70" s="295">
        <f t="shared" ca="1" si="25"/>
        <v>0.91200000000000003</v>
      </c>
      <c r="E70" s="295">
        <f t="shared" ca="1" si="25"/>
        <v>0.92474406244965557</v>
      </c>
      <c r="F70" s="295">
        <f t="shared" ca="1" si="25"/>
        <v>0.936903734962796</v>
      </c>
      <c r="G70" s="295">
        <f t="shared" ca="1" si="25"/>
        <v>0.94927500203998338</v>
      </c>
      <c r="H70" s="295">
        <f t="shared" ca="1" si="25"/>
        <v>0.96255633155197984</v>
      </c>
      <c r="I70" s="295">
        <f t="shared" ca="1" si="25"/>
        <v>0.97517334769599495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1.4960041176541523E-3</v>
      </c>
      <c r="Q77" s="285">
        <f ca="1">IF($B77&lt;&gt;0,(+VLOOKUP($B77,$A$8:$I$13,6,FALSE))*(F77),0)</f>
        <v>2.8821803124292568E-3</v>
      </c>
      <c r="R77" s="285">
        <f ca="1">IF($B77&lt;&gt;0,(+VLOOKUP($B77,$A$8:$I$13,7,FALSE))*(G77),0)</f>
        <v>4.2524000885460133E-3</v>
      </c>
      <c r="S77" s="285">
        <f ca="1">IF($B77&lt;&gt;0,(+VLOOKUP($B77,$A$8:$I$13,8,FALSE))*(H77),0)</f>
        <v>5.7389784957263936E-3</v>
      </c>
      <c r="T77" s="285">
        <f ca="1">IF($B77&lt;&gt;0,(+VLOOKUP($B77,$A$8:$I$13,9,FALSE))*(I77),0)</f>
        <v>7.1006954423040265E-3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2.1219916562470244E-5</v>
      </c>
      <c r="Q79" s="285">
        <f t="shared" ref="Q79:Q80" ca="1" si="34">IF($B79&lt;&gt;0,(+VLOOKUP($B79,$A$8:$I$13,6,FALSE))*(F79),0)</f>
        <v>4.0881990247223498E-5</v>
      </c>
      <c r="R79" s="285">
        <f t="shared" ref="R79:R80" ca="1" si="35">IF($B79&lt;&gt;0,(+VLOOKUP($B79,$A$8:$I$13,7,FALSE))*(G79),0)</f>
        <v>6.0317731752425721E-5</v>
      </c>
      <c r="S79" s="285">
        <f t="shared" ref="S79:S80" ca="1" si="36">IF($B79&lt;&gt;0,(+VLOOKUP($B79,$A$8:$I$13,8,FALSE))*(H79),0)</f>
        <v>8.1403950293991385E-5</v>
      </c>
      <c r="T79" s="285">
        <f t="shared" ref="T79:T80" ca="1" si="37">IF($B79&lt;&gt;0,(+VLOOKUP($B79,$A$8:$I$13,9,FALSE))*(I79),0)</f>
        <v>1.0071908428800036E-4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8.1590579182698082E-3</v>
      </c>
      <c r="Q82" s="285">
        <f t="shared" ref="Q82" ca="1" si="47">IF($B82&lt;&gt;0,(+VLOOKUP($B82,$A$8:$I$13,6,FALSE))*(F82),0)</f>
        <v>1.5719125250057437E-2</v>
      </c>
      <c r="R82" s="285">
        <f t="shared" ref="R82" ca="1" si="48">IF($B82&lt;&gt;0,(+VLOOKUP($B82,$A$8:$I$13,7,FALSE))*(G82),0)</f>
        <v>2.3192167858807688E-2</v>
      </c>
      <c r="S82" s="285">
        <f t="shared" ref="S82" ca="1" si="49">IF($B82&lt;&gt;0,(+VLOOKUP($B82,$A$8:$I$13,8,FALSE))*(H82),0)</f>
        <v>3.129981888803969E-2</v>
      </c>
      <c r="T82" s="285">
        <f t="shared" ref="T82" ca="1" si="50">IF($B82&lt;&gt;0,(+VLOOKUP($B82,$A$8:$I$13,9,FALSE))*(I82),0)</f>
        <v>3.8726487908736139E-2</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9.6762819524864301E-3</v>
      </c>
      <c r="Q83" s="292">
        <f t="shared" ca="1" si="51"/>
        <v>1.8642187552733919E-2</v>
      </c>
      <c r="R83" s="292">
        <f t="shared" ca="1" si="51"/>
        <v>2.7504885679106125E-2</v>
      </c>
      <c r="S83" s="292">
        <f t="shared" ca="1" si="51"/>
        <v>3.7120201334060077E-2</v>
      </c>
      <c r="T83" s="292">
        <f t="shared" ca="1" si="51"/>
        <v>4.5927902435328169E-2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1.4960041176541523E-3</v>
      </c>
      <c r="F98" s="285">
        <f t="shared" ca="1" si="54"/>
        <v>2.8821803124292568E-3</v>
      </c>
      <c r="G98" s="285">
        <f t="shared" ca="1" si="54"/>
        <v>4.2524000885460133E-3</v>
      </c>
      <c r="H98" s="285">
        <f t="shared" ca="1" si="54"/>
        <v>5.7389784957263936E-3</v>
      </c>
      <c r="I98" s="285">
        <f t="shared" ca="1" si="54"/>
        <v>7.1006954423040265E-3</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2.1219916562470244E-5</v>
      </c>
      <c r="F100" s="285">
        <f t="shared" ca="1" si="56"/>
        <v>4.0881990247223498E-5</v>
      </c>
      <c r="G100" s="285">
        <f t="shared" ca="1" si="56"/>
        <v>6.0317731752425721E-5</v>
      </c>
      <c r="H100" s="285">
        <f t="shared" ca="1" si="56"/>
        <v>8.1403950293991385E-5</v>
      </c>
      <c r="I100" s="285">
        <f t="shared" ca="1" si="56"/>
        <v>1.0071908428800036E-4</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8.1590579182698082E-3</v>
      </c>
      <c r="F103" s="285">
        <f t="shared" ca="1" si="59"/>
        <v>1.5719125250057437E-2</v>
      </c>
      <c r="G103" s="285">
        <f t="shared" ca="1" si="59"/>
        <v>2.3192167858807688E-2</v>
      </c>
      <c r="H103" s="285">
        <f t="shared" ca="1" si="59"/>
        <v>3.129981888803969E-2</v>
      </c>
      <c r="I103" s="285">
        <f t="shared" ca="1" si="59"/>
        <v>3.8726487908736139E-2</v>
      </c>
    </row>
    <row r="104" spans="1:20" outlineLevel="1">
      <c r="A104" s="120" t="s">
        <v>142</v>
      </c>
      <c r="B104" s="121"/>
      <c r="C104" s="296">
        <f t="shared" ref="C104:I104" ca="1" si="60">SUM(C98:C103)</f>
        <v>0</v>
      </c>
      <c r="D104" s="296">
        <f t="shared" ca="1" si="60"/>
        <v>0</v>
      </c>
      <c r="E104" s="296">
        <f t="shared" ca="1" si="60"/>
        <v>9.6762819524864301E-3</v>
      </c>
      <c r="F104" s="296">
        <f t="shared" ca="1" si="60"/>
        <v>1.8642187552733919E-2</v>
      </c>
      <c r="G104" s="296">
        <f t="shared" ca="1" si="60"/>
        <v>2.7504885679106125E-2</v>
      </c>
      <c r="H104" s="296">
        <f t="shared" ca="1" si="60"/>
        <v>3.7120201334060077E-2</v>
      </c>
      <c r="I104" s="296">
        <f t="shared" ca="1" si="60"/>
        <v>4.5927902435328169E-2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2.0440995123611753E-2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3.057674397586346E-3</v>
      </c>
      <c r="Q113" s="285">
        <f ca="1">IF($B113&lt;&gt;0,(+VLOOKUP($B113,$A$8:$I$13,6,FALSE)+VLOOKUP($B113,$A$42:$I$47,6,FALSE))*(F113),0)</f>
        <v>6.2410875681098207E-3</v>
      </c>
      <c r="R113" s="285">
        <f ca="1">IF($B113&lt;&gt;0,(+VLOOKUP($B113,$A$8:$I$13,7,FALSE)+VLOOKUP($B113,$A$42:$I$47,7,FALSE))*(G113),0)</f>
        <v>9.7307329238632712E-3</v>
      </c>
      <c r="S113" s="285">
        <f ca="1">IF($B113&lt;&gt;0,(+VLOOKUP($B113,$A$8:$I$13,8,FALSE)+VLOOKUP($B113,$A$42:$I$47,8,FALSE))*(H113),0)</f>
        <v>1.3374071213315174E-2</v>
      </c>
      <c r="T113" s="285">
        <f ca="1">IF($B113&lt;&gt;0,(+VLOOKUP($B113,$A$8:$I$13,9,FALSE)+VLOOKUP($B113,$A$42:$I$47,9,FALSE))*(I113),0)</f>
        <v>1.715576843243935E-2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1.0106099582812136E-5</v>
      </c>
      <c r="Q115" s="285">
        <f t="shared" ca="1" si="68"/>
        <v>2.0459841952227862E-5</v>
      </c>
      <c r="R115" s="285">
        <f t="shared" ca="1" si="69"/>
        <v>3.9383437013936261E-5</v>
      </c>
      <c r="S115" s="285">
        <f t="shared" ca="1" si="70"/>
        <v>6.2059004604514913E-5</v>
      </c>
      <c r="T115" s="285">
        <f t="shared" ca="1" si="71"/>
        <v>8.9676828227410049E-5</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3.0677804971691583E-3</v>
      </c>
      <c r="Q119" s="292">
        <f t="shared" ca="1" si="72"/>
        <v>6.2615474100620487E-3</v>
      </c>
      <c r="R119" s="292">
        <f t="shared" ca="1" si="72"/>
        <v>9.7701163608772072E-3</v>
      </c>
      <c r="S119" s="292">
        <f t="shared" ca="1" si="72"/>
        <v>1.3436130217919688E-2</v>
      </c>
      <c r="T119" s="292">
        <f t="shared" ca="1" si="72"/>
        <v>1.7245445260666761E-2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3.057674397586346E-3</v>
      </c>
      <c r="F134" s="285">
        <f t="shared" ca="1" si="75"/>
        <v>6.2410875681098207E-3</v>
      </c>
      <c r="G134" s="285">
        <f t="shared" ca="1" si="75"/>
        <v>9.7307329238632712E-3</v>
      </c>
      <c r="H134" s="285">
        <f t="shared" ca="1" si="75"/>
        <v>1.3374071213315174E-2</v>
      </c>
      <c r="I134" s="285">
        <f t="shared" ca="1" si="75"/>
        <v>1.715576843243935E-2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1.0106099582812136E-5</v>
      </c>
      <c r="F136" s="285">
        <f t="shared" ca="1" si="77"/>
        <v>2.0459841952227862E-5</v>
      </c>
      <c r="G136" s="285">
        <f t="shared" ca="1" si="77"/>
        <v>3.9383437013936261E-5</v>
      </c>
      <c r="H136" s="285">
        <f t="shared" ca="1" si="77"/>
        <v>6.2059004604514913E-5</v>
      </c>
      <c r="I136" s="285">
        <f t="shared" ca="1" si="77"/>
        <v>8.9676828227410049E-5</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3.0677804971691583E-3</v>
      </c>
      <c r="F140" s="296">
        <f t="shared" ca="1" si="81"/>
        <v>6.2615474100620487E-3</v>
      </c>
      <c r="G140" s="296">
        <f t="shared" ca="1" si="81"/>
        <v>9.7701163608772072E-3</v>
      </c>
      <c r="H140" s="296">
        <f t="shared" ca="1" si="81"/>
        <v>1.3436130217919688E-2</v>
      </c>
      <c r="I140" s="296">
        <f t="shared" ca="1" si="81"/>
        <v>1.7245445260666761E-2</v>
      </c>
    </row>
    <row r="141" spans="1:16" ht="13.5" outlineLevel="1" thickBot="1">
      <c r="A141" s="122" t="s">
        <v>148</v>
      </c>
      <c r="B141" s="126"/>
      <c r="C141" s="124">
        <f t="shared" ref="C141:I141" ca="1" si="82">IF((+C36+C48)&lt;&gt;0,+C140/(+C36+C48),0)</f>
        <v>0</v>
      </c>
      <c r="D141" s="124">
        <f t="shared" ca="1" si="82"/>
        <v>0</v>
      </c>
      <c r="E141" s="124">
        <f t="shared" ca="1" si="82"/>
        <v>3.3284793774559845E-3</v>
      </c>
      <c r="F141" s="124">
        <f t="shared" ca="1" si="82"/>
        <v>6.7282006917478623E-3</v>
      </c>
      <c r="G141" s="124">
        <f t="shared" ca="1" si="82"/>
        <v>1.0399218258258481E-2</v>
      </c>
      <c r="H141" s="124">
        <f t="shared" ca="1" si="82"/>
        <v>1.4156405267777668E-2</v>
      </c>
      <c r="I141" s="124">
        <f t="shared" ca="1" si="82"/>
        <v>1.8002863489855424E-2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(SEM)'!$N$259:$R$264</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0.91200000000000003</v>
      </c>
      <c r="E205" s="82">
        <f t="shared" ca="1" si="95"/>
        <v>0.91200000000000003</v>
      </c>
      <c r="F205" s="82">
        <f t="shared" ca="1" si="95"/>
        <v>0.91200000000000003</v>
      </c>
      <c r="G205" s="82">
        <f t="shared" ca="1" si="95"/>
        <v>0.91200000000000003</v>
      </c>
      <c r="H205" s="82">
        <f t="shared" ca="1" si="95"/>
        <v>0.91200000000000003</v>
      </c>
      <c r="I205" s="82">
        <f t="shared" ca="1" si="95"/>
        <v>0.91200000000000003</v>
      </c>
    </row>
    <row r="206" spans="1:9" outlineLevel="1">
      <c r="A206" t="s">
        <v>156</v>
      </c>
      <c r="B206" s="82">
        <f t="shared" ref="B206:I206" ca="1" si="96">+B36</f>
        <v>0</v>
      </c>
      <c r="C206" s="82">
        <f t="shared" ca="1" si="96"/>
        <v>0</v>
      </c>
      <c r="D206" s="82">
        <f t="shared" ca="1" si="96"/>
        <v>0.91200000000000003</v>
      </c>
      <c r="E206" s="82">
        <f t="shared" ca="1" si="96"/>
        <v>0.91200000000000003</v>
      </c>
      <c r="F206" s="82">
        <f t="shared" ca="1" si="96"/>
        <v>0.91200000000000003</v>
      </c>
      <c r="G206" s="82">
        <f t="shared" ca="1" si="96"/>
        <v>0.91200000000000003</v>
      </c>
      <c r="H206" s="82">
        <f t="shared" ca="1" si="96"/>
        <v>0.91200000000000003</v>
      </c>
      <c r="I206" s="82">
        <f t="shared" ca="1" si="96"/>
        <v>0.91200000000000003</v>
      </c>
    </row>
    <row r="207" spans="1:9" outlineLevel="1">
      <c r="A207" t="s">
        <v>157</v>
      </c>
      <c r="B207" s="82">
        <f t="shared" ref="B207:I207" ca="1" si="97">+B36+B48</f>
        <v>0</v>
      </c>
      <c r="C207" s="82">
        <f t="shared" ca="1" si="97"/>
        <v>0</v>
      </c>
      <c r="D207" s="82">
        <f t="shared" ca="1" si="97"/>
        <v>0.91200000000000003</v>
      </c>
      <c r="E207" s="82">
        <f t="shared" ca="1" si="97"/>
        <v>0.92167628195248641</v>
      </c>
      <c r="F207" s="82">
        <f t="shared" ca="1" si="97"/>
        <v>0.93064218755273398</v>
      </c>
      <c r="G207" s="82">
        <f t="shared" ca="1" si="97"/>
        <v>0.93950488567910617</v>
      </c>
      <c r="H207" s="82">
        <f t="shared" ca="1" si="97"/>
        <v>0.94912020133406005</v>
      </c>
      <c r="I207" s="82">
        <f t="shared" ca="1" si="97"/>
        <v>0.95792790243532822</v>
      </c>
    </row>
    <row r="208" spans="1:9" outlineLevel="1">
      <c r="A208" t="s">
        <v>158</v>
      </c>
      <c r="B208" s="82">
        <f t="shared" ref="B208:I208" ca="1" si="98">+B70</f>
        <v>0</v>
      </c>
      <c r="C208" s="82">
        <f t="shared" ca="1" si="98"/>
        <v>0</v>
      </c>
      <c r="D208" s="82">
        <f t="shared" ca="1" si="98"/>
        <v>0.91200000000000003</v>
      </c>
      <c r="E208" s="82">
        <f t="shared" ca="1" si="98"/>
        <v>0.92474406244965557</v>
      </c>
      <c r="F208" s="82">
        <f t="shared" ca="1" si="98"/>
        <v>0.936903734962796</v>
      </c>
      <c r="G208" s="82">
        <f t="shared" ca="1" si="98"/>
        <v>0.94927500203998338</v>
      </c>
      <c r="H208" s="82">
        <f t="shared" ca="1" si="98"/>
        <v>0.96255633155197984</v>
      </c>
      <c r="I208" s="82">
        <f t="shared" ca="1" si="98"/>
        <v>0.97517334769599495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40" priority="1" stopIfTrue="1" operator="notEqual">
      <formula>0</formula>
    </cfRule>
  </conditionalFormatting>
  <conditionalFormatting sqref="J130 J94 J70 J59 J48 J36:J37 J14 J25">
    <cfRule type="cellIs" dxfId="239" priority="2" stopIfTrue="1" operator="equal">
      <formula>"OK"</formula>
    </cfRule>
    <cfRule type="cellIs" dxfId="238" priority="3" stopIfTrue="1" operator="equal">
      <formula>"Warning Check Escalations"</formula>
    </cfRule>
  </conditionalFormatting>
  <conditionalFormatting sqref="N120:T120 N84:T84">
    <cfRule type="cellIs" dxfId="237" priority="4" stopIfTrue="1" operator="notEqual">
      <formula>0</formula>
    </cfRule>
    <cfRule type="cellIs" dxfId="23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3.xml><?xml version="1.0" encoding="utf-8"?>
<worksheet xmlns="http://schemas.openxmlformats.org/spreadsheetml/2006/main" xmlns:r="http://schemas.openxmlformats.org/officeDocument/2006/relationships">
  <sheetPr codeName="Sheet86" enableFormatConditionsCalculation="0">
    <tabColor indexed="57"/>
    <pageSetUpPr fitToPage="1"/>
  </sheetPr>
  <dimension ref="A1:T239"/>
  <sheetViews>
    <sheetView showGridLines="0" topLeftCell="A67"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30</v>
      </c>
      <c r="M1" s="282"/>
      <c r="N1" s="280"/>
      <c r="O1" s="280"/>
      <c r="P1" s="280"/>
      <c r="Q1" s="280"/>
      <c r="R1" s="280"/>
      <c r="S1" s="280"/>
      <c r="T1" s="280"/>
    </row>
    <row r="2" spans="1:20" ht="15.75">
      <c r="A2" s="184" t="s">
        <v>121</v>
      </c>
      <c r="B2" s="74" t="str">
        <f ca="1">OFFSET(List_AllocOpexListStart,+$K$1,1)</f>
        <v>Risk &amp; Insurance – Support Costs</v>
      </c>
      <c r="F2" s="284"/>
      <c r="H2" s="42"/>
      <c r="I2" s="283"/>
      <c r="L2" s="282"/>
      <c r="M2" s="282"/>
    </row>
    <row r="3" spans="1:20" ht="16.5" thickBot="1">
      <c r="A3" s="184" t="s">
        <v>371</v>
      </c>
      <c r="B3" s="236" t="str">
        <f ca="1">OFFSET(List_AllocOpexListStart,+$K$1,2)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0.46300000000000002</v>
      </c>
      <c r="E8" s="285">
        <f ca="1">OFFSET(Future_AOpexStart,MATCH($K$1,'I-6 Future A'!$A$6:$A$379)+2,+'I-5 Future DA'!F$5)</f>
        <v>0.46300000000000002</v>
      </c>
      <c r="F8" s="285">
        <f ca="1">OFFSET(Future_AOpexStart,MATCH($K$1,'I-6 Future A'!$A$6:$A$379)+2,+'I-5 Future DA'!G$5)</f>
        <v>0.46300000000000002</v>
      </c>
      <c r="G8" s="285">
        <f ca="1">OFFSET(Future_AOpexStart,MATCH($K$1,'I-6 Future A'!$A$6:$A$379)+2,+'I-5 Future DA'!H$5)</f>
        <v>0.46300000000000002</v>
      </c>
      <c r="H8" s="285">
        <f ca="1">OFFSET(Future_AOpexStart,MATCH($K$1,'I-6 Future A'!$A$6:$A$379)+2,+'I-5 Future DA'!I$5)</f>
        <v>0.46300000000000002</v>
      </c>
      <c r="I8" s="285">
        <f ca="1">OFFSET(Future_AOpexStart,MATCH($K$1,'I-6 Future A'!$A$6:$A$379)+2,+'I-5 Future DA'!J$5)</f>
        <v>0.46300000000000002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8.0000000000000002E-3</v>
      </c>
      <c r="E10" s="285">
        <f ca="1">OFFSET(Future_AOpexStart,MATCH($K$1,'I-6 Future A'!$A$6:$A$379)+4,+'I-5 Future DA'!F$5)</f>
        <v>8.0000000000000002E-3</v>
      </c>
      <c r="F10" s="285">
        <f ca="1">OFFSET(Future_AOpexStart,MATCH($K$1,'I-6 Future A'!$A$6:$A$379)+4,+'I-5 Future DA'!G$5)</f>
        <v>8.0000000000000002E-3</v>
      </c>
      <c r="G10" s="285">
        <f ca="1">OFFSET(Future_AOpexStart,MATCH($K$1,'I-6 Future A'!$A$6:$A$379)+4,+'I-5 Future DA'!H$5)</f>
        <v>8.0000000000000002E-3</v>
      </c>
      <c r="H10" s="285">
        <f ca="1">OFFSET(Future_AOpexStart,MATCH($K$1,'I-6 Future A'!$A$6:$A$379)+4,+'I-5 Future DA'!I$5)</f>
        <v>8.0000000000000002E-3</v>
      </c>
      <c r="I10" s="285">
        <f ca="1">OFFSET(Future_AOpexStart,MATCH($K$1,'I-6 Future A'!$A$6:$A$379)+4,+'I-5 Future DA'!J$5)</f>
        <v>8.0000000000000002E-3</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2.5450000000000004</v>
      </c>
      <c r="E11" s="285">
        <f ca="1">OFFSET(Future_AOpexStart,MATCH($K$1,'I-6 Future A'!$A$6:$A$379)+5,+'I-5 Future DA'!F$5)</f>
        <v>2.5450000000000004</v>
      </c>
      <c r="F11" s="285">
        <f ca="1">OFFSET(Future_AOpexStart,MATCH($K$1,'I-6 Future A'!$A$6:$A$379)+5,+'I-5 Future DA'!G$5)</f>
        <v>2.5450000000000004</v>
      </c>
      <c r="G11" s="285">
        <f ca="1">OFFSET(Future_AOpexStart,MATCH($K$1,'I-6 Future A'!$A$6:$A$379)+5,+'I-5 Future DA'!H$5)</f>
        <v>2.5450000000000004</v>
      </c>
      <c r="H11" s="285">
        <f ca="1">OFFSET(Future_AOpexStart,MATCH($K$1,'I-6 Future A'!$A$6:$A$379)+5,+'I-5 Future DA'!I$5)</f>
        <v>2.5450000000000004</v>
      </c>
      <c r="I11" s="285">
        <f ca="1">OFFSET(Future_AOpexStart,MATCH($K$1,'I-6 Future A'!$A$6:$A$379)+5,+'I-5 Future DA'!J$5)</f>
        <v>2.5450000000000004</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3.0160000000000005</v>
      </c>
      <c r="E14" s="287">
        <f t="shared" ca="1" si="0"/>
        <v>3.0160000000000005</v>
      </c>
      <c r="F14" s="287">
        <f t="shared" ca="1" si="0"/>
        <v>3.0160000000000005</v>
      </c>
      <c r="G14" s="287">
        <f t="shared" ca="1" si="0"/>
        <v>3.0160000000000005</v>
      </c>
      <c r="H14" s="287">
        <f t="shared" ca="1" si="0"/>
        <v>3.0160000000000005</v>
      </c>
      <c r="I14" s="287">
        <f t="shared" ca="1" si="0"/>
        <v>3.0160000000000005</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+'A-30'!B8+'A-30'!B19</f>
        <v>0</v>
      </c>
      <c r="C30" s="285">
        <f ca="1">+'A-30'!C8+'A-30'!C19</f>
        <v>0</v>
      </c>
      <c r="D30" s="285">
        <f ca="1">+'A-30'!D8+'A-30'!D19</f>
        <v>0.46300000000000002</v>
      </c>
      <c r="E30" s="285">
        <f ca="1">+'A-30'!E8+'A-30'!E19</f>
        <v>0.46300000000000002</v>
      </c>
      <c r="F30" s="285">
        <f ca="1">+'A-30'!F8+'A-30'!F19</f>
        <v>0.46300000000000002</v>
      </c>
      <c r="G30" s="285">
        <f ca="1">+'A-30'!G8+'A-30'!G19</f>
        <v>0.46300000000000002</v>
      </c>
      <c r="H30" s="285">
        <f ca="1">+'A-30'!H8+'A-30'!H19</f>
        <v>0.46300000000000002</v>
      </c>
      <c r="I30" s="285">
        <f ca="1">+'A-30'!I8+'A-30'!I19</f>
        <v>0.46300000000000002</v>
      </c>
      <c r="J30" s="42"/>
      <c r="K30" s="21"/>
      <c r="L30" s="21"/>
    </row>
    <row r="31" spans="1:12" outlineLevel="2">
      <c r="A31" s="61" t="s">
        <v>69</v>
      </c>
      <c r="B31" s="285">
        <f ca="1">+'A-30'!B9+'A-30'!B20</f>
        <v>0</v>
      </c>
      <c r="C31" s="285">
        <f ca="1">+'A-30'!C9+'A-30'!C20</f>
        <v>0</v>
      </c>
      <c r="D31" s="285">
        <f ca="1">+'A-30'!D9+'A-30'!D20</f>
        <v>0</v>
      </c>
      <c r="E31" s="285">
        <f ca="1">+'A-30'!E9+'A-30'!E20</f>
        <v>0</v>
      </c>
      <c r="F31" s="285">
        <f ca="1">+'A-30'!F9+'A-30'!F20</f>
        <v>0</v>
      </c>
      <c r="G31" s="285">
        <f ca="1">+'A-30'!G9+'A-30'!G20</f>
        <v>0</v>
      </c>
      <c r="H31" s="285">
        <f ca="1">+'A-30'!H9+'A-30'!H20</f>
        <v>0</v>
      </c>
      <c r="I31" s="285">
        <f ca="1">+'A-30'!I9+'A-30'!I20</f>
        <v>0</v>
      </c>
      <c r="J31" s="42"/>
      <c r="K31" s="21"/>
      <c r="L31" s="21"/>
    </row>
    <row r="32" spans="1:12" s="759" customFormat="1" outlineLevel="2">
      <c r="A32" s="61" t="s">
        <v>646</v>
      </c>
      <c r="B32" s="285">
        <f ca="1">+'A-30'!B10+'A-30'!B21</f>
        <v>0</v>
      </c>
      <c r="C32" s="285">
        <f ca="1">+'A-30'!C10+'A-30'!C21</f>
        <v>0</v>
      </c>
      <c r="D32" s="285">
        <f ca="1">+'A-30'!D10+'A-30'!D21</f>
        <v>8.0000000000000002E-3</v>
      </c>
      <c r="E32" s="285">
        <f ca="1">+'A-30'!E10+'A-30'!E21</f>
        <v>8.0000000000000002E-3</v>
      </c>
      <c r="F32" s="285">
        <f ca="1">+'A-30'!F10+'A-30'!F21</f>
        <v>8.0000000000000002E-3</v>
      </c>
      <c r="G32" s="285">
        <f ca="1">+'A-30'!G10+'A-30'!G21</f>
        <v>8.0000000000000002E-3</v>
      </c>
      <c r="H32" s="285">
        <f ca="1">+'A-30'!H10+'A-30'!H21</f>
        <v>8.0000000000000002E-3</v>
      </c>
      <c r="I32" s="285">
        <f ca="1">+'A-30'!I10+'A-30'!I21</f>
        <v>8.0000000000000002E-3</v>
      </c>
      <c r="J32" s="42"/>
      <c r="K32" s="732"/>
      <c r="L32" s="732"/>
    </row>
    <row r="33" spans="1:12" outlineLevel="2">
      <c r="A33" s="61" t="s">
        <v>647</v>
      </c>
      <c r="B33" s="285">
        <f ca="1">+'A-30'!B11+'A-30'!B22</f>
        <v>0</v>
      </c>
      <c r="C33" s="285">
        <f ca="1">+'A-30'!C11+'A-30'!C22</f>
        <v>0</v>
      </c>
      <c r="D33" s="285">
        <f ca="1">+'A-30'!D11+'A-30'!D22</f>
        <v>2.5450000000000004</v>
      </c>
      <c r="E33" s="285">
        <f ca="1">+'A-30'!E11+'A-30'!E22</f>
        <v>2.5450000000000004</v>
      </c>
      <c r="F33" s="285">
        <f ca="1">+'A-30'!F11+'A-30'!F22</f>
        <v>2.5450000000000004</v>
      </c>
      <c r="G33" s="285">
        <f ca="1">+'A-30'!G11+'A-30'!G22</f>
        <v>2.5450000000000004</v>
      </c>
      <c r="H33" s="285">
        <f ca="1">+'A-30'!H11+'A-30'!H22</f>
        <v>2.5450000000000004</v>
      </c>
      <c r="I33" s="285">
        <f ca="1">+'A-30'!I11+'A-30'!I22</f>
        <v>2.5450000000000004</v>
      </c>
      <c r="J33" s="42"/>
      <c r="K33" s="21"/>
      <c r="L33" s="21"/>
    </row>
    <row r="34" spans="1:12" s="759" customFormat="1" outlineLevel="2">
      <c r="A34" s="61" t="s">
        <v>575</v>
      </c>
      <c r="B34" s="285">
        <f ca="1">+'A-30'!B12+'A-30'!B23</f>
        <v>0</v>
      </c>
      <c r="C34" s="285">
        <f ca="1">+'A-30'!C12+'A-30'!C23</f>
        <v>0</v>
      </c>
      <c r="D34" s="285">
        <f ca="1">+'A-30'!D12+'A-30'!D23</f>
        <v>0</v>
      </c>
      <c r="E34" s="285">
        <f ca="1">+'A-30'!E12+'A-30'!E23</f>
        <v>0</v>
      </c>
      <c r="F34" s="285">
        <f ca="1">+'A-30'!F12+'A-30'!F23</f>
        <v>0</v>
      </c>
      <c r="G34" s="285">
        <f ca="1">+'A-30'!G12+'A-30'!G23</f>
        <v>0</v>
      </c>
      <c r="H34" s="285">
        <f ca="1">+'A-30'!H12+'A-30'!H23</f>
        <v>0</v>
      </c>
      <c r="I34" s="285">
        <f ca="1">+'A-30'!I12+'A-30'!I23</f>
        <v>0</v>
      </c>
      <c r="J34" s="42"/>
      <c r="K34" s="732"/>
      <c r="L34" s="732"/>
    </row>
    <row r="35" spans="1:12" ht="13.5" outlineLevel="2" thickBot="1">
      <c r="A35" s="83" t="s">
        <v>70</v>
      </c>
      <c r="B35" s="285">
        <f ca="1">+'A-30'!B13+'A-30'!B24</f>
        <v>0</v>
      </c>
      <c r="C35" s="285">
        <f ca="1">+'A-30'!C13+'A-30'!C24</f>
        <v>0</v>
      </c>
      <c r="D35" s="285">
        <f ca="1">+'A-30'!D13+'A-30'!D24</f>
        <v>0</v>
      </c>
      <c r="E35" s="285">
        <f ca="1">+'A-30'!E13+'A-30'!E24</f>
        <v>0</v>
      </c>
      <c r="F35" s="285">
        <f ca="1">+'A-30'!F13+'A-30'!F24</f>
        <v>0</v>
      </c>
      <c r="G35" s="285">
        <f ca="1">+'A-30'!G13+'A-30'!G24</f>
        <v>0</v>
      </c>
      <c r="H35" s="285">
        <f ca="1">+'A-30'!H13+'A-30'!H24</f>
        <v>0</v>
      </c>
      <c r="I35" s="285">
        <f ca="1">+'A-30'!I13+'A-30'!I24</f>
        <v>0</v>
      </c>
      <c r="J35" s="93"/>
      <c r="K35" s="21"/>
      <c r="L35" s="21"/>
    </row>
    <row r="36" spans="1:12" s="87" customFormat="1" ht="20.25" customHeight="1" thickBot="1">
      <c r="A36" s="94" t="s">
        <v>128</v>
      </c>
      <c r="B36" s="294">
        <f t="shared" ref="B36:I36" ca="1" si="7">SUM(B30:B35)</f>
        <v>0</v>
      </c>
      <c r="C36" s="294">
        <f t="shared" ca="1" si="7"/>
        <v>0</v>
      </c>
      <c r="D36" s="294">
        <f t="shared" ca="1" si="7"/>
        <v>3.0160000000000005</v>
      </c>
      <c r="E36" s="294">
        <f t="shared" ca="1" si="7"/>
        <v>3.0160000000000005</v>
      </c>
      <c r="F36" s="294">
        <f t="shared" ca="1" si="7"/>
        <v>3.0160000000000005</v>
      </c>
      <c r="G36" s="294">
        <f t="shared" ca="1" si="7"/>
        <v>3.0160000000000005</v>
      </c>
      <c r="H36" s="294">
        <f t="shared" ca="1" si="7"/>
        <v>3.0160000000000005</v>
      </c>
      <c r="I36" s="294">
        <f t="shared" ca="1" si="7"/>
        <v>3.0160000000000005</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4.9124106842118615E-3</v>
      </c>
      <c r="F42" s="285">
        <f t="shared" ca="1" si="8"/>
        <v>9.4641807422322401E-3</v>
      </c>
      <c r="G42" s="285">
        <f t="shared" ca="1" si="8"/>
        <v>1.3963554900686554E-2</v>
      </c>
      <c r="H42" s="285">
        <f t="shared" ca="1" si="8"/>
        <v>1.8845014493059007E-2</v>
      </c>
      <c r="I42" s="285">
        <f t="shared" ca="1" si="8"/>
        <v>2.3316468012672086E-2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8.4879666249880974E-5</v>
      </c>
      <c r="F44" s="285">
        <f t="shared" ca="1" si="9"/>
        <v>1.6352796098889399E-4</v>
      </c>
      <c r="G44" s="285">
        <f t="shared" ca="1" si="9"/>
        <v>2.4127092700970289E-4</v>
      </c>
      <c r="H44" s="285">
        <f t="shared" ca="1" si="9"/>
        <v>3.2561580117596554E-4</v>
      </c>
      <c r="I44" s="285">
        <f t="shared" ca="1" si="9"/>
        <v>4.0287633715200145E-4</v>
      </c>
      <c r="K44" s="42"/>
      <c r="L44" s="732"/>
    </row>
    <row r="45" spans="1:12" outlineLevel="1">
      <c r="A45" s="61" t="s">
        <v>647</v>
      </c>
      <c r="B45" s="82"/>
      <c r="C45" s="285">
        <f t="shared" ref="C45:I45" ca="1" si="10">+C101</f>
        <v>0</v>
      </c>
      <c r="D45" s="285">
        <f t="shared" ca="1" si="10"/>
        <v>0</v>
      </c>
      <c r="E45" s="285">
        <f t="shared" ca="1" si="10"/>
        <v>2.7002343825743388E-2</v>
      </c>
      <c r="F45" s="285">
        <f t="shared" ca="1" si="10"/>
        <v>5.2022332589591908E-2</v>
      </c>
      <c r="G45" s="285">
        <f t="shared" ca="1" si="10"/>
        <v>7.6754313654961742E-2</v>
      </c>
      <c r="H45" s="285">
        <f t="shared" ca="1" si="10"/>
        <v>0.10358652674910405</v>
      </c>
      <c r="I45" s="285">
        <f t="shared" ca="1" si="10"/>
        <v>0.12816503475648047</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3.1999634176205133E-2</v>
      </c>
      <c r="F48" s="294">
        <f t="shared" ca="1" si="13"/>
        <v>6.165004129281304E-2</v>
      </c>
      <c r="G48" s="294">
        <f t="shared" ca="1" si="13"/>
        <v>9.0959139482658005E-2</v>
      </c>
      <c r="H48" s="294">
        <f t="shared" ca="1" si="13"/>
        <v>0.12275715704333903</v>
      </c>
      <c r="I48" s="294">
        <f t="shared" ca="1" si="13"/>
        <v>0.15188437910630456</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1.0040448553776442E-2</v>
      </c>
      <c r="F53" s="285">
        <f t="shared" ca="1" si="14"/>
        <v>2.0493784000247144E-2</v>
      </c>
      <c r="G53" s="285">
        <f t="shared" ca="1" si="14"/>
        <v>3.1952690381196414E-2</v>
      </c>
      <c r="H53" s="285">
        <f t="shared" ca="1" si="14"/>
        <v>4.3916276395495932E-2</v>
      </c>
      <c r="I53" s="285">
        <f t="shared" ca="1" si="14"/>
        <v>5.6334189959002974E-2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4.0424398331248544E-5</v>
      </c>
      <c r="F55" s="285">
        <f t="shared" ca="1" si="15"/>
        <v>8.1839367808911448E-5</v>
      </c>
      <c r="G55" s="285">
        <f t="shared" ca="1" si="15"/>
        <v>1.5753374805574504E-4</v>
      </c>
      <c r="H55" s="285">
        <f t="shared" ca="1" si="15"/>
        <v>2.4823601841805965E-4</v>
      </c>
      <c r="I55" s="285">
        <f t="shared" ca="1" si="15"/>
        <v>3.5870731290964019E-4</v>
      </c>
      <c r="K55" s="42"/>
      <c r="L55" s="732"/>
    </row>
    <row r="56" spans="1:12" outlineLevel="1">
      <c r="A56" s="61" t="s">
        <v>647</v>
      </c>
      <c r="B56" s="285"/>
      <c r="C56" s="285">
        <f t="shared" ref="C56:I56" ca="1" si="16">+C137</f>
        <v>0</v>
      </c>
      <c r="D56" s="285">
        <f t="shared" ca="1" si="16"/>
        <v>0</v>
      </c>
      <c r="E56" s="285">
        <f t="shared" ca="1" si="16"/>
        <v>1.2860011719128445E-2</v>
      </c>
      <c r="F56" s="285">
        <f t="shared" ca="1" si="16"/>
        <v>2.6035148884209956E-2</v>
      </c>
      <c r="G56" s="285">
        <f t="shared" ca="1" si="16"/>
        <v>5.0115423600233897E-2</v>
      </c>
      <c r="H56" s="285">
        <f t="shared" ca="1" si="16"/>
        <v>7.8970083359245241E-2</v>
      </c>
      <c r="I56" s="285">
        <f t="shared" ca="1" si="16"/>
        <v>0.1141137639193793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2.2940884671236138E-2</v>
      </c>
      <c r="F59" s="287">
        <f t="shared" ca="1" si="19"/>
        <v>4.6610772252266008E-2</v>
      </c>
      <c r="G59" s="287">
        <f t="shared" ca="1" si="19"/>
        <v>8.2225647729486054E-2</v>
      </c>
      <c r="H59" s="287">
        <f t="shared" ca="1" si="19"/>
        <v>0.12313459577315923</v>
      </c>
      <c r="I59" s="287">
        <f t="shared" ca="1" si="19"/>
        <v>0.17080666119129193</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0.46300000000000002</v>
      </c>
      <c r="E64" s="285">
        <f t="shared" ca="1" si="20"/>
        <v>0.47795285923798836</v>
      </c>
      <c r="F64" s="285">
        <f t="shared" ca="1" si="20"/>
        <v>0.49295796474247944</v>
      </c>
      <c r="G64" s="285">
        <f t="shared" ca="1" si="20"/>
        <v>0.50891624528188295</v>
      </c>
      <c r="H64" s="285">
        <f t="shared" ca="1" si="20"/>
        <v>0.52576129088855494</v>
      </c>
      <c r="I64" s="285">
        <f t="shared" ca="1" si="20"/>
        <v>0.54265065797167511</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8.0000000000000002E-3</v>
      </c>
      <c r="E66" s="285">
        <f t="shared" ca="1" si="21"/>
        <v>8.1253040645811302E-3</v>
      </c>
      <c r="F66" s="285">
        <f t="shared" ca="1" si="21"/>
        <v>8.2453673287978067E-3</v>
      </c>
      <c r="G66" s="285">
        <f t="shared" ca="1" si="21"/>
        <v>8.398804675065449E-3</v>
      </c>
      <c r="H66" s="285">
        <f t="shared" ca="1" si="21"/>
        <v>8.573851819594025E-3</v>
      </c>
      <c r="I66" s="285">
        <f t="shared" ca="1" si="21"/>
        <v>8.7615836500616415E-3</v>
      </c>
      <c r="K66" s="42"/>
      <c r="L66" s="732"/>
    </row>
    <row r="67" spans="1:20" ht="12.75" customHeight="1" outlineLevel="1">
      <c r="A67" s="61" t="s">
        <v>647</v>
      </c>
      <c r="B67" s="285">
        <f t="shared" ref="B67:I67" ca="1" si="22">+B45+B33+B56</f>
        <v>0</v>
      </c>
      <c r="C67" s="285">
        <f t="shared" ca="1" si="22"/>
        <v>0</v>
      </c>
      <c r="D67" s="285">
        <f t="shared" ca="1" si="22"/>
        <v>2.5450000000000004</v>
      </c>
      <c r="E67" s="285">
        <f t="shared" ca="1" si="22"/>
        <v>2.5848623555448724</v>
      </c>
      <c r="F67" s="285">
        <f t="shared" ca="1" si="22"/>
        <v>2.6230574814738024</v>
      </c>
      <c r="G67" s="285">
        <f t="shared" ca="1" si="22"/>
        <v>2.6718697372551961</v>
      </c>
      <c r="H67" s="285">
        <f t="shared" ca="1" si="22"/>
        <v>2.7275566101083495</v>
      </c>
      <c r="I67" s="285">
        <f t="shared" ca="1" si="22"/>
        <v>2.7872787986758603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3.0160000000000005</v>
      </c>
      <c r="E70" s="295">
        <f t="shared" ca="1" si="25"/>
        <v>3.0709405188474417</v>
      </c>
      <c r="F70" s="295">
        <f t="shared" ca="1" si="25"/>
        <v>3.1242608135450798</v>
      </c>
      <c r="G70" s="295">
        <f t="shared" ca="1" si="25"/>
        <v>3.1891847872121444</v>
      </c>
      <c r="H70" s="295">
        <f t="shared" ca="1" si="25"/>
        <v>3.2618917528164983</v>
      </c>
      <c r="I70" s="295">
        <f t="shared" ca="1" si="25"/>
        <v>3.3386910402975971</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4.9124106842118615E-3</v>
      </c>
      <c r="Q77" s="285">
        <f ca="1">IF($B77&lt;&gt;0,(+VLOOKUP($B77,$A$8:$I$13,6,FALSE))*(F77),0)</f>
        <v>9.4641807422322401E-3</v>
      </c>
      <c r="R77" s="285">
        <f ca="1">IF($B77&lt;&gt;0,(+VLOOKUP($B77,$A$8:$I$13,7,FALSE))*(G77),0)</f>
        <v>1.3963554900686554E-2</v>
      </c>
      <c r="S77" s="285">
        <f ca="1">IF($B77&lt;&gt;0,(+VLOOKUP($B77,$A$8:$I$13,8,FALSE))*(H77),0)</f>
        <v>1.8845014493059007E-2</v>
      </c>
      <c r="T77" s="285">
        <f ca="1">IF($B77&lt;&gt;0,(+VLOOKUP($B77,$A$8:$I$13,9,FALSE))*(I77),0)</f>
        <v>2.3316468012672086E-2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8.4879666249880974E-5</v>
      </c>
      <c r="Q79" s="285">
        <f t="shared" ref="Q79:Q80" ca="1" si="34">IF($B79&lt;&gt;0,(+VLOOKUP($B79,$A$8:$I$13,6,FALSE))*(F79),0)</f>
        <v>1.6352796098889399E-4</v>
      </c>
      <c r="R79" s="285">
        <f t="shared" ref="R79:R80" ca="1" si="35">IF($B79&lt;&gt;0,(+VLOOKUP($B79,$A$8:$I$13,7,FALSE))*(G79),0)</f>
        <v>2.4127092700970289E-4</v>
      </c>
      <c r="S79" s="285">
        <f t="shared" ref="S79:S80" ca="1" si="36">IF($B79&lt;&gt;0,(+VLOOKUP($B79,$A$8:$I$13,8,FALSE))*(H79),0)</f>
        <v>3.2561580117596554E-4</v>
      </c>
      <c r="T79" s="285">
        <f t="shared" ref="T79:T80" ca="1" si="37">IF($B79&lt;&gt;0,(+VLOOKUP($B79,$A$8:$I$13,9,FALSE))*(I79),0)</f>
        <v>4.0287633715200145E-4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2.7002343825743388E-2</v>
      </c>
      <c r="Q80" s="285">
        <f t="shared" ca="1" si="34"/>
        <v>5.2022332589591908E-2</v>
      </c>
      <c r="R80" s="285">
        <f t="shared" ca="1" si="35"/>
        <v>7.6754313654961742E-2</v>
      </c>
      <c r="S80" s="285">
        <f t="shared" ca="1" si="36"/>
        <v>0.10358652674910405</v>
      </c>
      <c r="T80" s="285">
        <f t="shared" ca="1" si="37"/>
        <v>0.12816503475648047</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3.1999634176205133E-2</v>
      </c>
      <c r="Q83" s="292">
        <f t="shared" ca="1" si="51"/>
        <v>6.165004129281304E-2</v>
      </c>
      <c r="R83" s="292">
        <f t="shared" ca="1" si="51"/>
        <v>9.0959139482658005E-2</v>
      </c>
      <c r="S83" s="292">
        <f t="shared" ca="1" si="51"/>
        <v>0.12275715704333903</v>
      </c>
      <c r="T83" s="292">
        <f t="shared" ca="1" si="51"/>
        <v>0.15188437910630456</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4.9124106842118615E-3</v>
      </c>
      <c r="F98" s="285">
        <f t="shared" ca="1" si="54"/>
        <v>9.4641807422322401E-3</v>
      </c>
      <c r="G98" s="285">
        <f t="shared" ca="1" si="54"/>
        <v>1.3963554900686554E-2</v>
      </c>
      <c r="H98" s="285">
        <f t="shared" ca="1" si="54"/>
        <v>1.8845014493059007E-2</v>
      </c>
      <c r="I98" s="285">
        <f t="shared" ca="1" si="54"/>
        <v>2.3316468012672086E-2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8.4879666249880974E-5</v>
      </c>
      <c r="F100" s="285">
        <f t="shared" ca="1" si="56"/>
        <v>1.6352796098889399E-4</v>
      </c>
      <c r="G100" s="285">
        <f t="shared" ca="1" si="56"/>
        <v>2.4127092700970289E-4</v>
      </c>
      <c r="H100" s="285">
        <f t="shared" ca="1" si="56"/>
        <v>3.2561580117596554E-4</v>
      </c>
      <c r="I100" s="285">
        <f t="shared" ca="1" si="56"/>
        <v>4.0287633715200145E-4</v>
      </c>
    </row>
    <row r="101" spans="1:20" outlineLevel="1">
      <c r="A101" s="61" t="s">
        <v>647</v>
      </c>
      <c r="B101" s="119"/>
      <c r="C101" s="285">
        <f t="shared" ref="C101:I101" ca="1" si="57">+C11*(C89)</f>
        <v>0</v>
      </c>
      <c r="D101" s="285">
        <f t="shared" ca="1" si="57"/>
        <v>0</v>
      </c>
      <c r="E101" s="285">
        <f t="shared" ca="1" si="57"/>
        <v>2.7002343825743388E-2</v>
      </c>
      <c r="F101" s="285">
        <f t="shared" ca="1" si="57"/>
        <v>5.2022332589591908E-2</v>
      </c>
      <c r="G101" s="285">
        <f t="shared" ca="1" si="57"/>
        <v>7.6754313654961742E-2</v>
      </c>
      <c r="H101" s="285">
        <f t="shared" ca="1" si="57"/>
        <v>0.10358652674910405</v>
      </c>
      <c r="I101" s="285">
        <f t="shared" ca="1" si="57"/>
        <v>0.12816503475648047</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3.1999634176205133E-2</v>
      </c>
      <c r="F104" s="296">
        <f t="shared" ca="1" si="60"/>
        <v>6.165004129281304E-2</v>
      </c>
      <c r="G104" s="296">
        <f t="shared" ca="1" si="60"/>
        <v>9.0959139482658005E-2</v>
      </c>
      <c r="H104" s="296">
        <f t="shared" ca="1" si="60"/>
        <v>0.12275715704333903</v>
      </c>
      <c r="I104" s="296">
        <f t="shared" ca="1" si="60"/>
        <v>0.15188437910630456</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3.0158865876212863E-2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1.0040448553776442E-2</v>
      </c>
      <c r="Q113" s="285">
        <f ca="1">IF($B113&lt;&gt;0,(+VLOOKUP($B113,$A$8:$I$13,6,FALSE)+VLOOKUP($B113,$A$42:$I$47,6,FALSE))*(F113),0)</f>
        <v>2.0493784000247144E-2</v>
      </c>
      <c r="R113" s="285">
        <f ca="1">IF($B113&lt;&gt;0,(+VLOOKUP($B113,$A$8:$I$13,7,FALSE)+VLOOKUP($B113,$A$42:$I$47,7,FALSE))*(G113),0)</f>
        <v>3.1952690381196414E-2</v>
      </c>
      <c r="S113" s="285">
        <f ca="1">IF($B113&lt;&gt;0,(+VLOOKUP($B113,$A$8:$I$13,8,FALSE)+VLOOKUP($B113,$A$42:$I$47,8,FALSE))*(H113),0)</f>
        <v>4.3916276395495932E-2</v>
      </c>
      <c r="T113" s="285">
        <f ca="1">IF($B113&lt;&gt;0,(+VLOOKUP($B113,$A$8:$I$13,9,FALSE)+VLOOKUP($B113,$A$42:$I$47,9,FALSE))*(I113),0)</f>
        <v>5.6334189959002974E-2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4.0424398331248544E-5</v>
      </c>
      <c r="Q115" s="285">
        <f t="shared" ca="1" si="68"/>
        <v>8.1839367808911448E-5</v>
      </c>
      <c r="R115" s="285">
        <f t="shared" ca="1" si="69"/>
        <v>1.5753374805574504E-4</v>
      </c>
      <c r="S115" s="285">
        <f t="shared" ca="1" si="70"/>
        <v>2.4823601841805965E-4</v>
      </c>
      <c r="T115" s="285">
        <f t="shared" ca="1" si="71"/>
        <v>3.5870731290964019E-4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1.2860011719128445E-2</v>
      </c>
      <c r="Q116" s="285">
        <f t="shared" ca="1" si="68"/>
        <v>2.6035148884209956E-2</v>
      </c>
      <c r="R116" s="285">
        <f t="shared" ca="1" si="69"/>
        <v>5.0115423600233897E-2</v>
      </c>
      <c r="S116" s="285">
        <f t="shared" ca="1" si="70"/>
        <v>7.8970083359245241E-2</v>
      </c>
      <c r="T116" s="285">
        <f t="shared" ca="1" si="71"/>
        <v>0.1141137639193793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2.2940884671236138E-2</v>
      </c>
      <c r="Q119" s="292">
        <f t="shared" ca="1" si="72"/>
        <v>4.6610772252266008E-2</v>
      </c>
      <c r="R119" s="292">
        <f t="shared" ca="1" si="72"/>
        <v>8.2225647729486054E-2</v>
      </c>
      <c r="S119" s="292">
        <f t="shared" ca="1" si="72"/>
        <v>0.12313459577315923</v>
      </c>
      <c r="T119" s="292">
        <f t="shared" ca="1" si="72"/>
        <v>0.17080666119129193</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1.0040448553776442E-2</v>
      </c>
      <c r="F134" s="285">
        <f t="shared" ca="1" si="75"/>
        <v>2.0493784000247144E-2</v>
      </c>
      <c r="G134" s="285">
        <f t="shared" ca="1" si="75"/>
        <v>3.1952690381196414E-2</v>
      </c>
      <c r="H134" s="285">
        <f t="shared" ca="1" si="75"/>
        <v>4.3916276395495932E-2</v>
      </c>
      <c r="I134" s="285">
        <f t="shared" ca="1" si="75"/>
        <v>5.6334189959002974E-2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4.0424398331248544E-5</v>
      </c>
      <c r="F136" s="285">
        <f t="shared" ca="1" si="77"/>
        <v>8.1839367808911448E-5</v>
      </c>
      <c r="G136" s="285">
        <f t="shared" ca="1" si="77"/>
        <v>1.5753374805574504E-4</v>
      </c>
      <c r="H136" s="285">
        <f t="shared" ca="1" si="77"/>
        <v>2.4823601841805965E-4</v>
      </c>
      <c r="I136" s="285">
        <f t="shared" ca="1" si="77"/>
        <v>3.5870731290964019E-4</v>
      </c>
    </row>
    <row r="137" spans="1:16" outlineLevel="1">
      <c r="A137" s="61" t="s">
        <v>647</v>
      </c>
      <c r="B137" s="119"/>
      <c r="C137" s="285">
        <f ca="1">(+C11+C45)*(C$125)</f>
        <v>0</v>
      </c>
      <c r="D137" s="285">
        <f t="shared" ref="D137:I137" ca="1" si="78">(+D11+D45)*(D$125)</f>
        <v>0</v>
      </c>
      <c r="E137" s="285">
        <f t="shared" ca="1" si="78"/>
        <v>1.2860011719128445E-2</v>
      </c>
      <c r="F137" s="285">
        <f t="shared" ca="1" si="78"/>
        <v>2.6035148884209956E-2</v>
      </c>
      <c r="G137" s="285">
        <f t="shared" ca="1" si="78"/>
        <v>5.0115423600233897E-2</v>
      </c>
      <c r="H137" s="285">
        <f t="shared" ca="1" si="78"/>
        <v>7.8970083359245241E-2</v>
      </c>
      <c r="I137" s="285">
        <f t="shared" ca="1" si="78"/>
        <v>0.1141137639193793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2.2940884671236138E-2</v>
      </c>
      <c r="F140" s="296">
        <f t="shared" ca="1" si="81"/>
        <v>4.6610772252266008E-2</v>
      </c>
      <c r="G140" s="296">
        <f t="shared" ca="1" si="81"/>
        <v>8.2225647729486054E-2</v>
      </c>
      <c r="H140" s="296">
        <f t="shared" ca="1" si="81"/>
        <v>0.12313459577315923</v>
      </c>
      <c r="I140" s="296">
        <f t="shared" ca="1" si="81"/>
        <v>0.17080666119129193</v>
      </c>
    </row>
    <row r="141" spans="1:16" ht="13.5" outlineLevel="1" thickBot="1">
      <c r="A141" s="122" t="s">
        <v>148</v>
      </c>
      <c r="B141" s="126"/>
      <c r="C141" s="124">
        <f t="shared" ref="C141:I141" ca="1" si="82">IF((+C36+C48)&lt;&gt;0,+C140/(+C36+C48),0)</f>
        <v>0</v>
      </c>
      <c r="D141" s="124">
        <f t="shared" ca="1" si="82"/>
        <v>0</v>
      </c>
      <c r="E141" s="124">
        <f t="shared" ca="1" si="82"/>
        <v>7.5265378689707277E-3</v>
      </c>
      <c r="F141" s="124">
        <f t="shared" ca="1" si="82"/>
        <v>1.5144922790729791E-2</v>
      </c>
      <c r="G141" s="124">
        <f t="shared" ca="1" si="82"/>
        <v>2.6464991664865437E-2</v>
      </c>
      <c r="H141" s="124">
        <f t="shared" ca="1" si="82"/>
        <v>3.9230367184299821E-2</v>
      </c>
      <c r="I141" s="124">
        <f t="shared" ca="1" si="82"/>
        <v>5.3918211888616452E-2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(SEM)'!$N$268:$R$273</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3.0160000000000005</v>
      </c>
      <c r="E205" s="82">
        <f t="shared" ca="1" si="95"/>
        <v>3.0160000000000005</v>
      </c>
      <c r="F205" s="82">
        <f t="shared" ca="1" si="95"/>
        <v>3.0160000000000005</v>
      </c>
      <c r="G205" s="82">
        <f t="shared" ca="1" si="95"/>
        <v>3.0160000000000005</v>
      </c>
      <c r="H205" s="82">
        <f t="shared" ca="1" si="95"/>
        <v>3.0160000000000005</v>
      </c>
      <c r="I205" s="82">
        <f t="shared" ca="1" si="95"/>
        <v>3.0160000000000005</v>
      </c>
    </row>
    <row r="206" spans="1:9" outlineLevel="1">
      <c r="A206" t="s">
        <v>156</v>
      </c>
      <c r="B206" s="82">
        <f t="shared" ref="B206:I206" ca="1" si="96">+B36</f>
        <v>0</v>
      </c>
      <c r="C206" s="82">
        <f t="shared" ca="1" si="96"/>
        <v>0</v>
      </c>
      <c r="D206" s="82">
        <f t="shared" ca="1" si="96"/>
        <v>3.0160000000000005</v>
      </c>
      <c r="E206" s="82">
        <f t="shared" ca="1" si="96"/>
        <v>3.0160000000000005</v>
      </c>
      <c r="F206" s="82">
        <f t="shared" ca="1" si="96"/>
        <v>3.0160000000000005</v>
      </c>
      <c r="G206" s="82">
        <f t="shared" ca="1" si="96"/>
        <v>3.0160000000000005</v>
      </c>
      <c r="H206" s="82">
        <f t="shared" ca="1" si="96"/>
        <v>3.0160000000000005</v>
      </c>
      <c r="I206" s="82">
        <f t="shared" ca="1" si="96"/>
        <v>3.0160000000000005</v>
      </c>
    </row>
    <row r="207" spans="1:9" outlineLevel="1">
      <c r="A207" t="s">
        <v>157</v>
      </c>
      <c r="B207" s="82">
        <f t="shared" ref="B207:I207" ca="1" si="97">+B36+B48</f>
        <v>0</v>
      </c>
      <c r="C207" s="82">
        <f t="shared" ca="1" si="97"/>
        <v>0</v>
      </c>
      <c r="D207" s="82">
        <f t="shared" ca="1" si="97"/>
        <v>3.0160000000000005</v>
      </c>
      <c r="E207" s="82">
        <f t="shared" ca="1" si="97"/>
        <v>3.0479996341762057</v>
      </c>
      <c r="F207" s="82">
        <f t="shared" ca="1" si="97"/>
        <v>3.0776500412928134</v>
      </c>
      <c r="G207" s="82">
        <f t="shared" ca="1" si="97"/>
        <v>3.1069591394826586</v>
      </c>
      <c r="H207" s="82">
        <f t="shared" ca="1" si="97"/>
        <v>3.1387571570433397</v>
      </c>
      <c r="I207" s="82">
        <f t="shared" ca="1" si="97"/>
        <v>3.1678843791063049</v>
      </c>
    </row>
    <row r="208" spans="1:9" outlineLevel="1">
      <c r="A208" t="s">
        <v>158</v>
      </c>
      <c r="B208" s="82">
        <f t="shared" ref="B208:I208" ca="1" si="98">+B70</f>
        <v>0</v>
      </c>
      <c r="C208" s="82">
        <f t="shared" ca="1" si="98"/>
        <v>0</v>
      </c>
      <c r="D208" s="82">
        <f t="shared" ca="1" si="98"/>
        <v>3.0160000000000005</v>
      </c>
      <c r="E208" s="82">
        <f t="shared" ca="1" si="98"/>
        <v>3.0709405188474417</v>
      </c>
      <c r="F208" s="82">
        <f t="shared" ca="1" si="98"/>
        <v>3.1242608135450798</v>
      </c>
      <c r="G208" s="82">
        <f t="shared" ca="1" si="98"/>
        <v>3.1891847872121444</v>
      </c>
      <c r="H208" s="82">
        <f t="shared" ca="1" si="98"/>
        <v>3.2618917528164983</v>
      </c>
      <c r="I208" s="82">
        <f t="shared" ca="1" si="98"/>
        <v>3.3386910402975971</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35" priority="1" stopIfTrue="1" operator="notEqual">
      <formula>0</formula>
    </cfRule>
  </conditionalFormatting>
  <conditionalFormatting sqref="J130 J94 J70 J59 J48 J36:J37 J14 J25">
    <cfRule type="cellIs" dxfId="234" priority="2" stopIfTrue="1" operator="equal">
      <formula>"OK"</formula>
    </cfRule>
    <cfRule type="cellIs" dxfId="233" priority="3" stopIfTrue="1" operator="equal">
      <formula>"Warning Check Escalations"</formula>
    </cfRule>
  </conditionalFormatting>
  <conditionalFormatting sqref="N120:T120 N84:T84">
    <cfRule type="cellIs" dxfId="232" priority="4" stopIfTrue="1" operator="notEqual">
      <formula>0</formula>
    </cfRule>
    <cfRule type="cellIs" dxfId="23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4.xml><?xml version="1.0" encoding="utf-8"?>
<worksheet xmlns="http://schemas.openxmlformats.org/spreadsheetml/2006/main" xmlns:r="http://schemas.openxmlformats.org/officeDocument/2006/relationships">
  <sheetPr codeName="Sheet87" enableFormatConditionsCalculation="0">
    <tabColor indexed="57"/>
    <pageSetUpPr fitToPage="1"/>
  </sheetPr>
  <dimension ref="A1:T239"/>
  <sheetViews>
    <sheetView showGridLines="0" topLeftCell="A48" zoomScaleNormal="100" workbookViewId="0">
      <selection activeCell="J123" sqref="J123"/>
    </sheetView>
  </sheetViews>
  <sheetFormatPr defaultRowHeight="12.75" outlineLevelRow="2"/>
  <cols>
    <col min="1" max="1" width="30" customWidth="1"/>
    <col min="2" max="2" width="20.85546875" bestFit="1" customWidth="1"/>
    <col min="3"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31</v>
      </c>
      <c r="M1" s="282"/>
      <c r="N1" s="280"/>
      <c r="O1" s="280"/>
      <c r="P1" s="280"/>
      <c r="Q1" s="280"/>
      <c r="R1" s="280"/>
      <c r="S1" s="280"/>
      <c r="T1" s="280"/>
    </row>
    <row r="2" spans="1:20" ht="15.75">
      <c r="A2" s="184" t="s">
        <v>121</v>
      </c>
      <c r="B2" s="74" t="str">
        <f ca="1">OFFSET(List_AllocOpexListStart,+$K$1,1)</f>
        <v>Legal Services</v>
      </c>
      <c r="F2" s="284"/>
      <c r="H2" s="42"/>
      <c r="I2" s="283"/>
      <c r="L2" s="282"/>
      <c r="M2" s="282"/>
    </row>
    <row r="3" spans="1:20" ht="16.5" thickBot="1">
      <c r="A3" s="184" t="s">
        <v>371</v>
      </c>
      <c r="B3" s="236" t="str">
        <f ca="1">OFFSET(List_AllocOpexListStart,+$K$1,2)</f>
        <v>Damien Harby</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hidden="1" outlineLevel="1">
      <c r="A5" s="207" t="s">
        <v>125</v>
      </c>
      <c r="B5" s="78"/>
      <c r="C5" s="78"/>
      <c r="D5" s="79"/>
      <c r="E5" s="78"/>
      <c r="F5" s="78"/>
      <c r="G5" s="78"/>
      <c r="H5" s="78"/>
      <c r="I5" s="78"/>
      <c r="J5" s="42"/>
    </row>
    <row r="6" spans="1:20" hidden="1" outlineLevel="1">
      <c r="B6" s="80"/>
      <c r="C6" s="80"/>
      <c r="D6" s="80"/>
      <c r="E6" s="80"/>
      <c r="F6" s="80"/>
      <c r="G6" s="80"/>
      <c r="H6" s="80"/>
      <c r="I6" s="80"/>
      <c r="J6" s="36"/>
      <c r="K6" s="21"/>
      <c r="L6" s="21"/>
    </row>
    <row r="7" spans="1:20" s="64" customFormat="1" ht="14.25" hidden="1" outlineLevel="1">
      <c r="A7" s="58" t="s">
        <v>126</v>
      </c>
      <c r="B7" s="78"/>
      <c r="C7" s="78"/>
      <c r="D7" s="78"/>
      <c r="E7" s="78"/>
      <c r="F7" s="78"/>
      <c r="G7" s="78"/>
      <c r="H7" s="78"/>
      <c r="I7" s="78"/>
      <c r="J7" s="36"/>
      <c r="K7" s="63"/>
      <c r="L7" s="63"/>
    </row>
    <row r="8" spans="1:20" hidden="1" outlineLevel="1">
      <c r="A8" s="61" t="s">
        <v>68</v>
      </c>
      <c r="B8" s="285">
        <f ca="1">OFFSET(List_AllocOpexStart,MATCH($K$1,'I-4 History'!$A$228:$A$598)+2,0)</f>
        <v>0</v>
      </c>
      <c r="C8" s="285">
        <f ca="1">OFFSET(Future_AOpexStart,MATCH($K$1,'I-6 Future A'!$A$6:$A$379)+2,+'I-5 Future DA'!D$5)</f>
        <v>0</v>
      </c>
      <c r="D8" s="285">
        <f ca="1">OFFSET(Future_AOpexStart,MATCH($K$1,'I-6 Future A'!$A$6:$A$379)+2,+'I-5 Future DA'!E$5)</f>
        <v>0.67400000000000004</v>
      </c>
      <c r="E8" s="285">
        <f ca="1">OFFSET(Future_AOpexStart,MATCH($K$1,'I-6 Future A'!$A$6:$A$379)+2,+'I-5 Future DA'!F$5)</f>
        <v>0.67400000000000004</v>
      </c>
      <c r="F8" s="285">
        <f ca="1">OFFSET(Future_AOpexStart,MATCH($K$1,'I-6 Future A'!$A$6:$A$379)+2,+'I-5 Future DA'!G$5)</f>
        <v>0.67400000000000004</v>
      </c>
      <c r="G8" s="285">
        <f ca="1">OFFSET(Future_AOpexStart,MATCH($K$1,'I-6 Future A'!$A$6:$A$379)+2,+'I-5 Future DA'!H$5)</f>
        <v>0.67400000000000004</v>
      </c>
      <c r="H8" s="285">
        <f ca="1">OFFSET(Future_AOpexStart,MATCH($K$1,'I-6 Future A'!$A$6:$A$379)+2,+'I-5 Future DA'!I$5)</f>
        <v>0.67400000000000004</v>
      </c>
      <c r="I8" s="285">
        <f ca="1">OFFSET(Future_AOpexStart,MATCH($K$1,'I-6 Future A'!$A$6:$A$379)+2,+'I-5 Future DA'!J$5)</f>
        <v>0.67400000000000004</v>
      </c>
      <c r="J8" s="81"/>
      <c r="K8" s="21"/>
      <c r="L8" s="21"/>
    </row>
    <row r="9" spans="1:20" hidden="1" outlineLevel="1">
      <c r="A9" s="61" t="s">
        <v>69</v>
      </c>
      <c r="B9" s="285">
        <f ca="1">OFFSET(List_AllocOpexStart,MATCH($K$1,'I-4 History'!$A$228:$A$598)+3,0)</f>
        <v>0</v>
      </c>
      <c r="C9" s="285">
        <f ca="1">OFFSET(Future_AOpexStart,MATCH($K$1,'I-6 Future A'!$A$6:$A$379)+3,+'I-5 Future DA'!D$5)</f>
        <v>0</v>
      </c>
      <c r="D9" s="285">
        <f ca="1">OFFSET(Future_AOpexStart,MATCH($K$1,'I-6 Future A'!$A$6:$A$379)+3,+'I-5 Future DA'!E$5)</f>
        <v>0.01</v>
      </c>
      <c r="E9" s="285">
        <f ca="1">OFFSET(Future_AOpexStart,MATCH($K$1,'I-6 Future A'!$A$6:$A$379)+3,+'I-5 Future DA'!F$5)</f>
        <v>0.01</v>
      </c>
      <c r="F9" s="285">
        <f ca="1">OFFSET(Future_AOpexStart,MATCH($K$1,'I-6 Future A'!$A$6:$A$379)+3,+'I-5 Future DA'!G$5)</f>
        <v>0.01</v>
      </c>
      <c r="G9" s="285">
        <f ca="1">OFFSET(Future_AOpexStart,MATCH($K$1,'I-6 Future A'!$A$6:$A$379)+3,+'I-5 Future DA'!H$5)</f>
        <v>0.01</v>
      </c>
      <c r="H9" s="285">
        <f ca="1">OFFSET(Future_AOpexStart,MATCH($K$1,'I-6 Future A'!$A$6:$A$379)+3,+'I-5 Future DA'!I$5)</f>
        <v>0.01</v>
      </c>
      <c r="I9" s="285">
        <f ca="1">OFFSET(Future_AOpexStart,MATCH($K$1,'I-6 Future A'!$A$6:$A$379)+3,+'I-5 Future DA'!J$5)</f>
        <v>0.01</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hidden="1"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0.253</v>
      </c>
      <c r="E11" s="285">
        <f ca="1">OFFSET(Future_AOpexStart,MATCH($K$1,'I-6 Future A'!$A$6:$A$379)+5,+'I-5 Future DA'!F$5)</f>
        <v>0.253</v>
      </c>
      <c r="F11" s="285">
        <f ca="1">OFFSET(Future_AOpexStart,MATCH($K$1,'I-6 Future A'!$A$6:$A$379)+5,+'I-5 Future DA'!G$5)</f>
        <v>0.253</v>
      </c>
      <c r="G11" s="285">
        <f ca="1">OFFSET(Future_AOpexStart,MATCH($K$1,'I-6 Future A'!$A$6:$A$379)+5,+'I-5 Future DA'!H$5)</f>
        <v>0.253</v>
      </c>
      <c r="H11" s="285">
        <f ca="1">OFFSET(Future_AOpexStart,MATCH($K$1,'I-6 Future A'!$A$6:$A$379)+5,+'I-5 Future DA'!I$5)</f>
        <v>0.253</v>
      </c>
      <c r="I11" s="285">
        <f ca="1">OFFSET(Future_AOpexStart,MATCH($K$1,'I-6 Future A'!$A$6:$A$379)+5,+'I-5 Future DA'!J$5)</f>
        <v>0.253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hidden="1"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ollapsed="1">
      <c r="A14" s="84" t="s">
        <v>71</v>
      </c>
      <c r="B14" s="287">
        <f t="shared" ref="B14:I14" ca="1" si="0">SUM(B8:B13)</f>
        <v>0</v>
      </c>
      <c r="C14" s="287">
        <f t="shared" ca="1" si="0"/>
        <v>0</v>
      </c>
      <c r="D14" s="287">
        <f t="shared" ca="1" si="0"/>
        <v>0.93700000000000006</v>
      </c>
      <c r="E14" s="287">
        <f t="shared" ca="1" si="0"/>
        <v>0.93700000000000006</v>
      </c>
      <c r="F14" s="287">
        <f t="shared" ca="1" si="0"/>
        <v>0.93700000000000006</v>
      </c>
      <c r="G14" s="287">
        <f t="shared" ca="1" si="0"/>
        <v>0.93700000000000006</v>
      </c>
      <c r="H14" s="287">
        <f t="shared" ca="1" si="0"/>
        <v>0.93700000000000006</v>
      </c>
      <c r="I14" s="287">
        <f t="shared" ca="1" si="0"/>
        <v>0.93700000000000006</v>
      </c>
      <c r="J14" s="85"/>
      <c r="K14" s="86"/>
      <c r="L14" s="86"/>
    </row>
    <row r="15" spans="1:20" hidden="1" outlineLevel="1">
      <c r="A15" s="88"/>
      <c r="B15" s="89"/>
      <c r="C15" s="89"/>
      <c r="D15" s="89"/>
      <c r="E15" s="89"/>
      <c r="F15" s="89"/>
      <c r="G15" s="89"/>
      <c r="H15" s="89"/>
      <c r="I15" s="89"/>
      <c r="K15" s="21"/>
      <c r="L15" s="21"/>
    </row>
    <row r="16" spans="1:20" ht="18" hidden="1" outlineLevel="1">
      <c r="A16" s="207" t="s">
        <v>41</v>
      </c>
      <c r="B16" s="78"/>
      <c r="C16" s="78"/>
      <c r="D16" s="78"/>
      <c r="E16" s="78"/>
      <c r="F16" s="78"/>
      <c r="G16" s="78"/>
      <c r="H16" s="78"/>
      <c r="I16" s="78"/>
      <c r="J16" s="42"/>
    </row>
    <row r="17" spans="1:12" ht="18" hidden="1" outlineLevel="1">
      <c r="A17" s="77"/>
      <c r="B17" s="78"/>
      <c r="C17" s="78"/>
      <c r="D17" s="78"/>
      <c r="E17" s="78"/>
      <c r="F17" s="78"/>
      <c r="G17" s="78"/>
      <c r="H17" s="78"/>
      <c r="I17" s="78"/>
      <c r="J17" s="42"/>
    </row>
    <row r="18" spans="1:12" s="2" customFormat="1" hidden="1" outlineLevel="1">
      <c r="A18" s="58" t="s">
        <v>126</v>
      </c>
      <c r="B18" s="59"/>
      <c r="C18" s="59"/>
      <c r="D18" s="59"/>
      <c r="E18" s="59"/>
      <c r="F18" s="59"/>
      <c r="G18" s="59"/>
      <c r="H18" s="59"/>
      <c r="I18" s="59"/>
      <c r="J18" s="60"/>
      <c r="K18" s="60"/>
      <c r="L18" s="60"/>
    </row>
    <row r="19" spans="1:12" hidden="1"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hidden="1"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hidden="1"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ht="13.5" outlineLevel="1" thickBot="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hidden="1"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collapsed="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hidden="1" outlineLevel="1">
      <c r="A26" s="88"/>
      <c r="B26" s="292"/>
      <c r="C26" s="292"/>
      <c r="D26" s="292"/>
      <c r="E26" s="292"/>
      <c r="F26" s="292"/>
      <c r="G26" s="292"/>
      <c r="H26" s="292"/>
      <c r="I26" s="292"/>
      <c r="J26" s="42"/>
      <c r="K26" s="21"/>
      <c r="L26" s="21"/>
    </row>
    <row r="27" spans="1:12" ht="18.75" hidden="1" customHeight="1" outlineLevel="1">
      <c r="A27" s="207" t="s">
        <v>127</v>
      </c>
      <c r="B27" s="285"/>
      <c r="C27" s="285"/>
      <c r="D27" s="285"/>
      <c r="E27" s="285"/>
      <c r="F27" s="285"/>
      <c r="G27" s="285"/>
      <c r="H27" s="285"/>
      <c r="I27" s="285"/>
      <c r="J27" s="42"/>
    </row>
    <row r="28" spans="1:12" hidden="1" outlineLevel="1">
      <c r="A28" s="92"/>
      <c r="B28" s="293"/>
      <c r="C28" s="293"/>
      <c r="D28" s="293"/>
      <c r="E28" s="293"/>
      <c r="F28" s="293"/>
      <c r="G28" s="293"/>
      <c r="H28" s="293"/>
      <c r="I28" s="293"/>
      <c r="J28" s="42"/>
      <c r="K28" s="21"/>
      <c r="L28" s="21"/>
    </row>
    <row r="29" spans="1:12" s="64" customFormat="1" ht="14.25" hidden="1" outlineLevel="2">
      <c r="A29" s="58" t="s">
        <v>126</v>
      </c>
      <c r="B29" s="285"/>
      <c r="C29" s="285"/>
      <c r="D29" s="285"/>
      <c r="E29" s="285"/>
      <c r="F29" s="285"/>
      <c r="G29" s="285"/>
      <c r="H29" s="285"/>
      <c r="I29" s="285"/>
      <c r="J29" s="63"/>
      <c r="K29" s="63"/>
      <c r="L29" s="63"/>
    </row>
    <row r="30" spans="1:12" hidden="1" outlineLevel="2">
      <c r="A30" s="61" t="s">
        <v>68</v>
      </c>
      <c r="B30" s="285">
        <f ca="1">+'A-31'!B8+'A-31'!B19</f>
        <v>0</v>
      </c>
      <c r="C30" s="285">
        <f ca="1">+'A-31'!C8+'A-31'!C19</f>
        <v>0</v>
      </c>
      <c r="D30" s="285">
        <f ca="1">+'A-31'!D8+'A-31'!D19</f>
        <v>0.67400000000000004</v>
      </c>
      <c r="E30" s="285">
        <f ca="1">+'A-31'!E8+'A-31'!E19</f>
        <v>0.67400000000000004</v>
      </c>
      <c r="F30" s="285">
        <f ca="1">+'A-31'!F8+'A-31'!F19</f>
        <v>0.67400000000000004</v>
      </c>
      <c r="G30" s="285">
        <f ca="1">+'A-31'!G8+'A-31'!G19</f>
        <v>0.67400000000000004</v>
      </c>
      <c r="H30" s="285">
        <f ca="1">+'A-31'!H8+'A-31'!H19</f>
        <v>0.67400000000000004</v>
      </c>
      <c r="I30" s="285">
        <f ca="1">+'A-31'!I8+'A-31'!I19</f>
        <v>0.67400000000000004</v>
      </c>
      <c r="J30" s="42"/>
      <c r="K30" s="21"/>
      <c r="L30" s="21"/>
    </row>
    <row r="31" spans="1:12" hidden="1" outlineLevel="2">
      <c r="A31" s="61" t="s">
        <v>69</v>
      </c>
      <c r="B31" s="285">
        <f ca="1">+'A-31'!B9+'A-31'!B20</f>
        <v>0</v>
      </c>
      <c r="C31" s="285">
        <f ca="1">+'A-31'!C9+'A-31'!C20</f>
        <v>0</v>
      </c>
      <c r="D31" s="285">
        <f ca="1">+'A-31'!D9+'A-31'!D20</f>
        <v>0.01</v>
      </c>
      <c r="E31" s="285">
        <f ca="1">+'A-31'!E9+'A-31'!E20</f>
        <v>0.01</v>
      </c>
      <c r="F31" s="285">
        <f ca="1">+'A-31'!F9+'A-31'!F20</f>
        <v>0.01</v>
      </c>
      <c r="G31" s="285">
        <f ca="1">+'A-31'!G9+'A-31'!G20</f>
        <v>0.01</v>
      </c>
      <c r="H31" s="285">
        <f ca="1">+'A-31'!H9+'A-31'!H20</f>
        <v>0.01</v>
      </c>
      <c r="I31" s="285">
        <f ca="1">+'A-31'!I9+'A-31'!I20</f>
        <v>0.01</v>
      </c>
      <c r="J31" s="42"/>
      <c r="K31" s="21"/>
      <c r="L31" s="21"/>
    </row>
    <row r="32" spans="1:12" s="759" customFormat="1" outlineLevel="2">
      <c r="A32" s="61" t="s">
        <v>646</v>
      </c>
      <c r="B32" s="285">
        <f ca="1">+'A-31'!B10+'A-31'!B21</f>
        <v>0</v>
      </c>
      <c r="C32" s="285">
        <f ca="1">+'A-31'!C10+'A-31'!C21</f>
        <v>0</v>
      </c>
      <c r="D32" s="285">
        <f ca="1">+'A-31'!D10+'A-31'!D21</f>
        <v>0</v>
      </c>
      <c r="E32" s="285">
        <f ca="1">+'A-31'!E10+'A-31'!E21</f>
        <v>0</v>
      </c>
      <c r="F32" s="285">
        <f ca="1">+'A-31'!F10+'A-31'!F21</f>
        <v>0</v>
      </c>
      <c r="G32" s="285">
        <f ca="1">+'A-31'!G10+'A-31'!G21</f>
        <v>0</v>
      </c>
      <c r="H32" s="285">
        <f ca="1">+'A-31'!H10+'A-31'!H21</f>
        <v>0</v>
      </c>
      <c r="I32" s="285">
        <f ca="1">+'A-31'!I10+'A-31'!I21</f>
        <v>0</v>
      </c>
      <c r="J32" s="42"/>
      <c r="K32" s="732"/>
      <c r="L32" s="732"/>
    </row>
    <row r="33" spans="1:12" hidden="1" outlineLevel="2">
      <c r="A33" s="61" t="s">
        <v>647</v>
      </c>
      <c r="B33" s="285">
        <f ca="1">+'A-31'!B11+'A-31'!B22</f>
        <v>0</v>
      </c>
      <c r="C33" s="285">
        <f ca="1">+'A-31'!C11+'A-31'!C22</f>
        <v>0</v>
      </c>
      <c r="D33" s="285">
        <f ca="1">+'A-31'!D11+'A-31'!D22</f>
        <v>0.253</v>
      </c>
      <c r="E33" s="285">
        <f ca="1">+'A-31'!E11+'A-31'!E22</f>
        <v>0.253</v>
      </c>
      <c r="F33" s="285">
        <f ca="1">+'A-31'!F11+'A-31'!F22</f>
        <v>0.253</v>
      </c>
      <c r="G33" s="285">
        <f ca="1">+'A-31'!G11+'A-31'!G22</f>
        <v>0.253</v>
      </c>
      <c r="H33" s="285">
        <f ca="1">+'A-31'!H11+'A-31'!H22</f>
        <v>0.253</v>
      </c>
      <c r="I33" s="285">
        <f ca="1">+'A-31'!I11+'A-31'!I22</f>
        <v>0.253</v>
      </c>
      <c r="J33" s="42"/>
      <c r="K33" s="21"/>
      <c r="L33" s="21"/>
    </row>
    <row r="34" spans="1:12" s="759" customFormat="1" ht="13.5" outlineLevel="2" thickBot="1">
      <c r="A34" s="61" t="s">
        <v>575</v>
      </c>
      <c r="B34" s="285">
        <f ca="1">+'A-31'!B12+'A-31'!B23</f>
        <v>0</v>
      </c>
      <c r="C34" s="285">
        <f ca="1">+'A-31'!C12+'A-31'!C23</f>
        <v>0</v>
      </c>
      <c r="D34" s="285">
        <f ca="1">+'A-31'!D12+'A-31'!D23</f>
        <v>0</v>
      </c>
      <c r="E34" s="285">
        <f ca="1">+'A-31'!E12+'A-31'!E23</f>
        <v>0</v>
      </c>
      <c r="F34" s="285">
        <f ca="1">+'A-31'!F12+'A-31'!F23</f>
        <v>0</v>
      </c>
      <c r="G34" s="285">
        <f ca="1">+'A-31'!G12+'A-31'!G23</f>
        <v>0</v>
      </c>
      <c r="H34" s="285">
        <f ca="1">+'A-31'!H12+'A-31'!H23</f>
        <v>0</v>
      </c>
      <c r="I34" s="285">
        <f ca="1">+'A-31'!I12+'A-31'!I23</f>
        <v>0</v>
      </c>
      <c r="J34" s="42"/>
      <c r="K34" s="732"/>
      <c r="L34" s="732"/>
    </row>
    <row r="35" spans="1:12" ht="13.5" hidden="1" outlineLevel="2" thickBot="1">
      <c r="A35" s="83" t="s">
        <v>70</v>
      </c>
      <c r="B35" s="285">
        <f ca="1">+'A-31'!B13+'A-31'!B24</f>
        <v>0</v>
      </c>
      <c r="C35" s="285">
        <f ca="1">+'A-31'!C13+'A-31'!C24</f>
        <v>0</v>
      </c>
      <c r="D35" s="285">
        <f ca="1">+'A-31'!D13+'A-31'!D24</f>
        <v>0</v>
      </c>
      <c r="E35" s="285">
        <f ca="1">+'A-31'!E13+'A-31'!E24</f>
        <v>0</v>
      </c>
      <c r="F35" s="285">
        <f ca="1">+'A-31'!F13+'A-31'!F24</f>
        <v>0</v>
      </c>
      <c r="G35" s="285">
        <f ca="1">+'A-31'!G13+'A-31'!G24</f>
        <v>0</v>
      </c>
      <c r="H35" s="285">
        <f ca="1">+'A-31'!H13+'A-31'!H24</f>
        <v>0</v>
      </c>
      <c r="I35" s="285">
        <f ca="1">+'A-31'!I13+'A-31'!I24</f>
        <v>0</v>
      </c>
      <c r="J35" s="93"/>
      <c r="K35" s="21"/>
      <c r="L35" s="21"/>
    </row>
    <row r="36" spans="1:12" s="87" customFormat="1" ht="20.25" customHeight="1" collapsed="1" thickBot="1">
      <c r="A36" s="94" t="s">
        <v>128</v>
      </c>
      <c r="B36" s="294">
        <f t="shared" ref="B36:I36" ca="1" si="7">SUM(B30:B35)</f>
        <v>0</v>
      </c>
      <c r="C36" s="294">
        <f t="shared" ca="1" si="7"/>
        <v>0</v>
      </c>
      <c r="D36" s="294">
        <f t="shared" ca="1" si="7"/>
        <v>0.93700000000000006</v>
      </c>
      <c r="E36" s="294">
        <f t="shared" ca="1" si="7"/>
        <v>0.93700000000000006</v>
      </c>
      <c r="F36" s="294">
        <f t="shared" ca="1" si="7"/>
        <v>0.93700000000000006</v>
      </c>
      <c r="G36" s="294">
        <f t="shared" ca="1" si="7"/>
        <v>0.93700000000000006</v>
      </c>
      <c r="H36" s="294">
        <f t="shared" ca="1" si="7"/>
        <v>0.93700000000000006</v>
      </c>
      <c r="I36" s="294">
        <f t="shared" ca="1" si="7"/>
        <v>0.93700000000000006</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hidden="1" outlineLevel="1">
      <c r="A38" s="88"/>
      <c r="B38" s="89"/>
      <c r="C38" s="89"/>
      <c r="D38" s="89"/>
      <c r="E38" s="89"/>
      <c r="F38" s="89"/>
      <c r="G38" s="89"/>
      <c r="H38" s="89"/>
      <c r="I38" s="89"/>
      <c r="K38" s="42"/>
      <c r="L38" s="21"/>
    </row>
    <row r="39" spans="1:12" ht="18" hidden="1" outlineLevel="1">
      <c r="A39" s="207" t="s">
        <v>42</v>
      </c>
      <c r="B39" s="78"/>
      <c r="C39" s="78"/>
      <c r="D39" s="78"/>
      <c r="E39" s="78"/>
      <c r="F39" s="78"/>
      <c r="G39" s="78"/>
      <c r="H39" s="78"/>
      <c r="I39" s="78"/>
      <c r="K39" s="42"/>
    </row>
    <row r="40" spans="1:12" ht="18" hidden="1" outlineLevel="1">
      <c r="A40" s="77"/>
      <c r="B40" s="78"/>
      <c r="C40" s="78"/>
      <c r="D40" s="78"/>
      <c r="E40" s="78"/>
      <c r="F40" s="78"/>
      <c r="G40" s="78"/>
      <c r="H40" s="78"/>
      <c r="I40" s="78"/>
      <c r="K40" s="42"/>
    </row>
    <row r="41" spans="1:12" s="2" customFormat="1" hidden="1" outlineLevel="1">
      <c r="A41" s="58" t="s">
        <v>126</v>
      </c>
      <c r="B41" s="78"/>
      <c r="C41" s="78"/>
      <c r="D41" s="78"/>
      <c r="E41" s="78"/>
      <c r="F41" s="78"/>
      <c r="G41" s="78"/>
      <c r="H41" s="78"/>
      <c r="I41" s="78"/>
      <c r="K41" s="60"/>
      <c r="L41" s="60"/>
    </row>
    <row r="42" spans="1:12" s="64" customFormat="1" ht="14.25" hidden="1" outlineLevel="1">
      <c r="A42" s="61" t="s">
        <v>68</v>
      </c>
      <c r="B42" s="82"/>
      <c r="C42" s="285">
        <f t="shared" ref="C42:I43" ca="1" si="8">+C98</f>
        <v>0</v>
      </c>
      <c r="D42" s="285">
        <f t="shared" ca="1" si="8"/>
        <v>0</v>
      </c>
      <c r="E42" s="285">
        <f t="shared" ca="1" si="8"/>
        <v>7.1511118815524724E-3</v>
      </c>
      <c r="F42" s="285">
        <f t="shared" ca="1" si="8"/>
        <v>1.377723071331432E-2</v>
      </c>
      <c r="G42" s="285">
        <f t="shared" ca="1" si="8"/>
        <v>2.0327075600567467E-2</v>
      </c>
      <c r="H42" s="285">
        <f t="shared" ca="1" si="8"/>
        <v>2.74331312490751E-2</v>
      </c>
      <c r="I42" s="285">
        <f t="shared" ca="1" si="8"/>
        <v>3.3942331405056127E-2</v>
      </c>
      <c r="K42" s="63"/>
      <c r="L42" s="63"/>
    </row>
    <row r="43" spans="1:12" hidden="1" outlineLevel="1">
      <c r="A43" s="61" t="s">
        <v>69</v>
      </c>
      <c r="B43" s="82"/>
      <c r="C43" s="285">
        <f t="shared" ca="1" si="8"/>
        <v>0</v>
      </c>
      <c r="D43" s="285">
        <f t="shared" ca="1" si="8"/>
        <v>0</v>
      </c>
      <c r="E43" s="285">
        <f t="shared" ca="1" si="8"/>
        <v>1.0609958281235121E-4</v>
      </c>
      <c r="F43" s="285">
        <f t="shared" ca="1" si="8"/>
        <v>2.044099512361175E-4</v>
      </c>
      <c r="G43" s="285">
        <f t="shared" ca="1" si="8"/>
        <v>3.015886587621286E-4</v>
      </c>
      <c r="H43" s="285">
        <f t="shared" ca="1" si="8"/>
        <v>4.0701975146995695E-4</v>
      </c>
      <c r="I43" s="285">
        <f t="shared" ca="1" si="8"/>
        <v>5.0359542144000184E-4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hidden="1" outlineLevel="1">
      <c r="A45" s="61" t="s">
        <v>647</v>
      </c>
      <c r="B45" s="82"/>
      <c r="C45" s="285">
        <f t="shared" ref="C45:I45" ca="1" si="10">+C101</f>
        <v>0</v>
      </c>
      <c r="D45" s="285">
        <f t="shared" ca="1" si="10"/>
        <v>0</v>
      </c>
      <c r="E45" s="285">
        <f t="shared" ca="1" si="10"/>
        <v>2.6843194451524857E-3</v>
      </c>
      <c r="F45" s="285">
        <f t="shared" ca="1" si="10"/>
        <v>5.1715717662737725E-3</v>
      </c>
      <c r="G45" s="285">
        <f t="shared" ca="1" si="10"/>
        <v>7.6301930666818531E-3</v>
      </c>
      <c r="H45" s="285">
        <f t="shared" ca="1" si="10"/>
        <v>1.0297599712189911E-2</v>
      </c>
      <c r="I45" s="285">
        <f t="shared" ca="1" si="10"/>
        <v>1.2740964162432046E-2</v>
      </c>
      <c r="K45" s="42"/>
      <c r="L45" s="21"/>
    </row>
    <row r="46" spans="1:12" s="759" customFormat="1" ht="13.5" outlineLevel="1" thickBot="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hidden="1"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collapsed="1" thickBot="1">
      <c r="A48" s="94" t="s">
        <v>74</v>
      </c>
      <c r="B48" s="294"/>
      <c r="C48" s="294">
        <f t="shared" ref="C48:I48" ca="1" si="13">SUM(C42:C47)</f>
        <v>0</v>
      </c>
      <c r="D48" s="294">
        <f t="shared" ca="1" si="13"/>
        <v>0</v>
      </c>
      <c r="E48" s="294">
        <f t="shared" ca="1" si="13"/>
        <v>9.9415309095173092E-3</v>
      </c>
      <c r="F48" s="294">
        <f t="shared" ca="1" si="13"/>
        <v>1.9153212430824209E-2</v>
      </c>
      <c r="G48" s="294">
        <f t="shared" ca="1" si="13"/>
        <v>2.8258857326011452E-2</v>
      </c>
      <c r="H48" s="294">
        <f t="shared" ca="1" si="13"/>
        <v>3.8137750712734966E-2</v>
      </c>
      <c r="I48" s="294">
        <f t="shared" ca="1" si="13"/>
        <v>4.7186890988928178E-2</v>
      </c>
      <c r="J48" s="91" t="str">
        <f ca="1">IF(ROUND(SUM(B48:I48)-SUM(B104:I104),2)&lt;&gt;0,"Warning Check Escalations","OK")</f>
        <v>OK</v>
      </c>
      <c r="L48" s="86"/>
    </row>
    <row r="49" spans="1:12" hidden="1" outlineLevel="1">
      <c r="A49" s="88"/>
      <c r="B49" s="89"/>
      <c r="C49" s="89"/>
      <c r="D49" s="89"/>
      <c r="E49" s="89"/>
      <c r="F49" s="89"/>
      <c r="G49" s="89"/>
      <c r="H49" s="89"/>
      <c r="I49" s="89"/>
      <c r="K49" s="42"/>
      <c r="L49" s="21"/>
    </row>
    <row r="50" spans="1:12" ht="18" hidden="1" outlineLevel="1">
      <c r="A50" s="207" t="s">
        <v>43</v>
      </c>
      <c r="B50" s="78"/>
      <c r="C50" s="78"/>
      <c r="D50" s="78"/>
      <c r="E50" s="78"/>
      <c r="F50" s="78"/>
      <c r="G50" s="78"/>
      <c r="H50" s="78"/>
      <c r="I50" s="78"/>
      <c r="K50" s="42"/>
    </row>
    <row r="51" spans="1:12" ht="18" hidden="1" outlineLevel="1">
      <c r="A51" s="77"/>
      <c r="B51" s="78"/>
      <c r="C51" s="78"/>
      <c r="D51" s="78"/>
      <c r="E51" s="78"/>
      <c r="F51" s="78"/>
      <c r="G51" s="78"/>
      <c r="H51" s="78"/>
      <c r="I51" s="78"/>
      <c r="K51" s="42"/>
    </row>
    <row r="52" spans="1:12" s="2" customFormat="1" hidden="1" outlineLevel="1">
      <c r="A52" s="58" t="s">
        <v>126</v>
      </c>
      <c r="B52" s="78"/>
      <c r="C52" s="78"/>
      <c r="D52" s="78"/>
      <c r="E52" s="78"/>
      <c r="F52" s="78"/>
      <c r="G52" s="78"/>
      <c r="H52" s="78"/>
      <c r="I52" s="78"/>
      <c r="K52" s="60"/>
      <c r="L52" s="60"/>
    </row>
    <row r="53" spans="1:12" s="64" customFormat="1" ht="14.25" hidden="1" outlineLevel="1">
      <c r="A53" s="61" t="s">
        <v>68</v>
      </c>
      <c r="B53" s="285"/>
      <c r="C53" s="285">
        <f t="shared" ref="C53:I54" ca="1" si="14">+C134</f>
        <v>0</v>
      </c>
      <c r="D53" s="285">
        <f t="shared" ca="1" si="14"/>
        <v>0</v>
      </c>
      <c r="E53" s="285">
        <f t="shared" ca="1" si="14"/>
        <v>1.4616117333143242E-2</v>
      </c>
      <c r="F53" s="285">
        <f t="shared" ca="1" si="14"/>
        <v>2.98332838362129E-2</v>
      </c>
      <c r="G53" s="285">
        <f t="shared" ca="1" si="14"/>
        <v>4.6514283621871232E-2</v>
      </c>
      <c r="H53" s="285">
        <f t="shared" ca="1" si="14"/>
        <v>6.3929957431024309E-2</v>
      </c>
      <c r="I53" s="285">
        <f t="shared" ca="1" si="14"/>
        <v>8.2007006549390929E-2</v>
      </c>
      <c r="K53" s="63"/>
      <c r="L53" s="63"/>
    </row>
    <row r="54" spans="1:12" hidden="1"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hidden="1" outlineLevel="1">
      <c r="A56" s="61" t="s">
        <v>647</v>
      </c>
      <c r="B56" s="285"/>
      <c r="C56" s="285">
        <f t="shared" ref="C56:I56" ca="1" si="16">+C137</f>
        <v>0</v>
      </c>
      <c r="D56" s="285">
        <f t="shared" ca="1" si="16"/>
        <v>0</v>
      </c>
      <c r="E56" s="285">
        <f t="shared" ca="1" si="16"/>
        <v>1.2784215972257351E-3</v>
      </c>
      <c r="F56" s="285">
        <f t="shared" ca="1" si="16"/>
        <v>2.5881700069568243E-3</v>
      </c>
      <c r="G56" s="285">
        <f t="shared" ca="1" si="16"/>
        <v>4.9820047822629367E-3</v>
      </c>
      <c r="H56" s="285">
        <f t="shared" ca="1" si="16"/>
        <v>7.8504640824711373E-3</v>
      </c>
      <c r="I56" s="285">
        <f t="shared" ca="1" si="16"/>
        <v>1.1344118770767372E-2</v>
      </c>
      <c r="K56" s="42"/>
      <c r="L56" s="21"/>
    </row>
    <row r="57" spans="1:12" s="759" customFormat="1" ht="13.5" outlineLevel="1" thickBot="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hidden="1"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collapsed="1" thickBot="1">
      <c r="A59" s="97" t="s">
        <v>73</v>
      </c>
      <c r="B59" s="287"/>
      <c r="C59" s="287">
        <f t="shared" ref="C59:I59" ca="1" si="19">SUM(C53:C58)</f>
        <v>0</v>
      </c>
      <c r="D59" s="287">
        <f t="shared" ca="1" si="19"/>
        <v>0</v>
      </c>
      <c r="E59" s="287">
        <f t="shared" ca="1" si="19"/>
        <v>1.5894538930368976E-2</v>
      </c>
      <c r="F59" s="287">
        <f t="shared" ca="1" si="19"/>
        <v>3.2421453843169724E-2</v>
      </c>
      <c r="G59" s="287">
        <f t="shared" ca="1" si="19"/>
        <v>5.1496288404134172E-2</v>
      </c>
      <c r="H59" s="287">
        <f t="shared" ca="1" si="19"/>
        <v>7.1780421513495452E-2</v>
      </c>
      <c r="I59" s="287">
        <f t="shared" ca="1" si="19"/>
        <v>9.3351125320158296E-2</v>
      </c>
      <c r="J59" s="91" t="str">
        <f ca="1">IF(ROUND(SUM(B59:I59)-SUM(B140:I140),2)&lt;&gt;0,"Warning Check Escalations","OK")</f>
        <v>OK</v>
      </c>
      <c r="L59" s="86"/>
    </row>
    <row r="60" spans="1:12" hidden="1" outlineLevel="1">
      <c r="A60" s="88"/>
      <c r="B60" s="89"/>
      <c r="C60" s="89"/>
      <c r="D60" s="89"/>
      <c r="E60" s="89"/>
      <c r="F60" s="89"/>
      <c r="G60" s="89"/>
      <c r="H60" s="89"/>
      <c r="I60" s="89"/>
      <c r="K60" s="42"/>
      <c r="L60" s="21"/>
    </row>
    <row r="61" spans="1:12" ht="18.75" hidden="1"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hidden="1" customHeight="1" outlineLevel="1">
      <c r="A62" s="77"/>
      <c r="B62" s="76"/>
      <c r="C62" s="76"/>
      <c r="D62" s="76"/>
      <c r="E62" s="76"/>
      <c r="F62" s="76"/>
      <c r="G62" s="76"/>
      <c r="H62" s="76"/>
      <c r="I62" s="76"/>
      <c r="K62" s="42"/>
    </row>
    <row r="63" spans="1:12" s="2" customFormat="1" hidden="1" outlineLevel="1">
      <c r="A63" s="58" t="s">
        <v>126</v>
      </c>
      <c r="B63" s="78"/>
      <c r="C63" s="78"/>
      <c r="D63" s="78"/>
      <c r="E63" s="78"/>
      <c r="F63" s="78"/>
      <c r="G63" s="78"/>
      <c r="H63" s="78"/>
      <c r="I63" s="78"/>
      <c r="K63" s="60"/>
      <c r="L63" s="60"/>
    </row>
    <row r="64" spans="1:12" s="64" customFormat="1" ht="12.75" hidden="1" customHeight="1" outlineLevel="1">
      <c r="A64" s="61" t="s">
        <v>68</v>
      </c>
      <c r="B64" s="285">
        <f t="shared" ref="B64:I65" ca="1" si="20">+B42+B30+B53</f>
        <v>0</v>
      </c>
      <c r="C64" s="285">
        <f t="shared" ca="1" si="20"/>
        <v>0</v>
      </c>
      <c r="D64" s="285">
        <f t="shared" ca="1" si="20"/>
        <v>0.67400000000000004</v>
      </c>
      <c r="E64" s="285">
        <f t="shared" ca="1" si="20"/>
        <v>0.6957672292146958</v>
      </c>
      <c r="F64" s="285">
        <f t="shared" ca="1" si="20"/>
        <v>0.71761051454952718</v>
      </c>
      <c r="G64" s="285">
        <f t="shared" ca="1" si="20"/>
        <v>0.74084135922243877</v>
      </c>
      <c r="H64" s="285">
        <f t="shared" ca="1" si="20"/>
        <v>0.7653630886800995</v>
      </c>
      <c r="I64" s="285">
        <f t="shared" ca="1" si="20"/>
        <v>0.78994933795444711</v>
      </c>
      <c r="K64" s="63"/>
      <c r="L64" s="63"/>
    </row>
    <row r="65" spans="1:20" ht="12.75" hidden="1" customHeight="1" outlineLevel="1">
      <c r="A65" s="61" t="s">
        <v>69</v>
      </c>
      <c r="B65" s="285">
        <f t="shared" ca="1" si="20"/>
        <v>0</v>
      </c>
      <c r="C65" s="285">
        <f t="shared" ca="1" si="20"/>
        <v>0</v>
      </c>
      <c r="D65" s="285">
        <f t="shared" ca="1" si="20"/>
        <v>0.01</v>
      </c>
      <c r="E65" s="285">
        <f t="shared" ca="1" si="20"/>
        <v>1.0106099582812351E-2</v>
      </c>
      <c r="F65" s="285">
        <f t="shared" ca="1" si="20"/>
        <v>1.0204409951236117E-2</v>
      </c>
      <c r="G65" s="285">
        <f t="shared" ca="1" si="20"/>
        <v>1.0301588658762129E-2</v>
      </c>
      <c r="H65" s="285">
        <f t="shared" ca="1" si="20"/>
        <v>1.0407019751469957E-2</v>
      </c>
      <c r="I65" s="285">
        <f t="shared" ca="1" si="20"/>
        <v>1.0503595421440002E-2</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hidden="1" customHeight="1" outlineLevel="1">
      <c r="A67" s="61" t="s">
        <v>647</v>
      </c>
      <c r="B67" s="285">
        <f t="shared" ref="B67:I67" ca="1" si="22">+B45+B33+B56</f>
        <v>0</v>
      </c>
      <c r="C67" s="285">
        <f t="shared" ca="1" si="22"/>
        <v>0</v>
      </c>
      <c r="D67" s="285">
        <f t="shared" ca="1" si="22"/>
        <v>0.253</v>
      </c>
      <c r="E67" s="285">
        <f t="shared" ca="1" si="22"/>
        <v>0.25696274104237821</v>
      </c>
      <c r="F67" s="285">
        <f t="shared" ca="1" si="22"/>
        <v>0.26075974177323058</v>
      </c>
      <c r="G67" s="285">
        <f t="shared" ca="1" si="22"/>
        <v>0.2656121978489448</v>
      </c>
      <c r="H67" s="285">
        <f t="shared" ca="1" si="22"/>
        <v>0.27114806379466105</v>
      </c>
      <c r="I67" s="285">
        <f t="shared" ca="1" si="22"/>
        <v>0.27708508293319939</v>
      </c>
      <c r="K67" s="42"/>
      <c r="L67" s="21"/>
    </row>
    <row r="68" spans="1:20" s="759" customFormat="1" ht="12.75" customHeight="1" outlineLevel="1" thickBot="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hidden="1"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collapsed="1" thickBot="1">
      <c r="A70" s="99" t="s">
        <v>129</v>
      </c>
      <c r="B70" s="295">
        <f t="shared" ref="B70:I70" ca="1" si="25">SUM(B64:B69)</f>
        <v>0</v>
      </c>
      <c r="C70" s="295">
        <f t="shared" ca="1" si="25"/>
        <v>0</v>
      </c>
      <c r="D70" s="295">
        <f t="shared" ca="1" si="25"/>
        <v>0.93700000000000006</v>
      </c>
      <c r="E70" s="295">
        <f t="shared" ca="1" si="25"/>
        <v>0.96283606983988634</v>
      </c>
      <c r="F70" s="295">
        <f t="shared" ca="1" si="25"/>
        <v>0.98857466627399393</v>
      </c>
      <c r="G70" s="295">
        <f t="shared" ca="1" si="25"/>
        <v>1.0167551457301456</v>
      </c>
      <c r="H70" s="295">
        <f t="shared" ca="1" si="25"/>
        <v>1.0469181722262304</v>
      </c>
      <c r="I70" s="295">
        <f t="shared" ca="1" si="25"/>
        <v>1.0775380163090864</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7.1511118815524724E-3</v>
      </c>
      <c r="Q77" s="285">
        <f ca="1">IF($B77&lt;&gt;0,(+VLOOKUP($B77,$A$8:$I$13,6,FALSE))*(F77),0)</f>
        <v>1.377723071331432E-2</v>
      </c>
      <c r="R77" s="285">
        <f ca="1">IF($B77&lt;&gt;0,(+VLOOKUP($B77,$A$8:$I$13,7,FALSE))*(G77),0)</f>
        <v>2.0327075600567467E-2</v>
      </c>
      <c r="S77" s="285">
        <f ca="1">IF($B77&lt;&gt;0,(+VLOOKUP($B77,$A$8:$I$13,8,FALSE))*(H77),0)</f>
        <v>2.74331312490751E-2</v>
      </c>
      <c r="T77" s="285">
        <f ca="1">IF($B77&lt;&gt;0,(+VLOOKUP($B77,$A$8:$I$13,9,FALSE))*(I77),0)</f>
        <v>3.3942331405056127E-2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1.0609958281235121E-4</v>
      </c>
      <c r="Q78" s="285">
        <f ca="1">IF($B78&lt;&gt;0,(+VLOOKUP($B78,$A$8:$I$13,6,FALSE))*(F78),0)</f>
        <v>2.044099512361175E-4</v>
      </c>
      <c r="R78" s="285">
        <f ca="1">IF($B78&lt;&gt;0,(+VLOOKUP($B78,$A$8:$I$13,7,FALSE))*(G78),0)</f>
        <v>3.015886587621286E-4</v>
      </c>
      <c r="S78" s="285">
        <f ca="1">IF($B78&lt;&gt;0,(+VLOOKUP($B78,$A$8:$I$13,8,FALSE))*(H78),0)</f>
        <v>4.0701975146995695E-4</v>
      </c>
      <c r="T78" s="285">
        <f ca="1">IF($B78&lt;&gt;0,(+VLOOKUP($B78,$A$8:$I$13,9,FALSE))*(I78),0)</f>
        <v>5.0359542144000184E-4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2.6843194451524857E-3</v>
      </c>
      <c r="Q80" s="285">
        <f t="shared" ca="1" si="34"/>
        <v>5.1715717662737725E-3</v>
      </c>
      <c r="R80" s="285">
        <f t="shared" ca="1" si="35"/>
        <v>7.6301930666818531E-3</v>
      </c>
      <c r="S80" s="285">
        <f t="shared" ca="1" si="36"/>
        <v>1.0297599712189911E-2</v>
      </c>
      <c r="T80" s="285">
        <f t="shared" ca="1" si="37"/>
        <v>1.2740964162432046E-2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9.9415309095173092E-3</v>
      </c>
      <c r="Q83" s="292">
        <f t="shared" ca="1" si="51"/>
        <v>1.9153212430824209E-2</v>
      </c>
      <c r="R83" s="292">
        <f t="shared" ca="1" si="51"/>
        <v>2.8258857326011452E-2</v>
      </c>
      <c r="S83" s="292">
        <f t="shared" ca="1" si="51"/>
        <v>3.8137750712734966E-2</v>
      </c>
      <c r="T83" s="292">
        <f t="shared" ca="1" si="51"/>
        <v>4.7186890988928178E-2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hidden="1"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hidden="1"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hidden="1"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hidden="1"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hidden="1"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hidden="1" outlineLevel="1">
      <c r="A95" s="107"/>
      <c r="B95" s="42"/>
      <c r="C95" s="42"/>
      <c r="D95" s="42"/>
      <c r="E95" s="42"/>
      <c r="F95" s="42"/>
      <c r="G95" s="42"/>
      <c r="H95" s="42"/>
      <c r="I95" s="78"/>
    </row>
    <row r="96" spans="1:20" ht="13.5" hidden="1" outlineLevel="1" thickBot="1">
      <c r="A96" s="208" t="s">
        <v>141</v>
      </c>
      <c r="B96" s="209"/>
      <c r="C96" s="209"/>
      <c r="D96" s="209"/>
      <c r="E96" s="209"/>
      <c r="F96" s="209"/>
      <c r="G96" s="209"/>
      <c r="H96" s="209"/>
      <c r="I96" s="210"/>
    </row>
    <row r="97" spans="1:20" hidden="1"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hidden="1" outlineLevel="1">
      <c r="A98" s="61" t="s">
        <v>68</v>
      </c>
      <c r="B98" s="119"/>
      <c r="C98" s="285">
        <f ca="1">+C8*(C86)</f>
        <v>0</v>
      </c>
      <c r="D98" s="285">
        <f t="shared" ref="D98:I98" ca="1" si="54">+D8*(D86)</f>
        <v>0</v>
      </c>
      <c r="E98" s="285">
        <f ca="1">+E8*(E86)</f>
        <v>7.1511118815524724E-3</v>
      </c>
      <c r="F98" s="285">
        <f t="shared" ca="1" si="54"/>
        <v>1.377723071331432E-2</v>
      </c>
      <c r="G98" s="285">
        <f t="shared" ca="1" si="54"/>
        <v>2.0327075600567467E-2</v>
      </c>
      <c r="H98" s="285">
        <f t="shared" ca="1" si="54"/>
        <v>2.74331312490751E-2</v>
      </c>
      <c r="I98" s="285">
        <f t="shared" ca="1" si="54"/>
        <v>3.3942331405056127E-2</v>
      </c>
    </row>
    <row r="99" spans="1:20" hidden="1" outlineLevel="1">
      <c r="A99" s="61" t="s">
        <v>69</v>
      </c>
      <c r="B99" s="119"/>
      <c r="C99" s="285">
        <f t="shared" ref="C99:I99" ca="1" si="55">+C9*(C87)</f>
        <v>0</v>
      </c>
      <c r="D99" s="285">
        <f t="shared" ca="1" si="55"/>
        <v>0</v>
      </c>
      <c r="E99" s="285">
        <f t="shared" ca="1" si="55"/>
        <v>1.0609958281235121E-4</v>
      </c>
      <c r="F99" s="285">
        <f t="shared" ca="1" si="55"/>
        <v>2.044099512361175E-4</v>
      </c>
      <c r="G99" s="285">
        <f t="shared" ca="1" si="55"/>
        <v>3.015886587621286E-4</v>
      </c>
      <c r="H99" s="285">
        <f t="shared" ca="1" si="55"/>
        <v>4.0701975146995695E-4</v>
      </c>
      <c r="I99" s="285">
        <f t="shared" ca="1" si="55"/>
        <v>5.0359542144000184E-4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hidden="1" outlineLevel="1">
      <c r="A101" s="61" t="s">
        <v>647</v>
      </c>
      <c r="B101" s="119"/>
      <c r="C101" s="285">
        <f t="shared" ref="C101:I101" ca="1" si="57">+C11*(C89)</f>
        <v>0</v>
      </c>
      <c r="D101" s="285">
        <f t="shared" ca="1" si="57"/>
        <v>0</v>
      </c>
      <c r="E101" s="285">
        <f t="shared" ca="1" si="57"/>
        <v>2.6843194451524857E-3</v>
      </c>
      <c r="F101" s="285">
        <f t="shared" ca="1" si="57"/>
        <v>5.1715717662737725E-3</v>
      </c>
      <c r="G101" s="285">
        <f t="shared" ca="1" si="57"/>
        <v>7.6301930666818531E-3</v>
      </c>
      <c r="H101" s="285">
        <f t="shared" ca="1" si="57"/>
        <v>1.0297599712189911E-2</v>
      </c>
      <c r="I101" s="285">
        <f t="shared" ca="1" si="57"/>
        <v>1.2740964162432046E-2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hidden="1"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hidden="1" outlineLevel="1">
      <c r="A104" s="120" t="s">
        <v>142</v>
      </c>
      <c r="B104" s="121"/>
      <c r="C104" s="296">
        <f t="shared" ref="C104:I104" ca="1" si="60">SUM(C98:C103)</f>
        <v>0</v>
      </c>
      <c r="D104" s="296">
        <f t="shared" ca="1" si="60"/>
        <v>0</v>
      </c>
      <c r="E104" s="296">
        <f t="shared" ca="1" si="60"/>
        <v>9.9415309095173092E-3</v>
      </c>
      <c r="F104" s="296">
        <f t="shared" ca="1" si="60"/>
        <v>1.9153212430824209E-2</v>
      </c>
      <c r="G104" s="296">
        <f t="shared" ca="1" si="60"/>
        <v>2.8258857326011452E-2</v>
      </c>
      <c r="H104" s="296">
        <f t="shared" ca="1" si="60"/>
        <v>3.8137750712734966E-2</v>
      </c>
      <c r="I104" s="296">
        <f t="shared" ca="1" si="60"/>
        <v>4.7186890988928178E-2</v>
      </c>
    </row>
    <row r="105" spans="1:20" ht="13.5" hidden="1"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5.0359542144000187E-2</v>
      </c>
    </row>
    <row r="106" spans="1:20" ht="7.5" hidden="1" customHeight="1" outlineLevel="1"/>
    <row r="107" spans="1:20" collapsed="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hidden="1" outlineLevel="1">
      <c r="A109" s="208" t="s">
        <v>145</v>
      </c>
      <c r="B109" s="209"/>
      <c r="C109" s="209"/>
      <c r="D109" s="209"/>
      <c r="E109" s="209"/>
      <c r="F109" s="209"/>
      <c r="G109" s="209"/>
      <c r="H109" s="209"/>
      <c r="I109" s="210"/>
      <c r="J109" s="211" t="s">
        <v>133</v>
      </c>
      <c r="K109" s="211" t="s">
        <v>134</v>
      </c>
    </row>
    <row r="110" spans="1:20" ht="13.5" hidden="1" outlineLevel="1" thickBot="1">
      <c r="A110" s="212" t="s">
        <v>135</v>
      </c>
      <c r="B110" s="213"/>
      <c r="C110" s="213"/>
      <c r="D110" s="213"/>
      <c r="E110" s="213"/>
      <c r="F110" s="213"/>
      <c r="G110" s="213"/>
      <c r="H110" s="213"/>
      <c r="I110" s="213"/>
      <c r="J110" s="211"/>
      <c r="K110" s="211"/>
      <c r="N110" s="410" t="s">
        <v>377</v>
      </c>
    </row>
    <row r="111" spans="1:20" hidden="1"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hidden="1" outlineLevel="1">
      <c r="A112" s="58" t="s">
        <v>45</v>
      </c>
      <c r="B112" s="42"/>
      <c r="C112" s="42"/>
      <c r="D112" s="42"/>
      <c r="E112" s="42"/>
      <c r="F112" s="42"/>
      <c r="G112" s="42"/>
      <c r="H112" s="42"/>
      <c r="I112" s="78"/>
      <c r="J112" s="4"/>
    </row>
    <row r="113" spans="1:20" hidden="1"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1.4616117333143242E-2</v>
      </c>
      <c r="Q113" s="285">
        <f ca="1">IF($B113&lt;&gt;0,(+VLOOKUP($B113,$A$8:$I$13,6,FALSE)+VLOOKUP($B113,$A$42:$I$47,6,FALSE))*(F113),0)</f>
        <v>2.98332838362129E-2</v>
      </c>
      <c r="R113" s="285">
        <f ca="1">IF($B113&lt;&gt;0,(+VLOOKUP($B113,$A$8:$I$13,7,FALSE)+VLOOKUP($B113,$A$42:$I$47,7,FALSE))*(G113),0)</f>
        <v>4.6514283621871232E-2</v>
      </c>
      <c r="S113" s="285">
        <f ca="1">IF($B113&lt;&gt;0,(+VLOOKUP($B113,$A$8:$I$13,8,FALSE)+VLOOKUP($B113,$A$42:$I$47,8,FALSE))*(H113),0)</f>
        <v>6.3929957431024309E-2</v>
      </c>
      <c r="T113" s="285">
        <f ca="1">IF($B113&lt;&gt;0,(+VLOOKUP($B113,$A$8:$I$13,9,FALSE)+VLOOKUP($B113,$A$42:$I$47,9,FALSE))*(I113),0)</f>
        <v>8.2007006549390929E-2</v>
      </c>
    </row>
    <row r="114" spans="1:20" hidden="1"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hidden="1"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1.2784215972257351E-3</v>
      </c>
      <c r="Q116" s="285">
        <f t="shared" ca="1" si="68"/>
        <v>2.5881700069568243E-3</v>
      </c>
      <c r="R116" s="285">
        <f t="shared" ca="1" si="69"/>
        <v>4.9820047822629367E-3</v>
      </c>
      <c r="S116" s="285">
        <f t="shared" ca="1" si="70"/>
        <v>7.8504640824711373E-3</v>
      </c>
      <c r="T116" s="285">
        <f t="shared" ca="1" si="71"/>
        <v>1.1344118770767372E-2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hidden="1"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1.5894538930368976E-2</v>
      </c>
      <c r="Q119" s="292">
        <f t="shared" ca="1" si="72"/>
        <v>3.2421453843169724E-2</v>
      </c>
      <c r="R119" s="292">
        <f t="shared" ca="1" si="72"/>
        <v>5.1496288404134172E-2</v>
      </c>
      <c r="S119" s="292">
        <f t="shared" ca="1" si="72"/>
        <v>7.1780421513495452E-2</v>
      </c>
      <c r="T119" s="292">
        <f t="shared" ca="1" si="72"/>
        <v>9.3351125320158296E-2</v>
      </c>
    </row>
    <row r="120" spans="1:20" ht="12" hidden="1"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hidden="1" outlineLevel="1">
      <c r="A121" s="208" t="s">
        <v>146</v>
      </c>
      <c r="B121" s="209"/>
      <c r="C121" s="209"/>
      <c r="D121" s="209"/>
      <c r="E121" s="209"/>
      <c r="F121" s="209"/>
      <c r="G121" s="209"/>
      <c r="H121" s="209"/>
      <c r="I121" s="210"/>
    </row>
    <row r="122" spans="1:20" hidden="1"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hidden="1"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hidden="1"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hidden="1"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hidden="1"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hidden="1"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hidden="1"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hidden="1" outlineLevel="1">
      <c r="B131" s="42"/>
      <c r="C131" s="42"/>
      <c r="D131" s="42"/>
      <c r="E131" s="42"/>
      <c r="F131" s="42"/>
      <c r="G131" s="42"/>
      <c r="H131" s="42"/>
      <c r="I131" s="78"/>
    </row>
    <row r="132" spans="1:16" ht="13.5" hidden="1" outlineLevel="1" thickBot="1">
      <c r="A132" s="208" t="s">
        <v>147</v>
      </c>
      <c r="B132" s="209"/>
      <c r="C132" s="209"/>
      <c r="D132" s="209"/>
      <c r="E132" s="209"/>
      <c r="F132" s="209"/>
      <c r="G132" s="209"/>
      <c r="H132" s="209"/>
      <c r="I132" s="210"/>
    </row>
    <row r="133" spans="1:16" hidden="1"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hidden="1" outlineLevel="1">
      <c r="A134" s="61" t="s">
        <v>68</v>
      </c>
      <c r="B134" s="119"/>
      <c r="C134" s="285">
        <f ca="1">(+C8+C42)*(C$122)</f>
        <v>0</v>
      </c>
      <c r="D134" s="285">
        <f ca="1">(+D8+D42)*(D$122)</f>
        <v>0</v>
      </c>
      <c r="E134" s="285">
        <f t="shared" ref="E134:I134" ca="1" si="75">(+E8+E42)*(E$122)</f>
        <v>1.4616117333143242E-2</v>
      </c>
      <c r="F134" s="285">
        <f t="shared" ca="1" si="75"/>
        <v>2.98332838362129E-2</v>
      </c>
      <c r="G134" s="285">
        <f t="shared" ca="1" si="75"/>
        <v>4.6514283621871232E-2</v>
      </c>
      <c r="H134" s="285">
        <f t="shared" ca="1" si="75"/>
        <v>6.3929957431024309E-2</v>
      </c>
      <c r="I134" s="285">
        <f t="shared" ca="1" si="75"/>
        <v>8.2007006549390929E-2</v>
      </c>
    </row>
    <row r="135" spans="1:16" hidden="1"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hidden="1" outlineLevel="1">
      <c r="A137" s="61" t="s">
        <v>647</v>
      </c>
      <c r="B137" s="119"/>
      <c r="C137" s="285">
        <f ca="1">(+C11+C45)*(C$125)</f>
        <v>0</v>
      </c>
      <c r="D137" s="285">
        <f t="shared" ref="D137:I137" ca="1" si="78">(+D11+D45)*(D$125)</f>
        <v>0</v>
      </c>
      <c r="E137" s="285">
        <f t="shared" ca="1" si="78"/>
        <v>1.2784215972257351E-3</v>
      </c>
      <c r="F137" s="285">
        <f t="shared" ca="1" si="78"/>
        <v>2.5881700069568243E-3</v>
      </c>
      <c r="G137" s="285">
        <f t="shared" ca="1" si="78"/>
        <v>4.9820047822629367E-3</v>
      </c>
      <c r="H137" s="285">
        <f t="shared" ca="1" si="78"/>
        <v>7.8504640824711373E-3</v>
      </c>
      <c r="I137" s="285">
        <f t="shared" ca="1" si="78"/>
        <v>1.1344118770767372E-2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hidden="1"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hidden="1" outlineLevel="1">
      <c r="A140" s="120" t="s">
        <v>147</v>
      </c>
      <c r="B140" s="121"/>
      <c r="C140" s="296">
        <f t="shared" ref="C140:I140" ca="1" si="81">SUM(C134:C139)</f>
        <v>0</v>
      </c>
      <c r="D140" s="296">
        <f t="shared" ca="1" si="81"/>
        <v>0</v>
      </c>
      <c r="E140" s="296">
        <f t="shared" ca="1" si="81"/>
        <v>1.5894538930368976E-2</v>
      </c>
      <c r="F140" s="296">
        <f t="shared" ca="1" si="81"/>
        <v>3.2421453843169724E-2</v>
      </c>
      <c r="G140" s="296">
        <f t="shared" ca="1" si="81"/>
        <v>5.1496288404134172E-2</v>
      </c>
      <c r="H140" s="296">
        <f t="shared" ca="1" si="81"/>
        <v>7.1780421513495452E-2</v>
      </c>
      <c r="I140" s="296">
        <f t="shared" ca="1" si="81"/>
        <v>9.3351125320158296E-2</v>
      </c>
    </row>
    <row r="141" spans="1:16" ht="13.5" hidden="1" outlineLevel="1" thickBot="1">
      <c r="A141" s="122" t="s">
        <v>148</v>
      </c>
      <c r="B141" s="126"/>
      <c r="C141" s="124">
        <f t="shared" ref="C141:I141" ca="1" si="82">IF((+C36+C48)&lt;&gt;0,+C140/(+C36+C48),0)</f>
        <v>0</v>
      </c>
      <c r="D141" s="124">
        <f t="shared" ca="1" si="82"/>
        <v>0</v>
      </c>
      <c r="E141" s="124">
        <f t="shared" ca="1" si="82"/>
        <v>1.6785132356696413E-2</v>
      </c>
      <c r="F141" s="124">
        <f t="shared" ca="1" si="82"/>
        <v>3.3908220378975458E-2</v>
      </c>
      <c r="G141" s="124">
        <f t="shared" ca="1" si="82"/>
        <v>5.3349718589260818E-2</v>
      </c>
      <c r="H141" s="124">
        <f t="shared" ca="1" si="82"/>
        <v>7.3610545239409145E-2</v>
      </c>
      <c r="I141" s="124">
        <f t="shared" ca="1" si="82"/>
        <v>9.4851014756310609E-2</v>
      </c>
    </row>
    <row r="142" spans="1:16" hidden="1" outlineLevel="1"/>
    <row r="143" spans="1:16" collapsed="1">
      <c r="K143" s="127"/>
    </row>
    <row r="144" spans="1:16">
      <c r="K144" s="127"/>
    </row>
    <row r="145" spans="1:13" ht="18">
      <c r="A145" s="206" t="s">
        <v>72</v>
      </c>
      <c r="B145" s="202"/>
      <c r="C145" s="202"/>
      <c r="D145" s="202"/>
      <c r="E145" s="202"/>
      <c r="F145" s="202"/>
      <c r="G145" s="202"/>
      <c r="H145" s="202"/>
      <c r="I145" s="203"/>
      <c r="J145" s="42"/>
    </row>
    <row r="146" spans="1:13" ht="13.5" hidden="1" outlineLevel="1" thickBot="1">
      <c r="A146" s="215" t="s">
        <v>149</v>
      </c>
      <c r="B146" s="209"/>
      <c r="C146" s="209"/>
      <c r="D146" s="209"/>
      <c r="E146" s="209"/>
      <c r="F146" s="209"/>
      <c r="G146" s="209"/>
      <c r="H146" s="209"/>
      <c r="I146" s="210"/>
      <c r="J146" s="42"/>
    </row>
    <row r="147" spans="1:13" hidden="1"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hidden="1" outlineLevel="1">
      <c r="A148" s="58" t="s">
        <v>126</v>
      </c>
      <c r="B148" s="128"/>
      <c r="C148" s="59"/>
      <c r="D148" s="59"/>
      <c r="E148" s="59"/>
      <c r="F148" s="59"/>
      <c r="G148" s="59"/>
      <c r="H148" s="59"/>
      <c r="I148" s="59"/>
      <c r="J148" s="60"/>
      <c r="K148" s="60"/>
      <c r="L148" s="60"/>
    </row>
    <row r="149" spans="1:13" s="64" customFormat="1" ht="14.25" hidden="1"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hidden="1"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hidden="1"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hidden="1"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hidden="1"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ollapsed="1">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hidden="1" outlineLevel="1" thickBot="1">
      <c r="A158" s="215" t="s">
        <v>326</v>
      </c>
      <c r="B158" s="209"/>
      <c r="C158" s="209" t="s">
        <v>327</v>
      </c>
      <c r="D158" s="209">
        <f>MAX(J178:J195)</f>
        <v>1</v>
      </c>
      <c r="E158" s="209"/>
      <c r="F158" s="209"/>
      <c r="G158" s="209"/>
      <c r="H158" s="209"/>
      <c r="I158" s="210"/>
      <c r="K158" s="46" t="s">
        <v>117</v>
      </c>
      <c r="L158" s="50" t="s">
        <v>259</v>
      </c>
      <c r="M158" s="54" t="s">
        <v>111</v>
      </c>
    </row>
    <row r="159" spans="1:13" hidden="1"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hidden="1"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hidden="1"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hidden="1"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hidden="1"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hidden="1"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hidden="1"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hidden="1"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hidden="1"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hidden="1"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hidden="1"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ollapsed="1">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(SEM)'!$N$277:$R$282</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0.93700000000000006</v>
      </c>
      <c r="E205" s="82">
        <f t="shared" ca="1" si="95"/>
        <v>0.93700000000000006</v>
      </c>
      <c r="F205" s="82">
        <f t="shared" ca="1" si="95"/>
        <v>0.93700000000000006</v>
      </c>
      <c r="G205" s="82">
        <f t="shared" ca="1" si="95"/>
        <v>0.93700000000000006</v>
      </c>
      <c r="H205" s="82">
        <f t="shared" ca="1" si="95"/>
        <v>0.93700000000000006</v>
      </c>
      <c r="I205" s="82">
        <f t="shared" ca="1" si="95"/>
        <v>0.93700000000000006</v>
      </c>
    </row>
    <row r="206" spans="1:9" outlineLevel="1">
      <c r="A206" t="s">
        <v>156</v>
      </c>
      <c r="B206" s="82">
        <f t="shared" ref="B206:I206" ca="1" si="96">+B36</f>
        <v>0</v>
      </c>
      <c r="C206" s="82">
        <f t="shared" ca="1" si="96"/>
        <v>0</v>
      </c>
      <c r="D206" s="82">
        <f t="shared" ca="1" si="96"/>
        <v>0.93700000000000006</v>
      </c>
      <c r="E206" s="82">
        <f t="shared" ca="1" si="96"/>
        <v>0.93700000000000006</v>
      </c>
      <c r="F206" s="82">
        <f t="shared" ca="1" si="96"/>
        <v>0.93700000000000006</v>
      </c>
      <c r="G206" s="82">
        <f t="shared" ca="1" si="96"/>
        <v>0.93700000000000006</v>
      </c>
      <c r="H206" s="82">
        <f t="shared" ca="1" si="96"/>
        <v>0.93700000000000006</v>
      </c>
      <c r="I206" s="82">
        <f t="shared" ca="1" si="96"/>
        <v>0.93700000000000006</v>
      </c>
    </row>
    <row r="207" spans="1:9" outlineLevel="1">
      <c r="A207" t="s">
        <v>157</v>
      </c>
      <c r="B207" s="82">
        <f t="shared" ref="B207:I207" ca="1" si="97">+B36+B48</f>
        <v>0</v>
      </c>
      <c r="C207" s="82">
        <f t="shared" ca="1" si="97"/>
        <v>0</v>
      </c>
      <c r="D207" s="82">
        <f t="shared" ca="1" si="97"/>
        <v>0.93700000000000006</v>
      </c>
      <c r="E207" s="82">
        <f t="shared" ca="1" si="97"/>
        <v>0.94694153090951738</v>
      </c>
      <c r="F207" s="82">
        <f t="shared" ca="1" si="97"/>
        <v>0.9561532124308243</v>
      </c>
      <c r="G207" s="82">
        <f t="shared" ca="1" si="97"/>
        <v>0.96525885732601147</v>
      </c>
      <c r="H207" s="82">
        <f t="shared" ca="1" si="97"/>
        <v>0.97513775071273501</v>
      </c>
      <c r="I207" s="82">
        <f t="shared" ca="1" si="97"/>
        <v>0.9841868909889282</v>
      </c>
    </row>
    <row r="208" spans="1:9" outlineLevel="1">
      <c r="A208" t="s">
        <v>158</v>
      </c>
      <c r="B208" s="82">
        <f t="shared" ref="B208:I208" ca="1" si="98">+B70</f>
        <v>0</v>
      </c>
      <c r="C208" s="82">
        <f t="shared" ca="1" si="98"/>
        <v>0</v>
      </c>
      <c r="D208" s="82">
        <f t="shared" ca="1" si="98"/>
        <v>0.93700000000000006</v>
      </c>
      <c r="E208" s="82">
        <f t="shared" ca="1" si="98"/>
        <v>0.96283606983988634</v>
      </c>
      <c r="F208" s="82">
        <f t="shared" ca="1" si="98"/>
        <v>0.98857466627399393</v>
      </c>
      <c r="G208" s="82">
        <f t="shared" ca="1" si="98"/>
        <v>1.0167551457301456</v>
      </c>
      <c r="H208" s="82">
        <f t="shared" ca="1" si="98"/>
        <v>1.0469181722262304</v>
      </c>
      <c r="I208" s="82">
        <f t="shared" ca="1" si="98"/>
        <v>1.0775380163090864</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30" priority="1" stopIfTrue="1" operator="notEqual">
      <formula>0</formula>
    </cfRule>
  </conditionalFormatting>
  <conditionalFormatting sqref="J130 J94 J70 J59 J48 J36:J37 J14 J25">
    <cfRule type="cellIs" dxfId="229" priority="2" stopIfTrue="1" operator="equal">
      <formula>"OK"</formula>
    </cfRule>
    <cfRule type="cellIs" dxfId="228" priority="3" stopIfTrue="1" operator="equal">
      <formula>"Warning Check Escalations"</formula>
    </cfRule>
  </conditionalFormatting>
  <conditionalFormatting sqref="N120:T120 N84:T84">
    <cfRule type="cellIs" dxfId="227" priority="4" stopIfTrue="1" operator="notEqual">
      <formula>0</formula>
    </cfRule>
    <cfRule type="cellIs" dxfId="22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4"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5.xml><?xml version="1.0" encoding="utf-8"?>
<worksheet xmlns="http://schemas.openxmlformats.org/spreadsheetml/2006/main" xmlns:r="http://schemas.openxmlformats.org/officeDocument/2006/relationships">
  <sheetPr codeName="Sheet88" enableFormatConditionsCalculation="0">
    <tabColor indexed="57"/>
    <pageSetUpPr fitToPage="1"/>
  </sheetPr>
  <dimension ref="A1:T239"/>
  <sheetViews>
    <sheetView showGridLines="0" topLeftCell="A6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32</v>
      </c>
      <c r="M1" s="282"/>
      <c r="N1" s="280"/>
      <c r="O1" s="280"/>
      <c r="P1" s="280"/>
      <c r="Q1" s="280"/>
      <c r="R1" s="280"/>
      <c r="S1" s="280"/>
      <c r="T1" s="280"/>
    </row>
    <row r="2" spans="1:20" ht="15.75">
      <c r="A2" s="184" t="s">
        <v>121</v>
      </c>
      <c r="B2" s="74" t="str">
        <f ca="1">OFFSET(List_AllocOpexListStart,+$K$1,1)</f>
        <v>General Manager Services</v>
      </c>
      <c r="F2" s="284"/>
      <c r="H2" s="42"/>
      <c r="I2" s="283"/>
      <c r="L2" s="282"/>
      <c r="M2" s="282"/>
    </row>
    <row r="3" spans="1:20" ht="16.5" thickBot="1">
      <c r="A3" s="184" t="s">
        <v>371</v>
      </c>
      <c r="B3" s="236" t="str">
        <f ca="1">OFFSET(List_AllocOpexListStart,+$K$1,2)</f>
        <v>Sonya Furey</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0.502</v>
      </c>
      <c r="E8" s="285">
        <f ca="1">OFFSET(Future_AOpexStart,MATCH($K$1,'I-6 Future A'!$A$6:$A$379)+2,+'I-5 Future DA'!F$5)</f>
        <v>0.502</v>
      </c>
      <c r="F8" s="285">
        <f ca="1">OFFSET(Future_AOpexStart,MATCH($K$1,'I-6 Future A'!$A$6:$A$379)+2,+'I-5 Future DA'!G$5)</f>
        <v>0.502</v>
      </c>
      <c r="G8" s="285">
        <f ca="1">OFFSET(Future_AOpexStart,MATCH($K$1,'I-6 Future A'!$A$6:$A$379)+2,+'I-5 Future DA'!H$5)</f>
        <v>0.502</v>
      </c>
      <c r="H8" s="285">
        <f ca="1">OFFSET(Future_AOpexStart,MATCH($K$1,'I-6 Future A'!$A$6:$A$379)+2,+'I-5 Future DA'!I$5)</f>
        <v>0.502</v>
      </c>
      <c r="I8" s="285">
        <f ca="1">OFFSET(Future_AOpexStart,MATCH($K$1,'I-6 Future A'!$A$6:$A$379)+2,+'I-5 Future DA'!J$5)</f>
        <v>0.502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8.9999999999999993E-3</v>
      </c>
      <c r="E9" s="285">
        <f ca="1">OFFSET(Future_AOpexStart,MATCH($K$1,'I-6 Future A'!$A$6:$A$379)+3,+'I-5 Future DA'!F$5)</f>
        <v>8.9999999999999993E-3</v>
      </c>
      <c r="F9" s="285">
        <f ca="1">OFFSET(Future_AOpexStart,MATCH($K$1,'I-6 Future A'!$A$6:$A$379)+3,+'I-5 Future DA'!G$5)</f>
        <v>8.9999999999999993E-3</v>
      </c>
      <c r="G9" s="285">
        <f ca="1">OFFSET(Future_AOpexStart,MATCH($K$1,'I-6 Future A'!$A$6:$A$379)+3,+'I-5 Future DA'!H$5)</f>
        <v>8.9999999999999993E-3</v>
      </c>
      <c r="H9" s="285">
        <f ca="1">OFFSET(Future_AOpexStart,MATCH($K$1,'I-6 Future A'!$A$6:$A$379)+3,+'I-5 Future DA'!I$5)</f>
        <v>8.9999999999999993E-3</v>
      </c>
      <c r="I9" s="285">
        <f ca="1">OFFSET(Future_AOpexStart,MATCH($K$1,'I-6 Future A'!$A$6:$A$379)+3,+'I-5 Future DA'!J$5)</f>
        <v>8.9999999999999993E-3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7.3999999999999996E-2</v>
      </c>
      <c r="E11" s="285">
        <f ca="1">OFFSET(Future_AOpexStart,MATCH($K$1,'I-6 Future A'!$A$6:$A$379)+5,+'I-5 Future DA'!F$5)</f>
        <v>7.3999999999999996E-2</v>
      </c>
      <c r="F11" s="285">
        <f ca="1">OFFSET(Future_AOpexStart,MATCH($K$1,'I-6 Future A'!$A$6:$A$379)+5,+'I-5 Future DA'!G$5)</f>
        <v>7.3999999999999996E-2</v>
      </c>
      <c r="G11" s="285">
        <f ca="1">OFFSET(Future_AOpexStart,MATCH($K$1,'I-6 Future A'!$A$6:$A$379)+5,+'I-5 Future DA'!H$5)</f>
        <v>7.3999999999999996E-2</v>
      </c>
      <c r="H11" s="285">
        <f ca="1">OFFSET(Future_AOpexStart,MATCH($K$1,'I-6 Future A'!$A$6:$A$379)+5,+'I-5 Future DA'!I$5)</f>
        <v>7.3999999999999996E-2</v>
      </c>
      <c r="I11" s="285">
        <f ca="1">OFFSET(Future_AOpexStart,MATCH($K$1,'I-6 Future A'!$A$6:$A$379)+5,+'I-5 Future DA'!J$5)</f>
        <v>7.3999999999999996E-2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0.58499999999999996</v>
      </c>
      <c r="E14" s="287">
        <f t="shared" ca="1" si="0"/>
        <v>0.58499999999999996</v>
      </c>
      <c r="F14" s="287">
        <f t="shared" ca="1" si="0"/>
        <v>0.58499999999999996</v>
      </c>
      <c r="G14" s="287">
        <f t="shared" ca="1" si="0"/>
        <v>0.58499999999999996</v>
      </c>
      <c r="H14" s="287">
        <f t="shared" ca="1" si="0"/>
        <v>0.58499999999999996</v>
      </c>
      <c r="I14" s="287">
        <f t="shared" ca="1" si="0"/>
        <v>0.58499999999999996</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+'A-32'!B8+'A-32'!B19</f>
        <v>0</v>
      </c>
      <c r="C30" s="285">
        <f ca="1">+'A-32'!C8+'A-32'!C19</f>
        <v>0</v>
      </c>
      <c r="D30" s="285">
        <f ca="1">+'A-32'!D8+'A-32'!D19</f>
        <v>0.502</v>
      </c>
      <c r="E30" s="285">
        <f ca="1">+'A-32'!E8+'A-32'!E19</f>
        <v>0.502</v>
      </c>
      <c r="F30" s="285">
        <f ca="1">+'A-32'!F8+'A-32'!F19</f>
        <v>0.502</v>
      </c>
      <c r="G30" s="285">
        <f ca="1">+'A-32'!G8+'A-32'!G19</f>
        <v>0.502</v>
      </c>
      <c r="H30" s="285">
        <f ca="1">+'A-32'!H8+'A-32'!H19</f>
        <v>0.502</v>
      </c>
      <c r="I30" s="285">
        <f ca="1">+'A-32'!I8+'A-32'!I19</f>
        <v>0.502</v>
      </c>
      <c r="J30" s="42"/>
      <c r="K30" s="21"/>
      <c r="L30" s="21"/>
    </row>
    <row r="31" spans="1:12" outlineLevel="2">
      <c r="A31" s="61" t="s">
        <v>69</v>
      </c>
      <c r="B31" s="285">
        <f ca="1">+'A-32'!B9+'A-32'!B20</f>
        <v>0</v>
      </c>
      <c r="C31" s="285">
        <f ca="1">+'A-32'!C9+'A-32'!C20</f>
        <v>0</v>
      </c>
      <c r="D31" s="285">
        <f ca="1">+'A-32'!D9+'A-32'!D20</f>
        <v>8.9999999999999993E-3</v>
      </c>
      <c r="E31" s="285">
        <f ca="1">+'A-32'!E9+'A-32'!E20</f>
        <v>8.9999999999999993E-3</v>
      </c>
      <c r="F31" s="285">
        <f ca="1">+'A-32'!F9+'A-32'!F20</f>
        <v>8.9999999999999993E-3</v>
      </c>
      <c r="G31" s="285">
        <f ca="1">+'A-32'!G9+'A-32'!G20</f>
        <v>8.9999999999999993E-3</v>
      </c>
      <c r="H31" s="285">
        <f ca="1">+'A-32'!H9+'A-32'!H20</f>
        <v>8.9999999999999993E-3</v>
      </c>
      <c r="I31" s="285">
        <f ca="1">+'A-32'!I9+'A-32'!I20</f>
        <v>8.9999999999999993E-3</v>
      </c>
      <c r="J31" s="42"/>
      <c r="K31" s="21"/>
      <c r="L31" s="21"/>
    </row>
    <row r="32" spans="1:12" s="759" customFormat="1" outlineLevel="2">
      <c r="A32" s="61" t="s">
        <v>646</v>
      </c>
      <c r="B32" s="285">
        <f ca="1">+'A-32'!B10+'A-32'!B21</f>
        <v>0</v>
      </c>
      <c r="C32" s="285">
        <f ca="1">+'A-32'!C10+'A-32'!C21</f>
        <v>0</v>
      </c>
      <c r="D32" s="285">
        <f ca="1">+'A-32'!D10+'A-32'!D21</f>
        <v>0</v>
      </c>
      <c r="E32" s="285">
        <f ca="1">+'A-32'!E10+'A-32'!E21</f>
        <v>0</v>
      </c>
      <c r="F32" s="285">
        <f ca="1">+'A-32'!F10+'A-32'!F21</f>
        <v>0</v>
      </c>
      <c r="G32" s="285">
        <f ca="1">+'A-32'!G10+'A-32'!G21</f>
        <v>0</v>
      </c>
      <c r="H32" s="285">
        <f ca="1">+'A-32'!H10+'A-32'!H21</f>
        <v>0</v>
      </c>
      <c r="I32" s="285">
        <f ca="1">+'A-32'!I10+'A-32'!I21</f>
        <v>0</v>
      </c>
      <c r="J32" s="42"/>
      <c r="K32" s="732"/>
      <c r="L32" s="732"/>
    </row>
    <row r="33" spans="1:12" outlineLevel="2">
      <c r="A33" s="61" t="s">
        <v>647</v>
      </c>
      <c r="B33" s="285">
        <f ca="1">+'A-32'!B11+'A-32'!B22</f>
        <v>0</v>
      </c>
      <c r="C33" s="285">
        <f ca="1">+'A-32'!C11+'A-32'!C22</f>
        <v>0</v>
      </c>
      <c r="D33" s="285">
        <f ca="1">+'A-32'!D11+'A-32'!D22</f>
        <v>7.3999999999999996E-2</v>
      </c>
      <c r="E33" s="285">
        <f ca="1">+'A-32'!E11+'A-32'!E22</f>
        <v>7.3999999999999996E-2</v>
      </c>
      <c r="F33" s="285">
        <f ca="1">+'A-32'!F11+'A-32'!F22</f>
        <v>7.3999999999999996E-2</v>
      </c>
      <c r="G33" s="285">
        <f ca="1">+'A-32'!G11+'A-32'!G22</f>
        <v>7.3999999999999996E-2</v>
      </c>
      <c r="H33" s="285">
        <f ca="1">+'A-32'!H11+'A-32'!H22</f>
        <v>7.3999999999999996E-2</v>
      </c>
      <c r="I33" s="285">
        <f ca="1">+'A-32'!I11+'A-32'!I22</f>
        <v>7.3999999999999996E-2</v>
      </c>
      <c r="J33" s="42"/>
      <c r="K33" s="21"/>
      <c r="L33" s="21"/>
    </row>
    <row r="34" spans="1:12" s="759" customFormat="1" outlineLevel="2">
      <c r="A34" s="61" t="s">
        <v>575</v>
      </c>
      <c r="B34" s="285">
        <f ca="1">+'A-32'!B12+'A-32'!B23</f>
        <v>0</v>
      </c>
      <c r="C34" s="285">
        <f ca="1">+'A-32'!C12+'A-32'!C23</f>
        <v>0</v>
      </c>
      <c r="D34" s="285">
        <f ca="1">+'A-32'!D12+'A-32'!D23</f>
        <v>0</v>
      </c>
      <c r="E34" s="285">
        <f ca="1">+'A-32'!E12+'A-32'!E23</f>
        <v>0</v>
      </c>
      <c r="F34" s="285">
        <f ca="1">+'A-32'!F12+'A-32'!F23</f>
        <v>0</v>
      </c>
      <c r="G34" s="285">
        <f ca="1">+'A-32'!G12+'A-32'!G23</f>
        <v>0</v>
      </c>
      <c r="H34" s="285">
        <f ca="1">+'A-32'!H12+'A-32'!H23</f>
        <v>0</v>
      </c>
      <c r="I34" s="285">
        <f ca="1">+'A-32'!I12+'A-32'!I23</f>
        <v>0</v>
      </c>
      <c r="J34" s="42"/>
      <c r="K34" s="732"/>
      <c r="L34" s="732"/>
    </row>
    <row r="35" spans="1:12" ht="13.5" outlineLevel="2" thickBot="1">
      <c r="A35" s="83" t="s">
        <v>70</v>
      </c>
      <c r="B35" s="285">
        <f ca="1">+'A-32'!B13+'A-32'!B24</f>
        <v>0</v>
      </c>
      <c r="C35" s="285">
        <f ca="1">+'A-32'!C13+'A-32'!C24</f>
        <v>0</v>
      </c>
      <c r="D35" s="285">
        <f ca="1">+'A-32'!D13+'A-32'!D24</f>
        <v>0</v>
      </c>
      <c r="E35" s="285">
        <f ca="1">+'A-32'!E13+'A-32'!E24</f>
        <v>0</v>
      </c>
      <c r="F35" s="285">
        <f ca="1">+'A-32'!F13+'A-32'!F24</f>
        <v>0</v>
      </c>
      <c r="G35" s="285">
        <f ca="1">+'A-32'!G13+'A-32'!G24</f>
        <v>0</v>
      </c>
      <c r="H35" s="285">
        <f ca="1">+'A-32'!H13+'A-32'!H24</f>
        <v>0</v>
      </c>
      <c r="I35" s="285">
        <f ca="1">+'A-32'!I13+'A-32'!I24</f>
        <v>0</v>
      </c>
      <c r="J35" s="93"/>
      <c r="K35" s="21"/>
      <c r="L35" s="21"/>
    </row>
    <row r="36" spans="1:12" s="87" customFormat="1" ht="20.25" customHeight="1" thickBot="1">
      <c r="A36" s="94" t="s">
        <v>128</v>
      </c>
      <c r="B36" s="294">
        <f t="shared" ref="B36:I36" ca="1" si="7">SUM(B30:B35)</f>
        <v>0</v>
      </c>
      <c r="C36" s="294">
        <f t="shared" ca="1" si="7"/>
        <v>0</v>
      </c>
      <c r="D36" s="294">
        <f t="shared" ca="1" si="7"/>
        <v>0.58499999999999996</v>
      </c>
      <c r="E36" s="294">
        <f t="shared" ca="1" si="7"/>
        <v>0.58499999999999996</v>
      </c>
      <c r="F36" s="294">
        <f t="shared" ca="1" si="7"/>
        <v>0.58499999999999996</v>
      </c>
      <c r="G36" s="294">
        <f t="shared" ca="1" si="7"/>
        <v>0.58499999999999996</v>
      </c>
      <c r="H36" s="294">
        <f t="shared" ca="1" si="7"/>
        <v>0.58499999999999996</v>
      </c>
      <c r="I36" s="294">
        <f t="shared" ca="1" si="7"/>
        <v>0.58499999999999996</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5.3261990571800309E-3</v>
      </c>
      <c r="F42" s="285">
        <f t="shared" ca="1" si="8"/>
        <v>1.0261379552053099E-2</v>
      </c>
      <c r="G42" s="285">
        <f t="shared" ca="1" si="8"/>
        <v>1.5139750669858855E-2</v>
      </c>
      <c r="H42" s="285">
        <f t="shared" ca="1" si="8"/>
        <v>2.0432391523791837E-2</v>
      </c>
      <c r="I42" s="285">
        <f t="shared" ca="1" si="8"/>
        <v>2.5280490156288089E-2</v>
      </c>
      <c r="K42" s="63"/>
      <c r="L42" s="63"/>
    </row>
    <row r="43" spans="1:12" outlineLevel="1">
      <c r="A43" s="61" t="s">
        <v>69</v>
      </c>
      <c r="B43" s="82"/>
      <c r="C43" s="285">
        <f t="shared" ca="1" si="8"/>
        <v>0</v>
      </c>
      <c r="D43" s="285">
        <f t="shared" ca="1" si="8"/>
        <v>0</v>
      </c>
      <c r="E43" s="285">
        <f t="shared" ca="1" si="8"/>
        <v>9.5489624531116079E-5</v>
      </c>
      <c r="F43" s="285">
        <f t="shared" ca="1" si="8"/>
        <v>1.8396895611250572E-4</v>
      </c>
      <c r="G43" s="285">
        <f t="shared" ca="1" si="8"/>
        <v>2.7142979288591573E-4</v>
      </c>
      <c r="H43" s="285">
        <f t="shared" ca="1" si="8"/>
        <v>3.6631777632296122E-4</v>
      </c>
      <c r="I43" s="285">
        <f t="shared" ca="1" si="8"/>
        <v>4.5323587929600159E-4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7.8513691281139892E-4</v>
      </c>
      <c r="F45" s="285">
        <f t="shared" ca="1" si="10"/>
        <v>1.5126336391472694E-3</v>
      </c>
      <c r="G45" s="285">
        <f t="shared" ca="1" si="10"/>
        <v>2.2317560748397513E-3</v>
      </c>
      <c r="H45" s="285">
        <f t="shared" ca="1" si="10"/>
        <v>3.0119461608776811E-3</v>
      </c>
      <c r="I45" s="285">
        <f t="shared" ca="1" si="10"/>
        <v>3.7266061186560133E-3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6.2068255945225458E-3</v>
      </c>
      <c r="F48" s="294">
        <f t="shared" ca="1" si="13"/>
        <v>1.1957982147312874E-2</v>
      </c>
      <c r="G48" s="294">
        <f t="shared" ca="1" si="13"/>
        <v>1.764293653758452E-2</v>
      </c>
      <c r="H48" s="294">
        <f t="shared" ca="1" si="13"/>
        <v>2.381065546099248E-2</v>
      </c>
      <c r="I48" s="294">
        <f t="shared" ca="1" si="13"/>
        <v>2.9460332154240102E-2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1.0886188280768408E-2</v>
      </c>
      <c r="F53" s="285">
        <f t="shared" ca="1" si="14"/>
        <v>2.2220042263766875E-2</v>
      </c>
      <c r="G53" s="285">
        <f t="shared" ca="1" si="14"/>
        <v>3.4644169700562846E-2</v>
      </c>
      <c r="H53" s="285">
        <f t="shared" ca="1" si="14"/>
        <v>4.761548758215757E-2</v>
      </c>
      <c r="I53" s="285">
        <f t="shared" ca="1" si="14"/>
        <v>6.1079402504145772E-2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3.73925684564049E-4</v>
      </c>
      <c r="F56" s="285">
        <f t="shared" ca="1" si="16"/>
        <v>7.5701415223243095E-4</v>
      </c>
      <c r="G56" s="285">
        <f t="shared" ca="1" si="16"/>
        <v>1.4571871695156415E-3</v>
      </c>
      <c r="H56" s="285">
        <f t="shared" ca="1" si="16"/>
        <v>2.2961831703670519E-3</v>
      </c>
      <c r="I56" s="285">
        <f t="shared" ca="1" si="16"/>
        <v>3.3180426444141715E-3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1.1260113965332457E-2</v>
      </c>
      <c r="F59" s="287">
        <f t="shared" ca="1" si="19"/>
        <v>2.2977056415999307E-2</v>
      </c>
      <c r="G59" s="287">
        <f t="shared" ca="1" si="19"/>
        <v>3.610135687007849E-2</v>
      </c>
      <c r="H59" s="287">
        <f t="shared" ca="1" si="19"/>
        <v>4.9911670752524624E-2</v>
      </c>
      <c r="I59" s="287">
        <f t="shared" ca="1" si="19"/>
        <v>6.439744514855994E-2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0.502</v>
      </c>
      <c r="E64" s="285">
        <f t="shared" ca="1" si="20"/>
        <v>0.51821238733794839</v>
      </c>
      <c r="F64" s="285">
        <f t="shared" ca="1" si="20"/>
        <v>0.53448142181581992</v>
      </c>
      <c r="G64" s="285">
        <f t="shared" ca="1" si="20"/>
        <v>0.55178392037042168</v>
      </c>
      <c r="H64" s="285">
        <f t="shared" ca="1" si="20"/>
        <v>0.57004787910594945</v>
      </c>
      <c r="I64" s="285">
        <f t="shared" ca="1" si="20"/>
        <v>0.58835989266043387</v>
      </c>
      <c r="K64" s="63"/>
      <c r="L64" s="63"/>
    </row>
    <row r="65" spans="1:20" ht="12.75" customHeight="1" outlineLevel="1">
      <c r="A65" s="61" t="s">
        <v>69</v>
      </c>
      <c r="B65" s="285">
        <f t="shared" ca="1" si="20"/>
        <v>0</v>
      </c>
      <c r="C65" s="285">
        <f t="shared" ca="1" si="20"/>
        <v>0</v>
      </c>
      <c r="D65" s="285">
        <f t="shared" ca="1" si="20"/>
        <v>8.9999999999999993E-3</v>
      </c>
      <c r="E65" s="285">
        <f t="shared" ca="1" si="20"/>
        <v>9.0954896245311161E-3</v>
      </c>
      <c r="F65" s="285">
        <f t="shared" ca="1" si="20"/>
        <v>9.1839689561125058E-3</v>
      </c>
      <c r="G65" s="285">
        <f t="shared" ca="1" si="20"/>
        <v>9.2714297928859143E-3</v>
      </c>
      <c r="H65" s="285">
        <f t="shared" ca="1" si="20"/>
        <v>9.3663177763229598E-3</v>
      </c>
      <c r="I65" s="285">
        <f t="shared" ca="1" si="20"/>
        <v>9.4532358792960014E-3</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7.3999999999999996E-2</v>
      </c>
      <c r="E67" s="285">
        <f t="shared" ca="1" si="22"/>
        <v>7.5159062597375453E-2</v>
      </c>
      <c r="F67" s="285">
        <f t="shared" ca="1" si="22"/>
        <v>7.6269647791379708E-2</v>
      </c>
      <c r="G67" s="285">
        <f t="shared" ca="1" si="22"/>
        <v>7.768894324435538E-2</v>
      </c>
      <c r="H67" s="285">
        <f t="shared" ca="1" si="22"/>
        <v>7.9308129331244731E-2</v>
      </c>
      <c r="I67" s="285">
        <f t="shared" ca="1" si="22"/>
        <v>8.1044648763070173E-2</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0.58499999999999996</v>
      </c>
      <c r="E70" s="295">
        <f t="shared" ca="1" si="25"/>
        <v>0.60246693955985497</v>
      </c>
      <c r="F70" s="295">
        <f t="shared" ca="1" si="25"/>
        <v>0.61993503856331211</v>
      </c>
      <c r="G70" s="295">
        <f t="shared" ca="1" si="25"/>
        <v>0.63874429340766292</v>
      </c>
      <c r="H70" s="295">
        <f t="shared" ca="1" si="25"/>
        <v>0.65872232621351712</v>
      </c>
      <c r="I70" s="295">
        <f t="shared" ca="1" si="25"/>
        <v>0.67885777730280006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5.3261990571800309E-3</v>
      </c>
      <c r="Q77" s="285">
        <f ca="1">IF($B77&lt;&gt;0,(+VLOOKUP($B77,$A$8:$I$13,6,FALSE))*(F77),0)</f>
        <v>1.0261379552053099E-2</v>
      </c>
      <c r="R77" s="285">
        <f ca="1">IF($B77&lt;&gt;0,(+VLOOKUP($B77,$A$8:$I$13,7,FALSE))*(G77),0)</f>
        <v>1.5139750669858855E-2</v>
      </c>
      <c r="S77" s="285">
        <f ca="1">IF($B77&lt;&gt;0,(+VLOOKUP($B77,$A$8:$I$13,8,FALSE))*(H77),0)</f>
        <v>2.0432391523791837E-2</v>
      </c>
      <c r="T77" s="285">
        <f ca="1">IF($B77&lt;&gt;0,(+VLOOKUP($B77,$A$8:$I$13,9,FALSE))*(I77),0)</f>
        <v>2.5280490156288089E-2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9.5489624531116079E-5</v>
      </c>
      <c r="Q78" s="285">
        <f ca="1">IF($B78&lt;&gt;0,(+VLOOKUP($B78,$A$8:$I$13,6,FALSE))*(F78),0)</f>
        <v>1.8396895611250572E-4</v>
      </c>
      <c r="R78" s="285">
        <f ca="1">IF($B78&lt;&gt;0,(+VLOOKUP($B78,$A$8:$I$13,7,FALSE))*(G78),0)</f>
        <v>2.7142979288591573E-4</v>
      </c>
      <c r="S78" s="285">
        <f ca="1">IF($B78&lt;&gt;0,(+VLOOKUP($B78,$A$8:$I$13,8,FALSE))*(H78),0)</f>
        <v>3.6631777632296122E-4</v>
      </c>
      <c r="T78" s="285">
        <f ca="1">IF($B78&lt;&gt;0,(+VLOOKUP($B78,$A$8:$I$13,9,FALSE))*(I78),0)</f>
        <v>4.5323587929600159E-4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7.8513691281139892E-4</v>
      </c>
      <c r="Q80" s="285">
        <f t="shared" ca="1" si="34"/>
        <v>1.5126336391472694E-3</v>
      </c>
      <c r="R80" s="285">
        <f t="shared" ca="1" si="35"/>
        <v>2.2317560748397513E-3</v>
      </c>
      <c r="S80" s="285">
        <f t="shared" ca="1" si="36"/>
        <v>3.0119461608776811E-3</v>
      </c>
      <c r="T80" s="285">
        <f t="shared" ca="1" si="37"/>
        <v>3.7266061186560133E-3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6.2068255945225458E-3</v>
      </c>
      <c r="Q83" s="292">
        <f t="shared" ca="1" si="51"/>
        <v>1.1957982147312874E-2</v>
      </c>
      <c r="R83" s="292">
        <f t="shared" ca="1" si="51"/>
        <v>1.764293653758452E-2</v>
      </c>
      <c r="S83" s="292">
        <f t="shared" ca="1" si="51"/>
        <v>2.381065546099248E-2</v>
      </c>
      <c r="T83" s="292">
        <f t="shared" ca="1" si="51"/>
        <v>2.9460332154240102E-2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5.3261990571800309E-3</v>
      </c>
      <c r="F98" s="285">
        <f t="shared" ca="1" si="54"/>
        <v>1.0261379552053099E-2</v>
      </c>
      <c r="G98" s="285">
        <f t="shared" ca="1" si="54"/>
        <v>1.5139750669858855E-2</v>
      </c>
      <c r="H98" s="285">
        <f t="shared" ca="1" si="54"/>
        <v>2.0432391523791837E-2</v>
      </c>
      <c r="I98" s="285">
        <f t="shared" ca="1" si="54"/>
        <v>2.5280490156288089E-2</v>
      </c>
    </row>
    <row r="99" spans="1:20" outlineLevel="1">
      <c r="A99" s="61" t="s">
        <v>69</v>
      </c>
      <c r="B99" s="119"/>
      <c r="C99" s="285">
        <f t="shared" ref="C99:I99" ca="1" si="55">+C9*(C87)</f>
        <v>0</v>
      </c>
      <c r="D99" s="285">
        <f t="shared" ca="1" si="55"/>
        <v>0</v>
      </c>
      <c r="E99" s="285">
        <f t="shared" ca="1" si="55"/>
        <v>9.5489624531116079E-5</v>
      </c>
      <c r="F99" s="285">
        <f t="shared" ca="1" si="55"/>
        <v>1.8396895611250572E-4</v>
      </c>
      <c r="G99" s="285">
        <f t="shared" ca="1" si="55"/>
        <v>2.7142979288591573E-4</v>
      </c>
      <c r="H99" s="285">
        <f t="shared" ca="1" si="55"/>
        <v>3.6631777632296122E-4</v>
      </c>
      <c r="I99" s="285">
        <f t="shared" ca="1" si="55"/>
        <v>4.5323587929600159E-4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7.8513691281139892E-4</v>
      </c>
      <c r="F101" s="285">
        <f t="shared" ca="1" si="57"/>
        <v>1.5126336391472694E-3</v>
      </c>
      <c r="G101" s="285">
        <f t="shared" ca="1" si="57"/>
        <v>2.2317560748397513E-3</v>
      </c>
      <c r="H101" s="285">
        <f t="shared" ca="1" si="57"/>
        <v>3.0119461608776811E-3</v>
      </c>
      <c r="I101" s="285">
        <f t="shared" ca="1" si="57"/>
        <v>3.7266061186560133E-3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6.2068255945225458E-3</v>
      </c>
      <c r="F104" s="296">
        <f t="shared" ca="1" si="60"/>
        <v>1.1957982147312874E-2</v>
      </c>
      <c r="G104" s="296">
        <f t="shared" ca="1" si="60"/>
        <v>1.764293653758452E-2</v>
      </c>
      <c r="H104" s="296">
        <f t="shared" ca="1" si="60"/>
        <v>2.381065546099248E-2</v>
      </c>
      <c r="I104" s="296">
        <f t="shared" ca="1" si="60"/>
        <v>2.9460332154240102E-2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2.0440995123611753E-2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1.0886188280768408E-2</v>
      </c>
      <c r="Q113" s="285">
        <f ca="1">IF($B113&lt;&gt;0,(+VLOOKUP($B113,$A$8:$I$13,6,FALSE)+VLOOKUP($B113,$A$42:$I$47,6,FALSE))*(F113),0)</f>
        <v>2.2220042263766875E-2</v>
      </c>
      <c r="R113" s="285">
        <f ca="1">IF($B113&lt;&gt;0,(+VLOOKUP($B113,$A$8:$I$13,7,FALSE)+VLOOKUP($B113,$A$42:$I$47,7,FALSE))*(G113),0)</f>
        <v>3.4644169700562846E-2</v>
      </c>
      <c r="S113" s="285">
        <f ca="1">IF($B113&lt;&gt;0,(+VLOOKUP($B113,$A$8:$I$13,8,FALSE)+VLOOKUP($B113,$A$42:$I$47,8,FALSE))*(H113),0)</f>
        <v>4.761548758215757E-2</v>
      </c>
      <c r="T113" s="285">
        <f ca="1">IF($B113&lt;&gt;0,(+VLOOKUP($B113,$A$8:$I$13,9,FALSE)+VLOOKUP($B113,$A$42:$I$47,9,FALSE))*(I113),0)</f>
        <v>6.1079402504145772E-2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3.73925684564049E-4</v>
      </c>
      <c r="Q116" s="285">
        <f t="shared" ca="1" si="68"/>
        <v>7.5701415223243095E-4</v>
      </c>
      <c r="R116" s="285">
        <f t="shared" ca="1" si="69"/>
        <v>1.4571871695156415E-3</v>
      </c>
      <c r="S116" s="285">
        <f t="shared" ca="1" si="70"/>
        <v>2.2961831703670519E-3</v>
      </c>
      <c r="T116" s="285">
        <f t="shared" ca="1" si="71"/>
        <v>3.3180426444141715E-3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1.1260113965332457E-2</v>
      </c>
      <c r="Q119" s="292">
        <f t="shared" ca="1" si="72"/>
        <v>2.2977056415999307E-2</v>
      </c>
      <c r="R119" s="292">
        <f t="shared" ca="1" si="72"/>
        <v>3.610135687007849E-2</v>
      </c>
      <c r="S119" s="292">
        <f t="shared" ca="1" si="72"/>
        <v>4.9911670752524624E-2</v>
      </c>
      <c r="T119" s="292">
        <f t="shared" ca="1" si="72"/>
        <v>6.439744514855994E-2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1.0886188280768408E-2</v>
      </c>
      <c r="F134" s="285">
        <f t="shared" ca="1" si="75"/>
        <v>2.2220042263766875E-2</v>
      </c>
      <c r="G134" s="285">
        <f t="shared" ca="1" si="75"/>
        <v>3.4644169700562846E-2</v>
      </c>
      <c r="H134" s="285">
        <f t="shared" ca="1" si="75"/>
        <v>4.761548758215757E-2</v>
      </c>
      <c r="I134" s="285">
        <f t="shared" ca="1" si="75"/>
        <v>6.1079402504145772E-2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3.73925684564049E-4</v>
      </c>
      <c r="F137" s="285">
        <f t="shared" ca="1" si="78"/>
        <v>7.5701415223243095E-4</v>
      </c>
      <c r="G137" s="285">
        <f t="shared" ca="1" si="78"/>
        <v>1.4571871695156415E-3</v>
      </c>
      <c r="H137" s="285">
        <f t="shared" ca="1" si="78"/>
        <v>2.2961831703670519E-3</v>
      </c>
      <c r="I137" s="285">
        <f t="shared" ca="1" si="78"/>
        <v>3.3180426444141715E-3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1.1260113965332457E-2</v>
      </c>
      <c r="F140" s="296">
        <f t="shared" ca="1" si="81"/>
        <v>2.2977056415999307E-2</v>
      </c>
      <c r="G140" s="296">
        <f t="shared" ca="1" si="81"/>
        <v>3.610135687007849E-2</v>
      </c>
      <c r="H140" s="296">
        <f t="shared" ca="1" si="81"/>
        <v>4.9911670752524624E-2</v>
      </c>
      <c r="I140" s="296">
        <f t="shared" ca="1" si="81"/>
        <v>6.439744514855994E-2</v>
      </c>
    </row>
    <row r="141" spans="1:16" ht="13.5" outlineLevel="1" thickBot="1">
      <c r="A141" s="122" t="s">
        <v>148</v>
      </c>
      <c r="B141" s="126"/>
      <c r="C141" s="124">
        <f t="shared" ref="C141:I141" ca="1" si="82">IF((+C36+C48)&lt;&gt;0,+C140/(+C36+C48),0)</f>
        <v>0</v>
      </c>
      <c r="D141" s="124">
        <f t="shared" ca="1" si="82"/>
        <v>0</v>
      </c>
      <c r="E141" s="124">
        <f t="shared" ca="1" si="82"/>
        <v>1.9045980996598259E-2</v>
      </c>
      <c r="F141" s="124">
        <f t="shared" ca="1" si="82"/>
        <v>3.8490240692232169E-2</v>
      </c>
      <c r="G141" s="124">
        <f t="shared" ca="1" si="82"/>
        <v>5.9905052695871076E-2</v>
      </c>
      <c r="H141" s="124">
        <f t="shared" ca="1" si="82"/>
        <v>8.1982255574570104E-2</v>
      </c>
      <c r="I141" s="124">
        <f t="shared" ca="1" si="82"/>
        <v>0.10480325869497313</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(SEM)'!$N$286:$R$291</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0.58499999999999996</v>
      </c>
      <c r="E205" s="82">
        <f t="shared" ca="1" si="95"/>
        <v>0.58499999999999996</v>
      </c>
      <c r="F205" s="82">
        <f t="shared" ca="1" si="95"/>
        <v>0.58499999999999996</v>
      </c>
      <c r="G205" s="82">
        <f t="shared" ca="1" si="95"/>
        <v>0.58499999999999996</v>
      </c>
      <c r="H205" s="82">
        <f t="shared" ca="1" si="95"/>
        <v>0.58499999999999996</v>
      </c>
      <c r="I205" s="82">
        <f t="shared" ca="1" si="95"/>
        <v>0.58499999999999996</v>
      </c>
    </row>
    <row r="206" spans="1:9" outlineLevel="1">
      <c r="A206" t="s">
        <v>156</v>
      </c>
      <c r="B206" s="82">
        <f t="shared" ref="B206:I206" ca="1" si="96">+B36</f>
        <v>0</v>
      </c>
      <c r="C206" s="82">
        <f t="shared" ca="1" si="96"/>
        <v>0</v>
      </c>
      <c r="D206" s="82">
        <f t="shared" ca="1" si="96"/>
        <v>0.58499999999999996</v>
      </c>
      <c r="E206" s="82">
        <f t="shared" ca="1" si="96"/>
        <v>0.58499999999999996</v>
      </c>
      <c r="F206" s="82">
        <f t="shared" ca="1" si="96"/>
        <v>0.58499999999999996</v>
      </c>
      <c r="G206" s="82">
        <f t="shared" ca="1" si="96"/>
        <v>0.58499999999999996</v>
      </c>
      <c r="H206" s="82">
        <f t="shared" ca="1" si="96"/>
        <v>0.58499999999999996</v>
      </c>
      <c r="I206" s="82">
        <f t="shared" ca="1" si="96"/>
        <v>0.58499999999999996</v>
      </c>
    </row>
    <row r="207" spans="1:9" outlineLevel="1">
      <c r="A207" t="s">
        <v>157</v>
      </c>
      <c r="B207" s="82">
        <f t="shared" ref="B207:I207" ca="1" si="97">+B36+B48</f>
        <v>0</v>
      </c>
      <c r="C207" s="82">
        <f t="shared" ca="1" si="97"/>
        <v>0</v>
      </c>
      <c r="D207" s="82">
        <f t="shared" ca="1" si="97"/>
        <v>0.58499999999999996</v>
      </c>
      <c r="E207" s="82">
        <f t="shared" ca="1" si="97"/>
        <v>0.59120682559452253</v>
      </c>
      <c r="F207" s="82">
        <f t="shared" ca="1" si="97"/>
        <v>0.59695798214731288</v>
      </c>
      <c r="G207" s="82">
        <f t="shared" ca="1" si="97"/>
        <v>0.60264293653758449</v>
      </c>
      <c r="H207" s="82">
        <f t="shared" ca="1" si="97"/>
        <v>0.60881065546099244</v>
      </c>
      <c r="I207" s="82">
        <f t="shared" ca="1" si="97"/>
        <v>0.61446033215424012</v>
      </c>
    </row>
    <row r="208" spans="1:9" outlineLevel="1">
      <c r="A208" t="s">
        <v>158</v>
      </c>
      <c r="B208" s="82">
        <f t="shared" ref="B208:I208" ca="1" si="98">+B70</f>
        <v>0</v>
      </c>
      <c r="C208" s="82">
        <f t="shared" ca="1" si="98"/>
        <v>0</v>
      </c>
      <c r="D208" s="82">
        <f t="shared" ca="1" si="98"/>
        <v>0.58499999999999996</v>
      </c>
      <c r="E208" s="82">
        <f t="shared" ca="1" si="98"/>
        <v>0.60246693955985497</v>
      </c>
      <c r="F208" s="82">
        <f t="shared" ca="1" si="98"/>
        <v>0.61993503856331211</v>
      </c>
      <c r="G208" s="82">
        <f t="shared" ca="1" si="98"/>
        <v>0.63874429340766292</v>
      </c>
      <c r="H208" s="82">
        <f t="shared" ca="1" si="98"/>
        <v>0.65872232621351712</v>
      </c>
      <c r="I208" s="82">
        <f t="shared" ca="1" si="98"/>
        <v>0.67885777730280006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25" priority="1" stopIfTrue="1" operator="notEqual">
      <formula>0</formula>
    </cfRule>
  </conditionalFormatting>
  <conditionalFormatting sqref="J130 J94 J70 J59 J48 J36:J37 J14 J25">
    <cfRule type="cellIs" dxfId="224" priority="2" stopIfTrue="1" operator="equal">
      <formula>"OK"</formula>
    </cfRule>
    <cfRule type="cellIs" dxfId="223" priority="3" stopIfTrue="1" operator="equal">
      <formula>"Warning Check Escalations"</formula>
    </cfRule>
  </conditionalFormatting>
  <conditionalFormatting sqref="N120:T120 N84:T84">
    <cfRule type="cellIs" dxfId="222" priority="4" stopIfTrue="1" operator="notEqual">
      <formula>0</formula>
    </cfRule>
    <cfRule type="cellIs" dxfId="22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6.xml><?xml version="1.0" encoding="utf-8"?>
<worksheet xmlns="http://schemas.openxmlformats.org/spreadsheetml/2006/main" xmlns:r="http://schemas.openxmlformats.org/officeDocument/2006/relationships">
  <sheetPr codeName="Sheet89" enableFormatConditionsCalculation="0">
    <tabColor indexed="57"/>
    <pageSetUpPr fitToPage="1"/>
  </sheetPr>
  <dimension ref="A1:T239"/>
  <sheetViews>
    <sheetView showGridLines="0" topLeftCell="A7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33</v>
      </c>
      <c r="M1" s="282"/>
      <c r="N1" s="280"/>
      <c r="O1" s="280"/>
      <c r="P1" s="280"/>
      <c r="Q1" s="280"/>
      <c r="R1" s="280"/>
      <c r="S1" s="280"/>
      <c r="T1" s="280"/>
    </row>
    <row r="2" spans="1:20" ht="15.75">
      <c r="A2" s="184" t="s">
        <v>121</v>
      </c>
      <c r="B2" s="74" t="str">
        <f ca="1">OFFSET(List_AllocOpexListStart,+$K$1,1)</f>
        <v>Customer Relations, excluding Call Centre</v>
      </c>
      <c r="F2" s="284"/>
      <c r="H2" s="42"/>
      <c r="I2" s="283"/>
      <c r="L2" s="282"/>
      <c r="M2" s="282"/>
    </row>
    <row r="3" spans="1:20" ht="16.5" thickBot="1">
      <c r="A3" s="184" t="s">
        <v>371</v>
      </c>
      <c r="B3" s="236" t="str">
        <f ca="1">OFFSET(List_AllocOpexListStart,+$K$1,2)</f>
        <v>Katrina Jenkins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1.722</v>
      </c>
      <c r="E8" s="285">
        <f ca="1">OFFSET(Future_AOpexStart,MATCH($K$1,'I-6 Future A'!$A$6:$A$379)+2,+'I-5 Future DA'!F$5)</f>
        <v>1.722</v>
      </c>
      <c r="F8" s="285">
        <f ca="1">OFFSET(Future_AOpexStart,MATCH($K$1,'I-6 Future A'!$A$6:$A$379)+2,+'I-5 Future DA'!G$5)</f>
        <v>1.722</v>
      </c>
      <c r="G8" s="285">
        <f ca="1">OFFSET(Future_AOpexStart,MATCH($K$1,'I-6 Future A'!$A$6:$A$379)+2,+'I-5 Future DA'!H$5)</f>
        <v>1.722</v>
      </c>
      <c r="H8" s="285">
        <f ca="1">OFFSET(Future_AOpexStart,MATCH($K$1,'I-6 Future A'!$A$6:$A$379)+2,+'I-5 Future DA'!I$5)</f>
        <v>1.722</v>
      </c>
      <c r="I8" s="285">
        <f ca="1">OFFSET(Future_AOpexStart,MATCH($K$1,'I-6 Future A'!$A$6:$A$379)+2,+'I-5 Future DA'!J$5)</f>
        <v>1.722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1.7999999999999999E-2</v>
      </c>
      <c r="E9" s="285">
        <f ca="1">OFFSET(Future_AOpexStart,MATCH($K$1,'I-6 Future A'!$A$6:$A$379)+3,+'I-5 Future DA'!F$5)</f>
        <v>1.7999999999999999E-2</v>
      </c>
      <c r="F9" s="285">
        <f ca="1">OFFSET(Future_AOpexStart,MATCH($K$1,'I-6 Future A'!$A$6:$A$379)+3,+'I-5 Future DA'!G$5)</f>
        <v>1.7999999999999999E-2</v>
      </c>
      <c r="G9" s="285">
        <f ca="1">OFFSET(Future_AOpexStart,MATCH($K$1,'I-6 Future A'!$A$6:$A$379)+3,+'I-5 Future DA'!H$5)</f>
        <v>1.7999999999999999E-2</v>
      </c>
      <c r="H9" s="285">
        <f ca="1">OFFSET(Future_AOpexStart,MATCH($K$1,'I-6 Future A'!$A$6:$A$379)+3,+'I-5 Future DA'!I$5)</f>
        <v>1.7999999999999999E-2</v>
      </c>
      <c r="I9" s="285">
        <f ca="1">OFFSET(Future_AOpexStart,MATCH($K$1,'I-6 Future A'!$A$6:$A$379)+3,+'I-5 Future DA'!J$5)</f>
        <v>1.7999999999999999E-2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4.7E-2</v>
      </c>
      <c r="E10" s="285">
        <f ca="1">OFFSET(Future_AOpexStart,MATCH($K$1,'I-6 Future A'!$A$6:$A$379)+4,+'I-5 Future DA'!F$5)</f>
        <v>4.7E-2</v>
      </c>
      <c r="F10" s="285">
        <f ca="1">OFFSET(Future_AOpexStart,MATCH($K$1,'I-6 Future A'!$A$6:$A$379)+4,+'I-5 Future DA'!G$5)</f>
        <v>4.7E-2</v>
      </c>
      <c r="G10" s="285">
        <f ca="1">OFFSET(Future_AOpexStart,MATCH($K$1,'I-6 Future A'!$A$6:$A$379)+4,+'I-5 Future DA'!H$5)</f>
        <v>4.7E-2</v>
      </c>
      <c r="H10" s="285">
        <f ca="1">OFFSET(Future_AOpexStart,MATCH($K$1,'I-6 Future A'!$A$6:$A$379)+4,+'I-5 Future DA'!I$5)</f>
        <v>4.7E-2</v>
      </c>
      <c r="I10" s="285">
        <f ca="1">OFFSET(Future_AOpexStart,MATCH($K$1,'I-6 Future A'!$A$6:$A$379)+4,+'I-5 Future DA'!J$5)</f>
        <v>4.7E-2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0.34900000000000003</v>
      </c>
      <c r="E11" s="285">
        <f ca="1">OFFSET(Future_AOpexStart,MATCH($K$1,'I-6 Future A'!$A$6:$A$379)+5,+'I-5 Future DA'!F$5)</f>
        <v>0.34900000000000003</v>
      </c>
      <c r="F11" s="285">
        <f ca="1">OFFSET(Future_AOpexStart,MATCH($K$1,'I-6 Future A'!$A$6:$A$379)+5,+'I-5 Future DA'!G$5)</f>
        <v>0.34900000000000003</v>
      </c>
      <c r="G11" s="285">
        <f ca="1">OFFSET(Future_AOpexStart,MATCH($K$1,'I-6 Future A'!$A$6:$A$379)+5,+'I-5 Future DA'!H$5)</f>
        <v>0.34900000000000003</v>
      </c>
      <c r="H11" s="285">
        <f ca="1">OFFSET(Future_AOpexStart,MATCH($K$1,'I-6 Future A'!$A$6:$A$379)+5,+'I-5 Future DA'!I$5)</f>
        <v>0.34900000000000003</v>
      </c>
      <c r="I11" s="285">
        <f ca="1">OFFSET(Future_AOpexStart,MATCH($K$1,'I-6 Future A'!$A$6:$A$379)+5,+'I-5 Future DA'!J$5)</f>
        <v>0.34900000000000003</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2.1360000000000001</v>
      </c>
      <c r="E14" s="287">
        <f t="shared" ca="1" si="0"/>
        <v>2.1360000000000001</v>
      </c>
      <c r="F14" s="287">
        <f t="shared" ca="1" si="0"/>
        <v>2.1360000000000001</v>
      </c>
      <c r="G14" s="287">
        <f t="shared" ca="1" si="0"/>
        <v>2.1360000000000001</v>
      </c>
      <c r="H14" s="287">
        <f t="shared" ca="1" si="0"/>
        <v>2.1360000000000001</v>
      </c>
      <c r="I14" s="287">
        <f t="shared" ca="1" si="0"/>
        <v>2.1360000000000001</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0.59199999999999997</v>
      </c>
      <c r="G19" s="285">
        <f t="shared" si="1"/>
        <v>0.89600000000000002</v>
      </c>
      <c r="H19" s="285">
        <f t="shared" si="1"/>
        <v>0.89600000000000002</v>
      </c>
      <c r="I19" s="285">
        <f t="shared" si="1"/>
        <v>0.997</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0.59199999999999997</v>
      </c>
      <c r="G25" s="287">
        <f t="shared" si="6"/>
        <v>0.89600000000000002</v>
      </c>
      <c r="H25" s="287">
        <f t="shared" si="6"/>
        <v>0.89600000000000002</v>
      </c>
      <c r="I25" s="287">
        <f t="shared" si="6"/>
        <v>0.997</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+'A-33'!B8+'A-33'!B19</f>
        <v>0</v>
      </c>
      <c r="C30" s="285">
        <f ca="1">+'A-33'!C8+'A-33'!C19</f>
        <v>0</v>
      </c>
      <c r="D30" s="285">
        <f ca="1">+'A-33'!D8+'A-33'!D19</f>
        <v>1.722</v>
      </c>
      <c r="E30" s="285">
        <f ca="1">+'A-33'!E8+'A-33'!E19</f>
        <v>1.722</v>
      </c>
      <c r="F30" s="285">
        <f ca="1">+'A-33'!F8+'A-33'!F19</f>
        <v>2.3140000000000001</v>
      </c>
      <c r="G30" s="285">
        <f ca="1">+'A-33'!G8+'A-33'!G19</f>
        <v>2.6179999999999999</v>
      </c>
      <c r="H30" s="285">
        <f ca="1">+'A-33'!H8+'A-33'!H19</f>
        <v>2.6179999999999999</v>
      </c>
      <c r="I30" s="285">
        <f ca="1">+'A-33'!I8+'A-33'!I19</f>
        <v>2.7189999999999999</v>
      </c>
      <c r="J30" s="42"/>
      <c r="K30" s="21"/>
      <c r="L30" s="21"/>
    </row>
    <row r="31" spans="1:12" outlineLevel="2">
      <c r="A31" s="61" t="s">
        <v>69</v>
      </c>
      <c r="B31" s="285">
        <f ca="1">+'A-33'!B9+'A-33'!B20</f>
        <v>0</v>
      </c>
      <c r="C31" s="285">
        <f ca="1">+'A-33'!C9+'A-33'!C20</f>
        <v>0</v>
      </c>
      <c r="D31" s="285">
        <f ca="1">+'A-33'!D9+'A-33'!D20</f>
        <v>1.7999999999999999E-2</v>
      </c>
      <c r="E31" s="285">
        <f ca="1">+'A-33'!E9+'A-33'!E20</f>
        <v>1.7999999999999999E-2</v>
      </c>
      <c r="F31" s="285">
        <f ca="1">+'A-33'!F9+'A-33'!F20</f>
        <v>1.7999999999999999E-2</v>
      </c>
      <c r="G31" s="285">
        <f ca="1">+'A-33'!G9+'A-33'!G20</f>
        <v>1.7999999999999999E-2</v>
      </c>
      <c r="H31" s="285">
        <f ca="1">+'A-33'!H9+'A-33'!H20</f>
        <v>1.7999999999999999E-2</v>
      </c>
      <c r="I31" s="285">
        <f ca="1">+'A-33'!I9+'A-33'!I20</f>
        <v>1.7999999999999999E-2</v>
      </c>
      <c r="J31" s="42"/>
      <c r="K31" s="21"/>
      <c r="L31" s="21"/>
    </row>
    <row r="32" spans="1:12" s="759" customFormat="1" outlineLevel="2">
      <c r="A32" s="61" t="s">
        <v>646</v>
      </c>
      <c r="B32" s="285">
        <f ca="1">+'A-33'!B10+'A-33'!B21</f>
        <v>0</v>
      </c>
      <c r="C32" s="285">
        <f ca="1">+'A-33'!C10+'A-33'!C21</f>
        <v>0</v>
      </c>
      <c r="D32" s="285">
        <f ca="1">+'A-33'!D10+'A-33'!D21</f>
        <v>4.7E-2</v>
      </c>
      <c r="E32" s="285">
        <f ca="1">+'A-33'!E10+'A-33'!E21</f>
        <v>4.7E-2</v>
      </c>
      <c r="F32" s="285">
        <f ca="1">+'A-33'!F10+'A-33'!F21</f>
        <v>4.7E-2</v>
      </c>
      <c r="G32" s="285">
        <f ca="1">+'A-33'!G10+'A-33'!G21</f>
        <v>4.7E-2</v>
      </c>
      <c r="H32" s="285">
        <f ca="1">+'A-33'!H10+'A-33'!H21</f>
        <v>4.7E-2</v>
      </c>
      <c r="I32" s="285">
        <f ca="1">+'A-33'!I10+'A-33'!I21</f>
        <v>4.7E-2</v>
      </c>
      <c r="J32" s="42"/>
      <c r="K32" s="732"/>
      <c r="L32" s="732"/>
    </row>
    <row r="33" spans="1:12" outlineLevel="2">
      <c r="A33" s="61" t="s">
        <v>647</v>
      </c>
      <c r="B33" s="285">
        <f ca="1">+'A-33'!B11+'A-33'!B22</f>
        <v>0</v>
      </c>
      <c r="C33" s="285">
        <f ca="1">+'A-33'!C11+'A-33'!C22</f>
        <v>0</v>
      </c>
      <c r="D33" s="285">
        <f ca="1">+'A-33'!D11+'A-33'!D22</f>
        <v>0.34900000000000003</v>
      </c>
      <c r="E33" s="285">
        <f ca="1">+'A-33'!E11+'A-33'!E22</f>
        <v>0.34900000000000003</v>
      </c>
      <c r="F33" s="285">
        <f ca="1">+'A-33'!F11+'A-33'!F22</f>
        <v>0.34900000000000003</v>
      </c>
      <c r="G33" s="285">
        <f ca="1">+'A-33'!G11+'A-33'!G22</f>
        <v>0.34900000000000003</v>
      </c>
      <c r="H33" s="285">
        <f ca="1">+'A-33'!H11+'A-33'!H22</f>
        <v>0.34900000000000003</v>
      </c>
      <c r="I33" s="285">
        <f ca="1">+'A-33'!I11+'A-33'!I22</f>
        <v>0.34900000000000003</v>
      </c>
      <c r="J33" s="42"/>
      <c r="K33" s="21"/>
      <c r="L33" s="21"/>
    </row>
    <row r="34" spans="1:12" s="759" customFormat="1" outlineLevel="2">
      <c r="A34" s="61" t="s">
        <v>575</v>
      </c>
      <c r="B34" s="285">
        <f ca="1">+'A-33'!B12+'A-33'!B23</f>
        <v>0</v>
      </c>
      <c r="C34" s="285">
        <f ca="1">+'A-33'!C12+'A-33'!C23</f>
        <v>0</v>
      </c>
      <c r="D34" s="285">
        <f ca="1">+'A-33'!D12+'A-33'!D23</f>
        <v>0</v>
      </c>
      <c r="E34" s="285">
        <f ca="1">+'A-33'!E12+'A-33'!E23</f>
        <v>0</v>
      </c>
      <c r="F34" s="285">
        <f ca="1">+'A-33'!F12+'A-33'!F23</f>
        <v>0</v>
      </c>
      <c r="G34" s="285">
        <f ca="1">+'A-33'!G12+'A-33'!G23</f>
        <v>0</v>
      </c>
      <c r="H34" s="285">
        <f ca="1">+'A-33'!H12+'A-33'!H23</f>
        <v>0</v>
      </c>
      <c r="I34" s="285">
        <f ca="1">+'A-33'!I12+'A-33'!I23</f>
        <v>0</v>
      </c>
      <c r="J34" s="42"/>
      <c r="K34" s="732"/>
      <c r="L34" s="732"/>
    </row>
    <row r="35" spans="1:12" ht="13.5" outlineLevel="2" thickBot="1">
      <c r="A35" s="83" t="s">
        <v>70</v>
      </c>
      <c r="B35" s="285">
        <f ca="1">+'A-33'!B13+'A-33'!B24</f>
        <v>0</v>
      </c>
      <c r="C35" s="285">
        <f ca="1">+'A-33'!C13+'A-33'!C24</f>
        <v>0</v>
      </c>
      <c r="D35" s="285">
        <f ca="1">+'A-33'!D13+'A-33'!D24</f>
        <v>0</v>
      </c>
      <c r="E35" s="285">
        <f ca="1">+'A-33'!E13+'A-33'!E24</f>
        <v>0</v>
      </c>
      <c r="F35" s="285">
        <f ca="1">+'A-33'!F13+'A-33'!F24</f>
        <v>0</v>
      </c>
      <c r="G35" s="285">
        <f ca="1">+'A-33'!G13+'A-33'!G24</f>
        <v>0</v>
      </c>
      <c r="H35" s="285">
        <f ca="1">+'A-33'!H13+'A-33'!H24</f>
        <v>0</v>
      </c>
      <c r="I35" s="285">
        <f ca="1">+'A-33'!I13+'A-33'!I24</f>
        <v>0</v>
      </c>
      <c r="J35" s="93"/>
      <c r="K35" s="21"/>
      <c r="L35" s="21"/>
    </row>
    <row r="36" spans="1:12" s="87" customFormat="1" ht="20.25" customHeight="1" thickBot="1">
      <c r="A36" s="94" t="s">
        <v>128</v>
      </c>
      <c r="B36" s="294">
        <f t="shared" ref="B36:I36" ca="1" si="7">SUM(B30:B35)</f>
        <v>0</v>
      </c>
      <c r="C36" s="294">
        <f t="shared" ca="1" si="7"/>
        <v>0</v>
      </c>
      <c r="D36" s="294">
        <f t="shared" ca="1" si="7"/>
        <v>2.1360000000000001</v>
      </c>
      <c r="E36" s="294">
        <f t="shared" ca="1" si="7"/>
        <v>2.1360000000000001</v>
      </c>
      <c r="F36" s="294">
        <f t="shared" ca="1" si="7"/>
        <v>2.7280000000000002</v>
      </c>
      <c r="G36" s="294">
        <f t="shared" ca="1" si="7"/>
        <v>3.032</v>
      </c>
      <c r="H36" s="294">
        <f t="shared" ca="1" si="7"/>
        <v>3.032</v>
      </c>
      <c r="I36" s="294">
        <f t="shared" ca="1" si="7"/>
        <v>3.133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1.827034816028688E-2</v>
      </c>
      <c r="F42" s="285">
        <f t="shared" ca="1" si="8"/>
        <v>3.5199393602859431E-2</v>
      </c>
      <c r="G42" s="285">
        <f t="shared" ca="1" si="8"/>
        <v>5.1933567038838543E-2</v>
      </c>
      <c r="H42" s="285">
        <f t="shared" ca="1" si="8"/>
        <v>7.0088801203126591E-2</v>
      </c>
      <c r="I42" s="285">
        <f t="shared" ca="1" si="8"/>
        <v>8.6719131571968311E-2</v>
      </c>
      <c r="K42" s="63"/>
      <c r="L42" s="63"/>
    </row>
    <row r="43" spans="1:12" outlineLevel="1">
      <c r="A43" s="61" t="s">
        <v>69</v>
      </c>
      <c r="B43" s="82"/>
      <c r="C43" s="285">
        <f t="shared" ca="1" si="8"/>
        <v>0</v>
      </c>
      <c r="D43" s="285">
        <f t="shared" ca="1" si="8"/>
        <v>0</v>
      </c>
      <c r="E43" s="285">
        <f t="shared" ca="1" si="8"/>
        <v>1.9097924906223216E-4</v>
      </c>
      <c r="F43" s="285">
        <f t="shared" ca="1" si="8"/>
        <v>3.6793791222501144E-4</v>
      </c>
      <c r="G43" s="285">
        <f t="shared" ca="1" si="8"/>
        <v>5.4285958577183146E-4</v>
      </c>
      <c r="H43" s="285">
        <f t="shared" ca="1" si="8"/>
        <v>7.3263555264592244E-4</v>
      </c>
      <c r="I43" s="285">
        <f t="shared" ca="1" si="8"/>
        <v>9.0647175859200318E-4</v>
      </c>
      <c r="K43" s="42"/>
      <c r="L43" s="21"/>
    </row>
    <row r="44" spans="1:12" s="759" customFormat="1" outlineLevel="1">
      <c r="A44" s="61" t="s">
        <v>646</v>
      </c>
      <c r="B44" s="82"/>
      <c r="C44" s="285">
        <f t="shared" ref="C44:I44" ca="1" si="9">+C100</f>
        <v>0</v>
      </c>
      <c r="D44" s="285">
        <f t="shared" ca="1" si="9"/>
        <v>0</v>
      </c>
      <c r="E44" s="285">
        <f t="shared" ca="1" si="9"/>
        <v>4.9866803921805064E-4</v>
      </c>
      <c r="F44" s="285">
        <f t="shared" ca="1" si="9"/>
        <v>9.6072677080975225E-4</v>
      </c>
      <c r="G44" s="285">
        <f t="shared" ca="1" si="9"/>
        <v>1.4174666961820044E-3</v>
      </c>
      <c r="H44" s="285">
        <f t="shared" ca="1" si="9"/>
        <v>1.9129928319087976E-3</v>
      </c>
      <c r="I44" s="285">
        <f t="shared" ca="1" si="9"/>
        <v>2.3668984807680084E-3</v>
      </c>
      <c r="K44" s="42"/>
      <c r="L44" s="732"/>
    </row>
    <row r="45" spans="1:12" outlineLevel="1">
      <c r="A45" s="61" t="s">
        <v>647</v>
      </c>
      <c r="B45" s="82"/>
      <c r="C45" s="285">
        <f t="shared" ref="C45:I45" ca="1" si="10">+C101</f>
        <v>0</v>
      </c>
      <c r="D45" s="285">
        <f t="shared" ca="1" si="10"/>
        <v>0</v>
      </c>
      <c r="E45" s="285">
        <f t="shared" ca="1" si="10"/>
        <v>3.7028754401510575E-3</v>
      </c>
      <c r="F45" s="285">
        <f t="shared" ca="1" si="10"/>
        <v>7.1339072981405011E-3</v>
      </c>
      <c r="G45" s="285">
        <f t="shared" ca="1" si="10"/>
        <v>1.0525444190798289E-2</v>
      </c>
      <c r="H45" s="285">
        <f t="shared" ca="1" si="10"/>
        <v>1.4204989326301499E-2</v>
      </c>
      <c r="I45" s="285">
        <f t="shared" ca="1" si="10"/>
        <v>1.7575480208256066E-2</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2.2662870888718219E-2</v>
      </c>
      <c r="F48" s="294">
        <f t="shared" ca="1" si="13"/>
        <v>4.3661965584034693E-2</v>
      </c>
      <c r="G48" s="294">
        <f t="shared" ca="1" si="13"/>
        <v>6.441933751159068E-2</v>
      </c>
      <c r="H48" s="294">
        <f t="shared" ca="1" si="13"/>
        <v>8.6939418913982811E-2</v>
      </c>
      <c r="I48" s="294">
        <f t="shared" ca="1" si="13"/>
        <v>0.1075679820195844</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3.7342661791799202E-2</v>
      </c>
      <c r="F53" s="285">
        <f t="shared" ca="1" si="14"/>
        <v>7.6220941789256105E-2</v>
      </c>
      <c r="G53" s="285">
        <f t="shared" ca="1" si="14"/>
        <v>0.11883916379356418</v>
      </c>
      <c r="H53" s="285">
        <f t="shared" ca="1" si="14"/>
        <v>0.16333440162644489</v>
      </c>
      <c r="I53" s="285">
        <f t="shared" ca="1" si="14"/>
        <v>0.20951938468553591</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2.3749334019608519E-4</v>
      </c>
      <c r="F55" s="285">
        <f t="shared" ca="1" si="15"/>
        <v>4.8080628587735474E-4</v>
      </c>
      <c r="G55" s="285">
        <f t="shared" ca="1" si="15"/>
        <v>9.2551076982750214E-4</v>
      </c>
      <c r="H55" s="285">
        <f t="shared" ca="1" si="15"/>
        <v>1.4583866082061006E-3</v>
      </c>
      <c r="I55" s="285">
        <f t="shared" ca="1" si="15"/>
        <v>2.1074054633441362E-3</v>
      </c>
      <c r="K55" s="42"/>
      <c r="L55" s="732"/>
    </row>
    <row r="56" spans="1:12" outlineLevel="1">
      <c r="A56" s="61" t="s">
        <v>647</v>
      </c>
      <c r="B56" s="285"/>
      <c r="C56" s="285">
        <f t="shared" ref="C56:I56" ca="1" si="16">+C137</f>
        <v>0</v>
      </c>
      <c r="D56" s="285">
        <f t="shared" ca="1" si="16"/>
        <v>0</v>
      </c>
      <c r="E56" s="285">
        <f t="shared" ca="1" si="16"/>
        <v>1.763514377200718E-3</v>
      </c>
      <c r="F56" s="285">
        <f t="shared" ca="1" si="16"/>
        <v>3.5702424206637625E-3</v>
      </c>
      <c r="G56" s="285">
        <f t="shared" ca="1" si="16"/>
        <v>6.8724097589318786E-3</v>
      </c>
      <c r="H56" s="285">
        <f t="shared" ca="1" si="16"/>
        <v>1.0829296303487853E-2</v>
      </c>
      <c r="I56" s="285">
        <f t="shared" ca="1" si="16"/>
        <v>1.5648606525683055E-2</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3.9343669509196003E-2</v>
      </c>
      <c r="F59" s="287">
        <f t="shared" ca="1" si="19"/>
        <v>8.0271990495797224E-2</v>
      </c>
      <c r="G59" s="287">
        <f t="shared" ca="1" si="19"/>
        <v>0.12663708432232357</v>
      </c>
      <c r="H59" s="287">
        <f t="shared" ca="1" si="19"/>
        <v>0.17562208453813885</v>
      </c>
      <c r="I59" s="287">
        <f t="shared" ca="1" si="19"/>
        <v>0.22727539667456312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1.722</v>
      </c>
      <c r="E64" s="285">
        <f t="shared" ca="1" si="20"/>
        <v>1.7776130099520859</v>
      </c>
      <c r="F64" s="285">
        <f t="shared" ca="1" si="20"/>
        <v>2.4254203353921158</v>
      </c>
      <c r="G64" s="285">
        <f t="shared" ca="1" si="20"/>
        <v>2.7887727308324024</v>
      </c>
      <c r="H64" s="285">
        <f t="shared" ca="1" si="20"/>
        <v>2.8514232028295714</v>
      </c>
      <c r="I64" s="285">
        <f t="shared" ca="1" si="20"/>
        <v>3.0152385162575044</v>
      </c>
      <c r="K64" s="63"/>
      <c r="L64" s="63"/>
    </row>
    <row r="65" spans="1:20" ht="12.75" customHeight="1" outlineLevel="1">
      <c r="A65" s="61" t="s">
        <v>69</v>
      </c>
      <c r="B65" s="285">
        <f t="shared" ca="1" si="20"/>
        <v>0</v>
      </c>
      <c r="C65" s="285">
        <f t="shared" ca="1" si="20"/>
        <v>0</v>
      </c>
      <c r="D65" s="285">
        <f t="shared" ca="1" si="20"/>
        <v>1.7999999999999999E-2</v>
      </c>
      <c r="E65" s="285">
        <f t="shared" ca="1" si="20"/>
        <v>1.8190979249062232E-2</v>
      </c>
      <c r="F65" s="285">
        <f t="shared" ca="1" si="20"/>
        <v>1.8367937912225012E-2</v>
      </c>
      <c r="G65" s="285">
        <f t="shared" ca="1" si="20"/>
        <v>1.8542859585771829E-2</v>
      </c>
      <c r="H65" s="285">
        <f t="shared" ca="1" si="20"/>
        <v>1.873263555264592E-2</v>
      </c>
      <c r="I65" s="285">
        <f t="shared" ca="1" si="20"/>
        <v>1.8906471758592003E-2</v>
      </c>
      <c r="K65" s="42"/>
      <c r="L65" s="21"/>
    </row>
    <row r="66" spans="1:20" s="759" customFormat="1" ht="12.75" customHeight="1" outlineLevel="1">
      <c r="A66" s="61" t="s">
        <v>646</v>
      </c>
      <c r="B66" s="285">
        <f t="shared" ref="B66:I66" ca="1" si="21">+B44+B32+B55</f>
        <v>0</v>
      </c>
      <c r="C66" s="285">
        <f t="shared" ca="1" si="21"/>
        <v>0</v>
      </c>
      <c r="D66" s="285">
        <f t="shared" ca="1" si="21"/>
        <v>4.7E-2</v>
      </c>
      <c r="E66" s="285">
        <f t="shared" ca="1" si="21"/>
        <v>4.7736161379414138E-2</v>
      </c>
      <c r="F66" s="285">
        <f t="shared" ca="1" si="21"/>
        <v>4.8441533056687108E-2</v>
      </c>
      <c r="G66" s="285">
        <f t="shared" ca="1" si="21"/>
        <v>4.9342977466009512E-2</v>
      </c>
      <c r="H66" s="285">
        <f t="shared" ca="1" si="21"/>
        <v>5.0371379440114897E-2</v>
      </c>
      <c r="I66" s="285">
        <f t="shared" ca="1" si="21"/>
        <v>5.1474303944112142E-2</v>
      </c>
      <c r="K66" s="42"/>
      <c r="L66" s="732"/>
    </row>
    <row r="67" spans="1:20" ht="12.75" customHeight="1" outlineLevel="1">
      <c r="A67" s="61" t="s">
        <v>647</v>
      </c>
      <c r="B67" s="285">
        <f t="shared" ref="B67:I67" ca="1" si="22">+B45+B33+B56</f>
        <v>0</v>
      </c>
      <c r="C67" s="285">
        <f t="shared" ca="1" si="22"/>
        <v>0</v>
      </c>
      <c r="D67" s="285">
        <f t="shared" ca="1" si="22"/>
        <v>0.34900000000000003</v>
      </c>
      <c r="E67" s="285">
        <f t="shared" ca="1" si="22"/>
        <v>0.35446638981735185</v>
      </c>
      <c r="F67" s="285">
        <f t="shared" ca="1" si="22"/>
        <v>0.35970414971880432</v>
      </c>
      <c r="G67" s="285">
        <f t="shared" ca="1" si="22"/>
        <v>0.36639785394973023</v>
      </c>
      <c r="H67" s="285">
        <f t="shared" ca="1" si="22"/>
        <v>0.37403428562978935</v>
      </c>
      <c r="I67" s="285">
        <f t="shared" ca="1" si="22"/>
        <v>0.38222408673393915</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2.1360000000000001</v>
      </c>
      <c r="E70" s="295">
        <f t="shared" ca="1" si="25"/>
        <v>2.1980065403979139</v>
      </c>
      <c r="F70" s="295">
        <f t="shared" ca="1" si="25"/>
        <v>2.851933956079832</v>
      </c>
      <c r="G70" s="295">
        <f t="shared" ca="1" si="25"/>
        <v>3.2230564218339142</v>
      </c>
      <c r="H70" s="295">
        <f t="shared" ca="1" si="25"/>
        <v>3.2945615034521216</v>
      </c>
      <c r="I70" s="295">
        <f t="shared" ca="1" si="25"/>
        <v>3.4678433786941478</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1.827034816028688E-2</v>
      </c>
      <c r="Q77" s="285">
        <f ca="1">IF($B77&lt;&gt;0,(+VLOOKUP($B77,$A$8:$I$13,6,FALSE))*(F77),0)</f>
        <v>3.5199393602859431E-2</v>
      </c>
      <c r="R77" s="285">
        <f ca="1">IF($B77&lt;&gt;0,(+VLOOKUP($B77,$A$8:$I$13,7,FALSE))*(G77),0)</f>
        <v>5.1933567038838543E-2</v>
      </c>
      <c r="S77" s="285">
        <f ca="1">IF($B77&lt;&gt;0,(+VLOOKUP($B77,$A$8:$I$13,8,FALSE))*(H77),0)</f>
        <v>7.0088801203126591E-2</v>
      </c>
      <c r="T77" s="285">
        <f ca="1">IF($B77&lt;&gt;0,(+VLOOKUP($B77,$A$8:$I$13,9,FALSE))*(I77),0)</f>
        <v>8.6719131571968311E-2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1.9097924906223216E-4</v>
      </c>
      <c r="Q78" s="285">
        <f ca="1">IF($B78&lt;&gt;0,(+VLOOKUP($B78,$A$8:$I$13,6,FALSE))*(F78),0)</f>
        <v>3.6793791222501144E-4</v>
      </c>
      <c r="R78" s="285">
        <f ca="1">IF($B78&lt;&gt;0,(+VLOOKUP($B78,$A$8:$I$13,7,FALSE))*(G78),0)</f>
        <v>5.4285958577183146E-4</v>
      </c>
      <c r="S78" s="285">
        <f ca="1">IF($B78&lt;&gt;0,(+VLOOKUP($B78,$A$8:$I$13,8,FALSE))*(H78),0)</f>
        <v>7.3263555264592244E-4</v>
      </c>
      <c r="T78" s="285">
        <f ca="1">IF($B78&lt;&gt;0,(+VLOOKUP($B78,$A$8:$I$13,9,FALSE))*(I78),0)</f>
        <v>9.0647175859200318E-4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4.9866803921805064E-4</v>
      </c>
      <c r="Q79" s="285">
        <f t="shared" ref="Q79:Q80" ca="1" si="34">IF($B79&lt;&gt;0,(+VLOOKUP($B79,$A$8:$I$13,6,FALSE))*(F79),0)</f>
        <v>9.6072677080975225E-4</v>
      </c>
      <c r="R79" s="285">
        <f t="shared" ref="R79:R80" ca="1" si="35">IF($B79&lt;&gt;0,(+VLOOKUP($B79,$A$8:$I$13,7,FALSE))*(G79),0)</f>
        <v>1.4174666961820044E-3</v>
      </c>
      <c r="S79" s="285">
        <f t="shared" ref="S79:S80" ca="1" si="36">IF($B79&lt;&gt;0,(+VLOOKUP($B79,$A$8:$I$13,8,FALSE))*(H79),0)</f>
        <v>1.9129928319087976E-3</v>
      </c>
      <c r="T79" s="285">
        <f t="shared" ref="T79:T80" ca="1" si="37">IF($B79&lt;&gt;0,(+VLOOKUP($B79,$A$8:$I$13,9,FALSE))*(I79),0)</f>
        <v>2.3668984807680084E-3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3.7028754401510575E-3</v>
      </c>
      <c r="Q80" s="285">
        <f t="shared" ca="1" si="34"/>
        <v>7.1339072981405011E-3</v>
      </c>
      <c r="R80" s="285">
        <f t="shared" ca="1" si="35"/>
        <v>1.0525444190798289E-2</v>
      </c>
      <c r="S80" s="285">
        <f t="shared" ca="1" si="36"/>
        <v>1.4204989326301499E-2</v>
      </c>
      <c r="T80" s="285">
        <f t="shared" ca="1" si="37"/>
        <v>1.7575480208256066E-2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2.2662870888718219E-2</v>
      </c>
      <c r="Q83" s="292">
        <f t="shared" ca="1" si="51"/>
        <v>4.3661965584034693E-2</v>
      </c>
      <c r="R83" s="292">
        <f t="shared" ca="1" si="51"/>
        <v>6.441933751159068E-2</v>
      </c>
      <c r="S83" s="292">
        <f t="shared" ca="1" si="51"/>
        <v>8.6939418913982811E-2</v>
      </c>
      <c r="T83" s="292">
        <f t="shared" ca="1" si="51"/>
        <v>0.1075679820195844</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1.827034816028688E-2</v>
      </c>
      <c r="F98" s="285">
        <f t="shared" ca="1" si="54"/>
        <v>3.5199393602859431E-2</v>
      </c>
      <c r="G98" s="285">
        <f t="shared" ca="1" si="54"/>
        <v>5.1933567038838543E-2</v>
      </c>
      <c r="H98" s="285">
        <f t="shared" ca="1" si="54"/>
        <v>7.0088801203126591E-2</v>
      </c>
      <c r="I98" s="285">
        <f t="shared" ca="1" si="54"/>
        <v>8.6719131571968311E-2</v>
      </c>
    </row>
    <row r="99" spans="1:20" outlineLevel="1">
      <c r="A99" s="61" t="s">
        <v>69</v>
      </c>
      <c r="B99" s="119"/>
      <c r="C99" s="285">
        <f t="shared" ref="C99:I99" ca="1" si="55">+C9*(C87)</f>
        <v>0</v>
      </c>
      <c r="D99" s="285">
        <f t="shared" ca="1" si="55"/>
        <v>0</v>
      </c>
      <c r="E99" s="285">
        <f t="shared" ca="1" si="55"/>
        <v>1.9097924906223216E-4</v>
      </c>
      <c r="F99" s="285">
        <f t="shared" ca="1" si="55"/>
        <v>3.6793791222501144E-4</v>
      </c>
      <c r="G99" s="285">
        <f t="shared" ca="1" si="55"/>
        <v>5.4285958577183146E-4</v>
      </c>
      <c r="H99" s="285">
        <f t="shared" ca="1" si="55"/>
        <v>7.3263555264592244E-4</v>
      </c>
      <c r="I99" s="285">
        <f t="shared" ca="1" si="55"/>
        <v>9.0647175859200318E-4</v>
      </c>
    </row>
    <row r="100" spans="1:20" s="759" customFormat="1" outlineLevel="1">
      <c r="A100" s="61" t="s">
        <v>646</v>
      </c>
      <c r="B100" s="119"/>
      <c r="C100" s="285">
        <f t="shared" ref="C100:I100" ca="1" si="56">+C10*(C88)</f>
        <v>0</v>
      </c>
      <c r="D100" s="285">
        <f t="shared" ca="1" si="56"/>
        <v>0</v>
      </c>
      <c r="E100" s="285">
        <f t="shared" ca="1" si="56"/>
        <v>4.9866803921805064E-4</v>
      </c>
      <c r="F100" s="285">
        <f t="shared" ca="1" si="56"/>
        <v>9.6072677080975225E-4</v>
      </c>
      <c r="G100" s="285">
        <f t="shared" ca="1" si="56"/>
        <v>1.4174666961820044E-3</v>
      </c>
      <c r="H100" s="285">
        <f t="shared" ca="1" si="56"/>
        <v>1.9129928319087976E-3</v>
      </c>
      <c r="I100" s="285">
        <f t="shared" ca="1" si="56"/>
        <v>2.3668984807680084E-3</v>
      </c>
    </row>
    <row r="101" spans="1:20" outlineLevel="1">
      <c r="A101" s="61" t="s">
        <v>647</v>
      </c>
      <c r="B101" s="119"/>
      <c r="C101" s="285">
        <f t="shared" ref="C101:I101" ca="1" si="57">+C11*(C89)</f>
        <v>0</v>
      </c>
      <c r="D101" s="285">
        <f t="shared" ca="1" si="57"/>
        <v>0</v>
      </c>
      <c r="E101" s="285">
        <f t="shared" ca="1" si="57"/>
        <v>3.7028754401510575E-3</v>
      </c>
      <c r="F101" s="285">
        <f t="shared" ca="1" si="57"/>
        <v>7.1339072981405011E-3</v>
      </c>
      <c r="G101" s="285">
        <f t="shared" ca="1" si="57"/>
        <v>1.0525444190798289E-2</v>
      </c>
      <c r="H101" s="285">
        <f t="shared" ca="1" si="57"/>
        <v>1.4204989326301499E-2</v>
      </c>
      <c r="I101" s="285">
        <f t="shared" ca="1" si="57"/>
        <v>1.7575480208256066E-2</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2.2662870888718219E-2</v>
      </c>
      <c r="F104" s="296">
        <f t="shared" ca="1" si="60"/>
        <v>4.3661965584034693E-2</v>
      </c>
      <c r="G104" s="296">
        <f t="shared" ca="1" si="60"/>
        <v>6.441933751159068E-2</v>
      </c>
      <c r="H104" s="296">
        <f t="shared" ca="1" si="60"/>
        <v>8.6939418913982811E-2</v>
      </c>
      <c r="I104" s="296">
        <f t="shared" ca="1" si="60"/>
        <v>0.1075679820195844</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1.6005119348986324E-2</v>
      </c>
      <c r="G105" s="124">
        <f t="shared" ca="1" si="61"/>
        <v>2.124648334814996E-2</v>
      </c>
      <c r="H105" s="124">
        <f t="shared" ca="1" si="61"/>
        <v>2.8673950829150002E-2</v>
      </c>
      <c r="I105" s="124">
        <f t="shared" ca="1" si="61"/>
        <v>3.4333859565778613E-2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3.7342661791799202E-2</v>
      </c>
      <c r="Q113" s="285">
        <f ca="1">IF($B113&lt;&gt;0,(+VLOOKUP($B113,$A$8:$I$13,6,FALSE)+VLOOKUP($B113,$A$42:$I$47,6,FALSE))*(F113),0)</f>
        <v>7.6220941789256105E-2</v>
      </c>
      <c r="R113" s="285">
        <f ca="1">IF($B113&lt;&gt;0,(+VLOOKUP($B113,$A$8:$I$13,7,FALSE)+VLOOKUP($B113,$A$42:$I$47,7,FALSE))*(G113),0)</f>
        <v>0.11883916379356418</v>
      </c>
      <c r="S113" s="285">
        <f ca="1">IF($B113&lt;&gt;0,(+VLOOKUP($B113,$A$8:$I$13,8,FALSE)+VLOOKUP($B113,$A$42:$I$47,8,FALSE))*(H113),0)</f>
        <v>0.16333440162644489</v>
      </c>
      <c r="T113" s="285">
        <f ca="1">IF($B113&lt;&gt;0,(+VLOOKUP($B113,$A$8:$I$13,9,FALSE)+VLOOKUP($B113,$A$42:$I$47,9,FALSE))*(I113),0)</f>
        <v>0.20951938468553591</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2.3749334019608519E-4</v>
      </c>
      <c r="Q115" s="285">
        <f t="shared" ca="1" si="68"/>
        <v>4.8080628587735474E-4</v>
      </c>
      <c r="R115" s="285">
        <f t="shared" ca="1" si="69"/>
        <v>9.2551076982750214E-4</v>
      </c>
      <c r="S115" s="285">
        <f t="shared" ca="1" si="70"/>
        <v>1.4583866082061006E-3</v>
      </c>
      <c r="T115" s="285">
        <f t="shared" ca="1" si="71"/>
        <v>2.1074054633441362E-3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1.763514377200718E-3</v>
      </c>
      <c r="Q116" s="285">
        <f t="shared" ca="1" si="68"/>
        <v>3.5702424206637625E-3</v>
      </c>
      <c r="R116" s="285">
        <f t="shared" ca="1" si="69"/>
        <v>6.8724097589318786E-3</v>
      </c>
      <c r="S116" s="285">
        <f t="shared" ca="1" si="70"/>
        <v>1.0829296303487853E-2</v>
      </c>
      <c r="T116" s="285">
        <f t="shared" ca="1" si="71"/>
        <v>1.5648606525683055E-2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3.9343669509196003E-2</v>
      </c>
      <c r="Q119" s="292">
        <f t="shared" ca="1" si="72"/>
        <v>8.0271990495797224E-2</v>
      </c>
      <c r="R119" s="292">
        <f t="shared" ca="1" si="72"/>
        <v>0.12663708432232357</v>
      </c>
      <c r="S119" s="292">
        <f t="shared" ca="1" si="72"/>
        <v>0.17562208453813885</v>
      </c>
      <c r="T119" s="292">
        <f t="shared" ca="1" si="72"/>
        <v>0.22727539667456312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3.7342661791799202E-2</v>
      </c>
      <c r="F134" s="285">
        <f t="shared" ca="1" si="75"/>
        <v>7.6220941789256105E-2</v>
      </c>
      <c r="G134" s="285">
        <f t="shared" ca="1" si="75"/>
        <v>0.11883916379356418</v>
      </c>
      <c r="H134" s="285">
        <f t="shared" ca="1" si="75"/>
        <v>0.16333440162644489</v>
      </c>
      <c r="I134" s="285">
        <f t="shared" ca="1" si="75"/>
        <v>0.20951938468553591</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2.3749334019608519E-4</v>
      </c>
      <c r="F136" s="285">
        <f t="shared" ca="1" si="77"/>
        <v>4.8080628587735474E-4</v>
      </c>
      <c r="G136" s="285">
        <f t="shared" ca="1" si="77"/>
        <v>9.2551076982750214E-4</v>
      </c>
      <c r="H136" s="285">
        <f t="shared" ca="1" si="77"/>
        <v>1.4583866082061006E-3</v>
      </c>
      <c r="I136" s="285">
        <f t="shared" ca="1" si="77"/>
        <v>2.1074054633441362E-3</v>
      </c>
    </row>
    <row r="137" spans="1:16" outlineLevel="1">
      <c r="A137" s="61" t="s">
        <v>647</v>
      </c>
      <c r="B137" s="119"/>
      <c r="C137" s="285">
        <f ca="1">(+C11+C45)*(C$125)</f>
        <v>0</v>
      </c>
      <c r="D137" s="285">
        <f t="shared" ref="D137:I137" ca="1" si="78">(+D11+D45)*(D$125)</f>
        <v>0</v>
      </c>
      <c r="E137" s="285">
        <f t="shared" ca="1" si="78"/>
        <v>1.763514377200718E-3</v>
      </c>
      <c r="F137" s="285">
        <f t="shared" ca="1" si="78"/>
        <v>3.5702424206637625E-3</v>
      </c>
      <c r="G137" s="285">
        <f t="shared" ca="1" si="78"/>
        <v>6.8724097589318786E-3</v>
      </c>
      <c r="H137" s="285">
        <f t="shared" ca="1" si="78"/>
        <v>1.0829296303487853E-2</v>
      </c>
      <c r="I137" s="285">
        <f t="shared" ca="1" si="78"/>
        <v>1.5648606525683055E-2</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3.9343669509196003E-2</v>
      </c>
      <c r="F140" s="296">
        <f t="shared" ca="1" si="81"/>
        <v>8.0271990495797224E-2</v>
      </c>
      <c r="G140" s="296">
        <f t="shared" ca="1" si="81"/>
        <v>0.12663708432232357</v>
      </c>
      <c r="H140" s="296">
        <f t="shared" ca="1" si="81"/>
        <v>0.17562208453813885</v>
      </c>
      <c r="I140" s="296">
        <f t="shared" ca="1" si="81"/>
        <v>0.22727539667456312</v>
      </c>
    </row>
    <row r="141" spans="1:16" ht="13.5" outlineLevel="1" thickBot="1">
      <c r="A141" s="122" t="s">
        <v>148</v>
      </c>
      <c r="B141" s="126"/>
      <c r="C141" s="124">
        <f t="shared" ref="C141:I141" ca="1" si="82">IF((+C36+C48)&lt;&gt;0,+C140/(+C36+C48),0)</f>
        <v>0</v>
      </c>
      <c r="D141" s="124">
        <f t="shared" ca="1" si="82"/>
        <v>0</v>
      </c>
      <c r="E141" s="124">
        <f t="shared" ca="1" si="82"/>
        <v>1.8225944421325163E-2</v>
      </c>
      <c r="F141" s="124">
        <f t="shared" ca="1" si="82"/>
        <v>2.8961681291781408E-2</v>
      </c>
      <c r="G141" s="124">
        <f t="shared" ca="1" si="82"/>
        <v>4.0897911593619718E-2</v>
      </c>
      <c r="H141" s="124">
        <f t="shared" ca="1" si="82"/>
        <v>5.6308270520781904E-2</v>
      </c>
      <c r="I141" s="124">
        <f t="shared" ca="1" si="82"/>
        <v>7.0134432585771803E-2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0.59199999999999997</v>
      </c>
      <c r="G149" s="285">
        <f t="shared" si="83"/>
        <v>0.89600000000000002</v>
      </c>
      <c r="H149" s="285">
        <f t="shared" si="83"/>
        <v>0.89600000000000002</v>
      </c>
      <c r="I149" s="285">
        <f t="shared" si="83"/>
        <v>0.997</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0.59199999999999997</v>
      </c>
      <c r="G155" s="296">
        <f t="shared" si="84"/>
        <v>0.89600000000000002</v>
      </c>
      <c r="H155" s="296">
        <f t="shared" si="84"/>
        <v>0.89600000000000002</v>
      </c>
      <c r="I155" s="296">
        <f t="shared" si="84"/>
        <v>0.997</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0.59199999999999997</v>
      </c>
      <c r="G160" s="285">
        <f t="shared" ca="1" si="86"/>
        <v>0.89600000000000002</v>
      </c>
      <c r="H160" s="285">
        <f t="shared" ca="1" si="86"/>
        <v>0.89600000000000002</v>
      </c>
      <c r="I160" s="285">
        <f t="shared" ca="1" si="86"/>
        <v>0.997</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0.59199999999999997</v>
      </c>
      <c r="G170" s="296">
        <f t="shared" ca="1" si="91"/>
        <v>0.89600000000000002</v>
      </c>
      <c r="H170" s="296">
        <f t="shared" ca="1" si="91"/>
        <v>0.89600000000000002</v>
      </c>
      <c r="I170" s="296">
        <f t="shared" ca="1" si="91"/>
        <v>0.997</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'[2]TOTAL (SEM)'!$N$295:$R$300</f>
        <v>0</v>
      </c>
      <c r="F185" s="285">
        <v>0.59199999999999997</v>
      </c>
      <c r="G185" s="285">
        <v>0.89600000000000002</v>
      </c>
      <c r="H185" s="285">
        <v>0.89600000000000002</v>
      </c>
      <c r="I185" s="285">
        <v>0.997</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0.59199999999999997</v>
      </c>
      <c r="G191" s="296">
        <f t="shared" si="92"/>
        <v>0.89600000000000002</v>
      </c>
      <c r="H191" s="296">
        <f t="shared" si="92"/>
        <v>0.89600000000000002</v>
      </c>
      <c r="I191" s="296">
        <f t="shared" si="92"/>
        <v>0.997</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2.1360000000000001</v>
      </c>
      <c r="E205" s="82">
        <f t="shared" ca="1" si="93"/>
        <v>2.1360000000000001</v>
      </c>
      <c r="F205" s="82">
        <f t="shared" ca="1" si="93"/>
        <v>2.1360000000000001</v>
      </c>
      <c r="G205" s="82">
        <f t="shared" ca="1" si="93"/>
        <v>2.1360000000000001</v>
      </c>
      <c r="H205" s="82">
        <f t="shared" ca="1" si="93"/>
        <v>2.1360000000000001</v>
      </c>
      <c r="I205" s="82">
        <f t="shared" ca="1" si="93"/>
        <v>2.1360000000000001</v>
      </c>
    </row>
    <row r="206" spans="1:9" outlineLevel="1">
      <c r="A206" t="s">
        <v>156</v>
      </c>
      <c r="B206" s="82">
        <f t="shared" ref="B206:I206" ca="1" si="94">+B36</f>
        <v>0</v>
      </c>
      <c r="C206" s="82">
        <f t="shared" ca="1" si="94"/>
        <v>0</v>
      </c>
      <c r="D206" s="82">
        <f t="shared" ca="1" si="94"/>
        <v>2.1360000000000001</v>
      </c>
      <c r="E206" s="82">
        <f t="shared" ca="1" si="94"/>
        <v>2.1360000000000001</v>
      </c>
      <c r="F206" s="82">
        <f t="shared" ca="1" si="94"/>
        <v>2.7280000000000002</v>
      </c>
      <c r="G206" s="82">
        <f t="shared" ca="1" si="94"/>
        <v>3.032</v>
      </c>
      <c r="H206" s="82">
        <f t="shared" ca="1" si="94"/>
        <v>3.032</v>
      </c>
      <c r="I206" s="82">
        <f t="shared" ca="1" si="94"/>
        <v>3.133</v>
      </c>
    </row>
    <row r="207" spans="1:9" outlineLevel="1">
      <c r="A207" t="s">
        <v>157</v>
      </c>
      <c r="B207" s="82">
        <f t="shared" ref="B207:I207" ca="1" si="95">+B36+B48</f>
        <v>0</v>
      </c>
      <c r="C207" s="82">
        <f t="shared" ca="1" si="95"/>
        <v>0</v>
      </c>
      <c r="D207" s="82">
        <f t="shared" ca="1" si="95"/>
        <v>2.1360000000000001</v>
      </c>
      <c r="E207" s="82">
        <f t="shared" ca="1" si="95"/>
        <v>2.1586628708887186</v>
      </c>
      <c r="F207" s="82">
        <f t="shared" ca="1" si="95"/>
        <v>2.7716619655840349</v>
      </c>
      <c r="G207" s="82">
        <f t="shared" ca="1" si="95"/>
        <v>3.0964193375115907</v>
      </c>
      <c r="H207" s="82">
        <f t="shared" ca="1" si="95"/>
        <v>3.1189394189139827</v>
      </c>
      <c r="I207" s="82">
        <f t="shared" ca="1" si="95"/>
        <v>3.2405679820195843</v>
      </c>
    </row>
    <row r="208" spans="1:9" outlineLevel="1">
      <c r="A208" t="s">
        <v>158</v>
      </c>
      <c r="B208" s="82">
        <f t="shared" ref="B208:I208" ca="1" si="96">+B70</f>
        <v>0</v>
      </c>
      <c r="C208" s="82">
        <f t="shared" ca="1" si="96"/>
        <v>0</v>
      </c>
      <c r="D208" s="82">
        <f t="shared" ca="1" si="96"/>
        <v>2.1360000000000001</v>
      </c>
      <c r="E208" s="82">
        <f t="shared" ca="1" si="96"/>
        <v>2.1980065403979139</v>
      </c>
      <c r="F208" s="82">
        <f t="shared" ca="1" si="96"/>
        <v>2.851933956079832</v>
      </c>
      <c r="G208" s="82">
        <f t="shared" ca="1" si="96"/>
        <v>3.2230564218339142</v>
      </c>
      <c r="H208" s="82">
        <f t="shared" ca="1" si="96"/>
        <v>3.2945615034521216</v>
      </c>
      <c r="I208" s="82">
        <f t="shared" ca="1" si="96"/>
        <v>3.4678433786941478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20" priority="1" stopIfTrue="1" operator="notEqual">
      <formula>0</formula>
    </cfRule>
  </conditionalFormatting>
  <conditionalFormatting sqref="J130 J94 J70 J59 J48 J36:J37 J14 J25">
    <cfRule type="cellIs" dxfId="219" priority="2" stopIfTrue="1" operator="equal">
      <formula>"OK"</formula>
    </cfRule>
    <cfRule type="cellIs" dxfId="218" priority="3" stopIfTrue="1" operator="equal">
      <formula>"Warning Check Escalations"</formula>
    </cfRule>
  </conditionalFormatting>
  <conditionalFormatting sqref="N120:T120 N84:T84">
    <cfRule type="cellIs" dxfId="217" priority="4" stopIfTrue="1" operator="notEqual">
      <formula>0</formula>
    </cfRule>
    <cfRule type="cellIs" dxfId="21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7.xml><?xml version="1.0" encoding="utf-8"?>
<worksheet xmlns="http://schemas.openxmlformats.org/spreadsheetml/2006/main" xmlns:r="http://schemas.openxmlformats.org/officeDocument/2006/relationships">
  <sheetPr codeName="Sheet90" enableFormatConditionsCalculation="0">
    <tabColor indexed="57"/>
    <pageSetUpPr fitToPage="1"/>
  </sheetPr>
  <dimension ref="A1:T239"/>
  <sheetViews>
    <sheetView showGridLines="0" topLeftCell="A7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34</v>
      </c>
      <c r="M1" s="282"/>
      <c r="N1" s="280"/>
      <c r="O1" s="280"/>
      <c r="P1" s="280"/>
      <c r="Q1" s="280"/>
      <c r="R1" s="280"/>
      <c r="S1" s="280"/>
      <c r="T1" s="280"/>
    </row>
    <row r="2" spans="1:20" ht="15.75">
      <c r="A2" s="184" t="s">
        <v>121</v>
      </c>
      <c r="B2" s="74" t="str">
        <f ca="1">OFFSET(List_AllocOpexListStart,+$K$1,1)</f>
        <v>Business Improvement and Planning</v>
      </c>
      <c r="F2" s="284"/>
      <c r="H2" s="42"/>
      <c r="I2" s="283"/>
      <c r="L2" s="282"/>
      <c r="M2" s="282"/>
    </row>
    <row r="3" spans="1:20" ht="16.5" thickBot="1">
      <c r="A3" s="184" t="s">
        <v>371</v>
      </c>
      <c r="B3" s="236" t="str">
        <f ca="1">OFFSET(List_AllocOpexListStart,+$K$1,2)</f>
        <v>David Woods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0.629</v>
      </c>
      <c r="E8" s="285">
        <f ca="1">OFFSET(Future_AOpexStart,MATCH($K$1,'I-6 Future A'!$A$6:$A$379)+2,+'I-5 Future DA'!F$5)</f>
        <v>0.629</v>
      </c>
      <c r="F8" s="285">
        <f ca="1">OFFSET(Future_AOpexStart,MATCH($K$1,'I-6 Future A'!$A$6:$A$379)+2,+'I-5 Future DA'!G$5)</f>
        <v>0.629</v>
      </c>
      <c r="G8" s="285">
        <f ca="1">OFFSET(Future_AOpexStart,MATCH($K$1,'I-6 Future A'!$A$6:$A$379)+2,+'I-5 Future DA'!H$5)</f>
        <v>0.629</v>
      </c>
      <c r="H8" s="285">
        <f ca="1">OFFSET(Future_AOpexStart,MATCH($K$1,'I-6 Future A'!$A$6:$A$379)+2,+'I-5 Future DA'!I$5)</f>
        <v>0.629</v>
      </c>
      <c r="I8" s="285">
        <f ca="1">OFFSET(Future_AOpexStart,MATCH($K$1,'I-6 Future A'!$A$6:$A$379)+2,+'I-5 Future DA'!J$5)</f>
        <v>0.629</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3.0000000000000001E-3</v>
      </c>
      <c r="E9" s="285">
        <f ca="1">OFFSET(Future_AOpexStart,MATCH($K$1,'I-6 Future A'!$A$6:$A$379)+3,+'I-5 Future DA'!F$5)</f>
        <v>3.0000000000000001E-3</v>
      </c>
      <c r="F9" s="285">
        <f ca="1">OFFSET(Future_AOpexStart,MATCH($K$1,'I-6 Future A'!$A$6:$A$379)+3,+'I-5 Future DA'!G$5)</f>
        <v>3.0000000000000001E-3</v>
      </c>
      <c r="G9" s="285">
        <f ca="1">OFFSET(Future_AOpexStart,MATCH($K$1,'I-6 Future A'!$A$6:$A$379)+3,+'I-5 Future DA'!H$5)</f>
        <v>3.0000000000000001E-3</v>
      </c>
      <c r="H9" s="285">
        <f ca="1">OFFSET(Future_AOpexStart,MATCH($K$1,'I-6 Future A'!$A$6:$A$379)+3,+'I-5 Future DA'!I$5)</f>
        <v>3.0000000000000001E-3</v>
      </c>
      <c r="I9" s="285">
        <f ca="1">OFFSET(Future_AOpexStart,MATCH($K$1,'I-6 Future A'!$A$6:$A$379)+3,+'I-5 Future DA'!J$5)</f>
        <v>3.0000000000000001E-3</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8.5000000000000006E-2</v>
      </c>
      <c r="E10" s="285">
        <f ca="1">OFFSET(Future_AOpexStart,MATCH($K$1,'I-6 Future A'!$A$6:$A$379)+4,+'I-5 Future DA'!F$5)</f>
        <v>8.5000000000000006E-2</v>
      </c>
      <c r="F10" s="285">
        <f ca="1">OFFSET(Future_AOpexStart,MATCH($K$1,'I-6 Future A'!$A$6:$A$379)+4,+'I-5 Future DA'!G$5)</f>
        <v>8.5000000000000006E-2</v>
      </c>
      <c r="G10" s="285">
        <f ca="1">OFFSET(Future_AOpexStart,MATCH($K$1,'I-6 Future A'!$A$6:$A$379)+4,+'I-5 Future DA'!H$5)</f>
        <v>8.5000000000000006E-2</v>
      </c>
      <c r="H10" s="285">
        <f ca="1">OFFSET(Future_AOpexStart,MATCH($K$1,'I-6 Future A'!$A$6:$A$379)+4,+'I-5 Future DA'!I$5)</f>
        <v>8.5000000000000006E-2</v>
      </c>
      <c r="I10" s="285">
        <f ca="1">OFFSET(Future_AOpexStart,MATCH($K$1,'I-6 Future A'!$A$6:$A$379)+4,+'I-5 Future DA'!J$5)</f>
        <v>8.5000000000000006E-2</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0.191</v>
      </c>
      <c r="E11" s="285">
        <f ca="1">OFFSET(Future_AOpexStart,MATCH($K$1,'I-6 Future A'!$A$6:$A$379)+5,+'I-5 Future DA'!F$5)</f>
        <v>0.191</v>
      </c>
      <c r="F11" s="285">
        <f ca="1">OFFSET(Future_AOpexStart,MATCH($K$1,'I-6 Future A'!$A$6:$A$379)+5,+'I-5 Future DA'!G$5)</f>
        <v>0.191</v>
      </c>
      <c r="G11" s="285">
        <f ca="1">OFFSET(Future_AOpexStart,MATCH($K$1,'I-6 Future A'!$A$6:$A$379)+5,+'I-5 Future DA'!H$5)</f>
        <v>0.191</v>
      </c>
      <c r="H11" s="285">
        <f ca="1">OFFSET(Future_AOpexStart,MATCH($K$1,'I-6 Future A'!$A$6:$A$379)+5,+'I-5 Future DA'!I$5)</f>
        <v>0.191</v>
      </c>
      <c r="I11" s="285">
        <f ca="1">OFFSET(Future_AOpexStart,MATCH($K$1,'I-6 Future A'!$A$6:$A$379)+5,+'I-5 Future DA'!J$5)</f>
        <v>0.191</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0.90799999999999992</v>
      </c>
      <c r="E14" s="287">
        <f t="shared" ca="1" si="0"/>
        <v>0.90799999999999992</v>
      </c>
      <c r="F14" s="287">
        <f t="shared" ca="1" si="0"/>
        <v>0.90799999999999992</v>
      </c>
      <c r="G14" s="287">
        <f t="shared" ca="1" si="0"/>
        <v>0.90799999999999992</v>
      </c>
      <c r="H14" s="287">
        <f t="shared" ca="1" si="0"/>
        <v>0.90799999999999992</v>
      </c>
      <c r="I14" s="287">
        <f t="shared" ca="1" si="0"/>
        <v>0.90799999999999992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0.4</v>
      </c>
      <c r="G19" s="285">
        <f t="shared" si="1"/>
        <v>0.4</v>
      </c>
      <c r="H19" s="285">
        <f t="shared" si="1"/>
        <v>0.4</v>
      </c>
      <c r="I19" s="285">
        <f t="shared" si="1"/>
        <v>0.4</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0.4</v>
      </c>
      <c r="G25" s="287">
        <f t="shared" si="6"/>
        <v>0.4</v>
      </c>
      <c r="H25" s="287">
        <f t="shared" si="6"/>
        <v>0.4</v>
      </c>
      <c r="I25" s="287">
        <f t="shared" si="6"/>
        <v>0.4</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+'A-34'!B8+'A-34'!B19</f>
        <v>0</v>
      </c>
      <c r="C30" s="285">
        <f ca="1">+'A-34'!C8+'A-34'!C19</f>
        <v>0</v>
      </c>
      <c r="D30" s="285">
        <f ca="1">+'A-34'!D8+'A-34'!D19</f>
        <v>0.629</v>
      </c>
      <c r="E30" s="285">
        <f ca="1">+'A-34'!E8+'A-34'!E19</f>
        <v>0.629</v>
      </c>
      <c r="F30" s="285">
        <f ca="1">+'A-34'!F8+'A-34'!F19</f>
        <v>1.0289999999999999</v>
      </c>
      <c r="G30" s="285">
        <f ca="1">+'A-34'!G8+'A-34'!G19</f>
        <v>1.0289999999999999</v>
      </c>
      <c r="H30" s="285">
        <f ca="1">+'A-34'!H8+'A-34'!H19</f>
        <v>1.0289999999999999</v>
      </c>
      <c r="I30" s="285">
        <f ca="1">+'A-34'!I8+'A-34'!I19</f>
        <v>1.0289999999999999</v>
      </c>
      <c r="J30" s="42"/>
      <c r="K30" s="21"/>
      <c r="L30" s="21"/>
    </row>
    <row r="31" spans="1:12" outlineLevel="2">
      <c r="A31" s="61" t="s">
        <v>69</v>
      </c>
      <c r="B31" s="285">
        <f ca="1">+'A-34'!B9+'A-34'!B20</f>
        <v>0</v>
      </c>
      <c r="C31" s="285">
        <f ca="1">+'A-34'!C9+'A-34'!C20</f>
        <v>0</v>
      </c>
      <c r="D31" s="285">
        <f ca="1">+'A-34'!D9+'A-34'!D20</f>
        <v>3.0000000000000001E-3</v>
      </c>
      <c r="E31" s="285">
        <f ca="1">+'A-34'!E9+'A-34'!E20</f>
        <v>3.0000000000000001E-3</v>
      </c>
      <c r="F31" s="285">
        <f ca="1">+'A-34'!F9+'A-34'!F20</f>
        <v>3.0000000000000001E-3</v>
      </c>
      <c r="G31" s="285">
        <f ca="1">+'A-34'!G9+'A-34'!G20</f>
        <v>3.0000000000000001E-3</v>
      </c>
      <c r="H31" s="285">
        <f ca="1">+'A-34'!H9+'A-34'!H20</f>
        <v>3.0000000000000001E-3</v>
      </c>
      <c r="I31" s="285">
        <f ca="1">+'A-34'!I9+'A-34'!I20</f>
        <v>3.0000000000000001E-3</v>
      </c>
      <c r="J31" s="42"/>
      <c r="K31" s="21"/>
      <c r="L31" s="21"/>
    </row>
    <row r="32" spans="1:12" s="759" customFormat="1" outlineLevel="2">
      <c r="A32" s="61" t="s">
        <v>646</v>
      </c>
      <c r="B32" s="285">
        <f ca="1">+'A-34'!B10+'A-34'!B21</f>
        <v>0</v>
      </c>
      <c r="C32" s="285">
        <f ca="1">+'A-34'!C10+'A-34'!C21</f>
        <v>0</v>
      </c>
      <c r="D32" s="285">
        <f ca="1">+'A-34'!D10+'A-34'!D21</f>
        <v>8.5000000000000006E-2</v>
      </c>
      <c r="E32" s="285">
        <f ca="1">+'A-34'!E10+'A-34'!E21</f>
        <v>8.5000000000000006E-2</v>
      </c>
      <c r="F32" s="285">
        <f ca="1">+'A-34'!F10+'A-34'!F21</f>
        <v>8.5000000000000006E-2</v>
      </c>
      <c r="G32" s="285">
        <f ca="1">+'A-34'!G10+'A-34'!G21</f>
        <v>8.5000000000000006E-2</v>
      </c>
      <c r="H32" s="285">
        <f ca="1">+'A-34'!H10+'A-34'!H21</f>
        <v>8.5000000000000006E-2</v>
      </c>
      <c r="I32" s="285">
        <f ca="1">+'A-34'!I10+'A-34'!I21</f>
        <v>8.5000000000000006E-2</v>
      </c>
      <c r="J32" s="42"/>
      <c r="K32" s="732"/>
      <c r="L32" s="732"/>
    </row>
    <row r="33" spans="1:12" outlineLevel="2">
      <c r="A33" s="61" t="s">
        <v>647</v>
      </c>
      <c r="B33" s="285">
        <f ca="1">+'A-34'!B11+'A-34'!B22</f>
        <v>0</v>
      </c>
      <c r="C33" s="285">
        <f ca="1">+'A-34'!C11+'A-34'!C22</f>
        <v>0</v>
      </c>
      <c r="D33" s="285">
        <f ca="1">+'A-34'!D11+'A-34'!D22</f>
        <v>0.191</v>
      </c>
      <c r="E33" s="285">
        <f ca="1">+'A-34'!E11+'A-34'!E22</f>
        <v>0.191</v>
      </c>
      <c r="F33" s="285">
        <f ca="1">+'A-34'!F11+'A-34'!F22</f>
        <v>0.191</v>
      </c>
      <c r="G33" s="285">
        <f ca="1">+'A-34'!G11+'A-34'!G22</f>
        <v>0.191</v>
      </c>
      <c r="H33" s="285">
        <f ca="1">+'A-34'!H11+'A-34'!H22</f>
        <v>0.191</v>
      </c>
      <c r="I33" s="285">
        <f ca="1">+'A-34'!I11+'A-34'!I22</f>
        <v>0.191</v>
      </c>
      <c r="J33" s="42"/>
      <c r="K33" s="21"/>
      <c r="L33" s="21"/>
    </row>
    <row r="34" spans="1:12" s="759" customFormat="1" outlineLevel="2">
      <c r="A34" s="61" t="s">
        <v>575</v>
      </c>
      <c r="B34" s="285">
        <f ca="1">+'A-34'!B12+'A-34'!B23</f>
        <v>0</v>
      </c>
      <c r="C34" s="285">
        <f ca="1">+'A-34'!C12+'A-34'!C23</f>
        <v>0</v>
      </c>
      <c r="D34" s="285">
        <f ca="1">+'A-34'!D12+'A-34'!D23</f>
        <v>0</v>
      </c>
      <c r="E34" s="285">
        <f ca="1">+'A-34'!E12+'A-34'!E23</f>
        <v>0</v>
      </c>
      <c r="F34" s="285">
        <f ca="1">+'A-34'!F12+'A-34'!F23</f>
        <v>0</v>
      </c>
      <c r="G34" s="285">
        <f ca="1">+'A-34'!G12+'A-34'!G23</f>
        <v>0</v>
      </c>
      <c r="H34" s="285">
        <f ca="1">+'A-34'!H12+'A-34'!H23</f>
        <v>0</v>
      </c>
      <c r="I34" s="285">
        <f ca="1">+'A-34'!I12+'A-34'!I23</f>
        <v>0</v>
      </c>
      <c r="J34" s="42"/>
      <c r="K34" s="732"/>
      <c r="L34" s="732"/>
    </row>
    <row r="35" spans="1:12" ht="13.5" outlineLevel="2" thickBot="1">
      <c r="A35" s="83" t="s">
        <v>70</v>
      </c>
      <c r="B35" s="285">
        <f ca="1">+'A-34'!B13+'A-34'!B24</f>
        <v>0</v>
      </c>
      <c r="C35" s="285">
        <f ca="1">+'A-34'!C13+'A-34'!C24</f>
        <v>0</v>
      </c>
      <c r="D35" s="285">
        <f ca="1">+'A-34'!D13+'A-34'!D24</f>
        <v>0</v>
      </c>
      <c r="E35" s="285">
        <f ca="1">+'A-34'!E13+'A-34'!E24</f>
        <v>0</v>
      </c>
      <c r="F35" s="285">
        <f ca="1">+'A-34'!F13+'A-34'!F24</f>
        <v>0</v>
      </c>
      <c r="G35" s="285">
        <f ca="1">+'A-34'!G13+'A-34'!G24</f>
        <v>0</v>
      </c>
      <c r="H35" s="285">
        <f ca="1">+'A-34'!H13+'A-34'!H24</f>
        <v>0</v>
      </c>
      <c r="I35" s="285">
        <f ca="1">+'A-34'!I13+'A-34'!I24</f>
        <v>0</v>
      </c>
      <c r="J35" s="93"/>
      <c r="K35" s="21"/>
      <c r="L35" s="21"/>
    </row>
    <row r="36" spans="1:12" s="87" customFormat="1" ht="20.25" customHeight="1" thickBot="1">
      <c r="A36" s="94" t="s">
        <v>128</v>
      </c>
      <c r="B36" s="294">
        <f t="shared" ref="B36:I36" ca="1" si="7">SUM(B30:B35)</f>
        <v>0</v>
      </c>
      <c r="C36" s="294">
        <f t="shared" ca="1" si="7"/>
        <v>0</v>
      </c>
      <c r="D36" s="294">
        <f t="shared" ca="1" si="7"/>
        <v>0.90799999999999992</v>
      </c>
      <c r="E36" s="294">
        <f t="shared" ca="1" si="7"/>
        <v>0.90799999999999992</v>
      </c>
      <c r="F36" s="294">
        <f t="shared" ca="1" si="7"/>
        <v>1.3079999999999998</v>
      </c>
      <c r="G36" s="294">
        <f t="shared" ca="1" si="7"/>
        <v>1.3079999999999998</v>
      </c>
      <c r="H36" s="294">
        <f t="shared" ca="1" si="7"/>
        <v>1.3079999999999998</v>
      </c>
      <c r="I36" s="294">
        <f t="shared" ca="1" si="7"/>
        <v>1.3079999999999998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6.6736637588968913E-3</v>
      </c>
      <c r="F42" s="285">
        <f t="shared" ca="1" si="8"/>
        <v>1.285738593275179E-2</v>
      </c>
      <c r="G42" s="285">
        <f t="shared" ca="1" si="8"/>
        <v>1.8969926636137887E-2</v>
      </c>
      <c r="H42" s="285">
        <f t="shared" ca="1" si="8"/>
        <v>2.5601542367460293E-2</v>
      </c>
      <c r="I42" s="285">
        <f t="shared" ca="1" si="8"/>
        <v>3.1676152008576111E-2</v>
      </c>
      <c r="K42" s="63"/>
      <c r="L42" s="63"/>
    </row>
    <row r="43" spans="1:12" outlineLevel="1">
      <c r="A43" s="61" t="s">
        <v>69</v>
      </c>
      <c r="B43" s="82"/>
      <c r="C43" s="285">
        <f t="shared" ca="1" si="8"/>
        <v>0</v>
      </c>
      <c r="D43" s="285">
        <f t="shared" ca="1" si="8"/>
        <v>0</v>
      </c>
      <c r="E43" s="285">
        <f t="shared" ca="1" si="8"/>
        <v>3.1829874843705362E-5</v>
      </c>
      <c r="F43" s="285">
        <f t="shared" ca="1" si="8"/>
        <v>6.1322985370835254E-5</v>
      </c>
      <c r="G43" s="285">
        <f t="shared" ca="1" si="8"/>
        <v>9.0476597628638586E-5</v>
      </c>
      <c r="H43" s="285">
        <f t="shared" ca="1" si="8"/>
        <v>1.2210592544098709E-4</v>
      </c>
      <c r="I43" s="285">
        <f t="shared" ca="1" si="8"/>
        <v>1.5107862643200053E-4</v>
      </c>
      <c r="K43" s="42"/>
      <c r="L43" s="21"/>
    </row>
    <row r="44" spans="1:12" s="759" customFormat="1" outlineLevel="1">
      <c r="A44" s="61" t="s">
        <v>646</v>
      </c>
      <c r="B44" s="82"/>
      <c r="C44" s="285">
        <f t="shared" ref="C44:I44" ca="1" si="9">+C100</f>
        <v>0</v>
      </c>
      <c r="D44" s="285">
        <f t="shared" ca="1" si="9"/>
        <v>0</v>
      </c>
      <c r="E44" s="285">
        <f t="shared" ca="1" si="9"/>
        <v>9.0184645390498541E-4</v>
      </c>
      <c r="F44" s="285">
        <f t="shared" ca="1" si="9"/>
        <v>1.7374845855069989E-3</v>
      </c>
      <c r="G44" s="285">
        <f t="shared" ca="1" si="9"/>
        <v>2.5635035994780934E-3</v>
      </c>
      <c r="H44" s="285">
        <f t="shared" ca="1" si="9"/>
        <v>3.4596678874946342E-3</v>
      </c>
      <c r="I44" s="285">
        <f t="shared" ca="1" si="9"/>
        <v>4.2805610822400156E-3</v>
      </c>
      <c r="K44" s="42"/>
      <c r="L44" s="732"/>
    </row>
    <row r="45" spans="1:12" outlineLevel="1">
      <c r="A45" s="61" t="s">
        <v>647</v>
      </c>
      <c r="B45" s="82"/>
      <c r="C45" s="285">
        <f t="shared" ref="C45:I45" ca="1" si="10">+C101</f>
        <v>0</v>
      </c>
      <c r="D45" s="285">
        <f t="shared" ca="1" si="10"/>
        <v>0</v>
      </c>
      <c r="E45" s="285">
        <f t="shared" ca="1" si="10"/>
        <v>2.026502031715908E-3</v>
      </c>
      <c r="F45" s="285">
        <f t="shared" ca="1" si="10"/>
        <v>3.9042300686098442E-3</v>
      </c>
      <c r="G45" s="285">
        <f t="shared" ca="1" si="10"/>
        <v>5.7603433823566561E-3</v>
      </c>
      <c r="H45" s="285">
        <f t="shared" ca="1" si="10"/>
        <v>7.774077253076178E-3</v>
      </c>
      <c r="I45" s="285">
        <f t="shared" ca="1" si="10"/>
        <v>9.6186725495040343E-3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9.6338421193614895E-3</v>
      </c>
      <c r="F48" s="294">
        <f t="shared" ca="1" si="13"/>
        <v>1.8560423572239471E-2</v>
      </c>
      <c r="G48" s="294">
        <f t="shared" ca="1" si="13"/>
        <v>2.7384250215601279E-2</v>
      </c>
      <c r="H48" s="294">
        <f t="shared" ca="1" si="13"/>
        <v>3.695739343347209E-2</v>
      </c>
      <c r="I48" s="294">
        <f t="shared" ca="1" si="13"/>
        <v>4.5726464266752163E-2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1.3640263801998663E-2</v>
      </c>
      <c r="F53" s="285">
        <f t="shared" ca="1" si="14"/>
        <v>2.784144737830551E-2</v>
      </c>
      <c r="G53" s="285">
        <f t="shared" ca="1" si="14"/>
        <v>4.3408730561063799E-2</v>
      </c>
      <c r="H53" s="285">
        <f t="shared" ca="1" si="14"/>
        <v>5.9661636831030103E-2</v>
      </c>
      <c r="I53" s="285">
        <f t="shared" ca="1" si="14"/>
        <v>7.6531761304995394E-2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4.2950923226951581E-4</v>
      </c>
      <c r="F55" s="285">
        <f t="shared" ca="1" si="15"/>
        <v>8.6954328296968422E-4</v>
      </c>
      <c r="G55" s="285">
        <f t="shared" ca="1" si="15"/>
        <v>1.6737960730922911E-3</v>
      </c>
      <c r="H55" s="285">
        <f t="shared" ca="1" si="15"/>
        <v>2.6375076956918842E-3</v>
      </c>
      <c r="I55" s="285">
        <f t="shared" ca="1" si="15"/>
        <v>3.8112651996649277E-3</v>
      </c>
      <c r="K55" s="42"/>
      <c r="L55" s="732"/>
    </row>
    <row r="56" spans="1:12" outlineLevel="1">
      <c r="A56" s="61" t="s">
        <v>647</v>
      </c>
      <c r="B56" s="285"/>
      <c r="C56" s="285">
        <f t="shared" ref="C56:I56" ca="1" si="16">+C137</f>
        <v>0</v>
      </c>
      <c r="D56" s="285">
        <f t="shared" ca="1" si="16"/>
        <v>0</v>
      </c>
      <c r="E56" s="285">
        <f t="shared" ca="1" si="16"/>
        <v>9.6513251015855901E-4</v>
      </c>
      <c r="F56" s="285">
        <f t="shared" ca="1" si="16"/>
        <v>1.953914906437761E-3</v>
      </c>
      <c r="G56" s="285">
        <f t="shared" ca="1" si="16"/>
        <v>3.7611182348309129E-3</v>
      </c>
      <c r="H56" s="285">
        <f t="shared" ca="1" si="16"/>
        <v>5.9266349397311749E-3</v>
      </c>
      <c r="I56" s="285">
        <f t="shared" ca="1" si="16"/>
        <v>8.5641370957176607E-3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1.5034905544426738E-2</v>
      </c>
      <c r="F59" s="287">
        <f t="shared" ca="1" si="19"/>
        <v>3.0664905567712952E-2</v>
      </c>
      <c r="G59" s="287">
        <f t="shared" ca="1" si="19"/>
        <v>4.8843644868987006E-2</v>
      </c>
      <c r="H59" s="287">
        <f t="shared" ca="1" si="19"/>
        <v>6.8225779466453168E-2</v>
      </c>
      <c r="I59" s="287">
        <f t="shared" ca="1" si="19"/>
        <v>8.8907163600377981E-2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0.629</v>
      </c>
      <c r="E64" s="285">
        <f t="shared" ca="1" si="20"/>
        <v>0.64931392756089557</v>
      </c>
      <c r="F64" s="285">
        <f t="shared" ca="1" si="20"/>
        <v>1.0696988333110573</v>
      </c>
      <c r="G64" s="285">
        <f t="shared" ca="1" si="20"/>
        <v>1.0913786571972015</v>
      </c>
      <c r="H64" s="285">
        <f t="shared" ca="1" si="20"/>
        <v>1.1142631791984903</v>
      </c>
      <c r="I64" s="285">
        <f t="shared" ca="1" si="20"/>
        <v>1.1372079133135715</v>
      </c>
      <c r="K64" s="63"/>
      <c r="L64" s="63"/>
    </row>
    <row r="65" spans="1:20" ht="12.75" customHeight="1" outlineLevel="1">
      <c r="A65" s="61" t="s">
        <v>69</v>
      </c>
      <c r="B65" s="285">
        <f t="shared" ca="1" si="20"/>
        <v>0</v>
      </c>
      <c r="C65" s="285">
        <f t="shared" ca="1" si="20"/>
        <v>0</v>
      </c>
      <c r="D65" s="285">
        <f t="shared" ca="1" si="20"/>
        <v>3.0000000000000001E-3</v>
      </c>
      <c r="E65" s="285">
        <f t="shared" ca="1" si="20"/>
        <v>3.0318298748437055E-3</v>
      </c>
      <c r="F65" s="285">
        <f t="shared" ca="1" si="20"/>
        <v>3.0613229853708353E-3</v>
      </c>
      <c r="G65" s="285">
        <f t="shared" ca="1" si="20"/>
        <v>3.0904765976286388E-3</v>
      </c>
      <c r="H65" s="285">
        <f t="shared" ca="1" si="20"/>
        <v>3.1221059254409873E-3</v>
      </c>
      <c r="I65" s="285">
        <f t="shared" ca="1" si="20"/>
        <v>3.1510786264320008E-3</v>
      </c>
      <c r="K65" s="42"/>
      <c r="L65" s="21"/>
    </row>
    <row r="66" spans="1:20" s="759" customFormat="1" ht="12.75" customHeight="1" outlineLevel="1">
      <c r="A66" s="61" t="s">
        <v>646</v>
      </c>
      <c r="B66" s="285">
        <f t="shared" ref="B66:I66" ca="1" si="21">+B44+B32+B55</f>
        <v>0</v>
      </c>
      <c r="C66" s="285">
        <f t="shared" ca="1" si="21"/>
        <v>0</v>
      </c>
      <c r="D66" s="285">
        <f t="shared" ca="1" si="21"/>
        <v>8.5000000000000006E-2</v>
      </c>
      <c r="E66" s="285">
        <f t="shared" ca="1" si="21"/>
        <v>8.6331355686174505E-2</v>
      </c>
      <c r="F66" s="285">
        <f t="shared" ca="1" si="21"/>
        <v>8.7607027868476697E-2</v>
      </c>
      <c r="G66" s="285">
        <f t="shared" ca="1" si="21"/>
        <v>8.923729967257038E-2</v>
      </c>
      <c r="H66" s="285">
        <f t="shared" ca="1" si="21"/>
        <v>9.1097175583186529E-2</v>
      </c>
      <c r="I66" s="285">
        <f t="shared" ca="1" si="21"/>
        <v>9.309182628190496E-2</v>
      </c>
      <c r="K66" s="42"/>
      <c r="L66" s="732"/>
    </row>
    <row r="67" spans="1:20" ht="12.75" customHeight="1" outlineLevel="1">
      <c r="A67" s="61" t="s">
        <v>647</v>
      </c>
      <c r="B67" s="285">
        <f t="shared" ref="B67:I67" ca="1" si="22">+B45+B33+B56</f>
        <v>0</v>
      </c>
      <c r="C67" s="285">
        <f t="shared" ca="1" si="22"/>
        <v>0</v>
      </c>
      <c r="D67" s="285">
        <f t="shared" ca="1" si="22"/>
        <v>0.191</v>
      </c>
      <c r="E67" s="285">
        <f t="shared" ca="1" si="22"/>
        <v>0.19399163454187449</v>
      </c>
      <c r="F67" s="285">
        <f t="shared" ca="1" si="22"/>
        <v>0.19685814497504761</v>
      </c>
      <c r="G67" s="285">
        <f t="shared" ca="1" si="22"/>
        <v>0.20052146161718756</v>
      </c>
      <c r="H67" s="285">
        <f t="shared" ca="1" si="22"/>
        <v>0.20470071219280736</v>
      </c>
      <c r="I67" s="285">
        <f t="shared" ca="1" si="22"/>
        <v>0.20918280964522171</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0.90799999999999992</v>
      </c>
      <c r="E70" s="295">
        <f t="shared" ca="1" si="25"/>
        <v>0.93266874766378838</v>
      </c>
      <c r="F70" s="295">
        <f t="shared" ca="1" si="25"/>
        <v>1.3572253291399523</v>
      </c>
      <c r="G70" s="295">
        <f t="shared" ca="1" si="25"/>
        <v>1.3842278950845881</v>
      </c>
      <c r="H70" s="295">
        <f t="shared" ca="1" si="25"/>
        <v>1.4131831728999251</v>
      </c>
      <c r="I70" s="295">
        <f t="shared" ca="1" si="25"/>
        <v>1.4426336278671301</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6.6736637588968913E-3</v>
      </c>
      <c r="Q77" s="285">
        <f ca="1">IF($B77&lt;&gt;0,(+VLOOKUP($B77,$A$8:$I$13,6,FALSE))*(F77),0)</f>
        <v>1.285738593275179E-2</v>
      </c>
      <c r="R77" s="285">
        <f ca="1">IF($B77&lt;&gt;0,(+VLOOKUP($B77,$A$8:$I$13,7,FALSE))*(G77),0)</f>
        <v>1.8969926636137887E-2</v>
      </c>
      <c r="S77" s="285">
        <f ca="1">IF($B77&lt;&gt;0,(+VLOOKUP($B77,$A$8:$I$13,8,FALSE))*(H77),0)</f>
        <v>2.5601542367460293E-2</v>
      </c>
      <c r="T77" s="285">
        <f ca="1">IF($B77&lt;&gt;0,(+VLOOKUP($B77,$A$8:$I$13,9,FALSE))*(I77),0)</f>
        <v>3.1676152008576111E-2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3.1829874843705362E-5</v>
      </c>
      <c r="Q78" s="285">
        <f ca="1">IF($B78&lt;&gt;0,(+VLOOKUP($B78,$A$8:$I$13,6,FALSE))*(F78),0)</f>
        <v>6.1322985370835254E-5</v>
      </c>
      <c r="R78" s="285">
        <f ca="1">IF($B78&lt;&gt;0,(+VLOOKUP($B78,$A$8:$I$13,7,FALSE))*(G78),0)</f>
        <v>9.0476597628638586E-5</v>
      </c>
      <c r="S78" s="285">
        <f ca="1">IF($B78&lt;&gt;0,(+VLOOKUP($B78,$A$8:$I$13,8,FALSE))*(H78),0)</f>
        <v>1.2210592544098709E-4</v>
      </c>
      <c r="T78" s="285">
        <f ca="1">IF($B78&lt;&gt;0,(+VLOOKUP($B78,$A$8:$I$13,9,FALSE))*(I78),0)</f>
        <v>1.5107862643200053E-4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9.0184645390498541E-4</v>
      </c>
      <c r="Q79" s="285">
        <f t="shared" ref="Q79:Q80" ca="1" si="34">IF($B79&lt;&gt;0,(+VLOOKUP($B79,$A$8:$I$13,6,FALSE))*(F79),0)</f>
        <v>1.7374845855069989E-3</v>
      </c>
      <c r="R79" s="285">
        <f t="shared" ref="R79:R80" ca="1" si="35">IF($B79&lt;&gt;0,(+VLOOKUP($B79,$A$8:$I$13,7,FALSE))*(G79),0)</f>
        <v>2.5635035994780934E-3</v>
      </c>
      <c r="S79" s="285">
        <f t="shared" ref="S79:S80" ca="1" si="36">IF($B79&lt;&gt;0,(+VLOOKUP($B79,$A$8:$I$13,8,FALSE))*(H79),0)</f>
        <v>3.4596678874946342E-3</v>
      </c>
      <c r="T79" s="285">
        <f t="shared" ref="T79:T80" ca="1" si="37">IF($B79&lt;&gt;0,(+VLOOKUP($B79,$A$8:$I$13,9,FALSE))*(I79),0)</f>
        <v>4.2805610822400156E-3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2.026502031715908E-3</v>
      </c>
      <c r="Q80" s="285">
        <f t="shared" ca="1" si="34"/>
        <v>3.9042300686098442E-3</v>
      </c>
      <c r="R80" s="285">
        <f t="shared" ca="1" si="35"/>
        <v>5.7603433823566561E-3</v>
      </c>
      <c r="S80" s="285">
        <f t="shared" ca="1" si="36"/>
        <v>7.774077253076178E-3</v>
      </c>
      <c r="T80" s="285">
        <f t="shared" ca="1" si="37"/>
        <v>9.6186725495040343E-3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9.6338421193614895E-3</v>
      </c>
      <c r="Q83" s="292">
        <f t="shared" ca="1" si="51"/>
        <v>1.8560423572239471E-2</v>
      </c>
      <c r="R83" s="292">
        <f t="shared" ca="1" si="51"/>
        <v>2.7384250215601279E-2</v>
      </c>
      <c r="S83" s="292">
        <f t="shared" ca="1" si="51"/>
        <v>3.695739343347209E-2</v>
      </c>
      <c r="T83" s="292">
        <f t="shared" ca="1" si="51"/>
        <v>4.5726464266752163E-2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6.6736637588968913E-3</v>
      </c>
      <c r="F98" s="285">
        <f t="shared" ca="1" si="54"/>
        <v>1.285738593275179E-2</v>
      </c>
      <c r="G98" s="285">
        <f t="shared" ca="1" si="54"/>
        <v>1.8969926636137887E-2</v>
      </c>
      <c r="H98" s="285">
        <f t="shared" ca="1" si="54"/>
        <v>2.5601542367460293E-2</v>
      </c>
      <c r="I98" s="285">
        <f t="shared" ca="1" si="54"/>
        <v>3.1676152008576111E-2</v>
      </c>
    </row>
    <row r="99" spans="1:20" outlineLevel="1">
      <c r="A99" s="61" t="s">
        <v>69</v>
      </c>
      <c r="B99" s="119"/>
      <c r="C99" s="285">
        <f t="shared" ref="C99:I99" ca="1" si="55">+C9*(C87)</f>
        <v>0</v>
      </c>
      <c r="D99" s="285">
        <f t="shared" ca="1" si="55"/>
        <v>0</v>
      </c>
      <c r="E99" s="285">
        <f t="shared" ca="1" si="55"/>
        <v>3.1829874843705362E-5</v>
      </c>
      <c r="F99" s="285">
        <f t="shared" ca="1" si="55"/>
        <v>6.1322985370835254E-5</v>
      </c>
      <c r="G99" s="285">
        <f t="shared" ca="1" si="55"/>
        <v>9.0476597628638586E-5</v>
      </c>
      <c r="H99" s="285">
        <f t="shared" ca="1" si="55"/>
        <v>1.2210592544098709E-4</v>
      </c>
      <c r="I99" s="285">
        <f t="shared" ca="1" si="55"/>
        <v>1.5107862643200053E-4</v>
      </c>
    </row>
    <row r="100" spans="1:20" s="759" customFormat="1" outlineLevel="1">
      <c r="A100" s="61" t="s">
        <v>646</v>
      </c>
      <c r="B100" s="119"/>
      <c r="C100" s="285">
        <f t="shared" ref="C100:I100" ca="1" si="56">+C10*(C88)</f>
        <v>0</v>
      </c>
      <c r="D100" s="285">
        <f t="shared" ca="1" si="56"/>
        <v>0</v>
      </c>
      <c r="E100" s="285">
        <f t="shared" ca="1" si="56"/>
        <v>9.0184645390498541E-4</v>
      </c>
      <c r="F100" s="285">
        <f t="shared" ca="1" si="56"/>
        <v>1.7374845855069989E-3</v>
      </c>
      <c r="G100" s="285">
        <f t="shared" ca="1" si="56"/>
        <v>2.5635035994780934E-3</v>
      </c>
      <c r="H100" s="285">
        <f t="shared" ca="1" si="56"/>
        <v>3.4596678874946342E-3</v>
      </c>
      <c r="I100" s="285">
        <f t="shared" ca="1" si="56"/>
        <v>4.2805610822400156E-3</v>
      </c>
    </row>
    <row r="101" spans="1:20" outlineLevel="1">
      <c r="A101" s="61" t="s">
        <v>647</v>
      </c>
      <c r="B101" s="119"/>
      <c r="C101" s="285">
        <f t="shared" ref="C101:I101" ca="1" si="57">+C11*(C89)</f>
        <v>0</v>
      </c>
      <c r="D101" s="285">
        <f t="shared" ca="1" si="57"/>
        <v>0</v>
      </c>
      <c r="E101" s="285">
        <f t="shared" ca="1" si="57"/>
        <v>2.026502031715908E-3</v>
      </c>
      <c r="F101" s="285">
        <f t="shared" ca="1" si="57"/>
        <v>3.9042300686098442E-3</v>
      </c>
      <c r="G101" s="285">
        <f t="shared" ca="1" si="57"/>
        <v>5.7603433823566561E-3</v>
      </c>
      <c r="H101" s="285">
        <f t="shared" ca="1" si="57"/>
        <v>7.774077253076178E-3</v>
      </c>
      <c r="I101" s="285">
        <f t="shared" ca="1" si="57"/>
        <v>9.6186725495040343E-3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9.6338421193614895E-3</v>
      </c>
      <c r="F104" s="296">
        <f t="shared" ca="1" si="60"/>
        <v>1.8560423572239471E-2</v>
      </c>
      <c r="G104" s="296">
        <f t="shared" ca="1" si="60"/>
        <v>2.7384250215601279E-2</v>
      </c>
      <c r="H104" s="296">
        <f t="shared" ca="1" si="60"/>
        <v>3.695739343347209E-2</v>
      </c>
      <c r="I104" s="296">
        <f t="shared" ca="1" si="60"/>
        <v>4.5726464266752163E-2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1.4189926278470546E-2</v>
      </c>
      <c r="G105" s="124">
        <f t="shared" ca="1" si="61"/>
        <v>2.0935971112845016E-2</v>
      </c>
      <c r="H105" s="124">
        <f t="shared" ca="1" si="61"/>
        <v>2.8254887946079582E-2</v>
      </c>
      <c r="I105" s="124">
        <f t="shared" ca="1" si="61"/>
        <v>3.4959070540330407E-2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1.3640263801998663E-2</v>
      </c>
      <c r="Q113" s="285">
        <f ca="1">IF($B113&lt;&gt;0,(+VLOOKUP($B113,$A$8:$I$13,6,FALSE)+VLOOKUP($B113,$A$42:$I$47,6,FALSE))*(F113),0)</f>
        <v>2.784144737830551E-2</v>
      </c>
      <c r="R113" s="285">
        <f ca="1">IF($B113&lt;&gt;0,(+VLOOKUP($B113,$A$8:$I$13,7,FALSE)+VLOOKUP($B113,$A$42:$I$47,7,FALSE))*(G113),0)</f>
        <v>4.3408730561063799E-2</v>
      </c>
      <c r="S113" s="285">
        <f ca="1">IF($B113&lt;&gt;0,(+VLOOKUP($B113,$A$8:$I$13,8,FALSE)+VLOOKUP($B113,$A$42:$I$47,8,FALSE))*(H113),0)</f>
        <v>5.9661636831030103E-2</v>
      </c>
      <c r="T113" s="285">
        <f ca="1">IF($B113&lt;&gt;0,(+VLOOKUP($B113,$A$8:$I$13,9,FALSE)+VLOOKUP($B113,$A$42:$I$47,9,FALSE))*(I113),0)</f>
        <v>7.6531761304995394E-2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4.2950923226951581E-4</v>
      </c>
      <c r="Q115" s="285">
        <f t="shared" ca="1" si="68"/>
        <v>8.6954328296968422E-4</v>
      </c>
      <c r="R115" s="285">
        <f t="shared" ca="1" si="69"/>
        <v>1.6737960730922911E-3</v>
      </c>
      <c r="S115" s="285">
        <f t="shared" ca="1" si="70"/>
        <v>2.6375076956918842E-3</v>
      </c>
      <c r="T115" s="285">
        <f t="shared" ca="1" si="71"/>
        <v>3.8112651996649277E-3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9.6513251015855901E-4</v>
      </c>
      <c r="Q116" s="285">
        <f t="shared" ca="1" si="68"/>
        <v>1.953914906437761E-3</v>
      </c>
      <c r="R116" s="285">
        <f t="shared" ca="1" si="69"/>
        <v>3.7611182348309129E-3</v>
      </c>
      <c r="S116" s="285">
        <f t="shared" ca="1" si="70"/>
        <v>5.9266349397311749E-3</v>
      </c>
      <c r="T116" s="285">
        <f t="shared" ca="1" si="71"/>
        <v>8.5641370957176607E-3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1.5034905544426738E-2</v>
      </c>
      <c r="Q119" s="292">
        <f t="shared" ca="1" si="72"/>
        <v>3.0664905567712952E-2</v>
      </c>
      <c r="R119" s="292">
        <f t="shared" ca="1" si="72"/>
        <v>4.8843644868987006E-2</v>
      </c>
      <c r="S119" s="292">
        <f t="shared" ca="1" si="72"/>
        <v>6.8225779466453168E-2</v>
      </c>
      <c r="T119" s="292">
        <f t="shared" ca="1" si="72"/>
        <v>8.8907163600377981E-2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1.3640263801998663E-2</v>
      </c>
      <c r="F134" s="285">
        <f t="shared" ca="1" si="75"/>
        <v>2.784144737830551E-2</v>
      </c>
      <c r="G134" s="285">
        <f t="shared" ca="1" si="75"/>
        <v>4.3408730561063799E-2</v>
      </c>
      <c r="H134" s="285">
        <f t="shared" ca="1" si="75"/>
        <v>5.9661636831030103E-2</v>
      </c>
      <c r="I134" s="285">
        <f t="shared" ca="1" si="75"/>
        <v>7.6531761304995394E-2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4.2950923226951581E-4</v>
      </c>
      <c r="F136" s="285">
        <f t="shared" ca="1" si="77"/>
        <v>8.6954328296968422E-4</v>
      </c>
      <c r="G136" s="285">
        <f t="shared" ca="1" si="77"/>
        <v>1.6737960730922911E-3</v>
      </c>
      <c r="H136" s="285">
        <f t="shared" ca="1" si="77"/>
        <v>2.6375076956918842E-3</v>
      </c>
      <c r="I136" s="285">
        <f t="shared" ca="1" si="77"/>
        <v>3.8112651996649277E-3</v>
      </c>
    </row>
    <row r="137" spans="1:16" outlineLevel="1">
      <c r="A137" s="61" t="s">
        <v>647</v>
      </c>
      <c r="B137" s="119"/>
      <c r="C137" s="285">
        <f ca="1">(+C11+C45)*(C$125)</f>
        <v>0</v>
      </c>
      <c r="D137" s="285">
        <f t="shared" ref="D137:I137" ca="1" si="78">(+D11+D45)*(D$125)</f>
        <v>0</v>
      </c>
      <c r="E137" s="285">
        <f t="shared" ca="1" si="78"/>
        <v>9.6513251015855901E-4</v>
      </c>
      <c r="F137" s="285">
        <f t="shared" ca="1" si="78"/>
        <v>1.953914906437761E-3</v>
      </c>
      <c r="G137" s="285">
        <f t="shared" ca="1" si="78"/>
        <v>3.7611182348309129E-3</v>
      </c>
      <c r="H137" s="285">
        <f t="shared" ca="1" si="78"/>
        <v>5.9266349397311749E-3</v>
      </c>
      <c r="I137" s="285">
        <f t="shared" ca="1" si="78"/>
        <v>8.5641370957176607E-3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1.5034905544426738E-2</v>
      </c>
      <c r="F140" s="296">
        <f t="shared" ca="1" si="81"/>
        <v>3.0664905567712952E-2</v>
      </c>
      <c r="G140" s="296">
        <f t="shared" ca="1" si="81"/>
        <v>4.8843644868987006E-2</v>
      </c>
      <c r="H140" s="296">
        <f t="shared" ca="1" si="81"/>
        <v>6.8225779466453168E-2</v>
      </c>
      <c r="I140" s="296">
        <f t="shared" ca="1" si="81"/>
        <v>8.8907163600377981E-2</v>
      </c>
    </row>
    <row r="141" spans="1:16" ht="13.5" outlineLevel="1" thickBot="1">
      <c r="A141" s="122" t="s">
        <v>148</v>
      </c>
      <c r="B141" s="126"/>
      <c r="C141" s="124">
        <f t="shared" ref="C141:I141" ca="1" si="82">IF((+C36+C48)&lt;&gt;0,+C140/(+C36+C48),0)</f>
        <v>0</v>
      </c>
      <c r="D141" s="124">
        <f t="shared" ca="1" si="82"/>
        <v>0</v>
      </c>
      <c r="E141" s="124">
        <f t="shared" ca="1" si="82"/>
        <v>1.6384427921383341E-2</v>
      </c>
      <c r="F141" s="124">
        <f t="shared" ca="1" si="82"/>
        <v>2.311610162855357E-2</v>
      </c>
      <c r="G141" s="124">
        <f t="shared" ca="1" si="82"/>
        <v>3.657647217353438E-2</v>
      </c>
      <c r="H141" s="124">
        <f t="shared" ca="1" si="82"/>
        <v>5.0727093512072614E-2</v>
      </c>
      <c r="I141" s="124">
        <f t="shared" ca="1" si="82"/>
        <v>6.5675870234637612E-2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0.4</v>
      </c>
      <c r="G149" s="285">
        <f t="shared" si="84"/>
        <v>0.4</v>
      </c>
      <c r="H149" s="285">
        <f t="shared" si="84"/>
        <v>0.4</v>
      </c>
      <c r="I149" s="285">
        <f t="shared" si="84"/>
        <v>0.4</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0.4</v>
      </c>
      <c r="G155" s="296">
        <f t="shared" si="86"/>
        <v>0.4</v>
      </c>
      <c r="H155" s="296">
        <f t="shared" si="86"/>
        <v>0.4</v>
      </c>
      <c r="I155" s="296">
        <f t="shared" si="86"/>
        <v>0.4</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0.4</v>
      </c>
      <c r="G160" s="285">
        <f t="shared" ca="1" si="88"/>
        <v>0.4</v>
      </c>
      <c r="H160" s="285">
        <f t="shared" ca="1" si="88"/>
        <v>0.4</v>
      </c>
      <c r="I160" s="285">
        <f t="shared" ca="1" si="88"/>
        <v>0.4</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0.4</v>
      </c>
      <c r="G170" s="296">
        <f t="shared" ca="1" si="93"/>
        <v>0.4</v>
      </c>
      <c r="H170" s="296">
        <f t="shared" ca="1" si="93"/>
        <v>0.4</v>
      </c>
      <c r="I170" s="296">
        <f t="shared" ca="1" si="93"/>
        <v>0.4</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(SEM)'!$N$304:$R$309</f>
        <v>0</v>
      </c>
      <c r="F185" s="285">
        <v>0.4</v>
      </c>
      <c r="G185" s="285">
        <v>0.4</v>
      </c>
      <c r="H185" s="285">
        <v>0.4</v>
      </c>
      <c r="I185" s="285">
        <v>0.4</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0.4</v>
      </c>
      <c r="G191" s="296">
        <f t="shared" si="94"/>
        <v>0.4</v>
      </c>
      <c r="H191" s="296">
        <f t="shared" si="94"/>
        <v>0.4</v>
      </c>
      <c r="I191" s="296">
        <f t="shared" si="94"/>
        <v>0.4</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0.90799999999999992</v>
      </c>
      <c r="E205" s="82">
        <f t="shared" ca="1" si="95"/>
        <v>0.90799999999999992</v>
      </c>
      <c r="F205" s="82">
        <f t="shared" ca="1" si="95"/>
        <v>0.90799999999999992</v>
      </c>
      <c r="G205" s="82">
        <f t="shared" ca="1" si="95"/>
        <v>0.90799999999999992</v>
      </c>
      <c r="H205" s="82">
        <f t="shared" ca="1" si="95"/>
        <v>0.90799999999999992</v>
      </c>
      <c r="I205" s="82">
        <f t="shared" ca="1" si="95"/>
        <v>0.90799999999999992</v>
      </c>
    </row>
    <row r="206" spans="1:9" outlineLevel="1">
      <c r="A206" t="s">
        <v>156</v>
      </c>
      <c r="B206" s="82">
        <f t="shared" ref="B206:I206" ca="1" si="96">+B36</f>
        <v>0</v>
      </c>
      <c r="C206" s="82">
        <f t="shared" ca="1" si="96"/>
        <v>0</v>
      </c>
      <c r="D206" s="82">
        <f t="shared" ca="1" si="96"/>
        <v>0.90799999999999992</v>
      </c>
      <c r="E206" s="82">
        <f t="shared" ca="1" si="96"/>
        <v>0.90799999999999992</v>
      </c>
      <c r="F206" s="82">
        <f t="shared" ca="1" si="96"/>
        <v>1.3079999999999998</v>
      </c>
      <c r="G206" s="82">
        <f t="shared" ca="1" si="96"/>
        <v>1.3079999999999998</v>
      </c>
      <c r="H206" s="82">
        <f t="shared" ca="1" si="96"/>
        <v>1.3079999999999998</v>
      </c>
      <c r="I206" s="82">
        <f t="shared" ca="1" si="96"/>
        <v>1.3079999999999998</v>
      </c>
    </row>
    <row r="207" spans="1:9" outlineLevel="1">
      <c r="A207" t="s">
        <v>157</v>
      </c>
      <c r="B207" s="82">
        <f t="shared" ref="B207:I207" ca="1" si="97">+B36+B48</f>
        <v>0</v>
      </c>
      <c r="C207" s="82">
        <f t="shared" ca="1" si="97"/>
        <v>0</v>
      </c>
      <c r="D207" s="82">
        <f t="shared" ca="1" si="97"/>
        <v>0.90799999999999992</v>
      </c>
      <c r="E207" s="82">
        <f t="shared" ca="1" si="97"/>
        <v>0.91763384211936139</v>
      </c>
      <c r="F207" s="82">
        <f t="shared" ca="1" si="97"/>
        <v>1.3265604235722392</v>
      </c>
      <c r="G207" s="82">
        <f t="shared" ca="1" si="97"/>
        <v>1.335384250215601</v>
      </c>
      <c r="H207" s="82">
        <f t="shared" ca="1" si="97"/>
        <v>1.344957393433472</v>
      </c>
      <c r="I207" s="82">
        <f t="shared" ca="1" si="97"/>
        <v>1.3537264642667519</v>
      </c>
    </row>
    <row r="208" spans="1:9" outlineLevel="1">
      <c r="A208" t="s">
        <v>158</v>
      </c>
      <c r="B208" s="82">
        <f t="shared" ref="B208:I208" ca="1" si="98">+B70</f>
        <v>0</v>
      </c>
      <c r="C208" s="82">
        <f t="shared" ca="1" si="98"/>
        <v>0</v>
      </c>
      <c r="D208" s="82">
        <f t="shared" ca="1" si="98"/>
        <v>0.90799999999999992</v>
      </c>
      <c r="E208" s="82">
        <f t="shared" ca="1" si="98"/>
        <v>0.93266874766378838</v>
      </c>
      <c r="F208" s="82">
        <f t="shared" ca="1" si="98"/>
        <v>1.3572253291399523</v>
      </c>
      <c r="G208" s="82">
        <f t="shared" ca="1" si="98"/>
        <v>1.3842278950845881</v>
      </c>
      <c r="H208" s="82">
        <f t="shared" ca="1" si="98"/>
        <v>1.4131831728999251</v>
      </c>
      <c r="I208" s="82">
        <f t="shared" ca="1" si="98"/>
        <v>1.4426336278671301</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15" priority="1" stopIfTrue="1" operator="notEqual">
      <formula>0</formula>
    </cfRule>
  </conditionalFormatting>
  <conditionalFormatting sqref="J130 J94 J70 J59 J48 J36:J37 J14 J25">
    <cfRule type="cellIs" dxfId="214" priority="2" stopIfTrue="1" operator="equal">
      <formula>"OK"</formula>
    </cfRule>
    <cfRule type="cellIs" dxfId="213" priority="3" stopIfTrue="1" operator="equal">
      <formula>"Warning Check Escalations"</formula>
    </cfRule>
  </conditionalFormatting>
  <conditionalFormatting sqref="N120:T120 N84:T84">
    <cfRule type="cellIs" dxfId="212" priority="4" stopIfTrue="1" operator="notEqual">
      <formula>0</formula>
    </cfRule>
    <cfRule type="cellIs" dxfId="21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8.xml><?xml version="1.0" encoding="utf-8"?>
<worksheet xmlns="http://schemas.openxmlformats.org/spreadsheetml/2006/main" xmlns:r="http://schemas.openxmlformats.org/officeDocument/2006/relationships">
  <sheetPr codeName="Sheet91" enableFormatConditionsCalculation="0">
    <tabColor indexed="57"/>
    <pageSetUpPr fitToPage="1"/>
  </sheetPr>
  <dimension ref="A1:T239"/>
  <sheetViews>
    <sheetView showGridLines="0" topLeftCell="A68"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35</v>
      </c>
      <c r="M1" s="282"/>
      <c r="N1" s="280"/>
      <c r="O1" s="280"/>
      <c r="P1" s="280"/>
      <c r="Q1" s="280"/>
      <c r="R1" s="280"/>
      <c r="S1" s="280"/>
      <c r="T1" s="280"/>
    </row>
    <row r="2" spans="1:20" ht="15.75">
      <c r="A2" s="184" t="s">
        <v>121</v>
      </c>
      <c r="B2" s="74" t="str">
        <f ca="1">OFFSET(List_AllocOpexListStart,+$K$1,1)</f>
        <v>Works Coordination</v>
      </c>
      <c r="F2" s="284"/>
      <c r="H2" s="42"/>
      <c r="I2" s="283"/>
      <c r="L2" s="282"/>
      <c r="M2" s="282"/>
    </row>
    <row r="3" spans="1:20" ht="16.5" thickBot="1">
      <c r="A3" s="184" t="s">
        <v>371</v>
      </c>
      <c r="B3" s="236" t="str">
        <f ca="1">OFFSET(List_AllocOpexListStart,+$K$1,2)</f>
        <v>Ian Rogers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2.8559999999999999</v>
      </c>
      <c r="E8" s="285">
        <f ca="1">OFFSET(Future_AOpexStart,MATCH($K$1,'I-6 Future A'!$A$6:$A$379)+2,+'I-5 Future DA'!F$5)</f>
        <v>2.8559999999999999</v>
      </c>
      <c r="F8" s="285">
        <f ca="1">OFFSET(Future_AOpexStart,MATCH($K$1,'I-6 Future A'!$A$6:$A$379)+2,+'I-5 Future DA'!G$5)</f>
        <v>2.8559999999999999</v>
      </c>
      <c r="G8" s="285">
        <f ca="1">OFFSET(Future_AOpexStart,MATCH($K$1,'I-6 Future A'!$A$6:$A$379)+2,+'I-5 Future DA'!H$5)</f>
        <v>2.8559999999999999</v>
      </c>
      <c r="H8" s="285">
        <f ca="1">OFFSET(Future_AOpexStart,MATCH($K$1,'I-6 Future A'!$A$6:$A$379)+2,+'I-5 Future DA'!I$5)</f>
        <v>2.8559999999999999</v>
      </c>
      <c r="I8" s="285">
        <f ca="1">OFFSET(Future_AOpexStart,MATCH($K$1,'I-6 Future A'!$A$6:$A$379)+2,+'I-5 Future DA'!J$5)</f>
        <v>2.8559999999999999</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1.6E-2</v>
      </c>
      <c r="E9" s="285">
        <f ca="1">OFFSET(Future_AOpexStart,MATCH($K$1,'I-6 Future A'!$A$6:$A$379)+3,+'I-5 Future DA'!F$5)</f>
        <v>1.6E-2</v>
      </c>
      <c r="F9" s="285">
        <f ca="1">OFFSET(Future_AOpexStart,MATCH($K$1,'I-6 Future A'!$A$6:$A$379)+3,+'I-5 Future DA'!G$5)</f>
        <v>1.6E-2</v>
      </c>
      <c r="G9" s="285">
        <f ca="1">OFFSET(Future_AOpexStart,MATCH($K$1,'I-6 Future A'!$A$6:$A$379)+3,+'I-5 Future DA'!H$5)</f>
        <v>1.6E-2</v>
      </c>
      <c r="H9" s="285">
        <f ca="1">OFFSET(Future_AOpexStart,MATCH($K$1,'I-6 Future A'!$A$6:$A$379)+3,+'I-5 Future DA'!I$5)</f>
        <v>1.6E-2</v>
      </c>
      <c r="I9" s="285">
        <f ca="1">OFFSET(Future_AOpexStart,MATCH($K$1,'I-6 Future A'!$A$6:$A$379)+3,+'I-5 Future DA'!J$5)</f>
        <v>1.6E-2</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9.2999999999999999E-2</v>
      </c>
      <c r="E11" s="285">
        <f ca="1">OFFSET(Future_AOpexStart,MATCH($K$1,'I-6 Future A'!$A$6:$A$379)+5,+'I-5 Future DA'!F$5)</f>
        <v>9.2999999999999999E-2</v>
      </c>
      <c r="F11" s="285">
        <f ca="1">OFFSET(Future_AOpexStart,MATCH($K$1,'I-6 Future A'!$A$6:$A$379)+5,+'I-5 Future DA'!G$5)</f>
        <v>9.2999999999999999E-2</v>
      </c>
      <c r="G11" s="285">
        <f ca="1">OFFSET(Future_AOpexStart,MATCH($K$1,'I-6 Future A'!$A$6:$A$379)+5,+'I-5 Future DA'!H$5)</f>
        <v>9.2999999999999999E-2</v>
      </c>
      <c r="H11" s="285">
        <f ca="1">OFFSET(Future_AOpexStart,MATCH($K$1,'I-6 Future A'!$A$6:$A$379)+5,+'I-5 Future DA'!I$5)</f>
        <v>9.2999999999999999E-2</v>
      </c>
      <c r="I11" s="285">
        <f ca="1">OFFSET(Future_AOpexStart,MATCH($K$1,'I-6 Future A'!$A$6:$A$379)+5,+'I-5 Future DA'!J$5)</f>
        <v>9.2999999999999999E-2</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2.9649999999999999</v>
      </c>
      <c r="E14" s="287">
        <f t="shared" ca="1" si="0"/>
        <v>2.9649999999999999</v>
      </c>
      <c r="F14" s="287">
        <f t="shared" ca="1" si="0"/>
        <v>2.9649999999999999</v>
      </c>
      <c r="G14" s="287">
        <f t="shared" ca="1" si="0"/>
        <v>2.9649999999999999</v>
      </c>
      <c r="H14" s="287">
        <f t="shared" ca="1" si="0"/>
        <v>2.9649999999999999</v>
      </c>
      <c r="I14" s="287">
        <f t="shared" ca="1" si="0"/>
        <v>2.9649999999999999</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+'A-35'!B8+'A-35'!B19</f>
        <v>0</v>
      </c>
      <c r="C30" s="285">
        <f ca="1">+'A-35'!C8+'A-35'!C19</f>
        <v>0</v>
      </c>
      <c r="D30" s="285">
        <f ca="1">+'A-35'!D8+'A-35'!D19</f>
        <v>2.8559999999999999</v>
      </c>
      <c r="E30" s="285">
        <f ca="1">+'A-35'!E8+'A-35'!E19</f>
        <v>2.8559999999999999</v>
      </c>
      <c r="F30" s="285">
        <f ca="1">+'A-35'!F8+'A-35'!F19</f>
        <v>2.8559999999999999</v>
      </c>
      <c r="G30" s="285">
        <f ca="1">+'A-35'!G8+'A-35'!G19</f>
        <v>2.8559999999999999</v>
      </c>
      <c r="H30" s="285">
        <f ca="1">+'A-35'!H8+'A-35'!H19</f>
        <v>2.8559999999999999</v>
      </c>
      <c r="I30" s="285">
        <f ca="1">+'A-35'!I8+'A-35'!I19</f>
        <v>2.8559999999999999</v>
      </c>
      <c r="J30" s="42"/>
      <c r="K30" s="21"/>
      <c r="L30" s="21"/>
    </row>
    <row r="31" spans="1:12" outlineLevel="2">
      <c r="A31" s="61" t="s">
        <v>69</v>
      </c>
      <c r="B31" s="285">
        <f ca="1">+'A-35'!B9+'A-35'!B20</f>
        <v>0</v>
      </c>
      <c r="C31" s="285">
        <f ca="1">+'A-35'!C9+'A-35'!C20</f>
        <v>0</v>
      </c>
      <c r="D31" s="285">
        <f ca="1">+'A-35'!D9+'A-35'!D20</f>
        <v>1.6E-2</v>
      </c>
      <c r="E31" s="285">
        <f ca="1">+'A-35'!E9+'A-35'!E20</f>
        <v>1.6E-2</v>
      </c>
      <c r="F31" s="285">
        <f ca="1">+'A-35'!F9+'A-35'!F20</f>
        <v>1.6E-2</v>
      </c>
      <c r="G31" s="285">
        <f ca="1">+'A-35'!G9+'A-35'!G20</f>
        <v>1.6E-2</v>
      </c>
      <c r="H31" s="285">
        <f ca="1">+'A-35'!H9+'A-35'!H20</f>
        <v>1.6E-2</v>
      </c>
      <c r="I31" s="285">
        <f ca="1">+'A-35'!I9+'A-35'!I20</f>
        <v>1.6E-2</v>
      </c>
      <c r="J31" s="42"/>
      <c r="K31" s="21"/>
      <c r="L31" s="21"/>
    </row>
    <row r="32" spans="1:12" s="759" customFormat="1" outlineLevel="2">
      <c r="A32" s="61" t="s">
        <v>646</v>
      </c>
      <c r="B32" s="285">
        <f ca="1">+'A-35'!B10+'A-35'!B21</f>
        <v>0</v>
      </c>
      <c r="C32" s="285">
        <f ca="1">+'A-35'!C10+'A-35'!C21</f>
        <v>0</v>
      </c>
      <c r="D32" s="285">
        <f ca="1">+'A-35'!D10+'A-35'!D21</f>
        <v>0</v>
      </c>
      <c r="E32" s="285">
        <f ca="1">+'A-35'!E10+'A-35'!E21</f>
        <v>0</v>
      </c>
      <c r="F32" s="285">
        <f ca="1">+'A-35'!F10+'A-35'!F21</f>
        <v>0</v>
      </c>
      <c r="G32" s="285">
        <f ca="1">+'A-35'!G10+'A-35'!G21</f>
        <v>0</v>
      </c>
      <c r="H32" s="285">
        <f ca="1">+'A-35'!H10+'A-35'!H21</f>
        <v>0</v>
      </c>
      <c r="I32" s="285">
        <f ca="1">+'A-35'!I10+'A-35'!I21</f>
        <v>0</v>
      </c>
      <c r="J32" s="42"/>
      <c r="K32" s="732"/>
      <c r="L32" s="732"/>
    </row>
    <row r="33" spans="1:12" outlineLevel="2">
      <c r="A33" s="61" t="s">
        <v>647</v>
      </c>
      <c r="B33" s="285">
        <f ca="1">+'A-35'!B11+'A-35'!B22</f>
        <v>0</v>
      </c>
      <c r="C33" s="285">
        <f ca="1">+'A-35'!C11+'A-35'!C22</f>
        <v>0</v>
      </c>
      <c r="D33" s="285">
        <f ca="1">+'A-35'!D11+'A-35'!D22</f>
        <v>9.2999999999999999E-2</v>
      </c>
      <c r="E33" s="285">
        <f ca="1">+'A-35'!E11+'A-35'!E22</f>
        <v>9.2999999999999999E-2</v>
      </c>
      <c r="F33" s="285">
        <f ca="1">+'A-35'!F11+'A-35'!F22</f>
        <v>9.2999999999999999E-2</v>
      </c>
      <c r="G33" s="285">
        <f ca="1">+'A-35'!G11+'A-35'!G22</f>
        <v>9.2999999999999999E-2</v>
      </c>
      <c r="H33" s="285">
        <f ca="1">+'A-35'!H11+'A-35'!H22</f>
        <v>9.2999999999999999E-2</v>
      </c>
      <c r="I33" s="285">
        <f ca="1">+'A-35'!I11+'A-35'!I22</f>
        <v>9.2999999999999999E-2</v>
      </c>
      <c r="J33" s="42"/>
      <c r="K33" s="21"/>
      <c r="L33" s="21"/>
    </row>
    <row r="34" spans="1:12" s="759" customFormat="1" outlineLevel="2">
      <c r="A34" s="61" t="s">
        <v>575</v>
      </c>
      <c r="B34" s="285">
        <f ca="1">+'A-35'!B12+'A-35'!B23</f>
        <v>0</v>
      </c>
      <c r="C34" s="285">
        <f ca="1">+'A-35'!C12+'A-35'!C23</f>
        <v>0</v>
      </c>
      <c r="D34" s="285">
        <f ca="1">+'A-35'!D12+'A-35'!D23</f>
        <v>0</v>
      </c>
      <c r="E34" s="285">
        <f ca="1">+'A-35'!E12+'A-35'!E23</f>
        <v>0</v>
      </c>
      <c r="F34" s="285">
        <f ca="1">+'A-35'!F12+'A-35'!F23</f>
        <v>0</v>
      </c>
      <c r="G34" s="285">
        <f ca="1">+'A-35'!G12+'A-35'!G23</f>
        <v>0</v>
      </c>
      <c r="H34" s="285">
        <f ca="1">+'A-35'!H12+'A-35'!H23</f>
        <v>0</v>
      </c>
      <c r="I34" s="285">
        <f ca="1">+'A-35'!I12+'A-35'!I23</f>
        <v>0</v>
      </c>
      <c r="J34" s="42"/>
      <c r="K34" s="732"/>
      <c r="L34" s="732"/>
    </row>
    <row r="35" spans="1:12" ht="13.5" outlineLevel="2" thickBot="1">
      <c r="A35" s="83" t="s">
        <v>70</v>
      </c>
      <c r="B35" s="285">
        <f ca="1">+'A-35'!B13+'A-35'!B24</f>
        <v>0</v>
      </c>
      <c r="C35" s="285">
        <f ca="1">+'A-35'!C13+'A-35'!C24</f>
        <v>0</v>
      </c>
      <c r="D35" s="285">
        <f ca="1">+'A-35'!D13+'A-35'!D24</f>
        <v>0</v>
      </c>
      <c r="E35" s="285">
        <f ca="1">+'A-35'!E13+'A-35'!E24</f>
        <v>0</v>
      </c>
      <c r="F35" s="285">
        <f ca="1">+'A-35'!F13+'A-35'!F24</f>
        <v>0</v>
      </c>
      <c r="G35" s="285">
        <f ca="1">+'A-35'!G13+'A-35'!G24</f>
        <v>0</v>
      </c>
      <c r="H35" s="285">
        <f ca="1">+'A-35'!H13+'A-35'!H24</f>
        <v>0</v>
      </c>
      <c r="I35" s="285">
        <f ca="1">+'A-35'!I13+'A-35'!I24</f>
        <v>0</v>
      </c>
      <c r="J35" s="93"/>
      <c r="K35" s="21"/>
      <c r="L35" s="21"/>
    </row>
    <row r="36" spans="1:12" s="87" customFormat="1" ht="20.25" customHeight="1" thickBot="1">
      <c r="A36" s="94" t="s">
        <v>128</v>
      </c>
      <c r="B36" s="294">
        <f t="shared" ref="B36:I36" ca="1" si="7">SUM(B30:B35)</f>
        <v>0</v>
      </c>
      <c r="C36" s="294">
        <f t="shared" ca="1" si="7"/>
        <v>0</v>
      </c>
      <c r="D36" s="294">
        <f t="shared" ca="1" si="7"/>
        <v>2.9649999999999999</v>
      </c>
      <c r="E36" s="294">
        <f t="shared" ca="1" si="7"/>
        <v>2.9649999999999999</v>
      </c>
      <c r="F36" s="294">
        <f t="shared" ca="1" si="7"/>
        <v>2.9649999999999999</v>
      </c>
      <c r="G36" s="294">
        <f t="shared" ca="1" si="7"/>
        <v>2.9649999999999999</v>
      </c>
      <c r="H36" s="294">
        <f t="shared" ca="1" si="7"/>
        <v>2.9649999999999999</v>
      </c>
      <c r="I36" s="294">
        <f t="shared" ca="1" si="7"/>
        <v>2.9649999999999999</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3.0302040851207506E-2</v>
      </c>
      <c r="F42" s="285">
        <f t="shared" ca="1" si="8"/>
        <v>5.8379482073035151E-2</v>
      </c>
      <c r="G42" s="285">
        <f t="shared" ca="1" si="8"/>
        <v>8.6133720942463923E-2</v>
      </c>
      <c r="H42" s="285">
        <f t="shared" ca="1" si="8"/>
        <v>0.1162448410198197</v>
      </c>
      <c r="I42" s="285">
        <f t="shared" ca="1" si="8"/>
        <v>0.14382685236326451</v>
      </c>
      <c r="K42" s="63"/>
      <c r="L42" s="63"/>
    </row>
    <row r="43" spans="1:12" outlineLevel="1">
      <c r="A43" s="61" t="s">
        <v>69</v>
      </c>
      <c r="B43" s="82"/>
      <c r="C43" s="285">
        <f t="shared" ca="1" si="8"/>
        <v>0</v>
      </c>
      <c r="D43" s="285">
        <f t="shared" ca="1" si="8"/>
        <v>0</v>
      </c>
      <c r="E43" s="285">
        <f t="shared" ca="1" si="8"/>
        <v>1.6975933249976195E-4</v>
      </c>
      <c r="F43" s="285">
        <f t="shared" ca="1" si="8"/>
        <v>3.2705592197778798E-4</v>
      </c>
      <c r="G43" s="285">
        <f t="shared" ca="1" si="8"/>
        <v>4.8254185401940577E-4</v>
      </c>
      <c r="H43" s="285">
        <f t="shared" ca="1" si="8"/>
        <v>6.5123160235193108E-4</v>
      </c>
      <c r="I43" s="285">
        <f t="shared" ca="1" si="8"/>
        <v>8.057526743040029E-4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9.8672612015486636E-4</v>
      </c>
      <c r="F45" s="285">
        <f t="shared" ca="1" si="10"/>
        <v>1.9010125464958927E-3</v>
      </c>
      <c r="G45" s="285">
        <f t="shared" ca="1" si="10"/>
        <v>2.804774526487796E-3</v>
      </c>
      <c r="H45" s="285">
        <f t="shared" ca="1" si="10"/>
        <v>3.7852836886705997E-3</v>
      </c>
      <c r="I45" s="285">
        <f t="shared" ca="1" si="10"/>
        <v>4.6834374193920171E-3</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3.1458526303862137E-2</v>
      </c>
      <c r="F48" s="294">
        <f t="shared" ca="1" si="13"/>
        <v>6.0607550541508827E-2</v>
      </c>
      <c r="G48" s="294">
        <f t="shared" ca="1" si="13"/>
        <v>8.9421037322971117E-2</v>
      </c>
      <c r="H48" s="294">
        <f t="shared" ca="1" si="13"/>
        <v>0.12068135631084223</v>
      </c>
      <c r="I48" s="294">
        <f t="shared" ca="1" si="13"/>
        <v>0.14931604245696051</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6.1934170776642573E-2</v>
      </c>
      <c r="F53" s="285">
        <f t="shared" ca="1" si="14"/>
        <v>0.1264152205285223</v>
      </c>
      <c r="G53" s="285">
        <f t="shared" ca="1" si="14"/>
        <v>0.19709910092591129</v>
      </c>
      <c r="H53" s="285">
        <f t="shared" ca="1" si="14"/>
        <v>0.27089608074629884</v>
      </c>
      <c r="I53" s="285">
        <f t="shared" ca="1" si="14"/>
        <v>0.34749556484430344</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4.6993363060076433E-4</v>
      </c>
      <c r="F56" s="285">
        <f t="shared" ca="1" si="16"/>
        <v>9.5138265077859558E-4</v>
      </c>
      <c r="G56" s="285">
        <f t="shared" ca="1" si="16"/>
        <v>1.8313298211480361E-3</v>
      </c>
      <c r="H56" s="285">
        <f t="shared" ca="1" si="16"/>
        <v>2.8857437141099436E-3</v>
      </c>
      <c r="I56" s="285">
        <f t="shared" ca="1" si="16"/>
        <v>4.1699725125745679E-3</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6.2404104407243338E-2</v>
      </c>
      <c r="F59" s="287">
        <f t="shared" ca="1" si="19"/>
        <v>0.1273666031793009</v>
      </c>
      <c r="G59" s="287">
        <f t="shared" ca="1" si="19"/>
        <v>0.19893043074705932</v>
      </c>
      <c r="H59" s="287">
        <f t="shared" ca="1" si="19"/>
        <v>0.27378182446040877</v>
      </c>
      <c r="I59" s="287">
        <f t="shared" ca="1" si="19"/>
        <v>0.351665537356878</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2.8559999999999999</v>
      </c>
      <c r="E64" s="285">
        <f t="shared" ca="1" si="20"/>
        <v>2.94823621162785</v>
      </c>
      <c r="F64" s="285">
        <f t="shared" ca="1" si="20"/>
        <v>3.0407947026015574</v>
      </c>
      <c r="G64" s="285">
        <f t="shared" ca="1" si="20"/>
        <v>3.1392328218683749</v>
      </c>
      <c r="H64" s="285">
        <f t="shared" ca="1" si="20"/>
        <v>3.2431409217661185</v>
      </c>
      <c r="I64" s="285">
        <f t="shared" ca="1" si="20"/>
        <v>3.3473224172075682</v>
      </c>
      <c r="K64" s="63"/>
      <c r="L64" s="63"/>
    </row>
    <row r="65" spans="1:20" ht="12.75" customHeight="1" outlineLevel="1">
      <c r="A65" s="61" t="s">
        <v>69</v>
      </c>
      <c r="B65" s="285">
        <f t="shared" ca="1" si="20"/>
        <v>0</v>
      </c>
      <c r="C65" s="285">
        <f t="shared" ca="1" si="20"/>
        <v>0</v>
      </c>
      <c r="D65" s="285">
        <f t="shared" ca="1" si="20"/>
        <v>1.6E-2</v>
      </c>
      <c r="E65" s="285">
        <f t="shared" ca="1" si="20"/>
        <v>1.6169759332499763E-2</v>
      </c>
      <c r="F65" s="285">
        <f t="shared" ca="1" si="20"/>
        <v>1.6327055921977789E-2</v>
      </c>
      <c r="G65" s="285">
        <f t="shared" ca="1" si="20"/>
        <v>1.6482541854019407E-2</v>
      </c>
      <c r="H65" s="285">
        <f t="shared" ca="1" si="20"/>
        <v>1.6651231602351931E-2</v>
      </c>
      <c r="I65" s="285">
        <f t="shared" ca="1" si="20"/>
        <v>1.6805752674304002E-2</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9.2999999999999999E-2</v>
      </c>
      <c r="E67" s="285">
        <f t="shared" ca="1" si="22"/>
        <v>9.4456659750755623E-2</v>
      </c>
      <c r="F67" s="285">
        <f t="shared" ca="1" si="22"/>
        <v>9.5852395197274495E-2</v>
      </c>
      <c r="G67" s="285">
        <f t="shared" ca="1" si="22"/>
        <v>9.7636104347635824E-2</v>
      </c>
      <c r="H67" s="285">
        <f t="shared" ca="1" si="22"/>
        <v>9.967102740278054E-2</v>
      </c>
      <c r="I67" s="285">
        <f t="shared" ca="1" si="22"/>
        <v>0.10185340993196659</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2.9649999999999999</v>
      </c>
      <c r="E70" s="295">
        <f t="shared" ca="1" si="25"/>
        <v>3.0588626307111051</v>
      </c>
      <c r="F70" s="295">
        <f t="shared" ca="1" si="25"/>
        <v>3.1529741537208094</v>
      </c>
      <c r="G70" s="295">
        <f t="shared" ca="1" si="25"/>
        <v>3.2533514680700302</v>
      </c>
      <c r="H70" s="295">
        <f t="shared" ca="1" si="25"/>
        <v>3.3594631807712507</v>
      </c>
      <c r="I70" s="295">
        <f t="shared" ca="1" si="25"/>
        <v>3.4659815798138389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3.0302040851207506E-2</v>
      </c>
      <c r="Q77" s="285">
        <f ca="1">IF($B77&lt;&gt;0,(+VLOOKUP($B77,$A$8:$I$13,6,FALSE))*(F77),0)</f>
        <v>5.8379482073035151E-2</v>
      </c>
      <c r="R77" s="285">
        <f ca="1">IF($B77&lt;&gt;0,(+VLOOKUP($B77,$A$8:$I$13,7,FALSE))*(G77),0)</f>
        <v>8.6133720942463923E-2</v>
      </c>
      <c r="S77" s="285">
        <f ca="1">IF($B77&lt;&gt;0,(+VLOOKUP($B77,$A$8:$I$13,8,FALSE))*(H77),0)</f>
        <v>0.1162448410198197</v>
      </c>
      <c r="T77" s="285">
        <f ca="1">IF($B77&lt;&gt;0,(+VLOOKUP($B77,$A$8:$I$13,9,FALSE))*(I77),0)</f>
        <v>0.14382685236326451</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1.6975933249976195E-4</v>
      </c>
      <c r="Q78" s="285">
        <f ca="1">IF($B78&lt;&gt;0,(+VLOOKUP($B78,$A$8:$I$13,6,FALSE))*(F78),0)</f>
        <v>3.2705592197778798E-4</v>
      </c>
      <c r="R78" s="285">
        <f ca="1">IF($B78&lt;&gt;0,(+VLOOKUP($B78,$A$8:$I$13,7,FALSE))*(G78),0)</f>
        <v>4.8254185401940577E-4</v>
      </c>
      <c r="S78" s="285">
        <f ca="1">IF($B78&lt;&gt;0,(+VLOOKUP($B78,$A$8:$I$13,8,FALSE))*(H78),0)</f>
        <v>6.5123160235193108E-4</v>
      </c>
      <c r="T78" s="285">
        <f ca="1">IF($B78&lt;&gt;0,(+VLOOKUP($B78,$A$8:$I$13,9,FALSE))*(I78),0)</f>
        <v>8.057526743040029E-4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9.8672612015486636E-4</v>
      </c>
      <c r="Q80" s="285">
        <f t="shared" ca="1" si="34"/>
        <v>1.9010125464958927E-3</v>
      </c>
      <c r="R80" s="285">
        <f t="shared" ca="1" si="35"/>
        <v>2.804774526487796E-3</v>
      </c>
      <c r="S80" s="285">
        <f t="shared" ca="1" si="36"/>
        <v>3.7852836886705997E-3</v>
      </c>
      <c r="T80" s="285">
        <f t="shared" ca="1" si="37"/>
        <v>4.6834374193920171E-3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3.1458526303862137E-2</v>
      </c>
      <c r="Q83" s="292">
        <f t="shared" ca="1" si="51"/>
        <v>6.0607550541508827E-2</v>
      </c>
      <c r="R83" s="292">
        <f t="shared" ca="1" si="51"/>
        <v>8.9421037322971117E-2</v>
      </c>
      <c r="S83" s="292">
        <f t="shared" ca="1" si="51"/>
        <v>0.12068135631084223</v>
      </c>
      <c r="T83" s="292">
        <f t="shared" ca="1" si="51"/>
        <v>0.14931604245696051</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3.0302040851207506E-2</v>
      </c>
      <c r="F98" s="285">
        <f t="shared" ca="1" si="54"/>
        <v>5.8379482073035151E-2</v>
      </c>
      <c r="G98" s="285">
        <f t="shared" ca="1" si="54"/>
        <v>8.6133720942463923E-2</v>
      </c>
      <c r="H98" s="285">
        <f t="shared" ca="1" si="54"/>
        <v>0.1162448410198197</v>
      </c>
      <c r="I98" s="285">
        <f t="shared" ca="1" si="54"/>
        <v>0.14382685236326451</v>
      </c>
    </row>
    <row r="99" spans="1:20" outlineLevel="1">
      <c r="A99" s="61" t="s">
        <v>69</v>
      </c>
      <c r="B99" s="119"/>
      <c r="C99" s="285">
        <f t="shared" ref="C99:I99" ca="1" si="55">+C9*(C87)</f>
        <v>0</v>
      </c>
      <c r="D99" s="285">
        <f t="shared" ca="1" si="55"/>
        <v>0</v>
      </c>
      <c r="E99" s="285">
        <f t="shared" ca="1" si="55"/>
        <v>1.6975933249976195E-4</v>
      </c>
      <c r="F99" s="285">
        <f t="shared" ca="1" si="55"/>
        <v>3.2705592197778798E-4</v>
      </c>
      <c r="G99" s="285">
        <f t="shared" ca="1" si="55"/>
        <v>4.8254185401940577E-4</v>
      </c>
      <c r="H99" s="285">
        <f t="shared" ca="1" si="55"/>
        <v>6.5123160235193108E-4</v>
      </c>
      <c r="I99" s="285">
        <f t="shared" ca="1" si="55"/>
        <v>8.057526743040029E-4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9.8672612015486636E-4</v>
      </c>
      <c r="F101" s="285">
        <f t="shared" ca="1" si="57"/>
        <v>1.9010125464958927E-3</v>
      </c>
      <c r="G101" s="285">
        <f t="shared" ca="1" si="57"/>
        <v>2.804774526487796E-3</v>
      </c>
      <c r="H101" s="285">
        <f t="shared" ca="1" si="57"/>
        <v>3.7852836886705997E-3</v>
      </c>
      <c r="I101" s="285">
        <f t="shared" ca="1" si="57"/>
        <v>4.6834374193920171E-3</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3.1458526303862137E-2</v>
      </c>
      <c r="F104" s="296">
        <f t="shared" ca="1" si="60"/>
        <v>6.0607550541508827E-2</v>
      </c>
      <c r="G104" s="296">
        <f t="shared" ca="1" si="60"/>
        <v>8.9421037322971117E-2</v>
      </c>
      <c r="H104" s="296">
        <f t="shared" ca="1" si="60"/>
        <v>0.12068135631084223</v>
      </c>
      <c r="I104" s="296">
        <f t="shared" ca="1" si="60"/>
        <v>0.14931604245696051</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2.0440995123611746E-2</v>
      </c>
      <c r="G105" s="124">
        <f t="shared" ca="1" si="61"/>
        <v>3.0158865876212856E-2</v>
      </c>
      <c r="H105" s="124">
        <f t="shared" ca="1" si="61"/>
        <v>4.0701975146995695E-2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6.1934170776642573E-2</v>
      </c>
      <c r="Q113" s="285">
        <f ca="1">IF($B113&lt;&gt;0,(+VLOOKUP($B113,$A$8:$I$13,6,FALSE)+VLOOKUP($B113,$A$42:$I$47,6,FALSE))*(F113),0)</f>
        <v>0.1264152205285223</v>
      </c>
      <c r="R113" s="285">
        <f ca="1">IF($B113&lt;&gt;0,(+VLOOKUP($B113,$A$8:$I$13,7,FALSE)+VLOOKUP($B113,$A$42:$I$47,7,FALSE))*(G113),0)</f>
        <v>0.19709910092591129</v>
      </c>
      <c r="S113" s="285">
        <f ca="1">IF($B113&lt;&gt;0,(+VLOOKUP($B113,$A$8:$I$13,8,FALSE)+VLOOKUP($B113,$A$42:$I$47,8,FALSE))*(H113),0)</f>
        <v>0.27089608074629884</v>
      </c>
      <c r="T113" s="285">
        <f ca="1">IF($B113&lt;&gt;0,(+VLOOKUP($B113,$A$8:$I$13,9,FALSE)+VLOOKUP($B113,$A$42:$I$47,9,FALSE))*(I113),0)</f>
        <v>0.34749556484430344</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4.6993363060076433E-4</v>
      </c>
      <c r="Q116" s="285">
        <f t="shared" ca="1" si="68"/>
        <v>9.5138265077859558E-4</v>
      </c>
      <c r="R116" s="285">
        <f t="shared" ca="1" si="69"/>
        <v>1.8313298211480361E-3</v>
      </c>
      <c r="S116" s="285">
        <f t="shared" ca="1" si="70"/>
        <v>2.8857437141099436E-3</v>
      </c>
      <c r="T116" s="285">
        <f t="shared" ca="1" si="71"/>
        <v>4.1699725125745679E-3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6.2404104407243338E-2</v>
      </c>
      <c r="Q119" s="292">
        <f t="shared" ca="1" si="72"/>
        <v>0.1273666031793009</v>
      </c>
      <c r="R119" s="292">
        <f t="shared" ca="1" si="72"/>
        <v>0.19893043074705932</v>
      </c>
      <c r="S119" s="292">
        <f t="shared" ca="1" si="72"/>
        <v>0.27378182446040877</v>
      </c>
      <c r="T119" s="292">
        <f t="shared" ca="1" si="72"/>
        <v>0.351665537356878</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6.1934170776642573E-2</v>
      </c>
      <c r="F134" s="285">
        <f t="shared" ca="1" si="75"/>
        <v>0.1264152205285223</v>
      </c>
      <c r="G134" s="285">
        <f t="shared" ca="1" si="75"/>
        <v>0.19709910092591129</v>
      </c>
      <c r="H134" s="285">
        <f t="shared" ca="1" si="75"/>
        <v>0.27089608074629884</v>
      </c>
      <c r="I134" s="285">
        <f t="shared" ca="1" si="75"/>
        <v>0.34749556484430344</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4.6993363060076433E-4</v>
      </c>
      <c r="F137" s="285">
        <f t="shared" ca="1" si="78"/>
        <v>9.5138265077859558E-4</v>
      </c>
      <c r="G137" s="285">
        <f t="shared" ca="1" si="78"/>
        <v>1.8313298211480361E-3</v>
      </c>
      <c r="H137" s="285">
        <f t="shared" ca="1" si="78"/>
        <v>2.8857437141099436E-3</v>
      </c>
      <c r="I137" s="285">
        <f t="shared" ca="1" si="78"/>
        <v>4.1699725125745679E-3</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6.2404104407243338E-2</v>
      </c>
      <c r="F140" s="296">
        <f t="shared" ca="1" si="81"/>
        <v>0.1273666031793009</v>
      </c>
      <c r="G140" s="296">
        <f t="shared" ca="1" si="81"/>
        <v>0.19893043074705932</v>
      </c>
      <c r="H140" s="296">
        <f t="shared" ca="1" si="81"/>
        <v>0.27378182446040877</v>
      </c>
      <c r="I140" s="296">
        <f t="shared" ca="1" si="81"/>
        <v>0.351665537356878</v>
      </c>
    </row>
    <row r="141" spans="1:16" ht="13.5" outlineLevel="1" thickBot="1">
      <c r="A141" s="122" t="s">
        <v>148</v>
      </c>
      <c r="B141" s="126"/>
      <c r="C141" s="124">
        <f t="shared" ref="C141:I141" ca="1" si="82">IF((+C36+C48)&lt;&gt;0,+C140/(+C36+C48),0)</f>
        <v>0</v>
      </c>
      <c r="D141" s="124">
        <f t="shared" ca="1" si="82"/>
        <v>0</v>
      </c>
      <c r="E141" s="124">
        <f t="shared" ca="1" si="82"/>
        <v>2.0825952990652246E-2</v>
      </c>
      <c r="F141" s="124">
        <f t="shared" ca="1" si="82"/>
        <v>4.2096207472943882E-2</v>
      </c>
      <c r="G141" s="124">
        <f t="shared" ca="1" si="82"/>
        <v>6.5128686686040743E-2</v>
      </c>
      <c r="H141" s="124">
        <f t="shared" ca="1" si="82"/>
        <v>8.8726538111418923E-2</v>
      </c>
      <c r="I141" s="124">
        <f t="shared" ca="1" si="82"/>
        <v>0.11291902702316636</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(SEM)'!$N$313:$R$318</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2.9649999999999999</v>
      </c>
      <c r="E205" s="82">
        <f t="shared" ca="1" si="95"/>
        <v>2.9649999999999999</v>
      </c>
      <c r="F205" s="82">
        <f t="shared" ca="1" si="95"/>
        <v>2.9649999999999999</v>
      </c>
      <c r="G205" s="82">
        <f t="shared" ca="1" si="95"/>
        <v>2.9649999999999999</v>
      </c>
      <c r="H205" s="82">
        <f t="shared" ca="1" si="95"/>
        <v>2.9649999999999999</v>
      </c>
      <c r="I205" s="82">
        <f t="shared" ca="1" si="95"/>
        <v>2.9649999999999999</v>
      </c>
    </row>
    <row r="206" spans="1:9" outlineLevel="1">
      <c r="A206" t="s">
        <v>156</v>
      </c>
      <c r="B206" s="82">
        <f t="shared" ref="B206:I206" ca="1" si="96">+B36</f>
        <v>0</v>
      </c>
      <c r="C206" s="82">
        <f t="shared" ca="1" si="96"/>
        <v>0</v>
      </c>
      <c r="D206" s="82">
        <f t="shared" ca="1" si="96"/>
        <v>2.9649999999999999</v>
      </c>
      <c r="E206" s="82">
        <f t="shared" ca="1" si="96"/>
        <v>2.9649999999999999</v>
      </c>
      <c r="F206" s="82">
        <f t="shared" ca="1" si="96"/>
        <v>2.9649999999999999</v>
      </c>
      <c r="G206" s="82">
        <f t="shared" ca="1" si="96"/>
        <v>2.9649999999999999</v>
      </c>
      <c r="H206" s="82">
        <f t="shared" ca="1" si="96"/>
        <v>2.9649999999999999</v>
      </c>
      <c r="I206" s="82">
        <f t="shared" ca="1" si="96"/>
        <v>2.9649999999999999</v>
      </c>
    </row>
    <row r="207" spans="1:9" outlineLevel="1">
      <c r="A207" t="s">
        <v>157</v>
      </c>
      <c r="B207" s="82">
        <f t="shared" ref="B207:I207" ca="1" si="97">+B36+B48</f>
        <v>0</v>
      </c>
      <c r="C207" s="82">
        <f t="shared" ca="1" si="97"/>
        <v>0</v>
      </c>
      <c r="D207" s="82">
        <f t="shared" ca="1" si="97"/>
        <v>2.9649999999999999</v>
      </c>
      <c r="E207" s="82">
        <f t="shared" ca="1" si="97"/>
        <v>2.9964585263038619</v>
      </c>
      <c r="F207" s="82">
        <f t="shared" ca="1" si="97"/>
        <v>3.0256075505415088</v>
      </c>
      <c r="G207" s="82">
        <f t="shared" ca="1" si="97"/>
        <v>3.054421037322971</v>
      </c>
      <c r="H207" s="82">
        <f t="shared" ca="1" si="97"/>
        <v>3.0856813563108423</v>
      </c>
      <c r="I207" s="82">
        <f t="shared" ca="1" si="97"/>
        <v>3.1143160424569603</v>
      </c>
    </row>
    <row r="208" spans="1:9" outlineLevel="1">
      <c r="A208" t="s">
        <v>158</v>
      </c>
      <c r="B208" s="82">
        <f t="shared" ref="B208:I208" ca="1" si="98">+B70</f>
        <v>0</v>
      </c>
      <c r="C208" s="82">
        <f t="shared" ca="1" si="98"/>
        <v>0</v>
      </c>
      <c r="D208" s="82">
        <f t="shared" ca="1" si="98"/>
        <v>2.9649999999999999</v>
      </c>
      <c r="E208" s="82">
        <f t="shared" ca="1" si="98"/>
        <v>3.0588626307111051</v>
      </c>
      <c r="F208" s="82">
        <f t="shared" ca="1" si="98"/>
        <v>3.1529741537208094</v>
      </c>
      <c r="G208" s="82">
        <f t="shared" ca="1" si="98"/>
        <v>3.2533514680700302</v>
      </c>
      <c r="H208" s="82">
        <f t="shared" ca="1" si="98"/>
        <v>3.3594631807712507</v>
      </c>
      <c r="I208" s="82">
        <f t="shared" ca="1" si="98"/>
        <v>3.4659815798138389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10" priority="1" stopIfTrue="1" operator="notEqual">
      <formula>0</formula>
    </cfRule>
  </conditionalFormatting>
  <conditionalFormatting sqref="J130 J94 J70 J59 J48 J36:J37 J14 J25">
    <cfRule type="cellIs" dxfId="209" priority="2" stopIfTrue="1" operator="equal">
      <formula>"OK"</formula>
    </cfRule>
    <cfRule type="cellIs" dxfId="208" priority="3" stopIfTrue="1" operator="equal">
      <formula>"Warning Check Escalations"</formula>
    </cfRule>
  </conditionalFormatting>
  <conditionalFormatting sqref="N120:T120 N84:T84">
    <cfRule type="cellIs" dxfId="207" priority="4" stopIfTrue="1" operator="notEqual">
      <formula>0</formula>
    </cfRule>
    <cfRule type="cellIs" dxfId="20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49.xml><?xml version="1.0" encoding="utf-8"?>
<worksheet xmlns="http://schemas.openxmlformats.org/spreadsheetml/2006/main" xmlns:r="http://schemas.openxmlformats.org/officeDocument/2006/relationships">
  <sheetPr codeName="Sheet92" enableFormatConditionsCalculation="0">
    <tabColor rgb="FF339966"/>
    <pageSetUpPr fitToPage="1"/>
  </sheetPr>
  <dimension ref="A1:T239"/>
  <sheetViews>
    <sheetView showGridLines="0" topLeftCell="A6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36</v>
      </c>
      <c r="M1" s="282"/>
      <c r="N1" s="280"/>
      <c r="O1" s="280"/>
      <c r="P1" s="280"/>
      <c r="Q1" s="280"/>
      <c r="R1" s="280"/>
      <c r="S1" s="280"/>
      <c r="T1" s="280"/>
    </row>
    <row r="2" spans="1:20" ht="15.75">
      <c r="A2" s="184" t="s">
        <v>121</v>
      </c>
      <c r="B2" s="74" t="str">
        <f ca="1">OFFSET(List_AllocOpexListStart,+$K$1,1)</f>
        <v>Employee Bonuses</v>
      </c>
      <c r="F2" s="284"/>
      <c r="H2" s="42"/>
      <c r="I2" s="283"/>
      <c r="L2" s="282"/>
      <c r="M2" s="282"/>
    </row>
    <row r="3" spans="1:20" ht="16.5" thickBot="1">
      <c r="A3" s="184" t="s">
        <v>371</v>
      </c>
      <c r="B3" s="236" t="str">
        <f ca="1">OFFSET(List_AllocOpexListStart,+$K$1,2)</f>
        <v>John Fleetwood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3.403</v>
      </c>
      <c r="E8" s="285">
        <f ca="1">OFFSET(Future_AOpexStart,MATCH($K$1,'I-6 Future A'!$A$6:$A$379)+2,+'I-5 Future DA'!F$5)</f>
        <v>3.403</v>
      </c>
      <c r="F8" s="285">
        <f ca="1">OFFSET(Future_AOpexStart,MATCH($K$1,'I-6 Future A'!$A$6:$A$379)+2,+'I-5 Future DA'!G$5)</f>
        <v>3.403</v>
      </c>
      <c r="G8" s="285">
        <f ca="1">OFFSET(Future_AOpexStart,MATCH($K$1,'I-6 Future A'!$A$6:$A$379)+2,+'I-5 Future DA'!H$5)</f>
        <v>3.403</v>
      </c>
      <c r="H8" s="285">
        <f ca="1">OFFSET(Future_AOpexStart,MATCH($K$1,'I-6 Future A'!$A$6:$A$379)+2,+'I-5 Future DA'!I$5)</f>
        <v>3.403</v>
      </c>
      <c r="I8" s="285">
        <f ca="1">OFFSET(Future_AOpexStart,MATCH($K$1,'I-6 Future A'!$A$6:$A$379)+2,+'I-5 Future DA'!J$5)</f>
        <v>3.403</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3.403</v>
      </c>
      <c r="E14" s="287">
        <f t="shared" ca="1" si="0"/>
        <v>3.403</v>
      </c>
      <c r="F14" s="287">
        <f t="shared" ca="1" si="0"/>
        <v>3.403</v>
      </c>
      <c r="G14" s="287">
        <f t="shared" ca="1" si="0"/>
        <v>3.403</v>
      </c>
      <c r="H14" s="287">
        <f t="shared" ca="1" si="0"/>
        <v>3.403</v>
      </c>
      <c r="I14" s="287">
        <f t="shared" ca="1" si="0"/>
        <v>3.403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+'A-36'!B8+'A-36'!B19</f>
        <v>0</v>
      </c>
      <c r="C30" s="285">
        <f ca="1">+'A-36'!C8+'A-36'!C19</f>
        <v>0</v>
      </c>
      <c r="D30" s="285">
        <f ca="1">+'A-36'!D8+'A-36'!D19</f>
        <v>3.403</v>
      </c>
      <c r="E30" s="285">
        <f ca="1">+'A-36'!E8+'A-36'!E19</f>
        <v>3.403</v>
      </c>
      <c r="F30" s="285">
        <f ca="1">+'A-36'!F8+'A-36'!F19</f>
        <v>3.403</v>
      </c>
      <c r="G30" s="285">
        <f ca="1">+'A-36'!G8+'A-36'!G19</f>
        <v>3.403</v>
      </c>
      <c r="H30" s="285">
        <f ca="1">+'A-36'!H8+'A-36'!H19</f>
        <v>3.403</v>
      </c>
      <c r="I30" s="285">
        <f ca="1">+'A-36'!I8+'A-36'!I19</f>
        <v>3.403</v>
      </c>
      <c r="J30" s="42"/>
      <c r="K30" s="21"/>
      <c r="L30" s="21"/>
    </row>
    <row r="31" spans="1:12" outlineLevel="2">
      <c r="A31" s="61" t="s">
        <v>69</v>
      </c>
      <c r="B31" s="285">
        <f ca="1">+'A-36'!B9+'A-36'!B20</f>
        <v>0</v>
      </c>
      <c r="C31" s="285">
        <f ca="1">+'A-36'!C9+'A-36'!C20</f>
        <v>0</v>
      </c>
      <c r="D31" s="285">
        <f ca="1">+'A-36'!D9+'A-36'!D20</f>
        <v>0</v>
      </c>
      <c r="E31" s="285">
        <f ca="1">+'A-36'!E9+'A-36'!E20</f>
        <v>0</v>
      </c>
      <c r="F31" s="285">
        <f ca="1">+'A-36'!F9+'A-36'!F20</f>
        <v>0</v>
      </c>
      <c r="G31" s="285">
        <f ca="1">+'A-36'!G9+'A-36'!G20</f>
        <v>0</v>
      </c>
      <c r="H31" s="285">
        <f ca="1">+'A-36'!H9+'A-36'!H20</f>
        <v>0</v>
      </c>
      <c r="I31" s="285">
        <f ca="1">+'A-36'!I9+'A-36'!I20</f>
        <v>0</v>
      </c>
      <c r="J31" s="42"/>
      <c r="K31" s="21"/>
      <c r="L31" s="21"/>
    </row>
    <row r="32" spans="1:12" s="759" customFormat="1" outlineLevel="2">
      <c r="A32" s="61" t="s">
        <v>646</v>
      </c>
      <c r="B32" s="285">
        <f ca="1">+'A-36'!B10+'A-36'!B21</f>
        <v>0</v>
      </c>
      <c r="C32" s="285">
        <f ca="1">+'A-36'!C10+'A-36'!C21</f>
        <v>0</v>
      </c>
      <c r="D32" s="285">
        <f ca="1">+'A-36'!D10+'A-36'!D21</f>
        <v>0</v>
      </c>
      <c r="E32" s="285">
        <f ca="1">+'A-36'!E10+'A-36'!E21</f>
        <v>0</v>
      </c>
      <c r="F32" s="285">
        <f ca="1">+'A-36'!F10+'A-36'!F21</f>
        <v>0</v>
      </c>
      <c r="G32" s="285">
        <f ca="1">+'A-36'!G10+'A-36'!G21</f>
        <v>0</v>
      </c>
      <c r="H32" s="285">
        <f ca="1">+'A-36'!H10+'A-36'!H21</f>
        <v>0</v>
      </c>
      <c r="I32" s="285">
        <f ca="1">+'A-36'!I10+'A-36'!I21</f>
        <v>0</v>
      </c>
      <c r="J32" s="42"/>
      <c r="K32" s="732"/>
      <c r="L32" s="732"/>
    </row>
    <row r="33" spans="1:12" outlineLevel="2">
      <c r="A33" s="61" t="s">
        <v>647</v>
      </c>
      <c r="B33" s="285">
        <f ca="1">+'A-36'!B11+'A-36'!B22</f>
        <v>0</v>
      </c>
      <c r="C33" s="285">
        <f ca="1">+'A-36'!C11+'A-36'!C22</f>
        <v>0</v>
      </c>
      <c r="D33" s="285">
        <f ca="1">+'A-36'!D11+'A-36'!D22</f>
        <v>0</v>
      </c>
      <c r="E33" s="285">
        <f ca="1">+'A-36'!E11+'A-36'!E22</f>
        <v>0</v>
      </c>
      <c r="F33" s="285">
        <f ca="1">+'A-36'!F11+'A-36'!F22</f>
        <v>0</v>
      </c>
      <c r="G33" s="285">
        <f ca="1">+'A-36'!G11+'A-36'!G22</f>
        <v>0</v>
      </c>
      <c r="H33" s="285">
        <f ca="1">+'A-36'!H11+'A-36'!H22</f>
        <v>0</v>
      </c>
      <c r="I33" s="285">
        <f ca="1">+'A-36'!I11+'A-36'!I22</f>
        <v>0</v>
      </c>
      <c r="J33" s="42"/>
      <c r="K33" s="21"/>
      <c r="L33" s="21"/>
    </row>
    <row r="34" spans="1:12" s="759" customFormat="1" outlineLevel="2">
      <c r="A34" s="61" t="s">
        <v>575</v>
      </c>
      <c r="B34" s="285">
        <f ca="1">+'A-36'!B12+'A-36'!B23</f>
        <v>0</v>
      </c>
      <c r="C34" s="285">
        <f ca="1">+'A-36'!C12+'A-36'!C23</f>
        <v>0</v>
      </c>
      <c r="D34" s="285">
        <f ca="1">+'A-36'!D12+'A-36'!D23</f>
        <v>0</v>
      </c>
      <c r="E34" s="285">
        <f ca="1">+'A-36'!E12+'A-36'!E23</f>
        <v>0</v>
      </c>
      <c r="F34" s="285">
        <f ca="1">+'A-36'!F12+'A-36'!F23</f>
        <v>0</v>
      </c>
      <c r="G34" s="285">
        <f ca="1">+'A-36'!G12+'A-36'!G23</f>
        <v>0</v>
      </c>
      <c r="H34" s="285">
        <f ca="1">+'A-36'!H12+'A-36'!H23</f>
        <v>0</v>
      </c>
      <c r="I34" s="285">
        <f ca="1">+'A-36'!I12+'A-36'!I23</f>
        <v>0</v>
      </c>
      <c r="J34" s="42"/>
      <c r="K34" s="732"/>
      <c r="L34" s="732"/>
    </row>
    <row r="35" spans="1:12" ht="13.5" outlineLevel="2" thickBot="1">
      <c r="A35" s="83" t="s">
        <v>70</v>
      </c>
      <c r="B35" s="285">
        <f ca="1">+'A-36'!B13+'A-36'!B24</f>
        <v>0</v>
      </c>
      <c r="C35" s="285">
        <f ca="1">+'A-36'!C13+'A-36'!C24</f>
        <v>0</v>
      </c>
      <c r="D35" s="285">
        <f ca="1">+'A-36'!D13+'A-36'!D24</f>
        <v>0</v>
      </c>
      <c r="E35" s="285">
        <f ca="1">+'A-36'!E13+'A-36'!E24</f>
        <v>0</v>
      </c>
      <c r="F35" s="285">
        <f ca="1">+'A-36'!F13+'A-36'!F24</f>
        <v>0</v>
      </c>
      <c r="G35" s="285">
        <f ca="1">+'A-36'!G13+'A-36'!G24</f>
        <v>0</v>
      </c>
      <c r="H35" s="285">
        <f ca="1">+'A-36'!H13+'A-36'!H24</f>
        <v>0</v>
      </c>
      <c r="I35" s="285">
        <f ca="1">+'A-36'!I13+'A-36'!I24</f>
        <v>0</v>
      </c>
      <c r="J35" s="93"/>
      <c r="K35" s="21"/>
      <c r="L35" s="21"/>
    </row>
    <row r="36" spans="1:12" s="87" customFormat="1" ht="20.25" customHeight="1" thickBot="1">
      <c r="A36" s="94" t="s">
        <v>128</v>
      </c>
      <c r="B36" s="294">
        <f t="shared" ref="B36:I36" ca="1" si="7">SUM(B30:B35)</f>
        <v>0</v>
      </c>
      <c r="C36" s="294">
        <f t="shared" ca="1" si="7"/>
        <v>0</v>
      </c>
      <c r="D36" s="294">
        <f t="shared" ca="1" si="7"/>
        <v>3.403</v>
      </c>
      <c r="E36" s="294">
        <f t="shared" ca="1" si="7"/>
        <v>3.403</v>
      </c>
      <c r="F36" s="294">
        <f t="shared" ca="1" si="7"/>
        <v>3.403</v>
      </c>
      <c r="G36" s="294">
        <f t="shared" ca="1" si="7"/>
        <v>3.403</v>
      </c>
      <c r="H36" s="294">
        <f t="shared" ca="1" si="7"/>
        <v>3.403</v>
      </c>
      <c r="I36" s="294">
        <f t="shared" ca="1" si="7"/>
        <v>3.403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3.6105688031043116E-2</v>
      </c>
      <c r="F42" s="285">
        <f t="shared" ca="1" si="8"/>
        <v>6.9560706405650777E-2</v>
      </c>
      <c r="G42" s="285">
        <f t="shared" ca="1" si="8"/>
        <v>0.10263062057675236</v>
      </c>
      <c r="H42" s="285">
        <f t="shared" ca="1" si="8"/>
        <v>0.13850882142522636</v>
      </c>
      <c r="I42" s="285">
        <f t="shared" ca="1" si="8"/>
        <v>0.17137352191603261</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3.6105688031043116E-2</v>
      </c>
      <c r="F48" s="294">
        <f t="shared" ca="1" si="13"/>
        <v>6.9560706405650777E-2</v>
      </c>
      <c r="G48" s="294">
        <f t="shared" ca="1" si="13"/>
        <v>0.10263062057675236</v>
      </c>
      <c r="H48" s="294">
        <f t="shared" ca="1" si="13"/>
        <v>0.13850882142522636</v>
      </c>
      <c r="I48" s="294">
        <f t="shared" ca="1" si="13"/>
        <v>0.17137352191603261</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7.3796212588555565E-2</v>
      </c>
      <c r="F53" s="285">
        <f t="shared" ca="1" si="14"/>
        <v>0.1506270992501966</v>
      </c>
      <c r="G53" s="285">
        <f t="shared" ca="1" si="14"/>
        <v>0.23484882368728158</v>
      </c>
      <c r="H53" s="285">
        <f t="shared" ca="1" si="14"/>
        <v>0.32277988892845061</v>
      </c>
      <c r="I53" s="285">
        <f t="shared" ca="1" si="14"/>
        <v>0.41405021259284475</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7.3796212588555565E-2</v>
      </c>
      <c r="F59" s="287">
        <f t="shared" ca="1" si="19"/>
        <v>0.1506270992501966</v>
      </c>
      <c r="G59" s="287">
        <f t="shared" ca="1" si="19"/>
        <v>0.23484882368728158</v>
      </c>
      <c r="H59" s="287">
        <f t="shared" ca="1" si="19"/>
        <v>0.32277988892845061</v>
      </c>
      <c r="I59" s="287">
        <f t="shared" ca="1" si="19"/>
        <v>0.41405021259284475</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3.403</v>
      </c>
      <c r="E64" s="285">
        <f t="shared" ca="1" si="20"/>
        <v>3.5129019006195987</v>
      </c>
      <c r="F64" s="285">
        <f t="shared" ca="1" si="20"/>
        <v>3.6231878056558475</v>
      </c>
      <c r="G64" s="285">
        <f t="shared" ca="1" si="20"/>
        <v>3.7404794442640337</v>
      </c>
      <c r="H64" s="285">
        <f t="shared" ca="1" si="20"/>
        <v>3.8642887103536769</v>
      </c>
      <c r="I64" s="285">
        <f t="shared" ca="1" si="20"/>
        <v>3.9884237345088773</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3.403</v>
      </c>
      <c r="E70" s="295">
        <f t="shared" ca="1" si="25"/>
        <v>3.5129019006195987</v>
      </c>
      <c r="F70" s="295">
        <f t="shared" ca="1" si="25"/>
        <v>3.6231878056558475</v>
      </c>
      <c r="G70" s="295">
        <f t="shared" ca="1" si="25"/>
        <v>3.7404794442640337</v>
      </c>
      <c r="H70" s="295">
        <f t="shared" ca="1" si="25"/>
        <v>3.8642887103536769</v>
      </c>
      <c r="I70" s="295">
        <f t="shared" ca="1" si="25"/>
        <v>3.9884237345088773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3.6105688031043116E-2</v>
      </c>
      <c r="Q77" s="285">
        <f ca="1">IF($B77&lt;&gt;0,(+VLOOKUP($B77,$A$8:$I$13,6,FALSE))*(F77),0)</f>
        <v>6.9560706405650777E-2</v>
      </c>
      <c r="R77" s="285">
        <f ca="1">IF($B77&lt;&gt;0,(+VLOOKUP($B77,$A$8:$I$13,7,FALSE))*(G77),0)</f>
        <v>0.10263062057675236</v>
      </c>
      <c r="S77" s="285">
        <f ca="1">IF($B77&lt;&gt;0,(+VLOOKUP($B77,$A$8:$I$13,8,FALSE))*(H77),0)</f>
        <v>0.13850882142522636</v>
      </c>
      <c r="T77" s="285">
        <f ca="1">IF($B77&lt;&gt;0,(+VLOOKUP($B77,$A$8:$I$13,9,FALSE))*(I77),0)</f>
        <v>0.17137352191603261</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3.6105688031043116E-2</v>
      </c>
      <c r="Q83" s="292">
        <f t="shared" ca="1" si="51"/>
        <v>6.9560706405650777E-2</v>
      </c>
      <c r="R83" s="292">
        <f t="shared" ca="1" si="51"/>
        <v>0.10263062057675236</v>
      </c>
      <c r="S83" s="292">
        <f t="shared" ca="1" si="51"/>
        <v>0.13850882142522636</v>
      </c>
      <c r="T83" s="292">
        <f t="shared" ca="1" si="51"/>
        <v>0.17137352191603261</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3.6105688031043116E-2</v>
      </c>
      <c r="F98" s="285">
        <f t="shared" ca="1" si="54"/>
        <v>6.9560706405650777E-2</v>
      </c>
      <c r="G98" s="285">
        <f t="shared" ca="1" si="54"/>
        <v>0.10263062057675236</v>
      </c>
      <c r="H98" s="285">
        <f t="shared" ca="1" si="54"/>
        <v>0.13850882142522636</v>
      </c>
      <c r="I98" s="285">
        <f t="shared" ca="1" si="54"/>
        <v>0.17137352191603261</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3.6105688031043116E-2</v>
      </c>
      <c r="F104" s="296">
        <f t="shared" ca="1" si="60"/>
        <v>6.9560706405650777E-2</v>
      </c>
      <c r="G104" s="296">
        <f t="shared" ca="1" si="60"/>
        <v>0.10263062057675236</v>
      </c>
      <c r="H104" s="296">
        <f t="shared" ca="1" si="60"/>
        <v>0.13850882142522636</v>
      </c>
      <c r="I104" s="296">
        <f t="shared" ca="1" si="60"/>
        <v>0.17137352191603261</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2.0440995123611746E-2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7.3796212588555565E-2</v>
      </c>
      <c r="Q113" s="285">
        <f ca="1">IF($B113&lt;&gt;0,(+VLOOKUP($B113,$A$8:$I$13,6,FALSE)+VLOOKUP($B113,$A$42:$I$47,6,FALSE))*(F113),0)</f>
        <v>0.1506270992501966</v>
      </c>
      <c r="R113" s="285">
        <f ca="1">IF($B113&lt;&gt;0,(+VLOOKUP($B113,$A$8:$I$13,7,FALSE)+VLOOKUP($B113,$A$42:$I$47,7,FALSE))*(G113),0)</f>
        <v>0.23484882368728158</v>
      </c>
      <c r="S113" s="285">
        <f ca="1">IF($B113&lt;&gt;0,(+VLOOKUP($B113,$A$8:$I$13,8,FALSE)+VLOOKUP($B113,$A$42:$I$47,8,FALSE))*(H113),0)</f>
        <v>0.32277988892845061</v>
      </c>
      <c r="T113" s="285">
        <f ca="1">IF($B113&lt;&gt;0,(+VLOOKUP($B113,$A$8:$I$13,9,FALSE)+VLOOKUP($B113,$A$42:$I$47,9,FALSE))*(I113),0)</f>
        <v>0.41405021259284475</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7.3796212588555565E-2</v>
      </c>
      <c r="Q119" s="292">
        <f t="shared" ca="1" si="72"/>
        <v>0.1506270992501966</v>
      </c>
      <c r="R119" s="292">
        <f t="shared" ca="1" si="72"/>
        <v>0.23484882368728158</v>
      </c>
      <c r="S119" s="292">
        <f t="shared" ca="1" si="72"/>
        <v>0.32277988892845061</v>
      </c>
      <c r="T119" s="292">
        <f t="shared" ca="1" si="72"/>
        <v>0.41405021259284475</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7.3796212588555565E-2</v>
      </c>
      <c r="F134" s="285">
        <f t="shared" ca="1" si="75"/>
        <v>0.1506270992501966</v>
      </c>
      <c r="G134" s="285">
        <f t="shared" ca="1" si="75"/>
        <v>0.23484882368728158</v>
      </c>
      <c r="H134" s="285">
        <f t="shared" ca="1" si="75"/>
        <v>0.32277988892845061</v>
      </c>
      <c r="I134" s="285">
        <f t="shared" ca="1" si="75"/>
        <v>0.41405021259284475</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7.3796212588555565E-2</v>
      </c>
      <c r="F140" s="296">
        <f t="shared" ca="1" si="81"/>
        <v>0.1506270992501966</v>
      </c>
      <c r="G140" s="296">
        <f t="shared" ca="1" si="81"/>
        <v>0.23484882368728158</v>
      </c>
      <c r="H140" s="296">
        <f t="shared" ca="1" si="81"/>
        <v>0.32277988892845061</v>
      </c>
      <c r="I140" s="296">
        <f t="shared" ca="1" si="81"/>
        <v>0.41405021259284475</v>
      </c>
    </row>
    <row r="141" spans="1:16" ht="13.5"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9.1141913010554854E-2</v>
      </c>
      <c r="I141" s="124">
        <f t="shared" ca="1" si="82"/>
        <v>0.11583854067128785</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(SEM)'!$N$322:$R$327</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3.403</v>
      </c>
      <c r="E205" s="82">
        <f t="shared" ca="1" si="95"/>
        <v>3.403</v>
      </c>
      <c r="F205" s="82">
        <f t="shared" ca="1" si="95"/>
        <v>3.403</v>
      </c>
      <c r="G205" s="82">
        <f t="shared" ca="1" si="95"/>
        <v>3.403</v>
      </c>
      <c r="H205" s="82">
        <f t="shared" ca="1" si="95"/>
        <v>3.403</v>
      </c>
      <c r="I205" s="82">
        <f t="shared" ca="1" si="95"/>
        <v>3.403</v>
      </c>
    </row>
    <row r="206" spans="1:9" outlineLevel="1">
      <c r="A206" t="s">
        <v>156</v>
      </c>
      <c r="B206" s="82">
        <f t="shared" ref="B206:I206" ca="1" si="96">+B36</f>
        <v>0</v>
      </c>
      <c r="C206" s="82">
        <f t="shared" ca="1" si="96"/>
        <v>0</v>
      </c>
      <c r="D206" s="82">
        <f t="shared" ca="1" si="96"/>
        <v>3.403</v>
      </c>
      <c r="E206" s="82">
        <f t="shared" ca="1" si="96"/>
        <v>3.403</v>
      </c>
      <c r="F206" s="82">
        <f t="shared" ca="1" si="96"/>
        <v>3.403</v>
      </c>
      <c r="G206" s="82">
        <f t="shared" ca="1" si="96"/>
        <v>3.403</v>
      </c>
      <c r="H206" s="82">
        <f t="shared" ca="1" si="96"/>
        <v>3.403</v>
      </c>
      <c r="I206" s="82">
        <f t="shared" ca="1" si="96"/>
        <v>3.403</v>
      </c>
    </row>
    <row r="207" spans="1:9" outlineLevel="1">
      <c r="A207" t="s">
        <v>157</v>
      </c>
      <c r="B207" s="82">
        <f t="shared" ref="B207:I207" ca="1" si="97">+B36+B48</f>
        <v>0</v>
      </c>
      <c r="C207" s="82">
        <f t="shared" ca="1" si="97"/>
        <v>0</v>
      </c>
      <c r="D207" s="82">
        <f t="shared" ca="1" si="97"/>
        <v>3.403</v>
      </c>
      <c r="E207" s="82">
        <f t="shared" ca="1" si="97"/>
        <v>3.4391056880310433</v>
      </c>
      <c r="F207" s="82">
        <f t="shared" ca="1" si="97"/>
        <v>3.472560706405651</v>
      </c>
      <c r="G207" s="82">
        <f t="shared" ca="1" si="97"/>
        <v>3.5056306205767522</v>
      </c>
      <c r="H207" s="82">
        <f t="shared" ca="1" si="97"/>
        <v>3.5415088214252264</v>
      </c>
      <c r="I207" s="82">
        <f t="shared" ca="1" si="97"/>
        <v>3.5743735219160326</v>
      </c>
    </row>
    <row r="208" spans="1:9" outlineLevel="1">
      <c r="A208" t="s">
        <v>158</v>
      </c>
      <c r="B208" s="82">
        <f t="shared" ref="B208:I208" ca="1" si="98">+B70</f>
        <v>0</v>
      </c>
      <c r="C208" s="82">
        <f t="shared" ca="1" si="98"/>
        <v>0</v>
      </c>
      <c r="D208" s="82">
        <f t="shared" ca="1" si="98"/>
        <v>3.403</v>
      </c>
      <c r="E208" s="82">
        <f t="shared" ca="1" si="98"/>
        <v>3.5129019006195987</v>
      </c>
      <c r="F208" s="82">
        <f t="shared" ca="1" si="98"/>
        <v>3.6231878056558475</v>
      </c>
      <c r="G208" s="82">
        <f t="shared" ca="1" si="98"/>
        <v>3.7404794442640337</v>
      </c>
      <c r="H208" s="82">
        <f t="shared" ca="1" si="98"/>
        <v>3.8642887103536769</v>
      </c>
      <c r="I208" s="82">
        <f t="shared" ca="1" si="98"/>
        <v>3.9884237345088773</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05" priority="1" stopIfTrue="1" operator="notEqual">
      <formula>0</formula>
    </cfRule>
  </conditionalFormatting>
  <conditionalFormatting sqref="J130 J94 J70 J59 J48 J36:J37 J14 J25">
    <cfRule type="cellIs" dxfId="204" priority="2" stopIfTrue="1" operator="equal">
      <formula>"OK"</formula>
    </cfRule>
    <cfRule type="cellIs" dxfId="203" priority="3" stopIfTrue="1" operator="equal">
      <formula>"Warning Check Escalations"</formula>
    </cfRule>
  </conditionalFormatting>
  <conditionalFormatting sqref="N120:T120 N84:T84">
    <cfRule type="cellIs" dxfId="202" priority="4" stopIfTrue="1" operator="notEqual">
      <formula>0</formula>
    </cfRule>
    <cfRule type="cellIs" dxfId="20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xml><?xml version="1.0" encoding="utf-8"?>
<worksheet xmlns="http://schemas.openxmlformats.org/spreadsheetml/2006/main" xmlns:r="http://schemas.openxmlformats.org/officeDocument/2006/relationships">
  <sheetPr codeName="Sheet4"/>
  <dimension ref="A1:E32"/>
  <sheetViews>
    <sheetView showGridLines="0" workbookViewId="0">
      <selection activeCell="C14" sqref="C14"/>
    </sheetView>
  </sheetViews>
  <sheetFormatPr defaultRowHeight="12.75"/>
  <cols>
    <col min="1" max="1" width="26.5703125" bestFit="1" customWidth="1"/>
    <col min="3" max="3" width="41.42578125" customWidth="1"/>
    <col min="4" max="4" width="15.5703125" customWidth="1"/>
  </cols>
  <sheetData>
    <row r="1" spans="1:4" ht="15.75">
      <c r="A1" s="184" t="s">
        <v>181</v>
      </c>
    </row>
    <row r="2" spans="1:4">
      <c r="A2" s="223" t="s">
        <v>182</v>
      </c>
    </row>
    <row r="4" spans="1:4" ht="23.25" thickBot="1">
      <c r="A4" s="226" t="s">
        <v>307</v>
      </c>
      <c r="B4" s="224" t="s">
        <v>67</v>
      </c>
      <c r="C4" s="226" t="s">
        <v>180</v>
      </c>
      <c r="D4" s="226" t="s">
        <v>370</v>
      </c>
    </row>
    <row r="5" spans="1:4">
      <c r="B5" s="225"/>
      <c r="C5" s="225"/>
    </row>
    <row r="6" spans="1:4" ht="15.75">
      <c r="B6" s="184" t="s">
        <v>44</v>
      </c>
      <c r="C6" s="225"/>
      <c r="D6" s="55"/>
    </row>
    <row r="7" spans="1:4">
      <c r="A7" s="2" t="s">
        <v>95</v>
      </c>
      <c r="B7" s="42" t="s">
        <v>47</v>
      </c>
      <c r="C7" s="42" t="s">
        <v>162</v>
      </c>
      <c r="D7" s="785" t="s">
        <v>360</v>
      </c>
    </row>
    <row r="8" spans="1:4">
      <c r="B8" s="42" t="s">
        <v>48</v>
      </c>
      <c r="C8" s="42" t="s">
        <v>163</v>
      </c>
      <c r="D8" s="42" t="s">
        <v>354</v>
      </c>
    </row>
    <row r="9" spans="1:4">
      <c r="B9" s="42" t="s">
        <v>49</v>
      </c>
      <c r="C9" s="42" t="s">
        <v>164</v>
      </c>
      <c r="D9" s="42" t="s">
        <v>372</v>
      </c>
    </row>
    <row r="10" spans="1:4">
      <c r="B10" s="42" t="s">
        <v>50</v>
      </c>
      <c r="C10" s="42" t="s">
        <v>165</v>
      </c>
      <c r="D10" s="42" t="s">
        <v>356</v>
      </c>
    </row>
    <row r="11" spans="1:4">
      <c r="B11" s="42" t="s">
        <v>51</v>
      </c>
      <c r="C11" s="785" t="s">
        <v>660</v>
      </c>
      <c r="D11" s="785" t="s">
        <v>682</v>
      </c>
    </row>
    <row r="12" spans="1:4">
      <c r="B12" s="42" t="s">
        <v>52</v>
      </c>
      <c r="C12" s="785" t="s">
        <v>661</v>
      </c>
      <c r="D12" s="785" t="s">
        <v>682</v>
      </c>
    </row>
    <row r="13" spans="1:4">
      <c r="B13" s="42" t="s">
        <v>53</v>
      </c>
      <c r="C13" s="42" t="s">
        <v>96</v>
      </c>
      <c r="D13" s="785" t="s">
        <v>683</v>
      </c>
    </row>
    <row r="14" spans="1:4">
      <c r="B14" s="42" t="s">
        <v>54</v>
      </c>
      <c r="C14" s="42" t="s">
        <v>97</v>
      </c>
      <c r="D14" s="732" t="s">
        <v>355</v>
      </c>
    </row>
    <row r="15" spans="1:4">
      <c r="B15" s="42" t="s">
        <v>55</v>
      </c>
      <c r="C15" s="42" t="s">
        <v>525</v>
      </c>
      <c r="D15" s="785" t="s">
        <v>360</v>
      </c>
    </row>
    <row r="16" spans="1:4">
      <c r="B16" s="42" t="s">
        <v>56</v>
      </c>
      <c r="C16" s="42" t="s">
        <v>166</v>
      </c>
      <c r="D16" s="785" t="s">
        <v>356</v>
      </c>
    </row>
    <row r="17" spans="1:5">
      <c r="B17" s="42" t="s">
        <v>57</v>
      </c>
      <c r="C17" s="42" t="s">
        <v>167</v>
      </c>
      <c r="D17" s="42" t="s">
        <v>354</v>
      </c>
    </row>
    <row r="18" spans="1:5">
      <c r="A18" s="2" t="s">
        <v>168</v>
      </c>
      <c r="B18" s="42" t="s">
        <v>58</v>
      </c>
      <c r="C18" s="785" t="s">
        <v>662</v>
      </c>
      <c r="D18" s="785" t="s">
        <v>682</v>
      </c>
    </row>
    <row r="19" spans="1:5">
      <c r="B19" s="42" t="s">
        <v>59</v>
      </c>
      <c r="C19" s="785" t="s">
        <v>663</v>
      </c>
      <c r="D19" s="785" t="s">
        <v>682</v>
      </c>
    </row>
    <row r="20" spans="1:5">
      <c r="B20" s="42" t="s">
        <v>60</v>
      </c>
      <c r="C20" s="42" t="s">
        <v>93</v>
      </c>
      <c r="D20" s="785" t="s">
        <v>682</v>
      </c>
    </row>
    <row r="21" spans="1:5">
      <c r="B21" s="42" t="s">
        <v>61</v>
      </c>
      <c r="C21" s="42" t="s">
        <v>94</v>
      </c>
      <c r="D21" s="785" t="s">
        <v>682</v>
      </c>
    </row>
    <row r="22" spans="1:5">
      <c r="B22" s="42" t="s">
        <v>62</v>
      </c>
      <c r="C22" s="42" t="s">
        <v>170</v>
      </c>
      <c r="D22" s="785" t="s">
        <v>357</v>
      </c>
    </row>
    <row r="23" spans="1:5">
      <c r="B23" s="42" t="s">
        <v>63</v>
      </c>
      <c r="C23" s="42" t="s">
        <v>171</v>
      </c>
      <c r="D23" s="732" t="s">
        <v>358</v>
      </c>
    </row>
    <row r="24" spans="1:5">
      <c r="B24" s="42" t="s">
        <v>64</v>
      </c>
      <c r="C24" s="42" t="s">
        <v>172</v>
      </c>
      <c r="D24" s="785" t="s">
        <v>684</v>
      </c>
    </row>
    <row r="25" spans="1:5">
      <c r="B25" s="42" t="s">
        <v>65</v>
      </c>
      <c r="C25" s="42" t="s">
        <v>353</v>
      </c>
      <c r="D25" s="785" t="s">
        <v>684</v>
      </c>
    </row>
    <row r="26" spans="1:5">
      <c r="B26" s="42" t="s">
        <v>66</v>
      </c>
      <c r="C26" s="42" t="s">
        <v>173</v>
      </c>
      <c r="D26" s="785" t="s">
        <v>356</v>
      </c>
    </row>
    <row r="27" spans="1:5">
      <c r="B27" s="42" t="s">
        <v>176</v>
      </c>
      <c r="C27" s="42" t="s">
        <v>174</v>
      </c>
      <c r="D27" s="785" t="s">
        <v>685</v>
      </c>
      <c r="E27" s="55"/>
    </row>
    <row r="28" spans="1:5">
      <c r="B28" s="42" t="s">
        <v>177</v>
      </c>
      <c r="C28" s="42" t="s">
        <v>175</v>
      </c>
      <c r="D28" s="785" t="s">
        <v>365</v>
      </c>
    </row>
    <row r="29" spans="1:5">
      <c r="B29" s="42" t="s">
        <v>178</v>
      </c>
      <c r="C29" s="785" t="s">
        <v>664</v>
      </c>
      <c r="D29" s="732" t="s">
        <v>357</v>
      </c>
    </row>
    <row r="30" spans="1:5">
      <c r="A30" s="2" t="s">
        <v>70</v>
      </c>
      <c r="B30" s="42" t="s">
        <v>179</v>
      </c>
      <c r="C30" s="785" t="s">
        <v>659</v>
      </c>
      <c r="D30" s="785" t="s">
        <v>685</v>
      </c>
    </row>
    <row r="31" spans="1:5">
      <c r="B31" s="55"/>
      <c r="C31" s="55"/>
      <c r="D31" s="55"/>
    </row>
    <row r="32" spans="1:5">
      <c r="B32" s="55"/>
      <c r="C32" s="227"/>
    </row>
  </sheetData>
  <sheetProtection formatColumns="0" formatRows="0"/>
  <phoneticPr fontId="10" type="noConversion"/>
  <pageMargins left="0.74" right="0.87" top="0.65" bottom="0.98" header="0.24" footer="0.43"/>
  <pageSetup paperSize="9" fitToHeight="0" orientation="landscape" r:id="rId1"/>
  <headerFooter alignWithMargins="0">
    <oddFooter>&amp;L&amp;8&amp;F
&amp;A
Printed: &amp;T on &amp;D&amp;C&amp;8Page &amp;P of &amp;N</oddFooter>
  </headerFooter>
</worksheet>
</file>

<file path=xl/worksheets/sheet50.xml><?xml version="1.0" encoding="utf-8"?>
<worksheet xmlns="http://schemas.openxmlformats.org/spreadsheetml/2006/main" xmlns:r="http://schemas.openxmlformats.org/officeDocument/2006/relationships">
  <sheetPr codeName="Sheet97" enableFormatConditionsCalculation="0">
    <tabColor rgb="FF339966"/>
    <pageSetUpPr fitToPage="1"/>
  </sheetPr>
  <dimension ref="A1:T239"/>
  <sheetViews>
    <sheetView showGridLines="0" topLeftCell="A5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37</v>
      </c>
      <c r="M1" s="282"/>
      <c r="N1" s="280"/>
      <c r="O1" s="280"/>
      <c r="P1" s="280"/>
      <c r="Q1" s="280"/>
      <c r="R1" s="280"/>
      <c r="S1" s="280"/>
      <c r="T1" s="280"/>
    </row>
    <row r="2" spans="1:20" ht="15.75">
      <c r="A2" s="184" t="s">
        <v>121</v>
      </c>
      <c r="B2" s="74" t="str">
        <f ca="1">OFFSET(List_AllocOpexListStart,+$K$1,1)</f>
        <v>Voluntary Separation Packages (VSP’s)</v>
      </c>
      <c r="F2" s="284"/>
      <c r="H2" s="42"/>
      <c r="I2" s="283"/>
      <c r="L2" s="282"/>
      <c r="M2" s="282"/>
    </row>
    <row r="3" spans="1:20" ht="16.5" thickBot="1">
      <c r="A3" s="184" t="s">
        <v>371</v>
      </c>
      <c r="B3" s="236" t="str">
        <f ca="1">OFFSET(List_AllocOpexListStart,+$K$1,2)</f>
        <v>John Fleetwood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0.40400000000000003</v>
      </c>
      <c r="E8" s="285">
        <f ca="1">OFFSET(Future_AOpexStart,MATCH($K$1,'I-6 Future A'!$A$6:$A$379)+2,+'I-5 Future DA'!F$5)</f>
        <v>0.40400000000000003</v>
      </c>
      <c r="F8" s="285">
        <f ca="1">OFFSET(Future_AOpexStart,MATCH($K$1,'I-6 Future A'!$A$6:$A$379)+2,+'I-5 Future DA'!G$5)</f>
        <v>0.40400000000000003</v>
      </c>
      <c r="G8" s="285">
        <f ca="1">OFFSET(Future_AOpexStart,MATCH($K$1,'I-6 Future A'!$A$6:$A$379)+2,+'I-5 Future DA'!H$5)</f>
        <v>0.40400000000000003</v>
      </c>
      <c r="H8" s="285">
        <f ca="1">OFFSET(Future_AOpexStart,MATCH($K$1,'I-6 Future A'!$A$6:$A$379)+2,+'I-5 Future DA'!I$5)</f>
        <v>0.40400000000000003</v>
      </c>
      <c r="I8" s="285">
        <f ca="1">OFFSET(Future_AOpexStart,MATCH($K$1,'I-6 Future A'!$A$6:$A$379)+2,+'I-5 Future DA'!J$5)</f>
        <v>0.40400000000000003</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0.40400000000000003</v>
      </c>
      <c r="E14" s="287">
        <f t="shared" ca="1" si="0"/>
        <v>0.40400000000000003</v>
      </c>
      <c r="F14" s="287">
        <f t="shared" ca="1" si="0"/>
        <v>0.40400000000000003</v>
      </c>
      <c r="G14" s="287">
        <f t="shared" ca="1" si="0"/>
        <v>0.40400000000000003</v>
      </c>
      <c r="H14" s="287">
        <f t="shared" ca="1" si="0"/>
        <v>0.40400000000000003</v>
      </c>
      <c r="I14" s="287">
        <f t="shared" ca="1" si="0"/>
        <v>0.40400000000000003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+'A-37'!B8+'A-37'!B19</f>
        <v>0</v>
      </c>
      <c r="C30" s="285">
        <f ca="1">+'A-37'!C8+'A-37'!C19</f>
        <v>0</v>
      </c>
      <c r="D30" s="285">
        <f ca="1">+'A-37'!D8+'A-37'!D19</f>
        <v>0.40400000000000003</v>
      </c>
      <c r="E30" s="285">
        <f ca="1">+'A-37'!E8+'A-37'!E19</f>
        <v>0.40400000000000003</v>
      </c>
      <c r="F30" s="285">
        <f ca="1">+'A-37'!F8+'A-37'!F19</f>
        <v>0.40400000000000003</v>
      </c>
      <c r="G30" s="285">
        <f ca="1">+'A-37'!G8+'A-37'!G19</f>
        <v>0.40400000000000003</v>
      </c>
      <c r="H30" s="285">
        <f ca="1">+'A-37'!H8+'A-37'!H19</f>
        <v>0.40400000000000003</v>
      </c>
      <c r="I30" s="285">
        <f ca="1">+'A-37'!I8+'A-37'!I19</f>
        <v>0.40400000000000003</v>
      </c>
      <c r="J30" s="42"/>
      <c r="K30" s="21"/>
      <c r="L30" s="21"/>
    </row>
    <row r="31" spans="1:12" outlineLevel="2">
      <c r="A31" s="61" t="s">
        <v>69</v>
      </c>
      <c r="B31" s="285">
        <f ca="1">+'A-37'!B9+'A-37'!B20</f>
        <v>0</v>
      </c>
      <c r="C31" s="285">
        <f ca="1">+'A-37'!C9+'A-37'!C20</f>
        <v>0</v>
      </c>
      <c r="D31" s="285">
        <f ca="1">+'A-37'!D9+'A-37'!D20</f>
        <v>0</v>
      </c>
      <c r="E31" s="285">
        <f ca="1">+'A-37'!E9+'A-37'!E20</f>
        <v>0</v>
      </c>
      <c r="F31" s="285">
        <f ca="1">+'A-37'!F9+'A-37'!F20</f>
        <v>0</v>
      </c>
      <c r="G31" s="285">
        <f ca="1">+'A-37'!G9+'A-37'!G20</f>
        <v>0</v>
      </c>
      <c r="H31" s="285">
        <f ca="1">+'A-37'!H9+'A-37'!H20</f>
        <v>0</v>
      </c>
      <c r="I31" s="285">
        <f ca="1">+'A-37'!I9+'A-37'!I20</f>
        <v>0</v>
      </c>
      <c r="J31" s="42"/>
      <c r="K31" s="21"/>
      <c r="L31" s="21"/>
    </row>
    <row r="32" spans="1:12" s="759" customFormat="1" outlineLevel="2">
      <c r="A32" s="61" t="s">
        <v>646</v>
      </c>
      <c r="B32" s="285">
        <f ca="1">+'A-37'!B10+'A-37'!B21</f>
        <v>0</v>
      </c>
      <c r="C32" s="285">
        <f ca="1">+'A-37'!C10+'A-37'!C21</f>
        <v>0</v>
      </c>
      <c r="D32" s="285">
        <f ca="1">+'A-37'!D10+'A-37'!D21</f>
        <v>0</v>
      </c>
      <c r="E32" s="285">
        <f ca="1">+'A-37'!E10+'A-37'!E21</f>
        <v>0</v>
      </c>
      <c r="F32" s="285">
        <f ca="1">+'A-37'!F10+'A-37'!F21</f>
        <v>0</v>
      </c>
      <c r="G32" s="285">
        <f ca="1">+'A-37'!G10+'A-37'!G21</f>
        <v>0</v>
      </c>
      <c r="H32" s="285">
        <f ca="1">+'A-37'!H10+'A-37'!H21</f>
        <v>0</v>
      </c>
      <c r="I32" s="285">
        <f ca="1">+'A-37'!I10+'A-37'!I21</f>
        <v>0</v>
      </c>
      <c r="J32" s="42"/>
      <c r="K32" s="732"/>
      <c r="L32" s="732"/>
    </row>
    <row r="33" spans="1:12" outlineLevel="2">
      <c r="A33" s="61" t="s">
        <v>647</v>
      </c>
      <c r="B33" s="285">
        <f ca="1">+'A-37'!B11+'A-37'!B22</f>
        <v>0</v>
      </c>
      <c r="C33" s="285">
        <f ca="1">+'A-37'!C11+'A-37'!C22</f>
        <v>0</v>
      </c>
      <c r="D33" s="285">
        <f ca="1">+'A-37'!D11+'A-37'!D22</f>
        <v>0</v>
      </c>
      <c r="E33" s="285">
        <f ca="1">+'A-37'!E11+'A-37'!E22</f>
        <v>0</v>
      </c>
      <c r="F33" s="285">
        <f ca="1">+'A-37'!F11+'A-37'!F22</f>
        <v>0</v>
      </c>
      <c r="G33" s="285">
        <f ca="1">+'A-37'!G11+'A-37'!G22</f>
        <v>0</v>
      </c>
      <c r="H33" s="285">
        <f ca="1">+'A-37'!H11+'A-37'!H22</f>
        <v>0</v>
      </c>
      <c r="I33" s="285">
        <f ca="1">+'A-37'!I11+'A-37'!I22</f>
        <v>0</v>
      </c>
      <c r="J33" s="42"/>
      <c r="K33" s="21"/>
      <c r="L33" s="21"/>
    </row>
    <row r="34" spans="1:12" s="759" customFormat="1" outlineLevel="2">
      <c r="A34" s="61" t="s">
        <v>575</v>
      </c>
      <c r="B34" s="285">
        <f ca="1">+'A-37'!B12+'A-37'!B23</f>
        <v>0</v>
      </c>
      <c r="C34" s="285">
        <f ca="1">+'A-37'!C12+'A-37'!C23</f>
        <v>0</v>
      </c>
      <c r="D34" s="285">
        <f ca="1">+'A-37'!D12+'A-37'!D23</f>
        <v>0</v>
      </c>
      <c r="E34" s="285">
        <f ca="1">+'A-37'!E12+'A-37'!E23</f>
        <v>0</v>
      </c>
      <c r="F34" s="285">
        <f ca="1">+'A-37'!F12+'A-37'!F23</f>
        <v>0</v>
      </c>
      <c r="G34" s="285">
        <f ca="1">+'A-37'!G12+'A-37'!G23</f>
        <v>0</v>
      </c>
      <c r="H34" s="285">
        <f ca="1">+'A-37'!H12+'A-37'!H23</f>
        <v>0</v>
      </c>
      <c r="I34" s="285">
        <f ca="1">+'A-37'!I12+'A-37'!I23</f>
        <v>0</v>
      </c>
      <c r="J34" s="42"/>
      <c r="K34" s="732"/>
      <c r="L34" s="732"/>
    </row>
    <row r="35" spans="1:12" ht="13.5" outlineLevel="2" thickBot="1">
      <c r="A35" s="83" t="s">
        <v>70</v>
      </c>
      <c r="B35" s="285">
        <f ca="1">+'A-37'!B13+'A-37'!B24</f>
        <v>0</v>
      </c>
      <c r="C35" s="285">
        <f ca="1">+'A-37'!C13+'A-37'!C24</f>
        <v>0</v>
      </c>
      <c r="D35" s="285">
        <f ca="1">+'A-37'!D13+'A-37'!D24</f>
        <v>0</v>
      </c>
      <c r="E35" s="285">
        <f ca="1">+'A-37'!E13+'A-37'!E24</f>
        <v>0</v>
      </c>
      <c r="F35" s="285">
        <f ca="1">+'A-37'!F13+'A-37'!F24</f>
        <v>0</v>
      </c>
      <c r="G35" s="285">
        <f ca="1">+'A-37'!G13+'A-37'!G24</f>
        <v>0</v>
      </c>
      <c r="H35" s="285">
        <f ca="1">+'A-37'!H13+'A-37'!H24</f>
        <v>0</v>
      </c>
      <c r="I35" s="285">
        <f ca="1">+'A-37'!I13+'A-37'!I24</f>
        <v>0</v>
      </c>
      <c r="J35" s="93"/>
      <c r="K35" s="21"/>
      <c r="L35" s="21"/>
    </row>
    <row r="36" spans="1:12" s="87" customFormat="1" ht="20.25" customHeight="1" thickBot="1">
      <c r="A36" s="94" t="s">
        <v>128</v>
      </c>
      <c r="B36" s="294">
        <f t="shared" ref="B36:I36" ca="1" si="7">SUM(B30:B35)</f>
        <v>0</v>
      </c>
      <c r="C36" s="294">
        <f t="shared" ca="1" si="7"/>
        <v>0</v>
      </c>
      <c r="D36" s="294">
        <f t="shared" ca="1" si="7"/>
        <v>0.40400000000000003</v>
      </c>
      <c r="E36" s="294">
        <f t="shared" ca="1" si="7"/>
        <v>0.40400000000000003</v>
      </c>
      <c r="F36" s="294">
        <f t="shared" ca="1" si="7"/>
        <v>0.40400000000000003</v>
      </c>
      <c r="G36" s="294">
        <f t="shared" ca="1" si="7"/>
        <v>0.40400000000000003</v>
      </c>
      <c r="H36" s="294">
        <f t="shared" ca="1" si="7"/>
        <v>0.40400000000000003</v>
      </c>
      <c r="I36" s="294">
        <f t="shared" ca="1" si="7"/>
        <v>0.40400000000000003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4.2864231456189892E-3</v>
      </c>
      <c r="F42" s="285">
        <f t="shared" ca="1" si="8"/>
        <v>8.2581620299391478E-3</v>
      </c>
      <c r="G42" s="285">
        <f t="shared" ca="1" si="8"/>
        <v>1.2184181813989996E-2</v>
      </c>
      <c r="H42" s="285">
        <f t="shared" ca="1" si="8"/>
        <v>1.6443597959386262E-2</v>
      </c>
      <c r="I42" s="285">
        <f t="shared" ca="1" si="8"/>
        <v>2.0345255026176075E-2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4.2864231456189892E-3</v>
      </c>
      <c r="F48" s="294">
        <f t="shared" ca="1" si="13"/>
        <v>8.2581620299391478E-3</v>
      </c>
      <c r="G48" s="294">
        <f t="shared" ca="1" si="13"/>
        <v>1.2184181813989996E-2</v>
      </c>
      <c r="H48" s="294">
        <f t="shared" ca="1" si="13"/>
        <v>1.6443597959386262E-2</v>
      </c>
      <c r="I48" s="294">
        <f t="shared" ca="1" si="13"/>
        <v>2.0345255026176075E-2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8.7609961462757711E-3</v>
      </c>
      <c r="F53" s="285">
        <f t="shared" ca="1" si="14"/>
        <v>1.7882265088768563E-2</v>
      </c>
      <c r="G53" s="285">
        <f t="shared" ca="1" si="14"/>
        <v>2.7880965257026675E-2</v>
      </c>
      <c r="H53" s="285">
        <f t="shared" ca="1" si="14"/>
        <v>3.8320033831059086E-2</v>
      </c>
      <c r="I53" s="285">
        <f t="shared" ca="1" si="14"/>
        <v>4.9155535083017711E-2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8.7609961462757711E-3</v>
      </c>
      <c r="F59" s="287">
        <f t="shared" ca="1" si="19"/>
        <v>1.7882265088768563E-2</v>
      </c>
      <c r="G59" s="287">
        <f t="shared" ca="1" si="19"/>
        <v>2.7880965257026675E-2</v>
      </c>
      <c r="H59" s="287">
        <f t="shared" ca="1" si="19"/>
        <v>3.8320033831059086E-2</v>
      </c>
      <c r="I59" s="287">
        <f t="shared" ca="1" si="19"/>
        <v>4.9155535083017711E-2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0.40400000000000003</v>
      </c>
      <c r="E64" s="285">
        <f t="shared" ca="1" si="20"/>
        <v>0.41704741929189482</v>
      </c>
      <c r="F64" s="285">
        <f t="shared" ca="1" si="20"/>
        <v>0.4301404271187077</v>
      </c>
      <c r="G64" s="285">
        <f t="shared" ca="1" si="20"/>
        <v>0.44406514707101669</v>
      </c>
      <c r="H64" s="285">
        <f t="shared" ca="1" si="20"/>
        <v>0.45876363179044538</v>
      </c>
      <c r="I64" s="285">
        <f t="shared" ca="1" si="20"/>
        <v>0.47350079010919383</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0.40400000000000003</v>
      </c>
      <c r="E70" s="295">
        <f t="shared" ca="1" si="25"/>
        <v>0.41704741929189482</v>
      </c>
      <c r="F70" s="295">
        <f t="shared" ca="1" si="25"/>
        <v>0.4301404271187077</v>
      </c>
      <c r="G70" s="295">
        <f t="shared" ca="1" si="25"/>
        <v>0.44406514707101669</v>
      </c>
      <c r="H70" s="295">
        <f t="shared" ca="1" si="25"/>
        <v>0.45876363179044538</v>
      </c>
      <c r="I70" s="295">
        <f t="shared" ca="1" si="25"/>
        <v>0.47350079010919383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4.2864231456189892E-3</v>
      </c>
      <c r="Q77" s="285">
        <f ca="1">IF($B77&lt;&gt;0,(+VLOOKUP($B77,$A$8:$I$13,6,FALSE))*(F77),0)</f>
        <v>8.2581620299391478E-3</v>
      </c>
      <c r="R77" s="285">
        <f ca="1">IF($B77&lt;&gt;0,(+VLOOKUP($B77,$A$8:$I$13,7,FALSE))*(G77),0)</f>
        <v>1.2184181813989996E-2</v>
      </c>
      <c r="S77" s="285">
        <f ca="1">IF($B77&lt;&gt;0,(+VLOOKUP($B77,$A$8:$I$13,8,FALSE))*(H77),0)</f>
        <v>1.6443597959386262E-2</v>
      </c>
      <c r="T77" s="285">
        <f ca="1">IF($B77&lt;&gt;0,(+VLOOKUP($B77,$A$8:$I$13,9,FALSE))*(I77),0)</f>
        <v>2.0345255026176075E-2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4.2864231456189892E-3</v>
      </c>
      <c r="Q83" s="292">
        <f t="shared" ca="1" si="51"/>
        <v>8.2581620299391478E-3</v>
      </c>
      <c r="R83" s="292">
        <f t="shared" ca="1" si="51"/>
        <v>1.2184181813989996E-2</v>
      </c>
      <c r="S83" s="292">
        <f t="shared" ca="1" si="51"/>
        <v>1.6443597959386262E-2</v>
      </c>
      <c r="T83" s="292">
        <f t="shared" ca="1" si="51"/>
        <v>2.0345255026176075E-2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4.2864231456189892E-3</v>
      </c>
      <c r="F98" s="285">
        <f t="shared" ca="1" si="54"/>
        <v>8.2581620299391478E-3</v>
      </c>
      <c r="G98" s="285">
        <f t="shared" ca="1" si="54"/>
        <v>1.2184181813989996E-2</v>
      </c>
      <c r="H98" s="285">
        <f t="shared" ca="1" si="54"/>
        <v>1.6443597959386262E-2</v>
      </c>
      <c r="I98" s="285">
        <f t="shared" ca="1" si="54"/>
        <v>2.0345255026176075E-2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4.2864231456189892E-3</v>
      </c>
      <c r="F104" s="296">
        <f t="shared" ca="1" si="60"/>
        <v>8.2581620299391478E-3</v>
      </c>
      <c r="G104" s="296">
        <f t="shared" ca="1" si="60"/>
        <v>1.2184181813989996E-2</v>
      </c>
      <c r="H104" s="296">
        <f t="shared" ca="1" si="60"/>
        <v>1.6443597959386262E-2</v>
      </c>
      <c r="I104" s="296">
        <f t="shared" ca="1" si="60"/>
        <v>2.0345255026176075E-2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8.7609961462757711E-3</v>
      </c>
      <c r="Q113" s="285">
        <f ca="1">IF($B113&lt;&gt;0,(+VLOOKUP($B113,$A$8:$I$13,6,FALSE)+VLOOKUP($B113,$A$42:$I$47,6,FALSE))*(F113),0)</f>
        <v>1.7882265088768563E-2</v>
      </c>
      <c r="R113" s="285">
        <f ca="1">IF($B113&lt;&gt;0,(+VLOOKUP($B113,$A$8:$I$13,7,FALSE)+VLOOKUP($B113,$A$42:$I$47,7,FALSE))*(G113),0)</f>
        <v>2.7880965257026675E-2</v>
      </c>
      <c r="S113" s="285">
        <f ca="1">IF($B113&lt;&gt;0,(+VLOOKUP($B113,$A$8:$I$13,8,FALSE)+VLOOKUP($B113,$A$42:$I$47,8,FALSE))*(H113),0)</f>
        <v>3.8320033831059086E-2</v>
      </c>
      <c r="T113" s="285">
        <f ca="1">IF($B113&lt;&gt;0,(+VLOOKUP($B113,$A$8:$I$13,9,FALSE)+VLOOKUP($B113,$A$42:$I$47,9,FALSE))*(I113),0)</f>
        <v>4.9155535083017711E-2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8.7609961462757711E-3</v>
      </c>
      <c r="Q119" s="292">
        <f t="shared" ca="1" si="72"/>
        <v>1.7882265088768563E-2</v>
      </c>
      <c r="R119" s="292">
        <f t="shared" ca="1" si="72"/>
        <v>2.7880965257026675E-2</v>
      </c>
      <c r="S119" s="292">
        <f t="shared" ca="1" si="72"/>
        <v>3.8320033831059086E-2</v>
      </c>
      <c r="T119" s="292">
        <f t="shared" ca="1" si="72"/>
        <v>4.9155535083017711E-2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8.7609961462757711E-3</v>
      </c>
      <c r="F134" s="285">
        <f t="shared" ca="1" si="75"/>
        <v>1.7882265088768563E-2</v>
      </c>
      <c r="G134" s="285">
        <f t="shared" ca="1" si="75"/>
        <v>2.7880965257026675E-2</v>
      </c>
      <c r="H134" s="285">
        <f t="shared" ca="1" si="75"/>
        <v>3.8320033831059086E-2</v>
      </c>
      <c r="I134" s="285">
        <f t="shared" ca="1" si="75"/>
        <v>4.9155535083017711E-2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8.7609961462757711E-3</v>
      </c>
      <c r="F140" s="296">
        <f t="shared" ca="1" si="81"/>
        <v>1.7882265088768563E-2</v>
      </c>
      <c r="G140" s="296">
        <f t="shared" ca="1" si="81"/>
        <v>2.7880965257026675E-2</v>
      </c>
      <c r="H140" s="296">
        <f t="shared" ca="1" si="81"/>
        <v>3.8320033831059086E-2</v>
      </c>
      <c r="I140" s="296">
        <f t="shared" ca="1" si="81"/>
        <v>4.9155535083017711E-2</v>
      </c>
    </row>
    <row r="141" spans="1:16" ht="13.5"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9.1141913010554854E-2</v>
      </c>
      <c r="I141" s="124">
        <f t="shared" ca="1" si="82"/>
        <v>0.11583854067128785</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 t="shared" ref="J161:J169" si="89">IF(J160&lt;$D$158,J160+1,"")</f>
        <v/>
      </c>
      <c r="K161" s="66" t="str">
        <f t="shared" ref="K161:K169" ca="1" si="90">IF(ISNUMBER($J161),OFFSET($B$177,MATCH(+$J161,$J$178:$J$195,0)+1,0),"")</f>
        <v/>
      </c>
      <c r="L161" s="66" t="str">
        <f t="shared" ref="L161:L169" ca="1" si="91">IF(ISNUMBER($J161),OFFSET($B$177,MATCH(+$J161,$J$178:$J$195,0)+2,0),"")</f>
        <v/>
      </c>
      <c r="M161" s="66" t="str">
        <f t="shared" ref="M161:M169" ca="1" si="92">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si="89"/>
        <v/>
      </c>
      <c r="K162" s="66" t="str">
        <f t="shared" ca="1" si="90"/>
        <v/>
      </c>
      <c r="L162" s="66" t="str">
        <f t="shared" ca="1" si="91"/>
        <v/>
      </c>
      <c r="M162" s="66" t="str">
        <f t="shared" ca="1" si="92"/>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89"/>
        <v/>
      </c>
      <c r="K163" s="66" t="str">
        <f t="shared" ca="1" si="90"/>
        <v/>
      </c>
      <c r="L163" s="66" t="str">
        <f t="shared" ca="1" si="91"/>
        <v/>
      </c>
      <c r="M163" s="66" t="str">
        <f t="shared" ca="1" si="92"/>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89"/>
        <v/>
      </c>
      <c r="K164" s="66" t="str">
        <f t="shared" ca="1" si="90"/>
        <v/>
      </c>
      <c r="L164" s="66" t="str">
        <f t="shared" ca="1" si="91"/>
        <v/>
      </c>
      <c r="M164" s="66" t="str">
        <f t="shared" ca="1" si="92"/>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89"/>
        <v/>
      </c>
      <c r="K165" s="66" t="str">
        <f t="shared" ca="1" si="90"/>
        <v/>
      </c>
      <c r="L165" s="66" t="str">
        <f t="shared" ca="1" si="91"/>
        <v/>
      </c>
      <c r="M165" s="66" t="str">
        <f t="shared" ca="1" si="92"/>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89"/>
        <v/>
      </c>
      <c r="K166" s="66" t="str">
        <f t="shared" ca="1" si="90"/>
        <v/>
      </c>
      <c r="L166" s="66" t="str">
        <f t="shared" ca="1" si="91"/>
        <v/>
      </c>
      <c r="M166" s="66" t="str">
        <f t="shared" ca="1" si="92"/>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89"/>
        <v/>
      </c>
      <c r="K167" s="66" t="str">
        <f t="shared" ca="1" si="90"/>
        <v/>
      </c>
      <c r="L167" s="66" t="str">
        <f t="shared" ca="1" si="91"/>
        <v/>
      </c>
      <c r="M167" s="66" t="str">
        <f t="shared" ca="1" si="92"/>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89"/>
        <v/>
      </c>
      <c r="K168" s="66" t="str">
        <f t="shared" ca="1" si="90"/>
        <v/>
      </c>
      <c r="L168" s="66" t="str">
        <f t="shared" ca="1" si="91"/>
        <v/>
      </c>
      <c r="M168" s="66" t="str">
        <f t="shared" ca="1" si="92"/>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89"/>
        <v/>
      </c>
      <c r="K169" s="66" t="str">
        <f t="shared" ca="1" si="90"/>
        <v/>
      </c>
      <c r="L169" s="66" t="str">
        <f t="shared" ca="1" si="91"/>
        <v/>
      </c>
      <c r="M169" s="66" t="str">
        <f t="shared" ca="1" si="92"/>
        <v/>
      </c>
    </row>
    <row r="170" spans="1:13">
      <c r="A170" s="129" t="s">
        <v>150</v>
      </c>
      <c r="B170" s="296">
        <f t="shared" ref="B170:I170" ca="1" si="93">SUM(B160:B169)</f>
        <v>0</v>
      </c>
      <c r="C170" s="296">
        <f t="shared" ca="1" si="93"/>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(SEM)'!$N$331:$R$336</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0.40400000000000003</v>
      </c>
      <c r="E205" s="82">
        <f t="shared" ca="1" si="95"/>
        <v>0.40400000000000003</v>
      </c>
      <c r="F205" s="82">
        <f t="shared" ca="1" si="95"/>
        <v>0.40400000000000003</v>
      </c>
      <c r="G205" s="82">
        <f t="shared" ca="1" si="95"/>
        <v>0.40400000000000003</v>
      </c>
      <c r="H205" s="82">
        <f t="shared" ca="1" si="95"/>
        <v>0.40400000000000003</v>
      </c>
      <c r="I205" s="82">
        <f t="shared" ca="1" si="95"/>
        <v>0.40400000000000003</v>
      </c>
    </row>
    <row r="206" spans="1:9" outlineLevel="1">
      <c r="A206" t="s">
        <v>156</v>
      </c>
      <c r="B206" s="82">
        <f t="shared" ref="B206:I206" ca="1" si="96">+B36</f>
        <v>0</v>
      </c>
      <c r="C206" s="82">
        <f t="shared" ca="1" si="96"/>
        <v>0</v>
      </c>
      <c r="D206" s="82">
        <f t="shared" ca="1" si="96"/>
        <v>0.40400000000000003</v>
      </c>
      <c r="E206" s="82">
        <f t="shared" ca="1" si="96"/>
        <v>0.40400000000000003</v>
      </c>
      <c r="F206" s="82">
        <f t="shared" ca="1" si="96"/>
        <v>0.40400000000000003</v>
      </c>
      <c r="G206" s="82">
        <f t="shared" ca="1" si="96"/>
        <v>0.40400000000000003</v>
      </c>
      <c r="H206" s="82">
        <f t="shared" ca="1" si="96"/>
        <v>0.40400000000000003</v>
      </c>
      <c r="I206" s="82">
        <f t="shared" ca="1" si="96"/>
        <v>0.40400000000000003</v>
      </c>
    </row>
    <row r="207" spans="1:9" outlineLevel="1">
      <c r="A207" t="s">
        <v>157</v>
      </c>
      <c r="B207" s="82">
        <f t="shared" ref="B207:I207" ca="1" si="97">+B36+B48</f>
        <v>0</v>
      </c>
      <c r="C207" s="82">
        <f t="shared" ca="1" si="97"/>
        <v>0</v>
      </c>
      <c r="D207" s="82">
        <f t="shared" ca="1" si="97"/>
        <v>0.40400000000000003</v>
      </c>
      <c r="E207" s="82">
        <f t="shared" ca="1" si="97"/>
        <v>0.40828642314561903</v>
      </c>
      <c r="F207" s="82">
        <f t="shared" ca="1" si="97"/>
        <v>0.41225816202993915</v>
      </c>
      <c r="G207" s="82">
        <f t="shared" ca="1" si="97"/>
        <v>0.41618418181399003</v>
      </c>
      <c r="H207" s="82">
        <f t="shared" ca="1" si="97"/>
        <v>0.42044359795938629</v>
      </c>
      <c r="I207" s="82">
        <f t="shared" ca="1" si="97"/>
        <v>0.42434525502617609</v>
      </c>
    </row>
    <row r="208" spans="1:9" outlineLevel="1">
      <c r="A208" t="s">
        <v>158</v>
      </c>
      <c r="B208" s="82">
        <f t="shared" ref="B208:I208" ca="1" si="98">+B70</f>
        <v>0</v>
      </c>
      <c r="C208" s="82">
        <f t="shared" ca="1" si="98"/>
        <v>0</v>
      </c>
      <c r="D208" s="82">
        <f t="shared" ca="1" si="98"/>
        <v>0.40400000000000003</v>
      </c>
      <c r="E208" s="82">
        <f t="shared" ca="1" si="98"/>
        <v>0.41704741929189482</v>
      </c>
      <c r="F208" s="82">
        <f t="shared" ca="1" si="98"/>
        <v>0.4301404271187077</v>
      </c>
      <c r="G208" s="82">
        <f t="shared" ca="1" si="98"/>
        <v>0.44406514707101669</v>
      </c>
      <c r="H208" s="82">
        <f t="shared" ca="1" si="98"/>
        <v>0.45876363179044538</v>
      </c>
      <c r="I208" s="82">
        <f t="shared" ca="1" si="98"/>
        <v>0.47350079010919383</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200" priority="1" stopIfTrue="1" operator="notEqual">
      <formula>0</formula>
    </cfRule>
  </conditionalFormatting>
  <conditionalFormatting sqref="J130 J94 J70 J59 J48 J36:J37 J14 J25">
    <cfRule type="cellIs" dxfId="199" priority="2" stopIfTrue="1" operator="equal">
      <formula>"OK"</formula>
    </cfRule>
    <cfRule type="cellIs" dxfId="198" priority="3" stopIfTrue="1" operator="equal">
      <formula>"Warning Check Escalations"</formula>
    </cfRule>
  </conditionalFormatting>
  <conditionalFormatting sqref="N120:T120 N84:T84">
    <cfRule type="cellIs" dxfId="197" priority="4" stopIfTrue="1" operator="notEqual">
      <formula>0</formula>
    </cfRule>
    <cfRule type="cellIs" dxfId="19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1.xml><?xml version="1.0" encoding="utf-8"?>
<worksheet xmlns="http://schemas.openxmlformats.org/spreadsheetml/2006/main" xmlns:r="http://schemas.openxmlformats.org/officeDocument/2006/relationships">
  <sheetPr codeName="Sheet98" enableFormatConditionsCalculation="0">
    <tabColor rgb="FF339966"/>
    <pageSetUpPr fitToPage="1"/>
  </sheetPr>
  <dimension ref="A1:T240"/>
  <sheetViews>
    <sheetView showGridLines="0" topLeftCell="A177" zoomScaleNormal="100" workbookViewId="0">
      <selection activeCell="L189" sqref="L189"/>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38</v>
      </c>
      <c r="M1" s="282"/>
      <c r="N1" s="280"/>
      <c r="O1" s="280"/>
      <c r="P1" s="280"/>
      <c r="Q1" s="280"/>
      <c r="R1" s="280"/>
      <c r="S1" s="280"/>
      <c r="T1" s="280"/>
    </row>
    <row r="2" spans="1:20" ht="15.75">
      <c r="A2" s="184" t="s">
        <v>121</v>
      </c>
      <c r="B2" s="74" t="str">
        <f ca="1">OFFSET(List_AllocOpexListStart,+$K$1,1)</f>
        <v>Superannuation</v>
      </c>
      <c r="F2" s="284"/>
      <c r="H2" s="42"/>
      <c r="I2" s="283"/>
      <c r="L2" s="282"/>
      <c r="M2" s="282"/>
    </row>
    <row r="3" spans="1:20" ht="16.5" thickBot="1">
      <c r="A3" s="184" t="s">
        <v>371</v>
      </c>
      <c r="B3" s="236" t="str">
        <f ca="1">OFFSET(List_AllocOpexListStart,+$K$1,2)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-4.0670000000000002</v>
      </c>
      <c r="E8" s="285">
        <f ca="1">OFFSET(Future_AOpexStart,MATCH($K$1,'I-6 Future A'!$A$6:$A$379)+2,+'I-5 Future DA'!F$5)</f>
        <v>-4.0670000000000002</v>
      </c>
      <c r="F8" s="285">
        <f ca="1">OFFSET(Future_AOpexStart,MATCH($K$1,'I-6 Future A'!$A$6:$A$379)+2,+'I-5 Future DA'!G$5)</f>
        <v>-4.0670000000000002</v>
      </c>
      <c r="G8" s="285">
        <f ca="1">OFFSET(Future_AOpexStart,MATCH($K$1,'I-6 Future A'!$A$6:$A$379)+2,+'I-5 Future DA'!H$5)</f>
        <v>-4.0670000000000002</v>
      </c>
      <c r="H8" s="285">
        <f ca="1">OFFSET(Future_AOpexStart,MATCH($K$1,'I-6 Future A'!$A$6:$A$379)+2,+'I-5 Future DA'!I$5)</f>
        <v>-4.0670000000000002</v>
      </c>
      <c r="I8" s="285">
        <f ca="1">OFFSET(Future_AOpexStart,MATCH($K$1,'I-6 Future A'!$A$6:$A$379)+2,+'I-5 Future DA'!J$5)</f>
        <v>-4.0670000000000002</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-4.0670000000000002</v>
      </c>
      <c r="E14" s="287">
        <f t="shared" ca="1" si="0"/>
        <v>-4.0670000000000002</v>
      </c>
      <c r="F14" s="287">
        <f t="shared" ca="1" si="0"/>
        <v>-4.0670000000000002</v>
      </c>
      <c r="G14" s="287">
        <f t="shared" ca="1" si="0"/>
        <v>-4.0670000000000002</v>
      </c>
      <c r="H14" s="287">
        <f t="shared" ca="1" si="0"/>
        <v>-4.0670000000000002</v>
      </c>
      <c r="I14" s="287">
        <f t="shared" ca="1" si="0"/>
        <v>-4.0670000000000002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+'A-38'!B8+'A-38'!B19</f>
        <v>0</v>
      </c>
      <c r="C30" s="285">
        <f ca="1">+'A-38'!C8+'A-38'!C19</f>
        <v>0</v>
      </c>
      <c r="D30" s="285">
        <f ca="1">+'A-38'!D8+'A-38'!D19</f>
        <v>-4.0670000000000002</v>
      </c>
      <c r="E30" s="285">
        <f ca="1">+'A-38'!E8+'A-38'!E19</f>
        <v>-4.0670000000000002</v>
      </c>
      <c r="F30" s="285">
        <f ca="1">+'A-38'!F8+'A-38'!F19</f>
        <v>-4.0670000000000002</v>
      </c>
      <c r="G30" s="285">
        <f ca="1">+'A-38'!G8+'A-38'!G19</f>
        <v>-4.0670000000000002</v>
      </c>
      <c r="H30" s="285">
        <f ca="1">+'A-38'!H8+'A-38'!H19</f>
        <v>-4.0670000000000002</v>
      </c>
      <c r="I30" s="285">
        <f ca="1">+'A-38'!I8+'A-38'!I19</f>
        <v>-4.0670000000000002</v>
      </c>
      <c r="J30" s="42"/>
      <c r="K30" s="21"/>
      <c r="L30" s="21"/>
    </row>
    <row r="31" spans="1:12" outlineLevel="2">
      <c r="A31" s="61" t="s">
        <v>69</v>
      </c>
      <c r="B31" s="285">
        <f ca="1">+'A-38'!B9+'A-38'!B20</f>
        <v>0</v>
      </c>
      <c r="C31" s="285">
        <f ca="1">+'A-38'!C9+'A-38'!C20</f>
        <v>0</v>
      </c>
      <c r="D31" s="285">
        <f ca="1">+'A-38'!D9+'A-38'!D20</f>
        <v>0</v>
      </c>
      <c r="E31" s="285">
        <f ca="1">+'A-38'!E9+'A-38'!E20</f>
        <v>0</v>
      </c>
      <c r="F31" s="285">
        <f ca="1">+'A-38'!F9+'A-38'!F20</f>
        <v>0</v>
      </c>
      <c r="G31" s="285">
        <f ca="1">+'A-38'!G9+'A-38'!G20</f>
        <v>0</v>
      </c>
      <c r="H31" s="285">
        <f ca="1">+'A-38'!H9+'A-38'!H20</f>
        <v>0</v>
      </c>
      <c r="I31" s="285">
        <f ca="1">+'A-38'!I9+'A-38'!I20</f>
        <v>0</v>
      </c>
      <c r="J31" s="42"/>
      <c r="K31" s="21"/>
      <c r="L31" s="21"/>
    </row>
    <row r="32" spans="1:12" s="759" customFormat="1" outlineLevel="2">
      <c r="A32" s="61" t="s">
        <v>646</v>
      </c>
      <c r="B32" s="285">
        <f ca="1">+'A-38'!B10+'A-38'!B21</f>
        <v>0</v>
      </c>
      <c r="C32" s="285">
        <f ca="1">+'A-38'!C10+'A-38'!C21</f>
        <v>0</v>
      </c>
      <c r="D32" s="285">
        <f ca="1">+'A-38'!D10+'A-38'!D21</f>
        <v>0</v>
      </c>
      <c r="E32" s="285">
        <f ca="1">+'A-38'!E10+'A-38'!E21</f>
        <v>0</v>
      </c>
      <c r="F32" s="285">
        <f ca="1">+'A-38'!F10+'A-38'!F21</f>
        <v>0</v>
      </c>
      <c r="G32" s="285">
        <f ca="1">+'A-38'!G10+'A-38'!G21</f>
        <v>0</v>
      </c>
      <c r="H32" s="285">
        <f ca="1">+'A-38'!H10+'A-38'!H21</f>
        <v>0</v>
      </c>
      <c r="I32" s="285">
        <f ca="1">+'A-38'!I10+'A-38'!I21</f>
        <v>0</v>
      </c>
      <c r="J32" s="42"/>
      <c r="K32" s="732"/>
      <c r="L32" s="732"/>
    </row>
    <row r="33" spans="1:12" outlineLevel="2">
      <c r="A33" s="61" t="s">
        <v>647</v>
      </c>
      <c r="B33" s="285">
        <f ca="1">+'A-38'!B11+'A-38'!B22</f>
        <v>0</v>
      </c>
      <c r="C33" s="285">
        <f ca="1">+'A-38'!C11+'A-38'!C22</f>
        <v>0</v>
      </c>
      <c r="D33" s="285">
        <f ca="1">+'A-38'!D11+'A-38'!D22</f>
        <v>0</v>
      </c>
      <c r="E33" s="285">
        <f ca="1">+'A-38'!E11+'A-38'!E22</f>
        <v>0</v>
      </c>
      <c r="F33" s="285">
        <f ca="1">+'A-38'!F11+'A-38'!F22</f>
        <v>0</v>
      </c>
      <c r="G33" s="285">
        <f ca="1">+'A-38'!G11+'A-38'!G22</f>
        <v>0</v>
      </c>
      <c r="H33" s="285">
        <f ca="1">+'A-38'!H11+'A-38'!H22</f>
        <v>0</v>
      </c>
      <c r="I33" s="285">
        <f ca="1">+'A-38'!I11+'A-38'!I22</f>
        <v>0</v>
      </c>
      <c r="J33" s="42"/>
      <c r="K33" s="21"/>
      <c r="L33" s="21"/>
    </row>
    <row r="34" spans="1:12" s="759" customFormat="1" outlineLevel="2">
      <c r="A34" s="61" t="s">
        <v>575</v>
      </c>
      <c r="B34" s="285">
        <f ca="1">+'A-38'!B12+'A-38'!B23</f>
        <v>0</v>
      </c>
      <c r="C34" s="285">
        <f ca="1">+'A-38'!C12+'A-38'!C23</f>
        <v>0</v>
      </c>
      <c r="D34" s="285">
        <f ca="1">+'A-38'!D12+'A-38'!D23</f>
        <v>0</v>
      </c>
      <c r="E34" s="285">
        <f ca="1">+'A-38'!E12+'A-38'!E23</f>
        <v>0</v>
      </c>
      <c r="F34" s="285">
        <f ca="1">+'A-38'!F12+'A-38'!F23</f>
        <v>0</v>
      </c>
      <c r="G34" s="285">
        <f ca="1">+'A-38'!G12+'A-38'!G23</f>
        <v>0</v>
      </c>
      <c r="H34" s="285">
        <f ca="1">+'A-38'!H12+'A-38'!H23</f>
        <v>0</v>
      </c>
      <c r="I34" s="285">
        <f ca="1">+'A-38'!I12+'A-38'!I23</f>
        <v>0</v>
      </c>
      <c r="J34" s="42"/>
      <c r="K34" s="732"/>
      <c r="L34" s="732"/>
    </row>
    <row r="35" spans="1:12" ht="13.5" outlineLevel="2" thickBot="1">
      <c r="A35" s="83" t="s">
        <v>70</v>
      </c>
      <c r="B35" s="285">
        <f ca="1">+'A-38'!B13+'A-38'!B24</f>
        <v>0</v>
      </c>
      <c r="C35" s="285">
        <f ca="1">+'A-38'!C13+'A-38'!C24</f>
        <v>0</v>
      </c>
      <c r="D35" s="285">
        <f ca="1">+'A-38'!D13+'A-38'!D24</f>
        <v>0</v>
      </c>
      <c r="E35" s="285">
        <f ca="1">+'A-38'!E13+'A-38'!E24</f>
        <v>0</v>
      </c>
      <c r="F35" s="285">
        <f ca="1">+'A-38'!F13+'A-38'!F24</f>
        <v>0</v>
      </c>
      <c r="G35" s="285">
        <f ca="1">+'A-38'!G13+'A-38'!G24</f>
        <v>0</v>
      </c>
      <c r="H35" s="285">
        <f ca="1">+'A-38'!H13+'A-38'!H24</f>
        <v>0</v>
      </c>
      <c r="I35" s="285">
        <f ca="1">+'A-38'!I13+'A-38'!I24</f>
        <v>0</v>
      </c>
      <c r="J35" s="93"/>
      <c r="K35" s="21"/>
      <c r="L35" s="21"/>
    </row>
    <row r="36" spans="1:12" s="87" customFormat="1" ht="20.25" customHeight="1" thickBot="1">
      <c r="A36" s="94" t="s">
        <v>128</v>
      </c>
      <c r="B36" s="294">
        <f t="shared" ref="B36:I36" ca="1" si="7">SUM(B30:B35)</f>
        <v>0</v>
      </c>
      <c r="C36" s="294">
        <f t="shared" ca="1" si="7"/>
        <v>0</v>
      </c>
      <c r="D36" s="294">
        <f t="shared" ca="1" si="7"/>
        <v>-4.0670000000000002</v>
      </c>
      <c r="E36" s="294">
        <f t="shared" ca="1" si="7"/>
        <v>-4.0670000000000002</v>
      </c>
      <c r="F36" s="294">
        <f t="shared" ca="1" si="7"/>
        <v>-4.0670000000000002</v>
      </c>
      <c r="G36" s="294">
        <f t="shared" ca="1" si="7"/>
        <v>-4.0670000000000002</v>
      </c>
      <c r="H36" s="294">
        <f t="shared" ca="1" si="7"/>
        <v>-4.0670000000000002</v>
      </c>
      <c r="I36" s="294">
        <f t="shared" ca="1" si="7"/>
        <v>-4.0670000000000002</v>
      </c>
      <c r="J36" s="91" t="str">
        <f ca="1">IF(ROUND(SUM(B14:I14)+SUM(B25:I25)-SUM(B36:I36),2)&lt;&gt;0,"Warning Check Totals","OK")</f>
        <v>OK</v>
      </c>
      <c r="L36" s="86"/>
    </row>
    <row r="37" spans="1:12" ht="2.25" customHeight="1" thickBot="1">
      <c r="A37" s="92"/>
      <c r="B37" s="95"/>
      <c r="C37" s="95"/>
      <c r="D37" s="95"/>
      <c r="E37" s="95"/>
      <c r="F37" s="95"/>
      <c r="G37" s="95"/>
      <c r="H37" s="95"/>
      <c r="I37" s="95"/>
      <c r="J37" s="96"/>
      <c r="L37" s="21"/>
    </row>
    <row r="38" spans="1:12" hidden="1" outlineLevel="1">
      <c r="A38" s="88"/>
      <c r="B38" s="89"/>
      <c r="C38" s="89"/>
      <c r="D38" s="89"/>
      <c r="E38" s="89"/>
      <c r="F38" s="89"/>
      <c r="G38" s="89"/>
      <c r="H38" s="89"/>
      <c r="I38" s="89"/>
      <c r="K38" s="42"/>
      <c r="L38" s="21"/>
    </row>
    <row r="39" spans="1:12" ht="18" hidden="1" outlineLevel="1">
      <c r="A39" s="207" t="s">
        <v>42</v>
      </c>
      <c r="B39" s="78"/>
      <c r="C39" s="78"/>
      <c r="D39" s="78"/>
      <c r="E39" s="78"/>
      <c r="F39" s="78"/>
      <c r="G39" s="78"/>
      <c r="H39" s="78"/>
      <c r="I39" s="78"/>
      <c r="K39" s="42"/>
    </row>
    <row r="40" spans="1:12" ht="18" hidden="1" outlineLevel="1">
      <c r="A40" s="77"/>
      <c r="B40" s="78"/>
      <c r="C40" s="78"/>
      <c r="D40" s="78"/>
      <c r="E40" s="78"/>
      <c r="F40" s="78"/>
      <c r="G40" s="78"/>
      <c r="H40" s="78"/>
      <c r="I40" s="78"/>
      <c r="K40" s="42"/>
    </row>
    <row r="41" spans="1:12" s="2" customFormat="1" hidden="1" outlineLevel="1">
      <c r="A41" s="58" t="s">
        <v>126</v>
      </c>
      <c r="B41" s="78"/>
      <c r="C41" s="78"/>
      <c r="D41" s="78"/>
      <c r="E41" s="78"/>
      <c r="F41" s="78"/>
      <c r="G41" s="78"/>
      <c r="H41" s="78"/>
      <c r="I41" s="78"/>
      <c r="K41" s="60"/>
      <c r="L41" s="60"/>
    </row>
    <row r="42" spans="1:12" s="64" customFormat="1" ht="14.25" hidden="1" outlineLevel="1">
      <c r="A42" s="61" t="s">
        <v>68</v>
      </c>
      <c r="B42" s="82"/>
      <c r="C42" s="285">
        <f t="shared" ref="C42:I43" ca="1" si="8">+C98</f>
        <v>0</v>
      </c>
      <c r="D42" s="285">
        <f t="shared" ca="1" si="8"/>
        <v>0</v>
      </c>
      <c r="E42" s="285">
        <f t="shared" ca="1" si="8"/>
        <v>-4.3150700329783243E-2</v>
      </c>
      <c r="F42" s="285">
        <f t="shared" ca="1" si="8"/>
        <v>-8.3133527167728982E-2</v>
      </c>
      <c r="G42" s="285">
        <f t="shared" ca="1" si="8"/>
        <v>-0.1226561075185577</v>
      </c>
      <c r="H42" s="285">
        <f t="shared" ca="1" si="8"/>
        <v>-0.1655349329228315</v>
      </c>
      <c r="I42" s="285">
        <f t="shared" ca="1" si="8"/>
        <v>-0.20481225789964874</v>
      </c>
      <c r="K42" s="63"/>
      <c r="L42" s="63"/>
    </row>
    <row r="43" spans="1:12" hidden="1"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hidden="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hidden="1"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hidden="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hidden="1"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collapsed="1" thickBot="1">
      <c r="A48" s="94" t="s">
        <v>74</v>
      </c>
      <c r="B48" s="294"/>
      <c r="C48" s="294">
        <f t="shared" ref="C48:I48" ca="1" si="13">SUM(C42:C47)</f>
        <v>0</v>
      </c>
      <c r="D48" s="294">
        <f t="shared" ca="1" si="13"/>
        <v>0</v>
      </c>
      <c r="E48" s="294">
        <f t="shared" ca="1" si="13"/>
        <v>-4.3150700329783243E-2</v>
      </c>
      <c r="F48" s="294">
        <f t="shared" ca="1" si="13"/>
        <v>-8.3133527167728982E-2</v>
      </c>
      <c r="G48" s="294">
        <f t="shared" ca="1" si="13"/>
        <v>-0.1226561075185577</v>
      </c>
      <c r="H48" s="294">
        <f t="shared" ca="1" si="13"/>
        <v>-0.1655349329228315</v>
      </c>
      <c r="I48" s="294">
        <f t="shared" ca="1" si="13"/>
        <v>-0.20481225789964874</v>
      </c>
      <c r="J48" s="91" t="str">
        <f ca="1">IF(ROUND(SUM(B48:I48)-SUM(B104:I104),2)&lt;&gt;0,"Warning Check Escalations","OK")</f>
        <v>OK</v>
      </c>
      <c r="L48" s="86"/>
    </row>
    <row r="49" spans="1:12" hidden="1" outlineLevel="1">
      <c r="A49" s="88"/>
      <c r="B49" s="89"/>
      <c r="C49" s="89"/>
      <c r="D49" s="89"/>
      <c r="E49" s="89"/>
      <c r="F49" s="89"/>
      <c r="G49" s="89"/>
      <c r="H49" s="89"/>
      <c r="I49" s="89"/>
      <c r="K49" s="42"/>
      <c r="L49" s="21"/>
    </row>
    <row r="50" spans="1:12" ht="18" hidden="1" outlineLevel="1">
      <c r="A50" s="207" t="s">
        <v>43</v>
      </c>
      <c r="B50" s="78"/>
      <c r="C50" s="78"/>
      <c r="D50" s="78"/>
      <c r="E50" s="78"/>
      <c r="F50" s="78"/>
      <c r="G50" s="78"/>
      <c r="H50" s="78"/>
      <c r="I50" s="78"/>
      <c r="K50" s="42"/>
    </row>
    <row r="51" spans="1:12" ht="18" hidden="1" outlineLevel="1">
      <c r="A51" s="77"/>
      <c r="B51" s="78"/>
      <c r="C51" s="78"/>
      <c r="D51" s="78"/>
      <c r="E51" s="78"/>
      <c r="F51" s="78"/>
      <c r="G51" s="78"/>
      <c r="H51" s="78"/>
      <c r="I51" s="78"/>
      <c r="K51" s="42"/>
    </row>
    <row r="52" spans="1:12" s="2" customFormat="1" hidden="1" outlineLevel="1">
      <c r="A52" s="58" t="s">
        <v>126</v>
      </c>
      <c r="B52" s="78"/>
      <c r="C52" s="78"/>
      <c r="D52" s="78"/>
      <c r="E52" s="78"/>
      <c r="F52" s="78"/>
      <c r="G52" s="78"/>
      <c r="H52" s="78"/>
      <c r="I52" s="78"/>
      <c r="K52" s="60"/>
      <c r="L52" s="60"/>
    </row>
    <row r="53" spans="1:12" s="64" customFormat="1" ht="14.25" hidden="1" outlineLevel="1">
      <c r="A53" s="61" t="s">
        <v>68</v>
      </c>
      <c r="B53" s="285"/>
      <c r="C53" s="285">
        <f t="shared" ref="C53:I54" ca="1" si="14">+C134</f>
        <v>0</v>
      </c>
      <c r="D53" s="285">
        <f t="shared" ca="1" si="14"/>
        <v>0</v>
      </c>
      <c r="E53" s="285">
        <f t="shared" ca="1" si="14"/>
        <v>-8.8195473581444458E-2</v>
      </c>
      <c r="F53" s="285">
        <f t="shared" ca="1" si="14"/>
        <v>-0.18001775276243007</v>
      </c>
      <c r="G53" s="285">
        <f t="shared" ca="1" si="14"/>
        <v>-0.2806729844067512</v>
      </c>
      <c r="H53" s="285">
        <f t="shared" ca="1" si="14"/>
        <v>-0.38576133067058732</v>
      </c>
      <c r="I53" s="285">
        <f t="shared" ca="1" si="14"/>
        <v>-0.49484049797681445</v>
      </c>
      <c r="K53" s="63"/>
      <c r="L53" s="63"/>
    </row>
    <row r="54" spans="1:12" hidden="1"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hidden="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hidden="1"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hidden="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hidden="1"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collapsed="1" thickBot="1">
      <c r="A59" s="97" t="s">
        <v>73</v>
      </c>
      <c r="B59" s="287"/>
      <c r="C59" s="287">
        <f t="shared" ref="C59:I59" ca="1" si="19">SUM(C53:C58)</f>
        <v>0</v>
      </c>
      <c r="D59" s="287">
        <f t="shared" ca="1" si="19"/>
        <v>0</v>
      </c>
      <c r="E59" s="287">
        <f t="shared" ca="1" si="19"/>
        <v>-8.8195473581444458E-2</v>
      </c>
      <c r="F59" s="287">
        <f t="shared" ca="1" si="19"/>
        <v>-0.18001775276243007</v>
      </c>
      <c r="G59" s="287">
        <f t="shared" ca="1" si="19"/>
        <v>-0.2806729844067512</v>
      </c>
      <c r="H59" s="287">
        <f t="shared" ca="1" si="19"/>
        <v>-0.38576133067058732</v>
      </c>
      <c r="I59" s="287">
        <f t="shared" ca="1" si="19"/>
        <v>-0.49484049797681445</v>
      </c>
      <c r="J59" s="91" t="str">
        <f ca="1">IF(ROUND(SUM(B59:I59)-SUM(B140:I140),2)&lt;&gt;0,"Warning Check Escalations","OK")</f>
        <v>OK</v>
      </c>
      <c r="L59" s="86"/>
    </row>
    <row r="60" spans="1:12" hidden="1" outlineLevel="1">
      <c r="A60" s="88"/>
      <c r="B60" s="89"/>
      <c r="C60" s="89"/>
      <c r="D60" s="89"/>
      <c r="E60" s="89"/>
      <c r="F60" s="89"/>
      <c r="G60" s="89"/>
      <c r="H60" s="89"/>
      <c r="I60" s="89"/>
      <c r="K60" s="42"/>
      <c r="L60" s="21"/>
    </row>
    <row r="61" spans="1:12" ht="18.75" hidden="1"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hidden="1" customHeight="1" outlineLevel="1">
      <c r="A62" s="77"/>
      <c r="B62" s="76"/>
      <c r="C62" s="76"/>
      <c r="D62" s="76"/>
      <c r="E62" s="76"/>
      <c r="F62" s="76"/>
      <c r="G62" s="76"/>
      <c r="H62" s="76"/>
      <c r="I62" s="76"/>
      <c r="K62" s="42"/>
    </row>
    <row r="63" spans="1:12" s="2" customFormat="1" hidden="1" outlineLevel="1">
      <c r="A63" s="58" t="s">
        <v>126</v>
      </c>
      <c r="B63" s="78"/>
      <c r="C63" s="78"/>
      <c r="D63" s="78"/>
      <c r="E63" s="78"/>
      <c r="F63" s="78"/>
      <c r="G63" s="78"/>
      <c r="H63" s="78"/>
      <c r="I63" s="78"/>
      <c r="K63" s="60"/>
      <c r="L63" s="60"/>
    </row>
    <row r="64" spans="1:12" s="64" customFormat="1" ht="12.75" hidden="1" customHeight="1" outlineLevel="1">
      <c r="A64" s="61" t="s">
        <v>68</v>
      </c>
      <c r="B64" s="285">
        <f t="shared" ref="B64:I65" ca="1" si="20">+B42+B30+B53</f>
        <v>0</v>
      </c>
      <c r="C64" s="285">
        <f t="shared" ca="1" si="20"/>
        <v>0</v>
      </c>
      <c r="D64" s="285">
        <f t="shared" ca="1" si="20"/>
        <v>-4.0670000000000002</v>
      </c>
      <c r="E64" s="285">
        <f t="shared" ca="1" si="20"/>
        <v>-4.1983461739112276</v>
      </c>
      <c r="F64" s="285">
        <f t="shared" ca="1" si="20"/>
        <v>-4.3301512799301598</v>
      </c>
      <c r="G64" s="285">
        <f t="shared" ca="1" si="20"/>
        <v>-4.4703290919253087</v>
      </c>
      <c r="H64" s="285">
        <f t="shared" ca="1" si="20"/>
        <v>-4.618296263593419</v>
      </c>
      <c r="I64" s="285">
        <f t="shared" ca="1" si="20"/>
        <v>-4.7666527558764633</v>
      </c>
      <c r="K64" s="63"/>
      <c r="L64" s="63"/>
    </row>
    <row r="65" spans="1:20" ht="12.75" hidden="1"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hidden="1"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hidden="1"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hidden="1"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hidden="1"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collapsed="1" thickBot="1">
      <c r="A70" s="99" t="s">
        <v>129</v>
      </c>
      <c r="B70" s="295">
        <f t="shared" ref="B70:I70" ca="1" si="25">SUM(B64:B69)</f>
        <v>0</v>
      </c>
      <c r="C70" s="295">
        <f t="shared" ca="1" si="25"/>
        <v>0</v>
      </c>
      <c r="D70" s="295">
        <f t="shared" ca="1" si="25"/>
        <v>-4.0670000000000002</v>
      </c>
      <c r="E70" s="295">
        <f t="shared" ca="1" si="25"/>
        <v>-4.1983461739112276</v>
      </c>
      <c r="F70" s="295">
        <f t="shared" ca="1" si="25"/>
        <v>-4.3301512799301598</v>
      </c>
      <c r="G70" s="295">
        <f t="shared" ca="1" si="25"/>
        <v>-4.4703290919253087</v>
      </c>
      <c r="H70" s="295">
        <f t="shared" ca="1" si="25"/>
        <v>-4.618296263593419</v>
      </c>
      <c r="I70" s="295">
        <f t="shared" ca="1" si="25"/>
        <v>-4.7666527558764633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-4.3150700329783243E-2</v>
      </c>
      <c r="Q77" s="285">
        <f ca="1">IF($B77&lt;&gt;0,(+VLOOKUP($B77,$A$8:$I$13,6,FALSE))*(F77),0)</f>
        <v>-8.3133527167728982E-2</v>
      </c>
      <c r="R77" s="285">
        <f ca="1">IF($B77&lt;&gt;0,(+VLOOKUP($B77,$A$8:$I$13,7,FALSE))*(G77),0)</f>
        <v>-0.1226561075185577</v>
      </c>
      <c r="S77" s="285">
        <f ca="1">IF($B77&lt;&gt;0,(+VLOOKUP($B77,$A$8:$I$13,8,FALSE))*(H77),0)</f>
        <v>-0.1655349329228315</v>
      </c>
      <c r="T77" s="285">
        <f ca="1">IF($B77&lt;&gt;0,(+VLOOKUP($B77,$A$8:$I$13,9,FALSE))*(I77),0)</f>
        <v>-0.20481225789964874</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-4.3150700329783243E-2</v>
      </c>
      <c r="Q83" s="292">
        <f t="shared" ca="1" si="51"/>
        <v>-8.3133527167728982E-2</v>
      </c>
      <c r="R83" s="292">
        <f t="shared" ca="1" si="51"/>
        <v>-0.1226561075185577</v>
      </c>
      <c r="S83" s="292">
        <f t="shared" ca="1" si="51"/>
        <v>-0.1655349329228315</v>
      </c>
      <c r="T83" s="292">
        <f t="shared" ca="1" si="51"/>
        <v>-0.20481225789964874</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-4.3150700329783243E-2</v>
      </c>
      <c r="F98" s="285">
        <f t="shared" ca="1" si="54"/>
        <v>-8.3133527167728982E-2</v>
      </c>
      <c r="G98" s="285">
        <f t="shared" ca="1" si="54"/>
        <v>-0.1226561075185577</v>
      </c>
      <c r="H98" s="285">
        <f t="shared" ca="1" si="54"/>
        <v>-0.1655349329228315</v>
      </c>
      <c r="I98" s="285">
        <f t="shared" ca="1" si="54"/>
        <v>-0.20481225789964874</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-4.3150700329783243E-2</v>
      </c>
      <c r="F104" s="296">
        <f t="shared" ca="1" si="60"/>
        <v>-8.3133527167728982E-2</v>
      </c>
      <c r="G104" s="296">
        <f t="shared" ca="1" si="60"/>
        <v>-0.1226561075185577</v>
      </c>
      <c r="H104" s="296">
        <f t="shared" ca="1" si="60"/>
        <v>-0.1655349329228315</v>
      </c>
      <c r="I104" s="296">
        <f t="shared" ca="1" si="60"/>
        <v>-0.20481225789964874</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hidden="1" outlineLevel="1">
      <c r="A109" s="208" t="s">
        <v>145</v>
      </c>
      <c r="B109" s="209"/>
      <c r="C109" s="209"/>
      <c r="D109" s="209"/>
      <c r="E109" s="209"/>
      <c r="F109" s="209"/>
      <c r="G109" s="209"/>
      <c r="H109" s="209"/>
      <c r="I109" s="210"/>
      <c r="J109" s="211" t="s">
        <v>133</v>
      </c>
      <c r="K109" s="211" t="s">
        <v>134</v>
      </c>
    </row>
    <row r="110" spans="1:20" ht="13.5" hidden="1" outlineLevel="1" thickBot="1">
      <c r="A110" s="212" t="s">
        <v>135</v>
      </c>
      <c r="B110" s="213"/>
      <c r="C110" s="213"/>
      <c r="D110" s="213"/>
      <c r="E110" s="213"/>
      <c r="F110" s="213"/>
      <c r="G110" s="213"/>
      <c r="H110" s="213"/>
      <c r="I110" s="213"/>
      <c r="J110" s="211"/>
      <c r="K110" s="211"/>
      <c r="N110" s="410" t="s">
        <v>377</v>
      </c>
    </row>
    <row r="111" spans="1:20" ht="25.5" hidden="1"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hidden="1" outlineLevel="1">
      <c r="A112" s="58" t="s">
        <v>45</v>
      </c>
      <c r="B112" s="42"/>
      <c r="C112" s="42"/>
      <c r="D112" s="42"/>
      <c r="E112" s="42"/>
      <c r="F112" s="42"/>
      <c r="G112" s="42"/>
      <c r="H112" s="42"/>
      <c r="I112" s="78"/>
      <c r="J112" s="4"/>
    </row>
    <row r="113" spans="1:20" hidden="1"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-8.8195473581444458E-2</v>
      </c>
      <c r="Q113" s="285">
        <f ca="1">IF($B113&lt;&gt;0,(+VLOOKUP($B113,$A$8:$I$13,6,FALSE)+VLOOKUP($B113,$A$42:$I$47,6,FALSE))*(F113),0)</f>
        <v>-0.18001775276243007</v>
      </c>
      <c r="R113" s="285">
        <f ca="1">IF($B113&lt;&gt;0,(+VLOOKUP($B113,$A$8:$I$13,7,FALSE)+VLOOKUP($B113,$A$42:$I$47,7,FALSE))*(G113),0)</f>
        <v>-0.2806729844067512</v>
      </c>
      <c r="S113" s="285">
        <f ca="1">IF($B113&lt;&gt;0,(+VLOOKUP($B113,$A$8:$I$13,8,FALSE)+VLOOKUP($B113,$A$42:$I$47,8,FALSE))*(H113),0)</f>
        <v>-0.38576133067058732</v>
      </c>
      <c r="T113" s="285">
        <f ca="1">IF($B113&lt;&gt;0,(+VLOOKUP($B113,$A$8:$I$13,9,FALSE)+VLOOKUP($B113,$A$42:$I$47,9,FALSE))*(I113),0)</f>
        <v>-0.49484049797681445</v>
      </c>
    </row>
    <row r="114" spans="1:20" hidden="1"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hidden="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hidden="1"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hidden="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hidden="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hidden="1"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-8.8195473581444458E-2</v>
      </c>
      <c r="Q119" s="292">
        <f t="shared" ca="1" si="72"/>
        <v>-0.18001775276243007</v>
      </c>
      <c r="R119" s="292">
        <f t="shared" ca="1" si="72"/>
        <v>-0.2806729844067512</v>
      </c>
      <c r="S119" s="292">
        <f t="shared" ca="1" si="72"/>
        <v>-0.38576133067058732</v>
      </c>
      <c r="T119" s="292">
        <f t="shared" ca="1" si="72"/>
        <v>-0.49484049797681445</v>
      </c>
    </row>
    <row r="120" spans="1:20" ht="12" hidden="1"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hidden="1" outlineLevel="1">
      <c r="A121" s="208" t="s">
        <v>146</v>
      </c>
      <c r="B121" s="209"/>
      <c r="C121" s="209"/>
      <c r="D121" s="209"/>
      <c r="E121" s="209"/>
      <c r="F121" s="209"/>
      <c r="G121" s="209"/>
      <c r="H121" s="209"/>
      <c r="I121" s="210"/>
    </row>
    <row r="122" spans="1:20" hidden="1"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hidden="1"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hidden="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hidden="1"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hidden="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hidden="1"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hidden="1"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hidden="1"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hidden="1"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hidden="1" outlineLevel="1">
      <c r="B131" s="42"/>
      <c r="C131" s="42"/>
      <c r="D131" s="42"/>
      <c r="E131" s="42"/>
      <c r="F131" s="42"/>
      <c r="G131" s="42"/>
      <c r="H131" s="42"/>
      <c r="I131" s="78"/>
    </row>
    <row r="132" spans="1:16" ht="13.5" hidden="1" outlineLevel="1" thickBot="1">
      <c r="A132" s="208" t="s">
        <v>147</v>
      </c>
      <c r="B132" s="209"/>
      <c r="C132" s="209"/>
      <c r="D132" s="209"/>
      <c r="E132" s="209"/>
      <c r="F132" s="209"/>
      <c r="G132" s="209"/>
      <c r="H132" s="209"/>
      <c r="I132" s="210"/>
    </row>
    <row r="133" spans="1:16" hidden="1"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hidden="1" outlineLevel="1">
      <c r="A134" s="61" t="s">
        <v>68</v>
      </c>
      <c r="B134" s="119"/>
      <c r="C134" s="285">
        <f ca="1">(+C8+C42)*(C$122)</f>
        <v>0</v>
      </c>
      <c r="D134" s="285">
        <f ca="1">(+D8+D42)*(D$122)</f>
        <v>0</v>
      </c>
      <c r="E134" s="285">
        <f t="shared" ref="E134:I134" ca="1" si="75">(+E8+E42)*(E$122)</f>
        <v>-8.8195473581444458E-2</v>
      </c>
      <c r="F134" s="285">
        <f t="shared" ca="1" si="75"/>
        <v>-0.18001775276243007</v>
      </c>
      <c r="G134" s="285">
        <f t="shared" ca="1" si="75"/>
        <v>-0.2806729844067512</v>
      </c>
      <c r="H134" s="285">
        <f t="shared" ca="1" si="75"/>
        <v>-0.38576133067058732</v>
      </c>
      <c r="I134" s="285">
        <f t="shared" ca="1" si="75"/>
        <v>-0.49484049797681445</v>
      </c>
    </row>
    <row r="135" spans="1:16" hidden="1"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hidden="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hidden="1"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hidden="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hidden="1"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hidden="1" outlineLevel="1">
      <c r="A140" s="120" t="s">
        <v>147</v>
      </c>
      <c r="B140" s="121"/>
      <c r="C140" s="296">
        <f t="shared" ref="C140:I140" ca="1" si="81">SUM(C134:C139)</f>
        <v>0</v>
      </c>
      <c r="D140" s="296">
        <f t="shared" ca="1" si="81"/>
        <v>0</v>
      </c>
      <c r="E140" s="296">
        <f t="shared" ca="1" si="81"/>
        <v>-8.8195473581444458E-2</v>
      </c>
      <c r="F140" s="296">
        <f t="shared" ca="1" si="81"/>
        <v>-0.18001775276243007</v>
      </c>
      <c r="G140" s="296">
        <f t="shared" ca="1" si="81"/>
        <v>-0.2806729844067512</v>
      </c>
      <c r="H140" s="296">
        <f t="shared" ca="1" si="81"/>
        <v>-0.38576133067058732</v>
      </c>
      <c r="I140" s="296">
        <f t="shared" ca="1" si="81"/>
        <v>-0.49484049797681445</v>
      </c>
    </row>
    <row r="141" spans="1:16" ht="13.5" hidden="1"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9.1141913010554854E-2</v>
      </c>
      <c r="I141" s="124">
        <f t="shared" ca="1" si="82"/>
        <v>0.11583854067128785</v>
      </c>
    </row>
    <row r="142" spans="1:16" hidden="1" outlineLevel="1"/>
    <row r="143" spans="1:16" collapsed="1">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 for Superannuation</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Super Contribution Calculation-Forecast to 2020-Ver1.9.xlsx</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 t="shared" ref="J161:J169" si="90">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si="90"/>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t="shared" ref="B170:I170" ca="1" si="91">SUM(B160:B169)</f>
        <v>0</v>
      </c>
      <c r="C170" s="296">
        <f t="shared" ca="1" si="91"/>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695</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694</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817">
        <f t="array" ref="E185:I190">'[2]TOTAL (SEM)'!$N$340:$R$345</f>
        <v>0</v>
      </c>
      <c r="F185" s="817">
        <v>0</v>
      </c>
      <c r="G185" s="817">
        <v>0</v>
      </c>
      <c r="H185" s="817">
        <v>0</v>
      </c>
      <c r="I185" s="817">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797">
        <f t="shared" ref="C191:I191" si="92">SUM(C185:C190)</f>
        <v>0</v>
      </c>
      <c r="D191" s="797">
        <f t="shared" si="92"/>
        <v>0</v>
      </c>
      <c r="E191" s="797">
        <f t="shared" si="92"/>
        <v>0</v>
      </c>
      <c r="F191" s="797">
        <f t="shared" si="92"/>
        <v>0</v>
      </c>
      <c r="G191" s="797">
        <f t="shared" si="92"/>
        <v>0</v>
      </c>
      <c r="H191" s="797">
        <f t="shared" si="92"/>
        <v>0</v>
      </c>
      <c r="I191" s="797">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hidden="1"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hidden="1"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hidden="1"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hidden="1" outlineLevel="1">
      <c r="A205" t="s">
        <v>71</v>
      </c>
      <c r="B205" s="82">
        <f t="shared" ref="B205:I205" ca="1" si="93">+B14</f>
        <v>0</v>
      </c>
      <c r="C205" s="82">
        <f t="shared" ca="1" si="93"/>
        <v>0</v>
      </c>
      <c r="D205" s="82">
        <f t="shared" ca="1" si="93"/>
        <v>-4.0670000000000002</v>
      </c>
      <c r="E205" s="82">
        <f t="shared" ca="1" si="93"/>
        <v>-4.0670000000000002</v>
      </c>
      <c r="F205" s="82">
        <f t="shared" ca="1" si="93"/>
        <v>-4.0670000000000002</v>
      </c>
      <c r="G205" s="82">
        <f t="shared" ca="1" si="93"/>
        <v>-4.0670000000000002</v>
      </c>
      <c r="H205" s="82">
        <f t="shared" ca="1" si="93"/>
        <v>-4.0670000000000002</v>
      </c>
      <c r="I205" s="82">
        <f t="shared" ca="1" si="93"/>
        <v>-4.0670000000000002</v>
      </c>
    </row>
    <row r="206" spans="1:9" hidden="1" outlineLevel="1">
      <c r="A206" t="s">
        <v>156</v>
      </c>
      <c r="B206" s="82">
        <f t="shared" ref="B206:I206" ca="1" si="94">+B36</f>
        <v>0</v>
      </c>
      <c r="C206" s="82">
        <f t="shared" ca="1" si="94"/>
        <v>0</v>
      </c>
      <c r="D206" s="82">
        <f t="shared" ca="1" si="94"/>
        <v>-4.0670000000000002</v>
      </c>
      <c r="E206" s="82">
        <f t="shared" ca="1" si="94"/>
        <v>-4.0670000000000002</v>
      </c>
      <c r="F206" s="82">
        <f t="shared" ca="1" si="94"/>
        <v>-4.0670000000000002</v>
      </c>
      <c r="G206" s="82">
        <f t="shared" ca="1" si="94"/>
        <v>-4.0670000000000002</v>
      </c>
      <c r="H206" s="82">
        <f t="shared" ca="1" si="94"/>
        <v>-4.0670000000000002</v>
      </c>
      <c r="I206" s="82">
        <f t="shared" ca="1" si="94"/>
        <v>-4.0670000000000002</v>
      </c>
    </row>
    <row r="207" spans="1:9" hidden="1" outlineLevel="1">
      <c r="A207" t="s">
        <v>157</v>
      </c>
      <c r="B207" s="82">
        <f t="shared" ref="B207:I207" ca="1" si="95">+B36+B48</f>
        <v>0</v>
      </c>
      <c r="C207" s="82">
        <f t="shared" ca="1" si="95"/>
        <v>0</v>
      </c>
      <c r="D207" s="82">
        <f t="shared" ca="1" si="95"/>
        <v>-4.0670000000000002</v>
      </c>
      <c r="E207" s="82">
        <f t="shared" ca="1" si="95"/>
        <v>-4.1101507003297835</v>
      </c>
      <c r="F207" s="82">
        <f t="shared" ca="1" si="95"/>
        <v>-4.1501335271677293</v>
      </c>
      <c r="G207" s="82">
        <f t="shared" ca="1" si="95"/>
        <v>-4.1896561075185579</v>
      </c>
      <c r="H207" s="82">
        <f t="shared" ca="1" si="95"/>
        <v>-4.2325349329228317</v>
      </c>
      <c r="I207" s="82">
        <f t="shared" ca="1" si="95"/>
        <v>-4.2718122578996489</v>
      </c>
    </row>
    <row r="208" spans="1:9" hidden="1" outlineLevel="1">
      <c r="A208" t="s">
        <v>158</v>
      </c>
      <c r="B208" s="82">
        <f t="shared" ref="B208:I208" ca="1" si="96">+B70</f>
        <v>0</v>
      </c>
      <c r="C208" s="82">
        <f t="shared" ca="1" si="96"/>
        <v>0</v>
      </c>
      <c r="D208" s="82">
        <f t="shared" ca="1" si="96"/>
        <v>-4.0670000000000002</v>
      </c>
      <c r="E208" s="82">
        <f t="shared" ca="1" si="96"/>
        <v>-4.1983461739112276</v>
      </c>
      <c r="F208" s="82">
        <f t="shared" ca="1" si="96"/>
        <v>-4.3301512799301598</v>
      </c>
      <c r="G208" s="82">
        <f t="shared" ca="1" si="96"/>
        <v>-4.4703290919253087</v>
      </c>
      <c r="H208" s="82">
        <f t="shared" ca="1" si="96"/>
        <v>-4.618296263593419</v>
      </c>
      <c r="I208" s="82">
        <f t="shared" ca="1" si="96"/>
        <v>-4.7666527558764633</v>
      </c>
    </row>
    <row r="209" hidden="1" outlineLevel="1"/>
    <row r="210" hidden="1" outlineLevel="1"/>
    <row r="211" hidden="1" outlineLevel="1"/>
    <row r="212" hidden="1" outlineLevel="1"/>
    <row r="213" hidden="1" outlineLevel="1"/>
    <row r="214" hidden="1" outlineLevel="1"/>
    <row r="215" hidden="1" outlineLevel="1"/>
    <row r="216" hidden="1" outlineLevel="1"/>
    <row r="217" hidden="1" outlineLevel="1"/>
    <row r="218" hidden="1" outlineLevel="1"/>
    <row r="219" hidden="1" outlineLevel="1"/>
    <row r="220" hidden="1" outlineLevel="1"/>
    <row r="221" hidden="1" outlineLevel="1"/>
    <row r="222" hidden="1" outlineLevel="1"/>
    <row r="223" hidden="1" outlineLevel="1"/>
    <row r="224" hidden="1" outlineLevel="1"/>
    <row r="225" hidden="1" outlineLevel="1"/>
    <row r="226" hidden="1" outlineLevel="1"/>
    <row r="227" hidden="1" outlineLevel="1"/>
    <row r="228" hidden="1" outlineLevel="1"/>
    <row r="229" hidden="1" outlineLevel="1"/>
    <row r="230" hidden="1" outlineLevel="1"/>
    <row r="231" hidden="1" outlineLevel="1"/>
    <row r="232" hidden="1" outlineLevel="1"/>
    <row r="233" hidden="1" outlineLevel="1"/>
    <row r="234" hidden="1" outlineLevel="1"/>
    <row r="235" hidden="1" outlineLevel="1"/>
    <row r="236" hidden="1" outlineLevel="1"/>
    <row r="237" hidden="1" outlineLevel="1"/>
    <row r="238" hidden="1" outlineLevel="1"/>
    <row r="239" hidden="1" outlineLevel="1"/>
    <row r="240" collapsed="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95" priority="1" stopIfTrue="1" operator="notEqual">
      <formula>0</formula>
    </cfRule>
  </conditionalFormatting>
  <conditionalFormatting sqref="J130 J94 J70 J59 J48 J36:J37 J14 J25">
    <cfRule type="cellIs" dxfId="194" priority="2" stopIfTrue="1" operator="equal">
      <formula>"OK"</formula>
    </cfRule>
    <cfRule type="cellIs" dxfId="193" priority="3" stopIfTrue="1" operator="equal">
      <formula>"Warning Check Escalations"</formula>
    </cfRule>
  </conditionalFormatting>
  <conditionalFormatting sqref="N120:T120 N84:T84">
    <cfRule type="cellIs" dxfId="192" priority="4" stopIfTrue="1" operator="notEqual">
      <formula>0</formula>
    </cfRule>
    <cfRule type="cellIs" dxfId="19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2.xml><?xml version="1.0" encoding="utf-8"?>
<worksheet xmlns="http://schemas.openxmlformats.org/spreadsheetml/2006/main" xmlns:r="http://schemas.openxmlformats.org/officeDocument/2006/relationships">
  <sheetPr codeName="Sheet104" enableFormatConditionsCalculation="0">
    <tabColor rgb="FF339966"/>
    <pageSetUpPr fitToPage="1"/>
  </sheetPr>
  <dimension ref="A1:T239"/>
  <sheetViews>
    <sheetView showGridLines="0" zoomScaleNormal="100" workbookViewId="0">
      <selection activeCell="E13" sqref="E1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39</v>
      </c>
      <c r="M1" s="282"/>
      <c r="N1" s="280"/>
      <c r="O1" s="280"/>
      <c r="P1" s="280"/>
      <c r="Q1" s="280"/>
      <c r="R1" s="280"/>
      <c r="S1" s="280"/>
      <c r="T1" s="280"/>
    </row>
    <row r="2" spans="1:20" ht="15.75">
      <c r="A2" s="184" t="s">
        <v>121</v>
      </c>
      <c r="B2" s="74" t="str">
        <f ca="1">OFFSET(List_AllocOpexListStart,+$K$1,1)</f>
        <v>Self Insurance</v>
      </c>
      <c r="F2" s="284"/>
      <c r="H2" s="42"/>
      <c r="I2" s="283"/>
      <c r="L2" s="282"/>
      <c r="M2" s="282"/>
    </row>
    <row r="3" spans="1:20" ht="16.5" thickBot="1">
      <c r="A3" s="184" t="s">
        <v>371</v>
      </c>
      <c r="B3" s="236" t="str">
        <f ca="1">OFFSET(List_AllocOpexListStart,+$K$1,2)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2.0110000000000006</v>
      </c>
      <c r="E13" s="286">
        <f ca="1">OFFSET(Future_AOpexStart,MATCH($K$1,'I-6 Future A'!$A$6:$A$379)+7,+'I-5 Future DA'!F$5)</f>
        <v>2.0110000000000006</v>
      </c>
      <c r="F13" s="286">
        <f ca="1">OFFSET(Future_AOpexStart,MATCH($K$1,'I-6 Future A'!$A$6:$A$379)+7,+'I-5 Future DA'!G$5)</f>
        <v>2.0110000000000006</v>
      </c>
      <c r="G13" s="286">
        <f ca="1">OFFSET(Future_AOpexStart,MATCH($K$1,'I-6 Future A'!$A$6:$A$379)+7,+'I-5 Future DA'!H$5)</f>
        <v>2.0110000000000006</v>
      </c>
      <c r="H13" s="286">
        <f ca="1">OFFSET(Future_AOpexStart,MATCH($K$1,'I-6 Future A'!$A$6:$A$379)+7,+'I-5 Future DA'!I$5)</f>
        <v>2.0110000000000006</v>
      </c>
      <c r="I13" s="286">
        <f ca="1">OFFSET(Future_AOpexStart,MATCH($K$1,'I-6 Future A'!$A$6:$A$379)+7,+'I-5 Future DA'!J$5)</f>
        <v>2.0110000000000006</v>
      </c>
      <c r="J13" s="36"/>
      <c r="K13" s="21"/>
      <c r="L13" s="21"/>
    </row>
    <row r="14" spans="1:20" s="87" customFormat="1" ht="18" customHeight="1">
      <c r="A14" s="84" t="s">
        <v>71</v>
      </c>
      <c r="B14" s="619">
        <f t="shared" ref="B14:I14" ca="1" si="0">SUM(B8:B13)</f>
        <v>0</v>
      </c>
      <c r="C14" s="619">
        <f t="shared" ca="1" si="0"/>
        <v>0</v>
      </c>
      <c r="D14" s="619">
        <f t="shared" ca="1" si="0"/>
        <v>2.0110000000000006</v>
      </c>
      <c r="E14" s="619">
        <f t="shared" ca="1" si="0"/>
        <v>2.0110000000000006</v>
      </c>
      <c r="F14" s="619">
        <f t="shared" ca="1" si="0"/>
        <v>2.0110000000000006</v>
      </c>
      <c r="G14" s="619">
        <f t="shared" ca="1" si="0"/>
        <v>2.0110000000000006</v>
      </c>
      <c r="H14" s="619">
        <f t="shared" ca="1" si="0"/>
        <v>2.0110000000000006</v>
      </c>
      <c r="I14" s="619">
        <f t="shared" ca="1" si="0"/>
        <v>2.0110000000000006</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+'A-39'!B8+'A-39'!B19</f>
        <v>0</v>
      </c>
      <c r="C30" s="285">
        <f ca="1">+'A-39'!C8+'A-39'!C19</f>
        <v>0</v>
      </c>
      <c r="D30" s="285">
        <f ca="1">+'A-39'!D8+'A-39'!D19</f>
        <v>0</v>
      </c>
      <c r="E30" s="285">
        <f ca="1">+'A-39'!E8+'A-39'!E19</f>
        <v>0</v>
      </c>
      <c r="F30" s="285">
        <f ca="1">+'A-39'!F8+'A-39'!F19</f>
        <v>0</v>
      </c>
      <c r="G30" s="285">
        <f ca="1">+'A-39'!G8+'A-39'!G19</f>
        <v>0</v>
      </c>
      <c r="H30" s="285">
        <f ca="1">+'A-39'!H8+'A-39'!H19</f>
        <v>0</v>
      </c>
      <c r="I30" s="285">
        <f ca="1">+'A-39'!I8+'A-39'!I19</f>
        <v>0</v>
      </c>
      <c r="J30" s="42"/>
      <c r="K30" s="21"/>
      <c r="L30" s="21"/>
    </row>
    <row r="31" spans="1:12" outlineLevel="2">
      <c r="A31" s="61" t="s">
        <v>69</v>
      </c>
      <c r="B31" s="285">
        <f ca="1">+'A-39'!B9+'A-39'!B20</f>
        <v>0</v>
      </c>
      <c r="C31" s="285">
        <f ca="1">+'A-39'!C9+'A-39'!C20</f>
        <v>0</v>
      </c>
      <c r="D31" s="285">
        <f ca="1">+'A-39'!D9+'A-39'!D20</f>
        <v>0</v>
      </c>
      <c r="E31" s="285">
        <f ca="1">+'A-39'!E9+'A-39'!E20</f>
        <v>0</v>
      </c>
      <c r="F31" s="285">
        <f ca="1">+'A-39'!F9+'A-39'!F20</f>
        <v>0</v>
      </c>
      <c r="G31" s="285">
        <f ca="1">+'A-39'!G9+'A-39'!G20</f>
        <v>0</v>
      </c>
      <c r="H31" s="285">
        <f ca="1">+'A-39'!H9+'A-39'!H20</f>
        <v>0</v>
      </c>
      <c r="I31" s="285">
        <f ca="1">+'A-39'!I9+'A-39'!I20</f>
        <v>0</v>
      </c>
      <c r="J31" s="42"/>
      <c r="K31" s="21"/>
      <c r="L31" s="21"/>
    </row>
    <row r="32" spans="1:12" s="759" customFormat="1" outlineLevel="2">
      <c r="A32" s="61" t="s">
        <v>646</v>
      </c>
      <c r="B32" s="285">
        <f ca="1">+'A-39'!B10+'A-39'!B21</f>
        <v>0</v>
      </c>
      <c r="C32" s="285">
        <f ca="1">+'A-39'!C10+'A-39'!C21</f>
        <v>0</v>
      </c>
      <c r="D32" s="285">
        <f ca="1">+'A-39'!D10+'A-39'!D21</f>
        <v>0</v>
      </c>
      <c r="E32" s="285">
        <f ca="1">+'A-39'!E10+'A-39'!E21</f>
        <v>0</v>
      </c>
      <c r="F32" s="285">
        <f ca="1">+'A-39'!F10+'A-39'!F21</f>
        <v>0</v>
      </c>
      <c r="G32" s="285">
        <f ca="1">+'A-39'!G10+'A-39'!G21</f>
        <v>0</v>
      </c>
      <c r="H32" s="285">
        <f ca="1">+'A-39'!H10+'A-39'!H21</f>
        <v>0</v>
      </c>
      <c r="I32" s="285">
        <f ca="1">+'A-39'!I10+'A-39'!I21</f>
        <v>0</v>
      </c>
      <c r="J32" s="42"/>
      <c r="K32" s="732"/>
      <c r="L32" s="732"/>
    </row>
    <row r="33" spans="1:12" outlineLevel="2">
      <c r="A33" s="61" t="s">
        <v>647</v>
      </c>
      <c r="B33" s="285">
        <f ca="1">+'A-39'!B11+'A-39'!B22</f>
        <v>0</v>
      </c>
      <c r="C33" s="285">
        <f ca="1">+'A-39'!C11+'A-39'!C22</f>
        <v>0</v>
      </c>
      <c r="D33" s="285">
        <f ca="1">+'A-39'!D11+'A-39'!D22</f>
        <v>0</v>
      </c>
      <c r="E33" s="285">
        <f ca="1">+'A-39'!E11+'A-39'!E22</f>
        <v>0</v>
      </c>
      <c r="F33" s="285">
        <f ca="1">+'A-39'!F11+'A-39'!F22</f>
        <v>0</v>
      </c>
      <c r="G33" s="285">
        <f ca="1">+'A-39'!G11+'A-39'!G22</f>
        <v>0</v>
      </c>
      <c r="H33" s="285">
        <f ca="1">+'A-39'!H11+'A-39'!H22</f>
        <v>0</v>
      </c>
      <c r="I33" s="285">
        <f ca="1">+'A-39'!I11+'A-39'!I22</f>
        <v>0</v>
      </c>
      <c r="J33" s="42"/>
      <c r="K33" s="21"/>
      <c r="L33" s="21"/>
    </row>
    <row r="34" spans="1:12" s="759" customFormat="1" outlineLevel="2">
      <c r="A34" s="61" t="s">
        <v>575</v>
      </c>
      <c r="B34" s="285">
        <f ca="1">+'A-39'!B12+'A-39'!B23</f>
        <v>0</v>
      </c>
      <c r="C34" s="285">
        <f ca="1">+'A-39'!C12+'A-39'!C23</f>
        <v>0</v>
      </c>
      <c r="D34" s="285">
        <f ca="1">+'A-39'!D12+'A-39'!D23</f>
        <v>0</v>
      </c>
      <c r="E34" s="285">
        <f ca="1">+'A-39'!E12+'A-39'!E23</f>
        <v>0</v>
      </c>
      <c r="F34" s="285">
        <f ca="1">+'A-39'!F12+'A-39'!F23</f>
        <v>0</v>
      </c>
      <c r="G34" s="285">
        <f ca="1">+'A-39'!G12+'A-39'!G23</f>
        <v>0</v>
      </c>
      <c r="H34" s="285">
        <f ca="1">+'A-39'!H12+'A-39'!H23</f>
        <v>0</v>
      </c>
      <c r="I34" s="285">
        <f ca="1">+'A-39'!I12+'A-39'!I23</f>
        <v>0</v>
      </c>
      <c r="J34" s="42"/>
      <c r="K34" s="732"/>
      <c r="L34" s="732"/>
    </row>
    <row r="35" spans="1:12" ht="13.5" outlineLevel="2" thickBot="1">
      <c r="A35" s="83" t="s">
        <v>70</v>
      </c>
      <c r="B35" s="285">
        <f ca="1">+'A-39'!B13+'A-39'!B24</f>
        <v>0</v>
      </c>
      <c r="C35" s="285">
        <f ca="1">+'A-39'!C13+'A-39'!C24</f>
        <v>0</v>
      </c>
      <c r="D35" s="285">
        <f ca="1">+'A-39'!D13+'A-39'!D24</f>
        <v>2.0110000000000006</v>
      </c>
      <c r="E35" s="285">
        <f ca="1">+'A-39'!E13+'A-39'!E24</f>
        <v>2.0110000000000006</v>
      </c>
      <c r="F35" s="285">
        <f ca="1">+'A-39'!F13+'A-39'!F24</f>
        <v>2.0110000000000006</v>
      </c>
      <c r="G35" s="285">
        <f ca="1">+'A-39'!G13+'A-39'!G24</f>
        <v>2.0110000000000006</v>
      </c>
      <c r="H35" s="285">
        <f ca="1">+'A-39'!H13+'A-39'!H24</f>
        <v>2.0110000000000006</v>
      </c>
      <c r="I35" s="285">
        <f ca="1">+'A-39'!I13+'A-39'!I24</f>
        <v>2.0110000000000006</v>
      </c>
      <c r="J35" s="93"/>
      <c r="K35" s="21"/>
      <c r="L35" s="21"/>
    </row>
    <row r="36" spans="1:12" s="87" customFormat="1" ht="20.25" customHeight="1" thickBot="1">
      <c r="A36" s="94" t="s">
        <v>128</v>
      </c>
      <c r="B36" s="294">
        <f t="shared" ref="B36:I36" ca="1" si="7">SUM(B30:B35)</f>
        <v>0</v>
      </c>
      <c r="C36" s="294">
        <f t="shared" ca="1" si="7"/>
        <v>0</v>
      </c>
      <c r="D36" s="294">
        <f t="shared" ca="1" si="7"/>
        <v>2.0110000000000006</v>
      </c>
      <c r="E36" s="294">
        <f t="shared" ca="1" si="7"/>
        <v>2.0110000000000006</v>
      </c>
      <c r="F36" s="294">
        <f t="shared" ca="1" si="7"/>
        <v>2.0110000000000006</v>
      </c>
      <c r="G36" s="294">
        <f t="shared" ca="1" si="7"/>
        <v>2.0110000000000006</v>
      </c>
      <c r="H36" s="294">
        <f t="shared" ca="1" si="7"/>
        <v>2.0110000000000006</v>
      </c>
      <c r="I36" s="294">
        <f t="shared" ca="1" si="7"/>
        <v>2.0110000000000006</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2.1336626103563835E-2</v>
      </c>
      <c r="F47" s="285">
        <f t="shared" ca="1" si="12"/>
        <v>4.1106841193583238E-2</v>
      </c>
      <c r="G47" s="285">
        <f t="shared" ca="1" si="12"/>
        <v>6.0649479277064079E-2</v>
      </c>
      <c r="H47" s="285">
        <f t="shared" ca="1" si="12"/>
        <v>8.1851672020608363E-2</v>
      </c>
      <c r="I47" s="285">
        <f t="shared" ca="1" si="12"/>
        <v>0.10127303925158439</v>
      </c>
      <c r="K47" s="42"/>
      <c r="L47" s="21"/>
    </row>
    <row r="48" spans="1:12" s="87" customFormat="1" ht="18" customHeight="1" thickBot="1">
      <c r="A48" s="94" t="s">
        <v>74</v>
      </c>
      <c r="B48" s="294"/>
      <c r="C48" s="294">
        <f t="shared" ref="C48:I48" ca="1" si="13">SUM(C42:C47)</f>
        <v>0</v>
      </c>
      <c r="D48" s="294">
        <f t="shared" ca="1" si="13"/>
        <v>0</v>
      </c>
      <c r="E48" s="294">
        <f t="shared" ca="1" si="13"/>
        <v>2.1336626103563835E-2</v>
      </c>
      <c r="F48" s="294">
        <f t="shared" ca="1" si="13"/>
        <v>4.1106841193583238E-2</v>
      </c>
      <c r="G48" s="294">
        <f t="shared" ca="1" si="13"/>
        <v>6.0649479277064079E-2</v>
      </c>
      <c r="H48" s="294">
        <f t="shared" ca="1" si="13"/>
        <v>8.1851672020608363E-2</v>
      </c>
      <c r="I48" s="294">
        <f t="shared" ca="1" si="13"/>
        <v>0.10127303925158439</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2.0110000000000006</v>
      </c>
      <c r="E69" s="286">
        <f t="shared" ca="1" si="24"/>
        <v>2.0323366261035645</v>
      </c>
      <c r="F69" s="286">
        <f t="shared" ca="1" si="24"/>
        <v>2.0521068411935839</v>
      </c>
      <c r="G69" s="286">
        <f t="shared" ca="1" si="24"/>
        <v>2.0716494792770646</v>
      </c>
      <c r="H69" s="286">
        <f t="shared" ca="1" si="24"/>
        <v>2.092851672020609</v>
      </c>
      <c r="I69" s="286">
        <f t="shared" ca="1" si="24"/>
        <v>2.1122730392515852</v>
      </c>
      <c r="K69" s="42"/>
      <c r="L69" s="21"/>
    </row>
    <row r="70" spans="1:20" s="87" customFormat="1" ht="18" customHeight="1" thickBot="1">
      <c r="A70" s="99" t="s">
        <v>129</v>
      </c>
      <c r="B70" s="295">
        <f t="shared" ref="B70:I70" ca="1" si="25">SUM(B64:B69)</f>
        <v>0</v>
      </c>
      <c r="C70" s="295">
        <f t="shared" ca="1" si="25"/>
        <v>0</v>
      </c>
      <c r="D70" s="295">
        <f t="shared" ca="1" si="25"/>
        <v>2.0110000000000006</v>
      </c>
      <c r="E70" s="295">
        <f t="shared" ca="1" si="25"/>
        <v>2.0323366261035645</v>
      </c>
      <c r="F70" s="295">
        <f t="shared" ca="1" si="25"/>
        <v>2.0521068411935839</v>
      </c>
      <c r="G70" s="295">
        <f t="shared" ca="1" si="25"/>
        <v>2.0716494792770646</v>
      </c>
      <c r="H70" s="295">
        <f t="shared" ca="1" si="25"/>
        <v>2.092851672020609</v>
      </c>
      <c r="I70" s="295">
        <f t="shared" ca="1" si="25"/>
        <v>2.1122730392515852</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2.1336626103563835E-2</v>
      </c>
      <c r="Q82" s="285">
        <f t="shared" ref="Q82" ca="1" si="47">IF($B82&lt;&gt;0,(+VLOOKUP($B82,$A$8:$I$13,6,FALSE))*(F82),0)</f>
        <v>4.1106841193583238E-2</v>
      </c>
      <c r="R82" s="285">
        <f t="shared" ref="R82" ca="1" si="48">IF($B82&lt;&gt;0,(+VLOOKUP($B82,$A$8:$I$13,7,FALSE))*(G82),0)</f>
        <v>6.0649479277064079E-2</v>
      </c>
      <c r="S82" s="285">
        <f t="shared" ref="S82" ca="1" si="49">IF($B82&lt;&gt;0,(+VLOOKUP($B82,$A$8:$I$13,8,FALSE))*(H82),0)</f>
        <v>8.1851672020608363E-2</v>
      </c>
      <c r="T82" s="285">
        <f t="shared" ref="T82" ca="1" si="50">IF($B82&lt;&gt;0,(+VLOOKUP($B82,$A$8:$I$13,9,FALSE))*(I82),0)</f>
        <v>0.10127303925158439</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2.1336626103563835E-2</v>
      </c>
      <c r="Q83" s="292">
        <f t="shared" ca="1" si="51"/>
        <v>4.1106841193583238E-2</v>
      </c>
      <c r="R83" s="292">
        <f t="shared" ca="1" si="51"/>
        <v>6.0649479277064079E-2</v>
      </c>
      <c r="S83" s="292">
        <f t="shared" ca="1" si="51"/>
        <v>8.1851672020608363E-2</v>
      </c>
      <c r="T83" s="292">
        <f t="shared" ca="1" si="51"/>
        <v>0.10127303925158439</v>
      </c>
    </row>
    <row r="84" spans="1:20" ht="12" customHeight="1" outlineLevel="1" thickBot="1">
      <c r="B84" s="42"/>
      <c r="C84" s="42"/>
      <c r="D84" s="42"/>
      <c r="E84" s="42"/>
      <c r="F84" s="42"/>
      <c r="G84" s="42"/>
      <c r="H84" s="42"/>
      <c r="I84" s="78"/>
      <c r="M84" s="411" t="s">
        <v>373</v>
      </c>
      <c r="N84" s="412">
        <f t="shared" ref="N84:T84" ca="1" si="52">ROUND(N83-C104,3)</f>
        <v>0</v>
      </c>
      <c r="O84" s="412">
        <f t="shared" ca="1" si="52"/>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2.1336626103563835E-2</v>
      </c>
      <c r="F103" s="285">
        <f t="shared" ca="1" si="59"/>
        <v>4.1106841193583238E-2</v>
      </c>
      <c r="G103" s="285">
        <f t="shared" ca="1" si="59"/>
        <v>6.0649479277064079E-2</v>
      </c>
      <c r="H103" s="285">
        <f t="shared" ca="1" si="59"/>
        <v>8.1851672020608363E-2</v>
      </c>
      <c r="I103" s="285">
        <f t="shared" ca="1" si="59"/>
        <v>0.10127303925158439</v>
      </c>
    </row>
    <row r="104" spans="1:20" outlineLevel="1">
      <c r="A104" s="120" t="s">
        <v>142</v>
      </c>
      <c r="B104" s="121"/>
      <c r="C104" s="296">
        <f t="shared" ref="C104:I104" ca="1" si="60">SUM(C98:C103)</f>
        <v>0</v>
      </c>
      <c r="D104" s="296">
        <f t="shared" ca="1" si="60"/>
        <v>0</v>
      </c>
      <c r="E104" s="296">
        <f t="shared" ca="1" si="60"/>
        <v>2.1336626103563835E-2</v>
      </c>
      <c r="F104" s="296">
        <f t="shared" ca="1" si="60"/>
        <v>4.1106841193583238E-2</v>
      </c>
      <c r="G104" s="296">
        <f t="shared" ca="1" si="60"/>
        <v>6.0649479277064079E-2</v>
      </c>
      <c r="H104" s="296">
        <f t="shared" ca="1" si="60"/>
        <v>8.1851672020608363E-2</v>
      </c>
      <c r="I104" s="296">
        <f t="shared" ca="1" si="60"/>
        <v>0.10127303925158439</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t="shared" ref="N120:T120" ca="1" si="73">ROUND(N119-C140,3)</f>
        <v>0</v>
      </c>
      <c r="O120" s="412">
        <f t="shared" ca="1" si="73"/>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 t="shared" ref="J161:J169" si="90">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si="90"/>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t="shared" ref="B170:I170" ca="1" si="91">SUM(B160:B169)</f>
        <v>0</v>
      </c>
      <c r="C170" s="296">
        <f t="shared" ca="1" si="91"/>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c r="F185" s="285"/>
      <c r="G185" s="285"/>
      <c r="H185" s="285"/>
      <c r="I185" s="285"/>
      <c r="J185" s="63"/>
      <c r="K185" s="63"/>
      <c r="L185" s="63"/>
    </row>
    <row r="186" spans="1:12" outlineLevel="1">
      <c r="A186" s="61" t="s">
        <v>69</v>
      </c>
      <c r="B186" s="65"/>
      <c r="C186" s="285"/>
      <c r="D186" s="285"/>
      <c r="E186" s="285"/>
      <c r="F186" s="285"/>
      <c r="G186" s="285"/>
      <c r="H186" s="285"/>
      <c r="I186" s="285"/>
      <c r="J186" s="42"/>
      <c r="K186" s="21"/>
      <c r="L186" s="21"/>
    </row>
    <row r="187" spans="1:12" s="759" customFormat="1" outlineLevel="1">
      <c r="A187" s="61" t="s">
        <v>646</v>
      </c>
      <c r="B187" s="65"/>
      <c r="C187" s="285"/>
      <c r="D187" s="285"/>
      <c r="E187" s="285"/>
      <c r="F187" s="285"/>
      <c r="G187" s="285"/>
      <c r="H187" s="285"/>
      <c r="I187" s="285"/>
      <c r="J187" s="42"/>
      <c r="K187" s="732"/>
      <c r="L187" s="732"/>
    </row>
    <row r="188" spans="1:12" outlineLevel="1">
      <c r="A188" s="61" t="s">
        <v>647</v>
      </c>
      <c r="B188" s="65"/>
      <c r="C188" s="285"/>
      <c r="D188" s="285"/>
      <c r="E188" s="285"/>
      <c r="F188" s="285"/>
      <c r="G188" s="285"/>
      <c r="H188" s="285"/>
      <c r="I188" s="285"/>
      <c r="J188" s="42"/>
      <c r="K188" s="21"/>
      <c r="L188" s="21"/>
    </row>
    <row r="189" spans="1:12" s="759" customFormat="1" outlineLevel="1">
      <c r="A189" s="61" t="s">
        <v>575</v>
      </c>
      <c r="B189" s="65"/>
      <c r="C189" s="285"/>
      <c r="D189" s="285"/>
      <c r="E189" s="285"/>
      <c r="F189" s="285"/>
      <c r="G189" s="285"/>
      <c r="H189" s="285"/>
      <c r="I189" s="285"/>
      <c r="J189" s="42"/>
      <c r="K189" s="732"/>
      <c r="L189" s="732"/>
    </row>
    <row r="190" spans="1:12" outlineLevel="1">
      <c r="A190" s="83" t="s">
        <v>70</v>
      </c>
      <c r="B190" s="65"/>
      <c r="C190" s="285"/>
      <c r="D190" s="285"/>
      <c r="E190" s="285"/>
      <c r="F190" s="285"/>
      <c r="G190" s="285"/>
      <c r="H190" s="285"/>
      <c r="I190" s="285"/>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626"/>
      <c r="F196" s="626"/>
      <c r="G196" s="626"/>
      <c r="H196" s="626"/>
      <c r="I196" s="626"/>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2.0110000000000006</v>
      </c>
      <c r="E205" s="82">
        <f t="shared" ca="1" si="93"/>
        <v>2.0110000000000006</v>
      </c>
      <c r="F205" s="82">
        <f t="shared" ca="1" si="93"/>
        <v>2.0110000000000006</v>
      </c>
      <c r="G205" s="82">
        <f t="shared" ca="1" si="93"/>
        <v>2.0110000000000006</v>
      </c>
      <c r="H205" s="82">
        <f t="shared" ca="1" si="93"/>
        <v>2.0110000000000006</v>
      </c>
      <c r="I205" s="82">
        <f t="shared" ca="1" si="93"/>
        <v>2.0110000000000006</v>
      </c>
    </row>
    <row r="206" spans="1:9" outlineLevel="1">
      <c r="A206" t="s">
        <v>156</v>
      </c>
      <c r="B206" s="82">
        <f t="shared" ref="B206:I206" ca="1" si="94">+B36</f>
        <v>0</v>
      </c>
      <c r="C206" s="82">
        <f t="shared" ca="1" si="94"/>
        <v>0</v>
      </c>
      <c r="D206" s="82">
        <f t="shared" ca="1" si="94"/>
        <v>2.0110000000000006</v>
      </c>
      <c r="E206" s="82">
        <f t="shared" ca="1" si="94"/>
        <v>2.0110000000000006</v>
      </c>
      <c r="F206" s="82">
        <f t="shared" ca="1" si="94"/>
        <v>2.0110000000000006</v>
      </c>
      <c r="G206" s="82">
        <f t="shared" ca="1" si="94"/>
        <v>2.0110000000000006</v>
      </c>
      <c r="H206" s="82">
        <f t="shared" ca="1" si="94"/>
        <v>2.0110000000000006</v>
      </c>
      <c r="I206" s="82">
        <f t="shared" ca="1" si="94"/>
        <v>2.0110000000000006</v>
      </c>
    </row>
    <row r="207" spans="1:9" outlineLevel="1">
      <c r="A207" t="s">
        <v>157</v>
      </c>
      <c r="B207" s="82">
        <f t="shared" ref="B207:I207" ca="1" si="95">+B36+B48</f>
        <v>0</v>
      </c>
      <c r="C207" s="82">
        <f t="shared" ca="1" si="95"/>
        <v>0</v>
      </c>
      <c r="D207" s="82">
        <f t="shared" ca="1" si="95"/>
        <v>2.0110000000000006</v>
      </c>
      <c r="E207" s="82">
        <f t="shared" ca="1" si="95"/>
        <v>2.0323366261035645</v>
      </c>
      <c r="F207" s="82">
        <f t="shared" ca="1" si="95"/>
        <v>2.0521068411935839</v>
      </c>
      <c r="G207" s="82">
        <f t="shared" ca="1" si="95"/>
        <v>2.0716494792770646</v>
      </c>
      <c r="H207" s="82">
        <f t="shared" ca="1" si="95"/>
        <v>2.092851672020609</v>
      </c>
      <c r="I207" s="82">
        <f t="shared" ca="1" si="95"/>
        <v>2.1122730392515852</v>
      </c>
    </row>
    <row r="208" spans="1:9" outlineLevel="1">
      <c r="A208" t="s">
        <v>158</v>
      </c>
      <c r="B208" s="82">
        <f t="shared" ref="B208:I208" ca="1" si="96">+B70</f>
        <v>0</v>
      </c>
      <c r="C208" s="82">
        <f t="shared" ca="1" si="96"/>
        <v>0</v>
      </c>
      <c r="D208" s="82">
        <f t="shared" ca="1" si="96"/>
        <v>2.0110000000000006</v>
      </c>
      <c r="E208" s="82">
        <f t="shared" ca="1" si="96"/>
        <v>2.0323366261035645</v>
      </c>
      <c r="F208" s="82">
        <f t="shared" ca="1" si="96"/>
        <v>2.0521068411935839</v>
      </c>
      <c r="G208" s="82">
        <f t="shared" ca="1" si="96"/>
        <v>2.0716494792770646</v>
      </c>
      <c r="H208" s="82">
        <f t="shared" ca="1" si="96"/>
        <v>2.092851672020609</v>
      </c>
      <c r="I208" s="82">
        <f t="shared" ca="1" si="96"/>
        <v>2.1122730392515852</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90" priority="1" stopIfTrue="1" operator="notEqual">
      <formula>0</formula>
    </cfRule>
  </conditionalFormatting>
  <conditionalFormatting sqref="J130 J94 J70 J59 J48 J36:J37 J14 J25">
    <cfRule type="cellIs" dxfId="189" priority="2" stopIfTrue="1" operator="equal">
      <formula>"OK"</formula>
    </cfRule>
    <cfRule type="cellIs" dxfId="188" priority="3" stopIfTrue="1" operator="equal">
      <formula>"Warning Check Escalations"</formula>
    </cfRule>
  </conditionalFormatting>
  <conditionalFormatting sqref="N120:T120 N84:T84">
    <cfRule type="cellIs" dxfId="187" priority="4" stopIfTrue="1" operator="notEqual">
      <formula>0</formula>
    </cfRule>
    <cfRule type="cellIs" dxfId="18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3.xml><?xml version="1.0" encoding="utf-8"?>
<worksheet xmlns="http://schemas.openxmlformats.org/spreadsheetml/2006/main" xmlns:r="http://schemas.openxmlformats.org/officeDocument/2006/relationships">
  <sheetPr codeName="Sheet105" enableFormatConditionsCalculation="0">
    <tabColor rgb="FF339966"/>
    <pageSetUpPr fitToPage="1"/>
  </sheetPr>
  <dimension ref="A1:T239"/>
  <sheetViews>
    <sheetView showGridLines="0" topLeftCell="A177" zoomScaleNormal="100" workbookViewId="0">
      <selection activeCell="K209" sqref="K209"/>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40</v>
      </c>
      <c r="M1" s="282"/>
      <c r="N1" s="280"/>
      <c r="O1" s="280"/>
      <c r="P1" s="280"/>
      <c r="Q1" s="280"/>
      <c r="R1" s="280"/>
      <c r="S1" s="280"/>
      <c r="T1" s="280"/>
    </row>
    <row r="2" spans="1:20" ht="15.75">
      <c r="A2" s="184" t="s">
        <v>121</v>
      </c>
      <c r="B2" s="74" t="str">
        <f ca="1">OFFSET(List_AllocOpexListStart,+$K$1,1)</f>
        <v>Debt Raising Costs</v>
      </c>
      <c r="F2" s="284"/>
      <c r="H2" s="42"/>
      <c r="I2" s="283"/>
      <c r="L2" s="282"/>
      <c r="M2" s="282"/>
    </row>
    <row r="3" spans="1:20" ht="16.5" thickBot="1">
      <c r="A3" s="184" t="s">
        <v>371</v>
      </c>
      <c r="B3" s="236" t="str">
        <f ca="1">OFFSET(List_AllocOpexListStart,+$K$1,2)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2.0175539353381176</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2.0175539353381176</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+'A-40'!B8+'A-40'!B19</f>
        <v>0</v>
      </c>
      <c r="C30" s="285">
        <f ca="1">+'A-40'!C8+'A-40'!C19</f>
        <v>0</v>
      </c>
      <c r="D30" s="285">
        <f ca="1">+'A-40'!D8+'A-40'!D19</f>
        <v>0</v>
      </c>
      <c r="E30" s="285">
        <f ca="1">+'A-40'!E8+'A-40'!E19</f>
        <v>0</v>
      </c>
      <c r="F30" s="285">
        <f ca="1">+'A-40'!F8+'A-40'!F19</f>
        <v>0</v>
      </c>
      <c r="G30" s="285">
        <f ca="1">+'A-40'!G8+'A-40'!G19</f>
        <v>0</v>
      </c>
      <c r="H30" s="285">
        <f ca="1">+'A-40'!H8+'A-40'!H19</f>
        <v>0</v>
      </c>
      <c r="I30" s="285">
        <f ca="1">+'A-40'!I8+'A-40'!I19</f>
        <v>0</v>
      </c>
      <c r="J30" s="42"/>
      <c r="K30" s="21"/>
      <c r="L30" s="21"/>
    </row>
    <row r="31" spans="1:12" outlineLevel="2">
      <c r="A31" s="61" t="s">
        <v>69</v>
      </c>
      <c r="B31" s="285">
        <f ca="1">+'A-40'!B9+'A-40'!B20</f>
        <v>0</v>
      </c>
      <c r="C31" s="285">
        <f ca="1">+'A-40'!C9+'A-40'!C20</f>
        <v>0</v>
      </c>
      <c r="D31" s="285">
        <f ca="1">+'A-40'!D9+'A-40'!D20</f>
        <v>0</v>
      </c>
      <c r="E31" s="285">
        <f ca="1">+'A-40'!E9+'A-40'!E20</f>
        <v>0</v>
      </c>
      <c r="F31" s="285">
        <f ca="1">+'A-40'!F9+'A-40'!F20</f>
        <v>0</v>
      </c>
      <c r="G31" s="285">
        <f ca="1">+'A-40'!G9+'A-40'!G20</f>
        <v>0</v>
      </c>
      <c r="H31" s="285">
        <f ca="1">+'A-40'!H9+'A-40'!H20</f>
        <v>0</v>
      </c>
      <c r="I31" s="285">
        <f ca="1">+'A-40'!I9+'A-40'!I20</f>
        <v>0</v>
      </c>
      <c r="J31" s="42"/>
      <c r="K31" s="21"/>
      <c r="L31" s="21"/>
    </row>
    <row r="32" spans="1:12" s="759" customFormat="1" outlineLevel="2">
      <c r="A32" s="61" t="s">
        <v>646</v>
      </c>
      <c r="B32" s="285">
        <f ca="1">+'A-40'!B10+'A-40'!B21</f>
        <v>0</v>
      </c>
      <c r="C32" s="285">
        <f ca="1">+'A-40'!C10+'A-40'!C21</f>
        <v>0</v>
      </c>
      <c r="D32" s="285">
        <f ca="1">+'A-40'!D10+'A-40'!D21</f>
        <v>0</v>
      </c>
      <c r="E32" s="285">
        <f ca="1">+'A-40'!E10+'A-40'!E21</f>
        <v>0</v>
      </c>
      <c r="F32" s="285">
        <f ca="1">+'A-40'!F10+'A-40'!F21</f>
        <v>0</v>
      </c>
      <c r="G32" s="285">
        <f ca="1">+'A-40'!G10+'A-40'!G21</f>
        <v>0</v>
      </c>
      <c r="H32" s="285">
        <f ca="1">+'A-40'!H10+'A-40'!H21</f>
        <v>0</v>
      </c>
      <c r="I32" s="285">
        <f ca="1">+'A-40'!I10+'A-40'!I21</f>
        <v>0</v>
      </c>
      <c r="J32" s="42"/>
      <c r="K32" s="732"/>
      <c r="L32" s="732"/>
    </row>
    <row r="33" spans="1:12" outlineLevel="2">
      <c r="A33" s="61" t="s">
        <v>647</v>
      </c>
      <c r="B33" s="285">
        <f ca="1">+'A-40'!B11+'A-40'!B22</f>
        <v>0</v>
      </c>
      <c r="C33" s="285">
        <f ca="1">+'A-40'!C11+'A-40'!C22</f>
        <v>0</v>
      </c>
      <c r="D33" s="285">
        <f ca="1">+'A-40'!D11+'A-40'!D22</f>
        <v>0</v>
      </c>
      <c r="E33" s="285">
        <f ca="1">+'A-40'!E11+'A-40'!E22</f>
        <v>0</v>
      </c>
      <c r="F33" s="285">
        <f ca="1">+'A-40'!F11+'A-40'!F22</f>
        <v>0</v>
      </c>
      <c r="G33" s="285">
        <f ca="1">+'A-40'!G11+'A-40'!G22</f>
        <v>0</v>
      </c>
      <c r="H33" s="285">
        <f ca="1">+'A-40'!H11+'A-40'!H22</f>
        <v>0</v>
      </c>
      <c r="I33" s="285">
        <f ca="1">+'A-40'!I11+'A-40'!I22</f>
        <v>0</v>
      </c>
      <c r="J33" s="42"/>
      <c r="K33" s="21"/>
      <c r="L33" s="21"/>
    </row>
    <row r="34" spans="1:12" s="759" customFormat="1" outlineLevel="2">
      <c r="A34" s="61" t="s">
        <v>575</v>
      </c>
      <c r="B34" s="285">
        <f ca="1">+'A-40'!B12+'A-40'!B23</f>
        <v>0</v>
      </c>
      <c r="C34" s="285">
        <f ca="1">+'A-40'!C12+'A-40'!C23</f>
        <v>0</v>
      </c>
      <c r="D34" s="285">
        <f ca="1">+'A-40'!D12+'A-40'!D23</f>
        <v>0</v>
      </c>
      <c r="E34" s="285">
        <f ca="1">+'A-40'!E12+'A-40'!E23</f>
        <v>0</v>
      </c>
      <c r="F34" s="285">
        <f ca="1">+'A-40'!F12+'A-40'!F23</f>
        <v>0</v>
      </c>
      <c r="G34" s="285">
        <f ca="1">+'A-40'!G12+'A-40'!G23</f>
        <v>0</v>
      </c>
      <c r="H34" s="285">
        <f ca="1">+'A-40'!H12+'A-40'!H23</f>
        <v>0</v>
      </c>
      <c r="I34" s="285">
        <f ca="1">+'A-40'!I12+'A-40'!I23</f>
        <v>0</v>
      </c>
      <c r="J34" s="42"/>
      <c r="K34" s="732"/>
      <c r="L34" s="732"/>
    </row>
    <row r="35" spans="1:12" ht="13.5" outlineLevel="2" thickBot="1">
      <c r="A35" s="83" t="s">
        <v>70</v>
      </c>
      <c r="B35" s="285">
        <f ca="1">+'A-40'!B13+'A-40'!B24</f>
        <v>0</v>
      </c>
      <c r="C35" s="285">
        <f ca="1">+'A-40'!C13+'A-40'!C24</f>
        <v>0</v>
      </c>
      <c r="D35" s="285">
        <f ca="1">+'A-40'!D13+'A-40'!D24</f>
        <v>2.0175539353381176</v>
      </c>
      <c r="E35" s="285">
        <f ca="1">+'A-40'!E13+'A-40'!E24</f>
        <v>0</v>
      </c>
      <c r="F35" s="285">
        <f ca="1">+'A-40'!F13+'A-40'!F24</f>
        <v>0</v>
      </c>
      <c r="G35" s="285">
        <f ca="1">+'A-40'!G13+'A-40'!G24</f>
        <v>0</v>
      </c>
      <c r="H35" s="285">
        <f ca="1">+'A-40'!H13+'A-40'!H24</f>
        <v>0</v>
      </c>
      <c r="I35" s="285">
        <f ca="1">+'A-40'!I13+'A-40'!I24</f>
        <v>0</v>
      </c>
      <c r="J35" s="93"/>
      <c r="K35" s="21"/>
      <c r="L35" s="21"/>
    </row>
    <row r="36" spans="1:12" s="87" customFormat="1" ht="20.25" customHeight="1" thickBot="1">
      <c r="A36" s="94" t="s">
        <v>128</v>
      </c>
      <c r="B36" s="294">
        <f t="shared" ref="B36:I36" ca="1" si="7">SUM(B30:B35)</f>
        <v>0</v>
      </c>
      <c r="C36" s="294">
        <f t="shared" ca="1" si="7"/>
        <v>0</v>
      </c>
      <c r="D36" s="294">
        <f t="shared" ca="1" si="7"/>
        <v>2.0175539353381176</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2.0175539353381176</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2.0175539353381176</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693</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0</v>
      </c>
      <c r="F77" s="103">
        <f t="shared" si="28"/>
        <v>0</v>
      </c>
      <c r="G77" s="103">
        <f t="shared" si="28"/>
        <v>0</v>
      </c>
      <c r="H77" s="103">
        <f t="shared" si="28"/>
        <v>0</v>
      </c>
      <c r="I77" s="104">
        <f t="shared" si="28"/>
        <v>0</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693</v>
      </c>
      <c r="B78" s="102" t="s">
        <v>69</v>
      </c>
      <c r="C78" s="103">
        <f t="shared" si="27"/>
        <v>0</v>
      </c>
      <c r="D78" s="103">
        <f t="shared" si="28"/>
        <v>0</v>
      </c>
      <c r="E78" s="103">
        <f t="shared" si="28"/>
        <v>0</v>
      </c>
      <c r="F78" s="103">
        <f t="shared" si="28"/>
        <v>0</v>
      </c>
      <c r="G78" s="103">
        <f t="shared" si="28"/>
        <v>0</v>
      </c>
      <c r="H78" s="103">
        <f t="shared" si="28"/>
        <v>0</v>
      </c>
      <c r="I78" s="104">
        <f t="shared" si="28"/>
        <v>0</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693</v>
      </c>
      <c r="B79" s="102" t="s">
        <v>646</v>
      </c>
      <c r="C79" s="103">
        <f t="shared" si="27"/>
        <v>0</v>
      </c>
      <c r="D79" s="103">
        <f t="shared" si="28"/>
        <v>0</v>
      </c>
      <c r="E79" s="103">
        <f t="shared" si="28"/>
        <v>0</v>
      </c>
      <c r="F79" s="103">
        <f t="shared" si="28"/>
        <v>0</v>
      </c>
      <c r="G79" s="103">
        <f t="shared" si="28"/>
        <v>0</v>
      </c>
      <c r="H79" s="103">
        <f t="shared" si="28"/>
        <v>0</v>
      </c>
      <c r="I79" s="104">
        <f t="shared" si="28"/>
        <v>0</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693</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0</v>
      </c>
      <c r="F80" s="103">
        <f t="shared" ref="F80:F82" si="40">IF($K80="No",0,IF($J80="one-off",VLOOKUP($A80,Escalations_Specific_Costs,+F$73,FALSE),(VLOOKUP($A80,Escalations_Specific_Costs,+F$73,FALSE)+1)*(1+E80)-1))</f>
        <v>0</v>
      </c>
      <c r="G80" s="103">
        <f t="shared" ref="G80:G82" si="41">IF($K80="No",0,IF($J80="one-off",VLOOKUP($A80,Escalations_Specific_Costs,+G$73,FALSE),(VLOOKUP($A80,Escalations_Specific_Costs,+G$73,FALSE)+1)*(1+F80)-1))</f>
        <v>0</v>
      </c>
      <c r="H80" s="103">
        <f t="shared" ref="H80:H82" si="42">IF($K80="No",0,IF($J80="one-off",VLOOKUP($A80,Escalations_Specific_Costs,+H$73,FALSE),(VLOOKUP($A80,Escalations_Specific_Costs,+H$73,FALSE)+1)*(1+G80)-1))</f>
        <v>0</v>
      </c>
      <c r="I80" s="104">
        <f t="shared" ref="I80:I82" si="43">IF($K80="No",0,IF($J80="one-off",VLOOKUP($A80,Escalations_Specific_Costs,+I$73,FALSE),(VLOOKUP($A80,Escalations_Specific_Costs,+I$73,FALSE)+1)*(1+H80)-1))</f>
        <v>0</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693</v>
      </c>
      <c r="B81" s="102" t="s">
        <v>575</v>
      </c>
      <c r="C81" s="103">
        <f t="shared" si="27"/>
        <v>0</v>
      </c>
      <c r="D81" s="103">
        <f t="shared" si="38"/>
        <v>0</v>
      </c>
      <c r="E81" s="103">
        <f t="shared" si="39"/>
        <v>0</v>
      </c>
      <c r="F81" s="103">
        <f t="shared" si="40"/>
        <v>0</v>
      </c>
      <c r="G81" s="103">
        <f t="shared" si="41"/>
        <v>0</v>
      </c>
      <c r="H81" s="103">
        <f t="shared" si="42"/>
        <v>0</v>
      </c>
      <c r="I81" s="104">
        <f t="shared" si="43"/>
        <v>0</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693</v>
      </c>
      <c r="B82" s="102" t="s">
        <v>70</v>
      </c>
      <c r="C82" s="103">
        <f t="shared" si="27"/>
        <v>0</v>
      </c>
      <c r="D82" s="103">
        <f t="shared" si="38"/>
        <v>0</v>
      </c>
      <c r="E82" s="103">
        <f t="shared" si="39"/>
        <v>0</v>
      </c>
      <c r="F82" s="103">
        <f t="shared" si="40"/>
        <v>0</v>
      </c>
      <c r="G82" s="103">
        <f t="shared" si="41"/>
        <v>0</v>
      </c>
      <c r="H82" s="103">
        <f t="shared" si="42"/>
        <v>0</v>
      </c>
      <c r="I82" s="104">
        <f t="shared" si="43"/>
        <v>0</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t="shared" ref="N84:T84" ca="1" si="52">ROUND(N83-C104,3)</f>
        <v>0</v>
      </c>
      <c r="O84" s="412">
        <f t="shared" ca="1" si="52"/>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0</v>
      </c>
      <c r="F86" s="108">
        <f t="array" ref="F86">PRODUCT(IF($B$77:$B$83=$A86,F$77:F$83+1))-IF(COUNTIF($B$77:$B$83,+$A86)=0,0,1)</f>
        <v>0</v>
      </c>
      <c r="G86" s="108">
        <f t="array" ref="G86">PRODUCT(IF($B$77:$B$83=$A86,G$77:G$83+1))-IF(COUNTIF($B$77:$B$83,+$A86)=0,0,1)</f>
        <v>0</v>
      </c>
      <c r="H86" s="108">
        <f t="array" ref="H86">PRODUCT(IF($B$77:$B$83=$A86,H$77:H$83+1))-IF(COUNTIF($B$77:$B$83,+$A86)=0,0,1)</f>
        <v>0</v>
      </c>
      <c r="I86" s="108">
        <f t="array" ref="I86">PRODUCT(IF($B$77:$B$83=$A86,I$77:I$83+1))-IF(COUNTIF($B$77:$B$83,+$A86)=0,0,1)</f>
        <v>0</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0</v>
      </c>
      <c r="F87" s="108">
        <f t="array" ref="F87">PRODUCT(IF($B$77:$B$83=$A87,F$77:F$83+1))-IF(COUNTIF($B$77:$B$83,+$A87)=0,0,1)</f>
        <v>0</v>
      </c>
      <c r="G87" s="108">
        <f t="array" ref="G87">PRODUCT(IF($B$77:$B$83=$A87,G$77:G$83+1))-IF(COUNTIF($B$77:$B$83,+$A87)=0,0,1)</f>
        <v>0</v>
      </c>
      <c r="H87" s="108">
        <f t="array" ref="H87">PRODUCT(IF($B$77:$B$83=$A87,H$77:H$83+1))-IF(COUNTIF($B$77:$B$83,+$A87)=0,0,1)</f>
        <v>0</v>
      </c>
      <c r="I87" s="108">
        <f t="array" ref="I87">PRODUCT(IF($B$77:$B$83=$A87,I$77:I$83+1))-IF(COUNTIF($B$77:$B$83,+$A87)=0,0,1)</f>
        <v>0</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0</v>
      </c>
      <c r="F88" s="108">
        <f t="array" ref="F88">PRODUCT(IF($B$77:$B$83=$A88,F$77:F$83+1))-IF(COUNTIF($B$77:$B$83,+$A88)=0,0,1)</f>
        <v>0</v>
      </c>
      <c r="G88" s="108">
        <f t="array" ref="G88">PRODUCT(IF($B$77:$B$83=$A88,G$77:G$83+1))-IF(COUNTIF($B$77:$B$83,+$A88)=0,0,1)</f>
        <v>0</v>
      </c>
      <c r="H88" s="108">
        <f t="array" ref="H88">PRODUCT(IF($B$77:$B$83=$A88,H$77:H$83+1))-IF(COUNTIF($B$77:$B$83,+$A88)=0,0,1)</f>
        <v>0</v>
      </c>
      <c r="I88" s="108">
        <f t="array" ref="I88">PRODUCT(IF($B$77:$B$83=$A88,I$77:I$83+1))-IF(COUNTIF($B$77:$B$83,+$A88)=0,0,1)</f>
        <v>0</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0</v>
      </c>
      <c r="F89" s="108">
        <f t="array" ref="F89">PRODUCT(IF($B$77:$B$83=$A89,F$77:F$83+1))-IF(COUNTIF($B$77:$B$83,+$A89)=0,0,1)</f>
        <v>0</v>
      </c>
      <c r="G89" s="108">
        <f t="array" ref="G89">PRODUCT(IF($B$77:$B$83=$A89,G$77:G$83+1))-IF(COUNTIF($B$77:$B$83,+$A89)=0,0,1)</f>
        <v>0</v>
      </c>
      <c r="H89" s="108">
        <f t="array" ref="H89">PRODUCT(IF($B$77:$B$83=$A89,H$77:H$83+1))-IF(COUNTIF($B$77:$B$83,+$A89)=0,0,1)</f>
        <v>0</v>
      </c>
      <c r="I89" s="108">
        <f t="array" ref="I89">PRODUCT(IF($B$77:$B$83=$A89,I$77:I$83+1))-IF(COUNTIF($B$77:$B$83,+$A89)=0,0,1)</f>
        <v>0</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0</v>
      </c>
      <c r="F90" s="108">
        <f t="array" ref="F90">PRODUCT(IF($B$77:$B$83=$A90,F$77:F$83+1))-IF(COUNTIF($B$77:$B$83,+$A90)=0,0,1)</f>
        <v>0</v>
      </c>
      <c r="G90" s="108">
        <f t="array" ref="G90">PRODUCT(IF($B$77:$B$83=$A90,G$77:G$83+1))-IF(COUNTIF($B$77:$B$83,+$A90)=0,0,1)</f>
        <v>0</v>
      </c>
      <c r="H90" s="108">
        <f t="array" ref="H90">PRODUCT(IF($B$77:$B$83=$A90,H$77:H$83+1))-IF(COUNTIF($B$77:$B$83,+$A90)=0,0,1)</f>
        <v>0</v>
      </c>
      <c r="I90" s="108">
        <f t="array" ref="I90">PRODUCT(IF($B$77:$B$83=$A90,I$77:I$83+1))-IF(COUNTIF($B$77:$B$83,+$A90)=0,0,1)</f>
        <v>0</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0</v>
      </c>
      <c r="F91" s="108">
        <f t="array" ref="F91">PRODUCT(IF($B$77:$B$83=$A91,F$77:F$83+1))-IF(COUNTIF($B$77:$B$83,+$A91)=0,0,1)</f>
        <v>0</v>
      </c>
      <c r="G91" s="108">
        <f t="array" ref="G91">PRODUCT(IF($B$77:$B$83=$A91,G$77:G$83+1))-IF(COUNTIF($B$77:$B$83,+$A91)=0,0,1)</f>
        <v>0</v>
      </c>
      <c r="H91" s="108">
        <f t="array" ref="H91">PRODUCT(IF($B$77:$B$83=$A91,H$77:H$83+1))-IF(COUNTIF($B$77:$B$83,+$A91)=0,0,1)</f>
        <v>0</v>
      </c>
      <c r="I91" s="108">
        <f t="array" ref="I91">PRODUCT(IF($B$77:$B$83=$A91,I$77:I$83+1))-IF(COUNTIF($B$77:$B$83,+$A91)=0,0,1)</f>
        <v>0</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0</v>
      </c>
      <c r="F92" s="112">
        <f t="array" ref="F92">PRODUCT(IF(F86:F91&lt;&gt;0,F86:F91+1))-IF(SUM(F86:F91)&lt;&gt;0,1,0)</f>
        <v>0</v>
      </c>
      <c r="G92" s="112">
        <f t="array" ref="G92">PRODUCT(IF(G86:G91&lt;&gt;0,G86:G91+1))-IF(SUM(G86:G91)&lt;&gt;0,1,0)</f>
        <v>0</v>
      </c>
      <c r="H92" s="112">
        <f t="array" ref="H92">PRODUCT(IF(H86:H91&lt;&gt;0,H86:H91+1))-IF(SUM(H86:H91)&lt;&gt;0,1,0)</f>
        <v>0</v>
      </c>
      <c r="I92" s="112">
        <f t="array" ref="I92">PRODUCT(IF(I86:I91&lt;&gt;0,I86:I91+1))-IF(SUM(I86:I91)&lt;&gt;0,1,0)</f>
        <v>0</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0</v>
      </c>
      <c r="F93" s="114">
        <f t="array" ref="F93">PRODUCT(IF((F77:F83&lt;&gt;0),F77:F83+1))-IF(F77:F83&lt;&gt;0,1,0)</f>
        <v>0</v>
      </c>
      <c r="G93" s="114">
        <f t="array" ref="G93">PRODUCT(IF((G77:G83&lt;&gt;0),G77:G83+1))-IF(G77:G83&lt;&gt;0,1,0)</f>
        <v>0</v>
      </c>
      <c r="H93" s="114">
        <f t="array" ref="H93">PRODUCT(IF((H77:H83&lt;&gt;0),H77:H83+1))-IF(H77:H83&lt;&gt;0,1,0)</f>
        <v>0</v>
      </c>
      <c r="I93" s="114">
        <f t="array" ref="I93">PRODUCT(IF((I77:I83&lt;&gt;0),I77:I83+1))-IF(I77:I83&lt;&gt;0,1,0)</f>
        <v>0</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c r="B113" s="102"/>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0</v>
      </c>
      <c r="F113" s="103">
        <f>IF($K113="No",0,IF($J113="one-off",VLOOKUP($A113,Escalations_General_Costs,+'I-7 Escalations'!F$9+1,FALSE),((VLOOKUP($A113,Escalations_General_Costs,+'I-7 Escalations'!F$9+1,FALSE)+1)*(1+E113)-1)))</f>
        <v>0</v>
      </c>
      <c r="G113" s="103">
        <f>IF($K113="No",0,IF($J113="one-off",VLOOKUP($A113,Escalations_General_Costs,+'I-7 Escalations'!G$9+1,FALSE),((VLOOKUP($A113,Escalations_General_Costs,+'I-7 Escalations'!G$9+1,FALSE)+1)*(1+F113)-1)))</f>
        <v>0</v>
      </c>
      <c r="H113" s="103">
        <f>IF($K113="No",0,IF($J113="one-off",VLOOKUP($A113,Escalations_General_Costs,+'I-7 Escalations'!H$9+1,FALSE),((VLOOKUP($A113,Escalations_General_Costs,+'I-7 Escalations'!H$9+1,FALSE)+1)*(1+G113)-1)))</f>
        <v>0</v>
      </c>
      <c r="I113" s="103">
        <f>IF($K113="No",0,IF($J113="one-off",VLOOKUP($A113,Escalations_General_Costs,+'I-7 Escalations'!I$9+1,FALSE),((VLOOKUP($A113,Escalations_General_Costs,+'I-7 Escalations'!I$9+1,FALSE)+1)*(1+H113)-1)))</f>
        <v>0</v>
      </c>
      <c r="J113" s="105">
        <f t="shared" ref="J113:J118" si="63">IF(ISNA(VLOOKUP($A113,Escalations_General_Costs,+I$73+3,FALSE)),0,VLOOKUP($A113,Escalations_General_Costs,+I$73+3,FALSE))</f>
        <v>0</v>
      </c>
      <c r="K113" s="106" t="str">
        <f t="shared" ref="K113:K118" si="64">IF(ISNA(VLOOKUP($A113,Escalations_General_Costs,1,FALSE)),"No","Yes")</f>
        <v>No</v>
      </c>
      <c r="M113" s="103"/>
      <c r="N113" s="285">
        <f>IF($B113&lt;&gt;0,(+VLOOKUP($B113,$A$8:$I$13,3,FALSE)+VLOOKUP($B113,$A$42:$I$47,3,FALSE))*(C113),0)</f>
        <v>0</v>
      </c>
      <c r="O113" s="285">
        <f>IF($B113&lt;&gt;0,(+VLOOKUP($B113,$A$8:$I$13,4,FALSE)+VLOOKUP($B113,$A$42:$I$47,4,FALSE))*(D113),0)</f>
        <v>0</v>
      </c>
      <c r="P113" s="285">
        <f>IF($B113&lt;&gt;0,(+VLOOKUP($B113,$A$8:$I$13,5,FALSE)+VLOOKUP($B113,$A$42:$I$47,5,FALSE))*(E113),0)</f>
        <v>0</v>
      </c>
      <c r="Q113" s="285">
        <f>IF($B113&lt;&gt;0,(+VLOOKUP($B113,$A$8:$I$13,6,FALSE)+VLOOKUP($B113,$A$42:$I$47,6,FALSE))*(F113),0)</f>
        <v>0</v>
      </c>
      <c r="R113" s="285">
        <f>IF($B113&lt;&gt;0,(+VLOOKUP($B113,$A$8:$I$13,7,FALSE)+VLOOKUP($B113,$A$42:$I$47,7,FALSE))*(G113),0)</f>
        <v>0</v>
      </c>
      <c r="S113" s="285">
        <f>IF($B113&lt;&gt;0,(+VLOOKUP($B113,$A$8:$I$13,8,FALSE)+VLOOKUP($B113,$A$42:$I$47,8,FALSE))*(H113),0)</f>
        <v>0</v>
      </c>
      <c r="T113" s="285">
        <f>IF($B113&lt;&gt;0,(+VLOOKUP($B113,$A$8:$I$13,9,FALSE)+VLOOKUP($B113,$A$42:$I$47,9,FALSE))*(I113),0)</f>
        <v>0</v>
      </c>
    </row>
    <row r="114" spans="1:20" outlineLevel="1">
      <c r="A114" s="101"/>
      <c r="B114" s="102"/>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f t="shared" si="63"/>
        <v>0</v>
      </c>
      <c r="K114" s="106" t="str">
        <f t="shared" si="64"/>
        <v>No</v>
      </c>
      <c r="M114" s="103"/>
      <c r="N114" s="285">
        <f t="shared" ref="N114:N118" si="65">IF($B114&lt;&gt;0,(+VLOOKUP($B114,$A$8:$I$13,3,FALSE)+VLOOKUP($B114,$A$42:$I$47,3,FALSE))*(C114),0)</f>
        <v>0</v>
      </c>
      <c r="O114" s="285">
        <f t="shared" ref="O114:O118" si="66">IF($B114&lt;&gt;0,(+VLOOKUP($B114,$A$8:$I$13,4,FALSE)+VLOOKUP($B114,$A$42:$I$47,4,FALSE))*(D114),0)</f>
        <v>0</v>
      </c>
      <c r="P114" s="285">
        <f t="shared" ref="P114:P118" si="67">IF($B114&lt;&gt;0,(+VLOOKUP($B114,$A$8:$I$13,5,FALSE)+VLOOKUP($B114,$A$42:$I$47,5,FALSE))*(E114),0)</f>
        <v>0</v>
      </c>
      <c r="Q114" s="285">
        <f t="shared" ref="Q114:Q118" si="68">IF($B114&lt;&gt;0,(+VLOOKUP($B114,$A$8:$I$13,6,FALSE)+VLOOKUP($B114,$A$42:$I$47,6,FALSE))*(F114),0)</f>
        <v>0</v>
      </c>
      <c r="R114" s="285">
        <f t="shared" ref="R114:R118" si="69">IF($B114&lt;&gt;0,(+VLOOKUP($B114,$A$8:$I$13,7,FALSE)+VLOOKUP($B114,$A$42:$I$47,7,FALSE))*(G114),0)</f>
        <v>0</v>
      </c>
      <c r="S114" s="285">
        <f t="shared" ref="S114:S118" si="70">IF($B114&lt;&gt;0,(+VLOOKUP($B114,$A$8:$I$13,8,FALSE)+VLOOKUP($B114,$A$42:$I$47,8,FALSE))*(H114),0)</f>
        <v>0</v>
      </c>
      <c r="T114" s="285">
        <f t="shared" ref="T114:T118" si="71">IF($B114&lt;&gt;0,(+VLOOKUP($B114,$A$8:$I$13,9,FALSE)+VLOOKUP($B114,$A$42:$I$47,9,FALSE))*(I114),0)</f>
        <v>0</v>
      </c>
    </row>
    <row r="115" spans="1:20" s="759" customFormat="1" outlineLevel="1">
      <c r="A115" s="101"/>
      <c r="B115" s="102"/>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0</v>
      </c>
      <c r="F115" s="103">
        <f>IF($K115="No",0,IF($J115="one-off",VLOOKUP($A115,Escalations_General_Costs,+'I-7 Escalations'!F$9+1,FALSE),((VLOOKUP($A115,Escalations_General_Costs,+'I-7 Escalations'!F$9+1,FALSE)+1)*(1+E115)-1)))</f>
        <v>0</v>
      </c>
      <c r="G115" s="103">
        <f>IF($K115="No",0,IF($J115="one-off",VLOOKUP($A115,Escalations_General_Costs,+'I-7 Escalations'!G$9+1,FALSE),((VLOOKUP($A115,Escalations_General_Costs,+'I-7 Escalations'!G$9+1,FALSE)+1)*(1+F115)-1)))</f>
        <v>0</v>
      </c>
      <c r="H115" s="103">
        <f>IF($K115="No",0,IF($J115="one-off",VLOOKUP($A115,Escalations_General_Costs,+'I-7 Escalations'!H$9+1,FALSE),((VLOOKUP($A115,Escalations_General_Costs,+'I-7 Escalations'!H$9+1,FALSE)+1)*(1+G115)-1)))</f>
        <v>0</v>
      </c>
      <c r="I115" s="103">
        <f>IF($K115="No",0,IF($J115="one-off",VLOOKUP($A115,Escalations_General_Costs,+'I-7 Escalations'!I$9+1,FALSE),((VLOOKUP($A115,Escalations_General_Costs,+'I-7 Escalations'!I$9+1,FALSE)+1)*(1+H115)-1)))</f>
        <v>0</v>
      </c>
      <c r="J115" s="105">
        <f t="shared" si="63"/>
        <v>0</v>
      </c>
      <c r="K115" s="106" t="str">
        <f t="shared" si="64"/>
        <v>No</v>
      </c>
      <c r="M115" s="103"/>
      <c r="N115" s="285">
        <f t="shared" si="65"/>
        <v>0</v>
      </c>
      <c r="O115" s="285">
        <f>IF($B115&lt;&gt;0,(+VLOOKUP($B115,$A$8:$I$13,4,FALSE)+VLOOKUP($B115,$A$42:$I$47,4,FALSE))*(D115),0)</f>
        <v>0</v>
      </c>
      <c r="P115" s="285">
        <f t="shared" si="67"/>
        <v>0</v>
      </c>
      <c r="Q115" s="285">
        <f t="shared" si="68"/>
        <v>0</v>
      </c>
      <c r="R115" s="285">
        <f t="shared" si="69"/>
        <v>0</v>
      </c>
      <c r="S115" s="285">
        <f t="shared" si="70"/>
        <v>0</v>
      </c>
      <c r="T115" s="285">
        <f t="shared" si="71"/>
        <v>0</v>
      </c>
    </row>
    <row r="116" spans="1:20" outlineLevel="1">
      <c r="A116" s="101"/>
      <c r="B116" s="102"/>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0</v>
      </c>
      <c r="F116" s="103">
        <f>IF($K116="No",0,IF($J116="one-off",VLOOKUP($A116,Escalations_General_Costs,+'I-7 Escalations'!F$9+1,FALSE),((VLOOKUP($A116,Escalations_General_Costs,+'I-7 Escalations'!F$9+1,FALSE)+1)*(1+E116)-1)))</f>
        <v>0</v>
      </c>
      <c r="G116" s="103">
        <f>IF($K116="No",0,IF($J116="one-off",VLOOKUP($A116,Escalations_General_Costs,+'I-7 Escalations'!G$9+1,FALSE),((VLOOKUP($A116,Escalations_General_Costs,+'I-7 Escalations'!G$9+1,FALSE)+1)*(1+F116)-1)))</f>
        <v>0</v>
      </c>
      <c r="H116" s="103">
        <f>IF($K116="No",0,IF($J116="one-off",VLOOKUP($A116,Escalations_General_Costs,+'I-7 Escalations'!H$9+1,FALSE),((VLOOKUP($A116,Escalations_General_Costs,+'I-7 Escalations'!H$9+1,FALSE)+1)*(1+G116)-1)))</f>
        <v>0</v>
      </c>
      <c r="I116" s="103">
        <f>IF($K116="No",0,IF($J116="one-off",VLOOKUP($A116,Escalations_General_Costs,+'I-7 Escalations'!I$9+1,FALSE),((VLOOKUP($A116,Escalations_General_Costs,+'I-7 Escalations'!I$9+1,FALSE)+1)*(1+H116)-1)))</f>
        <v>0</v>
      </c>
      <c r="J116" s="105">
        <f t="shared" si="63"/>
        <v>0</v>
      </c>
      <c r="K116" s="106" t="str">
        <f t="shared" si="64"/>
        <v>No</v>
      </c>
      <c r="M116" s="103"/>
      <c r="N116" s="285">
        <f t="shared" si="65"/>
        <v>0</v>
      </c>
      <c r="O116" s="285">
        <f t="shared" si="66"/>
        <v>0</v>
      </c>
      <c r="P116" s="285">
        <f t="shared" si="67"/>
        <v>0</v>
      </c>
      <c r="Q116" s="285">
        <f t="shared" si="68"/>
        <v>0</v>
      </c>
      <c r="R116" s="285">
        <f t="shared" si="69"/>
        <v>0</v>
      </c>
      <c r="S116" s="285">
        <f t="shared" si="70"/>
        <v>0</v>
      </c>
      <c r="T116" s="285">
        <f t="shared" si="71"/>
        <v>0</v>
      </c>
    </row>
    <row r="117" spans="1:20" s="759" customFormat="1" outlineLevel="1">
      <c r="A117" s="101"/>
      <c r="B117" s="102"/>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0</v>
      </c>
      <c r="F117" s="103">
        <f>IF($K117="No",0,IF($J117="one-off",VLOOKUP($A117,Escalations_General_Costs,+'I-7 Escalations'!F$9+1,FALSE),((VLOOKUP($A117,Escalations_General_Costs,+'I-7 Escalations'!F$9+1,FALSE)+1)*(1+E117)-1)))</f>
        <v>0</v>
      </c>
      <c r="G117" s="103">
        <f>IF($K117="No",0,IF($J117="one-off",VLOOKUP($A117,Escalations_General_Costs,+'I-7 Escalations'!G$9+1,FALSE),((VLOOKUP($A117,Escalations_General_Costs,+'I-7 Escalations'!G$9+1,FALSE)+1)*(1+F117)-1)))</f>
        <v>0</v>
      </c>
      <c r="H117" s="103">
        <f>IF($K117="No",0,IF($J117="one-off",VLOOKUP($A117,Escalations_General_Costs,+'I-7 Escalations'!H$9+1,FALSE),((VLOOKUP($A117,Escalations_General_Costs,+'I-7 Escalations'!H$9+1,FALSE)+1)*(1+G117)-1)))</f>
        <v>0</v>
      </c>
      <c r="I117" s="103">
        <f>IF($K117="No",0,IF($J117="one-off",VLOOKUP($A117,Escalations_General_Costs,+'I-7 Escalations'!I$9+1,FALSE),((VLOOKUP($A117,Escalations_General_Costs,+'I-7 Escalations'!I$9+1,FALSE)+1)*(1+H117)-1)))</f>
        <v>0</v>
      </c>
      <c r="J117" s="105">
        <f t="shared" si="63"/>
        <v>0</v>
      </c>
      <c r="K117" s="106" t="str">
        <f t="shared" si="64"/>
        <v>No</v>
      </c>
      <c r="M117" s="103"/>
      <c r="N117" s="285">
        <f t="shared" si="65"/>
        <v>0</v>
      </c>
      <c r="O117" s="285">
        <f t="shared" si="66"/>
        <v>0</v>
      </c>
      <c r="P117" s="285">
        <f t="shared" si="67"/>
        <v>0</v>
      </c>
      <c r="Q117" s="285">
        <f t="shared" si="68"/>
        <v>0</v>
      </c>
      <c r="R117" s="285">
        <f t="shared" si="69"/>
        <v>0</v>
      </c>
      <c r="S117" s="285">
        <f t="shared" si="70"/>
        <v>0</v>
      </c>
      <c r="T117" s="285">
        <f t="shared" si="71"/>
        <v>0</v>
      </c>
    </row>
    <row r="118" spans="1:20" s="766" customFormat="1" outlineLevel="1">
      <c r="A118" s="101"/>
      <c r="B118" s="102"/>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f t="shared" si="63"/>
        <v>0</v>
      </c>
      <c r="K118" s="106" t="str">
        <f t="shared" si="64"/>
        <v>No</v>
      </c>
      <c r="M118" s="103"/>
      <c r="N118" s="285">
        <f t="shared" si="65"/>
        <v>0</v>
      </c>
      <c r="O118" s="285">
        <f t="shared" si="66"/>
        <v>0</v>
      </c>
      <c r="P118" s="285">
        <f t="shared" si="67"/>
        <v>0</v>
      </c>
      <c r="Q118" s="285">
        <f t="shared" si="68"/>
        <v>0</v>
      </c>
      <c r="R118" s="285">
        <f t="shared" si="69"/>
        <v>0</v>
      </c>
      <c r="S118" s="285">
        <f t="shared" si="70"/>
        <v>0</v>
      </c>
      <c r="T118" s="285">
        <f t="shared" si="71"/>
        <v>0</v>
      </c>
    </row>
    <row r="119" spans="1:20" ht="11.25" customHeight="1" outlineLevel="1" thickBot="1">
      <c r="A119" s="214" t="s">
        <v>161</v>
      </c>
      <c r="B119" s="202"/>
      <c r="C119" s="202"/>
      <c r="D119" s="202"/>
      <c r="E119" s="202"/>
      <c r="F119" s="202"/>
      <c r="G119" s="202"/>
      <c r="H119" s="202"/>
      <c r="I119" s="203"/>
      <c r="J119" s="3"/>
      <c r="K119" s="3"/>
      <c r="L119" s="3"/>
      <c r="N119" s="292">
        <f>SUM(N113:N118)</f>
        <v>0</v>
      </c>
      <c r="O119" s="292">
        <f t="shared" ref="O119:T119" si="72">SUM(O113:O118)</f>
        <v>0</v>
      </c>
      <c r="P119" s="292">
        <f t="shared" si="72"/>
        <v>0</v>
      </c>
      <c r="Q119" s="292">
        <f t="shared" si="72"/>
        <v>0</v>
      </c>
      <c r="R119" s="292">
        <f t="shared" si="72"/>
        <v>0</v>
      </c>
      <c r="S119" s="292">
        <f t="shared" si="72"/>
        <v>0</v>
      </c>
      <c r="T119" s="292">
        <f t="shared" si="72"/>
        <v>0</v>
      </c>
    </row>
    <row r="120" spans="1:20" ht="12" customHeight="1" outlineLevel="1" thickBot="1">
      <c r="A120" s="107"/>
      <c r="B120" s="42"/>
      <c r="C120" s="42"/>
      <c r="D120" s="42"/>
      <c r="E120" s="42"/>
      <c r="F120" s="42"/>
      <c r="G120" s="42"/>
      <c r="H120" s="42"/>
      <c r="I120" s="78"/>
      <c r="M120" s="411" t="s">
        <v>373</v>
      </c>
      <c r="N120" s="412">
        <f t="shared" ref="N120:T120" ca="1" si="73">ROUND(N119-C140,3)</f>
        <v>0</v>
      </c>
      <c r="O120" s="412">
        <f t="shared" ca="1" si="73"/>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0</v>
      </c>
      <c r="F122" s="108">
        <f t="array" ref="F122">PRODUCT(IF($B$113:$B$119=$A122,F$113:F$119+1))-IF(COUNTIF($B$113:$B$119,+$A122)=0,0,1)</f>
        <v>0</v>
      </c>
      <c r="G122" s="108">
        <f t="array" ref="G122">PRODUCT(IF($B$113:$B$119=$A122,G$113:G$119+1))-IF(COUNTIF($B$113:$B$119,+$A122)=0,0,1)</f>
        <v>0</v>
      </c>
      <c r="H122" s="108">
        <f t="array" ref="H122">PRODUCT(IF($B$113:$B$119=$A122,H$113:H$119+1))-IF(COUNTIF($B$113:$B$119,+$A122)=0,0,1)</f>
        <v>0</v>
      </c>
      <c r="I122" s="108">
        <f t="array" ref="I122">PRODUCT(IF($B$113:$B$119=$A122,I$113:I$119+1))-IF(COUNTIF($B$113:$B$119,+$A122)=0,0,1)</f>
        <v>0</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0</v>
      </c>
      <c r="F124" s="108">
        <f t="array" ref="F124">PRODUCT(IF($B$113:$B$119=$A124,F$113:F$119+1))-IF(COUNTIF($B$113:$B$119,+$A124)=0,0,1)</f>
        <v>0</v>
      </c>
      <c r="G124" s="108">
        <f t="array" ref="G124">PRODUCT(IF($B$113:$B$119=$A124,G$113:G$119+1))-IF(COUNTIF($B$113:$B$119,+$A124)=0,0,1)</f>
        <v>0</v>
      </c>
      <c r="H124" s="108">
        <f t="array" ref="H124">PRODUCT(IF($B$113:$B$119=$A124,H$113:H$119+1))-IF(COUNTIF($B$113:$B$119,+$A124)=0,0,1)</f>
        <v>0</v>
      </c>
      <c r="I124" s="108">
        <f t="array" ref="I124">PRODUCT(IF($B$113:$B$119=$A124,I$113:I$119+1))-IF(COUNTIF($B$113:$B$119,+$A124)=0,0,1)</f>
        <v>0</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0</v>
      </c>
      <c r="F125" s="108">
        <f t="array" ref="F125">PRODUCT(IF($B$113:$B$119=$A125,F$113:F$119+1))-IF(COUNTIF($B$113:$B$119,+$A125)=0,0,1)</f>
        <v>0</v>
      </c>
      <c r="G125" s="108">
        <f t="array" ref="G125">PRODUCT(IF($B$113:$B$119=$A125,G$113:G$119+1))-IF(COUNTIF($B$113:$B$119,+$A125)=0,0,1)</f>
        <v>0</v>
      </c>
      <c r="H125" s="108">
        <f t="array" ref="H125">PRODUCT(IF($B$113:$B$119=$A125,H$113:H$119+1))-IF(COUNTIF($B$113:$B$119,+$A125)=0,0,1)</f>
        <v>0</v>
      </c>
      <c r="I125" s="108">
        <f t="array" ref="I125">PRODUCT(IF($B$113:$B$119=$A125,I$113:I$119+1))-IF(COUNTIF($B$113:$B$119,+$A125)=0,0,1)</f>
        <v>0</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0</v>
      </c>
      <c r="F126" s="108">
        <f t="array" ref="F126">PRODUCT(IF($B$113:$B$119=$A126,F$113:F$119+1))-IF(COUNTIF($B$113:$B$119,+$A126)=0,0,1)</f>
        <v>0</v>
      </c>
      <c r="G126" s="108">
        <f t="array" ref="G126">PRODUCT(IF($B$113:$B$119=$A126,G$113:G$119+1))-IF(COUNTIF($B$113:$B$119,+$A126)=0,0,1)</f>
        <v>0</v>
      </c>
      <c r="H126" s="108">
        <f t="array" ref="H126">PRODUCT(IF($B$113:$B$119=$A126,H$113:H$119+1))-IF(COUNTIF($B$113:$B$119,+$A126)=0,0,1)</f>
        <v>0</v>
      </c>
      <c r="I126" s="108">
        <f t="array" ref="I126">PRODUCT(IF($B$113:$B$119=$A126,I$113:I$119+1))-IF(COUNTIF($B$113:$B$119,+$A126)=0,0,1)</f>
        <v>0</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0</v>
      </c>
      <c r="F128" s="112">
        <f t="array" ref="F128">PRODUCT(IF(F122:F127&lt;&gt;0,F122:F127+1))-IF(SUM(F122:F127)&lt;&gt;0,1,0)</f>
        <v>0</v>
      </c>
      <c r="G128" s="112">
        <f t="array" ref="G128">PRODUCT(IF(G122:G127&lt;&gt;0,G122:G127+1))-IF(SUM(G122:G127)&lt;&gt;0,1,0)</f>
        <v>0</v>
      </c>
      <c r="H128" s="112">
        <f t="array" ref="H128">PRODUCT(IF(H122:H127&lt;&gt;0,H122:H127+1))-IF(SUM(H122:H127)&lt;&gt;0,1,0)</f>
        <v>0</v>
      </c>
      <c r="I128" s="112">
        <f t="array" ref="I128">PRODUCT(IF(I122:I127&lt;&gt;0,I122:I127+1))-IF(SUM(I122:I127)&lt;&gt;0,1,0)</f>
        <v>0</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0</v>
      </c>
      <c r="F129" s="114">
        <f t="array" ref="F129">PRODUCT(IF((F113:F119&lt;&gt;0),F113:F119+1))-IF(F113:F119&lt;&gt;0,1,0)</f>
        <v>0</v>
      </c>
      <c r="G129" s="114">
        <f t="array" ref="G129">PRODUCT(IF((G113:G119&lt;&gt;0),G113:G119+1))-IF(G113:G119&lt;&gt;0,1,0)</f>
        <v>0</v>
      </c>
      <c r="H129" s="114">
        <f t="array" ref="H129">PRODUCT(IF((H113:H119&lt;&gt;0),H113:H119+1))-IF(H113:H119&lt;&gt;0,1,0)</f>
        <v>0</v>
      </c>
      <c r="I129" s="114">
        <f t="array" ref="I129">PRODUCT(IF((I113:I119&lt;&gt;0),I113:I119+1))-IF(I113:I119&lt;&gt;0,1,0)</f>
        <v>0</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Debt Raising costs</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 xml:space="preserve">Debt Raising costs </v>
      </c>
      <c r="L160" s="66" t="str">
        <f t="shared" ref="L160:L169" ca="1" si="88">IF(ISNUMBER($J160),OFFSET($B$177,MATCH(+$J160,$J$178:$J$195,0)+2,0),"")</f>
        <v>Calculated in the PTRM and discounted to $ for SEM Input</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 t="shared" ref="J161:J169" si="90">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si="90"/>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t="shared" ref="B170:I170" ca="1" si="91">SUM(B160:B169)</f>
        <v>0</v>
      </c>
      <c r="C170" s="296">
        <f t="shared" ca="1" si="91"/>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20" outlineLevel="1">
      <c r="A177" s="215"/>
      <c r="B177" s="216"/>
      <c r="C177" s="216"/>
      <c r="D177" s="216"/>
      <c r="E177" s="216"/>
      <c r="F177" s="216"/>
      <c r="G177" s="216"/>
      <c r="H177" s="216"/>
      <c r="I177" s="217"/>
      <c r="J177" s="379" t="s">
        <v>328</v>
      </c>
    </row>
    <row r="178" spans="1:20" outlineLevel="1">
      <c r="A178" s="46" t="s">
        <v>153</v>
      </c>
      <c r="B178" s="819" t="s">
        <v>698</v>
      </c>
      <c r="C178" s="783"/>
      <c r="D178" s="48"/>
      <c r="E178" s="49"/>
      <c r="F178" s="42"/>
      <c r="G178" s="42"/>
      <c r="H178" s="42"/>
      <c r="I178" s="783"/>
      <c r="J178" s="377">
        <v>1</v>
      </c>
    </row>
    <row r="179" spans="1:20" ht="20.25" customHeight="1" outlineLevel="1">
      <c r="A179" s="46" t="s">
        <v>117</v>
      </c>
      <c r="B179" s="819" t="s">
        <v>703</v>
      </c>
      <c r="C179" s="783"/>
      <c r="D179" s="783"/>
      <c r="E179" s="783"/>
      <c r="F179" s="783"/>
      <c r="G179" s="783"/>
      <c r="H179" s="783"/>
      <c r="I179" s="783"/>
      <c r="J179" s="42"/>
    </row>
    <row r="180" spans="1:20" ht="16.5" customHeight="1" outlineLevel="1">
      <c r="A180" s="50" t="s">
        <v>259</v>
      </c>
      <c r="B180" s="818" t="s">
        <v>702</v>
      </c>
      <c r="C180" s="51"/>
      <c r="D180" s="783"/>
      <c r="E180" s="783"/>
      <c r="F180" s="783"/>
      <c r="G180" s="783"/>
      <c r="H180" s="783"/>
      <c r="I180" s="783"/>
      <c r="J180" s="42"/>
    </row>
    <row r="181" spans="1:20" outlineLevel="1">
      <c r="A181" s="54" t="s">
        <v>111</v>
      </c>
      <c r="B181" s="42" t="s">
        <v>678</v>
      </c>
      <c r="C181" s="783"/>
      <c r="D181" s="783"/>
      <c r="E181" s="783"/>
      <c r="F181" s="783"/>
      <c r="G181" s="783"/>
      <c r="H181" s="783"/>
      <c r="I181" s="783"/>
      <c r="J181" s="42"/>
    </row>
    <row r="182" spans="1:20" ht="13.5" outlineLevel="1" thickBot="1">
      <c r="A182" s="215"/>
      <c r="B182" s="209"/>
      <c r="C182" s="209"/>
      <c r="D182" s="209"/>
      <c r="E182" s="209"/>
      <c r="F182" s="209"/>
      <c r="G182" s="209"/>
      <c r="H182" s="209"/>
      <c r="I182" s="210"/>
      <c r="J182" s="42"/>
    </row>
    <row r="183" spans="1:20"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20" s="2" customFormat="1" outlineLevel="1">
      <c r="A184" s="58" t="s">
        <v>126</v>
      </c>
      <c r="B184" s="59"/>
      <c r="C184" s="59"/>
      <c r="D184" s="59"/>
      <c r="E184" s="59"/>
      <c r="F184" s="59"/>
      <c r="G184" s="59"/>
      <c r="H184" s="59"/>
      <c r="I184" s="59"/>
      <c r="K184"/>
      <c r="L184"/>
      <c r="M184"/>
      <c r="N184"/>
      <c r="O184"/>
      <c r="P184"/>
      <c r="Q184"/>
      <c r="R184"/>
      <c r="S184"/>
      <c r="T184"/>
    </row>
    <row r="185" spans="1:20" s="64" customFormat="1" ht="14.25" outlineLevel="1">
      <c r="A185" s="61" t="s">
        <v>68</v>
      </c>
      <c r="B185" s="62"/>
      <c r="C185" s="285"/>
      <c r="D185" s="285"/>
      <c r="E185" s="285"/>
      <c r="F185" s="285"/>
      <c r="G185" s="285"/>
      <c r="H185" s="285"/>
      <c r="I185" s="285"/>
      <c r="K185"/>
      <c r="L185" s="785"/>
      <c r="M185" s="821" t="s">
        <v>704</v>
      </c>
      <c r="N185" s="822"/>
      <c r="O185" s="822"/>
      <c r="P185" s="822"/>
      <c r="Q185" s="822"/>
      <c r="R185" s="823"/>
      <c r="S185" s="732"/>
      <c r="T185" s="820"/>
    </row>
    <row r="186" spans="1:20" outlineLevel="1">
      <c r="A186" s="61" t="s">
        <v>69</v>
      </c>
      <c r="B186" s="65"/>
      <c r="C186" s="285"/>
      <c r="D186" s="285"/>
      <c r="E186" s="285"/>
      <c r="F186" s="285"/>
      <c r="G186" s="285"/>
      <c r="H186" s="285"/>
      <c r="I186" s="285"/>
      <c r="L186" s="732"/>
      <c r="M186" s="824" t="s">
        <v>699</v>
      </c>
      <c r="N186" s="732">
        <f>+N185/LU_Escalation</f>
        <v>0</v>
      </c>
      <c r="O186" s="732">
        <f>+O185/LU_Escalation</f>
        <v>0</v>
      </c>
      <c r="P186" s="732">
        <f>+P185/LU_Escalation</f>
        <v>0</v>
      </c>
      <c r="Q186" s="732">
        <f>+Q185/LU_Escalation</f>
        <v>0</v>
      </c>
      <c r="R186" s="732">
        <f>+R185/LU_Escalation</f>
        <v>0</v>
      </c>
      <c r="S186" s="732" t="s">
        <v>700</v>
      </c>
      <c r="T186" s="820" t="s">
        <v>700</v>
      </c>
    </row>
    <row r="187" spans="1:20" s="759" customFormat="1" outlineLevel="1">
      <c r="A187" s="61" t="s">
        <v>646</v>
      </c>
      <c r="B187" s="65"/>
      <c r="C187" s="285"/>
      <c r="D187" s="285"/>
      <c r="E187" s="285"/>
      <c r="F187" s="285"/>
      <c r="G187" s="285"/>
      <c r="H187" s="285"/>
      <c r="I187" s="285"/>
      <c r="L187" s="732"/>
      <c r="M187" s="824" t="s">
        <v>701</v>
      </c>
      <c r="N187" s="825">
        <f ca="1">+N185-'E1'!O596</f>
        <v>0</v>
      </c>
      <c r="O187" s="825">
        <f ca="1">+O185-'E1'!P596</f>
        <v>0</v>
      </c>
      <c r="P187" s="825">
        <f ca="1">+P185-'E1'!Q596</f>
        <v>0</v>
      </c>
      <c r="Q187" s="825">
        <f ca="1">+Q185-'E1'!R596</f>
        <v>0</v>
      </c>
      <c r="R187" s="825">
        <f ca="1">+R185-'E1'!S596</f>
        <v>0</v>
      </c>
      <c r="S187" s="732"/>
      <c r="T187" s="818"/>
    </row>
    <row r="188" spans="1:20" outlineLevel="1">
      <c r="A188" s="61" t="s">
        <v>647</v>
      </c>
      <c r="B188" s="65"/>
      <c r="C188" s="285"/>
      <c r="D188" s="285"/>
      <c r="E188" s="285"/>
      <c r="F188" s="285"/>
      <c r="G188" s="285"/>
      <c r="H188" s="285"/>
      <c r="I188" s="285"/>
      <c r="J188" s="42"/>
    </row>
    <row r="189" spans="1:20" s="759" customFormat="1" outlineLevel="1">
      <c r="A189" s="61" t="s">
        <v>575</v>
      </c>
      <c r="B189" s="65"/>
      <c r="C189" s="285"/>
      <c r="D189" s="285"/>
      <c r="E189" s="285"/>
      <c r="F189" s="285"/>
      <c r="G189" s="285"/>
      <c r="H189" s="285"/>
      <c r="I189" s="285"/>
      <c r="J189" s="42"/>
    </row>
    <row r="190" spans="1:20" outlineLevel="1">
      <c r="A190" s="83" t="s">
        <v>70</v>
      </c>
      <c r="B190" s="65"/>
      <c r="C190" s="285"/>
      <c r="D190" s="285"/>
      <c r="E190" s="285"/>
      <c r="F190" s="285"/>
      <c r="G190" s="285"/>
      <c r="H190" s="285"/>
      <c r="I190" s="285"/>
      <c r="J190" s="42"/>
    </row>
    <row r="191" spans="1:20"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20" outlineLevel="1">
      <c r="A192" s="134"/>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2.0175539353381176</v>
      </c>
      <c r="E205" s="82">
        <f t="shared" ca="1" si="93"/>
        <v>0</v>
      </c>
      <c r="F205" s="82">
        <f t="shared" ca="1" si="93"/>
        <v>0</v>
      </c>
      <c r="G205" s="82">
        <f t="shared" ca="1" si="93"/>
        <v>0</v>
      </c>
      <c r="H205" s="82">
        <f t="shared" ca="1" si="93"/>
        <v>0</v>
      </c>
      <c r="I205" s="82">
        <f t="shared" ca="1" si="93"/>
        <v>0</v>
      </c>
    </row>
    <row r="206" spans="1:9" outlineLevel="1">
      <c r="A206" t="s">
        <v>156</v>
      </c>
      <c r="B206" s="82">
        <f t="shared" ref="B206:I206" ca="1" si="94">+B36</f>
        <v>0</v>
      </c>
      <c r="C206" s="82">
        <f t="shared" ca="1" si="94"/>
        <v>0</v>
      </c>
      <c r="D206" s="82">
        <f t="shared" ca="1" si="94"/>
        <v>2.0175539353381176</v>
      </c>
      <c r="E206" s="82">
        <f t="shared" ca="1" si="94"/>
        <v>0</v>
      </c>
      <c r="F206" s="82">
        <f t="shared" ca="1" si="94"/>
        <v>0</v>
      </c>
      <c r="G206" s="82">
        <f t="shared" ca="1" si="94"/>
        <v>0</v>
      </c>
      <c r="H206" s="82">
        <f t="shared" ca="1" si="94"/>
        <v>0</v>
      </c>
      <c r="I206" s="82">
        <f t="shared" ca="1" si="94"/>
        <v>0</v>
      </c>
    </row>
    <row r="207" spans="1:9" outlineLevel="1">
      <c r="A207" t="s">
        <v>157</v>
      </c>
      <c r="B207" s="82">
        <f t="shared" ref="B207:I207" ca="1" si="95">+B36+B48</f>
        <v>0</v>
      </c>
      <c r="C207" s="82">
        <f t="shared" ca="1" si="95"/>
        <v>0</v>
      </c>
      <c r="D207" s="82">
        <f t="shared" ca="1" si="95"/>
        <v>2.0175539353381176</v>
      </c>
      <c r="E207" s="82">
        <f t="shared" ca="1" si="95"/>
        <v>0</v>
      </c>
      <c r="F207" s="82">
        <f t="shared" ca="1" si="95"/>
        <v>0</v>
      </c>
      <c r="G207" s="82">
        <f t="shared" ca="1" si="95"/>
        <v>0</v>
      </c>
      <c r="H207" s="82">
        <f t="shared" ca="1" si="95"/>
        <v>0</v>
      </c>
      <c r="I207" s="82">
        <f t="shared" ca="1" si="95"/>
        <v>0</v>
      </c>
    </row>
    <row r="208" spans="1:9" outlineLevel="1">
      <c r="A208" t="s">
        <v>158</v>
      </c>
      <c r="B208" s="82">
        <f t="shared" ref="B208:I208" ca="1" si="96">+B70</f>
        <v>0</v>
      </c>
      <c r="C208" s="82">
        <f t="shared" ca="1" si="96"/>
        <v>0</v>
      </c>
      <c r="D208" s="82">
        <f t="shared" ca="1" si="96"/>
        <v>2.0175539353381176</v>
      </c>
      <c r="E208" s="82">
        <f t="shared" ca="1" si="96"/>
        <v>0</v>
      </c>
      <c r="F208" s="82">
        <f t="shared" ca="1" si="96"/>
        <v>0</v>
      </c>
      <c r="G208" s="82">
        <f t="shared" ca="1" si="96"/>
        <v>0</v>
      </c>
      <c r="H208" s="82">
        <f t="shared" ca="1" si="96"/>
        <v>0</v>
      </c>
      <c r="I208" s="82">
        <f t="shared" ca="1" si="96"/>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85" priority="1" stopIfTrue="1" operator="notEqual">
      <formula>0</formula>
    </cfRule>
  </conditionalFormatting>
  <conditionalFormatting sqref="J130 J94 J70 J59 J48 J36:J37 J14 J25">
    <cfRule type="cellIs" dxfId="184" priority="2" stopIfTrue="1" operator="equal">
      <formula>"OK"</formula>
    </cfRule>
    <cfRule type="cellIs" dxfId="183" priority="3" stopIfTrue="1" operator="equal">
      <formula>"Warning Check Escalations"</formula>
    </cfRule>
  </conditionalFormatting>
  <conditionalFormatting sqref="N120:T120 N84:T84">
    <cfRule type="cellIs" dxfId="182" priority="4" stopIfTrue="1" operator="notEqual">
      <formula>0</formula>
    </cfRule>
    <cfRule type="cellIs" dxfId="18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4.xml><?xml version="1.0" encoding="utf-8"?>
<worksheet xmlns="http://schemas.openxmlformats.org/spreadsheetml/2006/main" xmlns:r="http://schemas.openxmlformats.org/officeDocument/2006/relationships">
  <sheetPr codeName="Sheet106" enableFormatConditionsCalculation="0">
    <tabColor rgb="FF339966"/>
    <pageSetUpPr fitToPage="1"/>
  </sheetPr>
  <dimension ref="A1:T239"/>
  <sheetViews>
    <sheetView showGridLines="0" topLeftCell="A183"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73" t="str">
        <f>LU_TemplateDollarDenomination</f>
        <v>$'M Real 2013/14</v>
      </c>
      <c r="J1" s="281" t="s">
        <v>275</v>
      </c>
      <c r="K1" s="305">
        <v>41</v>
      </c>
      <c r="M1" s="282"/>
      <c r="N1" s="280"/>
      <c r="O1" s="280"/>
      <c r="P1" s="280"/>
      <c r="Q1" s="280"/>
      <c r="R1" s="280"/>
      <c r="S1" s="280"/>
      <c r="T1" s="280"/>
    </row>
    <row r="2" spans="1:20" ht="15.75">
      <c r="A2" s="184" t="s">
        <v>121</v>
      </c>
      <c r="B2" s="74" t="str">
        <f ca="1">OFFSET(List_AllocOpexListStart,+$K$1,1)</f>
        <v>Spare, not in use</v>
      </c>
      <c r="F2" s="284"/>
      <c r="H2" s="42"/>
      <c r="I2" s="283"/>
      <c r="L2" s="282"/>
      <c r="M2" s="282"/>
    </row>
    <row r="3" spans="1:20" ht="16.5" thickBot="1">
      <c r="A3" s="184" t="s">
        <v>371</v>
      </c>
      <c r="B3" s="236">
        <f ca="1">OFFSET(List_AllocOpexListStart,+$K$1,2)</f>
        <v>0</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OFFSET(List_AllocOpexStart,MATCH($K$1,'I-4 History'!$A$228:$A$598)+2,0)</f>
        <v>0</v>
      </c>
      <c r="C8" s="285">
        <f ca="1">OFFSET(Future_AOpexStart,MATCH($K$1,'I-6 Future A'!$A$6:$A$379)+2,+'I-5 Future DA'!D$5)</f>
        <v>0</v>
      </c>
      <c r="D8" s="285">
        <f ca="1">OFFSET(Future_AOpexStart,MATCH($K$1,'I-6 Future A'!$A$6:$A$379)+2,+'I-5 Future DA'!E$5)</f>
        <v>0</v>
      </c>
      <c r="E8" s="285">
        <f ca="1">OFFSET(Future_AOpexStart,MATCH($K$1,'I-6 Future A'!$A$6:$A$379)+2,+'I-5 Future DA'!F$5)</f>
        <v>0</v>
      </c>
      <c r="F8" s="285">
        <f ca="1">OFFSET(Future_AOpexStart,MATCH($K$1,'I-6 Future A'!$A$6:$A$379)+2,+'I-5 Future DA'!G$5)</f>
        <v>0</v>
      </c>
      <c r="G8" s="285">
        <f ca="1">OFFSET(Future_AOpexStart,MATCH($K$1,'I-6 Future A'!$A$6:$A$379)+2,+'I-5 Future DA'!H$5)</f>
        <v>0</v>
      </c>
      <c r="H8" s="285">
        <f ca="1">OFFSET(Future_AOpexStart,MATCH($K$1,'I-6 Future A'!$A$6:$A$379)+2,+'I-5 Future DA'!I$5)</f>
        <v>0</v>
      </c>
      <c r="I8" s="285">
        <f ca="1">OFFSET(Future_AOpexStart,MATCH($K$1,'I-6 Future A'!$A$6:$A$379)+2,+'I-5 Future DA'!J$5)</f>
        <v>0</v>
      </c>
      <c r="J8" s="81"/>
      <c r="K8" s="21"/>
      <c r="L8" s="21"/>
    </row>
    <row r="9" spans="1:20" outlineLevel="1">
      <c r="A9" s="61" t="s">
        <v>69</v>
      </c>
      <c r="B9" s="285">
        <f ca="1">OFFSET(List_AllocOpexStart,MATCH($K$1,'I-4 History'!$A$228:$A$598)+3,0)</f>
        <v>0</v>
      </c>
      <c r="C9" s="285">
        <f ca="1">OFFSET(Future_AOpexStart,MATCH($K$1,'I-6 Future A'!$A$6:$A$379)+3,+'I-5 Future DA'!D$5)</f>
        <v>0</v>
      </c>
      <c r="D9" s="285">
        <f ca="1">OFFSET(Future_AOpexStart,MATCH($K$1,'I-6 Future A'!$A$6:$A$379)+3,+'I-5 Future DA'!E$5)</f>
        <v>0</v>
      </c>
      <c r="E9" s="285">
        <f ca="1">OFFSET(Future_AOpexStart,MATCH($K$1,'I-6 Future A'!$A$6:$A$379)+3,+'I-5 Future DA'!F$5)</f>
        <v>0</v>
      </c>
      <c r="F9" s="285">
        <f ca="1">OFFSET(Future_AOpexStart,MATCH($K$1,'I-6 Future A'!$A$6:$A$379)+3,+'I-5 Future DA'!G$5)</f>
        <v>0</v>
      </c>
      <c r="G9" s="285">
        <f ca="1">OFFSET(Future_AOpexStart,MATCH($K$1,'I-6 Future A'!$A$6:$A$379)+3,+'I-5 Future DA'!H$5)</f>
        <v>0</v>
      </c>
      <c r="H9" s="285">
        <f ca="1">OFFSET(Future_AOpexStart,MATCH($K$1,'I-6 Future A'!$A$6:$A$379)+3,+'I-5 Future DA'!I$5)</f>
        <v>0</v>
      </c>
      <c r="I9" s="285">
        <f ca="1">OFFSET(Future_AOpexStart,MATCH($K$1,'I-6 Future A'!$A$6:$A$379)+3,+'I-5 Future DA'!J$5)</f>
        <v>0</v>
      </c>
      <c r="J9" s="36"/>
      <c r="K9" s="21"/>
      <c r="L9" s="21"/>
    </row>
    <row r="10" spans="1:20" s="759" customFormat="1" outlineLevel="1">
      <c r="A10" s="61" t="s">
        <v>646</v>
      </c>
      <c r="B10" s="285">
        <f ca="1">OFFSET(List_AllocOpexStart,MATCH($K$1,'I-4 History'!$A$228:$A$598)+4,0)</f>
        <v>0</v>
      </c>
      <c r="C10" s="285">
        <f ca="1">OFFSET(Future_AOpexStart,MATCH($K$1,'I-6 Future A'!$A$6:$A$379)+4,+'I-5 Future DA'!D$5)</f>
        <v>0</v>
      </c>
      <c r="D10" s="285">
        <f ca="1">OFFSET(Future_AOpexStart,MATCH($K$1,'I-6 Future A'!$A$6:$A$379)+4,+'I-5 Future DA'!E$5)</f>
        <v>0</v>
      </c>
      <c r="E10" s="285">
        <f ca="1">OFFSET(Future_AOpexStart,MATCH($K$1,'I-6 Future A'!$A$6:$A$379)+4,+'I-5 Future DA'!F$5)</f>
        <v>0</v>
      </c>
      <c r="F10" s="285">
        <f ca="1">OFFSET(Future_AOpexStart,MATCH($K$1,'I-6 Future A'!$A$6:$A$379)+4,+'I-5 Future DA'!G$5)</f>
        <v>0</v>
      </c>
      <c r="G10" s="285">
        <f ca="1">OFFSET(Future_AOpexStart,MATCH($K$1,'I-6 Future A'!$A$6:$A$379)+4,+'I-5 Future DA'!H$5)</f>
        <v>0</v>
      </c>
      <c r="H10" s="285">
        <f ca="1">OFFSET(Future_AOpexStart,MATCH($K$1,'I-6 Future A'!$A$6:$A$379)+4,+'I-5 Future DA'!I$5)</f>
        <v>0</v>
      </c>
      <c r="I10" s="285">
        <f ca="1">OFFSET(Future_AOpexStart,MATCH($K$1,'I-6 Future A'!$A$6:$A$379)+4,+'I-5 Future DA'!J$5)</f>
        <v>0</v>
      </c>
      <c r="J10" s="36"/>
      <c r="K10" s="732"/>
      <c r="L10" s="732"/>
    </row>
    <row r="11" spans="1:20" outlineLevel="1">
      <c r="A11" s="61" t="s">
        <v>647</v>
      </c>
      <c r="B11" s="285">
        <f ca="1">OFFSET(List_AllocOpexStart,MATCH($K$1,'I-4 History'!$A$228:$A$598)+5,0)</f>
        <v>0</v>
      </c>
      <c r="C11" s="285">
        <f ca="1">OFFSET(Future_AOpexStart,MATCH($K$1,'I-6 Future A'!$A$6:$A$379)+5,+'I-5 Future DA'!D$5)</f>
        <v>0</v>
      </c>
      <c r="D11" s="285">
        <f ca="1">OFFSET(Future_AOpexStart,MATCH($K$1,'I-6 Future A'!$A$6:$A$379)+5,+'I-5 Future DA'!E$5)</f>
        <v>0</v>
      </c>
      <c r="E11" s="285">
        <f ca="1">OFFSET(Future_AOpexStart,MATCH($K$1,'I-6 Future A'!$A$6:$A$379)+5,+'I-5 Future DA'!F$5)</f>
        <v>0</v>
      </c>
      <c r="F11" s="285">
        <f ca="1">OFFSET(Future_AOpexStart,MATCH($K$1,'I-6 Future A'!$A$6:$A$379)+5,+'I-5 Future DA'!G$5)</f>
        <v>0</v>
      </c>
      <c r="G11" s="285">
        <f ca="1">OFFSET(Future_AOpexStart,MATCH($K$1,'I-6 Future A'!$A$6:$A$379)+5,+'I-5 Future DA'!H$5)</f>
        <v>0</v>
      </c>
      <c r="H11" s="285">
        <f ca="1">OFFSET(Future_AOpexStart,MATCH($K$1,'I-6 Future A'!$A$6:$A$379)+5,+'I-5 Future DA'!I$5)</f>
        <v>0</v>
      </c>
      <c r="I11" s="285">
        <f ca="1">OFFSET(Future_AOpexStart,MATCH($K$1,'I-6 Future A'!$A$6:$A$379)+5,+'I-5 Future DA'!J$5)</f>
        <v>0</v>
      </c>
      <c r="J11" s="36"/>
      <c r="K11" s="21"/>
      <c r="L11" s="21"/>
    </row>
    <row r="12" spans="1:20" s="759" customFormat="1" outlineLevel="1">
      <c r="A12" s="61" t="s">
        <v>575</v>
      </c>
      <c r="B12" s="285">
        <f ca="1">OFFSET(List_AllocOpexStart,MATCH($K$1,'I-4 History'!$A$228:$A$598)+6,0)</f>
        <v>0</v>
      </c>
      <c r="C12" s="285">
        <f ca="1">OFFSET(Future_AOpexStart,MATCH($K$1,'I-6 Future A'!$A$6:$A$379)+6,+'I-5 Future DA'!D$5)</f>
        <v>0</v>
      </c>
      <c r="D12" s="285">
        <f ca="1">OFFSET(Future_AOpexStart,MATCH($K$1,'I-6 Future A'!$A$6:$A$379)+6,+'I-5 Future DA'!E$5)</f>
        <v>0</v>
      </c>
      <c r="E12" s="285">
        <f ca="1">OFFSET(Future_AOpexStart,MATCH($K$1,'I-6 Future A'!$A$6:$A$379)+6,+'I-5 Future DA'!F$5)</f>
        <v>0</v>
      </c>
      <c r="F12" s="285">
        <f ca="1">OFFSET(Future_AOpexStart,MATCH($K$1,'I-6 Future A'!$A$6:$A$379)+6,+'I-5 Future DA'!G$5)</f>
        <v>0</v>
      </c>
      <c r="G12" s="285">
        <f ca="1">OFFSET(Future_AOpexStart,MATCH($K$1,'I-6 Future A'!$A$6:$A$379)+6,+'I-5 Future DA'!H$5)</f>
        <v>0</v>
      </c>
      <c r="H12" s="285">
        <f ca="1">OFFSET(Future_AOpexStart,MATCH($K$1,'I-6 Future A'!$A$6:$A$379)+6,+'I-5 Future DA'!I$5)</f>
        <v>0</v>
      </c>
      <c r="I12" s="285">
        <f ca="1">OFFSET(Future_AOpexStart,MATCH($K$1,'I-6 Future A'!$A$6:$A$379)+6,+'I-5 Future DA'!J$5)</f>
        <v>0</v>
      </c>
      <c r="J12" s="36"/>
      <c r="K12" s="732"/>
      <c r="L12" s="732"/>
    </row>
    <row r="13" spans="1:20" outlineLevel="1">
      <c r="A13" s="83" t="s">
        <v>70</v>
      </c>
      <c r="B13" s="286">
        <f ca="1">OFFSET(List_AllocOpexStart,MATCH($K$1,'I-4 History'!$A$228:$A$598)+7,0)</f>
        <v>0</v>
      </c>
      <c r="C13" s="286">
        <f ca="1">OFFSET(Future_AOpexStart,MATCH($K$1,'I-6 Future A'!$A$6:$A$379)+7,+'I-5 Future DA'!D$5)</f>
        <v>0</v>
      </c>
      <c r="D13" s="286">
        <f ca="1">OFFSET(Future_AOpexStart,MATCH($K$1,'I-6 Future A'!$A$6:$A$379)+7,+'I-5 Future DA'!E$5)</f>
        <v>0</v>
      </c>
      <c r="E13" s="286">
        <f ca="1">OFFSET(Future_AOpexStart,MATCH($K$1,'I-6 Future A'!$A$6:$A$379)+7,+'I-5 Future DA'!F$5)</f>
        <v>0</v>
      </c>
      <c r="F13" s="286">
        <f ca="1">OFFSET(Future_AOpexStart,MATCH($K$1,'I-6 Future A'!$A$6:$A$379)+7,+'I-5 Future DA'!G$5)</f>
        <v>0</v>
      </c>
      <c r="G13" s="286">
        <f ca="1">OFFSET(Future_AOpexStart,MATCH($K$1,'I-6 Future A'!$A$6:$A$379)+7,+'I-5 Future DA'!H$5)</f>
        <v>0</v>
      </c>
      <c r="H13" s="286">
        <f ca="1">OFFSET(Future_AOpexStart,MATCH($K$1,'I-6 Future A'!$A$6:$A$379)+7,+'I-5 Future DA'!I$5)</f>
        <v>0</v>
      </c>
      <c r="I13" s="286">
        <f ca="1">OFFSET(Future_AOpexStart,MATCH($K$1,'I-6 Future A'!$A$6:$A$379)+7,+'I-5 Future DA'!J$5)</f>
        <v>0</v>
      </c>
      <c r="J13" s="36"/>
      <c r="K13" s="21"/>
      <c r="L13" s="21"/>
    </row>
    <row r="14" spans="1:20" s="87" customFormat="1" ht="18" customHeight="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+'A-41'!B8+'A-41'!B19</f>
        <v>0</v>
      </c>
      <c r="C30" s="285">
        <f ca="1">+'A-41'!C8+'A-41'!C19</f>
        <v>0</v>
      </c>
      <c r="D30" s="285">
        <f ca="1">+'A-41'!D8+'A-41'!D19</f>
        <v>0</v>
      </c>
      <c r="E30" s="285">
        <f ca="1">+'A-41'!E8+'A-41'!E19</f>
        <v>0</v>
      </c>
      <c r="F30" s="285">
        <f ca="1">+'A-41'!F8+'A-41'!F19</f>
        <v>0</v>
      </c>
      <c r="G30" s="285">
        <f ca="1">+'A-41'!G8+'A-41'!G19</f>
        <v>0</v>
      </c>
      <c r="H30" s="285">
        <f ca="1">+'A-41'!H8+'A-41'!H19</f>
        <v>0</v>
      </c>
      <c r="I30" s="285">
        <f ca="1">+'A-41'!I8+'A-41'!I19</f>
        <v>0</v>
      </c>
      <c r="J30" s="42"/>
      <c r="K30" s="21"/>
      <c r="L30" s="21"/>
    </row>
    <row r="31" spans="1:12" outlineLevel="2">
      <c r="A31" s="61" t="s">
        <v>69</v>
      </c>
      <c r="B31" s="285">
        <f ca="1">+'A-41'!B9+'A-41'!B20</f>
        <v>0</v>
      </c>
      <c r="C31" s="285">
        <f ca="1">+'A-41'!C9+'A-41'!C20</f>
        <v>0</v>
      </c>
      <c r="D31" s="285">
        <f ca="1">+'A-41'!D9+'A-41'!D20</f>
        <v>0</v>
      </c>
      <c r="E31" s="285">
        <f ca="1">+'A-41'!E9+'A-41'!E20</f>
        <v>0</v>
      </c>
      <c r="F31" s="285">
        <f ca="1">+'A-41'!F9+'A-41'!F20</f>
        <v>0</v>
      </c>
      <c r="G31" s="285">
        <f ca="1">+'A-41'!G9+'A-41'!G20</f>
        <v>0</v>
      </c>
      <c r="H31" s="285">
        <f ca="1">+'A-41'!H9+'A-41'!H20</f>
        <v>0</v>
      </c>
      <c r="I31" s="285">
        <f ca="1">+'A-41'!I9+'A-41'!I20</f>
        <v>0</v>
      </c>
      <c r="J31" s="42"/>
      <c r="K31" s="21"/>
      <c r="L31" s="21"/>
    </row>
    <row r="32" spans="1:12" s="759" customFormat="1" outlineLevel="2">
      <c r="A32" s="61" t="s">
        <v>646</v>
      </c>
      <c r="B32" s="285">
        <f ca="1">+'A-41'!B10+'A-41'!B21</f>
        <v>0</v>
      </c>
      <c r="C32" s="285">
        <f ca="1">+'A-41'!C10+'A-41'!C21</f>
        <v>0</v>
      </c>
      <c r="D32" s="285">
        <f ca="1">+'A-41'!D10+'A-41'!D21</f>
        <v>0</v>
      </c>
      <c r="E32" s="285">
        <f ca="1">+'A-41'!E10+'A-41'!E21</f>
        <v>0</v>
      </c>
      <c r="F32" s="285">
        <f ca="1">+'A-41'!F10+'A-41'!F21</f>
        <v>0</v>
      </c>
      <c r="G32" s="285">
        <f ca="1">+'A-41'!G10+'A-41'!G21</f>
        <v>0</v>
      </c>
      <c r="H32" s="285">
        <f ca="1">+'A-41'!H10+'A-41'!H21</f>
        <v>0</v>
      </c>
      <c r="I32" s="285">
        <f ca="1">+'A-41'!I10+'A-41'!I21</f>
        <v>0</v>
      </c>
      <c r="J32" s="42"/>
      <c r="K32" s="732"/>
      <c r="L32" s="732"/>
    </row>
    <row r="33" spans="1:12" outlineLevel="2">
      <c r="A33" s="61" t="s">
        <v>647</v>
      </c>
      <c r="B33" s="285">
        <f ca="1">+'A-41'!B11+'A-41'!B22</f>
        <v>0</v>
      </c>
      <c r="C33" s="285">
        <f ca="1">+'A-41'!C11+'A-41'!C22</f>
        <v>0</v>
      </c>
      <c r="D33" s="285">
        <f ca="1">+'A-41'!D11+'A-41'!D22</f>
        <v>0</v>
      </c>
      <c r="E33" s="285">
        <f ca="1">+'A-41'!E11+'A-41'!E22</f>
        <v>0</v>
      </c>
      <c r="F33" s="285">
        <f ca="1">+'A-41'!F11+'A-41'!F22</f>
        <v>0</v>
      </c>
      <c r="G33" s="285">
        <f ca="1">+'A-41'!G11+'A-41'!G22</f>
        <v>0</v>
      </c>
      <c r="H33" s="285">
        <f ca="1">+'A-41'!H11+'A-41'!H22</f>
        <v>0</v>
      </c>
      <c r="I33" s="285">
        <f ca="1">+'A-41'!I11+'A-41'!I22</f>
        <v>0</v>
      </c>
      <c r="J33" s="42"/>
      <c r="K33" s="21"/>
      <c r="L33" s="21"/>
    </row>
    <row r="34" spans="1:12" s="759" customFormat="1" outlineLevel="2">
      <c r="A34" s="61" t="s">
        <v>575</v>
      </c>
      <c r="B34" s="285">
        <f ca="1">+'A-41'!B12+'A-41'!B23</f>
        <v>0</v>
      </c>
      <c r="C34" s="285">
        <f ca="1">+'A-41'!C12+'A-41'!C23</f>
        <v>0</v>
      </c>
      <c r="D34" s="285">
        <f ca="1">+'A-41'!D12+'A-41'!D23</f>
        <v>0</v>
      </c>
      <c r="E34" s="285">
        <f ca="1">+'A-41'!E12+'A-41'!E23</f>
        <v>0</v>
      </c>
      <c r="F34" s="285">
        <f ca="1">+'A-41'!F12+'A-41'!F23</f>
        <v>0</v>
      </c>
      <c r="G34" s="285">
        <f ca="1">+'A-41'!G12+'A-41'!G23</f>
        <v>0</v>
      </c>
      <c r="H34" s="285">
        <f ca="1">+'A-41'!H12+'A-41'!H23</f>
        <v>0</v>
      </c>
      <c r="I34" s="285">
        <f ca="1">+'A-41'!I12+'A-41'!I23</f>
        <v>0</v>
      </c>
      <c r="J34" s="42"/>
      <c r="K34" s="732"/>
      <c r="L34" s="732"/>
    </row>
    <row r="35" spans="1:12" ht="13.5" outlineLevel="2" thickBot="1">
      <c r="A35" s="83" t="s">
        <v>70</v>
      </c>
      <c r="B35" s="285">
        <f ca="1">+'A-41'!B13+'A-41'!B24</f>
        <v>0</v>
      </c>
      <c r="C35" s="285">
        <f ca="1">+'A-41'!C13+'A-41'!C24</f>
        <v>0</v>
      </c>
      <c r="D35" s="285">
        <f ca="1">+'A-41'!D13+'A-41'!D24</f>
        <v>0</v>
      </c>
      <c r="E35" s="285">
        <f ca="1">+'A-41'!E13+'A-41'!E24</f>
        <v>0</v>
      </c>
      <c r="F35" s="285">
        <f ca="1">+'A-41'!F13+'A-41'!F24</f>
        <v>0</v>
      </c>
      <c r="G35" s="285">
        <f ca="1">+'A-41'!G13+'A-41'!G24</f>
        <v>0</v>
      </c>
      <c r="H35" s="285">
        <f ca="1">+'A-41'!H13+'A-41'!H24</f>
        <v>0</v>
      </c>
      <c r="I35" s="285">
        <f ca="1">+'A-41'!I13+'A-41'!I24</f>
        <v>0</v>
      </c>
      <c r="J35" s="93"/>
      <c r="K35" s="21"/>
      <c r="L35" s="21"/>
    </row>
    <row r="36" spans="1:12" s="87" customFormat="1" ht="20.25" customHeight="1" thickBot="1">
      <c r="A36" s="94" t="s">
        <v>128</v>
      </c>
      <c r="B36" s="294">
        <f t="shared" ref="B36:I36" ca="1" si="7">SUM(B30:B35)</f>
        <v>0</v>
      </c>
      <c r="C36" s="294">
        <f t="shared" ca="1" si="7"/>
        <v>0</v>
      </c>
      <c r="D36" s="294">
        <f t="shared" ca="1" si="7"/>
        <v>0</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693</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0</v>
      </c>
      <c r="F77" s="103">
        <f t="shared" si="28"/>
        <v>0</v>
      </c>
      <c r="G77" s="103">
        <f t="shared" si="28"/>
        <v>0</v>
      </c>
      <c r="H77" s="103">
        <f t="shared" si="28"/>
        <v>0</v>
      </c>
      <c r="I77" s="104">
        <f t="shared" si="28"/>
        <v>0</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693</v>
      </c>
      <c r="B78" s="102" t="s">
        <v>69</v>
      </c>
      <c r="C78" s="103">
        <f t="shared" si="27"/>
        <v>0</v>
      </c>
      <c r="D78" s="103">
        <f t="shared" si="28"/>
        <v>0</v>
      </c>
      <c r="E78" s="103">
        <f t="shared" si="28"/>
        <v>0</v>
      </c>
      <c r="F78" s="103">
        <f t="shared" si="28"/>
        <v>0</v>
      </c>
      <c r="G78" s="103">
        <f t="shared" si="28"/>
        <v>0</v>
      </c>
      <c r="H78" s="103">
        <f t="shared" si="28"/>
        <v>0</v>
      </c>
      <c r="I78" s="104">
        <f t="shared" si="28"/>
        <v>0</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693</v>
      </c>
      <c r="B79" s="102" t="s">
        <v>646</v>
      </c>
      <c r="C79" s="103">
        <f t="shared" si="27"/>
        <v>0</v>
      </c>
      <c r="D79" s="103">
        <f t="shared" si="28"/>
        <v>0</v>
      </c>
      <c r="E79" s="103">
        <f t="shared" si="28"/>
        <v>0</v>
      </c>
      <c r="F79" s="103">
        <f t="shared" si="28"/>
        <v>0</v>
      </c>
      <c r="G79" s="103">
        <f t="shared" si="28"/>
        <v>0</v>
      </c>
      <c r="H79" s="103">
        <f t="shared" si="28"/>
        <v>0</v>
      </c>
      <c r="I79" s="104">
        <f t="shared" si="28"/>
        <v>0</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693</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0</v>
      </c>
      <c r="F80" s="103">
        <f t="shared" ref="F80:F82" si="40">IF($K80="No",0,IF($J80="one-off",VLOOKUP($A80,Escalations_Specific_Costs,+F$73,FALSE),(VLOOKUP($A80,Escalations_Specific_Costs,+F$73,FALSE)+1)*(1+E80)-1))</f>
        <v>0</v>
      </c>
      <c r="G80" s="103">
        <f t="shared" ref="G80:G82" si="41">IF($K80="No",0,IF($J80="one-off",VLOOKUP($A80,Escalations_Specific_Costs,+G$73,FALSE),(VLOOKUP($A80,Escalations_Specific_Costs,+G$73,FALSE)+1)*(1+F80)-1))</f>
        <v>0</v>
      </c>
      <c r="H80" s="103">
        <f t="shared" ref="H80:H82" si="42">IF($K80="No",0,IF($J80="one-off",VLOOKUP($A80,Escalations_Specific_Costs,+H$73,FALSE),(VLOOKUP($A80,Escalations_Specific_Costs,+H$73,FALSE)+1)*(1+G80)-1))</f>
        <v>0</v>
      </c>
      <c r="I80" s="104">
        <f t="shared" ref="I80:I82" si="43">IF($K80="No",0,IF($J80="one-off",VLOOKUP($A80,Escalations_Specific_Costs,+I$73,FALSE),(VLOOKUP($A80,Escalations_Specific_Costs,+I$73,FALSE)+1)*(1+H80)-1))</f>
        <v>0</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693</v>
      </c>
      <c r="B81" s="102" t="s">
        <v>575</v>
      </c>
      <c r="C81" s="103">
        <f t="shared" si="27"/>
        <v>0</v>
      </c>
      <c r="D81" s="103">
        <f t="shared" si="38"/>
        <v>0</v>
      </c>
      <c r="E81" s="103">
        <f t="shared" si="39"/>
        <v>0</v>
      </c>
      <c r="F81" s="103">
        <f t="shared" si="40"/>
        <v>0</v>
      </c>
      <c r="G81" s="103">
        <f t="shared" si="41"/>
        <v>0</v>
      </c>
      <c r="H81" s="103">
        <f t="shared" si="42"/>
        <v>0</v>
      </c>
      <c r="I81" s="104">
        <f t="shared" si="43"/>
        <v>0</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693</v>
      </c>
      <c r="B82" s="102" t="s">
        <v>70</v>
      </c>
      <c r="C82" s="103">
        <f t="shared" si="27"/>
        <v>0</v>
      </c>
      <c r="D82" s="103">
        <f t="shared" si="38"/>
        <v>0</v>
      </c>
      <c r="E82" s="103">
        <f t="shared" si="39"/>
        <v>0</v>
      </c>
      <c r="F82" s="103">
        <f t="shared" si="40"/>
        <v>0</v>
      </c>
      <c r="G82" s="103">
        <f t="shared" si="41"/>
        <v>0</v>
      </c>
      <c r="H82" s="103">
        <f t="shared" si="42"/>
        <v>0</v>
      </c>
      <c r="I82" s="104">
        <f t="shared" si="43"/>
        <v>0</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t="shared" ref="N84:T84" ca="1" si="52">ROUND(N83-C104,3)</f>
        <v>0</v>
      </c>
      <c r="O84" s="412">
        <f t="shared" ca="1" si="52"/>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0</v>
      </c>
      <c r="F86" s="108">
        <f t="array" ref="F86">PRODUCT(IF($B$77:$B$83=$A86,F$77:F$83+1))-IF(COUNTIF($B$77:$B$83,+$A86)=0,0,1)</f>
        <v>0</v>
      </c>
      <c r="G86" s="108">
        <f t="array" ref="G86">PRODUCT(IF($B$77:$B$83=$A86,G$77:G$83+1))-IF(COUNTIF($B$77:$B$83,+$A86)=0,0,1)</f>
        <v>0</v>
      </c>
      <c r="H86" s="108">
        <f t="array" ref="H86">PRODUCT(IF($B$77:$B$83=$A86,H$77:H$83+1))-IF(COUNTIF($B$77:$B$83,+$A86)=0,0,1)</f>
        <v>0</v>
      </c>
      <c r="I86" s="108">
        <f t="array" ref="I86">PRODUCT(IF($B$77:$B$83=$A86,I$77:I$83+1))-IF(COUNTIF($B$77:$B$83,+$A86)=0,0,1)</f>
        <v>0</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0</v>
      </c>
      <c r="F87" s="108">
        <f t="array" ref="F87">PRODUCT(IF($B$77:$B$83=$A87,F$77:F$83+1))-IF(COUNTIF($B$77:$B$83,+$A87)=0,0,1)</f>
        <v>0</v>
      </c>
      <c r="G87" s="108">
        <f t="array" ref="G87">PRODUCT(IF($B$77:$B$83=$A87,G$77:G$83+1))-IF(COUNTIF($B$77:$B$83,+$A87)=0,0,1)</f>
        <v>0</v>
      </c>
      <c r="H87" s="108">
        <f t="array" ref="H87">PRODUCT(IF($B$77:$B$83=$A87,H$77:H$83+1))-IF(COUNTIF($B$77:$B$83,+$A87)=0,0,1)</f>
        <v>0</v>
      </c>
      <c r="I87" s="108">
        <f t="array" ref="I87">PRODUCT(IF($B$77:$B$83=$A87,I$77:I$83+1))-IF(COUNTIF($B$77:$B$83,+$A87)=0,0,1)</f>
        <v>0</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0</v>
      </c>
      <c r="F88" s="108">
        <f t="array" ref="F88">PRODUCT(IF($B$77:$B$83=$A88,F$77:F$83+1))-IF(COUNTIF($B$77:$B$83,+$A88)=0,0,1)</f>
        <v>0</v>
      </c>
      <c r="G88" s="108">
        <f t="array" ref="G88">PRODUCT(IF($B$77:$B$83=$A88,G$77:G$83+1))-IF(COUNTIF($B$77:$B$83,+$A88)=0,0,1)</f>
        <v>0</v>
      </c>
      <c r="H88" s="108">
        <f t="array" ref="H88">PRODUCT(IF($B$77:$B$83=$A88,H$77:H$83+1))-IF(COUNTIF($B$77:$B$83,+$A88)=0,0,1)</f>
        <v>0</v>
      </c>
      <c r="I88" s="108">
        <f t="array" ref="I88">PRODUCT(IF($B$77:$B$83=$A88,I$77:I$83+1))-IF(COUNTIF($B$77:$B$83,+$A88)=0,0,1)</f>
        <v>0</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0</v>
      </c>
      <c r="F89" s="108">
        <f t="array" ref="F89">PRODUCT(IF($B$77:$B$83=$A89,F$77:F$83+1))-IF(COUNTIF($B$77:$B$83,+$A89)=0,0,1)</f>
        <v>0</v>
      </c>
      <c r="G89" s="108">
        <f t="array" ref="G89">PRODUCT(IF($B$77:$B$83=$A89,G$77:G$83+1))-IF(COUNTIF($B$77:$B$83,+$A89)=0,0,1)</f>
        <v>0</v>
      </c>
      <c r="H89" s="108">
        <f t="array" ref="H89">PRODUCT(IF($B$77:$B$83=$A89,H$77:H$83+1))-IF(COUNTIF($B$77:$B$83,+$A89)=0,0,1)</f>
        <v>0</v>
      </c>
      <c r="I89" s="108">
        <f t="array" ref="I89">PRODUCT(IF($B$77:$B$83=$A89,I$77:I$83+1))-IF(COUNTIF($B$77:$B$83,+$A89)=0,0,1)</f>
        <v>0</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0</v>
      </c>
      <c r="F90" s="108">
        <f t="array" ref="F90">PRODUCT(IF($B$77:$B$83=$A90,F$77:F$83+1))-IF(COUNTIF($B$77:$B$83,+$A90)=0,0,1)</f>
        <v>0</v>
      </c>
      <c r="G90" s="108">
        <f t="array" ref="G90">PRODUCT(IF($B$77:$B$83=$A90,G$77:G$83+1))-IF(COUNTIF($B$77:$B$83,+$A90)=0,0,1)</f>
        <v>0</v>
      </c>
      <c r="H90" s="108">
        <f t="array" ref="H90">PRODUCT(IF($B$77:$B$83=$A90,H$77:H$83+1))-IF(COUNTIF($B$77:$B$83,+$A90)=0,0,1)</f>
        <v>0</v>
      </c>
      <c r="I90" s="108">
        <f t="array" ref="I90">PRODUCT(IF($B$77:$B$83=$A90,I$77:I$83+1))-IF(COUNTIF($B$77:$B$83,+$A90)=0,0,1)</f>
        <v>0</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0</v>
      </c>
      <c r="F91" s="108">
        <f t="array" ref="F91">PRODUCT(IF($B$77:$B$83=$A91,F$77:F$83+1))-IF(COUNTIF($B$77:$B$83,+$A91)=0,0,1)</f>
        <v>0</v>
      </c>
      <c r="G91" s="108">
        <f t="array" ref="G91">PRODUCT(IF($B$77:$B$83=$A91,G$77:G$83+1))-IF(COUNTIF($B$77:$B$83,+$A91)=0,0,1)</f>
        <v>0</v>
      </c>
      <c r="H91" s="108">
        <f t="array" ref="H91">PRODUCT(IF($B$77:$B$83=$A91,H$77:H$83+1))-IF(COUNTIF($B$77:$B$83,+$A91)=0,0,1)</f>
        <v>0</v>
      </c>
      <c r="I91" s="108">
        <f t="array" ref="I91">PRODUCT(IF($B$77:$B$83=$A91,I$77:I$83+1))-IF(COUNTIF($B$77:$B$83,+$A91)=0,0,1)</f>
        <v>0</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0</v>
      </c>
      <c r="F92" s="112">
        <f t="array" ref="F92">PRODUCT(IF(F86:F91&lt;&gt;0,F86:F91+1))-IF(SUM(F86:F91)&lt;&gt;0,1,0)</f>
        <v>0</v>
      </c>
      <c r="G92" s="112">
        <f t="array" ref="G92">PRODUCT(IF(G86:G91&lt;&gt;0,G86:G91+1))-IF(SUM(G86:G91)&lt;&gt;0,1,0)</f>
        <v>0</v>
      </c>
      <c r="H92" s="112">
        <f t="array" ref="H92">PRODUCT(IF(H86:H91&lt;&gt;0,H86:H91+1))-IF(SUM(H86:H91)&lt;&gt;0,1,0)</f>
        <v>0</v>
      </c>
      <c r="I92" s="112">
        <f t="array" ref="I92">PRODUCT(IF(I86:I91&lt;&gt;0,I86:I91+1))-IF(SUM(I86:I91)&lt;&gt;0,1,0)</f>
        <v>0</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0</v>
      </c>
      <c r="F93" s="114">
        <f t="array" ref="F93">PRODUCT(IF((F77:F83&lt;&gt;0),F77:F83+1))-IF(F77:F83&lt;&gt;0,1,0)</f>
        <v>0</v>
      </c>
      <c r="G93" s="114">
        <f t="array" ref="G93">PRODUCT(IF((G77:G83&lt;&gt;0),G77:G83+1))-IF(G77:G83&lt;&gt;0,1,0)</f>
        <v>0</v>
      </c>
      <c r="H93" s="114">
        <f t="array" ref="H93">PRODUCT(IF((H77:H83&lt;&gt;0),H77:H83+1))-IF(H77:H83&lt;&gt;0,1,0)</f>
        <v>0</v>
      </c>
      <c r="I93" s="114">
        <f t="array" ref="I93">PRODUCT(IF((I77:I83&lt;&gt;0),I77:I83+1))-IF(I77:I83&lt;&gt;0,1,0)</f>
        <v>0</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t="shared" ref="N120:T120" ca="1" si="73">ROUND(N119-C140,3)</f>
        <v>0</v>
      </c>
      <c r="O120" s="412">
        <f t="shared" ca="1" si="73"/>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t="shared" ref="K160:K169" ca="1" si="89">IF(ISNUMBER($J160),OFFSET($B$177,MATCH(+$J160,$J$178:$J$195,0)+1,0),"")</f>
        <v>Proposal Step Change</v>
      </c>
      <c r="L160" s="66" t="str">
        <f t="shared" ref="L160:L169" ca="1" si="90">IF(ISNUMBER($J160),OFFSET($B$177,MATCH(+$J160,$J$178:$J$195,0)+2,0),"")</f>
        <v>Refer Opex Workings</v>
      </c>
      <c r="M160" s="66" t="str">
        <f t="shared" ref="M160:M169" ca="1" si="9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 t="shared" ref="J161:J169" si="92">IF(J160&lt;$D$158,J160+1,"")</f>
        <v/>
      </c>
      <c r="K161" s="66" t="str">
        <f t="shared" ca="1" si="89"/>
        <v/>
      </c>
      <c r="L161" s="66" t="str">
        <f t="shared" ca="1" si="90"/>
        <v/>
      </c>
      <c r="M161" s="66" t="str">
        <f t="shared" ca="1" si="91"/>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si="92"/>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t="shared" ref="B170:I170" ca="1" si="93">SUM(B160:B169)</f>
        <v>0</v>
      </c>
      <c r="C170" s="296">
        <f t="shared" ca="1" si="93"/>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'[2]TOTAL (SEM)'!$N$367:$R$372</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241">
        <f ca="1">OFFSET(List_AllocOpexStart,MATCH($K$1,'I-4 History'!$A$228:$A$598)+6,+'I-4 History'!E$5)</f>
        <v>0</v>
      </c>
      <c r="C203" s="241">
        <f ca="1">OFFSET(List_AllocOpexStart,MATCH($K$1,'I-4 History'!$A$228:$A$598)+6,+'I-4 History'!F$5)</f>
        <v>0</v>
      </c>
      <c r="D203" s="241">
        <f ca="1">OFFSET(List_AllocOpexStart,MATCH($K$1,'I-4 History'!$A$228:$A$598)+6,+'I-4 History'!G$5)</f>
        <v>0</v>
      </c>
      <c r="E203" s="241">
        <f ca="1">OFFSET(List_AllocOpexStart,MATCH($K$1,'I-4 History'!$A$228:$A$598)+6,+'I-4 History'!H$5)</f>
        <v>0</v>
      </c>
      <c r="F203" s="241">
        <f ca="1">OFFSET(List_AllocOpexStart,MATCH($K$1,'I-4 History'!$A$228:$A$598)+6,+'I-4 History'!I$5)</f>
        <v>0</v>
      </c>
      <c r="G203" s="241">
        <f ca="1">OFFSET(List_AllocOpexStart,MATCH($K$1,'I-4 History'!$A$228:$A$598)+6,+'I-4 History'!J$5)</f>
        <v>0</v>
      </c>
      <c r="H203" s="241">
        <f ca="1">OFFSET(List_AllocOpexStart,MATCH($K$1,'I-4 History'!$A$228:$A$598)+6,+'I-4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v>
      </c>
      <c r="E205" s="82">
        <f t="shared" ca="1" si="95"/>
        <v>0</v>
      </c>
      <c r="F205" s="82">
        <f t="shared" ca="1" si="95"/>
        <v>0</v>
      </c>
      <c r="G205" s="82">
        <f t="shared" ca="1" si="95"/>
        <v>0</v>
      </c>
      <c r="H205" s="82">
        <f t="shared" ca="1" si="95"/>
        <v>0</v>
      </c>
      <c r="I205" s="82">
        <f t="shared" ca="1" si="95"/>
        <v>0</v>
      </c>
    </row>
    <row r="206" spans="1:9" outlineLevel="1">
      <c r="A206" t="s">
        <v>156</v>
      </c>
      <c r="B206" s="82">
        <f t="shared" ref="B206:I206" ca="1" si="96">+B36</f>
        <v>0</v>
      </c>
      <c r="C206" s="82">
        <f t="shared" ca="1" si="96"/>
        <v>0</v>
      </c>
      <c r="D206" s="82">
        <f t="shared" ca="1" si="96"/>
        <v>0</v>
      </c>
      <c r="E206" s="82">
        <f t="shared" ca="1" si="96"/>
        <v>0</v>
      </c>
      <c r="F206" s="82">
        <f t="shared" ca="1" si="96"/>
        <v>0</v>
      </c>
      <c r="G206" s="82">
        <f t="shared" ca="1" si="96"/>
        <v>0</v>
      </c>
      <c r="H206" s="82">
        <f t="shared" ca="1" si="96"/>
        <v>0</v>
      </c>
      <c r="I206" s="82">
        <f t="shared" ca="1" si="96"/>
        <v>0</v>
      </c>
    </row>
    <row r="207" spans="1:9" outlineLevel="1">
      <c r="A207" t="s">
        <v>157</v>
      </c>
      <c r="B207" s="82">
        <f t="shared" ref="B207:I207" ca="1" si="97">+B36+B48</f>
        <v>0</v>
      </c>
      <c r="C207" s="82">
        <f t="shared" ca="1" si="97"/>
        <v>0</v>
      </c>
      <c r="D207" s="82">
        <f t="shared" ca="1" si="97"/>
        <v>0</v>
      </c>
      <c r="E207" s="82">
        <f t="shared" ca="1" si="97"/>
        <v>0</v>
      </c>
      <c r="F207" s="82">
        <f t="shared" ca="1" si="97"/>
        <v>0</v>
      </c>
      <c r="G207" s="82">
        <f t="shared" ca="1" si="97"/>
        <v>0</v>
      </c>
      <c r="H207" s="82">
        <f t="shared" ca="1" si="97"/>
        <v>0</v>
      </c>
      <c r="I207" s="82">
        <f t="shared" ca="1" si="97"/>
        <v>0</v>
      </c>
    </row>
    <row r="208" spans="1:9" outlineLevel="1">
      <c r="A208" t="s">
        <v>158</v>
      </c>
      <c r="B208" s="82">
        <f t="shared" ref="B208:I208" ca="1" si="98">+B70</f>
        <v>0</v>
      </c>
      <c r="C208" s="82">
        <f t="shared" ca="1" si="98"/>
        <v>0</v>
      </c>
      <c r="D208" s="82">
        <f t="shared" ca="1" si="98"/>
        <v>0</v>
      </c>
      <c r="E208" s="82">
        <f t="shared" ca="1" si="98"/>
        <v>0</v>
      </c>
      <c r="F208" s="82">
        <f t="shared" ca="1" si="98"/>
        <v>0</v>
      </c>
      <c r="G208" s="82">
        <f t="shared" ca="1" si="98"/>
        <v>0</v>
      </c>
      <c r="H208" s="82">
        <f t="shared" ca="1" si="98"/>
        <v>0</v>
      </c>
      <c r="I208" s="82">
        <f t="shared" ca="1" si="98"/>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80" priority="1" stopIfTrue="1" operator="notEqual">
      <formula>0</formula>
    </cfRule>
  </conditionalFormatting>
  <conditionalFormatting sqref="J130 J94 J70 J59 J48 J36:J37 J14 J25">
    <cfRule type="cellIs" dxfId="179" priority="2" stopIfTrue="1" operator="equal">
      <formula>"OK"</formula>
    </cfRule>
    <cfRule type="cellIs" dxfId="178" priority="3" stopIfTrue="1" operator="equal">
      <formula>"Warning Check Escalations"</formula>
    </cfRule>
  </conditionalFormatting>
  <conditionalFormatting sqref="N120:T120 N84:T84">
    <cfRule type="cellIs" dxfId="177" priority="4" stopIfTrue="1" operator="notEqual">
      <formula>0</formula>
    </cfRule>
    <cfRule type="cellIs" dxfId="17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5.xml><?xml version="1.0" encoding="utf-8"?>
<worksheet xmlns="http://schemas.openxmlformats.org/spreadsheetml/2006/main" xmlns:r="http://schemas.openxmlformats.org/officeDocument/2006/relationships">
  <sheetPr codeName="Sheet19" enableFormatConditionsCalculation="0">
    <tabColor indexed="17"/>
    <pageSetUpPr fitToPage="1"/>
  </sheetPr>
  <dimension ref="A1:T239"/>
  <sheetViews>
    <sheetView showGridLines="0" topLeftCell="B7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v>
      </c>
      <c r="M1" s="282"/>
      <c r="N1" s="280"/>
      <c r="O1" s="280"/>
      <c r="P1" s="280"/>
      <c r="Q1" s="280"/>
      <c r="R1" s="280"/>
      <c r="S1" s="280"/>
      <c r="T1" s="280"/>
    </row>
    <row r="2" spans="1:20" ht="15.75">
      <c r="A2" s="184" t="s">
        <v>121</v>
      </c>
      <c r="B2" s="74" t="str">
        <f ca="1">OFFSET(List_DAOpexStart,+$K$1,1)</f>
        <v>Distribution Licence Fee</v>
      </c>
      <c r="F2" s="284"/>
      <c r="H2" s="42"/>
      <c r="I2" s="283"/>
      <c r="L2" s="282"/>
      <c r="M2" s="282"/>
    </row>
    <row r="3" spans="1:20" ht="16.5" thickBot="1">
      <c r="A3" s="184" t="s">
        <v>371</v>
      </c>
      <c r="B3" s="236" t="str">
        <f ca="1">OFFSET(List_DAOpexStart,+$K$1,2)</f>
        <v>Wayne Lissner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3.3239999999999998</v>
      </c>
      <c r="E13" s="286">
        <f ca="1">OFFSET(Future_DAOpexStart,MATCH($K$1,'I-5 Future DA'!$A$6:$A$222)+7,+'I-5 Future DA'!F$5)</f>
        <v>3.3239999999999998</v>
      </c>
      <c r="F13" s="286">
        <f ca="1">OFFSET(Future_DAOpexStart,MATCH($K$1,'I-5 Future DA'!$A$6:$A$222)+7,+'I-5 Future DA'!G$5)</f>
        <v>3.3239999999999998</v>
      </c>
      <c r="G13" s="286">
        <f ca="1">OFFSET(Future_DAOpexStart,MATCH($K$1,'I-5 Future DA'!$A$6:$A$222)+7,+'I-5 Future DA'!H$5)</f>
        <v>3.3239999999999998</v>
      </c>
      <c r="H13" s="286">
        <f ca="1">OFFSET(Future_DAOpexStart,MATCH($K$1,'I-5 Future DA'!$A$6:$A$222)+7,+'I-5 Future DA'!I$5)</f>
        <v>3.3239999999999998</v>
      </c>
      <c r="I13" s="286">
        <f ca="1">OFFSET(Future_DAOpexStart,MATCH($K$1,'I-5 Future DA'!$A$6:$A$222)+7,+'I-5 Future DA'!J$5)</f>
        <v>3.3239999999999998</v>
      </c>
      <c r="J13" s="36"/>
      <c r="K13" s="21"/>
      <c r="L13" s="21"/>
    </row>
    <row r="14" spans="1:20" s="87" customFormat="1" ht="18" customHeight="1">
      <c r="A14" s="84" t="s">
        <v>71</v>
      </c>
      <c r="B14" s="287">
        <f t="shared" ref="B14:I14" ca="1" si="0">SUM(B8:B13)</f>
        <v>0</v>
      </c>
      <c r="C14" s="287">
        <f t="shared" ca="1" si="0"/>
        <v>0</v>
      </c>
      <c r="D14" s="287">
        <f t="shared" ca="1" si="0"/>
        <v>3.3239999999999998</v>
      </c>
      <c r="E14" s="287">
        <f t="shared" ca="1" si="0"/>
        <v>3.3239999999999998</v>
      </c>
      <c r="F14" s="287">
        <f t="shared" ca="1" si="0"/>
        <v>3.3239999999999998</v>
      </c>
      <c r="G14" s="287">
        <f t="shared" ca="1" si="0"/>
        <v>3.3239999999999998</v>
      </c>
      <c r="H14" s="287">
        <f t="shared" ca="1" si="0"/>
        <v>3.3239999999999998</v>
      </c>
      <c r="I14" s="287">
        <f t="shared" ca="1" si="0"/>
        <v>3.3239999999999998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-0.74099999999999999</v>
      </c>
      <c r="F22" s="285">
        <f t="shared" si="3"/>
        <v>-1.028</v>
      </c>
      <c r="G22" s="285">
        <f t="shared" si="3"/>
        <v>-1.028</v>
      </c>
      <c r="H22" s="285">
        <f t="shared" si="3"/>
        <v>-1.028</v>
      </c>
      <c r="I22" s="285">
        <f t="shared" si="3"/>
        <v>-1.028</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-0.74099999999999999</v>
      </c>
      <c r="F25" s="287">
        <f t="shared" si="6"/>
        <v>-1.028</v>
      </c>
      <c r="G25" s="287">
        <f t="shared" si="6"/>
        <v>-1.028</v>
      </c>
      <c r="H25" s="287">
        <f t="shared" si="6"/>
        <v>-1.028</v>
      </c>
      <c r="I25" s="287">
        <f t="shared" si="6"/>
        <v>-1.028</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+'DA-1'!B8+'DA-1'!B19</f>
        <v>0</v>
      </c>
      <c r="C30" s="285">
        <f ca="1">+'DA-1'!C8+'DA-1'!C19</f>
        <v>0</v>
      </c>
      <c r="D30" s="285">
        <f ca="1">+'DA-1'!D8+'DA-1'!D19</f>
        <v>0</v>
      </c>
      <c r="E30" s="285">
        <f ca="1">+'DA-1'!E8+'DA-1'!E19</f>
        <v>0</v>
      </c>
      <c r="F30" s="285">
        <f ca="1">+'DA-1'!F8+'DA-1'!F19</f>
        <v>0</v>
      </c>
      <c r="G30" s="285">
        <f ca="1">+'DA-1'!G8+'DA-1'!G19</f>
        <v>0</v>
      </c>
      <c r="H30" s="285">
        <f ca="1">+'DA-1'!H8+'DA-1'!H19</f>
        <v>0</v>
      </c>
      <c r="I30" s="285">
        <f ca="1">+'DA-1'!I8+'DA-1'!I19</f>
        <v>0</v>
      </c>
      <c r="J30" s="42"/>
      <c r="K30" s="21"/>
      <c r="L30" s="21"/>
    </row>
    <row r="31" spans="1:12" outlineLevel="2">
      <c r="A31" s="61" t="s">
        <v>69</v>
      </c>
      <c r="B31" s="285">
        <f ca="1">+'DA-1'!B9+'DA-1'!B20</f>
        <v>0</v>
      </c>
      <c r="C31" s="285">
        <f ca="1">+'DA-1'!C9+'DA-1'!C20</f>
        <v>0</v>
      </c>
      <c r="D31" s="285">
        <f ca="1">+'DA-1'!D9+'DA-1'!D20</f>
        <v>0</v>
      </c>
      <c r="E31" s="285">
        <f ca="1">+'DA-1'!E9+'DA-1'!E20</f>
        <v>0</v>
      </c>
      <c r="F31" s="285">
        <f ca="1">+'DA-1'!F9+'DA-1'!F20</f>
        <v>0</v>
      </c>
      <c r="G31" s="285">
        <f ca="1">+'DA-1'!G9+'DA-1'!G20</f>
        <v>0</v>
      </c>
      <c r="H31" s="285">
        <f ca="1">+'DA-1'!H9+'DA-1'!H20</f>
        <v>0</v>
      </c>
      <c r="I31" s="285">
        <f ca="1">+'DA-1'!I9+'DA-1'!I20</f>
        <v>0</v>
      </c>
      <c r="J31" s="42"/>
      <c r="K31" s="21"/>
      <c r="L31" s="21"/>
    </row>
    <row r="32" spans="1:12" s="759" customFormat="1" outlineLevel="2">
      <c r="A32" s="61" t="s">
        <v>646</v>
      </c>
      <c r="B32" s="285">
        <f ca="1">+'DA-1'!B10+'DA-1'!B21</f>
        <v>0</v>
      </c>
      <c r="C32" s="285">
        <f ca="1">+'DA-1'!C10+'DA-1'!C21</f>
        <v>0</v>
      </c>
      <c r="D32" s="285">
        <f ca="1">+'DA-1'!D10+'DA-1'!D21</f>
        <v>0</v>
      </c>
      <c r="E32" s="285">
        <f ca="1">+'DA-1'!E10+'DA-1'!E21</f>
        <v>0</v>
      </c>
      <c r="F32" s="285">
        <f ca="1">+'DA-1'!F10+'DA-1'!F21</f>
        <v>0</v>
      </c>
      <c r="G32" s="285">
        <f ca="1">+'DA-1'!G10+'DA-1'!G21</f>
        <v>0</v>
      </c>
      <c r="H32" s="285">
        <f ca="1">+'DA-1'!H10+'DA-1'!H21</f>
        <v>0</v>
      </c>
      <c r="I32" s="285">
        <f ca="1">+'DA-1'!I10+'DA-1'!I21</f>
        <v>0</v>
      </c>
      <c r="J32" s="42"/>
      <c r="K32" s="732"/>
      <c r="L32" s="732"/>
    </row>
    <row r="33" spans="1:12" outlineLevel="2">
      <c r="A33" s="61" t="s">
        <v>647</v>
      </c>
      <c r="B33" s="285">
        <f ca="1">+'DA-1'!B11+'DA-1'!B22</f>
        <v>0</v>
      </c>
      <c r="C33" s="285">
        <f ca="1">+'DA-1'!C11+'DA-1'!C22</f>
        <v>0</v>
      </c>
      <c r="D33" s="285">
        <f ca="1">+'DA-1'!D11+'DA-1'!D22</f>
        <v>0</v>
      </c>
      <c r="E33" s="285">
        <f ca="1">+'DA-1'!E11+'DA-1'!E22</f>
        <v>-0.74099999999999999</v>
      </c>
      <c r="F33" s="285">
        <f ca="1">+'DA-1'!F11+'DA-1'!F22</f>
        <v>-1.028</v>
      </c>
      <c r="G33" s="285">
        <f ca="1">+'DA-1'!G11+'DA-1'!G22</f>
        <v>-1.028</v>
      </c>
      <c r="H33" s="285">
        <f ca="1">+'DA-1'!H11+'DA-1'!H22</f>
        <v>-1.028</v>
      </c>
      <c r="I33" s="285">
        <f ca="1">+'DA-1'!I11+'DA-1'!I22</f>
        <v>-1.028</v>
      </c>
      <c r="J33" s="42"/>
      <c r="K33" s="21"/>
      <c r="L33" s="21"/>
    </row>
    <row r="34" spans="1:12" s="759" customFormat="1" outlineLevel="2">
      <c r="A34" s="61" t="s">
        <v>575</v>
      </c>
      <c r="B34" s="285">
        <f ca="1">+'DA-1'!B12+'DA-1'!B23</f>
        <v>0</v>
      </c>
      <c r="C34" s="285">
        <f ca="1">+'DA-1'!C12+'DA-1'!C23</f>
        <v>0</v>
      </c>
      <c r="D34" s="285">
        <f ca="1">+'DA-1'!D12+'DA-1'!D23</f>
        <v>0</v>
      </c>
      <c r="E34" s="285">
        <f ca="1">+'DA-1'!E12+'DA-1'!E23</f>
        <v>0</v>
      </c>
      <c r="F34" s="285">
        <f ca="1">+'DA-1'!F12+'DA-1'!F23</f>
        <v>0</v>
      </c>
      <c r="G34" s="285">
        <f ca="1">+'DA-1'!G12+'DA-1'!G23</f>
        <v>0</v>
      </c>
      <c r="H34" s="285">
        <f ca="1">+'DA-1'!H12+'DA-1'!H23</f>
        <v>0</v>
      </c>
      <c r="I34" s="285">
        <f ca="1">+'DA-1'!I12+'DA-1'!I23</f>
        <v>0</v>
      </c>
      <c r="J34" s="42"/>
      <c r="K34" s="732"/>
      <c r="L34" s="732"/>
    </row>
    <row r="35" spans="1:12" ht="13.5" outlineLevel="2" thickBot="1">
      <c r="A35" s="83" t="s">
        <v>70</v>
      </c>
      <c r="B35" s="285">
        <f ca="1">+'DA-1'!B13+'DA-1'!B24</f>
        <v>0</v>
      </c>
      <c r="C35" s="285">
        <f ca="1">+'DA-1'!C13+'DA-1'!C24</f>
        <v>0</v>
      </c>
      <c r="D35" s="285">
        <f ca="1">+'DA-1'!D13+'DA-1'!D24</f>
        <v>3.3239999999999998</v>
      </c>
      <c r="E35" s="285">
        <f ca="1">+'DA-1'!E13+'DA-1'!E24</f>
        <v>3.3239999999999998</v>
      </c>
      <c r="F35" s="285">
        <f ca="1">+'DA-1'!F13+'DA-1'!F24</f>
        <v>3.3239999999999998</v>
      </c>
      <c r="G35" s="285">
        <f ca="1">+'DA-1'!G13+'DA-1'!G24</f>
        <v>3.3239999999999998</v>
      </c>
      <c r="H35" s="285">
        <f ca="1">+'DA-1'!H13+'DA-1'!H24</f>
        <v>3.3239999999999998</v>
      </c>
      <c r="I35" s="285">
        <f ca="1">+'DA-1'!I13+'DA-1'!I24</f>
        <v>3.3239999999999998</v>
      </c>
      <c r="J35" s="93"/>
      <c r="K35" s="21"/>
      <c r="L35" s="21"/>
    </row>
    <row r="36" spans="1:12" s="87" customFormat="1" ht="20.25" customHeight="1" thickBot="1">
      <c r="A36" s="94" t="s">
        <v>128</v>
      </c>
      <c r="B36" s="294">
        <f t="shared" ref="B36:I36" ca="1" si="7">SUM(B30:B35)</f>
        <v>0</v>
      </c>
      <c r="C36" s="294">
        <f t="shared" ca="1" si="7"/>
        <v>0</v>
      </c>
      <c r="D36" s="294">
        <f t="shared" ca="1" si="7"/>
        <v>3.3239999999999998</v>
      </c>
      <c r="E36" s="294">
        <f t="shared" ca="1" si="7"/>
        <v>2.5829999999999997</v>
      </c>
      <c r="F36" s="294">
        <f t="shared" ca="1" si="7"/>
        <v>2.2959999999999998</v>
      </c>
      <c r="G36" s="294">
        <f t="shared" ca="1" si="7"/>
        <v>2.2959999999999998</v>
      </c>
      <c r="H36" s="294">
        <f t="shared" ca="1" si="7"/>
        <v>2.2959999999999998</v>
      </c>
      <c r="I36" s="294">
        <f t="shared" ca="1" si="7"/>
        <v>2.2959999999999998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3.5267501326825539E-2</v>
      </c>
      <c r="F47" s="285">
        <f t="shared" ca="1" si="12"/>
        <v>6.7945867790885447E-2</v>
      </c>
      <c r="G47" s="285">
        <f t="shared" ca="1" si="12"/>
        <v>0.10024807017253154</v>
      </c>
      <c r="H47" s="285">
        <f t="shared" ca="1" si="12"/>
        <v>0.1352933653886137</v>
      </c>
      <c r="I47" s="285">
        <f t="shared" ca="1" si="12"/>
        <v>0.16739511808665658</v>
      </c>
      <c r="K47" s="42"/>
      <c r="L47" s="21"/>
    </row>
    <row r="48" spans="1:12" s="87" customFormat="1" ht="18" customHeight="1" thickBot="1">
      <c r="A48" s="94" t="s">
        <v>74</v>
      </c>
      <c r="B48" s="294"/>
      <c r="C48" s="294">
        <f t="shared" ref="C48:I48" ca="1" si="13">SUM(C42:C47)</f>
        <v>0</v>
      </c>
      <c r="D48" s="294">
        <f t="shared" ca="1" si="13"/>
        <v>0</v>
      </c>
      <c r="E48" s="294">
        <f t="shared" ca="1" si="13"/>
        <v>3.5267501326825539E-2</v>
      </c>
      <c r="F48" s="294">
        <f t="shared" ca="1" si="13"/>
        <v>6.7945867790885447E-2</v>
      </c>
      <c r="G48" s="294">
        <f t="shared" ca="1" si="13"/>
        <v>0.10024807017253154</v>
      </c>
      <c r="H48" s="294">
        <f t="shared" ca="1" si="13"/>
        <v>0.1352933653886137</v>
      </c>
      <c r="I48" s="294">
        <f t="shared" ca="1" si="13"/>
        <v>0.16739511808665658</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ca="1">+E134</f>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-0.74099999999999999</v>
      </c>
      <c r="F67" s="285">
        <f t="shared" ca="1" si="22"/>
        <v>-1.028</v>
      </c>
      <c r="G67" s="285">
        <f t="shared" ca="1" si="22"/>
        <v>-1.028</v>
      </c>
      <c r="H67" s="285">
        <f t="shared" ca="1" si="22"/>
        <v>-1.028</v>
      </c>
      <c r="I67" s="285">
        <f t="shared" ca="1" si="22"/>
        <v>-1.028</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3.3239999999999998</v>
      </c>
      <c r="E69" s="286">
        <f t="shared" ca="1" si="24"/>
        <v>3.3592675013268254</v>
      </c>
      <c r="F69" s="286">
        <f t="shared" ca="1" si="24"/>
        <v>3.3919458677908851</v>
      </c>
      <c r="G69" s="286">
        <f t="shared" ca="1" si="24"/>
        <v>3.4242480701725313</v>
      </c>
      <c r="H69" s="286">
        <f t="shared" ca="1" si="24"/>
        <v>3.4592933653886133</v>
      </c>
      <c r="I69" s="286">
        <f t="shared" ca="1" si="24"/>
        <v>3.4913951180866563</v>
      </c>
      <c r="K69" s="42"/>
      <c r="L69" s="21"/>
    </row>
    <row r="70" spans="1:20" s="87" customFormat="1" ht="18" customHeight="1" thickBot="1">
      <c r="A70" s="99" t="s">
        <v>129</v>
      </c>
      <c r="B70" s="295">
        <f t="shared" ref="B70:I70" ca="1" si="25">SUM(B64:B69)</f>
        <v>0</v>
      </c>
      <c r="C70" s="295">
        <f t="shared" ca="1" si="25"/>
        <v>0</v>
      </c>
      <c r="D70" s="295">
        <f t="shared" ca="1" si="25"/>
        <v>3.3239999999999998</v>
      </c>
      <c r="E70" s="295">
        <f t="shared" ca="1" si="25"/>
        <v>2.6182675013268253</v>
      </c>
      <c r="F70" s="295">
        <f t="shared" ca="1" si="25"/>
        <v>2.3639458677908851</v>
      </c>
      <c r="G70" s="295">
        <f t="shared" ca="1" si="25"/>
        <v>2.3962480701725313</v>
      </c>
      <c r="H70" s="295">
        <f t="shared" ca="1" si="25"/>
        <v>2.4312933653886133</v>
      </c>
      <c r="I70" s="295">
        <f t="shared" ca="1" si="25"/>
        <v>2.4633951180866562</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3.5267501326825539E-2</v>
      </c>
      <c r="Q82" s="285">
        <f t="shared" ref="Q82" ca="1" si="47">IF($B82&lt;&gt;0,(+VLOOKUP($B82,$A$8:$I$13,6,FALSE))*(F82),0)</f>
        <v>6.7945867790885447E-2</v>
      </c>
      <c r="R82" s="285">
        <f t="shared" ref="R82" ca="1" si="48">IF($B82&lt;&gt;0,(+VLOOKUP($B82,$A$8:$I$13,7,FALSE))*(G82),0)</f>
        <v>0.10024807017253154</v>
      </c>
      <c r="S82" s="285">
        <f t="shared" ref="S82" ca="1" si="49">IF($B82&lt;&gt;0,(+VLOOKUP($B82,$A$8:$I$13,8,FALSE))*(H82),0)</f>
        <v>0.1352933653886137</v>
      </c>
      <c r="T82" s="285">
        <f t="shared" ref="T82" ca="1" si="50">IF($B82&lt;&gt;0,(+VLOOKUP($B82,$A$8:$I$13,9,FALSE))*(I82),0)</f>
        <v>0.16739511808665658</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3.5267501326825539E-2</v>
      </c>
      <c r="Q83" s="292">
        <f t="shared" ca="1" si="51"/>
        <v>6.7945867790885447E-2</v>
      </c>
      <c r="R83" s="292">
        <f t="shared" ca="1" si="51"/>
        <v>0.10024807017253154</v>
      </c>
      <c r="S83" s="292">
        <f t="shared" ca="1" si="51"/>
        <v>0.1352933653886137</v>
      </c>
      <c r="T83" s="292">
        <f t="shared" ca="1" si="51"/>
        <v>0.16739511808665658</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3.5267501326825539E-2</v>
      </c>
      <c r="F103" s="285">
        <f t="shared" ca="1" si="59"/>
        <v>6.7945867790885447E-2</v>
      </c>
      <c r="G103" s="285">
        <f t="shared" ca="1" si="59"/>
        <v>0.10024807017253154</v>
      </c>
      <c r="H103" s="285">
        <f t="shared" ca="1" si="59"/>
        <v>0.1352933653886137</v>
      </c>
      <c r="I103" s="285">
        <f t="shared" ca="1" si="59"/>
        <v>0.16739511808665658</v>
      </c>
    </row>
    <row r="104" spans="1:20" outlineLevel="1">
      <c r="A104" s="120" t="s">
        <v>142</v>
      </c>
      <c r="B104" s="121"/>
      <c r="C104" s="296">
        <f t="shared" ref="C104:I104" ca="1" si="60">SUM(C98:C103)</f>
        <v>0</v>
      </c>
      <c r="D104" s="296">
        <f t="shared" ca="1" si="60"/>
        <v>0</v>
      </c>
      <c r="E104" s="296">
        <f t="shared" ca="1" si="60"/>
        <v>3.5267501326825539E-2</v>
      </c>
      <c r="F104" s="296">
        <f t="shared" ca="1" si="60"/>
        <v>6.7945867790885447E-2</v>
      </c>
      <c r="G104" s="296">
        <f t="shared" ca="1" si="60"/>
        <v>0.10024807017253154</v>
      </c>
      <c r="H104" s="296">
        <f t="shared" ca="1" si="60"/>
        <v>0.1352933653886137</v>
      </c>
      <c r="I104" s="296">
        <f t="shared" ca="1" si="60"/>
        <v>0.16739511808665658</v>
      </c>
    </row>
    <row r="105" spans="1:20" ht="13.5" outlineLevel="1" thickBot="1">
      <c r="A105" s="122" t="s">
        <v>143</v>
      </c>
      <c r="B105" s="123"/>
      <c r="C105" s="124">
        <f t="shared" ref="C105:I105" ca="1" si="61">IF(C36&lt;&gt;0,+C104/C36,0)</f>
        <v>0</v>
      </c>
      <c r="D105" s="124">
        <f t="shared" ca="1" si="61"/>
        <v>0</v>
      </c>
      <c r="E105" s="124">
        <f t="shared" ca="1" si="61"/>
        <v>1.3653697764934395E-2</v>
      </c>
      <c r="F105" s="124">
        <f t="shared" ca="1" si="61"/>
        <v>2.9593147992545928E-2</v>
      </c>
      <c r="G105" s="124">
        <f t="shared" ca="1" si="61"/>
        <v>4.3662051468872629E-2</v>
      </c>
      <c r="H105" s="124">
        <f t="shared" ca="1" si="61"/>
        <v>5.8925681789465903E-2</v>
      </c>
      <c r="I105" s="124">
        <f t="shared" ca="1" si="61"/>
        <v>7.290728139662743E-2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-0.74099999999999999</v>
      </c>
      <c r="F152" s="285">
        <f t="shared" si="85"/>
        <v>-1.028</v>
      </c>
      <c r="G152" s="285">
        <f t="shared" si="85"/>
        <v>-1.028</v>
      </c>
      <c r="H152" s="285">
        <f t="shared" si="85"/>
        <v>-1.028</v>
      </c>
      <c r="I152" s="285">
        <f t="shared" si="85"/>
        <v>-1.028</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-0.74099999999999999</v>
      </c>
      <c r="F155" s="296">
        <f t="shared" si="86"/>
        <v>-1.028</v>
      </c>
      <c r="G155" s="296">
        <f t="shared" si="86"/>
        <v>-1.028</v>
      </c>
      <c r="H155" s="296">
        <f t="shared" si="86"/>
        <v>-1.028</v>
      </c>
      <c r="I155" s="296">
        <f t="shared" si="86"/>
        <v>-1.028</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-0.74099999999999999</v>
      </c>
      <c r="F160" s="285">
        <f t="shared" ca="1" si="88"/>
        <v>-1.028</v>
      </c>
      <c r="G160" s="285">
        <f t="shared" ca="1" si="88"/>
        <v>-1.028</v>
      </c>
      <c r="H160" s="285">
        <f t="shared" ca="1" si="88"/>
        <v>-1.028</v>
      </c>
      <c r="I160" s="285">
        <f t="shared" ca="1" si="88"/>
        <v>-1.028</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-0.74099999999999999</v>
      </c>
      <c r="F170" s="296">
        <f t="shared" ca="1" si="93"/>
        <v>-1.028</v>
      </c>
      <c r="G170" s="296">
        <f t="shared" ca="1" si="93"/>
        <v>-1.028</v>
      </c>
      <c r="H170" s="296">
        <f t="shared" ca="1" si="93"/>
        <v>-1.028</v>
      </c>
      <c r="I170" s="296">
        <f t="shared" ca="1" si="93"/>
        <v>-1.028</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138"/>
      <c r="D185" s="138"/>
      <c r="E185" s="285">
        <f t="array" ref="E185:I190">'[2]DA SEM Non Network'!$N$7:$R$12</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-0.74099999999999999</v>
      </c>
      <c r="F188" s="285">
        <v>-1.028</v>
      </c>
      <c r="G188" s="285">
        <v>-1.028</v>
      </c>
      <c r="H188" s="285">
        <v>-1.028</v>
      </c>
      <c r="I188" s="285">
        <v>-1.028</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-0.74099999999999999</v>
      </c>
      <c r="F191" s="296">
        <f t="shared" si="94"/>
        <v>-1.028</v>
      </c>
      <c r="G191" s="296">
        <f t="shared" si="94"/>
        <v>-1.028</v>
      </c>
      <c r="H191" s="296">
        <f t="shared" si="94"/>
        <v>-1.028</v>
      </c>
      <c r="I191" s="296">
        <f t="shared" si="94"/>
        <v>-1.028</v>
      </c>
      <c r="J191" s="133"/>
      <c r="K191" s="47"/>
      <c r="L191" s="47"/>
    </row>
    <row r="192" spans="1:12" outlineLevel="1"/>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3.3239999999999998</v>
      </c>
      <c r="E205" s="82">
        <f t="shared" ca="1" si="95"/>
        <v>3.3239999999999998</v>
      </c>
      <c r="F205" s="82">
        <f t="shared" ca="1" si="95"/>
        <v>3.3239999999999998</v>
      </c>
      <c r="G205" s="82">
        <f t="shared" ca="1" si="95"/>
        <v>3.3239999999999998</v>
      </c>
      <c r="H205" s="82">
        <f t="shared" ca="1" si="95"/>
        <v>3.3239999999999998</v>
      </c>
      <c r="I205" s="82">
        <f t="shared" ca="1" si="95"/>
        <v>3.3239999999999998</v>
      </c>
    </row>
    <row r="206" spans="1:9" outlineLevel="1">
      <c r="A206" t="s">
        <v>156</v>
      </c>
      <c r="B206" s="82">
        <f t="shared" ref="B206:I206" ca="1" si="96">+B36</f>
        <v>0</v>
      </c>
      <c r="C206" s="82">
        <f t="shared" ca="1" si="96"/>
        <v>0</v>
      </c>
      <c r="D206" s="82">
        <f t="shared" ca="1" si="96"/>
        <v>3.3239999999999998</v>
      </c>
      <c r="E206" s="82">
        <f t="shared" ca="1" si="96"/>
        <v>2.5829999999999997</v>
      </c>
      <c r="F206" s="82">
        <f t="shared" ca="1" si="96"/>
        <v>2.2959999999999998</v>
      </c>
      <c r="G206" s="82">
        <f t="shared" ca="1" si="96"/>
        <v>2.2959999999999998</v>
      </c>
      <c r="H206" s="82">
        <f t="shared" ca="1" si="96"/>
        <v>2.2959999999999998</v>
      </c>
      <c r="I206" s="82">
        <f t="shared" ca="1" si="96"/>
        <v>2.2959999999999998</v>
      </c>
    </row>
    <row r="207" spans="1:9" outlineLevel="1">
      <c r="A207" t="s">
        <v>157</v>
      </c>
      <c r="B207" s="82">
        <f t="shared" ref="B207:I207" ca="1" si="97">+B36+B48</f>
        <v>0</v>
      </c>
      <c r="C207" s="82">
        <f t="shared" ca="1" si="97"/>
        <v>0</v>
      </c>
      <c r="D207" s="82">
        <f t="shared" ca="1" si="97"/>
        <v>3.3239999999999998</v>
      </c>
      <c r="E207" s="82">
        <f t="shared" ca="1" si="97"/>
        <v>2.6182675013268253</v>
      </c>
      <c r="F207" s="82">
        <f t="shared" ca="1" si="97"/>
        <v>2.3639458677908851</v>
      </c>
      <c r="G207" s="82">
        <f t="shared" ca="1" si="97"/>
        <v>2.3962480701725313</v>
      </c>
      <c r="H207" s="82">
        <f t="shared" ca="1" si="97"/>
        <v>2.4312933653886137</v>
      </c>
      <c r="I207" s="82">
        <f t="shared" ca="1" si="97"/>
        <v>2.4633951180866562</v>
      </c>
    </row>
    <row r="208" spans="1:9" outlineLevel="1">
      <c r="A208" t="s">
        <v>158</v>
      </c>
      <c r="B208" s="82">
        <f t="shared" ref="B208:I208" ca="1" si="98">+B70</f>
        <v>0</v>
      </c>
      <c r="C208" s="82">
        <f t="shared" ca="1" si="98"/>
        <v>0</v>
      </c>
      <c r="D208" s="82">
        <f t="shared" ca="1" si="98"/>
        <v>3.3239999999999998</v>
      </c>
      <c r="E208" s="82">
        <f t="shared" ca="1" si="98"/>
        <v>2.6182675013268253</v>
      </c>
      <c r="F208" s="82">
        <f t="shared" ca="1" si="98"/>
        <v>2.3639458677908851</v>
      </c>
      <c r="G208" s="82">
        <f t="shared" ca="1" si="98"/>
        <v>2.3962480701725313</v>
      </c>
      <c r="H208" s="82">
        <f t="shared" ca="1" si="98"/>
        <v>2.4312933653886133</v>
      </c>
      <c r="I208" s="82">
        <f t="shared" ca="1" si="98"/>
        <v>2.4633951180866562</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75" priority="1" stopIfTrue="1" operator="notEqual">
      <formula>0</formula>
    </cfRule>
  </conditionalFormatting>
  <conditionalFormatting sqref="J130 J94 J70 J59 J48 J36:J37 J14 J25">
    <cfRule type="cellIs" dxfId="174" priority="2" stopIfTrue="1" operator="equal">
      <formula>"OK"</formula>
    </cfRule>
    <cfRule type="cellIs" dxfId="173" priority="3" stopIfTrue="1" operator="equal">
      <formula>"Warning Check Escalations"</formula>
    </cfRule>
  </conditionalFormatting>
  <conditionalFormatting sqref="N120:T120 N84:T84">
    <cfRule type="cellIs" dxfId="172" priority="4" stopIfTrue="1" operator="notEqual">
      <formula>0</formula>
    </cfRule>
    <cfRule type="cellIs" dxfId="17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6.xml><?xml version="1.0" encoding="utf-8"?>
<worksheet xmlns="http://schemas.openxmlformats.org/spreadsheetml/2006/main" xmlns:r="http://schemas.openxmlformats.org/officeDocument/2006/relationships">
  <sheetPr codeName="Sheet22" enableFormatConditionsCalculation="0">
    <tabColor indexed="17"/>
    <pageSetUpPr fitToPage="1"/>
  </sheetPr>
  <dimension ref="A1:T239"/>
  <sheetViews>
    <sheetView showGridLines="0" topLeftCell="A173" zoomScaleNormal="100" workbookViewId="0">
      <selection activeCell="K184" sqref="K184"/>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v>
      </c>
      <c r="M1" s="282"/>
      <c r="N1" s="280"/>
      <c r="O1" s="280"/>
      <c r="P1" s="280"/>
      <c r="Q1" s="280"/>
      <c r="R1" s="280"/>
      <c r="S1" s="280"/>
      <c r="T1" s="280"/>
    </row>
    <row r="2" spans="1:20" ht="15.75">
      <c r="A2" s="184" t="s">
        <v>121</v>
      </c>
      <c r="B2" s="74" t="str">
        <f ca="1">OFFSET(List_DAOpexStart,+$K$1,1)</f>
        <v>Network Access, Monitoring and Control</v>
      </c>
      <c r="F2" s="284"/>
      <c r="H2" s="42"/>
      <c r="I2" s="283"/>
      <c r="L2" s="282"/>
      <c r="M2" s="282"/>
    </row>
    <row r="3" spans="1:20" ht="16.5" thickBot="1">
      <c r="A3" s="184" t="s">
        <v>371</v>
      </c>
      <c r="B3" s="236" t="str">
        <f ca="1">OFFSET(List_DAOpexStart,+$K$1,2)</f>
        <v>Geoff Coultas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7.9273640371501743</v>
      </c>
      <c r="E8" s="285">
        <f ca="1">OFFSET(Future_DAOpexStart,MATCH($K$1,'I-5 Future DA'!$A$6:$A$222)+2,+'I-5 Future DA'!F$5)</f>
        <v>7.9273640371501743</v>
      </c>
      <c r="F8" s="285">
        <f ca="1">OFFSET(Future_DAOpexStart,MATCH($K$1,'I-5 Future DA'!$A$6:$A$222)+2,+'I-5 Future DA'!G$5)</f>
        <v>7.9273640371501743</v>
      </c>
      <c r="G8" s="285">
        <f ca="1">OFFSET(Future_DAOpexStart,MATCH($K$1,'I-5 Future DA'!$A$6:$A$222)+2,+'I-5 Future DA'!H$5)</f>
        <v>7.9273640371501743</v>
      </c>
      <c r="H8" s="285">
        <f ca="1">OFFSET(Future_DAOpexStart,MATCH($K$1,'I-5 Future DA'!$A$6:$A$222)+2,+'I-5 Future DA'!I$5)</f>
        <v>7.9273640371501743</v>
      </c>
      <c r="I8" s="285">
        <f ca="1">OFFSET(Future_DAOpexStart,MATCH($K$1,'I-5 Future DA'!$A$6:$A$222)+2,+'I-5 Future DA'!J$5)</f>
        <v>7.9273640371501743</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-3.2452065224647268E-2</v>
      </c>
      <c r="E9" s="285">
        <f ca="1">OFFSET(Future_DAOpexStart,MATCH($K$1,'I-5 Future DA'!$A$6:$A$222)+3,+'I-5 Future DA'!F$5)</f>
        <v>-3.2452065224647268E-2</v>
      </c>
      <c r="F9" s="285">
        <f ca="1">OFFSET(Future_DAOpexStart,MATCH($K$1,'I-5 Future DA'!$A$6:$A$222)+3,+'I-5 Future DA'!G$5)</f>
        <v>-3.2452065224647268E-2</v>
      </c>
      <c r="G9" s="285">
        <f ca="1">OFFSET(Future_DAOpexStart,MATCH($K$1,'I-5 Future DA'!$A$6:$A$222)+3,+'I-5 Future DA'!H$5)</f>
        <v>-3.2452065224647268E-2</v>
      </c>
      <c r="H9" s="285">
        <f ca="1">OFFSET(Future_DAOpexStart,MATCH($K$1,'I-5 Future DA'!$A$6:$A$222)+3,+'I-5 Future DA'!I$5)</f>
        <v>-3.2452065224647268E-2</v>
      </c>
      <c r="I9" s="285">
        <f ca="1">OFFSET(Future_DAOpexStart,MATCH($K$1,'I-5 Future DA'!$A$6:$A$222)+3,+'I-5 Future DA'!J$5)</f>
        <v>-3.2452065224647268E-2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-1.4202113196987609E-2</v>
      </c>
      <c r="E10" s="285">
        <f ca="1">OFFSET(Future_DAOpexStart,MATCH($K$1,'I-5 Future DA'!$A$6:$A$222)+4,+'I-5 Future DA'!F$5)</f>
        <v>-1.4202113196987609E-2</v>
      </c>
      <c r="F10" s="285">
        <f ca="1">OFFSET(Future_DAOpexStart,MATCH($K$1,'I-5 Future DA'!$A$6:$A$222)+4,+'I-5 Future DA'!G$5)</f>
        <v>-1.4202113196987609E-2</v>
      </c>
      <c r="G10" s="285">
        <f ca="1">OFFSET(Future_DAOpexStart,MATCH($K$1,'I-5 Future DA'!$A$6:$A$222)+4,+'I-5 Future DA'!H$5)</f>
        <v>-1.4202113196987609E-2</v>
      </c>
      <c r="H10" s="285">
        <f ca="1">OFFSET(Future_DAOpexStart,MATCH($K$1,'I-5 Future DA'!$A$6:$A$222)+4,+'I-5 Future DA'!I$5)</f>
        <v>-1.4202113196987609E-2</v>
      </c>
      <c r="I10" s="285">
        <f ca="1">OFFSET(Future_DAOpexStart,MATCH($K$1,'I-5 Future DA'!$A$6:$A$222)+4,+'I-5 Future DA'!J$5)</f>
        <v>-1.4202113196987609E-2</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0.74529014127146032</v>
      </c>
      <c r="E11" s="285">
        <f ca="1">OFFSET(Future_DAOpexStart,MATCH($K$1,'I-5 Future DA'!$A$6:$A$222)+5,+'I-5 Future DA'!F$5)</f>
        <v>0.74529014127146032</v>
      </c>
      <c r="F11" s="285">
        <f ca="1">OFFSET(Future_DAOpexStart,MATCH($K$1,'I-5 Future DA'!$A$6:$A$222)+5,+'I-5 Future DA'!G$5)</f>
        <v>0.74529014127146032</v>
      </c>
      <c r="G11" s="285">
        <f ca="1">OFFSET(Future_DAOpexStart,MATCH($K$1,'I-5 Future DA'!$A$6:$A$222)+5,+'I-5 Future DA'!H$5)</f>
        <v>0.74529014127146032</v>
      </c>
      <c r="H11" s="285">
        <f ca="1">OFFSET(Future_DAOpexStart,MATCH($K$1,'I-5 Future DA'!$A$6:$A$222)+5,+'I-5 Future DA'!I$5)</f>
        <v>0.74529014127146032</v>
      </c>
      <c r="I11" s="285">
        <f ca="1">OFFSET(Future_DAOpexStart,MATCH($K$1,'I-5 Future DA'!$A$6:$A$222)+5,+'I-5 Future DA'!J$5)</f>
        <v>0.74529014127146032</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0.57899999999999996</v>
      </c>
      <c r="E12" s="285">
        <f ca="1">OFFSET(Future_DAOpexStart,MATCH($K$1,'I-5 Future DA'!$A$6:$A$222)+6,+'I-5 Future DA'!F$5)</f>
        <v>0.57899999999999996</v>
      </c>
      <c r="F12" s="285">
        <f ca="1">OFFSET(Future_DAOpexStart,MATCH($K$1,'I-5 Future DA'!$A$6:$A$222)+6,+'I-5 Future DA'!G$5)</f>
        <v>0.57899999999999996</v>
      </c>
      <c r="G12" s="285">
        <f ca="1">OFFSET(Future_DAOpexStart,MATCH($K$1,'I-5 Future DA'!$A$6:$A$222)+6,+'I-5 Future DA'!H$5)</f>
        <v>0.57899999999999996</v>
      </c>
      <c r="H12" s="285">
        <f ca="1">OFFSET(Future_DAOpexStart,MATCH($K$1,'I-5 Future DA'!$A$6:$A$222)+6,+'I-5 Future DA'!I$5)</f>
        <v>0.57899999999999996</v>
      </c>
      <c r="I12" s="285">
        <f ca="1">OFFSET(Future_DAOpexStart,MATCH($K$1,'I-5 Future DA'!$A$6:$A$222)+6,+'I-5 Future DA'!J$5)</f>
        <v>0.57899999999999996</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9.2050000000000001</v>
      </c>
      <c r="E14" s="287">
        <f t="shared" ca="1" si="0"/>
        <v>9.2050000000000001</v>
      </c>
      <c r="F14" s="287">
        <f t="shared" ca="1" si="0"/>
        <v>9.2050000000000001</v>
      </c>
      <c r="G14" s="287">
        <f t="shared" ca="1" si="0"/>
        <v>9.2050000000000001</v>
      </c>
      <c r="H14" s="287">
        <f t="shared" ca="1" si="0"/>
        <v>9.2050000000000001</v>
      </c>
      <c r="I14" s="287">
        <f t="shared" ca="1" si="0"/>
        <v>9.2050000000000001</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+'DA-2'!B8+'DA-2'!B19</f>
        <v>0</v>
      </c>
      <c r="C30" s="285">
        <f ca="1">+'DA-2'!C8+'DA-2'!C19</f>
        <v>0</v>
      </c>
      <c r="D30" s="285">
        <f ca="1">+'DA-2'!D8+'DA-2'!D19</f>
        <v>7.9273640371501743</v>
      </c>
      <c r="E30" s="285">
        <f ca="1">+'DA-2'!E8+'DA-2'!E19</f>
        <v>7.9273640371501743</v>
      </c>
      <c r="F30" s="285">
        <f ca="1">+'DA-2'!F8+'DA-2'!F19</f>
        <v>7.9273640371501743</v>
      </c>
      <c r="G30" s="285">
        <f ca="1">+'DA-2'!G8+'DA-2'!G19</f>
        <v>7.9273640371501743</v>
      </c>
      <c r="H30" s="285">
        <f ca="1">+'DA-2'!H8+'DA-2'!H19</f>
        <v>7.9273640371501743</v>
      </c>
      <c r="I30" s="285">
        <f ca="1">+'DA-2'!I8+'DA-2'!I19</f>
        <v>7.9273640371501743</v>
      </c>
      <c r="J30" s="42"/>
      <c r="K30" s="21"/>
      <c r="L30" s="21"/>
    </row>
    <row r="31" spans="1:12" outlineLevel="2">
      <c r="A31" s="61" t="s">
        <v>69</v>
      </c>
      <c r="B31" s="285">
        <f ca="1">+'DA-2'!B9+'DA-2'!B20</f>
        <v>0</v>
      </c>
      <c r="C31" s="285">
        <f ca="1">+'DA-2'!C9+'DA-2'!C20</f>
        <v>0</v>
      </c>
      <c r="D31" s="285">
        <f ca="1">+'DA-2'!D9+'DA-2'!D20</f>
        <v>-3.2452065224647268E-2</v>
      </c>
      <c r="E31" s="285">
        <f ca="1">+'DA-2'!E9+'DA-2'!E20</f>
        <v>-3.2452065224647268E-2</v>
      </c>
      <c r="F31" s="285">
        <f ca="1">+'DA-2'!F9+'DA-2'!F20</f>
        <v>-3.2452065224647268E-2</v>
      </c>
      <c r="G31" s="285">
        <f ca="1">+'DA-2'!G9+'DA-2'!G20</f>
        <v>-3.2452065224647268E-2</v>
      </c>
      <c r="H31" s="285">
        <f ca="1">+'DA-2'!H9+'DA-2'!H20</f>
        <v>-3.2452065224647268E-2</v>
      </c>
      <c r="I31" s="285">
        <f ca="1">+'DA-2'!I9+'DA-2'!I20</f>
        <v>-3.2452065224647268E-2</v>
      </c>
      <c r="J31" s="42"/>
      <c r="K31" s="21"/>
      <c r="L31" s="21"/>
    </row>
    <row r="32" spans="1:12" s="759" customFormat="1" outlineLevel="2">
      <c r="A32" s="61" t="s">
        <v>646</v>
      </c>
      <c r="B32" s="285">
        <f ca="1">+'DA-2'!B10+'DA-2'!B21</f>
        <v>0</v>
      </c>
      <c r="C32" s="285">
        <f ca="1">+'DA-2'!C10+'DA-2'!C21</f>
        <v>0</v>
      </c>
      <c r="D32" s="285">
        <f ca="1">+'DA-2'!D10+'DA-2'!D21</f>
        <v>-1.4202113196987609E-2</v>
      </c>
      <c r="E32" s="285">
        <f ca="1">+'DA-2'!E10+'DA-2'!E21</f>
        <v>-1.4202113196987609E-2</v>
      </c>
      <c r="F32" s="285">
        <f ca="1">+'DA-2'!F10+'DA-2'!F21</f>
        <v>-1.4202113196987609E-2</v>
      </c>
      <c r="G32" s="285">
        <f ca="1">+'DA-2'!G10+'DA-2'!G21</f>
        <v>-1.4202113196987609E-2</v>
      </c>
      <c r="H32" s="285">
        <f ca="1">+'DA-2'!H10+'DA-2'!H21</f>
        <v>-1.4202113196987609E-2</v>
      </c>
      <c r="I32" s="285">
        <f ca="1">+'DA-2'!I10+'DA-2'!I21</f>
        <v>-1.4202113196987609E-2</v>
      </c>
      <c r="J32" s="42"/>
      <c r="K32" s="732"/>
      <c r="L32" s="732"/>
    </row>
    <row r="33" spans="1:12" outlineLevel="2">
      <c r="A33" s="61" t="s">
        <v>647</v>
      </c>
      <c r="B33" s="285">
        <f ca="1">+'DA-2'!B11+'DA-2'!B22</f>
        <v>0</v>
      </c>
      <c r="C33" s="285">
        <f ca="1">+'DA-2'!C11+'DA-2'!C22</f>
        <v>0</v>
      </c>
      <c r="D33" s="285">
        <f ca="1">+'DA-2'!D11+'DA-2'!D22</f>
        <v>0.74529014127146032</v>
      </c>
      <c r="E33" s="285">
        <f ca="1">+'DA-2'!E11+'DA-2'!E22</f>
        <v>0.74529014127146032</v>
      </c>
      <c r="F33" s="285">
        <f ca="1">+'DA-2'!F11+'DA-2'!F22</f>
        <v>0.74529014127146032</v>
      </c>
      <c r="G33" s="285">
        <f ca="1">+'DA-2'!G11+'DA-2'!G22</f>
        <v>0.74529014127146032</v>
      </c>
      <c r="H33" s="285">
        <f ca="1">+'DA-2'!H11+'DA-2'!H22</f>
        <v>0.74529014127146032</v>
      </c>
      <c r="I33" s="285">
        <f ca="1">+'DA-2'!I11+'DA-2'!I22</f>
        <v>0.74529014127146032</v>
      </c>
      <c r="J33" s="42"/>
      <c r="K33" s="21"/>
      <c r="L33" s="21"/>
    </row>
    <row r="34" spans="1:12" s="759" customFormat="1" outlineLevel="2">
      <c r="A34" s="61" t="s">
        <v>575</v>
      </c>
      <c r="B34" s="285">
        <f ca="1">+'DA-2'!B12+'DA-2'!B23</f>
        <v>0</v>
      </c>
      <c r="C34" s="285">
        <f ca="1">+'DA-2'!C12+'DA-2'!C23</f>
        <v>0</v>
      </c>
      <c r="D34" s="285">
        <f ca="1">+'DA-2'!D12+'DA-2'!D23</f>
        <v>0.57899999999999996</v>
      </c>
      <c r="E34" s="285">
        <f ca="1">+'DA-2'!E12+'DA-2'!E23</f>
        <v>0.57899999999999996</v>
      </c>
      <c r="F34" s="285">
        <f ca="1">+'DA-2'!F12+'DA-2'!F23</f>
        <v>0.57899999999999996</v>
      </c>
      <c r="G34" s="285">
        <f ca="1">+'DA-2'!G12+'DA-2'!G23</f>
        <v>0.57899999999999996</v>
      </c>
      <c r="H34" s="285">
        <f ca="1">+'DA-2'!H12+'DA-2'!H23</f>
        <v>0.57899999999999996</v>
      </c>
      <c r="I34" s="285">
        <f ca="1">+'DA-2'!I12+'DA-2'!I23</f>
        <v>0.57899999999999996</v>
      </c>
      <c r="J34" s="42"/>
      <c r="K34" s="732"/>
      <c r="L34" s="732"/>
    </row>
    <row r="35" spans="1:12" ht="13.5" outlineLevel="2" thickBot="1">
      <c r="A35" s="83" t="s">
        <v>70</v>
      </c>
      <c r="B35" s="285">
        <f ca="1">+'DA-2'!B13+'DA-2'!B24</f>
        <v>0</v>
      </c>
      <c r="C35" s="285">
        <f ca="1">+'DA-2'!C13+'DA-2'!C24</f>
        <v>0</v>
      </c>
      <c r="D35" s="285">
        <f ca="1">+'DA-2'!D13+'DA-2'!D24</f>
        <v>0</v>
      </c>
      <c r="E35" s="285">
        <f ca="1">+'DA-2'!E13+'DA-2'!E24</f>
        <v>0</v>
      </c>
      <c r="F35" s="285">
        <f ca="1">+'DA-2'!F13+'DA-2'!F24</f>
        <v>0</v>
      </c>
      <c r="G35" s="285">
        <f ca="1">+'DA-2'!G13+'DA-2'!G24</f>
        <v>0</v>
      </c>
      <c r="H35" s="285">
        <f ca="1">+'DA-2'!H13+'DA-2'!H24</f>
        <v>0</v>
      </c>
      <c r="I35" s="285">
        <f ca="1">+'DA-2'!I13+'DA-2'!I24</f>
        <v>0</v>
      </c>
      <c r="J35" s="93"/>
      <c r="K35" s="21"/>
      <c r="L35" s="21"/>
    </row>
    <row r="36" spans="1:12" s="87" customFormat="1" ht="20.25" customHeight="1" thickBot="1">
      <c r="A36" s="94" t="s">
        <v>128</v>
      </c>
      <c r="B36" s="294">
        <f t="shared" ref="B36:I36" ca="1" si="7">SUM(B30:B35)</f>
        <v>0</v>
      </c>
      <c r="C36" s="294">
        <f t="shared" ca="1" si="7"/>
        <v>0</v>
      </c>
      <c r="D36" s="294">
        <f t="shared" ca="1" si="7"/>
        <v>9.2050000000000001</v>
      </c>
      <c r="E36" s="294">
        <f t="shared" ca="1" si="7"/>
        <v>9.2050000000000001</v>
      </c>
      <c r="F36" s="294">
        <f t="shared" ca="1" si="7"/>
        <v>9.2050000000000001</v>
      </c>
      <c r="G36" s="294">
        <f t="shared" ca="1" si="7"/>
        <v>9.2050000000000001</v>
      </c>
      <c r="H36" s="294">
        <f t="shared" ca="1" si="7"/>
        <v>9.2050000000000001</v>
      </c>
      <c r="I36" s="294">
        <f t="shared" ca="1" si="7"/>
        <v>9.2050000000000001</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8.4109001714326975E-2</v>
      </c>
      <c r="F42" s="285">
        <f t="shared" ca="1" si="8"/>
        <v>0.16204320962648186</v>
      </c>
      <c r="G42" s="285">
        <f t="shared" ca="1" si="8"/>
        <v>0.23908030874832539</v>
      </c>
      <c r="H42" s="285">
        <f t="shared" ca="1" si="8"/>
        <v>0.32265937402127387</v>
      </c>
      <c r="I42" s="285">
        <f t="shared" ca="1" si="8"/>
        <v>0.39921842331969559</v>
      </c>
      <c r="K42" s="63"/>
      <c r="L42" s="63"/>
    </row>
    <row r="43" spans="1:12" outlineLevel="1">
      <c r="A43" s="61" t="s">
        <v>69</v>
      </c>
      <c r="B43" s="82"/>
      <c r="C43" s="285">
        <f t="shared" ca="1" si="8"/>
        <v>0</v>
      </c>
      <c r="D43" s="285">
        <f t="shared" ca="1" si="8"/>
        <v>0</v>
      </c>
      <c r="E43" s="285">
        <f t="shared" ca="1" si="8"/>
        <v>-3.4431505817342857E-4</v>
      </c>
      <c r="F43" s="285">
        <f t="shared" ca="1" si="8"/>
        <v>-6.6335250700814519E-4</v>
      </c>
      <c r="G43" s="285">
        <f t="shared" ca="1" si="8"/>
        <v>-9.7871748251624857E-4</v>
      </c>
      <c r="H43" s="285">
        <f t="shared" ca="1" si="8"/>
        <v>-1.3208631522422763E-3</v>
      </c>
      <c r="I43" s="285">
        <f t="shared" ca="1" si="8"/>
        <v>-1.6342711463404667E-3</v>
      </c>
      <c r="K43" s="42"/>
      <c r="L43" s="21"/>
    </row>
    <row r="44" spans="1:12" s="759" customFormat="1" outlineLevel="1">
      <c r="A44" s="61" t="s">
        <v>646</v>
      </c>
      <c r="B44" s="82"/>
      <c r="C44" s="285">
        <f t="shared" ref="C44:I44" ca="1" si="9">+C100</f>
        <v>0</v>
      </c>
      <c r="D44" s="285">
        <f t="shared" ca="1" si="9"/>
        <v>0</v>
      </c>
      <c r="E44" s="285">
        <f t="shared" ca="1" si="9"/>
        <v>-1.5068382852541728E-4</v>
      </c>
      <c r="F44" s="285">
        <f t="shared" ca="1" si="9"/>
        <v>-2.9030532660460581E-4</v>
      </c>
      <c r="G44" s="285">
        <f t="shared" ca="1" si="9"/>
        <v>-4.2831962706674193E-4</v>
      </c>
      <c r="H44" s="285">
        <f t="shared" ca="1" si="9"/>
        <v>-5.7805405837860928E-4</v>
      </c>
      <c r="I44" s="285">
        <f t="shared" ca="1" si="9"/>
        <v>-7.1521191807755863E-4</v>
      </c>
      <c r="K44" s="42"/>
      <c r="L44" s="732"/>
    </row>
    <row r="45" spans="1:12" outlineLevel="1">
      <c r="A45" s="61" t="s">
        <v>647</v>
      </c>
      <c r="B45" s="82"/>
      <c r="C45" s="285">
        <f t="shared" ref="C45:I45" ca="1" si="10">+C101</f>
        <v>0</v>
      </c>
      <c r="D45" s="285">
        <f t="shared" ca="1" si="10"/>
        <v>0</v>
      </c>
      <c r="E45" s="285">
        <f t="shared" ca="1" si="10"/>
        <v>7.9074973063060234E-3</v>
      </c>
      <c r="F45" s="285">
        <f t="shared" ca="1" si="10"/>
        <v>1.5234472143405831E-2</v>
      </c>
      <c r="G45" s="285">
        <f t="shared" ca="1" si="10"/>
        <v>2.2477105409469705E-2</v>
      </c>
      <c r="H45" s="285">
        <f t="shared" ca="1" si="10"/>
        <v>3.0334780807331888E-2</v>
      </c>
      <c r="I45" s="285">
        <f t="shared" ca="1" si="10"/>
        <v>3.7532470278867955E-2</v>
      </c>
      <c r="K45" s="42"/>
      <c r="L45" s="21"/>
    </row>
    <row r="46" spans="1:12" s="759" customFormat="1" outlineLevel="1">
      <c r="A46" s="61" t="s">
        <v>575</v>
      </c>
      <c r="B46" s="82"/>
      <c r="C46" s="285">
        <f t="shared" ref="C46:I46" ca="1" si="11">+C102</f>
        <v>0</v>
      </c>
      <c r="D46" s="285">
        <f t="shared" ca="1" si="11"/>
        <v>0</v>
      </c>
      <c r="E46" s="285">
        <f t="shared" ca="1" si="11"/>
        <v>6.1431658448351349E-3</v>
      </c>
      <c r="F46" s="285">
        <f t="shared" ca="1" si="11"/>
        <v>1.1835336176571202E-2</v>
      </c>
      <c r="G46" s="285">
        <f t="shared" ca="1" si="11"/>
        <v>1.7461983342327243E-2</v>
      </c>
      <c r="H46" s="285">
        <f t="shared" ca="1" si="11"/>
        <v>2.3566443610110507E-2</v>
      </c>
      <c r="I46" s="285">
        <f t="shared" ca="1" si="11"/>
        <v>2.9158174901376101E-2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9.7664665978769299E-2</v>
      </c>
      <c r="F48" s="294">
        <f t="shared" ca="1" si="13"/>
        <v>0.18815936011284617</v>
      </c>
      <c r="G48" s="294">
        <f t="shared" ca="1" si="13"/>
        <v>0.27761236039053933</v>
      </c>
      <c r="H48" s="294">
        <f t="shared" ca="1" si="13"/>
        <v>0.37466168122809534</v>
      </c>
      <c r="I48" s="294">
        <f t="shared" ca="1" si="13"/>
        <v>0.46355958543552167</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0.17190991529603419</v>
      </c>
      <c r="F53" s="285">
        <f t="shared" ca="1" si="14"/>
        <v>0.3508891712066583</v>
      </c>
      <c r="G53" s="285">
        <f t="shared" ca="1" si="14"/>
        <v>0.54708554777125418</v>
      </c>
      <c r="H53" s="285">
        <f t="shared" ca="1" si="14"/>
        <v>0.75192291607602912</v>
      </c>
      <c r="I53" s="285">
        <f t="shared" ca="1" si="14"/>
        <v>0.96453916099997117</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-7.1763985127563601E-5</v>
      </c>
      <c r="F55" s="285">
        <f t="shared" ca="1" si="15"/>
        <v>-1.4528649569900802E-4</v>
      </c>
      <c r="G55" s="285">
        <f t="shared" ca="1" si="15"/>
        <v>-2.7966401527917723E-4</v>
      </c>
      <c r="H55" s="285">
        <f t="shared" ca="1" si="15"/>
        <v>-4.4068450414284807E-4</v>
      </c>
      <c r="I55" s="285">
        <f t="shared" ca="1" si="15"/>
        <v>-6.3680023281624564E-4</v>
      </c>
      <c r="K55" s="42"/>
      <c r="L55" s="732"/>
    </row>
    <row r="56" spans="1:12" outlineLevel="1">
      <c r="A56" s="61" t="s">
        <v>647</v>
      </c>
      <c r="B56" s="285"/>
      <c r="C56" s="285">
        <f t="shared" ref="C56:I56" ca="1" si="16">+C137</f>
        <v>0</v>
      </c>
      <c r="D56" s="285">
        <f t="shared" ca="1" si="16"/>
        <v>0</v>
      </c>
      <c r="E56" s="285">
        <f t="shared" ca="1" si="16"/>
        <v>3.7659881928887515E-3</v>
      </c>
      <c r="F56" s="285">
        <f t="shared" ca="1" si="16"/>
        <v>7.6242592494838264E-3</v>
      </c>
      <c r="G56" s="285">
        <f t="shared" ca="1" si="16"/>
        <v>1.4676043667936107E-2</v>
      </c>
      <c r="H56" s="285">
        <f t="shared" ca="1" si="16"/>
        <v>2.3125982154432564E-2</v>
      </c>
      <c r="I56" s="285">
        <f t="shared" ca="1" si="16"/>
        <v>3.3417627989191456E-2</v>
      </c>
      <c r="K56" s="42"/>
      <c r="L56" s="21"/>
    </row>
    <row r="57" spans="1:12" s="759" customFormat="1" outlineLevel="1">
      <c r="A57" s="61" t="s">
        <v>575</v>
      </c>
      <c r="B57" s="285"/>
      <c r="C57" s="285">
        <f t="shared" ref="C57:I57" ca="1" si="17">+C138</f>
        <v>0</v>
      </c>
      <c r="D57" s="285">
        <f t="shared" ca="1" si="17"/>
        <v>0</v>
      </c>
      <c r="E57" s="285">
        <f t="shared" ca="1" si="17"/>
        <v>1.2555982100726908E-2</v>
      </c>
      <c r="F57" s="285">
        <f t="shared" ca="1" si="17"/>
        <v>2.5628295758408408E-2</v>
      </c>
      <c r="G57" s="285">
        <f t="shared" ca="1" si="17"/>
        <v>3.9958116049055553E-2</v>
      </c>
      <c r="H57" s="285">
        <f t="shared" ca="1" si="17"/>
        <v>5.4919058386592098E-2</v>
      </c>
      <c r="I57" s="285">
        <f t="shared" ca="1" si="17"/>
        <v>7.044815547788924E-2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0.18816012160452231</v>
      </c>
      <c r="F59" s="287">
        <f t="shared" ca="1" si="19"/>
        <v>0.38399643971885156</v>
      </c>
      <c r="G59" s="287">
        <f t="shared" ca="1" si="19"/>
        <v>0.60144004347296665</v>
      </c>
      <c r="H59" s="287">
        <f t="shared" ca="1" si="19"/>
        <v>0.82952727211291089</v>
      </c>
      <c r="I59" s="287">
        <f t="shared" ca="1" si="19"/>
        <v>1.0677681442342357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7.9273640371501743</v>
      </c>
      <c r="E64" s="285">
        <f t="shared" ca="1" si="20"/>
        <v>8.1833829541605354</v>
      </c>
      <c r="F64" s="285">
        <f t="shared" ca="1" si="20"/>
        <v>8.4402964179833138</v>
      </c>
      <c r="G64" s="285">
        <f t="shared" ca="1" si="20"/>
        <v>8.7135298936697545</v>
      </c>
      <c r="H64" s="285">
        <f t="shared" ca="1" si="20"/>
        <v>9.0019463272474773</v>
      </c>
      <c r="I64" s="285">
        <f t="shared" ca="1" si="20"/>
        <v>9.2911216214698413</v>
      </c>
      <c r="K64" s="63"/>
      <c r="L64" s="63"/>
    </row>
    <row r="65" spans="1:20" ht="12.75" customHeight="1" outlineLevel="1">
      <c r="A65" s="61" t="s">
        <v>69</v>
      </c>
      <c r="B65" s="285">
        <f t="shared" ca="1" si="20"/>
        <v>0</v>
      </c>
      <c r="C65" s="285">
        <f t="shared" ca="1" si="20"/>
        <v>0</v>
      </c>
      <c r="D65" s="285">
        <f t="shared" ca="1" si="20"/>
        <v>-3.2452065224647268E-2</v>
      </c>
      <c r="E65" s="285">
        <f t="shared" ca="1" si="20"/>
        <v>-3.2796380282820697E-2</v>
      </c>
      <c r="F65" s="285">
        <f t="shared" ca="1" si="20"/>
        <v>-3.3115417731655411E-2</v>
      </c>
      <c r="G65" s="285">
        <f t="shared" ca="1" si="20"/>
        <v>-3.3430782707163514E-2</v>
      </c>
      <c r="H65" s="285">
        <f t="shared" ca="1" si="20"/>
        <v>-3.3772928376889541E-2</v>
      </c>
      <c r="I65" s="285">
        <f t="shared" ca="1" si="20"/>
        <v>-3.4086336370987735E-2</v>
      </c>
      <c r="K65" s="42"/>
      <c r="L65" s="21"/>
    </row>
    <row r="66" spans="1:20" s="759" customFormat="1" ht="12.75" customHeight="1" outlineLevel="1">
      <c r="A66" s="61" t="s">
        <v>646</v>
      </c>
      <c r="B66" s="285">
        <f t="shared" ref="B66:I66" ca="1" si="21">+B44+B32+B55</f>
        <v>0</v>
      </c>
      <c r="C66" s="285">
        <f t="shared" ca="1" si="21"/>
        <v>0</v>
      </c>
      <c r="D66" s="285">
        <f t="shared" ca="1" si="21"/>
        <v>-1.4202113196987609E-2</v>
      </c>
      <c r="E66" s="285">
        <f t="shared" ca="1" si="21"/>
        <v>-1.442456101064059E-2</v>
      </c>
      <c r="F66" s="285">
        <f t="shared" ca="1" si="21"/>
        <v>-1.4637705019291222E-2</v>
      </c>
      <c r="G66" s="285">
        <f t="shared" ca="1" si="21"/>
        <v>-1.4910096839333529E-2</v>
      </c>
      <c r="H66" s="285">
        <f t="shared" ca="1" si="21"/>
        <v>-1.5220851759509066E-2</v>
      </c>
      <c r="I66" s="285">
        <f t="shared" ca="1" si="21"/>
        <v>-1.5554125347881413E-2</v>
      </c>
      <c r="K66" s="42"/>
      <c r="L66" s="732"/>
    </row>
    <row r="67" spans="1:20" ht="12.75" customHeight="1" outlineLevel="1">
      <c r="A67" s="61" t="s">
        <v>647</v>
      </c>
      <c r="B67" s="285">
        <f t="shared" ref="B67:I67" ca="1" si="22">+B45+B33+B56</f>
        <v>0</v>
      </c>
      <c r="C67" s="285">
        <f t="shared" ca="1" si="22"/>
        <v>0</v>
      </c>
      <c r="D67" s="285">
        <f t="shared" ca="1" si="22"/>
        <v>0.74529014127146032</v>
      </c>
      <c r="E67" s="285">
        <f t="shared" ca="1" si="22"/>
        <v>0.7569636267706551</v>
      </c>
      <c r="F67" s="285">
        <f t="shared" ca="1" si="22"/>
        <v>0.76814887266434995</v>
      </c>
      <c r="G67" s="285">
        <f t="shared" ca="1" si="22"/>
        <v>0.78244329034886606</v>
      </c>
      <c r="H67" s="285">
        <f t="shared" ca="1" si="22"/>
        <v>0.7987509042332247</v>
      </c>
      <c r="I67" s="285">
        <f t="shared" ca="1" si="22"/>
        <v>0.81624023953951974</v>
      </c>
      <c r="K67" s="42"/>
      <c r="L67" s="21"/>
    </row>
    <row r="68" spans="1:20" s="759" customFormat="1" ht="12.75" customHeight="1" outlineLevel="1">
      <c r="A68" s="61" t="s">
        <v>575</v>
      </c>
      <c r="B68" s="285">
        <f t="shared" ref="B68:I68" ca="1" si="23">+B46+B34+B57</f>
        <v>0</v>
      </c>
      <c r="C68" s="285">
        <f t="shared" ca="1" si="23"/>
        <v>0</v>
      </c>
      <c r="D68" s="285">
        <f t="shared" ca="1" si="23"/>
        <v>0.57899999999999996</v>
      </c>
      <c r="E68" s="285">
        <f t="shared" ca="1" si="23"/>
        <v>0.597699147945562</v>
      </c>
      <c r="F68" s="285">
        <f t="shared" ca="1" si="23"/>
        <v>0.61646363193497955</v>
      </c>
      <c r="G68" s="285">
        <f t="shared" ca="1" si="23"/>
        <v>0.63642009939138278</v>
      </c>
      <c r="H68" s="285">
        <f t="shared" ca="1" si="23"/>
        <v>0.65748550199670253</v>
      </c>
      <c r="I68" s="285">
        <f t="shared" ca="1" si="23"/>
        <v>0.67860633037926532</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9.2050000000000001</v>
      </c>
      <c r="E70" s="295">
        <f t="shared" ca="1" si="25"/>
        <v>9.490824787583291</v>
      </c>
      <c r="F70" s="295">
        <f t="shared" ca="1" si="25"/>
        <v>9.7771557998316965</v>
      </c>
      <c r="G70" s="295">
        <f t="shared" ca="1" si="25"/>
        <v>10.084052403863506</v>
      </c>
      <c r="H70" s="295">
        <f t="shared" ca="1" si="25"/>
        <v>10.409188953341008</v>
      </c>
      <c r="I70" s="295">
        <f t="shared" ca="1" si="25"/>
        <v>10.736327729669757</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s="634" customFormat="1"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8.4109001714326975E-2</v>
      </c>
      <c r="Q77" s="285">
        <f ca="1">IF($B77&lt;&gt;0,(+VLOOKUP($B77,$A$8:$I$13,6,FALSE))*(F77),0)</f>
        <v>0.16204320962648186</v>
      </c>
      <c r="R77" s="285">
        <f ca="1">IF($B77&lt;&gt;0,(+VLOOKUP($B77,$A$8:$I$13,7,FALSE))*(G77),0)</f>
        <v>0.23908030874832539</v>
      </c>
      <c r="S77" s="285">
        <f ca="1">IF($B77&lt;&gt;0,(+VLOOKUP($B77,$A$8:$I$13,8,FALSE))*(H77),0)</f>
        <v>0.32265937402127387</v>
      </c>
      <c r="T77" s="285">
        <f ca="1">IF($B77&lt;&gt;0,(+VLOOKUP($B77,$A$8:$I$13,9,FALSE))*(I77),0)</f>
        <v>0.39921842331969559</v>
      </c>
    </row>
    <row r="78" spans="1:20" s="634" customFormat="1"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-3.4431505817342857E-4</v>
      </c>
      <c r="Q78" s="285">
        <f ca="1">IF($B78&lt;&gt;0,(+VLOOKUP($B78,$A$8:$I$13,6,FALSE))*(F78),0)</f>
        <v>-6.6335250700814519E-4</v>
      </c>
      <c r="R78" s="285">
        <f ca="1">IF($B78&lt;&gt;0,(+VLOOKUP($B78,$A$8:$I$13,7,FALSE))*(G78),0)</f>
        <v>-9.7871748251624857E-4</v>
      </c>
      <c r="S78" s="285">
        <f ca="1">IF($B78&lt;&gt;0,(+VLOOKUP($B78,$A$8:$I$13,8,FALSE))*(H78),0)</f>
        <v>-1.3208631522422763E-3</v>
      </c>
      <c r="T78" s="285">
        <f ca="1">IF($B78&lt;&gt;0,(+VLOOKUP($B78,$A$8:$I$13,9,FALSE))*(I78),0)</f>
        <v>-1.6342711463404667E-3</v>
      </c>
    </row>
    <row r="79" spans="1:20" s="634" customFormat="1"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-1.5068382852541728E-4</v>
      </c>
      <c r="Q79" s="285">
        <f t="shared" ref="Q79:Q80" ca="1" si="34">IF($B79&lt;&gt;0,(+VLOOKUP($B79,$A$8:$I$13,6,FALSE))*(F79),0)</f>
        <v>-2.9030532660460581E-4</v>
      </c>
      <c r="R79" s="285">
        <f t="shared" ref="R79:R80" ca="1" si="35">IF($B79&lt;&gt;0,(+VLOOKUP($B79,$A$8:$I$13,7,FALSE))*(G79),0)</f>
        <v>-4.2831962706674193E-4</v>
      </c>
      <c r="S79" s="285">
        <f t="shared" ref="S79:S80" ca="1" si="36">IF($B79&lt;&gt;0,(+VLOOKUP($B79,$A$8:$I$13,8,FALSE))*(H79),0)</f>
        <v>-5.7805405837860928E-4</v>
      </c>
      <c r="T79" s="285">
        <f t="shared" ref="T79:T80" ca="1" si="37">IF($B79&lt;&gt;0,(+VLOOKUP($B79,$A$8:$I$13,9,FALSE))*(I79),0)</f>
        <v>-7.1521191807755863E-4</v>
      </c>
    </row>
    <row r="80" spans="1:20" s="634" customFormat="1"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7.9074973063060234E-3</v>
      </c>
      <c r="Q80" s="285">
        <f t="shared" ca="1" si="34"/>
        <v>1.5234472143405831E-2</v>
      </c>
      <c r="R80" s="285">
        <f t="shared" ca="1" si="35"/>
        <v>2.2477105409469705E-2</v>
      </c>
      <c r="S80" s="285">
        <f t="shared" ca="1" si="36"/>
        <v>3.0334780807331888E-2</v>
      </c>
      <c r="T80" s="285">
        <f t="shared" ca="1" si="37"/>
        <v>3.7532470278867955E-2</v>
      </c>
    </row>
    <row r="81" spans="1:20" s="634" customFormat="1"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6.1431658448351349E-3</v>
      </c>
      <c r="Q81" s="285">
        <f ca="1">IF($B81&lt;&gt;0,(+VLOOKUP($B81,$A$8:$I$13,6,FALSE))*(F81),0)</f>
        <v>1.1835336176571202E-2</v>
      </c>
      <c r="R81" s="285">
        <f ca="1">IF($B81&lt;&gt;0,(+VLOOKUP($B81,$A$8:$I$13,7,FALSE))*(G81),0)</f>
        <v>1.7461983342327243E-2</v>
      </c>
      <c r="S81" s="285">
        <f ca="1">IF($B81&lt;&gt;0,(+VLOOKUP($B81,$A$8:$I$13,8,FALSE))*(H81),0)</f>
        <v>2.3566443610110507E-2</v>
      </c>
      <c r="T81" s="285">
        <f ca="1">IF($B81&lt;&gt;0,(+VLOOKUP($B81,$A$8:$I$13,9,FALSE))*(I81),0)</f>
        <v>2.9158174901376101E-2</v>
      </c>
    </row>
    <row r="82" spans="1:20" s="634" customFormat="1"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t="shared" ref="N83:T83" ca="1" si="51">SUM(N77:N82)</f>
        <v>0</v>
      </c>
      <c r="O83" s="292">
        <f t="shared" ca="1" si="51"/>
        <v>0</v>
      </c>
      <c r="P83" s="292">
        <f t="shared" ca="1" si="51"/>
        <v>9.7664665978769299E-2</v>
      </c>
      <c r="Q83" s="292">
        <f t="shared" ca="1" si="51"/>
        <v>0.18815936011284617</v>
      </c>
      <c r="R83" s="292">
        <f t="shared" ca="1" si="51"/>
        <v>0.27761236039053933</v>
      </c>
      <c r="S83" s="292">
        <f t="shared" ca="1" si="51"/>
        <v>0.37466168122809534</v>
      </c>
      <c r="T83" s="292">
        <f t="shared" ca="1" si="51"/>
        <v>0.46355958543552167</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591">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8.4109001714326975E-2</v>
      </c>
      <c r="F98" s="285">
        <f t="shared" ca="1" si="54"/>
        <v>0.16204320962648186</v>
      </c>
      <c r="G98" s="285">
        <f t="shared" ca="1" si="54"/>
        <v>0.23908030874832539</v>
      </c>
      <c r="H98" s="285">
        <f t="shared" ca="1" si="54"/>
        <v>0.32265937402127387</v>
      </c>
      <c r="I98" s="285">
        <f t="shared" ca="1" si="54"/>
        <v>0.39921842331969559</v>
      </c>
    </row>
    <row r="99" spans="1:20" outlineLevel="1">
      <c r="A99" s="61" t="s">
        <v>69</v>
      </c>
      <c r="B99" s="119"/>
      <c r="C99" s="285">
        <f t="shared" ref="C99:I99" ca="1" si="55">+C9*(C87)</f>
        <v>0</v>
      </c>
      <c r="D99" s="285">
        <f t="shared" ca="1" si="55"/>
        <v>0</v>
      </c>
      <c r="E99" s="285">
        <f t="shared" ca="1" si="55"/>
        <v>-3.4431505817342857E-4</v>
      </c>
      <c r="F99" s="285">
        <f t="shared" ca="1" si="55"/>
        <v>-6.6335250700814519E-4</v>
      </c>
      <c r="G99" s="285">
        <f t="shared" ca="1" si="55"/>
        <v>-9.7871748251624857E-4</v>
      </c>
      <c r="H99" s="285">
        <f t="shared" ca="1" si="55"/>
        <v>-1.3208631522422763E-3</v>
      </c>
      <c r="I99" s="285">
        <f t="shared" ca="1" si="55"/>
        <v>-1.6342711463404667E-3</v>
      </c>
    </row>
    <row r="100" spans="1:20" s="759" customFormat="1" outlineLevel="1">
      <c r="A100" s="61" t="s">
        <v>646</v>
      </c>
      <c r="B100" s="119"/>
      <c r="C100" s="285">
        <f t="shared" ref="C100:I100" ca="1" si="56">+C10*(C88)</f>
        <v>0</v>
      </c>
      <c r="D100" s="285">
        <f t="shared" ca="1" si="56"/>
        <v>0</v>
      </c>
      <c r="E100" s="285">
        <f t="shared" ca="1" si="56"/>
        <v>-1.5068382852541728E-4</v>
      </c>
      <c r="F100" s="285">
        <f t="shared" ca="1" si="56"/>
        <v>-2.9030532660460581E-4</v>
      </c>
      <c r="G100" s="285">
        <f t="shared" ca="1" si="56"/>
        <v>-4.2831962706674193E-4</v>
      </c>
      <c r="H100" s="285">
        <f t="shared" ca="1" si="56"/>
        <v>-5.7805405837860928E-4</v>
      </c>
      <c r="I100" s="285">
        <f t="shared" ca="1" si="56"/>
        <v>-7.1521191807755863E-4</v>
      </c>
    </row>
    <row r="101" spans="1:20" outlineLevel="1">
      <c r="A101" s="61" t="s">
        <v>647</v>
      </c>
      <c r="B101" s="119"/>
      <c r="C101" s="285">
        <f t="shared" ref="C101:I101" ca="1" si="57">+C11*(C89)</f>
        <v>0</v>
      </c>
      <c r="D101" s="285">
        <f t="shared" ca="1" si="57"/>
        <v>0</v>
      </c>
      <c r="E101" s="285">
        <f t="shared" ca="1" si="57"/>
        <v>7.9074973063060234E-3</v>
      </c>
      <c r="F101" s="285">
        <f t="shared" ca="1" si="57"/>
        <v>1.5234472143405831E-2</v>
      </c>
      <c r="G101" s="285">
        <f t="shared" ca="1" si="57"/>
        <v>2.2477105409469705E-2</v>
      </c>
      <c r="H101" s="285">
        <f t="shared" ca="1" si="57"/>
        <v>3.0334780807331888E-2</v>
      </c>
      <c r="I101" s="285">
        <f t="shared" ca="1" si="57"/>
        <v>3.7532470278867955E-2</v>
      </c>
    </row>
    <row r="102" spans="1:20" s="759" customFormat="1" outlineLevel="1">
      <c r="A102" s="61" t="s">
        <v>575</v>
      </c>
      <c r="B102" s="119"/>
      <c r="C102" s="285">
        <f t="shared" ref="C102:I102" ca="1" si="58">+C12*(C90)</f>
        <v>0</v>
      </c>
      <c r="D102" s="285">
        <f t="shared" ca="1" si="58"/>
        <v>0</v>
      </c>
      <c r="E102" s="285">
        <f t="shared" ca="1" si="58"/>
        <v>6.1431658448351349E-3</v>
      </c>
      <c r="F102" s="285">
        <f t="shared" ca="1" si="58"/>
        <v>1.1835336176571202E-2</v>
      </c>
      <c r="G102" s="285">
        <f t="shared" ca="1" si="58"/>
        <v>1.7461983342327243E-2</v>
      </c>
      <c r="H102" s="285">
        <f t="shared" ca="1" si="58"/>
        <v>2.3566443610110507E-2</v>
      </c>
      <c r="I102" s="285">
        <f t="shared" ca="1" si="58"/>
        <v>2.9158174901376101E-2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9.7664665978769299E-2</v>
      </c>
      <c r="F104" s="296">
        <f t="shared" ca="1" si="60"/>
        <v>0.18815936011284617</v>
      </c>
      <c r="G104" s="296">
        <f t="shared" ca="1" si="60"/>
        <v>0.27761236039053933</v>
      </c>
      <c r="H104" s="296">
        <f t="shared" ca="1" si="60"/>
        <v>0.37466168122809534</v>
      </c>
      <c r="I104" s="296">
        <f t="shared" ca="1" si="60"/>
        <v>0.46355958543552167</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2.0440995123611753E-2</v>
      </c>
      <c r="G105" s="124">
        <f t="shared" ca="1" si="61"/>
        <v>3.0158865876212856E-2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0.17190991529603419</v>
      </c>
      <c r="Q113" s="285">
        <f ca="1">IF($B113&lt;&gt;0,(+VLOOKUP($B113,$A$8:$I$13,6,FALSE)+VLOOKUP($B113,$A$42:$I$47,6,FALSE))*(F113),0)</f>
        <v>0.3508891712066583</v>
      </c>
      <c r="R113" s="285">
        <f ca="1">IF($B113&lt;&gt;0,(+VLOOKUP($B113,$A$8:$I$13,7,FALSE)+VLOOKUP($B113,$A$42:$I$47,7,FALSE))*(G113),0)</f>
        <v>0.54708554777125418</v>
      </c>
      <c r="S113" s="285">
        <f ca="1">IF($B113&lt;&gt;0,(+VLOOKUP($B113,$A$8:$I$13,8,FALSE)+VLOOKUP($B113,$A$42:$I$47,8,FALSE))*(H113),0)</f>
        <v>0.75192291607602912</v>
      </c>
      <c r="T113" s="285">
        <f ca="1">IF($B113&lt;&gt;0,(+VLOOKUP($B113,$A$8:$I$13,9,FALSE)+VLOOKUP($B113,$A$42:$I$47,9,FALSE))*(I113),0)</f>
        <v>0.96453916099997117</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-7.1763985127563601E-5</v>
      </c>
      <c r="Q115" s="285">
        <f t="shared" ca="1" si="68"/>
        <v>-1.4528649569900802E-4</v>
      </c>
      <c r="R115" s="285">
        <f t="shared" ca="1" si="69"/>
        <v>-2.7966401527917723E-4</v>
      </c>
      <c r="S115" s="285">
        <f t="shared" ca="1" si="70"/>
        <v>-4.4068450414284807E-4</v>
      </c>
      <c r="T115" s="285">
        <f t="shared" ca="1" si="71"/>
        <v>-6.3680023281624564E-4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3.7659881928887515E-3</v>
      </c>
      <c r="Q116" s="285">
        <f t="shared" ca="1" si="68"/>
        <v>7.6242592494838264E-3</v>
      </c>
      <c r="R116" s="285">
        <f t="shared" ca="1" si="69"/>
        <v>1.4676043667936107E-2</v>
      </c>
      <c r="S116" s="285">
        <f t="shared" ca="1" si="70"/>
        <v>2.3125982154432564E-2</v>
      </c>
      <c r="T116" s="285">
        <f t="shared" ca="1" si="71"/>
        <v>3.3417627989191456E-2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1.2555982100726908E-2</v>
      </c>
      <c r="Q117" s="285">
        <f t="shared" ca="1" si="68"/>
        <v>2.5628295758408408E-2</v>
      </c>
      <c r="R117" s="285">
        <f t="shared" ca="1" si="69"/>
        <v>3.9958116049055553E-2</v>
      </c>
      <c r="S117" s="285">
        <f t="shared" ca="1" si="70"/>
        <v>5.4919058386592098E-2</v>
      </c>
      <c r="T117" s="285">
        <f t="shared" ca="1" si="71"/>
        <v>7.044815547788924E-2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0.18816012160452231</v>
      </c>
      <c r="Q119" s="292">
        <f t="shared" ca="1" si="72"/>
        <v>0.38399643971885156</v>
      </c>
      <c r="R119" s="292">
        <f t="shared" ca="1" si="72"/>
        <v>0.60144004347296665</v>
      </c>
      <c r="S119" s="292">
        <f t="shared" ca="1" si="72"/>
        <v>0.82952727211291089</v>
      </c>
      <c r="T119" s="292">
        <f t="shared" ca="1" si="72"/>
        <v>1.0677681442342357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0.17190991529603419</v>
      </c>
      <c r="F134" s="285">
        <f t="shared" ca="1" si="75"/>
        <v>0.3508891712066583</v>
      </c>
      <c r="G134" s="285">
        <f t="shared" ca="1" si="75"/>
        <v>0.54708554777125418</v>
      </c>
      <c r="H134" s="285">
        <f t="shared" ca="1" si="75"/>
        <v>0.75192291607602912</v>
      </c>
      <c r="I134" s="285">
        <f t="shared" ca="1" si="75"/>
        <v>0.96453916099997117</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-7.1763985127563601E-5</v>
      </c>
      <c r="F136" s="285">
        <f t="shared" ca="1" si="77"/>
        <v>-1.4528649569900802E-4</v>
      </c>
      <c r="G136" s="285">
        <f t="shared" ca="1" si="77"/>
        <v>-2.7966401527917723E-4</v>
      </c>
      <c r="H136" s="285">
        <f t="shared" ca="1" si="77"/>
        <v>-4.4068450414284807E-4</v>
      </c>
      <c r="I136" s="285">
        <f t="shared" ca="1" si="77"/>
        <v>-6.3680023281624564E-4</v>
      </c>
    </row>
    <row r="137" spans="1:16" outlineLevel="1">
      <c r="A137" s="61" t="s">
        <v>647</v>
      </c>
      <c r="B137" s="119"/>
      <c r="C137" s="285">
        <f ca="1">(+C11+C45)*(C$125)</f>
        <v>0</v>
      </c>
      <c r="D137" s="285">
        <f t="shared" ref="D137:I137" ca="1" si="78">(+D11+D45)*(D$125)</f>
        <v>0</v>
      </c>
      <c r="E137" s="285">
        <f t="shared" ca="1" si="78"/>
        <v>3.7659881928887515E-3</v>
      </c>
      <c r="F137" s="285">
        <f t="shared" ca="1" si="78"/>
        <v>7.6242592494838264E-3</v>
      </c>
      <c r="G137" s="285">
        <f t="shared" ca="1" si="78"/>
        <v>1.4676043667936107E-2</v>
      </c>
      <c r="H137" s="285">
        <f t="shared" ca="1" si="78"/>
        <v>2.3125982154432564E-2</v>
      </c>
      <c r="I137" s="285">
        <f t="shared" ca="1" si="78"/>
        <v>3.3417627989191456E-2</v>
      </c>
    </row>
    <row r="138" spans="1:16" s="759" customFormat="1" outlineLevel="1">
      <c r="A138" s="61" t="s">
        <v>575</v>
      </c>
      <c r="B138" s="119"/>
      <c r="C138" s="285">
        <f ca="1">(+C12+C46)*(C$126)</f>
        <v>0</v>
      </c>
      <c r="D138" s="285">
        <f t="shared" ref="D138:I138" ca="1" si="79">(+D12+D46)*(D$126)</f>
        <v>0</v>
      </c>
      <c r="E138" s="285">
        <f t="shared" ca="1" si="79"/>
        <v>1.2555982100726908E-2</v>
      </c>
      <c r="F138" s="285">
        <f t="shared" ca="1" si="79"/>
        <v>2.5628295758408408E-2</v>
      </c>
      <c r="G138" s="285">
        <f t="shared" ca="1" si="79"/>
        <v>3.9958116049055553E-2</v>
      </c>
      <c r="H138" s="285">
        <f t="shared" ca="1" si="79"/>
        <v>5.4919058386592098E-2</v>
      </c>
      <c r="I138" s="285">
        <f t="shared" ca="1" si="79"/>
        <v>7.044815547788924E-2</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0.18816012160452231</v>
      </c>
      <c r="F140" s="296">
        <f t="shared" ca="1" si="81"/>
        <v>0.38399643971885156</v>
      </c>
      <c r="G140" s="296">
        <f t="shared" ca="1" si="81"/>
        <v>0.60144004347296665</v>
      </c>
      <c r="H140" s="296">
        <f t="shared" ca="1" si="81"/>
        <v>0.82952727211291089</v>
      </c>
      <c r="I140" s="296">
        <f t="shared" ca="1" si="81"/>
        <v>1.0677681442342357</v>
      </c>
    </row>
    <row r="141" spans="1:16" ht="13.5" outlineLevel="1" thickBot="1">
      <c r="A141" s="122" t="s">
        <v>148</v>
      </c>
      <c r="B141" s="126"/>
      <c r="C141" s="124">
        <f t="shared" ref="C141:I141" ca="1" si="82">IF((+C36+C48)&lt;&gt;0,+C140/(+C36+C48),0)</f>
        <v>0</v>
      </c>
      <c r="D141" s="124">
        <f t="shared" ca="1" si="82"/>
        <v>0</v>
      </c>
      <c r="E141" s="124">
        <f t="shared" ca="1" si="82"/>
        <v>2.0226475785228713E-2</v>
      </c>
      <c r="F141" s="124">
        <f t="shared" ca="1" si="82"/>
        <v>4.0880434899194379E-2</v>
      </c>
      <c r="G141" s="124">
        <f t="shared" ca="1" si="82"/>
        <v>6.342556466667551E-2</v>
      </c>
      <c r="H141" s="124">
        <f t="shared" ca="1" si="82"/>
        <v>8.659254363214286E-2</v>
      </c>
      <c r="I141" s="124">
        <f t="shared" ca="1" si="82"/>
        <v>0.1104371478294135</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v>0</v>
      </c>
      <c r="E185" s="285">
        <f t="array" ref="E185:I190">'[3]TOTAL (SEM)'!$O$7:$S$12</f>
        <v>0</v>
      </c>
      <c r="F185" s="285">
        <v>0</v>
      </c>
      <c r="G185" s="285">
        <v>0</v>
      </c>
      <c r="H185" s="285">
        <v>0</v>
      </c>
      <c r="I185" s="285">
        <v>0</v>
      </c>
      <c r="J185" s="63"/>
      <c r="K185" s="63"/>
      <c r="L185" s="63"/>
    </row>
    <row r="186" spans="1:12" outlineLevel="1">
      <c r="A186" s="61" t="s">
        <v>69</v>
      </c>
      <c r="B186" s="65"/>
      <c r="C186" s="285"/>
      <c r="D186" s="285">
        <v>0</v>
      </c>
      <c r="E186" s="285">
        <v>0</v>
      </c>
      <c r="F186" s="285">
        <v>0</v>
      </c>
      <c r="G186" s="285">
        <v>0</v>
      </c>
      <c r="H186" s="285">
        <v>0</v>
      </c>
      <c r="I186" s="285">
        <v>0</v>
      </c>
      <c r="J186" s="42"/>
      <c r="K186" s="21"/>
      <c r="L186" s="21"/>
    </row>
    <row r="187" spans="1:12" s="759" customFormat="1" outlineLevel="1">
      <c r="A187" s="61" t="s">
        <v>646</v>
      </c>
      <c r="B187" s="65"/>
      <c r="C187" s="285"/>
      <c r="D187" s="285">
        <v>0</v>
      </c>
      <c r="E187" s="285">
        <v>0</v>
      </c>
      <c r="F187" s="285">
        <v>0</v>
      </c>
      <c r="G187" s="285">
        <v>0</v>
      </c>
      <c r="H187" s="285">
        <v>0</v>
      </c>
      <c r="I187" s="285">
        <v>0</v>
      </c>
      <c r="J187" s="42"/>
      <c r="K187" s="732"/>
      <c r="L187" s="732"/>
    </row>
    <row r="188" spans="1:12" outlineLevel="1">
      <c r="A188" s="61" t="s">
        <v>647</v>
      </c>
      <c r="B188" s="65"/>
      <c r="C188" s="285"/>
      <c r="D188" s="285">
        <v>0</v>
      </c>
      <c r="E188" s="285">
        <v>0</v>
      </c>
      <c r="F188" s="285">
        <v>0</v>
      </c>
      <c r="G188" s="285">
        <v>0</v>
      </c>
      <c r="H188" s="285">
        <v>0</v>
      </c>
      <c r="I188" s="285">
        <v>0</v>
      </c>
      <c r="J188" s="42"/>
      <c r="K188" s="21"/>
      <c r="L188" s="21"/>
    </row>
    <row r="189" spans="1:12" s="759" customFormat="1" outlineLevel="1">
      <c r="A189" s="61" t="s">
        <v>575</v>
      </c>
      <c r="B189" s="65"/>
      <c r="C189" s="285"/>
      <c r="D189" s="285">
        <v>0</v>
      </c>
      <c r="E189" s="285">
        <v>0</v>
      </c>
      <c r="F189" s="285">
        <v>0</v>
      </c>
      <c r="G189" s="285">
        <v>0</v>
      </c>
      <c r="H189" s="285">
        <v>0</v>
      </c>
      <c r="I189" s="285">
        <v>0</v>
      </c>
      <c r="J189" s="42"/>
      <c r="K189" s="732"/>
      <c r="L189" s="732"/>
    </row>
    <row r="190" spans="1:12" outlineLevel="1">
      <c r="A190" s="83" t="s">
        <v>70</v>
      </c>
      <c r="B190" s="65"/>
      <c r="C190" s="285"/>
      <c r="D190" s="285">
        <v>0</v>
      </c>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9.2050000000000001</v>
      </c>
      <c r="E205" s="82">
        <f t="shared" ca="1" si="95"/>
        <v>9.2050000000000001</v>
      </c>
      <c r="F205" s="82">
        <f t="shared" ca="1" si="95"/>
        <v>9.2050000000000001</v>
      </c>
      <c r="G205" s="82">
        <f t="shared" ca="1" si="95"/>
        <v>9.2050000000000001</v>
      </c>
      <c r="H205" s="82">
        <f t="shared" ca="1" si="95"/>
        <v>9.2050000000000001</v>
      </c>
      <c r="I205" s="82">
        <f t="shared" ca="1" si="95"/>
        <v>9.2050000000000001</v>
      </c>
    </row>
    <row r="206" spans="1:9" outlineLevel="1">
      <c r="A206" t="s">
        <v>156</v>
      </c>
      <c r="B206" s="82">
        <f t="shared" ref="B206:I206" ca="1" si="96">+B36</f>
        <v>0</v>
      </c>
      <c r="C206" s="82">
        <f t="shared" ca="1" si="96"/>
        <v>0</v>
      </c>
      <c r="D206" s="82">
        <f t="shared" ca="1" si="96"/>
        <v>9.2050000000000001</v>
      </c>
      <c r="E206" s="82">
        <f t="shared" ca="1" si="96"/>
        <v>9.2050000000000001</v>
      </c>
      <c r="F206" s="82">
        <f t="shared" ca="1" si="96"/>
        <v>9.2050000000000001</v>
      </c>
      <c r="G206" s="82">
        <f t="shared" ca="1" si="96"/>
        <v>9.2050000000000001</v>
      </c>
      <c r="H206" s="82">
        <f t="shared" ca="1" si="96"/>
        <v>9.2050000000000001</v>
      </c>
      <c r="I206" s="82">
        <f t="shared" ca="1" si="96"/>
        <v>9.2050000000000001</v>
      </c>
    </row>
    <row r="207" spans="1:9" outlineLevel="1">
      <c r="A207" t="s">
        <v>157</v>
      </c>
      <c r="B207" s="82">
        <f t="shared" ref="B207:I207" ca="1" si="97">+B36+B48</f>
        <v>0</v>
      </c>
      <c r="C207" s="82">
        <f t="shared" ca="1" si="97"/>
        <v>0</v>
      </c>
      <c r="D207" s="82">
        <f t="shared" ca="1" si="97"/>
        <v>9.2050000000000001</v>
      </c>
      <c r="E207" s="82">
        <f t="shared" ca="1" si="97"/>
        <v>9.3026646659787691</v>
      </c>
      <c r="F207" s="82">
        <f t="shared" ca="1" si="97"/>
        <v>9.3931593601128469</v>
      </c>
      <c r="G207" s="82">
        <f t="shared" ca="1" si="97"/>
        <v>9.4826123603905401</v>
      </c>
      <c r="H207" s="82">
        <f t="shared" ca="1" si="97"/>
        <v>9.5796616812280959</v>
      </c>
      <c r="I207" s="82">
        <f t="shared" ca="1" si="97"/>
        <v>9.6685595854355224</v>
      </c>
    </row>
    <row r="208" spans="1:9" outlineLevel="1">
      <c r="A208" t="s">
        <v>158</v>
      </c>
      <c r="B208" s="82">
        <f t="shared" ref="B208:I208" ca="1" si="98">+B70</f>
        <v>0</v>
      </c>
      <c r="C208" s="82">
        <f t="shared" ca="1" si="98"/>
        <v>0</v>
      </c>
      <c r="D208" s="82">
        <f t="shared" ca="1" si="98"/>
        <v>9.2050000000000001</v>
      </c>
      <c r="E208" s="82">
        <f t="shared" ca="1" si="98"/>
        <v>9.490824787583291</v>
      </c>
      <c r="F208" s="82">
        <f t="shared" ca="1" si="98"/>
        <v>9.7771557998316965</v>
      </c>
      <c r="G208" s="82">
        <f t="shared" ca="1" si="98"/>
        <v>10.084052403863506</v>
      </c>
      <c r="H208" s="82">
        <f t="shared" ca="1" si="98"/>
        <v>10.409188953341008</v>
      </c>
      <c r="I208" s="82">
        <f t="shared" ca="1" si="98"/>
        <v>10.736327729669757</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70" priority="1" stopIfTrue="1" operator="notEqual">
      <formula>0</formula>
    </cfRule>
  </conditionalFormatting>
  <conditionalFormatting sqref="J130 J94 J70 J59 J48 J36:J37 J14 J25">
    <cfRule type="cellIs" dxfId="169" priority="2" stopIfTrue="1" operator="equal">
      <formula>"OK"</formula>
    </cfRule>
    <cfRule type="cellIs" dxfId="168" priority="3" stopIfTrue="1" operator="equal">
      <formula>"Warning Check Escalations"</formula>
    </cfRule>
  </conditionalFormatting>
  <conditionalFormatting sqref="N120:T120 N84:T84">
    <cfRule type="cellIs" dxfId="167" priority="4" stopIfTrue="1" operator="notEqual">
      <formula>0</formula>
    </cfRule>
    <cfRule type="cellIs" dxfId="16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7.xml><?xml version="1.0" encoding="utf-8"?>
<worksheet xmlns="http://schemas.openxmlformats.org/spreadsheetml/2006/main" xmlns:r="http://schemas.openxmlformats.org/officeDocument/2006/relationships">
  <sheetPr codeName="Sheet26" enableFormatConditionsCalculation="0">
    <tabColor indexed="17"/>
    <pageSetUpPr fitToPage="1"/>
  </sheetPr>
  <dimension ref="A1:T239"/>
  <sheetViews>
    <sheetView showGridLines="0" topLeftCell="A183" zoomScaleNormal="100" workbookViewId="0">
      <selection activeCell="K191" sqref="K191"/>
    </sheetView>
  </sheetViews>
  <sheetFormatPr defaultRowHeight="12.75" outlineLevelRow="2"/>
  <cols>
    <col min="1" max="1" width="30" customWidth="1"/>
    <col min="2" max="2" width="18.85546875" customWidth="1"/>
    <col min="3"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3</v>
      </c>
      <c r="M1" s="282"/>
      <c r="N1" s="280"/>
      <c r="O1" s="280"/>
      <c r="P1" s="280"/>
      <c r="Q1" s="280"/>
      <c r="R1" s="280"/>
      <c r="S1" s="280"/>
      <c r="T1" s="280"/>
    </row>
    <row r="2" spans="1:20" ht="15.75">
      <c r="A2" s="184" t="s">
        <v>121</v>
      </c>
      <c r="B2" s="74" t="str">
        <f ca="1">OFFSET(List_DAOpexStart,+$K$1,1)</f>
        <v>Customer Service</v>
      </c>
      <c r="F2" s="284"/>
      <c r="H2" s="42"/>
      <c r="I2" s="283"/>
      <c r="L2" s="282"/>
      <c r="M2" s="282"/>
    </row>
    <row r="3" spans="1:20" ht="16.5" thickBot="1">
      <c r="A3" s="184" t="s">
        <v>371</v>
      </c>
      <c r="B3" s="236" t="str">
        <f ca="1">OFFSET(List_DAOpexStart,+$K$1,2)</f>
        <v>Steve Jolly</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2.6310000000000002</v>
      </c>
      <c r="E8" s="285">
        <f ca="1">OFFSET(Future_DAOpexStart,MATCH($K$1,'I-5 Future DA'!$A$6:$A$222)+2,+'I-5 Future DA'!F$5)</f>
        <v>2.6310000000000002</v>
      </c>
      <c r="F8" s="285">
        <f ca="1">OFFSET(Future_DAOpexStart,MATCH($K$1,'I-5 Future DA'!$A$6:$A$222)+2,+'I-5 Future DA'!G$5)</f>
        <v>2.6310000000000002</v>
      </c>
      <c r="G8" s="285">
        <f ca="1">OFFSET(Future_DAOpexStart,MATCH($K$1,'I-5 Future DA'!$A$6:$A$222)+2,+'I-5 Future DA'!H$5)</f>
        <v>2.6310000000000002</v>
      </c>
      <c r="H8" s="285">
        <f ca="1">OFFSET(Future_DAOpexStart,MATCH($K$1,'I-5 Future DA'!$A$6:$A$222)+2,+'I-5 Future DA'!I$5)</f>
        <v>2.6310000000000002</v>
      </c>
      <c r="I8" s="285">
        <f ca="1">OFFSET(Future_DAOpexStart,MATCH($K$1,'I-5 Future DA'!$A$6:$A$222)+2,+'I-5 Future DA'!J$5)</f>
        <v>2.6310000000000002</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-3.4000000000000002E-2</v>
      </c>
      <c r="E9" s="285">
        <f ca="1">OFFSET(Future_DAOpexStart,MATCH($K$1,'I-5 Future DA'!$A$6:$A$222)+3,+'I-5 Future DA'!F$5)</f>
        <v>-3.4000000000000002E-2</v>
      </c>
      <c r="F9" s="285">
        <f ca="1">OFFSET(Future_DAOpexStart,MATCH($K$1,'I-5 Future DA'!$A$6:$A$222)+3,+'I-5 Future DA'!G$5)</f>
        <v>-3.4000000000000002E-2</v>
      </c>
      <c r="G9" s="285">
        <f ca="1">OFFSET(Future_DAOpexStart,MATCH($K$1,'I-5 Future DA'!$A$6:$A$222)+3,+'I-5 Future DA'!H$5)</f>
        <v>-3.4000000000000002E-2</v>
      </c>
      <c r="H9" s="285">
        <f ca="1">OFFSET(Future_DAOpexStart,MATCH($K$1,'I-5 Future DA'!$A$6:$A$222)+3,+'I-5 Future DA'!I$5)</f>
        <v>-3.4000000000000002E-2</v>
      </c>
      <c r="I9" s="285">
        <f ca="1">OFFSET(Future_DAOpexStart,MATCH($K$1,'I-5 Future DA'!$A$6:$A$222)+3,+'I-5 Future DA'!J$5)</f>
        <v>-3.4000000000000002E-2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6.4000000000000001E-2</v>
      </c>
      <c r="E11" s="285">
        <f ca="1">OFFSET(Future_DAOpexStart,MATCH($K$1,'I-5 Future DA'!$A$6:$A$222)+5,+'I-5 Future DA'!F$5)</f>
        <v>6.4000000000000001E-2</v>
      </c>
      <c r="F11" s="285">
        <f ca="1">OFFSET(Future_DAOpexStart,MATCH($K$1,'I-5 Future DA'!$A$6:$A$222)+5,+'I-5 Future DA'!G$5)</f>
        <v>6.4000000000000001E-2</v>
      </c>
      <c r="G11" s="285">
        <f ca="1">OFFSET(Future_DAOpexStart,MATCH($K$1,'I-5 Future DA'!$A$6:$A$222)+5,+'I-5 Future DA'!H$5)</f>
        <v>6.4000000000000001E-2</v>
      </c>
      <c r="H11" s="285">
        <f ca="1">OFFSET(Future_DAOpexStart,MATCH($K$1,'I-5 Future DA'!$A$6:$A$222)+5,+'I-5 Future DA'!I$5)</f>
        <v>6.4000000000000001E-2</v>
      </c>
      <c r="I11" s="285">
        <f ca="1">OFFSET(Future_DAOpexStart,MATCH($K$1,'I-5 Future DA'!$A$6:$A$222)+5,+'I-5 Future DA'!J$5)</f>
        <v>6.4000000000000001E-2</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0.26</v>
      </c>
      <c r="E12" s="285">
        <f ca="1">OFFSET(Future_DAOpexStart,MATCH($K$1,'I-5 Future DA'!$A$6:$A$222)+6,+'I-5 Future DA'!F$5)</f>
        <v>0.26</v>
      </c>
      <c r="F12" s="285">
        <f ca="1">OFFSET(Future_DAOpexStart,MATCH($K$1,'I-5 Future DA'!$A$6:$A$222)+6,+'I-5 Future DA'!G$5)</f>
        <v>0.26</v>
      </c>
      <c r="G12" s="285">
        <f ca="1">OFFSET(Future_DAOpexStart,MATCH($K$1,'I-5 Future DA'!$A$6:$A$222)+6,+'I-5 Future DA'!H$5)</f>
        <v>0.26</v>
      </c>
      <c r="H12" s="285">
        <f ca="1">OFFSET(Future_DAOpexStart,MATCH($K$1,'I-5 Future DA'!$A$6:$A$222)+6,+'I-5 Future DA'!I$5)</f>
        <v>0.26</v>
      </c>
      <c r="I12" s="285">
        <f ca="1">OFFSET(Future_DAOpexStart,MATCH($K$1,'I-5 Future DA'!$A$6:$A$222)+6,+'I-5 Future DA'!J$5)</f>
        <v>0.26</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2.9210000000000003</v>
      </c>
      <c r="E14" s="287">
        <f t="shared" ca="1" si="0"/>
        <v>2.9210000000000003</v>
      </c>
      <c r="F14" s="287">
        <f t="shared" ca="1" si="0"/>
        <v>2.9210000000000003</v>
      </c>
      <c r="G14" s="287">
        <f t="shared" ca="1" si="0"/>
        <v>2.9210000000000003</v>
      </c>
      <c r="H14" s="287">
        <f t="shared" ca="1" si="0"/>
        <v>2.9210000000000003</v>
      </c>
      <c r="I14" s="287">
        <f t="shared" ca="1" si="0"/>
        <v>2.9210000000000003</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6.2879041559697882E-2</v>
      </c>
      <c r="E19" s="285">
        <f t="shared" si="1"/>
        <v>0.25</v>
      </c>
      <c r="F19" s="285">
        <f t="shared" si="1"/>
        <v>0.25</v>
      </c>
      <c r="G19" s="285">
        <f t="shared" si="1"/>
        <v>0.25</v>
      </c>
      <c r="H19" s="285">
        <f t="shared" si="1"/>
        <v>0.25</v>
      </c>
      <c r="I19" s="285">
        <f t="shared" si="1"/>
        <v>0.25</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6.2879041559697882E-2</v>
      </c>
      <c r="E25" s="287">
        <f t="shared" si="6"/>
        <v>0.25</v>
      </c>
      <c r="F25" s="287">
        <f t="shared" si="6"/>
        <v>0.25</v>
      </c>
      <c r="G25" s="287">
        <f t="shared" si="6"/>
        <v>0.25</v>
      </c>
      <c r="H25" s="287">
        <f t="shared" si="6"/>
        <v>0.25</v>
      </c>
      <c r="I25" s="287">
        <f t="shared" si="6"/>
        <v>0.25</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+'DA-3'!B8+'DA-3'!B19</f>
        <v>0</v>
      </c>
      <c r="C30" s="285">
        <f ca="1">+'DA-3'!C8+'DA-3'!C19</f>
        <v>0</v>
      </c>
      <c r="D30" s="285">
        <f ca="1">+'DA-3'!D8+'DA-3'!D19</f>
        <v>2.6938790415596983</v>
      </c>
      <c r="E30" s="285">
        <f ca="1">+'DA-3'!E8+'DA-3'!E19</f>
        <v>2.8810000000000002</v>
      </c>
      <c r="F30" s="285">
        <f ca="1">+'DA-3'!F8+'DA-3'!F19</f>
        <v>2.8810000000000002</v>
      </c>
      <c r="G30" s="285">
        <f ca="1">+'DA-3'!G8+'DA-3'!G19</f>
        <v>2.8810000000000002</v>
      </c>
      <c r="H30" s="285">
        <f ca="1">+'DA-3'!H8+'DA-3'!H19</f>
        <v>2.8810000000000002</v>
      </c>
      <c r="I30" s="285">
        <f ca="1">+'DA-3'!I8+'DA-3'!I19</f>
        <v>2.8810000000000002</v>
      </c>
      <c r="J30" s="42"/>
      <c r="K30" s="21"/>
      <c r="L30" s="21"/>
    </row>
    <row r="31" spans="1:12" outlineLevel="2">
      <c r="A31" s="61" t="s">
        <v>69</v>
      </c>
      <c r="B31" s="285">
        <f ca="1">+'DA-3'!B9+'DA-3'!B20</f>
        <v>0</v>
      </c>
      <c r="C31" s="285">
        <f ca="1">+'DA-3'!C9+'DA-3'!C20</f>
        <v>0</v>
      </c>
      <c r="D31" s="285">
        <f ca="1">+'DA-3'!D9+'DA-3'!D20</f>
        <v>-3.4000000000000002E-2</v>
      </c>
      <c r="E31" s="285">
        <f ca="1">+'DA-3'!E9+'DA-3'!E20</f>
        <v>-3.4000000000000002E-2</v>
      </c>
      <c r="F31" s="285">
        <f ca="1">+'DA-3'!F9+'DA-3'!F20</f>
        <v>-3.4000000000000002E-2</v>
      </c>
      <c r="G31" s="285">
        <f ca="1">+'DA-3'!G9+'DA-3'!G20</f>
        <v>-3.4000000000000002E-2</v>
      </c>
      <c r="H31" s="285">
        <f ca="1">+'DA-3'!H9+'DA-3'!H20</f>
        <v>-3.4000000000000002E-2</v>
      </c>
      <c r="I31" s="285">
        <f ca="1">+'DA-3'!I9+'DA-3'!I20</f>
        <v>-3.4000000000000002E-2</v>
      </c>
      <c r="J31" s="42"/>
      <c r="K31" s="21"/>
      <c r="L31" s="21"/>
    </row>
    <row r="32" spans="1:12" s="759" customFormat="1" outlineLevel="2">
      <c r="A32" s="61" t="s">
        <v>646</v>
      </c>
      <c r="B32" s="285">
        <f ca="1">+'DA-3'!B10+'DA-3'!B21</f>
        <v>0</v>
      </c>
      <c r="C32" s="285">
        <f ca="1">+'DA-3'!C10+'DA-3'!C21</f>
        <v>0</v>
      </c>
      <c r="D32" s="285">
        <f ca="1">+'DA-3'!D10+'DA-3'!D21</f>
        <v>0</v>
      </c>
      <c r="E32" s="285">
        <f ca="1">+'DA-3'!E10+'DA-3'!E21</f>
        <v>0</v>
      </c>
      <c r="F32" s="285">
        <f ca="1">+'DA-3'!F10+'DA-3'!F21</f>
        <v>0</v>
      </c>
      <c r="G32" s="285">
        <f ca="1">+'DA-3'!G10+'DA-3'!G21</f>
        <v>0</v>
      </c>
      <c r="H32" s="285">
        <f ca="1">+'DA-3'!H10+'DA-3'!H21</f>
        <v>0</v>
      </c>
      <c r="I32" s="285">
        <f ca="1">+'DA-3'!I10+'DA-3'!I21</f>
        <v>0</v>
      </c>
      <c r="J32" s="42"/>
      <c r="K32" s="732"/>
      <c r="L32" s="732"/>
    </row>
    <row r="33" spans="1:12" outlineLevel="2">
      <c r="A33" s="61" t="s">
        <v>647</v>
      </c>
      <c r="B33" s="285">
        <f ca="1">+'DA-3'!B11+'DA-3'!B22</f>
        <v>0</v>
      </c>
      <c r="C33" s="285">
        <f ca="1">+'DA-3'!C11+'DA-3'!C22</f>
        <v>0</v>
      </c>
      <c r="D33" s="285">
        <f ca="1">+'DA-3'!D11+'DA-3'!D22</f>
        <v>6.4000000000000001E-2</v>
      </c>
      <c r="E33" s="285">
        <f ca="1">+'DA-3'!E11+'DA-3'!E22</f>
        <v>6.4000000000000001E-2</v>
      </c>
      <c r="F33" s="285">
        <f ca="1">+'DA-3'!F11+'DA-3'!F22</f>
        <v>6.4000000000000001E-2</v>
      </c>
      <c r="G33" s="285">
        <f ca="1">+'DA-3'!G11+'DA-3'!G22</f>
        <v>6.4000000000000001E-2</v>
      </c>
      <c r="H33" s="285">
        <f ca="1">+'DA-3'!H11+'DA-3'!H22</f>
        <v>6.4000000000000001E-2</v>
      </c>
      <c r="I33" s="285">
        <f ca="1">+'DA-3'!I11+'DA-3'!I22</f>
        <v>6.4000000000000001E-2</v>
      </c>
      <c r="J33" s="42"/>
      <c r="K33" s="21"/>
      <c r="L33" s="21"/>
    </row>
    <row r="34" spans="1:12" s="759" customFormat="1" outlineLevel="2">
      <c r="A34" s="61" t="s">
        <v>575</v>
      </c>
      <c r="B34" s="285">
        <f ca="1">+'DA-3'!B12+'DA-3'!B23</f>
        <v>0</v>
      </c>
      <c r="C34" s="285">
        <f ca="1">+'DA-3'!C12+'DA-3'!C23</f>
        <v>0</v>
      </c>
      <c r="D34" s="285">
        <f ca="1">+'DA-3'!D12+'DA-3'!D23</f>
        <v>0.26</v>
      </c>
      <c r="E34" s="285">
        <f ca="1">+'DA-3'!E12+'DA-3'!E23</f>
        <v>0.26</v>
      </c>
      <c r="F34" s="285">
        <f ca="1">+'DA-3'!F12+'DA-3'!F23</f>
        <v>0.26</v>
      </c>
      <c r="G34" s="285">
        <f ca="1">+'DA-3'!G12+'DA-3'!G23</f>
        <v>0.26</v>
      </c>
      <c r="H34" s="285">
        <f ca="1">+'DA-3'!H12+'DA-3'!H23</f>
        <v>0.26</v>
      </c>
      <c r="I34" s="285">
        <f ca="1">+'DA-3'!I12+'DA-3'!I23</f>
        <v>0.26</v>
      </c>
      <c r="J34" s="42"/>
      <c r="K34" s="732"/>
      <c r="L34" s="732"/>
    </row>
    <row r="35" spans="1:12" ht="13.5" outlineLevel="2" thickBot="1">
      <c r="A35" s="83" t="s">
        <v>70</v>
      </c>
      <c r="B35" s="285">
        <f ca="1">+'DA-3'!B13+'DA-3'!B24</f>
        <v>0</v>
      </c>
      <c r="C35" s="285">
        <f ca="1">+'DA-3'!C13+'DA-3'!C24</f>
        <v>0</v>
      </c>
      <c r="D35" s="285">
        <f ca="1">+'DA-3'!D13+'DA-3'!D24</f>
        <v>0</v>
      </c>
      <c r="E35" s="285">
        <f ca="1">+'DA-3'!E13+'DA-3'!E24</f>
        <v>0</v>
      </c>
      <c r="F35" s="285">
        <f ca="1">+'DA-3'!F13+'DA-3'!F24</f>
        <v>0</v>
      </c>
      <c r="G35" s="285">
        <f ca="1">+'DA-3'!G13+'DA-3'!G24</f>
        <v>0</v>
      </c>
      <c r="H35" s="285">
        <f ca="1">+'DA-3'!H13+'DA-3'!H24</f>
        <v>0</v>
      </c>
      <c r="I35" s="285">
        <f ca="1">+'DA-3'!I13+'DA-3'!I24</f>
        <v>0</v>
      </c>
      <c r="J35" s="93"/>
      <c r="K35" s="21"/>
      <c r="L35" s="21"/>
    </row>
    <row r="36" spans="1:12" s="87" customFormat="1" ht="20.25" customHeight="1" thickBot="1">
      <c r="A36" s="94" t="s">
        <v>128</v>
      </c>
      <c r="B36" s="294">
        <f t="shared" ref="B36:I36" ca="1" si="7">SUM(B30:B35)</f>
        <v>0</v>
      </c>
      <c r="C36" s="294">
        <f t="shared" ca="1" si="7"/>
        <v>0</v>
      </c>
      <c r="D36" s="294">
        <f t="shared" ca="1" si="7"/>
        <v>2.9838790415596987</v>
      </c>
      <c r="E36" s="294">
        <f t="shared" ca="1" si="7"/>
        <v>3.1710000000000003</v>
      </c>
      <c r="F36" s="294">
        <f t="shared" ca="1" si="7"/>
        <v>3.1710000000000003</v>
      </c>
      <c r="G36" s="294">
        <f t="shared" ca="1" si="7"/>
        <v>3.1710000000000003</v>
      </c>
      <c r="H36" s="294">
        <f t="shared" ca="1" si="7"/>
        <v>3.1710000000000003</v>
      </c>
      <c r="I36" s="294">
        <f t="shared" ca="1" si="7"/>
        <v>3.1710000000000003</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2.7914800237929607E-2</v>
      </c>
      <c r="F42" s="285">
        <f t="shared" ca="1" si="8"/>
        <v>5.3780258170222514E-2</v>
      </c>
      <c r="G42" s="285">
        <f t="shared" ca="1" si="8"/>
        <v>7.9347976120316036E-2</v>
      </c>
      <c r="H42" s="285">
        <f t="shared" ca="1" si="8"/>
        <v>0.10708689661174568</v>
      </c>
      <c r="I42" s="285">
        <f t="shared" ca="1" si="8"/>
        <v>0.13249595538086448</v>
      </c>
      <c r="K42" s="63"/>
      <c r="L42" s="63"/>
    </row>
    <row r="43" spans="1:12" outlineLevel="1">
      <c r="A43" s="61" t="s">
        <v>69</v>
      </c>
      <c r="B43" s="82"/>
      <c r="C43" s="285">
        <f t="shared" ca="1" si="8"/>
        <v>0</v>
      </c>
      <c r="D43" s="285">
        <f t="shared" ca="1" si="8"/>
        <v>0</v>
      </c>
      <c r="E43" s="285">
        <f t="shared" ca="1" si="8"/>
        <v>-3.6073858156199413E-4</v>
      </c>
      <c r="F43" s="285">
        <f t="shared" ca="1" si="8"/>
        <v>-6.9499383420279948E-4</v>
      </c>
      <c r="G43" s="285">
        <f t="shared" ca="1" si="8"/>
        <v>-1.0254014397912373E-3</v>
      </c>
      <c r="H43" s="285">
        <f t="shared" ca="1" si="8"/>
        <v>-1.3838671549978537E-3</v>
      </c>
      <c r="I43" s="285">
        <f t="shared" ca="1" si="8"/>
        <v>-1.7122244328960062E-3</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6.7903732999904779E-4</v>
      </c>
      <c r="F45" s="285">
        <f t="shared" ca="1" si="10"/>
        <v>1.3082236879111519E-3</v>
      </c>
      <c r="G45" s="285">
        <f t="shared" ca="1" si="10"/>
        <v>1.9301674160776231E-3</v>
      </c>
      <c r="H45" s="285">
        <f t="shared" ca="1" si="10"/>
        <v>2.6049264094077243E-3</v>
      </c>
      <c r="I45" s="285">
        <f t="shared" ca="1" si="10"/>
        <v>3.2230106972160116E-3</v>
      </c>
      <c r="K45" s="42"/>
      <c r="L45" s="21"/>
    </row>
    <row r="46" spans="1:12" s="759" customFormat="1" outlineLevel="1">
      <c r="A46" s="61" t="s">
        <v>575</v>
      </c>
      <c r="B46" s="82"/>
      <c r="C46" s="285">
        <f t="shared" ref="C46:I46" ca="1" si="11">+C102</f>
        <v>0</v>
      </c>
      <c r="D46" s="285">
        <f t="shared" ca="1" si="11"/>
        <v>0</v>
      </c>
      <c r="E46" s="285">
        <f t="shared" ca="1" si="11"/>
        <v>2.7585891531211318E-3</v>
      </c>
      <c r="F46" s="285">
        <f t="shared" ca="1" si="11"/>
        <v>5.314658732139055E-3</v>
      </c>
      <c r="G46" s="285">
        <f t="shared" ca="1" si="11"/>
        <v>7.8413051278153432E-3</v>
      </c>
      <c r="H46" s="285">
        <f t="shared" ca="1" si="11"/>
        <v>1.0582513538218881E-2</v>
      </c>
      <c r="I46" s="285">
        <f t="shared" ca="1" si="11"/>
        <v>1.3093480957440047E-2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3.0991688139487793E-2</v>
      </c>
      <c r="F48" s="294">
        <f t="shared" ca="1" si="13"/>
        <v>5.9708146756069919E-2</v>
      </c>
      <c r="G48" s="294">
        <f t="shared" ca="1" si="13"/>
        <v>8.8094047224417771E-2</v>
      </c>
      <c r="H48" s="294">
        <f t="shared" ca="1" si="13"/>
        <v>0.11889046940437442</v>
      </c>
      <c r="I48" s="294">
        <f t="shared" ca="1" si="13"/>
        <v>0.14710022260262451</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5.7054903120919688E-2</v>
      </c>
      <c r="F53" s="285">
        <f t="shared" ca="1" si="14"/>
        <v>0.11645603823898538</v>
      </c>
      <c r="G53" s="285">
        <f t="shared" ca="1" si="14"/>
        <v>0.18157133562187419</v>
      </c>
      <c r="H53" s="285">
        <f t="shared" ca="1" si="14"/>
        <v>0.24955447774632783</v>
      </c>
      <c r="I53" s="285">
        <f t="shared" ca="1" si="14"/>
        <v>0.32011933862232578</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3.2339518664998836E-4</v>
      </c>
      <c r="F56" s="285">
        <f t="shared" ca="1" si="16"/>
        <v>6.5471494247129158E-4</v>
      </c>
      <c r="G56" s="285">
        <f t="shared" ca="1" si="16"/>
        <v>1.2602699844459604E-3</v>
      </c>
      <c r="H56" s="285">
        <f t="shared" ca="1" si="16"/>
        <v>1.9858881473444772E-3</v>
      </c>
      <c r="I56" s="285">
        <f t="shared" ca="1" si="16"/>
        <v>2.8696585032771216E-3</v>
      </c>
      <c r="K56" s="42"/>
      <c r="L56" s="21"/>
    </row>
    <row r="57" spans="1:12" s="759" customFormat="1" outlineLevel="1">
      <c r="A57" s="61" t="s">
        <v>575</v>
      </c>
      <c r="B57" s="285"/>
      <c r="C57" s="285">
        <f t="shared" ref="C57:I57" ca="1" si="17">+C138</f>
        <v>0</v>
      </c>
      <c r="D57" s="285">
        <f t="shared" ca="1" si="17"/>
        <v>0</v>
      </c>
      <c r="E57" s="285">
        <f t="shared" ca="1" si="17"/>
        <v>5.6382648466131195E-3</v>
      </c>
      <c r="F57" s="285">
        <f t="shared" ca="1" si="17"/>
        <v>1.1508388423464917E-2</v>
      </c>
      <c r="G57" s="285">
        <f t="shared" ca="1" si="17"/>
        <v>1.7943195462442909E-2</v>
      </c>
      <c r="H57" s="285">
        <f t="shared" ca="1" si="17"/>
        <v>2.4661407911077626E-2</v>
      </c>
      <c r="I57" s="285">
        <f t="shared" ca="1" si="17"/>
        <v>3.1634750300951996E-2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6.3016563154182803E-2</v>
      </c>
      <c r="F59" s="287">
        <f t="shared" ca="1" si="19"/>
        <v>0.12861914160492161</v>
      </c>
      <c r="G59" s="287">
        <f t="shared" ca="1" si="19"/>
        <v>0.20077480106876305</v>
      </c>
      <c r="H59" s="287">
        <f t="shared" ca="1" si="19"/>
        <v>0.27620177380474992</v>
      </c>
      <c r="I59" s="287">
        <f t="shared" ca="1" si="19"/>
        <v>0.35462374742655489</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2.6938790415596983</v>
      </c>
      <c r="E64" s="285">
        <f t="shared" ca="1" si="20"/>
        <v>2.9659697033588497</v>
      </c>
      <c r="F64" s="285">
        <f t="shared" ca="1" si="20"/>
        <v>3.0512362964092081</v>
      </c>
      <c r="G64" s="285">
        <f t="shared" ca="1" si="20"/>
        <v>3.1419193117421904</v>
      </c>
      <c r="H64" s="285">
        <f t="shared" ca="1" si="20"/>
        <v>3.2376413743580734</v>
      </c>
      <c r="I64" s="285">
        <f t="shared" ca="1" si="20"/>
        <v>3.3336152940031907</v>
      </c>
      <c r="K64" s="63"/>
      <c r="L64" s="63"/>
    </row>
    <row r="65" spans="1:20" ht="12.75" customHeight="1" outlineLevel="1">
      <c r="A65" s="61" t="s">
        <v>69</v>
      </c>
      <c r="B65" s="285">
        <f t="shared" ca="1" si="20"/>
        <v>0</v>
      </c>
      <c r="C65" s="285">
        <f t="shared" ca="1" si="20"/>
        <v>0</v>
      </c>
      <c r="D65" s="285">
        <f t="shared" ca="1" si="20"/>
        <v>-3.4000000000000002E-2</v>
      </c>
      <c r="E65" s="285">
        <f t="shared" ca="1" si="20"/>
        <v>-3.4360738581561995E-2</v>
      </c>
      <c r="F65" s="285">
        <f t="shared" ca="1" si="20"/>
        <v>-3.4694993834202804E-2</v>
      </c>
      <c r="G65" s="285">
        <f t="shared" ca="1" si="20"/>
        <v>-3.5025401439791243E-2</v>
      </c>
      <c r="H65" s="285">
        <f t="shared" ca="1" si="20"/>
        <v>-3.5383867154997854E-2</v>
      </c>
      <c r="I65" s="285">
        <f t="shared" ca="1" si="20"/>
        <v>-3.5712224432896011E-2</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6.4000000000000001E-2</v>
      </c>
      <c r="E67" s="285">
        <f t="shared" ca="1" si="22"/>
        <v>6.5002432516649042E-2</v>
      </c>
      <c r="F67" s="285">
        <f t="shared" ca="1" si="22"/>
        <v>6.5962938630382453E-2</v>
      </c>
      <c r="G67" s="285">
        <f t="shared" ca="1" si="22"/>
        <v>6.7190437400523592E-2</v>
      </c>
      <c r="H67" s="285">
        <f t="shared" ca="1" si="22"/>
        <v>6.85908145567522E-2</v>
      </c>
      <c r="I67" s="285">
        <f t="shared" ca="1" si="22"/>
        <v>7.0092669200493132E-2</v>
      </c>
      <c r="K67" s="42"/>
      <c r="L67" s="21"/>
    </row>
    <row r="68" spans="1:20" s="759" customFormat="1" ht="12.75" customHeight="1" outlineLevel="1">
      <c r="A68" s="61" t="s">
        <v>575</v>
      </c>
      <c r="B68" s="285">
        <f t="shared" ref="B68:I68" ca="1" si="23">+B46+B34+B57</f>
        <v>0</v>
      </c>
      <c r="C68" s="285">
        <f t="shared" ca="1" si="23"/>
        <v>0</v>
      </c>
      <c r="D68" s="285">
        <f t="shared" ca="1" si="23"/>
        <v>0.26</v>
      </c>
      <c r="E68" s="285">
        <f t="shared" ca="1" si="23"/>
        <v>0.26839685399973423</v>
      </c>
      <c r="F68" s="285">
        <f t="shared" ca="1" si="23"/>
        <v>0.27682304715560396</v>
      </c>
      <c r="G68" s="285">
        <f t="shared" ca="1" si="23"/>
        <v>0.28578450059025823</v>
      </c>
      <c r="H68" s="285">
        <f t="shared" ca="1" si="23"/>
        <v>0.29524392144929651</v>
      </c>
      <c r="I68" s="285">
        <f t="shared" ca="1" si="23"/>
        <v>0.30472823125839205</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2.9838790415596987</v>
      </c>
      <c r="E70" s="295">
        <f t="shared" ca="1" si="25"/>
        <v>3.2650082512936707</v>
      </c>
      <c r="F70" s="295">
        <f t="shared" ca="1" si="25"/>
        <v>3.3593272883609919</v>
      </c>
      <c r="G70" s="295">
        <f t="shared" ca="1" si="25"/>
        <v>3.4598688482931808</v>
      </c>
      <c r="H70" s="295">
        <f t="shared" ca="1" si="25"/>
        <v>3.5660922432091242</v>
      </c>
      <c r="I70" s="295">
        <f t="shared" ca="1" si="25"/>
        <v>3.6727239700291796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2.7914800237929607E-2</v>
      </c>
      <c r="Q77" s="285">
        <f ca="1">IF($B77&lt;&gt;0,(+VLOOKUP($B77,$A$8:$I$13,6,FALSE))*(F77),0)</f>
        <v>5.3780258170222514E-2</v>
      </c>
      <c r="R77" s="285">
        <f ca="1">IF($B77&lt;&gt;0,(+VLOOKUP($B77,$A$8:$I$13,7,FALSE))*(G77),0)</f>
        <v>7.9347976120316036E-2</v>
      </c>
      <c r="S77" s="285">
        <f ca="1">IF($B77&lt;&gt;0,(+VLOOKUP($B77,$A$8:$I$13,8,FALSE))*(H77),0)</f>
        <v>0.10708689661174568</v>
      </c>
      <c r="T77" s="285">
        <f ca="1">IF($B77&lt;&gt;0,(+VLOOKUP($B77,$A$8:$I$13,9,FALSE))*(I77),0)</f>
        <v>0.13249595538086448</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-3.6073858156199413E-4</v>
      </c>
      <c r="Q78" s="285">
        <f ca="1">IF($B78&lt;&gt;0,(+VLOOKUP($B78,$A$8:$I$13,6,FALSE))*(F78),0)</f>
        <v>-6.9499383420279948E-4</v>
      </c>
      <c r="R78" s="285">
        <f ca="1">IF($B78&lt;&gt;0,(+VLOOKUP($B78,$A$8:$I$13,7,FALSE))*(G78),0)</f>
        <v>-1.0254014397912373E-3</v>
      </c>
      <c r="S78" s="285">
        <f ca="1">IF($B78&lt;&gt;0,(+VLOOKUP($B78,$A$8:$I$13,8,FALSE))*(H78),0)</f>
        <v>-1.3838671549978537E-3</v>
      </c>
      <c r="T78" s="285">
        <f ca="1">IF($B78&lt;&gt;0,(+VLOOKUP($B78,$A$8:$I$13,9,FALSE))*(I78),0)</f>
        <v>-1.7122244328960062E-3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6.7903732999904779E-4</v>
      </c>
      <c r="Q80" s="285">
        <f t="shared" ca="1" si="34"/>
        <v>1.3082236879111519E-3</v>
      </c>
      <c r="R80" s="285">
        <f t="shared" ca="1" si="35"/>
        <v>1.9301674160776231E-3</v>
      </c>
      <c r="S80" s="285">
        <f t="shared" ca="1" si="36"/>
        <v>2.6049264094077243E-3</v>
      </c>
      <c r="T80" s="285">
        <f t="shared" ca="1" si="37"/>
        <v>3.2230106972160116E-3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2.7585891531211318E-3</v>
      </c>
      <c r="Q81" s="285">
        <f ca="1">IF($B81&lt;&gt;0,(+VLOOKUP($B81,$A$8:$I$13,6,FALSE))*(F81),0)</f>
        <v>5.314658732139055E-3</v>
      </c>
      <c r="R81" s="285">
        <f ca="1">IF($B81&lt;&gt;0,(+VLOOKUP($B81,$A$8:$I$13,7,FALSE))*(G81),0)</f>
        <v>7.8413051278153432E-3</v>
      </c>
      <c r="S81" s="285">
        <f ca="1">IF($B81&lt;&gt;0,(+VLOOKUP($B81,$A$8:$I$13,8,FALSE))*(H81),0)</f>
        <v>1.0582513538218881E-2</v>
      </c>
      <c r="T81" s="285">
        <f ca="1">IF($B81&lt;&gt;0,(+VLOOKUP($B81,$A$8:$I$13,9,FALSE))*(I81),0)</f>
        <v>1.3093480957440047E-2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3.0991688139487793E-2</v>
      </c>
      <c r="Q83" s="292">
        <f t="shared" ca="1" si="51"/>
        <v>5.9708146756069919E-2</v>
      </c>
      <c r="R83" s="292">
        <f t="shared" ca="1" si="51"/>
        <v>8.8094047224417771E-2</v>
      </c>
      <c r="S83" s="292">
        <f t="shared" ca="1" si="51"/>
        <v>0.11889046940437442</v>
      </c>
      <c r="T83" s="292">
        <f t="shared" ca="1" si="51"/>
        <v>0.14710022260262451</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2.7914800237929607E-2</v>
      </c>
      <c r="F98" s="285">
        <f t="shared" ca="1" si="54"/>
        <v>5.3780258170222514E-2</v>
      </c>
      <c r="G98" s="285">
        <f t="shared" ca="1" si="54"/>
        <v>7.9347976120316036E-2</v>
      </c>
      <c r="H98" s="285">
        <f t="shared" ca="1" si="54"/>
        <v>0.10708689661174568</v>
      </c>
      <c r="I98" s="285">
        <f t="shared" ca="1" si="54"/>
        <v>0.13249595538086448</v>
      </c>
    </row>
    <row r="99" spans="1:20" outlineLevel="1">
      <c r="A99" s="61" t="s">
        <v>69</v>
      </c>
      <c r="B99" s="119"/>
      <c r="C99" s="285">
        <f t="shared" ref="C99:I99" ca="1" si="55">+C9*(C87)</f>
        <v>0</v>
      </c>
      <c r="D99" s="285">
        <f t="shared" ca="1" si="55"/>
        <v>0</v>
      </c>
      <c r="E99" s="285">
        <f t="shared" ca="1" si="55"/>
        <v>-3.6073858156199413E-4</v>
      </c>
      <c r="F99" s="285">
        <f t="shared" ca="1" si="55"/>
        <v>-6.9499383420279948E-4</v>
      </c>
      <c r="G99" s="285">
        <f t="shared" ca="1" si="55"/>
        <v>-1.0254014397912373E-3</v>
      </c>
      <c r="H99" s="285">
        <f t="shared" ca="1" si="55"/>
        <v>-1.3838671549978537E-3</v>
      </c>
      <c r="I99" s="285">
        <f t="shared" ca="1" si="55"/>
        <v>-1.7122244328960062E-3</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6.7903732999904779E-4</v>
      </c>
      <c r="F101" s="285">
        <f t="shared" ca="1" si="57"/>
        <v>1.3082236879111519E-3</v>
      </c>
      <c r="G101" s="285">
        <f t="shared" ca="1" si="57"/>
        <v>1.9301674160776231E-3</v>
      </c>
      <c r="H101" s="285">
        <f t="shared" ca="1" si="57"/>
        <v>2.6049264094077243E-3</v>
      </c>
      <c r="I101" s="285">
        <f t="shared" ca="1" si="57"/>
        <v>3.2230106972160116E-3</v>
      </c>
    </row>
    <row r="102" spans="1:20" s="759" customFormat="1" outlineLevel="1">
      <c r="A102" s="61" t="s">
        <v>575</v>
      </c>
      <c r="B102" s="119"/>
      <c r="C102" s="285">
        <f t="shared" ref="C102:I102" ca="1" si="58">+C12*(C90)</f>
        <v>0</v>
      </c>
      <c r="D102" s="285">
        <f t="shared" ca="1" si="58"/>
        <v>0</v>
      </c>
      <c r="E102" s="285">
        <f t="shared" ca="1" si="58"/>
        <v>2.7585891531211318E-3</v>
      </c>
      <c r="F102" s="285">
        <f t="shared" ca="1" si="58"/>
        <v>5.314658732139055E-3</v>
      </c>
      <c r="G102" s="285">
        <f t="shared" ca="1" si="58"/>
        <v>7.8413051278153432E-3</v>
      </c>
      <c r="H102" s="285">
        <f t="shared" ca="1" si="58"/>
        <v>1.0582513538218881E-2</v>
      </c>
      <c r="I102" s="285">
        <f t="shared" ca="1" si="58"/>
        <v>1.3093480957440047E-2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3.0991688139487793E-2</v>
      </c>
      <c r="F104" s="296">
        <f t="shared" ca="1" si="60"/>
        <v>5.9708146756069919E-2</v>
      </c>
      <c r="G104" s="296">
        <f t="shared" ca="1" si="60"/>
        <v>8.8094047224417771E-2</v>
      </c>
      <c r="H104" s="296">
        <f t="shared" ca="1" si="60"/>
        <v>0.11889046940437442</v>
      </c>
      <c r="I104" s="296">
        <f t="shared" ca="1" si="60"/>
        <v>0.14710022260262451</v>
      </c>
    </row>
    <row r="105" spans="1:20" ht="13.5" outlineLevel="1" thickBot="1">
      <c r="A105" s="122" t="s">
        <v>143</v>
      </c>
      <c r="B105" s="123"/>
      <c r="C105" s="124">
        <f t="shared" ref="C105:I105" ca="1" si="61">IF(C36&lt;&gt;0,+C104/C36,0)</f>
        <v>0</v>
      </c>
      <c r="D105" s="124">
        <f t="shared" ca="1" si="61"/>
        <v>0</v>
      </c>
      <c r="E105" s="124">
        <f t="shared" ca="1" si="61"/>
        <v>9.7734746576751148E-3</v>
      </c>
      <c r="F105" s="124">
        <f t="shared" ca="1" si="61"/>
        <v>1.882943763988329E-2</v>
      </c>
      <c r="G105" s="124">
        <f t="shared" ca="1" si="61"/>
        <v>2.7781156488305824E-2</v>
      </c>
      <c r="H105" s="124">
        <f t="shared" ca="1" si="61"/>
        <v>3.7493052476939265E-2</v>
      </c>
      <c r="I105" s="124">
        <f t="shared" ca="1" si="61"/>
        <v>4.6389221886668087E-2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5.7054903120919688E-2</v>
      </c>
      <c r="Q113" s="285">
        <f ca="1">IF($B113&lt;&gt;0,(+VLOOKUP($B113,$A$8:$I$13,6,FALSE)+VLOOKUP($B113,$A$42:$I$47,6,FALSE))*(F113),0)</f>
        <v>0.11645603823898538</v>
      </c>
      <c r="R113" s="285">
        <f ca="1">IF($B113&lt;&gt;0,(+VLOOKUP($B113,$A$8:$I$13,7,FALSE)+VLOOKUP($B113,$A$42:$I$47,7,FALSE))*(G113),0)</f>
        <v>0.18157133562187419</v>
      </c>
      <c r="S113" s="285">
        <f ca="1">IF($B113&lt;&gt;0,(+VLOOKUP($B113,$A$8:$I$13,8,FALSE)+VLOOKUP($B113,$A$42:$I$47,8,FALSE))*(H113),0)</f>
        <v>0.24955447774632783</v>
      </c>
      <c r="T113" s="285">
        <f ca="1">IF($B113&lt;&gt;0,(+VLOOKUP($B113,$A$8:$I$13,9,FALSE)+VLOOKUP($B113,$A$42:$I$47,9,FALSE))*(I113),0)</f>
        <v>0.32011933862232578</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3.2339518664998836E-4</v>
      </c>
      <c r="Q116" s="285">
        <f t="shared" ca="1" si="68"/>
        <v>6.5471494247129158E-4</v>
      </c>
      <c r="R116" s="285">
        <f t="shared" ca="1" si="69"/>
        <v>1.2602699844459604E-3</v>
      </c>
      <c r="S116" s="285">
        <f t="shared" ca="1" si="70"/>
        <v>1.9858881473444772E-3</v>
      </c>
      <c r="T116" s="285">
        <f t="shared" ca="1" si="71"/>
        <v>2.8696585032771216E-3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5.6382648466131195E-3</v>
      </c>
      <c r="Q117" s="285">
        <f t="shared" ca="1" si="68"/>
        <v>1.1508388423464917E-2</v>
      </c>
      <c r="R117" s="285">
        <f t="shared" ca="1" si="69"/>
        <v>1.7943195462442909E-2</v>
      </c>
      <c r="S117" s="285">
        <f t="shared" ca="1" si="70"/>
        <v>2.4661407911077626E-2</v>
      </c>
      <c r="T117" s="285">
        <f t="shared" ca="1" si="71"/>
        <v>3.1634750300951996E-2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6.3016563154182803E-2</v>
      </c>
      <c r="Q119" s="292">
        <f t="shared" ca="1" si="72"/>
        <v>0.12861914160492161</v>
      </c>
      <c r="R119" s="292">
        <f t="shared" ca="1" si="72"/>
        <v>0.20077480106876305</v>
      </c>
      <c r="S119" s="292">
        <f t="shared" ca="1" si="72"/>
        <v>0.27620177380474992</v>
      </c>
      <c r="T119" s="292">
        <f t="shared" ca="1" si="72"/>
        <v>0.35462374742655489</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5.7054903120919688E-2</v>
      </c>
      <c r="F134" s="285">
        <f t="shared" ca="1" si="75"/>
        <v>0.11645603823898538</v>
      </c>
      <c r="G134" s="285">
        <f t="shared" ca="1" si="75"/>
        <v>0.18157133562187419</v>
      </c>
      <c r="H134" s="285">
        <f t="shared" ca="1" si="75"/>
        <v>0.24955447774632783</v>
      </c>
      <c r="I134" s="285">
        <f t="shared" ca="1" si="75"/>
        <v>0.32011933862232578</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3.2339518664998836E-4</v>
      </c>
      <c r="F137" s="285">
        <f t="shared" ca="1" si="78"/>
        <v>6.5471494247129158E-4</v>
      </c>
      <c r="G137" s="285">
        <f t="shared" ca="1" si="78"/>
        <v>1.2602699844459604E-3</v>
      </c>
      <c r="H137" s="285">
        <f t="shared" ca="1" si="78"/>
        <v>1.9858881473444772E-3</v>
      </c>
      <c r="I137" s="285">
        <f t="shared" ca="1" si="78"/>
        <v>2.8696585032771216E-3</v>
      </c>
    </row>
    <row r="138" spans="1:16" s="759" customFormat="1" outlineLevel="1">
      <c r="A138" s="61" t="s">
        <v>575</v>
      </c>
      <c r="B138" s="119"/>
      <c r="C138" s="285">
        <f ca="1">(+C12+C46)*(C$126)</f>
        <v>0</v>
      </c>
      <c r="D138" s="285">
        <f t="shared" ref="D138:I138" ca="1" si="79">(+D12+D46)*(D$126)</f>
        <v>0</v>
      </c>
      <c r="E138" s="285">
        <f t="shared" ca="1" si="79"/>
        <v>5.6382648466131195E-3</v>
      </c>
      <c r="F138" s="285">
        <f t="shared" ca="1" si="79"/>
        <v>1.1508388423464917E-2</v>
      </c>
      <c r="G138" s="285">
        <f t="shared" ca="1" si="79"/>
        <v>1.7943195462442909E-2</v>
      </c>
      <c r="H138" s="285">
        <f t="shared" ca="1" si="79"/>
        <v>2.4661407911077626E-2</v>
      </c>
      <c r="I138" s="285">
        <f t="shared" ca="1" si="79"/>
        <v>3.1634750300951996E-2</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6.3016563154182803E-2</v>
      </c>
      <c r="F140" s="296">
        <f t="shared" ca="1" si="81"/>
        <v>0.12861914160492161</v>
      </c>
      <c r="G140" s="296">
        <f t="shared" ca="1" si="81"/>
        <v>0.20077480106876305</v>
      </c>
      <c r="H140" s="296">
        <f t="shared" ca="1" si="81"/>
        <v>0.27620177380474992</v>
      </c>
      <c r="I140" s="296">
        <f t="shared" ca="1" si="81"/>
        <v>0.35462374742655489</v>
      </c>
    </row>
    <row r="141" spans="1:16" ht="13.5" outlineLevel="1" thickBot="1">
      <c r="A141" s="122" t="s">
        <v>148</v>
      </c>
      <c r="B141" s="126"/>
      <c r="C141" s="124">
        <f t="shared" ref="C141:I141" ca="1" si="82">IF((+C36+C48)&lt;&gt;0,+C140/(+C36+C48),0)</f>
        <v>0</v>
      </c>
      <c r="D141" s="124">
        <f t="shared" ca="1" si="82"/>
        <v>0</v>
      </c>
      <c r="E141" s="124">
        <f t="shared" ca="1" si="82"/>
        <v>1.9680426837959241E-2</v>
      </c>
      <c r="F141" s="124">
        <f t="shared" ca="1" si="82"/>
        <v>3.9811439400388768E-2</v>
      </c>
      <c r="G141" s="124">
        <f t="shared" ca="1" si="82"/>
        <v>6.1604482153484144E-2</v>
      </c>
      <c r="H141" s="124">
        <f t="shared" ca="1" si="82"/>
        <v>8.3954701949319144E-2</v>
      </c>
      <c r="I141" s="124">
        <f t="shared" ca="1" si="82"/>
        <v>0.10687553830076837</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6.2879041559697882E-2</v>
      </c>
      <c r="E149" s="285">
        <f t="shared" si="84"/>
        <v>0.25</v>
      </c>
      <c r="F149" s="285">
        <f t="shared" si="84"/>
        <v>0.25</v>
      </c>
      <c r="G149" s="285">
        <f t="shared" si="84"/>
        <v>0.25</v>
      </c>
      <c r="H149" s="285">
        <f t="shared" si="84"/>
        <v>0.25</v>
      </c>
      <c r="I149" s="285">
        <f t="shared" si="84"/>
        <v>0.25</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6.2879041559697882E-2</v>
      </c>
      <c r="E155" s="296">
        <f t="shared" si="86"/>
        <v>0.25</v>
      </c>
      <c r="F155" s="296">
        <f t="shared" si="86"/>
        <v>0.25</v>
      </c>
      <c r="G155" s="296">
        <f t="shared" si="86"/>
        <v>0.25</v>
      </c>
      <c r="H155" s="296">
        <f t="shared" si="86"/>
        <v>0.25</v>
      </c>
      <c r="I155" s="296">
        <f t="shared" si="86"/>
        <v>0.25</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6.2879041559697882E-2</v>
      </c>
      <c r="E160" s="285">
        <f t="shared" ca="1" si="88"/>
        <v>0.25</v>
      </c>
      <c r="F160" s="285">
        <f t="shared" ca="1" si="88"/>
        <v>0.25</v>
      </c>
      <c r="G160" s="285">
        <f t="shared" ca="1" si="88"/>
        <v>0.25</v>
      </c>
      <c r="H160" s="285">
        <f t="shared" ca="1" si="88"/>
        <v>0.25</v>
      </c>
      <c r="I160" s="285">
        <f t="shared" ca="1" si="88"/>
        <v>0.25</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6.2879041559697882E-2</v>
      </c>
      <c r="E170" s="296">
        <f t="shared" ca="1" si="93"/>
        <v>0.25</v>
      </c>
      <c r="F170" s="296">
        <f t="shared" ca="1" si="93"/>
        <v>0.25</v>
      </c>
      <c r="G170" s="296">
        <f t="shared" ca="1" si="93"/>
        <v>0.25</v>
      </c>
      <c r="H170" s="296">
        <f t="shared" ca="1" si="93"/>
        <v>0.25</v>
      </c>
      <c r="I170" s="296">
        <f t="shared" ca="1" si="93"/>
        <v>0.25</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v>6.2879041559697882E-2</v>
      </c>
      <c r="E185" s="285">
        <f t="array" ref="E185:I190">'[3]TOTAL (SEM)'!$O$16:$S$21</f>
        <v>0.25</v>
      </c>
      <c r="F185" s="285">
        <v>0.25</v>
      </c>
      <c r="G185" s="285">
        <v>0.25</v>
      </c>
      <c r="H185" s="285">
        <v>0.25</v>
      </c>
      <c r="I185" s="285">
        <v>0.25</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6.2879041559697882E-2</v>
      </c>
      <c r="E191" s="296">
        <f t="shared" si="94"/>
        <v>0.25</v>
      </c>
      <c r="F191" s="296">
        <f t="shared" si="94"/>
        <v>0.25</v>
      </c>
      <c r="G191" s="296">
        <f t="shared" si="94"/>
        <v>0.25</v>
      </c>
      <c r="H191" s="296">
        <f t="shared" si="94"/>
        <v>0.25</v>
      </c>
      <c r="I191" s="296">
        <f t="shared" si="94"/>
        <v>0.25</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2.9210000000000003</v>
      </c>
      <c r="E205" s="82">
        <f t="shared" ca="1" si="95"/>
        <v>2.9210000000000003</v>
      </c>
      <c r="F205" s="82">
        <f t="shared" ca="1" si="95"/>
        <v>2.9210000000000003</v>
      </c>
      <c r="G205" s="82">
        <f t="shared" ca="1" si="95"/>
        <v>2.9210000000000003</v>
      </c>
      <c r="H205" s="82">
        <f t="shared" ca="1" si="95"/>
        <v>2.9210000000000003</v>
      </c>
      <c r="I205" s="82">
        <f t="shared" ca="1" si="95"/>
        <v>2.9210000000000003</v>
      </c>
    </row>
    <row r="206" spans="1:9" outlineLevel="1">
      <c r="A206" t="s">
        <v>156</v>
      </c>
      <c r="B206" s="82">
        <f t="shared" ref="B206:I206" ca="1" si="96">+B36</f>
        <v>0</v>
      </c>
      <c r="C206" s="82">
        <f t="shared" ca="1" si="96"/>
        <v>0</v>
      </c>
      <c r="D206" s="82">
        <f t="shared" ca="1" si="96"/>
        <v>2.9838790415596987</v>
      </c>
      <c r="E206" s="82">
        <f t="shared" ca="1" si="96"/>
        <v>3.1710000000000003</v>
      </c>
      <c r="F206" s="82">
        <f t="shared" ca="1" si="96"/>
        <v>3.1710000000000003</v>
      </c>
      <c r="G206" s="82">
        <f t="shared" ca="1" si="96"/>
        <v>3.1710000000000003</v>
      </c>
      <c r="H206" s="82">
        <f t="shared" ca="1" si="96"/>
        <v>3.1710000000000003</v>
      </c>
      <c r="I206" s="82">
        <f t="shared" ca="1" si="96"/>
        <v>3.1710000000000003</v>
      </c>
    </row>
    <row r="207" spans="1:9" outlineLevel="1">
      <c r="A207" t="s">
        <v>157</v>
      </c>
      <c r="B207" s="82">
        <f t="shared" ref="B207:I207" ca="1" si="97">+B36+B48</f>
        <v>0</v>
      </c>
      <c r="C207" s="82">
        <f t="shared" ca="1" si="97"/>
        <v>0</v>
      </c>
      <c r="D207" s="82">
        <f t="shared" ca="1" si="97"/>
        <v>2.9838790415596987</v>
      </c>
      <c r="E207" s="82">
        <f t="shared" ca="1" si="97"/>
        <v>3.2019916881394881</v>
      </c>
      <c r="F207" s="82">
        <f t="shared" ca="1" si="97"/>
        <v>3.2307081467560703</v>
      </c>
      <c r="G207" s="82">
        <f t="shared" ca="1" si="97"/>
        <v>3.2590940472244179</v>
      </c>
      <c r="H207" s="82">
        <f t="shared" ca="1" si="97"/>
        <v>3.2898904694043747</v>
      </c>
      <c r="I207" s="82">
        <f t="shared" ca="1" si="97"/>
        <v>3.3181002226026246</v>
      </c>
    </row>
    <row r="208" spans="1:9" outlineLevel="1">
      <c r="A208" t="s">
        <v>158</v>
      </c>
      <c r="B208" s="82">
        <f t="shared" ref="B208:I208" ca="1" si="98">+B70</f>
        <v>0</v>
      </c>
      <c r="C208" s="82">
        <f t="shared" ca="1" si="98"/>
        <v>0</v>
      </c>
      <c r="D208" s="82">
        <f t="shared" ca="1" si="98"/>
        <v>2.9838790415596987</v>
      </c>
      <c r="E208" s="82">
        <f t="shared" ca="1" si="98"/>
        <v>3.2650082512936707</v>
      </c>
      <c r="F208" s="82">
        <f t="shared" ca="1" si="98"/>
        <v>3.3593272883609919</v>
      </c>
      <c r="G208" s="82">
        <f t="shared" ca="1" si="98"/>
        <v>3.4598688482931808</v>
      </c>
      <c r="H208" s="82">
        <f t="shared" ca="1" si="98"/>
        <v>3.5660922432091242</v>
      </c>
      <c r="I208" s="82">
        <f t="shared" ca="1" si="98"/>
        <v>3.6727239700291796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65" priority="1" stopIfTrue="1" operator="notEqual">
      <formula>0</formula>
    </cfRule>
  </conditionalFormatting>
  <conditionalFormatting sqref="J130 J94 J70 J59 J48 J36:J37 J14 J25">
    <cfRule type="cellIs" dxfId="164" priority="2" stopIfTrue="1" operator="equal">
      <formula>"OK"</formula>
    </cfRule>
    <cfRule type="cellIs" dxfId="163" priority="3" stopIfTrue="1" operator="equal">
      <formula>"Warning Check Escalations"</formula>
    </cfRule>
  </conditionalFormatting>
  <conditionalFormatting sqref="N120:T120 N84:T84">
    <cfRule type="cellIs" dxfId="162" priority="4" stopIfTrue="1" operator="notEqual">
      <formula>0</formula>
    </cfRule>
    <cfRule type="cellIs" dxfId="16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5"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8.xml><?xml version="1.0" encoding="utf-8"?>
<worksheet xmlns="http://schemas.openxmlformats.org/spreadsheetml/2006/main" xmlns:r="http://schemas.openxmlformats.org/officeDocument/2006/relationships">
  <sheetPr codeName="Sheet21" enableFormatConditionsCalculation="0">
    <tabColor indexed="17"/>
    <pageSetUpPr fitToPage="1"/>
  </sheetPr>
  <dimension ref="A1:T239"/>
  <sheetViews>
    <sheetView showGridLines="0" topLeftCell="A73"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4</v>
      </c>
      <c r="M1" s="282"/>
      <c r="N1" s="280"/>
      <c r="O1" s="280"/>
      <c r="P1" s="280"/>
      <c r="Q1" s="280"/>
      <c r="R1" s="280"/>
      <c r="S1" s="280"/>
      <c r="T1" s="280"/>
    </row>
    <row r="2" spans="1:20" ht="15.75">
      <c r="A2" s="184" t="s">
        <v>121</v>
      </c>
      <c r="B2" s="74" t="str">
        <f ca="1">OFFSET(List_DAOpexStart,+$K$1,1)</f>
        <v>Standards Development and Maintenance</v>
      </c>
      <c r="F2" s="284"/>
      <c r="H2" s="42"/>
      <c r="I2" s="283"/>
      <c r="L2" s="282"/>
      <c r="M2" s="282"/>
    </row>
    <row r="3" spans="1:20" ht="16.5" thickBot="1">
      <c r="A3" s="184" t="s">
        <v>371</v>
      </c>
      <c r="B3" s="236" t="str">
        <f ca="1">OFFSET(List_DAOpexStart,+$K$1,2)</f>
        <v>Jehad Ali</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0.64500000000000002</v>
      </c>
      <c r="E8" s="285">
        <f ca="1">OFFSET(Future_DAOpexStart,MATCH($K$1,'I-5 Future DA'!$A$6:$A$222)+2,+'I-5 Future DA'!F$5)</f>
        <v>0.64500000000000002</v>
      </c>
      <c r="F8" s="285">
        <f ca="1">OFFSET(Future_DAOpexStart,MATCH($K$1,'I-5 Future DA'!$A$6:$A$222)+2,+'I-5 Future DA'!G$5)</f>
        <v>0.64500000000000002</v>
      </c>
      <c r="G8" s="285">
        <f ca="1">OFFSET(Future_DAOpexStart,MATCH($K$1,'I-5 Future DA'!$A$6:$A$222)+2,+'I-5 Future DA'!H$5)</f>
        <v>0.64500000000000002</v>
      </c>
      <c r="H8" s="285">
        <f ca="1">OFFSET(Future_DAOpexStart,MATCH($K$1,'I-5 Future DA'!$A$6:$A$222)+2,+'I-5 Future DA'!I$5)</f>
        <v>0.64500000000000002</v>
      </c>
      <c r="I8" s="285">
        <f ca="1">OFFSET(Future_DAOpexStart,MATCH($K$1,'I-5 Future DA'!$A$6:$A$222)+2,+'I-5 Future DA'!J$5)</f>
        <v>0.64500000000000002</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1.7999999999999999E-2</v>
      </c>
      <c r="E9" s="285">
        <f ca="1">OFFSET(Future_DAOpexStart,MATCH($K$1,'I-5 Future DA'!$A$6:$A$222)+3,+'I-5 Future DA'!F$5)</f>
        <v>1.7999999999999999E-2</v>
      </c>
      <c r="F9" s="285">
        <f ca="1">OFFSET(Future_DAOpexStart,MATCH($K$1,'I-5 Future DA'!$A$6:$A$222)+3,+'I-5 Future DA'!G$5)</f>
        <v>1.7999999999999999E-2</v>
      </c>
      <c r="G9" s="285">
        <f ca="1">OFFSET(Future_DAOpexStart,MATCH($K$1,'I-5 Future DA'!$A$6:$A$222)+3,+'I-5 Future DA'!H$5)</f>
        <v>1.7999999999999999E-2</v>
      </c>
      <c r="H9" s="285">
        <f ca="1">OFFSET(Future_DAOpexStart,MATCH($K$1,'I-5 Future DA'!$A$6:$A$222)+3,+'I-5 Future DA'!I$5)</f>
        <v>1.7999999999999999E-2</v>
      </c>
      <c r="I9" s="285">
        <f ca="1">OFFSET(Future_DAOpexStart,MATCH($K$1,'I-5 Future DA'!$A$6:$A$222)+3,+'I-5 Future DA'!J$5)</f>
        <v>1.7999999999999999E-2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3.1E-2</v>
      </c>
      <c r="E11" s="285">
        <f ca="1">OFFSET(Future_DAOpexStart,MATCH($K$1,'I-5 Future DA'!$A$6:$A$222)+5,+'I-5 Future DA'!F$5)</f>
        <v>3.1E-2</v>
      </c>
      <c r="F11" s="285">
        <f ca="1">OFFSET(Future_DAOpexStart,MATCH($K$1,'I-5 Future DA'!$A$6:$A$222)+5,+'I-5 Future DA'!G$5)</f>
        <v>3.1E-2</v>
      </c>
      <c r="G11" s="285">
        <f ca="1">OFFSET(Future_DAOpexStart,MATCH($K$1,'I-5 Future DA'!$A$6:$A$222)+5,+'I-5 Future DA'!H$5)</f>
        <v>3.1E-2</v>
      </c>
      <c r="H11" s="285">
        <f ca="1">OFFSET(Future_DAOpexStart,MATCH($K$1,'I-5 Future DA'!$A$6:$A$222)+5,+'I-5 Future DA'!I$5)</f>
        <v>3.1E-2</v>
      </c>
      <c r="I11" s="285">
        <f ca="1">OFFSET(Future_DAOpexStart,MATCH($K$1,'I-5 Future DA'!$A$6:$A$222)+5,+'I-5 Future DA'!J$5)</f>
        <v>3.1E-2</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6.5000000000000002E-2</v>
      </c>
      <c r="E12" s="285">
        <f ca="1">OFFSET(Future_DAOpexStart,MATCH($K$1,'I-5 Future DA'!$A$6:$A$222)+6,+'I-5 Future DA'!F$5)</f>
        <v>6.5000000000000002E-2</v>
      </c>
      <c r="F12" s="285">
        <f ca="1">OFFSET(Future_DAOpexStart,MATCH($K$1,'I-5 Future DA'!$A$6:$A$222)+6,+'I-5 Future DA'!G$5)</f>
        <v>6.5000000000000002E-2</v>
      </c>
      <c r="G12" s="285">
        <f ca="1">OFFSET(Future_DAOpexStart,MATCH($K$1,'I-5 Future DA'!$A$6:$A$222)+6,+'I-5 Future DA'!H$5)</f>
        <v>6.5000000000000002E-2</v>
      </c>
      <c r="H12" s="285">
        <f ca="1">OFFSET(Future_DAOpexStart,MATCH($K$1,'I-5 Future DA'!$A$6:$A$222)+6,+'I-5 Future DA'!I$5)</f>
        <v>6.5000000000000002E-2</v>
      </c>
      <c r="I12" s="285">
        <f ca="1">OFFSET(Future_DAOpexStart,MATCH($K$1,'I-5 Future DA'!$A$6:$A$222)+6,+'I-5 Future DA'!J$5)</f>
        <v>6.5000000000000002E-2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0.75900000000000012</v>
      </c>
      <c r="E14" s="287">
        <f t="shared" ca="1" si="0"/>
        <v>0.75900000000000012</v>
      </c>
      <c r="F14" s="287">
        <f t="shared" ca="1" si="0"/>
        <v>0.75900000000000012</v>
      </c>
      <c r="G14" s="287">
        <f t="shared" ca="1" si="0"/>
        <v>0.75900000000000012</v>
      </c>
      <c r="H14" s="287">
        <f t="shared" ca="1" si="0"/>
        <v>0.75900000000000012</v>
      </c>
      <c r="I14" s="287">
        <f t="shared" ca="1" si="0"/>
        <v>0.75900000000000012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+'DA-4'!B8+'DA-4'!B19</f>
        <v>0</v>
      </c>
      <c r="C30" s="285">
        <f ca="1">+'DA-4'!C8+'DA-4'!C19</f>
        <v>0</v>
      </c>
      <c r="D30" s="285">
        <f ca="1">+'DA-4'!D8+'DA-4'!D19</f>
        <v>0.64500000000000002</v>
      </c>
      <c r="E30" s="285">
        <f ca="1">+'DA-4'!E8+'DA-4'!E19</f>
        <v>0.64500000000000002</v>
      </c>
      <c r="F30" s="285">
        <f ca="1">+'DA-4'!F8+'DA-4'!F19</f>
        <v>0.64500000000000002</v>
      </c>
      <c r="G30" s="285">
        <f ca="1">+'DA-4'!G8+'DA-4'!G19</f>
        <v>0.64500000000000002</v>
      </c>
      <c r="H30" s="285">
        <f ca="1">+'DA-4'!H8+'DA-4'!H19</f>
        <v>0.64500000000000002</v>
      </c>
      <c r="I30" s="285">
        <f ca="1">+'DA-4'!I8+'DA-4'!I19</f>
        <v>0.64500000000000002</v>
      </c>
      <c r="J30" s="42"/>
      <c r="K30" s="21"/>
      <c r="L30" s="21"/>
    </row>
    <row r="31" spans="1:12" outlineLevel="2">
      <c r="A31" s="61" t="s">
        <v>69</v>
      </c>
      <c r="B31" s="285">
        <f ca="1">+'DA-4'!B9+'DA-4'!B20</f>
        <v>0</v>
      </c>
      <c r="C31" s="285">
        <f ca="1">+'DA-4'!C9+'DA-4'!C20</f>
        <v>0</v>
      </c>
      <c r="D31" s="285">
        <f ca="1">+'DA-4'!D9+'DA-4'!D20</f>
        <v>1.7999999999999999E-2</v>
      </c>
      <c r="E31" s="285">
        <f ca="1">+'DA-4'!E9+'DA-4'!E20</f>
        <v>1.7999999999999999E-2</v>
      </c>
      <c r="F31" s="285">
        <f ca="1">+'DA-4'!F9+'DA-4'!F20</f>
        <v>1.7999999999999999E-2</v>
      </c>
      <c r="G31" s="285">
        <f ca="1">+'DA-4'!G9+'DA-4'!G20</f>
        <v>1.7999999999999999E-2</v>
      </c>
      <c r="H31" s="285">
        <f ca="1">+'DA-4'!H9+'DA-4'!H20</f>
        <v>1.7999999999999999E-2</v>
      </c>
      <c r="I31" s="285">
        <f ca="1">+'DA-4'!I9+'DA-4'!I20</f>
        <v>1.7999999999999999E-2</v>
      </c>
      <c r="J31" s="42"/>
      <c r="K31" s="21"/>
      <c r="L31" s="21"/>
    </row>
    <row r="32" spans="1:12" s="759" customFormat="1" outlineLevel="2">
      <c r="A32" s="61" t="s">
        <v>646</v>
      </c>
      <c r="B32" s="285">
        <f ca="1">+'DA-4'!B10+'DA-4'!B21</f>
        <v>0</v>
      </c>
      <c r="C32" s="285">
        <f ca="1">+'DA-4'!C10+'DA-4'!C21</f>
        <v>0</v>
      </c>
      <c r="D32" s="285">
        <f ca="1">+'DA-4'!D10+'DA-4'!D21</f>
        <v>0</v>
      </c>
      <c r="E32" s="285">
        <f ca="1">+'DA-4'!E10+'DA-4'!E21</f>
        <v>0</v>
      </c>
      <c r="F32" s="285">
        <f ca="1">+'DA-4'!F10+'DA-4'!F21</f>
        <v>0</v>
      </c>
      <c r="G32" s="285">
        <f ca="1">+'DA-4'!G10+'DA-4'!G21</f>
        <v>0</v>
      </c>
      <c r="H32" s="285">
        <f ca="1">+'DA-4'!H10+'DA-4'!H21</f>
        <v>0</v>
      </c>
      <c r="I32" s="285">
        <f ca="1">+'DA-4'!I10+'DA-4'!I21</f>
        <v>0</v>
      </c>
      <c r="J32" s="42"/>
      <c r="K32" s="732"/>
      <c r="L32" s="732"/>
    </row>
    <row r="33" spans="1:12" outlineLevel="2">
      <c r="A33" s="61" t="s">
        <v>647</v>
      </c>
      <c r="B33" s="285">
        <f ca="1">+'DA-4'!B11+'DA-4'!B22</f>
        <v>0</v>
      </c>
      <c r="C33" s="285">
        <f ca="1">+'DA-4'!C11+'DA-4'!C22</f>
        <v>0</v>
      </c>
      <c r="D33" s="285">
        <f ca="1">+'DA-4'!D11+'DA-4'!D22</f>
        <v>3.1E-2</v>
      </c>
      <c r="E33" s="285">
        <f ca="1">+'DA-4'!E11+'DA-4'!E22</f>
        <v>3.1E-2</v>
      </c>
      <c r="F33" s="285">
        <f ca="1">+'DA-4'!F11+'DA-4'!F22</f>
        <v>3.1E-2</v>
      </c>
      <c r="G33" s="285">
        <f ca="1">+'DA-4'!G11+'DA-4'!G22</f>
        <v>3.1E-2</v>
      </c>
      <c r="H33" s="285">
        <f ca="1">+'DA-4'!H11+'DA-4'!H22</f>
        <v>3.1E-2</v>
      </c>
      <c r="I33" s="285">
        <f ca="1">+'DA-4'!I11+'DA-4'!I22</f>
        <v>3.1E-2</v>
      </c>
      <c r="J33" s="42"/>
      <c r="K33" s="21"/>
      <c r="L33" s="21"/>
    </row>
    <row r="34" spans="1:12" s="759" customFormat="1" outlineLevel="2">
      <c r="A34" s="61" t="s">
        <v>575</v>
      </c>
      <c r="B34" s="285">
        <f ca="1">+'DA-4'!B12+'DA-4'!B23</f>
        <v>0</v>
      </c>
      <c r="C34" s="285">
        <f ca="1">+'DA-4'!C12+'DA-4'!C23</f>
        <v>0</v>
      </c>
      <c r="D34" s="285">
        <f ca="1">+'DA-4'!D12+'DA-4'!D23</f>
        <v>6.5000000000000002E-2</v>
      </c>
      <c r="E34" s="285">
        <f ca="1">+'DA-4'!E12+'DA-4'!E23</f>
        <v>6.5000000000000002E-2</v>
      </c>
      <c r="F34" s="285">
        <f ca="1">+'DA-4'!F12+'DA-4'!F23</f>
        <v>6.5000000000000002E-2</v>
      </c>
      <c r="G34" s="285">
        <f ca="1">+'DA-4'!G12+'DA-4'!G23</f>
        <v>6.5000000000000002E-2</v>
      </c>
      <c r="H34" s="285">
        <f ca="1">+'DA-4'!H12+'DA-4'!H23</f>
        <v>6.5000000000000002E-2</v>
      </c>
      <c r="I34" s="285">
        <f ca="1">+'DA-4'!I12+'DA-4'!I23</f>
        <v>6.5000000000000002E-2</v>
      </c>
      <c r="J34" s="42"/>
      <c r="K34" s="732"/>
      <c r="L34" s="732"/>
    </row>
    <row r="35" spans="1:12" ht="13.5" outlineLevel="2" thickBot="1">
      <c r="A35" s="83" t="s">
        <v>70</v>
      </c>
      <c r="B35" s="285">
        <f ca="1">+'DA-4'!B13+'DA-4'!B24</f>
        <v>0</v>
      </c>
      <c r="C35" s="285">
        <f ca="1">+'DA-4'!C13+'DA-4'!C24</f>
        <v>0</v>
      </c>
      <c r="D35" s="285">
        <f ca="1">+'DA-4'!D13+'DA-4'!D24</f>
        <v>0</v>
      </c>
      <c r="E35" s="285">
        <f ca="1">+'DA-4'!E13+'DA-4'!E24</f>
        <v>0</v>
      </c>
      <c r="F35" s="285">
        <f ca="1">+'DA-4'!F13+'DA-4'!F24</f>
        <v>0</v>
      </c>
      <c r="G35" s="285">
        <f ca="1">+'DA-4'!G13+'DA-4'!G24</f>
        <v>0</v>
      </c>
      <c r="H35" s="285">
        <f ca="1">+'DA-4'!H13+'DA-4'!H24</f>
        <v>0</v>
      </c>
      <c r="I35" s="285">
        <f ca="1">+'DA-4'!I13+'DA-4'!I24</f>
        <v>0</v>
      </c>
      <c r="J35" s="93"/>
      <c r="K35" s="21"/>
      <c r="L35" s="21"/>
    </row>
    <row r="36" spans="1:12" s="87" customFormat="1" ht="20.25" customHeight="1" thickBot="1">
      <c r="A36" s="94" t="s">
        <v>128</v>
      </c>
      <c r="B36" s="294">
        <f t="shared" ref="B36:I36" ca="1" si="7">SUM(B30:B35)</f>
        <v>0</v>
      </c>
      <c r="C36" s="294">
        <f t="shared" ca="1" si="7"/>
        <v>0</v>
      </c>
      <c r="D36" s="294">
        <f t="shared" ca="1" si="7"/>
        <v>0.75900000000000012</v>
      </c>
      <c r="E36" s="294">
        <f t="shared" ca="1" si="7"/>
        <v>0.75900000000000012</v>
      </c>
      <c r="F36" s="294">
        <f t="shared" ca="1" si="7"/>
        <v>0.75900000000000012</v>
      </c>
      <c r="G36" s="294">
        <f t="shared" ca="1" si="7"/>
        <v>0.75900000000000012</v>
      </c>
      <c r="H36" s="294">
        <f t="shared" ca="1" si="7"/>
        <v>0.75900000000000012</v>
      </c>
      <c r="I36" s="294">
        <f t="shared" ca="1" si="7"/>
        <v>0.75900000000000012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6.8434230913966537E-3</v>
      </c>
      <c r="F42" s="285">
        <f t="shared" ca="1" si="8"/>
        <v>1.3184441854729579E-2</v>
      </c>
      <c r="G42" s="285">
        <f t="shared" ca="1" si="8"/>
        <v>1.9452468490157294E-2</v>
      </c>
      <c r="H42" s="285">
        <f t="shared" ca="1" si="8"/>
        <v>2.6252773969812224E-2</v>
      </c>
      <c r="I42" s="285">
        <f t="shared" ca="1" si="8"/>
        <v>3.2481904682880119E-2</v>
      </c>
      <c r="K42" s="63"/>
      <c r="L42" s="63"/>
    </row>
    <row r="43" spans="1:12" outlineLevel="1">
      <c r="A43" s="61" t="s">
        <v>69</v>
      </c>
      <c r="B43" s="82"/>
      <c r="C43" s="285">
        <f t="shared" ca="1" si="8"/>
        <v>0</v>
      </c>
      <c r="D43" s="285">
        <f t="shared" ca="1" si="8"/>
        <v>0</v>
      </c>
      <c r="E43" s="285">
        <f t="shared" ca="1" si="8"/>
        <v>1.9097924906223216E-4</v>
      </c>
      <c r="F43" s="285">
        <f t="shared" ca="1" si="8"/>
        <v>3.6793791222501144E-4</v>
      </c>
      <c r="G43" s="285">
        <f t="shared" ca="1" si="8"/>
        <v>5.4285958577183146E-4</v>
      </c>
      <c r="H43" s="285">
        <f t="shared" ca="1" si="8"/>
        <v>7.3263555264592244E-4</v>
      </c>
      <c r="I43" s="285">
        <f t="shared" ca="1" si="8"/>
        <v>9.0647175859200318E-4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3.2890870671828875E-4</v>
      </c>
      <c r="F45" s="285">
        <f t="shared" ca="1" si="10"/>
        <v>6.3367084883196427E-4</v>
      </c>
      <c r="G45" s="285">
        <f t="shared" ca="1" si="10"/>
        <v>9.3492484216259862E-4</v>
      </c>
      <c r="H45" s="285">
        <f t="shared" ca="1" si="10"/>
        <v>1.2617612295568665E-3</v>
      </c>
      <c r="I45" s="285">
        <f t="shared" ca="1" si="10"/>
        <v>1.5611458064640055E-3</v>
      </c>
      <c r="K45" s="42"/>
      <c r="L45" s="21"/>
    </row>
    <row r="46" spans="1:12" s="759" customFormat="1" outlineLevel="1">
      <c r="A46" s="61" t="s">
        <v>575</v>
      </c>
      <c r="B46" s="82"/>
      <c r="C46" s="285">
        <f t="shared" ref="C46:I46" ca="1" si="11">+C102</f>
        <v>0</v>
      </c>
      <c r="D46" s="285">
        <f t="shared" ca="1" si="11"/>
        <v>0</v>
      </c>
      <c r="E46" s="285">
        <f t="shared" ca="1" si="11"/>
        <v>6.8964728828028294E-4</v>
      </c>
      <c r="F46" s="285">
        <f t="shared" ca="1" si="11"/>
        <v>1.3286646830347637E-3</v>
      </c>
      <c r="G46" s="285">
        <f t="shared" ca="1" si="11"/>
        <v>1.9603262819538358E-3</v>
      </c>
      <c r="H46" s="285">
        <f t="shared" ca="1" si="11"/>
        <v>2.6456283845547202E-3</v>
      </c>
      <c r="I46" s="285">
        <f t="shared" ca="1" si="11"/>
        <v>3.2733702393600117E-3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8.0529583354574576E-3</v>
      </c>
      <c r="F48" s="294">
        <f t="shared" ca="1" si="13"/>
        <v>1.5514715298821318E-2</v>
      </c>
      <c r="G48" s="294">
        <f t="shared" ca="1" si="13"/>
        <v>2.2890579200045561E-2</v>
      </c>
      <c r="H48" s="294">
        <f t="shared" ca="1" si="13"/>
        <v>3.0892799136569733E-2</v>
      </c>
      <c r="I48" s="294">
        <f t="shared" ca="1" si="13"/>
        <v>3.8222892487296135E-2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1.3987233946405624E-2</v>
      </c>
      <c r="F53" s="285">
        <f t="shared" ca="1" si="14"/>
        <v>2.854965589667258E-2</v>
      </c>
      <c r="G53" s="285">
        <f t="shared" ca="1" si="14"/>
        <v>4.451292720490644E-2</v>
      </c>
      <c r="H53" s="285">
        <f t="shared" ca="1" si="14"/>
        <v>6.117926193325026E-2</v>
      </c>
      <c r="I53" s="285">
        <f t="shared" ca="1" si="14"/>
        <v>7.8478515169669374E-2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1.5664454353358812E-4</v>
      </c>
      <c r="F56" s="285">
        <f t="shared" ca="1" si="16"/>
        <v>3.1712755025953184E-4</v>
      </c>
      <c r="G56" s="285">
        <f t="shared" ca="1" si="16"/>
        <v>6.1044327371601211E-4</v>
      </c>
      <c r="H56" s="285">
        <f t="shared" ca="1" si="16"/>
        <v>9.619145713699813E-4</v>
      </c>
      <c r="I56" s="285">
        <f t="shared" ca="1" si="16"/>
        <v>1.3899908375248559E-3</v>
      </c>
      <c r="K56" s="42"/>
      <c r="L56" s="21"/>
    </row>
    <row r="57" spans="1:12" s="759" customFormat="1" outlineLevel="1">
      <c r="A57" s="61" t="s">
        <v>575</v>
      </c>
      <c r="B57" s="285"/>
      <c r="C57" s="285">
        <f t="shared" ref="C57:I57" ca="1" si="17">+C138</f>
        <v>0</v>
      </c>
      <c r="D57" s="285">
        <f t="shared" ca="1" si="17"/>
        <v>0</v>
      </c>
      <c r="E57" s="285">
        <f t="shared" ca="1" si="17"/>
        <v>1.4095662116532799E-3</v>
      </c>
      <c r="F57" s="285">
        <f t="shared" ca="1" si="17"/>
        <v>2.8770971058662293E-3</v>
      </c>
      <c r="G57" s="285">
        <f t="shared" ca="1" si="17"/>
        <v>4.4857988656107272E-3</v>
      </c>
      <c r="H57" s="285">
        <f t="shared" ca="1" si="17"/>
        <v>6.1653519777694066E-3</v>
      </c>
      <c r="I57" s="285">
        <f t="shared" ca="1" si="17"/>
        <v>7.9086875752379989E-3</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1.5553444701592492E-2</v>
      </c>
      <c r="F59" s="287">
        <f t="shared" ca="1" si="19"/>
        <v>3.1743880552798344E-2</v>
      </c>
      <c r="G59" s="287">
        <f t="shared" ca="1" si="19"/>
        <v>4.9609169344233178E-2</v>
      </c>
      <c r="H59" s="287">
        <f t="shared" ca="1" si="19"/>
        <v>6.8306528482389647E-2</v>
      </c>
      <c r="I59" s="287">
        <f t="shared" ca="1" si="19"/>
        <v>8.7777193582432231E-2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0.64500000000000002</v>
      </c>
      <c r="E64" s="285">
        <f t="shared" ca="1" si="20"/>
        <v>0.66583065703780231</v>
      </c>
      <c r="F64" s="285">
        <f t="shared" ca="1" si="20"/>
        <v>0.68673409775140215</v>
      </c>
      <c r="G64" s="285">
        <f t="shared" ca="1" si="20"/>
        <v>0.70896539569506367</v>
      </c>
      <c r="H64" s="285">
        <f t="shared" ca="1" si="20"/>
        <v>0.73243203590306249</v>
      </c>
      <c r="I64" s="285">
        <f t="shared" ca="1" si="20"/>
        <v>0.75596041985254958</v>
      </c>
      <c r="K64" s="63"/>
      <c r="L64" s="63"/>
    </row>
    <row r="65" spans="1:20" ht="12.75" customHeight="1" outlineLevel="1">
      <c r="A65" s="61" t="s">
        <v>69</v>
      </c>
      <c r="B65" s="285">
        <f t="shared" ca="1" si="20"/>
        <v>0</v>
      </c>
      <c r="C65" s="285">
        <f t="shared" ca="1" si="20"/>
        <v>0</v>
      </c>
      <c r="D65" s="285">
        <f t="shared" ca="1" si="20"/>
        <v>1.7999999999999999E-2</v>
      </c>
      <c r="E65" s="285">
        <f t="shared" ca="1" si="20"/>
        <v>1.8190979249062232E-2</v>
      </c>
      <c r="F65" s="285">
        <f t="shared" ca="1" si="20"/>
        <v>1.8367937912225012E-2</v>
      </c>
      <c r="G65" s="285">
        <f t="shared" ca="1" si="20"/>
        <v>1.8542859585771829E-2</v>
      </c>
      <c r="H65" s="285">
        <f t="shared" ca="1" si="20"/>
        <v>1.873263555264592E-2</v>
      </c>
      <c r="I65" s="285">
        <f t="shared" ca="1" si="20"/>
        <v>1.8906471758592003E-2</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3.1E-2</v>
      </c>
      <c r="E67" s="285">
        <f t="shared" ca="1" si="22"/>
        <v>3.1485553250251881E-2</v>
      </c>
      <c r="F67" s="285">
        <f t="shared" ca="1" si="22"/>
        <v>3.1950798399091498E-2</v>
      </c>
      <c r="G67" s="285">
        <f t="shared" ca="1" si="22"/>
        <v>3.254536811587861E-2</v>
      </c>
      <c r="H67" s="285">
        <f t="shared" ca="1" si="22"/>
        <v>3.3223675800926847E-2</v>
      </c>
      <c r="I67" s="285">
        <f t="shared" ca="1" si="22"/>
        <v>3.3951136643988862E-2</v>
      </c>
      <c r="K67" s="42"/>
      <c r="L67" s="21"/>
    </row>
    <row r="68" spans="1:20" s="759" customFormat="1" ht="12.75" customHeight="1" outlineLevel="1">
      <c r="A68" s="61" t="s">
        <v>575</v>
      </c>
      <c r="B68" s="285">
        <f t="shared" ref="B68:I68" ca="1" si="23">+B46+B34+B57</f>
        <v>0</v>
      </c>
      <c r="C68" s="285">
        <f t="shared" ca="1" si="23"/>
        <v>0</v>
      </c>
      <c r="D68" s="285">
        <f t="shared" ca="1" si="23"/>
        <v>6.5000000000000002E-2</v>
      </c>
      <c r="E68" s="285">
        <f t="shared" ca="1" si="23"/>
        <v>6.7099213499933558E-2</v>
      </c>
      <c r="F68" s="285">
        <f t="shared" ca="1" si="23"/>
        <v>6.9205761788900991E-2</v>
      </c>
      <c r="G68" s="285">
        <f t="shared" ca="1" si="23"/>
        <v>7.1446125147564557E-2</v>
      </c>
      <c r="H68" s="285">
        <f t="shared" ca="1" si="23"/>
        <v>7.3810980362324127E-2</v>
      </c>
      <c r="I68" s="285">
        <f t="shared" ca="1" si="23"/>
        <v>7.6182057814598012E-2</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0.75900000000000012</v>
      </c>
      <c r="E70" s="295">
        <f t="shared" ca="1" si="25"/>
        <v>0.78260640303704998</v>
      </c>
      <c r="F70" s="295">
        <f t="shared" ca="1" si="25"/>
        <v>0.80625859585161974</v>
      </c>
      <c r="G70" s="295">
        <f t="shared" ca="1" si="25"/>
        <v>0.83149974854427866</v>
      </c>
      <c r="H70" s="295">
        <f t="shared" ca="1" si="25"/>
        <v>0.85819932761895945</v>
      </c>
      <c r="I70" s="295">
        <f t="shared" ca="1" si="25"/>
        <v>0.88500008606972846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6.8434230913966537E-3</v>
      </c>
      <c r="Q77" s="285">
        <f ca="1">IF($B77&lt;&gt;0,(+VLOOKUP($B77,$A$8:$I$13,6,FALSE))*(F77),0)</f>
        <v>1.3184441854729579E-2</v>
      </c>
      <c r="R77" s="285">
        <f ca="1">IF($B77&lt;&gt;0,(+VLOOKUP($B77,$A$8:$I$13,7,FALSE))*(G77),0)</f>
        <v>1.9452468490157294E-2</v>
      </c>
      <c r="S77" s="285">
        <f ca="1">IF($B77&lt;&gt;0,(+VLOOKUP($B77,$A$8:$I$13,8,FALSE))*(H77),0)</f>
        <v>2.6252773969812224E-2</v>
      </c>
      <c r="T77" s="285">
        <f ca="1">IF($B77&lt;&gt;0,(+VLOOKUP($B77,$A$8:$I$13,9,FALSE))*(I77),0)</f>
        <v>3.2481904682880119E-2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1.9097924906223216E-4</v>
      </c>
      <c r="Q78" s="285">
        <f ca="1">IF($B78&lt;&gt;0,(+VLOOKUP($B78,$A$8:$I$13,6,FALSE))*(F78),0)</f>
        <v>3.6793791222501144E-4</v>
      </c>
      <c r="R78" s="285">
        <f ca="1">IF($B78&lt;&gt;0,(+VLOOKUP($B78,$A$8:$I$13,7,FALSE))*(G78),0)</f>
        <v>5.4285958577183146E-4</v>
      </c>
      <c r="S78" s="285">
        <f ca="1">IF($B78&lt;&gt;0,(+VLOOKUP($B78,$A$8:$I$13,8,FALSE))*(H78),0)</f>
        <v>7.3263555264592244E-4</v>
      </c>
      <c r="T78" s="285">
        <f ca="1">IF($B78&lt;&gt;0,(+VLOOKUP($B78,$A$8:$I$13,9,FALSE))*(I78),0)</f>
        <v>9.0647175859200318E-4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3.2890870671828875E-4</v>
      </c>
      <c r="Q80" s="285">
        <f t="shared" ca="1" si="34"/>
        <v>6.3367084883196427E-4</v>
      </c>
      <c r="R80" s="285">
        <f t="shared" ca="1" si="35"/>
        <v>9.3492484216259862E-4</v>
      </c>
      <c r="S80" s="285">
        <f t="shared" ca="1" si="36"/>
        <v>1.2617612295568665E-3</v>
      </c>
      <c r="T80" s="285">
        <f t="shared" ca="1" si="37"/>
        <v>1.5611458064640055E-3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6.8964728828028294E-4</v>
      </c>
      <c r="Q81" s="285">
        <f ca="1">IF($B81&lt;&gt;0,(+VLOOKUP($B81,$A$8:$I$13,6,FALSE))*(F81),0)</f>
        <v>1.3286646830347637E-3</v>
      </c>
      <c r="R81" s="285">
        <f ca="1">IF($B81&lt;&gt;0,(+VLOOKUP($B81,$A$8:$I$13,7,FALSE))*(G81),0)</f>
        <v>1.9603262819538358E-3</v>
      </c>
      <c r="S81" s="285">
        <f ca="1">IF($B81&lt;&gt;0,(+VLOOKUP($B81,$A$8:$I$13,8,FALSE))*(H81),0)</f>
        <v>2.6456283845547202E-3</v>
      </c>
      <c r="T81" s="285">
        <f ca="1">IF($B81&lt;&gt;0,(+VLOOKUP($B81,$A$8:$I$13,9,FALSE))*(I81),0)</f>
        <v>3.2733702393600117E-3</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8.0529583354574576E-3</v>
      </c>
      <c r="Q83" s="292">
        <f t="shared" ca="1" si="51"/>
        <v>1.5514715298821318E-2</v>
      </c>
      <c r="R83" s="292">
        <f t="shared" ca="1" si="51"/>
        <v>2.2890579200045561E-2</v>
      </c>
      <c r="S83" s="292">
        <f t="shared" ca="1" si="51"/>
        <v>3.0892799136569733E-2</v>
      </c>
      <c r="T83" s="292">
        <f t="shared" ca="1" si="51"/>
        <v>3.8222892487296135E-2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6.8434230913966537E-3</v>
      </c>
      <c r="F98" s="285">
        <f t="shared" ca="1" si="54"/>
        <v>1.3184441854729579E-2</v>
      </c>
      <c r="G98" s="285">
        <f t="shared" ca="1" si="54"/>
        <v>1.9452468490157294E-2</v>
      </c>
      <c r="H98" s="285">
        <f t="shared" ca="1" si="54"/>
        <v>2.6252773969812224E-2</v>
      </c>
      <c r="I98" s="285">
        <f t="shared" ca="1" si="54"/>
        <v>3.2481904682880119E-2</v>
      </c>
    </row>
    <row r="99" spans="1:20" outlineLevel="1">
      <c r="A99" s="61" t="s">
        <v>69</v>
      </c>
      <c r="B99" s="119"/>
      <c r="C99" s="285">
        <f t="shared" ref="C99:I99" ca="1" si="55">+C9*(C87)</f>
        <v>0</v>
      </c>
      <c r="D99" s="285">
        <f t="shared" ca="1" si="55"/>
        <v>0</v>
      </c>
      <c r="E99" s="285">
        <f t="shared" ca="1" si="55"/>
        <v>1.9097924906223216E-4</v>
      </c>
      <c r="F99" s="285">
        <f t="shared" ca="1" si="55"/>
        <v>3.6793791222501144E-4</v>
      </c>
      <c r="G99" s="285">
        <f t="shared" ca="1" si="55"/>
        <v>5.4285958577183146E-4</v>
      </c>
      <c r="H99" s="285">
        <f t="shared" ca="1" si="55"/>
        <v>7.3263555264592244E-4</v>
      </c>
      <c r="I99" s="285">
        <f t="shared" ca="1" si="55"/>
        <v>9.0647175859200318E-4</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3.2890870671828875E-4</v>
      </c>
      <c r="F101" s="285">
        <f t="shared" ca="1" si="57"/>
        <v>6.3367084883196427E-4</v>
      </c>
      <c r="G101" s="285">
        <f t="shared" ca="1" si="57"/>
        <v>9.3492484216259862E-4</v>
      </c>
      <c r="H101" s="285">
        <f t="shared" ca="1" si="57"/>
        <v>1.2617612295568665E-3</v>
      </c>
      <c r="I101" s="285">
        <f t="shared" ca="1" si="57"/>
        <v>1.5611458064640055E-3</v>
      </c>
    </row>
    <row r="102" spans="1:20" s="759" customFormat="1" outlineLevel="1">
      <c r="A102" s="61" t="s">
        <v>575</v>
      </c>
      <c r="B102" s="119"/>
      <c r="C102" s="285">
        <f t="shared" ref="C102:I102" ca="1" si="58">+C12*(C90)</f>
        <v>0</v>
      </c>
      <c r="D102" s="285">
        <f t="shared" ca="1" si="58"/>
        <v>0</v>
      </c>
      <c r="E102" s="285">
        <f t="shared" ca="1" si="58"/>
        <v>6.8964728828028294E-4</v>
      </c>
      <c r="F102" s="285">
        <f t="shared" ca="1" si="58"/>
        <v>1.3286646830347637E-3</v>
      </c>
      <c r="G102" s="285">
        <f t="shared" ca="1" si="58"/>
        <v>1.9603262819538358E-3</v>
      </c>
      <c r="H102" s="285">
        <f t="shared" ca="1" si="58"/>
        <v>2.6456283845547202E-3</v>
      </c>
      <c r="I102" s="285">
        <f t="shared" ca="1" si="58"/>
        <v>3.2733702393600117E-3</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8.0529583354574576E-3</v>
      </c>
      <c r="F104" s="296">
        <f t="shared" ca="1" si="60"/>
        <v>1.5514715298821318E-2</v>
      </c>
      <c r="G104" s="296">
        <f t="shared" ca="1" si="60"/>
        <v>2.2890579200045561E-2</v>
      </c>
      <c r="H104" s="296">
        <f t="shared" ca="1" si="60"/>
        <v>3.0892799136569733E-2</v>
      </c>
      <c r="I104" s="296">
        <f t="shared" ca="1" si="60"/>
        <v>3.8222892487296135E-2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2.0440995123611746E-2</v>
      </c>
      <c r="G105" s="124">
        <f t="shared" ca="1" si="61"/>
        <v>3.0158865876212856E-2</v>
      </c>
      <c r="H105" s="124">
        <f t="shared" ca="1" si="61"/>
        <v>4.0701975146995688E-2</v>
      </c>
      <c r="I105" s="124">
        <f t="shared" ca="1" si="61"/>
        <v>5.0359542144000173E-2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1.3987233946405624E-2</v>
      </c>
      <c r="Q113" s="285">
        <f ca="1">IF($B113&lt;&gt;0,(+VLOOKUP($B113,$A$8:$I$13,6,FALSE)+VLOOKUP($B113,$A$42:$I$47,6,FALSE))*(F113),0)</f>
        <v>2.854965589667258E-2</v>
      </c>
      <c r="R113" s="285">
        <f ca="1">IF($B113&lt;&gt;0,(+VLOOKUP($B113,$A$8:$I$13,7,FALSE)+VLOOKUP($B113,$A$42:$I$47,7,FALSE))*(G113),0)</f>
        <v>4.451292720490644E-2</v>
      </c>
      <c r="S113" s="285">
        <f ca="1">IF($B113&lt;&gt;0,(+VLOOKUP($B113,$A$8:$I$13,8,FALSE)+VLOOKUP($B113,$A$42:$I$47,8,FALSE))*(H113),0)</f>
        <v>6.117926193325026E-2</v>
      </c>
      <c r="T113" s="285">
        <f ca="1">IF($B113&lt;&gt;0,(+VLOOKUP($B113,$A$8:$I$13,9,FALSE)+VLOOKUP($B113,$A$42:$I$47,9,FALSE))*(I113),0)</f>
        <v>7.8478515169669374E-2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1.5664454353358812E-4</v>
      </c>
      <c r="Q116" s="285">
        <f t="shared" ca="1" si="68"/>
        <v>3.1712755025953184E-4</v>
      </c>
      <c r="R116" s="285">
        <f t="shared" ca="1" si="69"/>
        <v>6.1044327371601211E-4</v>
      </c>
      <c r="S116" s="285">
        <f t="shared" ca="1" si="70"/>
        <v>9.619145713699813E-4</v>
      </c>
      <c r="T116" s="285">
        <f t="shared" ca="1" si="71"/>
        <v>1.3899908375248559E-3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1.4095662116532799E-3</v>
      </c>
      <c r="Q117" s="285">
        <f t="shared" ca="1" si="68"/>
        <v>2.8770971058662293E-3</v>
      </c>
      <c r="R117" s="285">
        <f t="shared" ca="1" si="69"/>
        <v>4.4857988656107272E-3</v>
      </c>
      <c r="S117" s="285">
        <f t="shared" ca="1" si="70"/>
        <v>6.1653519777694066E-3</v>
      </c>
      <c r="T117" s="285">
        <f t="shared" ca="1" si="71"/>
        <v>7.9086875752379989E-3</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1.5553444701592492E-2</v>
      </c>
      <c r="Q119" s="292">
        <f t="shared" ca="1" si="72"/>
        <v>3.1743880552798344E-2</v>
      </c>
      <c r="R119" s="292">
        <f t="shared" ca="1" si="72"/>
        <v>4.9609169344233178E-2</v>
      </c>
      <c r="S119" s="292">
        <f t="shared" ca="1" si="72"/>
        <v>6.8306528482389647E-2</v>
      </c>
      <c r="T119" s="292">
        <f t="shared" ca="1" si="72"/>
        <v>8.7777193582432231E-2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1.3987233946405624E-2</v>
      </c>
      <c r="F134" s="285">
        <f t="shared" ca="1" si="75"/>
        <v>2.854965589667258E-2</v>
      </c>
      <c r="G134" s="285">
        <f t="shared" ca="1" si="75"/>
        <v>4.451292720490644E-2</v>
      </c>
      <c r="H134" s="285">
        <f t="shared" ca="1" si="75"/>
        <v>6.117926193325026E-2</v>
      </c>
      <c r="I134" s="285">
        <f t="shared" ca="1" si="75"/>
        <v>7.8478515169669374E-2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1.5664454353358812E-4</v>
      </c>
      <c r="F137" s="285">
        <f t="shared" ca="1" si="78"/>
        <v>3.1712755025953184E-4</v>
      </c>
      <c r="G137" s="285">
        <f t="shared" ca="1" si="78"/>
        <v>6.1044327371601211E-4</v>
      </c>
      <c r="H137" s="285">
        <f t="shared" ca="1" si="78"/>
        <v>9.619145713699813E-4</v>
      </c>
      <c r="I137" s="285">
        <f t="shared" ca="1" si="78"/>
        <v>1.3899908375248559E-3</v>
      </c>
    </row>
    <row r="138" spans="1:16" s="759" customFormat="1" outlineLevel="1">
      <c r="A138" s="61" t="s">
        <v>575</v>
      </c>
      <c r="B138" s="119"/>
      <c r="C138" s="285">
        <f ca="1">(+C12+C46)*(C$126)</f>
        <v>0</v>
      </c>
      <c r="D138" s="285">
        <f t="shared" ref="D138:I138" ca="1" si="79">(+D12+D46)*(D$126)</f>
        <v>0</v>
      </c>
      <c r="E138" s="285">
        <f t="shared" ca="1" si="79"/>
        <v>1.4095662116532799E-3</v>
      </c>
      <c r="F138" s="285">
        <f t="shared" ca="1" si="79"/>
        <v>2.8770971058662293E-3</v>
      </c>
      <c r="G138" s="285">
        <f t="shared" ca="1" si="79"/>
        <v>4.4857988656107272E-3</v>
      </c>
      <c r="H138" s="285">
        <f t="shared" ca="1" si="79"/>
        <v>6.1653519777694066E-3</v>
      </c>
      <c r="I138" s="285">
        <f t="shared" ca="1" si="79"/>
        <v>7.9086875752379989E-3</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1.5553444701592492E-2</v>
      </c>
      <c r="F140" s="296">
        <f t="shared" ca="1" si="81"/>
        <v>3.1743880552798344E-2</v>
      </c>
      <c r="G140" s="296">
        <f t="shared" ca="1" si="81"/>
        <v>4.9609169344233178E-2</v>
      </c>
      <c r="H140" s="296">
        <f t="shared" ca="1" si="81"/>
        <v>6.8306528482389647E-2</v>
      </c>
      <c r="I140" s="296">
        <f t="shared" ca="1" si="81"/>
        <v>8.7777193582432231E-2</v>
      </c>
    </row>
    <row r="141" spans="1:16" ht="13.5" outlineLevel="1" thickBot="1">
      <c r="A141" s="122" t="s">
        <v>148</v>
      </c>
      <c r="B141" s="126"/>
      <c r="C141" s="124">
        <f t="shared" ref="C141:I141" ca="1" si="82">IF((+C36+C48)&lt;&gt;0,+C140/(+C36+C48),0)</f>
        <v>0</v>
      </c>
      <c r="D141" s="124">
        <f t="shared" ca="1" si="82"/>
        <v>0</v>
      </c>
      <c r="E141" s="124">
        <f t="shared" ca="1" si="82"/>
        <v>2.0276885099751427E-2</v>
      </c>
      <c r="F141" s="124">
        <f t="shared" ca="1" si="82"/>
        <v>4.0985509927401437E-2</v>
      </c>
      <c r="G141" s="124">
        <f t="shared" ca="1" si="82"/>
        <v>6.3447713355222229E-2</v>
      </c>
      <c r="H141" s="124">
        <f t="shared" ca="1" si="82"/>
        <v>8.6475694622175775E-2</v>
      </c>
      <c r="I141" s="124">
        <f t="shared" ca="1" si="82"/>
        <v>0.11010370425838086</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c r="L161" s="66" t="str">
        <f ca="1">IF(ISNUMBER($J161),OFFSET($B$177,MATCH(+$J161,$J$178:$J$195,0)+2,0),"")</f>
        <v/>
      </c>
      <c r="M161" s="66" t="str">
        <f ca="1">IF(ISNUMBER($J161),OFFSET($B$177,MATCH(+$J161,$J$178:$J$195,0)+3,0),"")</f>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87">IF(J161&lt;$D$158,J161+1,"")</f>
        <v/>
      </c>
      <c r="K162" s="66" t="str">
        <f ca="1">IF(ISNUMBER($J162),OFFSET($B$177,MATCH(+$J162,$J$178:$J$195,0)+1,0),"")</f>
        <v/>
      </c>
      <c r="L162" s="66" t="str">
        <f ca="1">IF(ISNUMBER($J162),OFFSET($B$177,MATCH(+$J162,$J$178:$J$195,0)+2,0),"")</f>
        <v/>
      </c>
      <c r="M162" s="66" t="str">
        <f ca="1">IF(ISNUMBER($J162),OFFSET($B$177,MATCH(+$J162,$J$178:$J$195,0)+3,0),"")</f>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87"/>
        <v/>
      </c>
      <c r="K163" s="66" t="str">
        <f ca="1">IF(ISNUMBER($J163),OFFSET($B$177,MATCH(+$J163,$J$178:$J$195,0)+1,0),"")</f>
        <v/>
      </c>
      <c r="L163" s="66" t="str">
        <f ca="1">IF(ISNUMBER($J163),OFFSET($B$177,MATCH(+$J163,$J$178:$J$195,0)+2,0),"")</f>
        <v/>
      </c>
      <c r="M163" s="66" t="str">
        <f ca="1">IF(ISNUMBER($J163),OFFSET($B$177,MATCH(+$J163,$J$178:$J$195,0)+3,0),"")</f>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87"/>
        <v/>
      </c>
      <c r="K164" s="66" t="str">
        <f ca="1">IF(ISNUMBER($J164),OFFSET($B$177,MATCH(+$J164,$J$178:$J$195,0)+1,0),"")</f>
        <v/>
      </c>
      <c r="L164" s="66" t="str">
        <f ca="1">IF(ISNUMBER($J164),OFFSET($B$177,MATCH(+$J164,$J$178:$J$195,0)+2,0),"")</f>
        <v/>
      </c>
      <c r="M164" s="66" t="str">
        <f ca="1">IF(ISNUMBER($J164),OFFSET($B$177,MATCH(+$J164,$J$178:$J$195,0)+3,0),"")</f>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87"/>
        <v/>
      </c>
      <c r="K165" s="66" t="str">
        <f ca="1">IF(ISNUMBER($J165),OFFSET($B$177,MATCH(+$J165,$J$178:$J$192,0)+1,0),"")</f>
        <v/>
      </c>
      <c r="L165" s="66" t="str">
        <f ca="1">IF(ISNUMBER($J165),OFFSET($B$177,MATCH(+$J165,$J$178:$J$192,0)+2,0),"")</f>
        <v/>
      </c>
      <c r="M165" s="66" t="str">
        <f ca="1">IF(ISNUMBER($J165),OFFSET($B$177,MATCH(+$J165,$J$178:$J$192,0)+3,0),"")</f>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87"/>
        <v/>
      </c>
      <c r="K166" s="66" t="str">
        <f ca="1">IF(ISNUMBER($J166),OFFSET($B$177,MATCH(+$J166,$J$178:$J$192,0)+1,0),"")</f>
        <v/>
      </c>
      <c r="L166" s="66" t="str">
        <f ca="1">IF(ISNUMBER($J166),OFFSET($B$177,MATCH(+$J166,$J$178:$J$192,0)+2,0),"")</f>
        <v/>
      </c>
      <c r="M166" s="66" t="str">
        <f ca="1">IF(ISNUMBER($J166),OFFSET($B$177,MATCH(+$J166,$J$178:$J$192,0)+3,0),"")</f>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87"/>
        <v/>
      </c>
      <c r="K167" s="66" t="str">
        <f ca="1">IF(ISNUMBER($J167),OFFSET($B$177,MATCH(+$J167,$J$178:$J$192,0)+1,0),"")</f>
        <v/>
      </c>
      <c r="L167" s="66" t="str">
        <f ca="1">IF(ISNUMBER($J167),OFFSET($B$177,MATCH(+$J167,$J$178:$J$192,0)+2,0),"")</f>
        <v/>
      </c>
      <c r="M167" s="66" t="str">
        <f ca="1">IF(ISNUMBER($J167),OFFSET($B$177,MATCH(+$J167,$J$178:$J$192,0)+3,0),"")</f>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87"/>
        <v/>
      </c>
      <c r="K168" s="66" t="str">
        <f ca="1">IF(ISNUMBER($J168),OFFSET($B$177,MATCH(+$J168,$J$178:$J$192,0)+1,0),"")</f>
        <v/>
      </c>
      <c r="L168" s="66" t="str">
        <f ca="1">IF(ISNUMBER($J168),OFFSET($B$177,MATCH(+$J168,$J$178:$J$192,0)+2,0),"")</f>
        <v/>
      </c>
      <c r="M168" s="66" t="str">
        <f ca="1">IF(ISNUMBER($J168),OFFSET($B$177,MATCH(+$J168,$J$178:$J$192,0)+3,0),"")</f>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87"/>
        <v/>
      </c>
      <c r="K169" s="66" t="str">
        <f ca="1">IF(ISNUMBER($J169),OFFSET($B$177,MATCH(+$J169,$J$178:$J$192,0)+1,0),"")</f>
        <v/>
      </c>
      <c r="L169" s="66" t="str">
        <f ca="1">IF(ISNUMBER($J169),OFFSET($B$177,MATCH(+$J169,$J$178:$J$192,0)+2,0),"")</f>
        <v/>
      </c>
      <c r="M169" s="66" t="str">
        <f ca="1">IF(ISNUMBER($J169),OFFSET($B$177,MATCH(+$J169,$J$178:$J$192,0)+3,0),"")</f>
        <v/>
      </c>
    </row>
    <row r="170" spans="1:13">
      <c r="A170" s="129" t="s">
        <v>150</v>
      </c>
      <c r="B170" s="296">
        <f ca="1">SUM(B160:B169)</f>
        <v>0</v>
      </c>
      <c r="C170" s="296">
        <f t="shared" ref="C170:I170" ca="1" si="88">SUM(C160:C169)</f>
        <v>0</v>
      </c>
      <c r="D170" s="296">
        <f t="shared" ca="1" si="88"/>
        <v>0</v>
      </c>
      <c r="E170" s="296">
        <f t="shared" ca="1" si="88"/>
        <v>0</v>
      </c>
      <c r="F170" s="296">
        <f t="shared" ca="1" si="88"/>
        <v>0</v>
      </c>
      <c r="G170" s="296">
        <f t="shared" ca="1" si="88"/>
        <v>0</v>
      </c>
      <c r="H170" s="296">
        <f t="shared" ca="1" si="88"/>
        <v>0</v>
      </c>
      <c r="I170" s="296">
        <f t="shared" ca="1" si="88"/>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33"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(SEM)'!$O$25:$S$30</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89">SUM(C185:C190)</f>
        <v>0</v>
      </c>
      <c r="D191" s="296">
        <f t="shared" si="89"/>
        <v>0</v>
      </c>
      <c r="E191" s="296">
        <f t="shared" si="89"/>
        <v>0</v>
      </c>
      <c r="F191" s="296">
        <f t="shared" si="89"/>
        <v>0</v>
      </c>
      <c r="G191" s="296">
        <f t="shared" si="89"/>
        <v>0</v>
      </c>
      <c r="H191" s="296">
        <f t="shared" si="89"/>
        <v>0</v>
      </c>
      <c r="I191" s="296">
        <f t="shared" si="89"/>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0">+B14</f>
        <v>0</v>
      </c>
      <c r="C205" s="82">
        <f t="shared" ca="1" si="90"/>
        <v>0</v>
      </c>
      <c r="D205" s="82">
        <f t="shared" ca="1" si="90"/>
        <v>0.75900000000000012</v>
      </c>
      <c r="E205" s="82">
        <f t="shared" ca="1" si="90"/>
        <v>0.75900000000000012</v>
      </c>
      <c r="F205" s="82">
        <f t="shared" ca="1" si="90"/>
        <v>0.75900000000000012</v>
      </c>
      <c r="G205" s="82">
        <f t="shared" ca="1" si="90"/>
        <v>0.75900000000000012</v>
      </c>
      <c r="H205" s="82">
        <f t="shared" ca="1" si="90"/>
        <v>0.75900000000000012</v>
      </c>
      <c r="I205" s="82">
        <f t="shared" ca="1" si="90"/>
        <v>0.75900000000000012</v>
      </c>
    </row>
    <row r="206" spans="1:9" outlineLevel="1">
      <c r="A206" t="s">
        <v>156</v>
      </c>
      <c r="B206" s="82">
        <f t="shared" ref="B206:I206" ca="1" si="91">+B36</f>
        <v>0</v>
      </c>
      <c r="C206" s="82">
        <f t="shared" ca="1" si="91"/>
        <v>0</v>
      </c>
      <c r="D206" s="82">
        <f t="shared" ca="1" si="91"/>
        <v>0.75900000000000012</v>
      </c>
      <c r="E206" s="82">
        <f t="shared" ca="1" si="91"/>
        <v>0.75900000000000012</v>
      </c>
      <c r="F206" s="82">
        <f t="shared" ca="1" si="91"/>
        <v>0.75900000000000012</v>
      </c>
      <c r="G206" s="82">
        <f t="shared" ca="1" si="91"/>
        <v>0.75900000000000012</v>
      </c>
      <c r="H206" s="82">
        <f t="shared" ca="1" si="91"/>
        <v>0.75900000000000012</v>
      </c>
      <c r="I206" s="82">
        <f t="shared" ca="1" si="91"/>
        <v>0.75900000000000012</v>
      </c>
    </row>
    <row r="207" spans="1:9" outlineLevel="1">
      <c r="A207" t="s">
        <v>157</v>
      </c>
      <c r="B207" s="82">
        <f t="shared" ref="B207:I207" ca="1" si="92">+B36+B48</f>
        <v>0</v>
      </c>
      <c r="C207" s="82">
        <f t="shared" ca="1" si="92"/>
        <v>0</v>
      </c>
      <c r="D207" s="82">
        <f t="shared" ca="1" si="92"/>
        <v>0.75900000000000012</v>
      </c>
      <c r="E207" s="82">
        <f t="shared" ca="1" si="92"/>
        <v>0.76705295833545761</v>
      </c>
      <c r="F207" s="82">
        <f t="shared" ca="1" si="92"/>
        <v>0.77451471529882143</v>
      </c>
      <c r="G207" s="82">
        <f t="shared" ca="1" si="92"/>
        <v>0.78189057920004568</v>
      </c>
      <c r="H207" s="82">
        <f t="shared" ca="1" si="92"/>
        <v>0.78989279913656985</v>
      </c>
      <c r="I207" s="82">
        <f t="shared" ca="1" si="92"/>
        <v>0.79722289248729628</v>
      </c>
    </row>
    <row r="208" spans="1:9" outlineLevel="1">
      <c r="A208" t="s">
        <v>158</v>
      </c>
      <c r="B208" s="82">
        <f t="shared" ref="B208:I208" ca="1" si="93">+B70</f>
        <v>0</v>
      </c>
      <c r="C208" s="82">
        <f t="shared" ca="1" si="93"/>
        <v>0</v>
      </c>
      <c r="D208" s="82">
        <f t="shared" ca="1" si="93"/>
        <v>0.75900000000000012</v>
      </c>
      <c r="E208" s="82">
        <f t="shared" ca="1" si="93"/>
        <v>0.78260640303704998</v>
      </c>
      <c r="F208" s="82">
        <f t="shared" ca="1" si="93"/>
        <v>0.80625859585161974</v>
      </c>
      <c r="G208" s="82">
        <f t="shared" ca="1" si="93"/>
        <v>0.83149974854427866</v>
      </c>
      <c r="H208" s="82">
        <f t="shared" ca="1" si="93"/>
        <v>0.85819932761895945</v>
      </c>
      <c r="I208" s="82">
        <f t="shared" ca="1" si="93"/>
        <v>0.88500008606972846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60" priority="1" stopIfTrue="1" operator="notEqual">
      <formula>0</formula>
    </cfRule>
  </conditionalFormatting>
  <conditionalFormatting sqref="J130 J94 J70 J59 J48 J36:J37 J14 J25">
    <cfRule type="cellIs" dxfId="159" priority="2" stopIfTrue="1" operator="equal">
      <formula>"OK"</formula>
    </cfRule>
    <cfRule type="cellIs" dxfId="158" priority="3" stopIfTrue="1" operator="equal">
      <formula>"Warning Check Escalations"</formula>
    </cfRule>
  </conditionalFormatting>
  <conditionalFormatting sqref="N120:T120 N84:T84">
    <cfRule type="cellIs" dxfId="157" priority="4" stopIfTrue="1" operator="notEqual">
      <formula>0</formula>
    </cfRule>
    <cfRule type="cellIs" dxfId="15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59.xml><?xml version="1.0" encoding="utf-8"?>
<worksheet xmlns="http://schemas.openxmlformats.org/spreadsheetml/2006/main" xmlns:r="http://schemas.openxmlformats.org/officeDocument/2006/relationships">
  <sheetPr codeName="Sheet31" enableFormatConditionsCalculation="0">
    <tabColor indexed="17"/>
    <pageSetUpPr fitToPage="1"/>
  </sheetPr>
  <dimension ref="A1:U239"/>
  <sheetViews>
    <sheetView showGridLines="0" topLeftCell="A70" zoomScaleNormal="100" workbookViewId="0">
      <selection activeCell="J123" sqref="J123"/>
    </sheetView>
  </sheetViews>
  <sheetFormatPr defaultRowHeight="12.75" outlineLevelRow="2"/>
  <cols>
    <col min="1" max="1" width="31.7109375"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5</v>
      </c>
      <c r="M1" s="282"/>
      <c r="N1" s="280"/>
      <c r="O1" s="280"/>
      <c r="P1" s="280"/>
      <c r="Q1" s="280"/>
      <c r="R1" s="280"/>
      <c r="S1" s="280"/>
      <c r="T1" s="280"/>
    </row>
    <row r="2" spans="1:20" ht="15.75">
      <c r="A2" s="184" t="s">
        <v>121</v>
      </c>
      <c r="B2" s="74" t="str">
        <f ca="1">OFFSET(List_DAOpexStart,+$K$1,1)</f>
        <v>Strategic Asset Management</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1.1779999999999999</v>
      </c>
      <c r="E8" s="285">
        <f ca="1">OFFSET(Future_DAOpexStart,MATCH($K$1,'I-5 Future DA'!$A$6:$A$222)+2,+'I-5 Future DA'!F$5)</f>
        <v>1.1779999999999999</v>
      </c>
      <c r="F8" s="285">
        <f ca="1">OFFSET(Future_DAOpexStart,MATCH($K$1,'I-5 Future DA'!$A$6:$A$222)+2,+'I-5 Future DA'!G$5)</f>
        <v>1.1779999999999999</v>
      </c>
      <c r="G8" s="285">
        <f ca="1">OFFSET(Future_DAOpexStart,MATCH($K$1,'I-5 Future DA'!$A$6:$A$222)+2,+'I-5 Future DA'!H$5)</f>
        <v>1.1779999999999999</v>
      </c>
      <c r="H8" s="285">
        <f ca="1">OFFSET(Future_DAOpexStart,MATCH($K$1,'I-5 Future DA'!$A$6:$A$222)+2,+'I-5 Future DA'!I$5)</f>
        <v>1.1779999999999999</v>
      </c>
      <c r="I8" s="285">
        <f ca="1">OFFSET(Future_DAOpexStart,MATCH($K$1,'I-5 Future DA'!$A$6:$A$222)+2,+'I-5 Future DA'!J$5)</f>
        <v>1.1779999999999999</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1E-3</v>
      </c>
      <c r="E9" s="285">
        <f ca="1">OFFSET(Future_DAOpexStart,MATCH($K$1,'I-5 Future DA'!$A$6:$A$222)+3,+'I-5 Future DA'!F$5)</f>
        <v>1E-3</v>
      </c>
      <c r="F9" s="285">
        <f ca="1">OFFSET(Future_DAOpexStart,MATCH($K$1,'I-5 Future DA'!$A$6:$A$222)+3,+'I-5 Future DA'!G$5)</f>
        <v>1E-3</v>
      </c>
      <c r="G9" s="285">
        <f ca="1">OFFSET(Future_DAOpexStart,MATCH($K$1,'I-5 Future DA'!$A$6:$A$222)+3,+'I-5 Future DA'!H$5)</f>
        <v>1E-3</v>
      </c>
      <c r="H9" s="285">
        <f ca="1">OFFSET(Future_DAOpexStart,MATCH($K$1,'I-5 Future DA'!$A$6:$A$222)+3,+'I-5 Future DA'!I$5)</f>
        <v>1E-3</v>
      </c>
      <c r="I9" s="285">
        <f ca="1">OFFSET(Future_DAOpexStart,MATCH($K$1,'I-5 Future DA'!$A$6:$A$222)+3,+'I-5 Future DA'!J$5)</f>
        <v>1E-3</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0.27400000000000002</v>
      </c>
      <c r="E10" s="285">
        <f ca="1">OFFSET(Future_DAOpexStart,MATCH($K$1,'I-5 Future DA'!$A$6:$A$222)+4,+'I-5 Future DA'!F$5)</f>
        <v>0.27400000000000002</v>
      </c>
      <c r="F10" s="285">
        <f ca="1">OFFSET(Future_DAOpexStart,MATCH($K$1,'I-5 Future DA'!$A$6:$A$222)+4,+'I-5 Future DA'!G$5)</f>
        <v>0.27400000000000002</v>
      </c>
      <c r="G10" s="285">
        <f ca="1">OFFSET(Future_DAOpexStart,MATCH($K$1,'I-5 Future DA'!$A$6:$A$222)+4,+'I-5 Future DA'!H$5)</f>
        <v>0.27400000000000002</v>
      </c>
      <c r="H10" s="285">
        <f ca="1">OFFSET(Future_DAOpexStart,MATCH($K$1,'I-5 Future DA'!$A$6:$A$222)+4,+'I-5 Future DA'!I$5)</f>
        <v>0.27400000000000002</v>
      </c>
      <c r="I10" s="285">
        <f ca="1">OFFSET(Future_DAOpexStart,MATCH($K$1,'I-5 Future DA'!$A$6:$A$222)+4,+'I-5 Future DA'!J$5)</f>
        <v>0.27400000000000002</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0.24299999999999999</v>
      </c>
      <c r="E11" s="285">
        <f ca="1">OFFSET(Future_DAOpexStart,MATCH($K$1,'I-5 Future DA'!$A$6:$A$222)+5,+'I-5 Future DA'!F$5)</f>
        <v>0.24299999999999999</v>
      </c>
      <c r="F11" s="285">
        <f ca="1">OFFSET(Future_DAOpexStart,MATCH($K$1,'I-5 Future DA'!$A$6:$A$222)+5,+'I-5 Future DA'!G$5)</f>
        <v>0.24299999999999999</v>
      </c>
      <c r="G11" s="285">
        <f ca="1">OFFSET(Future_DAOpexStart,MATCH($K$1,'I-5 Future DA'!$A$6:$A$222)+5,+'I-5 Future DA'!H$5)</f>
        <v>0.24299999999999999</v>
      </c>
      <c r="H11" s="285">
        <f ca="1">OFFSET(Future_DAOpexStart,MATCH($K$1,'I-5 Future DA'!$A$6:$A$222)+5,+'I-5 Future DA'!I$5)</f>
        <v>0.24299999999999999</v>
      </c>
      <c r="I11" s="285">
        <f ca="1">OFFSET(Future_DAOpexStart,MATCH($K$1,'I-5 Future DA'!$A$6:$A$222)+5,+'I-5 Future DA'!J$5)</f>
        <v>0.24299999999999999</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0.17100000000000001</v>
      </c>
      <c r="E12" s="285">
        <f ca="1">OFFSET(Future_DAOpexStart,MATCH($K$1,'I-5 Future DA'!$A$6:$A$222)+6,+'I-5 Future DA'!F$5)</f>
        <v>0.17100000000000001</v>
      </c>
      <c r="F12" s="285">
        <f ca="1">OFFSET(Future_DAOpexStart,MATCH($K$1,'I-5 Future DA'!$A$6:$A$222)+6,+'I-5 Future DA'!G$5)</f>
        <v>0.17100000000000001</v>
      </c>
      <c r="G12" s="285">
        <f ca="1">OFFSET(Future_DAOpexStart,MATCH($K$1,'I-5 Future DA'!$A$6:$A$222)+6,+'I-5 Future DA'!H$5)</f>
        <v>0.17100000000000001</v>
      </c>
      <c r="H12" s="285">
        <f ca="1">OFFSET(Future_DAOpexStart,MATCH($K$1,'I-5 Future DA'!$A$6:$A$222)+6,+'I-5 Future DA'!I$5)</f>
        <v>0.17100000000000001</v>
      </c>
      <c r="I12" s="285">
        <f ca="1">OFFSET(Future_DAOpexStart,MATCH($K$1,'I-5 Future DA'!$A$6:$A$222)+6,+'I-5 Future DA'!J$5)</f>
        <v>0.17100000000000001</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1.8669999999999998</v>
      </c>
      <c r="E14" s="287">
        <f t="shared" ca="1" si="0"/>
        <v>1.8669999999999998</v>
      </c>
      <c r="F14" s="287">
        <f t="shared" ca="1" si="0"/>
        <v>1.8669999999999998</v>
      </c>
      <c r="G14" s="287">
        <f t="shared" ca="1" si="0"/>
        <v>1.8669999999999998</v>
      </c>
      <c r="H14" s="287">
        <f t="shared" ca="1" si="0"/>
        <v>1.8669999999999998</v>
      </c>
      <c r="I14" s="287">
        <f t="shared" ca="1" si="0"/>
        <v>1.8669999999999998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+'DA-5'!B8+'DA-5'!B19</f>
        <v>0</v>
      </c>
      <c r="C30" s="285">
        <f ca="1">+'DA-5'!C8+'DA-5'!C19</f>
        <v>0</v>
      </c>
      <c r="D30" s="285">
        <f ca="1">+'DA-5'!D8+'DA-5'!D19</f>
        <v>1.1779999999999999</v>
      </c>
      <c r="E30" s="285">
        <f ca="1">+'DA-5'!E8+'DA-5'!E19</f>
        <v>1.1779999999999999</v>
      </c>
      <c r="F30" s="285">
        <f ca="1">+'DA-5'!F8+'DA-5'!F19</f>
        <v>1.1779999999999999</v>
      </c>
      <c r="G30" s="285">
        <f ca="1">+'DA-5'!G8+'DA-5'!G19</f>
        <v>1.1779999999999999</v>
      </c>
      <c r="H30" s="285">
        <f ca="1">+'DA-5'!H8+'DA-5'!H19</f>
        <v>1.1779999999999999</v>
      </c>
      <c r="I30" s="285">
        <f ca="1">+'DA-5'!I8+'DA-5'!I19</f>
        <v>1.1779999999999999</v>
      </c>
      <c r="J30" s="42"/>
      <c r="K30" s="21"/>
      <c r="L30" s="21"/>
    </row>
    <row r="31" spans="1:12" outlineLevel="2">
      <c r="A31" s="61" t="s">
        <v>69</v>
      </c>
      <c r="B31" s="285">
        <f ca="1">+'DA-5'!B9+'DA-5'!B20</f>
        <v>0</v>
      </c>
      <c r="C31" s="285">
        <f ca="1">+'DA-5'!C9+'DA-5'!C20</f>
        <v>0</v>
      </c>
      <c r="D31" s="285">
        <f ca="1">+'DA-5'!D9+'DA-5'!D20</f>
        <v>1E-3</v>
      </c>
      <c r="E31" s="285">
        <f ca="1">+'DA-5'!E9+'DA-5'!E20</f>
        <v>1E-3</v>
      </c>
      <c r="F31" s="285">
        <f ca="1">+'DA-5'!F9+'DA-5'!F20</f>
        <v>1E-3</v>
      </c>
      <c r="G31" s="285">
        <f ca="1">+'DA-5'!G9+'DA-5'!G20</f>
        <v>1E-3</v>
      </c>
      <c r="H31" s="285">
        <f ca="1">+'DA-5'!H9+'DA-5'!H20</f>
        <v>1E-3</v>
      </c>
      <c r="I31" s="285">
        <f ca="1">+'DA-5'!I9+'DA-5'!I20</f>
        <v>1E-3</v>
      </c>
      <c r="J31" s="42"/>
      <c r="K31" s="21"/>
      <c r="L31" s="21"/>
    </row>
    <row r="32" spans="1:12" s="759" customFormat="1" outlineLevel="2">
      <c r="A32" s="61" t="s">
        <v>646</v>
      </c>
      <c r="B32" s="285">
        <f ca="1">+'DA-5'!B10+'DA-5'!B21</f>
        <v>0</v>
      </c>
      <c r="C32" s="285">
        <f ca="1">+'DA-5'!C10+'DA-5'!C21</f>
        <v>0</v>
      </c>
      <c r="D32" s="285">
        <f ca="1">+'DA-5'!D10+'DA-5'!D21</f>
        <v>0.27400000000000002</v>
      </c>
      <c r="E32" s="285">
        <f ca="1">+'DA-5'!E10+'DA-5'!E21</f>
        <v>0.27400000000000002</v>
      </c>
      <c r="F32" s="285">
        <f ca="1">+'DA-5'!F10+'DA-5'!F21</f>
        <v>0.27400000000000002</v>
      </c>
      <c r="G32" s="285">
        <f ca="1">+'DA-5'!G10+'DA-5'!G21</f>
        <v>0.27400000000000002</v>
      </c>
      <c r="H32" s="285">
        <f ca="1">+'DA-5'!H10+'DA-5'!H21</f>
        <v>0.27400000000000002</v>
      </c>
      <c r="I32" s="285">
        <f ca="1">+'DA-5'!I10+'DA-5'!I21</f>
        <v>0.27400000000000002</v>
      </c>
      <c r="J32" s="42"/>
      <c r="K32" s="732"/>
      <c r="L32" s="732"/>
    </row>
    <row r="33" spans="1:12" outlineLevel="2">
      <c r="A33" s="61" t="s">
        <v>647</v>
      </c>
      <c r="B33" s="285">
        <f ca="1">+'DA-5'!B11+'DA-5'!B22</f>
        <v>0</v>
      </c>
      <c r="C33" s="285">
        <f ca="1">+'DA-5'!C11+'DA-5'!C22</f>
        <v>0</v>
      </c>
      <c r="D33" s="285">
        <f ca="1">+'DA-5'!D11+'DA-5'!D22</f>
        <v>0.24299999999999999</v>
      </c>
      <c r="E33" s="285">
        <f ca="1">+'DA-5'!E11+'DA-5'!E22</f>
        <v>0.24299999999999999</v>
      </c>
      <c r="F33" s="285">
        <f ca="1">+'DA-5'!F11+'DA-5'!F22</f>
        <v>0.24299999999999999</v>
      </c>
      <c r="G33" s="285">
        <f ca="1">+'DA-5'!G11+'DA-5'!G22</f>
        <v>0.24299999999999999</v>
      </c>
      <c r="H33" s="285">
        <f ca="1">+'DA-5'!H11+'DA-5'!H22</f>
        <v>0.24299999999999999</v>
      </c>
      <c r="I33" s="285">
        <f ca="1">+'DA-5'!I11+'DA-5'!I22</f>
        <v>0.24299999999999999</v>
      </c>
      <c r="J33" s="42"/>
      <c r="K33" s="21"/>
      <c r="L33" s="21"/>
    </row>
    <row r="34" spans="1:12" s="759" customFormat="1" outlineLevel="2">
      <c r="A34" s="61" t="s">
        <v>575</v>
      </c>
      <c r="B34" s="285">
        <f ca="1">+'DA-5'!B12+'DA-5'!B23</f>
        <v>0</v>
      </c>
      <c r="C34" s="285">
        <f ca="1">+'DA-5'!C12+'DA-5'!C23</f>
        <v>0</v>
      </c>
      <c r="D34" s="285">
        <f ca="1">+'DA-5'!D12+'DA-5'!D23</f>
        <v>0.17100000000000001</v>
      </c>
      <c r="E34" s="285">
        <f ca="1">+'DA-5'!E12+'DA-5'!E23</f>
        <v>0.17100000000000001</v>
      </c>
      <c r="F34" s="285">
        <f ca="1">+'DA-5'!F12+'DA-5'!F23</f>
        <v>0.17100000000000001</v>
      </c>
      <c r="G34" s="285">
        <f ca="1">+'DA-5'!G12+'DA-5'!G23</f>
        <v>0.17100000000000001</v>
      </c>
      <c r="H34" s="285">
        <f ca="1">+'DA-5'!H12+'DA-5'!H23</f>
        <v>0.17100000000000001</v>
      </c>
      <c r="I34" s="285">
        <f ca="1">+'DA-5'!I12+'DA-5'!I23</f>
        <v>0.17100000000000001</v>
      </c>
      <c r="J34" s="42"/>
      <c r="K34" s="732"/>
      <c r="L34" s="732"/>
    </row>
    <row r="35" spans="1:12" ht="13.5" outlineLevel="2" thickBot="1">
      <c r="A35" s="83" t="s">
        <v>70</v>
      </c>
      <c r="B35" s="285">
        <f ca="1">+'DA-5'!B13+'DA-5'!B24</f>
        <v>0</v>
      </c>
      <c r="C35" s="285">
        <f ca="1">+'DA-5'!C13+'DA-5'!C24</f>
        <v>0</v>
      </c>
      <c r="D35" s="285">
        <f ca="1">+'DA-5'!D13+'DA-5'!D24</f>
        <v>0</v>
      </c>
      <c r="E35" s="285">
        <f ca="1">+'DA-5'!E13+'DA-5'!E24</f>
        <v>0</v>
      </c>
      <c r="F35" s="285">
        <f ca="1">+'DA-5'!F13+'DA-5'!F24</f>
        <v>0</v>
      </c>
      <c r="G35" s="285">
        <f ca="1">+'DA-5'!G13+'DA-5'!G24</f>
        <v>0</v>
      </c>
      <c r="H35" s="285">
        <f ca="1">+'DA-5'!H13+'DA-5'!H24</f>
        <v>0</v>
      </c>
      <c r="I35" s="285">
        <f ca="1">+'DA-5'!I13+'DA-5'!I24</f>
        <v>0</v>
      </c>
      <c r="J35" s="93"/>
      <c r="K35" s="21"/>
      <c r="L35" s="21"/>
    </row>
    <row r="36" spans="1:12" s="87" customFormat="1" ht="20.25" customHeight="1" thickBot="1">
      <c r="A36" s="94" t="s">
        <v>128</v>
      </c>
      <c r="B36" s="294">
        <f t="shared" ref="B36:I36" ca="1" si="7">SUM(B30:B35)</f>
        <v>0</v>
      </c>
      <c r="C36" s="294">
        <f t="shared" ca="1" si="7"/>
        <v>0</v>
      </c>
      <c r="D36" s="294">
        <f t="shared" ca="1" si="7"/>
        <v>1.8669999999999998</v>
      </c>
      <c r="E36" s="294">
        <f t="shared" ca="1" si="7"/>
        <v>1.8669999999999998</v>
      </c>
      <c r="F36" s="294">
        <f t="shared" ca="1" si="7"/>
        <v>1.8669999999999998</v>
      </c>
      <c r="G36" s="294">
        <f t="shared" ca="1" si="7"/>
        <v>1.8669999999999998</v>
      </c>
      <c r="H36" s="294">
        <f t="shared" ca="1" si="7"/>
        <v>1.8669999999999998</v>
      </c>
      <c r="I36" s="294">
        <f t="shared" ca="1" si="7"/>
        <v>1.8669999999999998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1.2498530855294973E-2</v>
      </c>
      <c r="F42" s="285">
        <f t="shared" ca="1" si="8"/>
        <v>2.4079492255614638E-2</v>
      </c>
      <c r="G42" s="285">
        <f t="shared" ca="1" si="8"/>
        <v>3.5527144002178747E-2</v>
      </c>
      <c r="H42" s="285">
        <f t="shared" ca="1" si="8"/>
        <v>4.7946926723160928E-2</v>
      </c>
      <c r="I42" s="285">
        <f t="shared" ca="1" si="8"/>
        <v>5.9323540645632208E-2</v>
      </c>
      <c r="K42" s="63"/>
      <c r="L42" s="63"/>
    </row>
    <row r="43" spans="1:12" outlineLevel="1">
      <c r="A43" s="61" t="s">
        <v>69</v>
      </c>
      <c r="B43" s="82"/>
      <c r="C43" s="285">
        <f t="shared" ca="1" si="8"/>
        <v>0</v>
      </c>
      <c r="D43" s="285">
        <f t="shared" ca="1" si="8"/>
        <v>0</v>
      </c>
      <c r="E43" s="285">
        <f t="shared" ca="1" si="8"/>
        <v>1.0609958281235122E-5</v>
      </c>
      <c r="F43" s="285">
        <f t="shared" ca="1" si="8"/>
        <v>2.0440995123611749E-5</v>
      </c>
      <c r="G43" s="285">
        <f t="shared" ca="1" si="8"/>
        <v>3.0158865876212861E-5</v>
      </c>
      <c r="H43" s="285">
        <f t="shared" ca="1" si="8"/>
        <v>4.0701975146995693E-5</v>
      </c>
      <c r="I43" s="285">
        <f t="shared" ca="1" si="8"/>
        <v>5.0359542144000181E-5</v>
      </c>
      <c r="K43" s="42"/>
      <c r="L43" s="21"/>
    </row>
    <row r="44" spans="1:12" s="759" customFormat="1" outlineLevel="1">
      <c r="A44" s="61" t="s">
        <v>646</v>
      </c>
      <c r="B44" s="82"/>
      <c r="C44" s="285">
        <f t="shared" ref="C44:I44" ca="1" si="9">+C100</f>
        <v>0</v>
      </c>
      <c r="D44" s="285">
        <f t="shared" ca="1" si="9"/>
        <v>0</v>
      </c>
      <c r="E44" s="285">
        <f t="shared" ca="1" si="9"/>
        <v>2.9071285690584234E-3</v>
      </c>
      <c r="F44" s="285">
        <f t="shared" ca="1" si="9"/>
        <v>5.6008326638696199E-3</v>
      </c>
      <c r="G44" s="285">
        <f t="shared" ca="1" si="9"/>
        <v>8.2635292500823233E-3</v>
      </c>
      <c r="H44" s="285">
        <f t="shared" ca="1" si="9"/>
        <v>1.1152341190276822E-2</v>
      </c>
      <c r="I44" s="285">
        <f t="shared" ca="1" si="9"/>
        <v>1.3798514547456051E-2</v>
      </c>
      <c r="K44" s="42"/>
      <c r="L44" s="732"/>
    </row>
    <row r="45" spans="1:12" outlineLevel="1">
      <c r="A45" s="61" t="s">
        <v>647</v>
      </c>
      <c r="B45" s="82"/>
      <c r="C45" s="285">
        <f t="shared" ref="C45:I45" ca="1" si="10">+C101</f>
        <v>0</v>
      </c>
      <c r="D45" s="285">
        <f t="shared" ca="1" si="10"/>
        <v>0</v>
      </c>
      <c r="E45" s="285">
        <f t="shared" ca="1" si="10"/>
        <v>2.5782198623401343E-3</v>
      </c>
      <c r="F45" s="285">
        <f t="shared" ca="1" si="10"/>
        <v>4.9671618150376549E-3</v>
      </c>
      <c r="G45" s="285">
        <f t="shared" ca="1" si="10"/>
        <v>7.3286044079197248E-3</v>
      </c>
      <c r="H45" s="285">
        <f t="shared" ca="1" si="10"/>
        <v>9.8905799607199533E-3</v>
      </c>
      <c r="I45" s="285">
        <f t="shared" ca="1" si="10"/>
        <v>1.2237368740992044E-2</v>
      </c>
      <c r="K45" s="42"/>
      <c r="L45" s="21"/>
    </row>
    <row r="46" spans="1:12" s="759" customFormat="1" outlineLevel="1">
      <c r="A46" s="61" t="s">
        <v>575</v>
      </c>
      <c r="B46" s="82"/>
      <c r="C46" s="285">
        <f t="shared" ref="C46:I46" ca="1" si="11">+C102</f>
        <v>0</v>
      </c>
      <c r="D46" s="285">
        <f t="shared" ca="1" si="11"/>
        <v>0</v>
      </c>
      <c r="E46" s="285">
        <f t="shared" ca="1" si="11"/>
        <v>1.8143028660912058E-3</v>
      </c>
      <c r="F46" s="285">
        <f t="shared" ca="1" si="11"/>
        <v>3.4954101661376093E-3</v>
      </c>
      <c r="G46" s="285">
        <f t="shared" ca="1" si="11"/>
        <v>5.1571660648323994E-3</v>
      </c>
      <c r="H46" s="285">
        <f t="shared" ca="1" si="11"/>
        <v>6.9600377501362644E-3</v>
      </c>
      <c r="I46" s="285">
        <f t="shared" ca="1" si="11"/>
        <v>8.6114817066240308E-3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1.9808792111065971E-2</v>
      </c>
      <c r="F48" s="294">
        <f t="shared" ca="1" si="13"/>
        <v>3.8163337895783134E-2</v>
      </c>
      <c r="G48" s="294">
        <f t="shared" ca="1" si="13"/>
        <v>5.6306602590889411E-2</v>
      </c>
      <c r="H48" s="294">
        <f t="shared" ca="1" si="13"/>
        <v>7.5990587599440967E-2</v>
      </c>
      <c r="I48" s="294">
        <f t="shared" ca="1" si="13"/>
        <v>9.4021265182848326E-2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2.5545676881962517E-2</v>
      </c>
      <c r="F53" s="285">
        <f t="shared" ca="1" si="14"/>
        <v>5.2141852164775661E-2</v>
      </c>
      <c r="G53" s="285">
        <f t="shared" ca="1" si="14"/>
        <v>8.1296477902914402E-2</v>
      </c>
      <c r="H53" s="285">
        <f t="shared" ca="1" si="14"/>
        <v>0.11173514815095939</v>
      </c>
      <c r="I53" s="285">
        <f t="shared" ca="1" si="14"/>
        <v>0.14332975328662095</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1.3845356428452628E-3</v>
      </c>
      <c r="F55" s="285">
        <f t="shared" ca="1" si="15"/>
        <v>2.8029983474552175E-3</v>
      </c>
      <c r="G55" s="285">
        <f t="shared" ca="1" si="15"/>
        <v>5.3955308709092683E-3</v>
      </c>
      <c r="H55" s="285">
        <f t="shared" ca="1" si="15"/>
        <v>8.5020836308185438E-3</v>
      </c>
      <c r="I55" s="285">
        <f t="shared" ca="1" si="15"/>
        <v>1.2285725467155178E-2</v>
      </c>
      <c r="K55" s="42"/>
      <c r="L55" s="732"/>
    </row>
    <row r="56" spans="1:12" outlineLevel="1">
      <c r="A56" s="61" t="s">
        <v>647</v>
      </c>
      <c r="B56" s="285"/>
      <c r="C56" s="285">
        <f t="shared" ref="C56:I56" ca="1" si="16">+C137</f>
        <v>0</v>
      </c>
      <c r="D56" s="285">
        <f t="shared" ca="1" si="16"/>
        <v>0</v>
      </c>
      <c r="E56" s="285">
        <f t="shared" ca="1" si="16"/>
        <v>1.2278910993116744E-3</v>
      </c>
      <c r="F56" s="285">
        <f t="shared" ca="1" si="16"/>
        <v>2.4858707971956852E-3</v>
      </c>
      <c r="G56" s="285">
        <f t="shared" ca="1" si="16"/>
        <v>4.7850875971932553E-3</v>
      </c>
      <c r="H56" s="285">
        <f t="shared" ca="1" si="16"/>
        <v>7.5401690594485626E-3</v>
      </c>
      <c r="I56" s="285">
        <f t="shared" ca="1" si="16"/>
        <v>1.0895734629630321E-2</v>
      </c>
      <c r="K56" s="42"/>
      <c r="L56" s="21"/>
    </row>
    <row r="57" spans="1:12" s="759" customFormat="1" outlineLevel="1">
      <c r="A57" s="61" t="s">
        <v>575</v>
      </c>
      <c r="B57" s="285"/>
      <c r="C57" s="285">
        <f t="shared" ref="C57:I57" ca="1" si="17">+C138</f>
        <v>0</v>
      </c>
      <c r="D57" s="285">
        <f t="shared" ca="1" si="17"/>
        <v>0</v>
      </c>
      <c r="E57" s="285">
        <f t="shared" ca="1" si="17"/>
        <v>3.7082434183493985E-3</v>
      </c>
      <c r="F57" s="285">
        <f t="shared" ca="1" si="17"/>
        <v>7.5689785400480806E-3</v>
      </c>
      <c r="G57" s="285">
        <f t="shared" ca="1" si="17"/>
        <v>1.1801101631068222E-2</v>
      </c>
      <c r="H57" s="285">
        <f t="shared" ca="1" si="17"/>
        <v>1.6219618279977976E-2</v>
      </c>
      <c r="I57" s="285">
        <f t="shared" ca="1" si="17"/>
        <v>2.0805931928703045E-2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3.1866347042468851E-2</v>
      </c>
      <c r="F59" s="287">
        <f t="shared" ca="1" si="19"/>
        <v>6.4999699849474651E-2</v>
      </c>
      <c r="G59" s="287">
        <f t="shared" ca="1" si="19"/>
        <v>0.10327819800208515</v>
      </c>
      <c r="H59" s="287">
        <f t="shared" ca="1" si="19"/>
        <v>0.14399701912120447</v>
      </c>
      <c r="I59" s="287">
        <f t="shared" ca="1" si="19"/>
        <v>0.18731714531210947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1.1779999999999999</v>
      </c>
      <c r="E64" s="285">
        <f t="shared" ca="1" si="20"/>
        <v>1.2160442077372573</v>
      </c>
      <c r="F64" s="285">
        <f t="shared" ca="1" si="20"/>
        <v>1.2542213444203902</v>
      </c>
      <c r="G64" s="285">
        <f t="shared" ca="1" si="20"/>
        <v>1.294823621905093</v>
      </c>
      <c r="H64" s="285">
        <f t="shared" ca="1" si="20"/>
        <v>1.3376820748741203</v>
      </c>
      <c r="I64" s="285">
        <f t="shared" ca="1" si="20"/>
        <v>1.3806532939322531</v>
      </c>
      <c r="K64" s="63"/>
      <c r="L64" s="63"/>
    </row>
    <row r="65" spans="1:21" ht="12.75" customHeight="1" outlineLevel="1">
      <c r="A65" s="61" t="s">
        <v>69</v>
      </c>
      <c r="B65" s="285">
        <f t="shared" ca="1" si="20"/>
        <v>0</v>
      </c>
      <c r="C65" s="285">
        <f t="shared" ca="1" si="20"/>
        <v>0</v>
      </c>
      <c r="D65" s="285">
        <f t="shared" ca="1" si="20"/>
        <v>1E-3</v>
      </c>
      <c r="E65" s="285">
        <f t="shared" ca="1" si="20"/>
        <v>1.0106099582812352E-3</v>
      </c>
      <c r="F65" s="285">
        <f t="shared" ca="1" si="20"/>
        <v>1.0204409951236118E-3</v>
      </c>
      <c r="G65" s="285">
        <f t="shared" ca="1" si="20"/>
        <v>1.0301588658762129E-3</v>
      </c>
      <c r="H65" s="285">
        <f t="shared" ca="1" si="20"/>
        <v>1.0407019751469957E-3</v>
      </c>
      <c r="I65" s="285">
        <f t="shared" ca="1" si="20"/>
        <v>1.0503595421440001E-3</v>
      </c>
      <c r="K65" s="42"/>
      <c r="L65" s="21"/>
    </row>
    <row r="66" spans="1:21" s="759" customFormat="1" ht="12.75" customHeight="1" outlineLevel="1">
      <c r="A66" s="61" t="s">
        <v>646</v>
      </c>
      <c r="B66" s="285">
        <f t="shared" ref="B66:I66" ca="1" si="21">+B44+B32+B55</f>
        <v>0</v>
      </c>
      <c r="C66" s="285">
        <f t="shared" ca="1" si="21"/>
        <v>0</v>
      </c>
      <c r="D66" s="285">
        <f t="shared" ca="1" si="21"/>
        <v>0.27400000000000002</v>
      </c>
      <c r="E66" s="285">
        <f t="shared" ca="1" si="21"/>
        <v>0.27829166421190371</v>
      </c>
      <c r="F66" s="285">
        <f t="shared" ca="1" si="21"/>
        <v>0.28240383101132488</v>
      </c>
      <c r="G66" s="285">
        <f t="shared" ca="1" si="21"/>
        <v>0.28765906012099163</v>
      </c>
      <c r="H66" s="285">
        <f t="shared" ca="1" si="21"/>
        <v>0.29365442482109538</v>
      </c>
      <c r="I66" s="285">
        <f t="shared" ca="1" si="21"/>
        <v>0.30008424001461126</v>
      </c>
      <c r="K66" s="42"/>
      <c r="L66" s="732"/>
    </row>
    <row r="67" spans="1:21" ht="12.75" customHeight="1" outlineLevel="1">
      <c r="A67" s="61" t="s">
        <v>647</v>
      </c>
      <c r="B67" s="285">
        <f t="shared" ref="B67:I67" ca="1" si="22">+B45+B33+B56</f>
        <v>0</v>
      </c>
      <c r="C67" s="285">
        <f t="shared" ca="1" si="22"/>
        <v>0</v>
      </c>
      <c r="D67" s="285">
        <f t="shared" ca="1" si="22"/>
        <v>0.24299999999999999</v>
      </c>
      <c r="E67" s="285">
        <f t="shared" ca="1" si="22"/>
        <v>0.24680611096165181</v>
      </c>
      <c r="F67" s="285">
        <f t="shared" ca="1" si="22"/>
        <v>0.25045303261223334</v>
      </c>
      <c r="G67" s="285">
        <f t="shared" ca="1" si="22"/>
        <v>0.25511369200511297</v>
      </c>
      <c r="H67" s="285">
        <f t="shared" ca="1" si="22"/>
        <v>0.26043074902016849</v>
      </c>
      <c r="I67" s="285">
        <f t="shared" ca="1" si="22"/>
        <v>0.26613310337062235</v>
      </c>
      <c r="K67" s="42"/>
      <c r="L67" s="21"/>
    </row>
    <row r="68" spans="1:21" s="759" customFormat="1" ht="12.75" customHeight="1" outlineLevel="1">
      <c r="A68" s="61" t="s">
        <v>575</v>
      </c>
      <c r="B68" s="285">
        <f t="shared" ref="B68:I68" ca="1" si="23">+B46+B34+B57</f>
        <v>0</v>
      </c>
      <c r="C68" s="285">
        <f t="shared" ca="1" si="23"/>
        <v>0</v>
      </c>
      <c r="D68" s="285">
        <f t="shared" ca="1" si="23"/>
        <v>0.17100000000000001</v>
      </c>
      <c r="E68" s="285">
        <f t="shared" ca="1" si="23"/>
        <v>0.17652254628444064</v>
      </c>
      <c r="F68" s="285">
        <f t="shared" ca="1" si="23"/>
        <v>0.18206438870618571</v>
      </c>
      <c r="G68" s="285">
        <f t="shared" ca="1" si="23"/>
        <v>0.18795826769590065</v>
      </c>
      <c r="H68" s="285">
        <f t="shared" ca="1" si="23"/>
        <v>0.19417965603011425</v>
      </c>
      <c r="I68" s="285">
        <f t="shared" ca="1" si="23"/>
        <v>0.20041741363532711</v>
      </c>
      <c r="K68" s="42"/>
      <c r="L68" s="732"/>
    </row>
    <row r="69" spans="1:21"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1" s="87" customFormat="1" ht="18" customHeight="1" thickBot="1">
      <c r="A70" s="99" t="s">
        <v>129</v>
      </c>
      <c r="B70" s="295">
        <f t="shared" ref="B70:I70" ca="1" si="25">SUM(B64:B69)</f>
        <v>0</v>
      </c>
      <c r="C70" s="295">
        <f t="shared" ca="1" si="25"/>
        <v>0</v>
      </c>
      <c r="D70" s="295">
        <f t="shared" ca="1" si="25"/>
        <v>1.8669999999999998</v>
      </c>
      <c r="E70" s="295">
        <f t="shared" ca="1" si="25"/>
        <v>1.9186751391535346</v>
      </c>
      <c r="F70" s="295">
        <f t="shared" ca="1" si="25"/>
        <v>1.9701630377452577</v>
      </c>
      <c r="G70" s="295">
        <f t="shared" ca="1" si="25"/>
        <v>2.0265848005929747</v>
      </c>
      <c r="H70" s="295">
        <f t="shared" ca="1" si="25"/>
        <v>2.0869876067206454</v>
      </c>
      <c r="I70" s="295">
        <f t="shared" ca="1" si="25"/>
        <v>2.1483384104949579</v>
      </c>
      <c r="J70" s="91" t="str">
        <f ca="1">IF(ROUND(SUM(B48:I48)+SUM(B36:I36)+SUM(B59:I59)-SUM(B70:I70),3)&lt;&gt;0,"Warning Check Totals","OK")</f>
        <v>OK</v>
      </c>
      <c r="L70" s="86"/>
    </row>
    <row r="71" spans="1:21">
      <c r="A71" s="88"/>
      <c r="B71" s="89"/>
      <c r="C71" s="89"/>
      <c r="D71" s="89"/>
      <c r="E71" s="89"/>
      <c r="F71" s="89"/>
      <c r="G71" s="89"/>
      <c r="H71" s="89"/>
      <c r="I71" s="89"/>
      <c r="J71" s="100"/>
    </row>
    <row r="72" spans="1:21">
      <c r="A72" s="92"/>
      <c r="B72" s="95"/>
      <c r="C72" s="95"/>
      <c r="D72" s="95"/>
      <c r="E72" s="95"/>
      <c r="F72" s="95"/>
      <c r="G72" s="95"/>
      <c r="H72" s="95"/>
      <c r="I72" s="95"/>
      <c r="J72" s="100"/>
    </row>
    <row r="73" spans="1:21"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1" ht="13.5" outlineLevel="1" thickBot="1">
      <c r="A74" s="208" t="s">
        <v>132</v>
      </c>
      <c r="B74" s="209"/>
      <c r="C74" s="209"/>
      <c r="D74" s="209"/>
      <c r="E74" s="209"/>
      <c r="F74" s="209"/>
      <c r="G74" s="209"/>
      <c r="H74" s="209"/>
      <c r="I74" s="210"/>
      <c r="J74" s="211" t="s">
        <v>133</v>
      </c>
      <c r="K74" s="211" t="s">
        <v>134</v>
      </c>
      <c r="N74" s="410" t="s">
        <v>376</v>
      </c>
    </row>
    <row r="75" spans="1:21"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1"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1"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79"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1.2498530855294973E-2</v>
      </c>
      <c r="Q77" s="285">
        <f ca="1">IF($B77&lt;&gt;0,(+VLOOKUP($B77,$A$8:$I$13,6,FALSE))*(F77),0)</f>
        <v>2.4079492255614638E-2</v>
      </c>
      <c r="R77" s="285">
        <f ca="1">IF($B77&lt;&gt;0,(+VLOOKUP($B77,$A$8:$I$13,7,FALSE))*(G77),0)</f>
        <v>3.5527144002178747E-2</v>
      </c>
      <c r="S77" s="285">
        <f ca="1">IF($B77&lt;&gt;0,(+VLOOKUP($B77,$A$8:$I$13,8,FALSE))*(H77),0)</f>
        <v>4.7946926723160928E-2</v>
      </c>
      <c r="T77" s="285">
        <f ca="1">IF($B77&lt;&gt;0,(+VLOOKUP($B77,$A$8:$I$13,9,FALSE))*(I77),0)</f>
        <v>5.9323540645632208E-2</v>
      </c>
      <c r="U77" t="s">
        <v>414</v>
      </c>
    </row>
    <row r="78" spans="1:21"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1.0609958281235122E-5</v>
      </c>
      <c r="Q78" s="285">
        <f ca="1">IF($B78&lt;&gt;0,(+VLOOKUP($B78,$A$8:$I$13,6,FALSE))*(F78),0)</f>
        <v>2.0440995123611749E-5</v>
      </c>
      <c r="R78" s="285">
        <f ca="1">IF($B78&lt;&gt;0,(+VLOOKUP($B78,$A$8:$I$13,7,FALSE))*(G78),0)</f>
        <v>3.0158865876212861E-5</v>
      </c>
      <c r="S78" s="285">
        <f ca="1">IF($B78&lt;&gt;0,(+VLOOKUP($B78,$A$8:$I$13,8,FALSE))*(H78),0)</f>
        <v>4.0701975146995693E-5</v>
      </c>
      <c r="T78" s="285">
        <f ca="1">IF($B78&lt;&gt;0,(+VLOOKUP($B78,$A$8:$I$13,9,FALSE))*(I78),0)</f>
        <v>5.0359542144000181E-5</v>
      </c>
      <c r="U78" t="s">
        <v>415</v>
      </c>
    </row>
    <row r="79" spans="1:21"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2.9071285690584234E-3</v>
      </c>
      <c r="Q79" s="285">
        <f t="shared" ref="Q79:Q80" ca="1" si="34">IF($B79&lt;&gt;0,(+VLOOKUP($B79,$A$8:$I$13,6,FALSE))*(F79),0)</f>
        <v>5.6008326638696199E-3</v>
      </c>
      <c r="R79" s="285">
        <f t="shared" ref="R79:R80" ca="1" si="35">IF($B79&lt;&gt;0,(+VLOOKUP($B79,$A$8:$I$13,7,FALSE))*(G79),0)</f>
        <v>8.2635292500823233E-3</v>
      </c>
      <c r="S79" s="285">
        <f t="shared" ref="S79:S80" ca="1" si="36">IF($B79&lt;&gt;0,(+VLOOKUP($B79,$A$8:$I$13,8,FALSE))*(H79),0)</f>
        <v>1.1152341190276822E-2</v>
      </c>
      <c r="T79" s="285">
        <f t="shared" ref="T79:T80" ca="1" si="37">IF($B79&lt;&gt;0,(+VLOOKUP($B79,$A$8:$I$13,9,FALSE))*(I79),0)</f>
        <v>1.3798514547456051E-2</v>
      </c>
      <c r="U79" t="s">
        <v>415</v>
      </c>
    </row>
    <row r="80" spans="1:21"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ref="J80:J82" si="44">IF(ISNA(VLOOKUP($A80,Escalations_Specific_Costs,+I$73+3,FALSE)),0,VLOOKUP($A80,Escalations_Specific_Costs,+I$73+3,FALSE))</f>
        <v>Cumulative</v>
      </c>
      <c r="K80" s="106" t="str">
        <f t="shared" si="30"/>
        <v>Yes</v>
      </c>
      <c r="L80" s="788"/>
      <c r="M80" s="103"/>
      <c r="N80" s="285">
        <f t="shared" ca="1" si="31"/>
        <v>0</v>
      </c>
      <c r="O80" s="285">
        <f t="shared" ca="1" si="32"/>
        <v>0</v>
      </c>
      <c r="P80" s="285">
        <f t="shared" ca="1" si="33"/>
        <v>2.5782198623401343E-3</v>
      </c>
      <c r="Q80" s="285">
        <f t="shared" ca="1" si="34"/>
        <v>4.9671618150376549E-3</v>
      </c>
      <c r="R80" s="285">
        <f t="shared" ca="1" si="35"/>
        <v>7.3286044079197248E-3</v>
      </c>
      <c r="S80" s="285">
        <f t="shared" ca="1" si="36"/>
        <v>9.8905799607199533E-3</v>
      </c>
      <c r="T80" s="285">
        <f t="shared" ca="1" si="37"/>
        <v>1.2237368740992044E-2</v>
      </c>
      <c r="U80" t="s">
        <v>416</v>
      </c>
    </row>
    <row r="81" spans="1:21"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44"/>
        <v>Cumulative</v>
      </c>
      <c r="K81" s="106" t="str">
        <f t="shared" si="30"/>
        <v>Yes</v>
      </c>
      <c r="L81" s="788"/>
      <c r="M81" s="103"/>
      <c r="N81" s="285">
        <f ca="1">IF($B81&lt;&gt;0,(+VLOOKUP($B81,$A$8:$I$13,3,FALSE))*(C81),0)</f>
        <v>0</v>
      </c>
      <c r="O81" s="285">
        <f ca="1">IF($B81&lt;&gt;0,(+VLOOKUP($B81,$A$8:$I$13,4,FALSE))*(D81),0)</f>
        <v>0</v>
      </c>
      <c r="P81" s="285">
        <f ca="1">IF($B81&lt;&gt;0,(+VLOOKUP($B81,$A$8:$I$13,5,FALSE))*(E81),0)</f>
        <v>1.8143028660912058E-3</v>
      </c>
      <c r="Q81" s="285">
        <f ca="1">IF($B81&lt;&gt;0,(+VLOOKUP($B81,$A$8:$I$13,6,FALSE))*(F81),0)</f>
        <v>3.4954101661376093E-3</v>
      </c>
      <c r="R81" s="285">
        <f ca="1">IF($B81&lt;&gt;0,(+VLOOKUP($B81,$A$8:$I$13,7,FALSE))*(G81),0)</f>
        <v>5.1571660648323994E-3</v>
      </c>
      <c r="S81" s="285">
        <f ca="1">IF($B81&lt;&gt;0,(+VLOOKUP($B81,$A$8:$I$13,8,FALSE))*(H81),0)</f>
        <v>6.9600377501362644E-3</v>
      </c>
      <c r="T81" s="285">
        <f ca="1">IF($B81&lt;&gt;0,(+VLOOKUP($B81,$A$8:$I$13,9,FALSE))*(I81),0)</f>
        <v>8.6114817066240308E-3</v>
      </c>
      <c r="U81" t="s">
        <v>415</v>
      </c>
    </row>
    <row r="82" spans="1:21"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44"/>
        <v>Cumulative</v>
      </c>
      <c r="K82" s="106" t="str">
        <f t="shared" si="30"/>
        <v>Yes</v>
      </c>
      <c r="L82" s="788"/>
      <c r="M82" s="103"/>
      <c r="N82" s="285">
        <f t="shared" ref="N82" ca="1" si="45">IF($B82&lt;&gt;0,(+VLOOKUP($B82,$A$8:$I$13,3,FALSE))*(C82),0)</f>
        <v>0</v>
      </c>
      <c r="O82" s="285">
        <f t="shared" ref="O82" ca="1" si="46">IF($B82&lt;&gt;0,(+VLOOKUP($B82,$A$8:$I$13,4,FALSE))*(D82),0)</f>
        <v>0</v>
      </c>
      <c r="P82" s="285">
        <f t="shared" ref="P82" ca="1" si="47">IF($B82&lt;&gt;0,(+VLOOKUP($B82,$A$8:$I$13,5,FALSE))*(E82),0)</f>
        <v>0</v>
      </c>
      <c r="Q82" s="285">
        <f t="shared" ref="Q82" ca="1" si="48">IF($B82&lt;&gt;0,(+VLOOKUP($B82,$A$8:$I$13,6,FALSE))*(F82),0)</f>
        <v>0</v>
      </c>
      <c r="R82" s="285">
        <f t="shared" ref="R82" ca="1" si="49">IF($B82&lt;&gt;0,(+VLOOKUP($B82,$A$8:$I$13,7,FALSE))*(G82),0)</f>
        <v>0</v>
      </c>
      <c r="S82" s="285">
        <f t="shared" ref="S82" ca="1" si="50">IF($B82&lt;&gt;0,(+VLOOKUP($B82,$A$8:$I$13,8,FALSE))*(H82),0)</f>
        <v>0</v>
      </c>
      <c r="T82" s="285">
        <f t="shared" ref="T82" ca="1" si="51">IF($B82&lt;&gt;0,(+VLOOKUP($B82,$A$8:$I$13,9,FALSE))*(I82),0)</f>
        <v>0</v>
      </c>
      <c r="U82" t="s">
        <v>415</v>
      </c>
    </row>
    <row r="83" spans="1:21" ht="11.25" customHeight="1" outlineLevel="1" thickBot="1">
      <c r="A83" s="214" t="s">
        <v>161</v>
      </c>
      <c r="B83" s="202"/>
      <c r="C83" s="202"/>
      <c r="D83" s="202"/>
      <c r="E83" s="202"/>
      <c r="F83" s="202"/>
      <c r="G83" s="202"/>
      <c r="H83" s="202"/>
      <c r="I83" s="203"/>
      <c r="J83" s="3"/>
      <c r="K83" s="3"/>
      <c r="L83" s="3"/>
      <c r="N83" s="292">
        <f ca="1">SUM(N77:N82)</f>
        <v>0</v>
      </c>
      <c r="O83" s="292">
        <f t="shared" ref="O83:T83" ca="1" si="52">SUM(O77:O82)</f>
        <v>0</v>
      </c>
      <c r="P83" s="292">
        <f t="shared" ca="1" si="52"/>
        <v>1.9808792111065971E-2</v>
      </c>
      <c r="Q83" s="292">
        <f t="shared" ca="1" si="52"/>
        <v>3.8163337895783134E-2</v>
      </c>
      <c r="R83" s="292">
        <f t="shared" ca="1" si="52"/>
        <v>5.6306602590889411E-2</v>
      </c>
      <c r="S83" s="292">
        <f t="shared" ca="1" si="52"/>
        <v>7.5990587599440967E-2</v>
      </c>
      <c r="T83" s="292">
        <f t="shared" ca="1" si="52"/>
        <v>9.4021265182848326E-2</v>
      </c>
    </row>
    <row r="84" spans="1:21" ht="12" customHeight="1" outlineLevel="1" thickBot="1">
      <c r="B84" s="42"/>
      <c r="C84" s="42"/>
      <c r="D84" s="42"/>
      <c r="E84" s="42"/>
      <c r="F84" s="42"/>
      <c r="G84" s="42"/>
      <c r="H84" s="42"/>
      <c r="I84" s="78"/>
      <c r="M84" s="411" t="s">
        <v>373</v>
      </c>
      <c r="N84" s="412">
        <f ca="1">ROUND(N83-C104,3)</f>
        <v>0</v>
      </c>
      <c r="O84" s="412">
        <f t="shared" ref="O84:T84" ca="1" si="53">ROUND(O83-D104,3)</f>
        <v>0</v>
      </c>
      <c r="P84" s="412">
        <f t="shared" ca="1" si="53"/>
        <v>0</v>
      </c>
      <c r="Q84" s="412">
        <f t="shared" ca="1" si="53"/>
        <v>0</v>
      </c>
      <c r="R84" s="412">
        <f t="shared" ca="1" si="53"/>
        <v>0</v>
      </c>
      <c r="S84" s="412">
        <f t="shared" ca="1" si="53"/>
        <v>0</v>
      </c>
      <c r="T84" s="413">
        <f t="shared" ca="1" si="53"/>
        <v>0</v>
      </c>
    </row>
    <row r="85" spans="1:21" outlineLevel="1">
      <c r="A85" s="208" t="s">
        <v>137</v>
      </c>
      <c r="B85" s="209"/>
      <c r="C85" s="209"/>
      <c r="D85" s="209"/>
      <c r="E85" s="209"/>
      <c r="F85" s="209"/>
      <c r="G85" s="209"/>
      <c r="H85" s="209"/>
      <c r="I85" s="210"/>
    </row>
    <row r="86" spans="1:21"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1"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1"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1"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1"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1"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1"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1"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1" ht="13.5" outlineLevel="1" thickBot="1">
      <c r="A94" s="116" t="s">
        <v>140</v>
      </c>
      <c r="B94" s="117"/>
      <c r="C94" s="117">
        <f t="shared" ref="C94:I94" si="54">+C92-C93</f>
        <v>0</v>
      </c>
      <c r="D94" s="117">
        <f t="shared" si="54"/>
        <v>0</v>
      </c>
      <c r="E94" s="117">
        <f t="shared" si="54"/>
        <v>0</v>
      </c>
      <c r="F94" s="117">
        <f t="shared" si="54"/>
        <v>0</v>
      </c>
      <c r="G94" s="117">
        <f t="shared" si="54"/>
        <v>0</v>
      </c>
      <c r="H94" s="117">
        <f t="shared" si="54"/>
        <v>0</v>
      </c>
      <c r="I94" s="117">
        <f t="shared" si="54"/>
        <v>0</v>
      </c>
      <c r="J94" s="118" t="str">
        <f>IF(SUM(C94:I94)&lt;&gt;0,"Warning Check Escalations","OK")</f>
        <v>OK</v>
      </c>
    </row>
    <row r="95" spans="1:21" outlineLevel="1">
      <c r="A95" s="107"/>
      <c r="B95" s="42"/>
      <c r="C95" s="42"/>
      <c r="D95" s="42"/>
      <c r="E95" s="42"/>
      <c r="F95" s="42"/>
      <c r="G95" s="42"/>
      <c r="H95" s="42"/>
      <c r="I95" s="78"/>
    </row>
    <row r="96" spans="1:21"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5">+D8*(D86)</f>
        <v>0</v>
      </c>
      <c r="E98" s="285">
        <f ca="1">+E8*(E86)</f>
        <v>1.2498530855294973E-2</v>
      </c>
      <c r="F98" s="285">
        <f t="shared" ca="1" si="55"/>
        <v>2.4079492255614638E-2</v>
      </c>
      <c r="G98" s="285">
        <f t="shared" ca="1" si="55"/>
        <v>3.5527144002178747E-2</v>
      </c>
      <c r="H98" s="285">
        <f t="shared" ca="1" si="55"/>
        <v>4.7946926723160928E-2</v>
      </c>
      <c r="I98" s="285">
        <f t="shared" ca="1" si="55"/>
        <v>5.9323540645632208E-2</v>
      </c>
    </row>
    <row r="99" spans="1:20" outlineLevel="1">
      <c r="A99" s="61" t="s">
        <v>69</v>
      </c>
      <c r="B99" s="119"/>
      <c r="C99" s="285">
        <f t="shared" ref="C99:I99" ca="1" si="56">+C9*(C87)</f>
        <v>0</v>
      </c>
      <c r="D99" s="285">
        <f t="shared" ca="1" si="56"/>
        <v>0</v>
      </c>
      <c r="E99" s="285">
        <f t="shared" ca="1" si="56"/>
        <v>1.0609958281235122E-5</v>
      </c>
      <c r="F99" s="285">
        <f t="shared" ca="1" si="56"/>
        <v>2.0440995123611749E-5</v>
      </c>
      <c r="G99" s="285">
        <f t="shared" ca="1" si="56"/>
        <v>3.0158865876212861E-5</v>
      </c>
      <c r="H99" s="285">
        <f t="shared" ca="1" si="56"/>
        <v>4.0701975146995693E-5</v>
      </c>
      <c r="I99" s="285">
        <f t="shared" ca="1" si="56"/>
        <v>5.0359542144000181E-5</v>
      </c>
    </row>
    <row r="100" spans="1:20" s="759" customFormat="1" outlineLevel="1">
      <c r="A100" s="61" t="s">
        <v>646</v>
      </c>
      <c r="B100" s="119"/>
      <c r="C100" s="285">
        <f t="shared" ref="C100:I100" ca="1" si="57">+C10*(C88)</f>
        <v>0</v>
      </c>
      <c r="D100" s="285">
        <f t="shared" ca="1" si="57"/>
        <v>0</v>
      </c>
      <c r="E100" s="285">
        <f t="shared" ca="1" si="57"/>
        <v>2.9071285690584234E-3</v>
      </c>
      <c r="F100" s="285">
        <f t="shared" ca="1" si="57"/>
        <v>5.6008326638696199E-3</v>
      </c>
      <c r="G100" s="285">
        <f t="shared" ca="1" si="57"/>
        <v>8.2635292500823233E-3</v>
      </c>
      <c r="H100" s="285">
        <f t="shared" ca="1" si="57"/>
        <v>1.1152341190276822E-2</v>
      </c>
      <c r="I100" s="285">
        <f t="shared" ca="1" si="57"/>
        <v>1.3798514547456051E-2</v>
      </c>
    </row>
    <row r="101" spans="1:20" outlineLevel="1">
      <c r="A101" s="61" t="s">
        <v>647</v>
      </c>
      <c r="B101" s="119"/>
      <c r="C101" s="285">
        <f t="shared" ref="C101:I101" ca="1" si="58">+C11*(C89)</f>
        <v>0</v>
      </c>
      <c r="D101" s="285">
        <f t="shared" ca="1" si="58"/>
        <v>0</v>
      </c>
      <c r="E101" s="285">
        <f t="shared" ca="1" si="58"/>
        <v>2.5782198623401343E-3</v>
      </c>
      <c r="F101" s="285">
        <f t="shared" ca="1" si="58"/>
        <v>4.9671618150376549E-3</v>
      </c>
      <c r="G101" s="285">
        <f t="shared" ca="1" si="58"/>
        <v>7.3286044079197248E-3</v>
      </c>
      <c r="H101" s="285">
        <f t="shared" ca="1" si="58"/>
        <v>9.8905799607199533E-3</v>
      </c>
      <c r="I101" s="285">
        <f t="shared" ca="1" si="58"/>
        <v>1.2237368740992044E-2</v>
      </c>
    </row>
    <row r="102" spans="1:20" s="759" customFormat="1" outlineLevel="1">
      <c r="A102" s="61" t="s">
        <v>575</v>
      </c>
      <c r="B102" s="119"/>
      <c r="C102" s="285">
        <f t="shared" ref="C102:I102" ca="1" si="59">+C12*(C90)</f>
        <v>0</v>
      </c>
      <c r="D102" s="285">
        <f t="shared" ca="1" si="59"/>
        <v>0</v>
      </c>
      <c r="E102" s="285">
        <f t="shared" ca="1" si="59"/>
        <v>1.8143028660912058E-3</v>
      </c>
      <c r="F102" s="285">
        <f t="shared" ca="1" si="59"/>
        <v>3.4954101661376093E-3</v>
      </c>
      <c r="G102" s="285">
        <f t="shared" ca="1" si="59"/>
        <v>5.1571660648323994E-3</v>
      </c>
      <c r="H102" s="285">
        <f t="shared" ca="1" si="59"/>
        <v>6.9600377501362644E-3</v>
      </c>
      <c r="I102" s="285">
        <f t="shared" ca="1" si="59"/>
        <v>8.6114817066240308E-3</v>
      </c>
    </row>
    <row r="103" spans="1:20" outlineLevel="1">
      <c r="A103" s="83" t="s">
        <v>70</v>
      </c>
      <c r="B103" s="119"/>
      <c r="C103" s="285">
        <f t="shared" ref="C103:I103" ca="1" si="60">+C13*(C91)</f>
        <v>0</v>
      </c>
      <c r="D103" s="285">
        <f t="shared" ca="1" si="60"/>
        <v>0</v>
      </c>
      <c r="E103" s="285">
        <f t="shared" ca="1" si="60"/>
        <v>0</v>
      </c>
      <c r="F103" s="285">
        <f t="shared" ca="1" si="60"/>
        <v>0</v>
      </c>
      <c r="G103" s="285">
        <f t="shared" ca="1" si="60"/>
        <v>0</v>
      </c>
      <c r="H103" s="285">
        <f t="shared" ca="1" si="60"/>
        <v>0</v>
      </c>
      <c r="I103" s="285">
        <f t="shared" ca="1" si="60"/>
        <v>0</v>
      </c>
    </row>
    <row r="104" spans="1:20" outlineLevel="1">
      <c r="A104" s="120" t="s">
        <v>142</v>
      </c>
      <c r="B104" s="121"/>
      <c r="C104" s="296">
        <f t="shared" ref="C104:I104" ca="1" si="61">SUM(C98:C103)</f>
        <v>0</v>
      </c>
      <c r="D104" s="296">
        <f t="shared" ca="1" si="61"/>
        <v>0</v>
      </c>
      <c r="E104" s="296">
        <f t="shared" ca="1" si="61"/>
        <v>1.9808792111065971E-2</v>
      </c>
      <c r="F104" s="296">
        <f t="shared" ca="1" si="61"/>
        <v>3.8163337895783134E-2</v>
      </c>
      <c r="G104" s="296">
        <f t="shared" ca="1" si="61"/>
        <v>5.6306602590889411E-2</v>
      </c>
      <c r="H104" s="296">
        <f t="shared" ca="1" si="61"/>
        <v>7.5990587599440967E-2</v>
      </c>
      <c r="I104" s="296">
        <f t="shared" ca="1" si="61"/>
        <v>9.4021265182848326E-2</v>
      </c>
    </row>
    <row r="105" spans="1:20" ht="13.5" outlineLevel="1" thickBot="1">
      <c r="A105" s="122" t="s">
        <v>143</v>
      </c>
      <c r="B105" s="123"/>
      <c r="C105" s="124">
        <f t="shared" ref="C105:I105" ca="1" si="62">IF(C36&lt;&gt;0,+C104/C36,0)</f>
        <v>0</v>
      </c>
      <c r="D105" s="124">
        <f t="shared" ca="1" si="62"/>
        <v>0</v>
      </c>
      <c r="E105" s="124">
        <f t="shared" ca="1" si="62"/>
        <v>1.0609958281235123E-2</v>
      </c>
      <c r="F105" s="124">
        <f t="shared" ca="1" si="62"/>
        <v>2.0440995123611749E-2</v>
      </c>
      <c r="G105" s="124">
        <f t="shared" ca="1" si="62"/>
        <v>3.0158865876212866E-2</v>
      </c>
      <c r="H105" s="124">
        <f t="shared" ca="1" si="62"/>
        <v>4.0701975146995702E-2</v>
      </c>
      <c r="I105" s="124">
        <f t="shared" ca="1" si="62"/>
        <v>5.035954214400018E-2</v>
      </c>
    </row>
    <row r="106" spans="1:20" ht="7.5" customHeight="1" outlineLevel="1"/>
    <row r="108" spans="1:20" ht="18">
      <c r="A108" s="206" t="s">
        <v>144</v>
      </c>
      <c r="B108" s="200"/>
      <c r="C108" s="204">
        <v>2</v>
      </c>
      <c r="D108" s="204">
        <f t="shared" ref="D108:I108" si="63">+C108+1</f>
        <v>3</v>
      </c>
      <c r="E108" s="204">
        <f t="shared" si="63"/>
        <v>4</v>
      </c>
      <c r="F108" s="204">
        <f t="shared" si="63"/>
        <v>5</v>
      </c>
      <c r="G108" s="204">
        <f t="shared" si="63"/>
        <v>6</v>
      </c>
      <c r="H108" s="204">
        <f t="shared" si="63"/>
        <v>7</v>
      </c>
      <c r="I108" s="205">
        <f t="shared" si="63"/>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4">IF(ISNA(VLOOKUP($A113,Escalations_General_Costs,+I$73+3,FALSE)),0,VLOOKUP($A113,Escalations_General_Costs,+I$73+3,FALSE))</f>
        <v>Cumulative</v>
      </c>
      <c r="K113" s="106" t="str">
        <f t="shared" ref="K113:K118" si="65">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2.5545676881962517E-2</v>
      </c>
      <c r="Q113" s="285">
        <f ca="1">IF($B113&lt;&gt;0,(+VLOOKUP($B113,$A$8:$I$13,6,FALSE)+VLOOKUP($B113,$A$42:$I$47,6,FALSE))*(F113),0)</f>
        <v>5.2141852164775661E-2</v>
      </c>
      <c r="R113" s="285">
        <f ca="1">IF($B113&lt;&gt;0,(+VLOOKUP($B113,$A$8:$I$13,7,FALSE)+VLOOKUP($B113,$A$42:$I$47,7,FALSE))*(G113),0)</f>
        <v>8.1296477902914402E-2</v>
      </c>
      <c r="S113" s="285">
        <f ca="1">IF($B113&lt;&gt;0,(+VLOOKUP($B113,$A$8:$I$13,8,FALSE)+VLOOKUP($B113,$A$42:$I$47,8,FALSE))*(H113),0)</f>
        <v>0.11173514815095939</v>
      </c>
      <c r="T113" s="285">
        <f ca="1">IF($B113&lt;&gt;0,(+VLOOKUP($B113,$A$8:$I$13,9,FALSE)+VLOOKUP($B113,$A$42:$I$47,9,FALSE))*(I113),0)</f>
        <v>0.14332975328662095</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4"/>
        <v>Cumulative</v>
      </c>
      <c r="K114" s="106" t="str">
        <f t="shared" si="65"/>
        <v>Yes</v>
      </c>
      <c r="M114" s="103"/>
      <c r="N114" s="285">
        <f t="shared" ref="N114:N118" ca="1" si="66">IF($B114&lt;&gt;0,(+VLOOKUP($B114,$A$8:$I$13,3,FALSE)+VLOOKUP($B114,$A$42:$I$47,3,FALSE))*(C114),0)</f>
        <v>0</v>
      </c>
      <c r="O114" s="285">
        <f t="shared" ref="O114:O118" ca="1" si="67">IF($B114&lt;&gt;0,(+VLOOKUP($B114,$A$8:$I$13,4,FALSE)+VLOOKUP($B114,$A$42:$I$47,4,FALSE))*(D114),0)</f>
        <v>0</v>
      </c>
      <c r="P114" s="285">
        <f t="shared" ref="P114:P118" ca="1" si="68">IF($B114&lt;&gt;0,(+VLOOKUP($B114,$A$8:$I$13,5,FALSE)+VLOOKUP($B114,$A$42:$I$47,5,FALSE))*(E114),0)</f>
        <v>0</v>
      </c>
      <c r="Q114" s="285">
        <f t="shared" ref="Q114:Q118" ca="1" si="69">IF($B114&lt;&gt;0,(+VLOOKUP($B114,$A$8:$I$13,6,FALSE)+VLOOKUP($B114,$A$42:$I$47,6,FALSE))*(F114),0)</f>
        <v>0</v>
      </c>
      <c r="R114" s="285">
        <f t="shared" ref="R114:R118" ca="1" si="70">IF($B114&lt;&gt;0,(+VLOOKUP($B114,$A$8:$I$13,7,FALSE)+VLOOKUP($B114,$A$42:$I$47,7,FALSE))*(G114),0)</f>
        <v>0</v>
      </c>
      <c r="S114" s="285">
        <f t="shared" ref="S114:S118" ca="1" si="71">IF($B114&lt;&gt;0,(+VLOOKUP($B114,$A$8:$I$13,8,FALSE)+VLOOKUP($B114,$A$42:$I$47,8,FALSE))*(H114),0)</f>
        <v>0</v>
      </c>
      <c r="T114" s="285">
        <f t="shared" ref="T114:T118" ca="1" si="72">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4"/>
        <v>Cumulative</v>
      </c>
      <c r="K115" s="106" t="str">
        <f t="shared" si="65"/>
        <v>Yes</v>
      </c>
      <c r="M115" s="103"/>
      <c r="N115" s="285">
        <f t="shared" ca="1" si="66"/>
        <v>0</v>
      </c>
      <c r="O115" s="285">
        <f ca="1">IF($B115&lt;&gt;0,(+VLOOKUP($B115,$A$8:$I$13,4,FALSE)+VLOOKUP($B115,$A$42:$I$47,4,FALSE))*(D115),0)</f>
        <v>0</v>
      </c>
      <c r="P115" s="285">
        <f t="shared" ca="1" si="68"/>
        <v>1.3845356428452628E-3</v>
      </c>
      <c r="Q115" s="285">
        <f t="shared" ca="1" si="69"/>
        <v>2.8029983474552175E-3</v>
      </c>
      <c r="R115" s="285">
        <f t="shared" ca="1" si="70"/>
        <v>5.3955308709092683E-3</v>
      </c>
      <c r="S115" s="285">
        <f t="shared" ca="1" si="71"/>
        <v>8.5020836308185438E-3</v>
      </c>
      <c r="T115" s="285">
        <f t="shared" ca="1" si="72"/>
        <v>1.2285725467155178E-2</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4"/>
        <v>Cumulative</v>
      </c>
      <c r="K116" s="106" t="str">
        <f t="shared" si="65"/>
        <v>Yes</v>
      </c>
      <c r="M116" s="103"/>
      <c r="N116" s="285">
        <f t="shared" ca="1" si="66"/>
        <v>0</v>
      </c>
      <c r="O116" s="285">
        <f t="shared" ca="1" si="67"/>
        <v>0</v>
      </c>
      <c r="P116" s="285">
        <f t="shared" ca="1" si="68"/>
        <v>1.2278910993116744E-3</v>
      </c>
      <c r="Q116" s="285">
        <f t="shared" ca="1" si="69"/>
        <v>2.4858707971956852E-3</v>
      </c>
      <c r="R116" s="285">
        <f t="shared" ca="1" si="70"/>
        <v>4.7850875971932553E-3</v>
      </c>
      <c r="S116" s="285">
        <f t="shared" ca="1" si="71"/>
        <v>7.5401690594485626E-3</v>
      </c>
      <c r="T116" s="285">
        <f t="shared" ca="1" si="72"/>
        <v>1.0895734629630321E-2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4"/>
        <v>Cumulative</v>
      </c>
      <c r="K117" s="106" t="str">
        <f t="shared" si="65"/>
        <v>Yes</v>
      </c>
      <c r="M117" s="103"/>
      <c r="N117" s="285">
        <f t="shared" ca="1" si="66"/>
        <v>0</v>
      </c>
      <c r="O117" s="285">
        <f t="shared" ca="1" si="67"/>
        <v>0</v>
      </c>
      <c r="P117" s="285">
        <f t="shared" ca="1" si="68"/>
        <v>3.7082434183493985E-3</v>
      </c>
      <c r="Q117" s="285">
        <f t="shared" ca="1" si="69"/>
        <v>7.5689785400480806E-3</v>
      </c>
      <c r="R117" s="285">
        <f t="shared" ca="1" si="70"/>
        <v>1.1801101631068222E-2</v>
      </c>
      <c r="S117" s="285">
        <f t="shared" ca="1" si="71"/>
        <v>1.6219618279977976E-2</v>
      </c>
      <c r="T117" s="285">
        <f t="shared" ca="1" si="72"/>
        <v>2.0805931928703045E-2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4"/>
        <v>Cumulative</v>
      </c>
      <c r="K118" s="106" t="str">
        <f t="shared" si="65"/>
        <v>Yes</v>
      </c>
      <c r="M118" s="103"/>
      <c r="N118" s="285">
        <f t="shared" ca="1" si="66"/>
        <v>0</v>
      </c>
      <c r="O118" s="285">
        <f t="shared" ca="1" si="67"/>
        <v>0</v>
      </c>
      <c r="P118" s="285">
        <f t="shared" ca="1" si="68"/>
        <v>0</v>
      </c>
      <c r="Q118" s="285">
        <f t="shared" ca="1" si="69"/>
        <v>0</v>
      </c>
      <c r="R118" s="285">
        <f t="shared" ca="1" si="70"/>
        <v>0</v>
      </c>
      <c r="S118" s="285">
        <f t="shared" ca="1" si="71"/>
        <v>0</v>
      </c>
      <c r="T118" s="285">
        <f t="shared" ca="1" si="72"/>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3">SUM(O113:O118)</f>
        <v>0</v>
      </c>
      <c r="P119" s="292">
        <f t="shared" ca="1" si="73"/>
        <v>3.1866347042468851E-2</v>
      </c>
      <c r="Q119" s="292">
        <f t="shared" ca="1" si="73"/>
        <v>6.4999699849474651E-2</v>
      </c>
      <c r="R119" s="292">
        <f t="shared" ca="1" si="73"/>
        <v>0.10327819800208515</v>
      </c>
      <c r="S119" s="292">
        <f t="shared" ca="1" si="73"/>
        <v>0.14399701912120447</v>
      </c>
      <c r="T119" s="292">
        <f t="shared" ca="1" si="73"/>
        <v>0.18731714531210947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4">ROUND(O119-D140,3)</f>
        <v>0</v>
      </c>
      <c r="P120" s="412">
        <f t="shared" ca="1" si="74"/>
        <v>0</v>
      </c>
      <c r="Q120" s="412">
        <f t="shared" ca="1" si="74"/>
        <v>0</v>
      </c>
      <c r="R120" s="412">
        <f t="shared" ca="1" si="74"/>
        <v>0</v>
      </c>
      <c r="S120" s="412">
        <f t="shared" ca="1" si="74"/>
        <v>0</v>
      </c>
      <c r="T120" s="413">
        <f t="shared" ca="1" si="74"/>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5">ROUND(+C128-C129,4)</f>
        <v>0</v>
      </c>
      <c r="D130" s="125">
        <f t="shared" si="75"/>
        <v>0</v>
      </c>
      <c r="E130" s="125">
        <f t="shared" si="75"/>
        <v>0</v>
      </c>
      <c r="F130" s="125">
        <f t="shared" si="75"/>
        <v>0</v>
      </c>
      <c r="G130" s="125">
        <f t="shared" si="75"/>
        <v>0</v>
      </c>
      <c r="H130" s="125">
        <f t="shared" si="75"/>
        <v>0</v>
      </c>
      <c r="I130" s="125">
        <f t="shared" si="75"/>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6">(+E8+E42)*(E$122)</f>
        <v>2.5545676881962517E-2</v>
      </c>
      <c r="F134" s="285">
        <f t="shared" ca="1" si="76"/>
        <v>5.2141852164775661E-2</v>
      </c>
      <c r="G134" s="285">
        <f t="shared" ca="1" si="76"/>
        <v>8.1296477902914402E-2</v>
      </c>
      <c r="H134" s="285">
        <f t="shared" ca="1" si="76"/>
        <v>0.11173514815095939</v>
      </c>
      <c r="I134" s="285">
        <f t="shared" ca="1" si="76"/>
        <v>0.14332975328662095</v>
      </c>
    </row>
    <row r="135" spans="1:16" outlineLevel="1">
      <c r="A135" s="61" t="s">
        <v>69</v>
      </c>
      <c r="B135" s="119"/>
      <c r="C135" s="285">
        <f ca="1">(+C9+C43)*(C$123)</f>
        <v>0</v>
      </c>
      <c r="D135" s="285">
        <f t="shared" ref="D135:I135" ca="1" si="77">(+D9+D43)*(D$123)</f>
        <v>0</v>
      </c>
      <c r="E135" s="285">
        <f t="shared" ca="1" si="77"/>
        <v>0</v>
      </c>
      <c r="F135" s="285">
        <f t="shared" ca="1" si="77"/>
        <v>0</v>
      </c>
      <c r="G135" s="285">
        <f t="shared" ca="1" si="77"/>
        <v>0</v>
      </c>
      <c r="H135" s="285">
        <f t="shared" ca="1" si="77"/>
        <v>0</v>
      </c>
      <c r="I135" s="285">
        <f t="shared" ca="1" si="77"/>
        <v>0</v>
      </c>
    </row>
    <row r="136" spans="1:16" s="759" customFormat="1" outlineLevel="1">
      <c r="A136" s="61" t="s">
        <v>646</v>
      </c>
      <c r="B136" s="119"/>
      <c r="C136" s="285">
        <f ca="1">(+C10+C44)*(C$124)</f>
        <v>0</v>
      </c>
      <c r="D136" s="285">
        <f t="shared" ref="D136:I136" ca="1" si="78">(+D10+D44)*(D$124)</f>
        <v>0</v>
      </c>
      <c r="E136" s="285">
        <f t="shared" ca="1" si="78"/>
        <v>1.3845356428452628E-3</v>
      </c>
      <c r="F136" s="285">
        <f t="shared" ca="1" si="78"/>
        <v>2.8029983474552175E-3</v>
      </c>
      <c r="G136" s="285">
        <f t="shared" ca="1" si="78"/>
        <v>5.3955308709092683E-3</v>
      </c>
      <c r="H136" s="285">
        <f t="shared" ca="1" si="78"/>
        <v>8.5020836308185438E-3</v>
      </c>
      <c r="I136" s="285">
        <f t="shared" ca="1" si="78"/>
        <v>1.2285725467155178E-2</v>
      </c>
    </row>
    <row r="137" spans="1:16" outlineLevel="1">
      <c r="A137" s="61" t="s">
        <v>647</v>
      </c>
      <c r="B137" s="119"/>
      <c r="C137" s="285">
        <f ca="1">(+C11+C45)*(C$125)</f>
        <v>0</v>
      </c>
      <c r="D137" s="285">
        <f t="shared" ref="D137:I137" ca="1" si="79">(+D11+D45)*(D$125)</f>
        <v>0</v>
      </c>
      <c r="E137" s="285">
        <f t="shared" ca="1" si="79"/>
        <v>1.2278910993116744E-3</v>
      </c>
      <c r="F137" s="285">
        <f t="shared" ca="1" si="79"/>
        <v>2.4858707971956852E-3</v>
      </c>
      <c r="G137" s="285">
        <f t="shared" ca="1" si="79"/>
        <v>4.7850875971932553E-3</v>
      </c>
      <c r="H137" s="285">
        <f t="shared" ca="1" si="79"/>
        <v>7.5401690594485626E-3</v>
      </c>
      <c r="I137" s="285">
        <f t="shared" ca="1" si="79"/>
        <v>1.0895734629630321E-2</v>
      </c>
    </row>
    <row r="138" spans="1:16" s="759" customFormat="1" outlineLevel="1">
      <c r="A138" s="61" t="s">
        <v>575</v>
      </c>
      <c r="B138" s="119"/>
      <c r="C138" s="285">
        <f ca="1">(+C12+C46)*(C$126)</f>
        <v>0</v>
      </c>
      <c r="D138" s="285">
        <f t="shared" ref="D138:I138" ca="1" si="80">(+D12+D46)*(D$126)</f>
        <v>0</v>
      </c>
      <c r="E138" s="285">
        <f t="shared" ca="1" si="80"/>
        <v>3.7082434183493985E-3</v>
      </c>
      <c r="F138" s="285">
        <f t="shared" ca="1" si="80"/>
        <v>7.5689785400480806E-3</v>
      </c>
      <c r="G138" s="285">
        <f t="shared" ca="1" si="80"/>
        <v>1.1801101631068222E-2</v>
      </c>
      <c r="H138" s="285">
        <f t="shared" ca="1" si="80"/>
        <v>1.6219618279977976E-2</v>
      </c>
      <c r="I138" s="285">
        <f t="shared" ca="1" si="80"/>
        <v>2.0805931928703045E-2</v>
      </c>
    </row>
    <row r="139" spans="1:16" outlineLevel="1">
      <c r="A139" s="83" t="s">
        <v>70</v>
      </c>
      <c r="B139" s="119"/>
      <c r="C139" s="285">
        <f ca="1">(+C13+C47)*(C$127)</f>
        <v>0</v>
      </c>
      <c r="D139" s="285">
        <f t="shared" ref="D139:I139" ca="1" si="81">(+D13+D47)*(D$127)</f>
        <v>0</v>
      </c>
      <c r="E139" s="285">
        <f t="shared" ca="1" si="81"/>
        <v>0</v>
      </c>
      <c r="F139" s="285">
        <f t="shared" ca="1" si="81"/>
        <v>0</v>
      </c>
      <c r="G139" s="285">
        <f t="shared" ca="1" si="81"/>
        <v>0</v>
      </c>
      <c r="H139" s="285">
        <f t="shared" ca="1" si="81"/>
        <v>0</v>
      </c>
      <c r="I139" s="285">
        <f t="shared" ca="1" si="81"/>
        <v>0</v>
      </c>
    </row>
    <row r="140" spans="1:16" outlineLevel="1">
      <c r="A140" s="120" t="s">
        <v>147</v>
      </c>
      <c r="B140" s="121"/>
      <c r="C140" s="296">
        <f t="shared" ref="C140:I140" ca="1" si="82">SUM(C134:C139)</f>
        <v>0</v>
      </c>
      <c r="D140" s="296">
        <f t="shared" ca="1" si="82"/>
        <v>0</v>
      </c>
      <c r="E140" s="296">
        <f t="shared" ca="1" si="82"/>
        <v>3.1866347042468851E-2</v>
      </c>
      <c r="F140" s="296">
        <f t="shared" ca="1" si="82"/>
        <v>6.4999699849474651E-2</v>
      </c>
      <c r="G140" s="296">
        <f t="shared" ca="1" si="82"/>
        <v>0.10327819800208515</v>
      </c>
      <c r="H140" s="296">
        <f t="shared" ca="1" si="82"/>
        <v>0.14399701912120447</v>
      </c>
      <c r="I140" s="296">
        <f t="shared" ca="1" si="82"/>
        <v>0.18731714531210947</v>
      </c>
    </row>
    <row r="141" spans="1:16" ht="13.5" outlineLevel="1" thickBot="1">
      <c r="A141" s="122" t="s">
        <v>148</v>
      </c>
      <c r="B141" s="126"/>
      <c r="C141" s="124">
        <f t="shared" ref="C141:I141" ca="1" si="83">IF((+C36+C48)&lt;&gt;0,+C140/(+C36+C48),0)</f>
        <v>0</v>
      </c>
      <c r="D141" s="124">
        <f t="shared" ca="1" si="83"/>
        <v>0</v>
      </c>
      <c r="E141" s="124">
        <f t="shared" ca="1" si="83"/>
        <v>1.6889017676674608E-2</v>
      </c>
      <c r="F141" s="124">
        <f t="shared" ca="1" si="83"/>
        <v>3.4117652044084366E-2</v>
      </c>
      <c r="G141" s="124">
        <f t="shared" ca="1" si="83"/>
        <v>5.3698249599392497E-2</v>
      </c>
      <c r="H141" s="124">
        <f t="shared" ca="1" si="83"/>
        <v>7.411102248267315E-2</v>
      </c>
      <c r="I141" s="124">
        <f t="shared" ca="1" si="83"/>
        <v>9.5520200947256828E-2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4">SUMIF($A$185:$A$195,$A149,C$185:C$195)</f>
        <v>0</v>
      </c>
      <c r="D149" s="285">
        <f t="shared" si="84"/>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4"/>
        <v>0</v>
      </c>
      <c r="D150" s="285">
        <f t="shared" si="84"/>
        <v>0</v>
      </c>
      <c r="E150" s="285">
        <f t="shared" si="84"/>
        <v>0</v>
      </c>
      <c r="F150" s="285">
        <f t="shared" si="84"/>
        <v>0</v>
      </c>
      <c r="G150" s="285">
        <f t="shared" si="84"/>
        <v>0</v>
      </c>
      <c r="H150" s="285">
        <f t="shared" si="84"/>
        <v>0</v>
      </c>
      <c r="I150" s="285">
        <f t="shared" si="84"/>
        <v>0</v>
      </c>
      <c r="J150" s="42"/>
      <c r="K150" s="21"/>
      <c r="L150" s="21"/>
    </row>
    <row r="151" spans="1:13" s="759" customFormat="1" outlineLevel="1">
      <c r="A151" s="61" t="s">
        <v>646</v>
      </c>
      <c r="B151" s="65"/>
      <c r="C151" s="285">
        <f t="shared" si="84"/>
        <v>0</v>
      </c>
      <c r="D151" s="285">
        <f t="shared" si="84"/>
        <v>0</v>
      </c>
      <c r="E151" s="285">
        <f t="shared" si="84"/>
        <v>0</v>
      </c>
      <c r="F151" s="285">
        <f t="shared" si="84"/>
        <v>0</v>
      </c>
      <c r="G151" s="285">
        <f t="shared" si="84"/>
        <v>0</v>
      </c>
      <c r="H151" s="285">
        <f t="shared" si="84"/>
        <v>0</v>
      </c>
      <c r="I151" s="285">
        <f t="shared" si="84"/>
        <v>0</v>
      </c>
      <c r="J151" s="42"/>
      <c r="K151" s="732"/>
      <c r="L151" s="732"/>
    </row>
    <row r="152" spans="1:13" outlineLevel="1">
      <c r="A152" s="61" t="s">
        <v>647</v>
      </c>
      <c r="B152" s="65"/>
      <c r="C152" s="285">
        <f t="shared" si="84"/>
        <v>0</v>
      </c>
      <c r="D152" s="285">
        <f t="shared" si="84"/>
        <v>0</v>
      </c>
      <c r="E152" s="285">
        <f t="shared" si="84"/>
        <v>0</v>
      </c>
      <c r="F152" s="285">
        <f t="shared" si="84"/>
        <v>0</v>
      </c>
      <c r="G152" s="285">
        <f t="shared" si="84"/>
        <v>0</v>
      </c>
      <c r="H152" s="285">
        <f t="shared" si="84"/>
        <v>0</v>
      </c>
      <c r="I152" s="285">
        <f t="shared" si="84"/>
        <v>0</v>
      </c>
      <c r="J152" s="42"/>
      <c r="K152" s="21"/>
      <c r="L152" s="21"/>
    </row>
    <row r="153" spans="1:13" s="759" customFormat="1" outlineLevel="1">
      <c r="A153" s="61" t="s">
        <v>575</v>
      </c>
      <c r="B153" s="65"/>
      <c r="C153" s="285">
        <f t="shared" si="84"/>
        <v>0</v>
      </c>
      <c r="D153" s="285">
        <f t="shared" si="84"/>
        <v>0</v>
      </c>
      <c r="E153" s="285">
        <f t="shared" si="84"/>
        <v>0</v>
      </c>
      <c r="F153" s="285">
        <f t="shared" si="84"/>
        <v>0</v>
      </c>
      <c r="G153" s="285">
        <f t="shared" si="84"/>
        <v>0</v>
      </c>
      <c r="H153" s="285">
        <f t="shared" si="84"/>
        <v>0</v>
      </c>
      <c r="I153" s="285">
        <f t="shared" si="84"/>
        <v>0</v>
      </c>
      <c r="J153" s="42"/>
      <c r="K153" s="732"/>
      <c r="L153" s="732"/>
    </row>
    <row r="154" spans="1:13" outlineLevel="1">
      <c r="A154" s="83" t="s">
        <v>70</v>
      </c>
      <c r="B154" s="65"/>
      <c r="C154" s="285">
        <f t="shared" si="84"/>
        <v>0</v>
      </c>
      <c r="D154" s="285">
        <f t="shared" si="84"/>
        <v>0</v>
      </c>
      <c r="E154" s="285">
        <f t="shared" si="84"/>
        <v>0</v>
      </c>
      <c r="F154" s="285">
        <f t="shared" si="84"/>
        <v>0</v>
      </c>
      <c r="G154" s="285">
        <f t="shared" si="84"/>
        <v>0</v>
      </c>
      <c r="H154" s="285">
        <f t="shared" si="84"/>
        <v>0</v>
      </c>
      <c r="I154" s="285">
        <f t="shared" si="84"/>
        <v>0</v>
      </c>
      <c r="J154" s="42"/>
      <c r="K154" s="21"/>
      <c r="L154" s="21"/>
    </row>
    <row r="155" spans="1:13" outlineLevel="1">
      <c r="A155" s="129" t="s">
        <v>150</v>
      </c>
      <c r="B155" s="130"/>
      <c r="C155" s="296">
        <f t="shared" ref="C155:I155" si="85">SUM(C149:C154)</f>
        <v>0</v>
      </c>
      <c r="D155" s="296">
        <f t="shared" si="85"/>
        <v>0</v>
      </c>
      <c r="E155" s="296">
        <f t="shared" si="85"/>
        <v>0</v>
      </c>
      <c r="F155" s="296">
        <f t="shared" si="85"/>
        <v>0</v>
      </c>
      <c r="G155" s="296">
        <f t="shared" si="85"/>
        <v>0</v>
      </c>
      <c r="H155" s="296">
        <f t="shared" si="85"/>
        <v>0</v>
      </c>
      <c r="I155" s="296">
        <f t="shared" si="85"/>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6">IF(ISNUMBER($J160),OFFSET($B$177,MATCH(+$J160,$J$178:$J$195,0),0),"")</f>
        <v>Step Change</v>
      </c>
      <c r="B160" s="285">
        <f t="shared" ref="B160:I169" ca="1" si="87">IF(ISNUMBER($J160),OFFSET(B$177,MATCH(+$J160,$J$178:$J$195,0)+13,0),"")</f>
        <v>0</v>
      </c>
      <c r="C160" s="285">
        <f t="shared" ca="1" si="87"/>
        <v>0</v>
      </c>
      <c r="D160" s="285">
        <f t="shared" ca="1" si="87"/>
        <v>0</v>
      </c>
      <c r="E160" s="285">
        <f t="shared" ca="1" si="87"/>
        <v>0</v>
      </c>
      <c r="F160" s="285">
        <f t="shared" ca="1" si="87"/>
        <v>0</v>
      </c>
      <c r="G160" s="285">
        <f t="shared" ca="1" si="87"/>
        <v>0</v>
      </c>
      <c r="H160" s="285">
        <f t="shared" ca="1" si="87"/>
        <v>0</v>
      </c>
      <c r="I160" s="285">
        <f t="shared" ca="1" si="87"/>
        <v>0</v>
      </c>
      <c r="J160" s="378">
        <f>IF($D$158&gt;0,1,"")</f>
        <v>1</v>
      </c>
      <c r="K160" s="66" t="str">
        <f t="shared" ref="K160:K169" ca="1" si="88">IF(ISNUMBER($J160),OFFSET($B$177,MATCH(+$J160,$J$178:$J$195,0)+1,0),"")</f>
        <v>Proposal Step Change</v>
      </c>
      <c r="L160" s="66" t="str">
        <f t="shared" ref="L160:L169" ca="1" si="89">IF(ISNUMBER($J160),OFFSET($B$177,MATCH(+$J160,$J$178:$J$195,0)+2,0),"")</f>
        <v>Refer Opex Workings</v>
      </c>
      <c r="M160" s="66" t="str">
        <f t="shared" ref="M160:M169" ca="1" si="90">IF(ISNUMBER($J160),OFFSET($B$177,MATCH(+$J160,$J$178:$J$195,0)+3,0),"")</f>
        <v>Proposal, October 2014</v>
      </c>
    </row>
    <row r="161" spans="1:13" outlineLevel="1">
      <c r="A161" s="66" t="str">
        <f t="shared" ca="1" si="86"/>
        <v/>
      </c>
      <c r="B161" s="285" t="str">
        <f t="shared" ca="1" si="87"/>
        <v/>
      </c>
      <c r="C161" s="285" t="str">
        <f t="shared" ca="1" si="87"/>
        <v/>
      </c>
      <c r="D161" s="285" t="str">
        <f t="shared" ca="1" si="87"/>
        <v/>
      </c>
      <c r="E161" s="285" t="str">
        <f t="shared" ca="1" si="87"/>
        <v/>
      </c>
      <c r="F161" s="285" t="str">
        <f t="shared" ca="1" si="87"/>
        <v/>
      </c>
      <c r="G161" s="285" t="str">
        <f t="shared" ca="1" si="87"/>
        <v/>
      </c>
      <c r="H161" s="285" t="str">
        <f t="shared" ca="1" si="87"/>
        <v/>
      </c>
      <c r="I161" s="285" t="str">
        <f t="shared" ca="1" si="87"/>
        <v/>
      </c>
      <c r="J161" s="378" t="str">
        <f>IF(J160&lt;$D$158,J160+1,"")</f>
        <v/>
      </c>
      <c r="K161" s="66" t="str">
        <f t="shared" ca="1" si="88"/>
        <v/>
      </c>
      <c r="L161" s="66" t="str">
        <f t="shared" ca="1" si="89"/>
        <v/>
      </c>
      <c r="M161" s="66" t="str">
        <f t="shared" ca="1" si="90"/>
        <v/>
      </c>
    </row>
    <row r="162" spans="1:13" outlineLevel="1">
      <c r="A162" s="66" t="str">
        <f t="shared" ca="1" si="86"/>
        <v/>
      </c>
      <c r="B162" s="285" t="str">
        <f t="shared" ca="1" si="87"/>
        <v/>
      </c>
      <c r="C162" s="285" t="str">
        <f t="shared" ca="1" si="87"/>
        <v/>
      </c>
      <c r="D162" s="285" t="str">
        <f t="shared" ca="1" si="87"/>
        <v/>
      </c>
      <c r="E162" s="285" t="str">
        <f t="shared" ca="1" si="87"/>
        <v/>
      </c>
      <c r="F162" s="285" t="str">
        <f t="shared" ca="1" si="87"/>
        <v/>
      </c>
      <c r="G162" s="285" t="str">
        <f t="shared" ca="1" si="87"/>
        <v/>
      </c>
      <c r="H162" s="285" t="str">
        <f t="shared" ca="1" si="87"/>
        <v/>
      </c>
      <c r="I162" s="285" t="str">
        <f t="shared" ca="1" si="87"/>
        <v/>
      </c>
      <c r="J162" s="378" t="str">
        <f t="shared" ref="J162:J169" si="91">IF(J161&lt;$D$158,J161+1,"")</f>
        <v/>
      </c>
      <c r="K162" s="66" t="str">
        <f t="shared" ca="1" si="88"/>
        <v/>
      </c>
      <c r="L162" s="66" t="str">
        <f t="shared" ca="1" si="89"/>
        <v/>
      </c>
      <c r="M162" s="66" t="str">
        <f t="shared" ca="1" si="90"/>
        <v/>
      </c>
    </row>
    <row r="163" spans="1:13" outlineLevel="1">
      <c r="A163" s="66" t="str">
        <f t="shared" ca="1" si="86"/>
        <v/>
      </c>
      <c r="B163" s="285" t="str">
        <f t="shared" ca="1" si="87"/>
        <v/>
      </c>
      <c r="C163" s="285" t="str">
        <f t="shared" ca="1" si="87"/>
        <v/>
      </c>
      <c r="D163" s="285" t="str">
        <f t="shared" ca="1" si="87"/>
        <v/>
      </c>
      <c r="E163" s="285" t="str">
        <f t="shared" ca="1" si="87"/>
        <v/>
      </c>
      <c r="F163" s="285" t="str">
        <f t="shared" ca="1" si="87"/>
        <v/>
      </c>
      <c r="G163" s="285" t="str">
        <f t="shared" ca="1" si="87"/>
        <v/>
      </c>
      <c r="H163" s="285" t="str">
        <f t="shared" ca="1" si="87"/>
        <v/>
      </c>
      <c r="I163" s="285" t="str">
        <f t="shared" ca="1" si="87"/>
        <v/>
      </c>
      <c r="J163" s="378" t="str">
        <f t="shared" si="91"/>
        <v/>
      </c>
      <c r="K163" s="66" t="str">
        <f t="shared" ca="1" si="88"/>
        <v/>
      </c>
      <c r="L163" s="66" t="str">
        <f t="shared" ca="1" si="89"/>
        <v/>
      </c>
      <c r="M163" s="66" t="str">
        <f t="shared" ca="1" si="90"/>
        <v/>
      </c>
    </row>
    <row r="164" spans="1:13" outlineLevel="1">
      <c r="A164" s="66" t="str">
        <f t="shared" ca="1" si="86"/>
        <v/>
      </c>
      <c r="B164" s="285" t="str">
        <f t="shared" ca="1" si="87"/>
        <v/>
      </c>
      <c r="C164" s="285" t="str">
        <f t="shared" ca="1" si="87"/>
        <v/>
      </c>
      <c r="D164" s="285" t="str">
        <f t="shared" ca="1" si="87"/>
        <v/>
      </c>
      <c r="E164" s="285" t="str">
        <f t="shared" ca="1" si="87"/>
        <v/>
      </c>
      <c r="F164" s="285" t="str">
        <f t="shared" ca="1" si="87"/>
        <v/>
      </c>
      <c r="G164" s="285" t="str">
        <f t="shared" ca="1" si="87"/>
        <v/>
      </c>
      <c r="H164" s="285" t="str">
        <f t="shared" ca="1" si="87"/>
        <v/>
      </c>
      <c r="I164" s="285" t="str">
        <f t="shared" ca="1" si="87"/>
        <v/>
      </c>
      <c r="J164" s="378" t="str">
        <f t="shared" si="91"/>
        <v/>
      </c>
      <c r="K164" s="66" t="str">
        <f t="shared" ca="1" si="88"/>
        <v/>
      </c>
      <c r="L164" s="66" t="str">
        <f t="shared" ca="1" si="89"/>
        <v/>
      </c>
      <c r="M164" s="66" t="str">
        <f t="shared" ca="1" si="90"/>
        <v/>
      </c>
    </row>
    <row r="165" spans="1:13" outlineLevel="1">
      <c r="A165" s="66" t="str">
        <f t="shared" ca="1" si="86"/>
        <v/>
      </c>
      <c r="B165" s="285" t="str">
        <f t="shared" ca="1" si="87"/>
        <v/>
      </c>
      <c r="C165" s="285" t="str">
        <f t="shared" ca="1" si="87"/>
        <v/>
      </c>
      <c r="D165" s="285" t="str">
        <f t="shared" ca="1" si="87"/>
        <v/>
      </c>
      <c r="E165" s="285" t="str">
        <f t="shared" ca="1" si="87"/>
        <v/>
      </c>
      <c r="F165" s="285" t="str">
        <f t="shared" ca="1" si="87"/>
        <v/>
      </c>
      <c r="G165" s="285" t="str">
        <f t="shared" ca="1" si="87"/>
        <v/>
      </c>
      <c r="H165" s="285" t="str">
        <f t="shared" ca="1" si="87"/>
        <v/>
      </c>
      <c r="I165" s="285" t="str">
        <f t="shared" ca="1" si="87"/>
        <v/>
      </c>
      <c r="J165" s="378" t="str">
        <f t="shared" si="91"/>
        <v/>
      </c>
      <c r="K165" s="66" t="str">
        <f t="shared" ca="1" si="88"/>
        <v/>
      </c>
      <c r="L165" s="66" t="str">
        <f t="shared" ca="1" si="89"/>
        <v/>
      </c>
      <c r="M165" s="66" t="str">
        <f t="shared" ca="1" si="90"/>
        <v/>
      </c>
    </row>
    <row r="166" spans="1:13" outlineLevel="1">
      <c r="A166" s="66" t="str">
        <f t="shared" ca="1" si="86"/>
        <v/>
      </c>
      <c r="B166" s="285" t="str">
        <f t="shared" ca="1" si="87"/>
        <v/>
      </c>
      <c r="C166" s="285" t="str">
        <f t="shared" ca="1" si="87"/>
        <v/>
      </c>
      <c r="D166" s="285" t="str">
        <f t="shared" ca="1" si="87"/>
        <v/>
      </c>
      <c r="E166" s="285" t="str">
        <f t="shared" ca="1" si="87"/>
        <v/>
      </c>
      <c r="F166" s="285" t="str">
        <f t="shared" ca="1" si="87"/>
        <v/>
      </c>
      <c r="G166" s="285" t="str">
        <f t="shared" ca="1" si="87"/>
        <v/>
      </c>
      <c r="H166" s="285" t="str">
        <f t="shared" ca="1" si="87"/>
        <v/>
      </c>
      <c r="I166" s="285" t="str">
        <f t="shared" ca="1" si="87"/>
        <v/>
      </c>
      <c r="J166" s="378" t="str">
        <f t="shared" si="91"/>
        <v/>
      </c>
      <c r="K166" s="66" t="str">
        <f t="shared" ca="1" si="88"/>
        <v/>
      </c>
      <c r="L166" s="66" t="str">
        <f t="shared" ca="1" si="89"/>
        <v/>
      </c>
      <c r="M166" s="66" t="str">
        <f t="shared" ca="1" si="90"/>
        <v/>
      </c>
    </row>
    <row r="167" spans="1:13" outlineLevel="1">
      <c r="A167" s="66" t="str">
        <f t="shared" ca="1" si="86"/>
        <v/>
      </c>
      <c r="B167" s="285" t="str">
        <f t="shared" ca="1" si="87"/>
        <v/>
      </c>
      <c r="C167" s="285" t="str">
        <f t="shared" ca="1" si="87"/>
        <v/>
      </c>
      <c r="D167" s="285" t="str">
        <f t="shared" ca="1" si="87"/>
        <v/>
      </c>
      <c r="E167" s="285" t="str">
        <f t="shared" ca="1" si="87"/>
        <v/>
      </c>
      <c r="F167" s="285" t="str">
        <f t="shared" ca="1" si="87"/>
        <v/>
      </c>
      <c r="G167" s="285" t="str">
        <f t="shared" ca="1" si="87"/>
        <v/>
      </c>
      <c r="H167" s="285" t="str">
        <f t="shared" ca="1" si="87"/>
        <v/>
      </c>
      <c r="I167" s="285" t="str">
        <f t="shared" ca="1" si="87"/>
        <v/>
      </c>
      <c r="J167" s="378" t="str">
        <f t="shared" si="91"/>
        <v/>
      </c>
      <c r="K167" s="66" t="str">
        <f t="shared" ca="1" si="88"/>
        <v/>
      </c>
      <c r="L167" s="66" t="str">
        <f t="shared" ca="1" si="89"/>
        <v/>
      </c>
      <c r="M167" s="66" t="str">
        <f t="shared" ca="1" si="90"/>
        <v/>
      </c>
    </row>
    <row r="168" spans="1:13" outlineLevel="1">
      <c r="A168" s="66" t="str">
        <f t="shared" ca="1" si="86"/>
        <v/>
      </c>
      <c r="B168" s="285" t="str">
        <f t="shared" ca="1" si="87"/>
        <v/>
      </c>
      <c r="C168" s="285" t="str">
        <f t="shared" ca="1" si="87"/>
        <v/>
      </c>
      <c r="D168" s="285" t="str">
        <f t="shared" ca="1" si="87"/>
        <v/>
      </c>
      <c r="E168" s="285" t="str">
        <f t="shared" ca="1" si="87"/>
        <v/>
      </c>
      <c r="F168" s="285" t="str">
        <f t="shared" ca="1" si="87"/>
        <v/>
      </c>
      <c r="G168" s="285" t="str">
        <f t="shared" ca="1" si="87"/>
        <v/>
      </c>
      <c r="H168" s="285" t="str">
        <f t="shared" ca="1" si="87"/>
        <v/>
      </c>
      <c r="I168" s="285" t="str">
        <f t="shared" ca="1" si="87"/>
        <v/>
      </c>
      <c r="J168" s="378" t="str">
        <f t="shared" si="91"/>
        <v/>
      </c>
      <c r="K168" s="66" t="str">
        <f t="shared" ca="1" si="88"/>
        <v/>
      </c>
      <c r="L168" s="66" t="str">
        <f t="shared" ca="1" si="89"/>
        <v/>
      </c>
      <c r="M168" s="66" t="str">
        <f t="shared" ca="1" si="90"/>
        <v/>
      </c>
    </row>
    <row r="169" spans="1:13" outlineLevel="1">
      <c r="A169" s="66" t="str">
        <f t="shared" ca="1" si="86"/>
        <v/>
      </c>
      <c r="B169" s="285" t="str">
        <f t="shared" ca="1" si="87"/>
        <v/>
      </c>
      <c r="C169" s="285" t="str">
        <f t="shared" ca="1" si="87"/>
        <v/>
      </c>
      <c r="D169" s="285" t="str">
        <f t="shared" ca="1" si="87"/>
        <v/>
      </c>
      <c r="E169" s="285" t="str">
        <f t="shared" ca="1" si="87"/>
        <v/>
      </c>
      <c r="F169" s="285" t="str">
        <f t="shared" ca="1" si="87"/>
        <v/>
      </c>
      <c r="G169" s="285" t="str">
        <f t="shared" ca="1" si="87"/>
        <v/>
      </c>
      <c r="H169" s="285" t="str">
        <f t="shared" ca="1" si="87"/>
        <v/>
      </c>
      <c r="I169" s="285" t="str">
        <f t="shared" ca="1" si="87"/>
        <v/>
      </c>
      <c r="J169" s="378" t="str">
        <f t="shared" si="91"/>
        <v/>
      </c>
      <c r="K169" s="66" t="str">
        <f t="shared" ca="1" si="88"/>
        <v/>
      </c>
      <c r="L169" s="66" t="str">
        <f t="shared" ca="1" si="89"/>
        <v/>
      </c>
      <c r="M169" s="66" t="str">
        <f t="shared" ca="1" si="90"/>
        <v/>
      </c>
    </row>
    <row r="170" spans="1:13">
      <c r="A170" s="129" t="s">
        <v>150</v>
      </c>
      <c r="B170" s="296">
        <f ca="1">SUM(B160:B169)</f>
        <v>0</v>
      </c>
      <c r="C170" s="296">
        <f t="shared" ref="C170:I170" ca="1" si="92">SUM(C160:C169)</f>
        <v>0</v>
      </c>
      <c r="D170" s="296">
        <f t="shared" ca="1" si="92"/>
        <v>0</v>
      </c>
      <c r="E170" s="296">
        <f t="shared" ca="1" si="92"/>
        <v>0</v>
      </c>
      <c r="F170" s="296">
        <f t="shared" ca="1" si="92"/>
        <v>0</v>
      </c>
      <c r="G170" s="296">
        <f t="shared" ca="1" si="92"/>
        <v>0</v>
      </c>
      <c r="H170" s="296">
        <f t="shared" ca="1" si="92"/>
        <v>0</v>
      </c>
      <c r="I170" s="296">
        <f t="shared" ca="1" si="92"/>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'[3]TOTAL (SEM)'!$O$34:$S$39</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3">SUM(C185:C190)</f>
        <v>0</v>
      </c>
      <c r="D191" s="296">
        <f t="shared" si="93"/>
        <v>0</v>
      </c>
      <c r="E191" s="296">
        <f t="shared" si="93"/>
        <v>0</v>
      </c>
      <c r="F191" s="296">
        <f t="shared" si="93"/>
        <v>0</v>
      </c>
      <c r="G191" s="296">
        <f t="shared" si="93"/>
        <v>0</v>
      </c>
      <c r="H191" s="296">
        <f t="shared" si="93"/>
        <v>0</v>
      </c>
      <c r="I191" s="296">
        <f t="shared" si="93"/>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4">+B14</f>
        <v>0</v>
      </c>
      <c r="C205" s="82">
        <f t="shared" ca="1" si="94"/>
        <v>0</v>
      </c>
      <c r="D205" s="82">
        <f t="shared" ca="1" si="94"/>
        <v>1.8669999999999998</v>
      </c>
      <c r="E205" s="82">
        <f t="shared" ca="1" si="94"/>
        <v>1.8669999999999998</v>
      </c>
      <c r="F205" s="82">
        <f t="shared" ca="1" si="94"/>
        <v>1.8669999999999998</v>
      </c>
      <c r="G205" s="82">
        <f t="shared" ca="1" si="94"/>
        <v>1.8669999999999998</v>
      </c>
      <c r="H205" s="82">
        <f t="shared" ca="1" si="94"/>
        <v>1.8669999999999998</v>
      </c>
      <c r="I205" s="82">
        <f t="shared" ca="1" si="94"/>
        <v>1.8669999999999998</v>
      </c>
    </row>
    <row r="206" spans="1:9" outlineLevel="1">
      <c r="A206" t="s">
        <v>156</v>
      </c>
      <c r="B206" s="82">
        <f t="shared" ref="B206:I206" ca="1" si="95">+B36</f>
        <v>0</v>
      </c>
      <c r="C206" s="82">
        <f t="shared" ca="1" si="95"/>
        <v>0</v>
      </c>
      <c r="D206" s="82">
        <f t="shared" ca="1" si="95"/>
        <v>1.8669999999999998</v>
      </c>
      <c r="E206" s="82">
        <f t="shared" ca="1" si="95"/>
        <v>1.8669999999999998</v>
      </c>
      <c r="F206" s="82">
        <f t="shared" ca="1" si="95"/>
        <v>1.8669999999999998</v>
      </c>
      <c r="G206" s="82">
        <f t="shared" ca="1" si="95"/>
        <v>1.8669999999999998</v>
      </c>
      <c r="H206" s="82">
        <f t="shared" ca="1" si="95"/>
        <v>1.8669999999999998</v>
      </c>
      <c r="I206" s="82">
        <f t="shared" ca="1" si="95"/>
        <v>1.8669999999999998</v>
      </c>
    </row>
    <row r="207" spans="1:9" outlineLevel="1">
      <c r="A207" t="s">
        <v>157</v>
      </c>
      <c r="B207" s="82">
        <f t="shared" ref="B207:I207" ca="1" si="96">+B36+B48</f>
        <v>0</v>
      </c>
      <c r="C207" s="82">
        <f t="shared" ca="1" si="96"/>
        <v>0</v>
      </c>
      <c r="D207" s="82">
        <f t="shared" ca="1" si="96"/>
        <v>1.8669999999999998</v>
      </c>
      <c r="E207" s="82">
        <f t="shared" ca="1" si="96"/>
        <v>1.8868087921110657</v>
      </c>
      <c r="F207" s="82">
        <f t="shared" ca="1" si="96"/>
        <v>1.9051633378957828</v>
      </c>
      <c r="G207" s="82">
        <f t="shared" ca="1" si="96"/>
        <v>1.9233066025908891</v>
      </c>
      <c r="H207" s="82">
        <f t="shared" ca="1" si="96"/>
        <v>1.9429905875994407</v>
      </c>
      <c r="I207" s="82">
        <f t="shared" ca="1" si="96"/>
        <v>1.961021265182848</v>
      </c>
    </row>
    <row r="208" spans="1:9" outlineLevel="1">
      <c r="A208" t="s">
        <v>158</v>
      </c>
      <c r="B208" s="82">
        <f t="shared" ref="B208:I208" ca="1" si="97">+B70</f>
        <v>0</v>
      </c>
      <c r="C208" s="82">
        <f t="shared" ca="1" si="97"/>
        <v>0</v>
      </c>
      <c r="D208" s="82">
        <f t="shared" ca="1" si="97"/>
        <v>1.8669999999999998</v>
      </c>
      <c r="E208" s="82">
        <f t="shared" ca="1" si="97"/>
        <v>1.9186751391535346</v>
      </c>
      <c r="F208" s="82">
        <f t="shared" ca="1" si="97"/>
        <v>1.9701630377452577</v>
      </c>
      <c r="G208" s="82">
        <f t="shared" ca="1" si="97"/>
        <v>2.0265848005929747</v>
      </c>
      <c r="H208" s="82">
        <f t="shared" ca="1" si="97"/>
        <v>2.0869876067206454</v>
      </c>
      <c r="I208" s="82">
        <f t="shared" ca="1" si="97"/>
        <v>2.1483384104949579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55" priority="1" stopIfTrue="1" operator="notEqual">
      <formula>0</formula>
    </cfRule>
  </conditionalFormatting>
  <conditionalFormatting sqref="J130 J94 J70 J59 J48 J36:J37 J14 J25">
    <cfRule type="cellIs" dxfId="154" priority="2" stopIfTrue="1" operator="equal">
      <formula>"OK"</formula>
    </cfRule>
    <cfRule type="cellIs" dxfId="153" priority="3" stopIfTrue="1" operator="equal">
      <formula>"Warning Check Escalations"</formula>
    </cfRule>
  </conditionalFormatting>
  <conditionalFormatting sqref="N120:T120 N84:T84">
    <cfRule type="cellIs" dxfId="152" priority="4" stopIfTrue="1" operator="notEqual">
      <formula>0</formula>
    </cfRule>
    <cfRule type="cellIs" dxfId="151"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8"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xml><?xml version="1.0" encoding="utf-8"?>
<worksheet xmlns="http://schemas.openxmlformats.org/spreadsheetml/2006/main" xmlns:r="http://schemas.openxmlformats.org/officeDocument/2006/relationships">
  <sheetPr codeName="Sheet5">
    <pageSetUpPr fitToPage="1"/>
  </sheetPr>
  <dimension ref="A1:F55"/>
  <sheetViews>
    <sheetView showGridLines="0" topLeftCell="A16" workbookViewId="0">
      <selection activeCell="B53" sqref="B53"/>
    </sheetView>
  </sheetViews>
  <sheetFormatPr defaultRowHeight="12.75"/>
  <cols>
    <col min="1" max="1" width="34.7109375" style="55" customWidth="1"/>
    <col min="2" max="2" width="9.140625" style="55"/>
    <col min="3" max="3" width="51.85546875" style="55" customWidth="1"/>
    <col min="4" max="4" width="18" style="55" customWidth="1"/>
    <col min="5" max="16384" width="9.140625" style="55"/>
  </cols>
  <sheetData>
    <row r="1" spans="1:6" ht="15.75">
      <c r="A1" s="184" t="s">
        <v>183</v>
      </c>
    </row>
    <row r="2" spans="1:6">
      <c r="A2" s="223" t="s">
        <v>184</v>
      </c>
    </row>
    <row r="3" spans="1:6" ht="5.25" customHeight="1"/>
    <row r="4" spans="1:6" ht="23.25" thickBot="1">
      <c r="A4" s="226" t="s">
        <v>221</v>
      </c>
      <c r="B4" s="224" t="s">
        <v>67</v>
      </c>
      <c r="C4" s="226" t="s">
        <v>185</v>
      </c>
      <c r="D4" s="226" t="s">
        <v>370</v>
      </c>
      <c r="F4"/>
    </row>
    <row r="5" spans="1:6">
      <c r="A5" s="228" t="s">
        <v>186</v>
      </c>
      <c r="B5" s="42" t="s">
        <v>222</v>
      </c>
      <c r="C5" s="784" t="s">
        <v>187</v>
      </c>
      <c r="D5" s="42" t="s">
        <v>359</v>
      </c>
    </row>
    <row r="6" spans="1:6">
      <c r="A6" s="229"/>
      <c r="B6" s="42" t="s">
        <v>223</v>
      </c>
      <c r="C6" s="784" t="s">
        <v>188</v>
      </c>
      <c r="D6" s="42" t="s">
        <v>360</v>
      </c>
    </row>
    <row r="7" spans="1:6">
      <c r="A7" s="229"/>
      <c r="B7" s="42" t="s">
        <v>224</v>
      </c>
      <c r="C7" s="784" t="s">
        <v>189</v>
      </c>
      <c r="D7" s="42" t="s">
        <v>360</v>
      </c>
    </row>
    <row r="8" spans="1:6">
      <c r="A8" s="229"/>
      <c r="B8" s="42" t="s">
        <v>225</v>
      </c>
      <c r="C8" s="784" t="s">
        <v>190</v>
      </c>
      <c r="D8" s="42" t="s">
        <v>359</v>
      </c>
    </row>
    <row r="9" spans="1:6">
      <c r="A9" s="228" t="s">
        <v>191</v>
      </c>
      <c r="B9" s="42" t="s">
        <v>226</v>
      </c>
      <c r="C9" s="784" t="s">
        <v>192</v>
      </c>
      <c r="D9" s="785" t="s">
        <v>673</v>
      </c>
    </row>
    <row r="10" spans="1:6">
      <c r="A10" s="131"/>
      <c r="B10" s="42" t="s">
        <v>227</v>
      </c>
      <c r="C10" s="784" t="s">
        <v>100</v>
      </c>
      <c r="D10" s="42" t="s">
        <v>360</v>
      </c>
    </row>
    <row r="11" spans="1:6">
      <c r="A11" s="228" t="s">
        <v>98</v>
      </c>
      <c r="B11" s="42" t="s">
        <v>228</v>
      </c>
      <c r="C11" s="784" t="s">
        <v>193</v>
      </c>
      <c r="D11" s="785" t="s">
        <v>672</v>
      </c>
    </row>
    <row r="12" spans="1:6">
      <c r="A12" s="131"/>
      <c r="B12" s="42" t="s">
        <v>229</v>
      </c>
      <c r="C12" s="784" t="s">
        <v>194</v>
      </c>
      <c r="D12" s="785" t="s">
        <v>672</v>
      </c>
    </row>
    <row r="13" spans="1:6">
      <c r="A13" s="131"/>
      <c r="B13" s="42" t="s">
        <v>230</v>
      </c>
      <c r="C13" s="784" t="s">
        <v>195</v>
      </c>
      <c r="D13" s="785" t="s">
        <v>672</v>
      </c>
    </row>
    <row r="14" spans="1:6">
      <c r="A14" s="131"/>
      <c r="B14" s="42" t="s">
        <v>231</v>
      </c>
      <c r="C14" s="784" t="s">
        <v>196</v>
      </c>
      <c r="D14" s="785" t="s">
        <v>672</v>
      </c>
    </row>
    <row r="15" spans="1:6">
      <c r="A15" s="131"/>
      <c r="B15" s="42" t="s">
        <v>232</v>
      </c>
      <c r="C15" s="784" t="s">
        <v>197</v>
      </c>
      <c r="D15" s="785" t="s">
        <v>672</v>
      </c>
    </row>
    <row r="16" spans="1:6">
      <c r="A16" s="131"/>
      <c r="B16" s="42" t="s">
        <v>233</v>
      </c>
      <c r="C16" s="784" t="s">
        <v>198</v>
      </c>
      <c r="D16" s="785" t="s">
        <v>672</v>
      </c>
    </row>
    <row r="17" spans="1:4">
      <c r="A17" s="131"/>
      <c r="B17" s="42" t="s">
        <v>234</v>
      </c>
      <c r="C17" s="784" t="s">
        <v>199</v>
      </c>
      <c r="D17" s="785" t="s">
        <v>672</v>
      </c>
    </row>
    <row r="18" spans="1:4">
      <c r="A18" s="131"/>
      <c r="B18" s="42" t="s">
        <v>235</v>
      </c>
      <c r="C18" s="784" t="s">
        <v>200</v>
      </c>
      <c r="D18" s="785" t="s">
        <v>362</v>
      </c>
    </row>
    <row r="19" spans="1:4">
      <c r="A19" s="131"/>
      <c r="B19" s="42" t="s">
        <v>236</v>
      </c>
      <c r="C19" s="784" t="s">
        <v>99</v>
      </c>
      <c r="D19" s="785" t="s">
        <v>676</v>
      </c>
    </row>
    <row r="20" spans="1:4">
      <c r="A20" s="131"/>
      <c r="B20" s="42" t="s">
        <v>237</v>
      </c>
      <c r="C20" s="784" t="s">
        <v>396</v>
      </c>
      <c r="D20" s="785" t="s">
        <v>672</v>
      </c>
    </row>
    <row r="21" spans="1:4">
      <c r="A21" s="228" t="s">
        <v>101</v>
      </c>
      <c r="B21" s="42" t="s">
        <v>238</v>
      </c>
      <c r="C21" s="784" t="s">
        <v>201</v>
      </c>
      <c r="D21" s="785" t="s">
        <v>361</v>
      </c>
    </row>
    <row r="22" spans="1:4">
      <c r="A22" s="131"/>
      <c r="B22" s="42" t="s">
        <v>239</v>
      </c>
      <c r="C22" s="784" t="s">
        <v>368</v>
      </c>
      <c r="D22" s="785" t="s">
        <v>362</v>
      </c>
    </row>
    <row r="23" spans="1:4">
      <c r="A23" s="131"/>
      <c r="B23" s="42" t="s">
        <v>240</v>
      </c>
      <c r="C23" s="784" t="s">
        <v>369</v>
      </c>
      <c r="D23" s="785" t="s">
        <v>361</v>
      </c>
    </row>
    <row r="24" spans="1:4">
      <c r="A24" s="131"/>
      <c r="B24" s="42" t="s">
        <v>241</v>
      </c>
      <c r="C24" s="784" t="s">
        <v>202</v>
      </c>
      <c r="D24" s="785" t="s">
        <v>361</v>
      </c>
    </row>
    <row r="25" spans="1:4">
      <c r="A25" s="131"/>
      <c r="B25" s="42" t="s">
        <v>242</v>
      </c>
      <c r="C25" s="784" t="s">
        <v>203</v>
      </c>
      <c r="D25" s="785" t="s">
        <v>361</v>
      </c>
    </row>
    <row r="26" spans="1:4">
      <c r="A26" s="131"/>
      <c r="B26" s="42" t="s">
        <v>243</v>
      </c>
      <c r="C26" s="784" t="s">
        <v>204</v>
      </c>
      <c r="D26" s="785" t="s">
        <v>361</v>
      </c>
    </row>
    <row r="27" spans="1:4">
      <c r="A27" s="131"/>
      <c r="B27" s="42" t="s">
        <v>244</v>
      </c>
      <c r="C27" s="784" t="s">
        <v>205</v>
      </c>
      <c r="D27" s="785" t="s">
        <v>674</v>
      </c>
    </row>
    <row r="28" spans="1:4">
      <c r="A28" s="131"/>
      <c r="B28" s="42" t="s">
        <v>245</v>
      </c>
      <c r="C28" s="784" t="s">
        <v>206</v>
      </c>
      <c r="D28" s="785" t="s">
        <v>363</v>
      </c>
    </row>
    <row r="29" spans="1:4">
      <c r="A29" s="131"/>
      <c r="B29" s="42" t="s">
        <v>246</v>
      </c>
      <c r="C29" s="784" t="s">
        <v>207</v>
      </c>
      <c r="D29" s="785" t="s">
        <v>363</v>
      </c>
    </row>
    <row r="30" spans="1:4">
      <c r="A30" s="131"/>
      <c r="B30" s="42" t="s">
        <v>247</v>
      </c>
      <c r="C30" s="784" t="s">
        <v>208</v>
      </c>
      <c r="D30" s="785" t="s">
        <v>686</v>
      </c>
    </row>
    <row r="31" spans="1:4">
      <c r="A31" s="131"/>
      <c r="B31" s="42" t="s">
        <v>248</v>
      </c>
      <c r="C31" s="784" t="s">
        <v>209</v>
      </c>
      <c r="D31" s="785" t="s">
        <v>687</v>
      </c>
    </row>
    <row r="32" spans="1:4">
      <c r="A32" s="131"/>
      <c r="B32" s="42" t="s">
        <v>249</v>
      </c>
      <c r="C32" s="784" t="s">
        <v>210</v>
      </c>
      <c r="D32" s="785" t="s">
        <v>363</v>
      </c>
    </row>
    <row r="33" spans="1:4">
      <c r="A33" s="131"/>
      <c r="B33" s="42" t="s">
        <v>250</v>
      </c>
      <c r="C33" s="784" t="s">
        <v>211</v>
      </c>
      <c r="D33" s="785" t="s">
        <v>365</v>
      </c>
    </row>
    <row r="34" spans="1:4">
      <c r="A34" s="131"/>
      <c r="B34" s="42" t="s">
        <v>251</v>
      </c>
      <c r="C34" s="784" t="s">
        <v>212</v>
      </c>
      <c r="D34" s="785" t="s">
        <v>365</v>
      </c>
    </row>
    <row r="35" spans="1:4">
      <c r="A35" s="131"/>
      <c r="B35" s="42" t="s">
        <v>252</v>
      </c>
      <c r="C35" s="784" t="s">
        <v>213</v>
      </c>
      <c r="D35" s="785" t="s">
        <v>688</v>
      </c>
    </row>
    <row r="36" spans="1:4">
      <c r="A36" s="228" t="s">
        <v>214</v>
      </c>
      <c r="B36" s="42" t="s">
        <v>253</v>
      </c>
      <c r="C36" s="784" t="s">
        <v>215</v>
      </c>
      <c r="D36" s="785" t="s">
        <v>675</v>
      </c>
    </row>
    <row r="37" spans="1:4">
      <c r="A37" s="131"/>
      <c r="B37" s="42" t="s">
        <v>254</v>
      </c>
      <c r="C37" s="784" t="s">
        <v>216</v>
      </c>
      <c r="D37" s="42" t="s">
        <v>358</v>
      </c>
    </row>
    <row r="38" spans="1:4">
      <c r="A38" s="131"/>
      <c r="B38" s="42" t="s">
        <v>255</v>
      </c>
      <c r="C38" s="784" t="s">
        <v>217</v>
      </c>
      <c r="D38" s="785" t="s">
        <v>689</v>
      </c>
    </row>
    <row r="39" spans="1:4">
      <c r="B39" s="42" t="s">
        <v>256</v>
      </c>
      <c r="C39" s="784" t="s">
        <v>218</v>
      </c>
      <c r="D39" s="42" t="s">
        <v>364</v>
      </c>
    </row>
    <row r="40" spans="1:4">
      <c r="A40" s="228" t="s">
        <v>219</v>
      </c>
      <c r="B40" s="42" t="s">
        <v>257</v>
      </c>
      <c r="C40" s="784" t="s">
        <v>102</v>
      </c>
      <c r="D40" s="42" t="s">
        <v>362</v>
      </c>
    </row>
    <row r="41" spans="1:4">
      <c r="A41" s="131"/>
      <c r="B41" s="42" t="s">
        <v>258</v>
      </c>
      <c r="C41" s="784" t="s">
        <v>220</v>
      </c>
      <c r="D41" s="42" t="s">
        <v>362</v>
      </c>
    </row>
    <row r="42" spans="1:4">
      <c r="A42" s="131"/>
      <c r="B42" s="42" t="s">
        <v>366</v>
      </c>
      <c r="C42" s="784" t="s">
        <v>367</v>
      </c>
      <c r="D42" s="42" t="s">
        <v>365</v>
      </c>
    </row>
    <row r="43" spans="1:4">
      <c r="B43" s="42" t="s">
        <v>402</v>
      </c>
      <c r="C43" s="784" t="s">
        <v>403</v>
      </c>
      <c r="D43" s="42" t="s">
        <v>365</v>
      </c>
    </row>
    <row r="44" spans="1:4">
      <c r="A44" s="131"/>
      <c r="B44" s="42" t="s">
        <v>411</v>
      </c>
      <c r="C44" s="784" t="s">
        <v>413</v>
      </c>
      <c r="D44" s="42" t="s">
        <v>365</v>
      </c>
    </row>
    <row r="45" spans="1:4">
      <c r="A45" s="229"/>
      <c r="B45" s="42" t="s">
        <v>412</v>
      </c>
      <c r="C45" s="784" t="s">
        <v>705</v>
      </c>
      <c r="D45" s="42"/>
    </row>
    <row r="46" spans="1:4">
      <c r="A46" s="229"/>
      <c r="B46" s="42"/>
      <c r="C46" s="786"/>
      <c r="D46" s="42"/>
    </row>
    <row r="47" spans="1:4">
      <c r="A47" s="229"/>
      <c r="C47" s="229"/>
    </row>
    <row r="48" spans="1:4">
      <c r="A48" s="229"/>
      <c r="C48" s="229"/>
    </row>
    <row r="49" spans="3:4">
      <c r="C49" s="229"/>
    </row>
    <row r="50" spans="3:4">
      <c r="C50" s="229"/>
    </row>
    <row r="51" spans="3:4">
      <c r="C51" s="229"/>
    </row>
    <row r="53" spans="3:4">
      <c r="C53" s="230"/>
      <c r="D53" s="647"/>
    </row>
    <row r="54" spans="3:4">
      <c r="C54" s="230"/>
      <c r="D54" s="647"/>
    </row>
    <row r="55" spans="3:4">
      <c r="C55" s="230"/>
      <c r="D55" s="647"/>
    </row>
  </sheetData>
  <sheetProtection formatColumns="0" formatRows="0"/>
  <phoneticPr fontId="17" type="noConversion"/>
  <pageMargins left="0.74" right="0.28999999999999998" top="0.67" bottom="0.83" header="0.24" footer="0.35"/>
  <pageSetup paperSize="9" scale="86" orientation="landscape" r:id="rId1"/>
  <headerFooter alignWithMargins="0">
    <oddFooter>&amp;L&amp;8&amp;F
&amp;A
Printed: &amp;T on &amp;D&amp;C&amp;8Page &amp;P of &amp;N</oddFooter>
  </headerFooter>
</worksheet>
</file>

<file path=xl/worksheets/sheet60.xml><?xml version="1.0" encoding="utf-8"?>
<worksheet xmlns="http://schemas.openxmlformats.org/spreadsheetml/2006/main" xmlns:r="http://schemas.openxmlformats.org/officeDocument/2006/relationships">
  <sheetPr codeName="Sheet33" enableFormatConditionsCalculation="0">
    <tabColor indexed="17"/>
    <pageSetUpPr fitToPage="1"/>
  </sheetPr>
  <dimension ref="A1:T239"/>
  <sheetViews>
    <sheetView showGridLines="0" topLeftCell="A177" zoomScaleNormal="100" workbookViewId="0">
      <selection activeCell="D185" sqref="D185"/>
    </sheetView>
  </sheetViews>
  <sheetFormatPr defaultRowHeight="12.75" outlineLevelRow="2"/>
  <cols>
    <col min="1" max="1" width="36.5703125"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6</v>
      </c>
      <c r="M1" s="282"/>
      <c r="N1" s="280"/>
      <c r="O1" s="280"/>
      <c r="P1" s="280"/>
      <c r="Q1" s="280"/>
      <c r="R1" s="280"/>
      <c r="S1" s="280"/>
      <c r="T1" s="280"/>
    </row>
    <row r="2" spans="1:20" ht="15.75">
      <c r="A2" s="184" t="s">
        <v>121</v>
      </c>
      <c r="B2" s="74" t="str">
        <f ca="1">OFFSET(List_DAOpexStart,+$K$1,1)</f>
        <v>Operational Asset Management</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0.184</v>
      </c>
      <c r="E8" s="285">
        <f ca="1">OFFSET(Future_DAOpexStart,MATCH($K$1,'I-5 Future DA'!$A$6:$A$222)+2,+'I-5 Future DA'!F$5)</f>
        <v>0.184</v>
      </c>
      <c r="F8" s="285">
        <f ca="1">OFFSET(Future_DAOpexStart,MATCH($K$1,'I-5 Future DA'!$A$6:$A$222)+2,+'I-5 Future DA'!G$5)</f>
        <v>0.184</v>
      </c>
      <c r="G8" s="285">
        <f ca="1">OFFSET(Future_DAOpexStart,MATCH($K$1,'I-5 Future DA'!$A$6:$A$222)+2,+'I-5 Future DA'!H$5)</f>
        <v>0.184</v>
      </c>
      <c r="H8" s="285">
        <f ca="1">OFFSET(Future_DAOpexStart,MATCH($K$1,'I-5 Future DA'!$A$6:$A$222)+2,+'I-5 Future DA'!I$5)</f>
        <v>0.184</v>
      </c>
      <c r="I8" s="285">
        <f ca="1">OFFSET(Future_DAOpexStart,MATCH($K$1,'I-5 Future DA'!$A$6:$A$222)+2,+'I-5 Future DA'!J$5)</f>
        <v>0.184</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1.6E-2</v>
      </c>
      <c r="E12" s="285">
        <f ca="1">OFFSET(Future_DAOpexStart,MATCH($K$1,'I-5 Future DA'!$A$6:$A$222)+6,+'I-5 Future DA'!F$5)</f>
        <v>1.6E-2</v>
      </c>
      <c r="F12" s="285">
        <f ca="1">OFFSET(Future_DAOpexStart,MATCH($K$1,'I-5 Future DA'!$A$6:$A$222)+6,+'I-5 Future DA'!G$5)</f>
        <v>1.6E-2</v>
      </c>
      <c r="G12" s="285">
        <f ca="1">OFFSET(Future_DAOpexStart,MATCH($K$1,'I-5 Future DA'!$A$6:$A$222)+6,+'I-5 Future DA'!H$5)</f>
        <v>1.6E-2</v>
      </c>
      <c r="H12" s="285">
        <f ca="1">OFFSET(Future_DAOpexStart,MATCH($K$1,'I-5 Future DA'!$A$6:$A$222)+6,+'I-5 Future DA'!I$5)</f>
        <v>1.6E-2</v>
      </c>
      <c r="I12" s="285">
        <f ca="1">OFFSET(Future_DAOpexStart,MATCH($K$1,'I-5 Future DA'!$A$6:$A$222)+6,+'I-5 Future DA'!J$5)</f>
        <v>1.6E-2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0.2</v>
      </c>
      <c r="E14" s="287">
        <f t="shared" ca="1" si="0"/>
        <v>0.2</v>
      </c>
      <c r="F14" s="287">
        <f t="shared" ca="1" si="0"/>
        <v>0.2</v>
      </c>
      <c r="G14" s="287">
        <f t="shared" ca="1" si="0"/>
        <v>0.2</v>
      </c>
      <c r="H14" s="287">
        <f t="shared" ca="1" si="0"/>
        <v>0.2</v>
      </c>
      <c r="I14" s="287">
        <f t="shared" ca="1" si="0"/>
        <v>0.2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+'DA-6'!B8+'DA-6'!B19</f>
        <v>0</v>
      </c>
      <c r="C30" s="285">
        <f ca="1">+'DA-6'!C8+'DA-6'!C19</f>
        <v>0</v>
      </c>
      <c r="D30" s="285">
        <f ca="1">+'DA-6'!D8+'DA-6'!D19</f>
        <v>0.184</v>
      </c>
      <c r="E30" s="285">
        <f ca="1">+'DA-6'!E8+'DA-6'!E19</f>
        <v>0.184</v>
      </c>
      <c r="F30" s="285">
        <f ca="1">+'DA-6'!F8+'DA-6'!F19</f>
        <v>0.184</v>
      </c>
      <c r="G30" s="285">
        <f ca="1">+'DA-6'!G8+'DA-6'!G19</f>
        <v>0.184</v>
      </c>
      <c r="H30" s="285">
        <f ca="1">+'DA-6'!H8+'DA-6'!H19</f>
        <v>0.184</v>
      </c>
      <c r="I30" s="285">
        <f ca="1">+'DA-6'!I8+'DA-6'!I19</f>
        <v>0.184</v>
      </c>
      <c r="J30" s="42"/>
      <c r="K30" s="21"/>
      <c r="L30" s="21"/>
    </row>
    <row r="31" spans="1:12" outlineLevel="2">
      <c r="A31" s="61" t="s">
        <v>69</v>
      </c>
      <c r="B31" s="285">
        <f ca="1">+'DA-6'!B9+'DA-6'!B20</f>
        <v>0</v>
      </c>
      <c r="C31" s="285">
        <f ca="1">+'DA-6'!C9+'DA-6'!C20</f>
        <v>0</v>
      </c>
      <c r="D31" s="285">
        <f ca="1">+'DA-6'!D9+'DA-6'!D20</f>
        <v>0</v>
      </c>
      <c r="E31" s="285">
        <f ca="1">+'DA-6'!E9+'DA-6'!E20</f>
        <v>0</v>
      </c>
      <c r="F31" s="285">
        <f ca="1">+'DA-6'!F9+'DA-6'!F20</f>
        <v>0</v>
      </c>
      <c r="G31" s="285">
        <f ca="1">+'DA-6'!G9+'DA-6'!G20</f>
        <v>0</v>
      </c>
      <c r="H31" s="285">
        <f ca="1">+'DA-6'!H9+'DA-6'!H20</f>
        <v>0</v>
      </c>
      <c r="I31" s="285">
        <f ca="1">+'DA-6'!I9+'DA-6'!I20</f>
        <v>0</v>
      </c>
      <c r="J31" s="42"/>
      <c r="K31" s="21"/>
      <c r="L31" s="21"/>
    </row>
    <row r="32" spans="1:12" s="759" customFormat="1" outlineLevel="2">
      <c r="A32" s="61" t="s">
        <v>646</v>
      </c>
      <c r="B32" s="285">
        <f ca="1">+'DA-6'!B10+'DA-6'!B21</f>
        <v>0</v>
      </c>
      <c r="C32" s="285">
        <f ca="1">+'DA-6'!C10+'DA-6'!C21</f>
        <v>0</v>
      </c>
      <c r="D32" s="285">
        <f ca="1">+'DA-6'!D10+'DA-6'!D21</f>
        <v>0</v>
      </c>
      <c r="E32" s="285">
        <f ca="1">+'DA-6'!E10+'DA-6'!E21</f>
        <v>0</v>
      </c>
      <c r="F32" s="285">
        <f ca="1">+'DA-6'!F10+'DA-6'!F21</f>
        <v>0</v>
      </c>
      <c r="G32" s="285">
        <f ca="1">+'DA-6'!G10+'DA-6'!G21</f>
        <v>0</v>
      </c>
      <c r="H32" s="285">
        <f ca="1">+'DA-6'!H10+'DA-6'!H21</f>
        <v>0</v>
      </c>
      <c r="I32" s="285">
        <f ca="1">+'DA-6'!I10+'DA-6'!I21</f>
        <v>0</v>
      </c>
      <c r="J32" s="42"/>
      <c r="K32" s="732"/>
      <c r="L32" s="732"/>
    </row>
    <row r="33" spans="1:12" outlineLevel="2">
      <c r="A33" s="61" t="s">
        <v>647</v>
      </c>
      <c r="B33" s="285">
        <f ca="1">+'DA-6'!B11+'DA-6'!B22</f>
        <v>0</v>
      </c>
      <c r="C33" s="285">
        <f ca="1">+'DA-6'!C11+'DA-6'!C22</f>
        <v>0</v>
      </c>
      <c r="D33" s="285">
        <f ca="1">+'DA-6'!D11+'DA-6'!D22</f>
        <v>0</v>
      </c>
      <c r="E33" s="285">
        <f ca="1">+'DA-6'!E11+'DA-6'!E22</f>
        <v>0</v>
      </c>
      <c r="F33" s="285">
        <f ca="1">+'DA-6'!F11+'DA-6'!F22</f>
        <v>0</v>
      </c>
      <c r="G33" s="285">
        <f ca="1">+'DA-6'!G11+'DA-6'!G22</f>
        <v>0</v>
      </c>
      <c r="H33" s="285">
        <f ca="1">+'DA-6'!H11+'DA-6'!H22</f>
        <v>0</v>
      </c>
      <c r="I33" s="285">
        <f ca="1">+'DA-6'!I11+'DA-6'!I22</f>
        <v>0</v>
      </c>
      <c r="J33" s="42"/>
      <c r="K33" s="21"/>
      <c r="L33" s="21"/>
    </row>
    <row r="34" spans="1:12" s="759" customFormat="1" outlineLevel="2">
      <c r="A34" s="61" t="s">
        <v>575</v>
      </c>
      <c r="B34" s="285">
        <f ca="1">+'DA-6'!B12+'DA-6'!B23</f>
        <v>0</v>
      </c>
      <c r="C34" s="285">
        <f ca="1">+'DA-6'!C12+'DA-6'!C23</f>
        <v>0</v>
      </c>
      <c r="D34" s="285">
        <f ca="1">+'DA-6'!D12+'DA-6'!D23</f>
        <v>1.6E-2</v>
      </c>
      <c r="E34" s="285">
        <f ca="1">+'DA-6'!E12+'DA-6'!E23</f>
        <v>1.6E-2</v>
      </c>
      <c r="F34" s="285">
        <f ca="1">+'DA-6'!F12+'DA-6'!F23</f>
        <v>1.6E-2</v>
      </c>
      <c r="G34" s="285">
        <f ca="1">+'DA-6'!G12+'DA-6'!G23</f>
        <v>1.6E-2</v>
      </c>
      <c r="H34" s="285">
        <f ca="1">+'DA-6'!H12+'DA-6'!H23</f>
        <v>1.6E-2</v>
      </c>
      <c r="I34" s="285">
        <f ca="1">+'DA-6'!I12+'DA-6'!I23</f>
        <v>1.6E-2</v>
      </c>
      <c r="J34" s="42"/>
      <c r="K34" s="732"/>
      <c r="L34" s="732"/>
    </row>
    <row r="35" spans="1:12" ht="13.5" outlineLevel="2" thickBot="1">
      <c r="A35" s="83" t="s">
        <v>70</v>
      </c>
      <c r="B35" s="285">
        <f ca="1">+'DA-6'!B13+'DA-6'!B24</f>
        <v>0</v>
      </c>
      <c r="C35" s="285">
        <f ca="1">+'DA-6'!C13+'DA-6'!C24</f>
        <v>0</v>
      </c>
      <c r="D35" s="285">
        <f ca="1">+'DA-6'!D13+'DA-6'!D24</f>
        <v>0</v>
      </c>
      <c r="E35" s="285">
        <f ca="1">+'DA-6'!E13+'DA-6'!E24</f>
        <v>0</v>
      </c>
      <c r="F35" s="285">
        <f ca="1">+'DA-6'!F13+'DA-6'!F24</f>
        <v>0</v>
      </c>
      <c r="G35" s="285">
        <f ca="1">+'DA-6'!G13+'DA-6'!G24</f>
        <v>0</v>
      </c>
      <c r="H35" s="285">
        <f ca="1">+'DA-6'!H13+'DA-6'!H24</f>
        <v>0</v>
      </c>
      <c r="I35" s="285">
        <f ca="1">+'DA-6'!I13+'DA-6'!I24</f>
        <v>0</v>
      </c>
      <c r="J35" s="93"/>
      <c r="K35" s="21"/>
      <c r="L35" s="21"/>
    </row>
    <row r="36" spans="1:12" s="87" customFormat="1" ht="20.25" customHeight="1" thickBot="1">
      <c r="A36" s="94" t="s">
        <v>128</v>
      </c>
      <c r="B36" s="294">
        <f t="shared" ref="B36:I36" ca="1" si="7">SUM(B30:B35)</f>
        <v>0</v>
      </c>
      <c r="C36" s="294">
        <f t="shared" ca="1" si="7"/>
        <v>0</v>
      </c>
      <c r="D36" s="294">
        <f t="shared" ca="1" si="7"/>
        <v>0.2</v>
      </c>
      <c r="E36" s="294">
        <f t="shared" ca="1" si="7"/>
        <v>0.2</v>
      </c>
      <c r="F36" s="294">
        <f t="shared" ca="1" si="7"/>
        <v>0.2</v>
      </c>
      <c r="G36" s="294">
        <f t="shared" ca="1" si="7"/>
        <v>0.2</v>
      </c>
      <c r="H36" s="294">
        <f t="shared" ca="1" si="7"/>
        <v>0.2</v>
      </c>
      <c r="I36" s="294">
        <f t="shared" ca="1" si="7"/>
        <v>0.2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1.9522323237472622E-3</v>
      </c>
      <c r="F42" s="285">
        <f t="shared" ca="1" si="8"/>
        <v>3.7611431027445618E-3</v>
      </c>
      <c r="G42" s="285">
        <f t="shared" ca="1" si="8"/>
        <v>5.5492313212231661E-3</v>
      </c>
      <c r="H42" s="285">
        <f t="shared" ca="1" si="8"/>
        <v>7.4891634270472076E-3</v>
      </c>
      <c r="I42" s="285">
        <f t="shared" ca="1" si="8"/>
        <v>9.2661557544960332E-3</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1.6975933249976195E-4</v>
      </c>
      <c r="F46" s="285">
        <f t="shared" ca="1" si="11"/>
        <v>3.2705592197778798E-4</v>
      </c>
      <c r="G46" s="285">
        <f t="shared" ca="1" si="11"/>
        <v>4.8254185401940577E-4</v>
      </c>
      <c r="H46" s="285">
        <f t="shared" ca="1" si="11"/>
        <v>6.5123160235193108E-4</v>
      </c>
      <c r="I46" s="285">
        <f t="shared" ca="1" si="11"/>
        <v>8.057526743040029E-4</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2.1219916562470243E-3</v>
      </c>
      <c r="F48" s="294">
        <f t="shared" ca="1" si="13"/>
        <v>4.0881990247223499E-3</v>
      </c>
      <c r="G48" s="294">
        <f t="shared" ca="1" si="13"/>
        <v>6.031773175242572E-3</v>
      </c>
      <c r="H48" s="294">
        <f t="shared" ca="1" si="13"/>
        <v>8.1403950293991393E-3</v>
      </c>
      <c r="I48" s="294">
        <f t="shared" ca="1" si="13"/>
        <v>1.0071908428800036E-2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3.990156660680054E-3</v>
      </c>
      <c r="F53" s="285">
        <f t="shared" ca="1" si="14"/>
        <v>8.1443979612213259E-3</v>
      </c>
      <c r="G53" s="285">
        <f t="shared" ca="1" si="14"/>
        <v>1.2698261404190366E-2</v>
      </c>
      <c r="H53" s="285">
        <f t="shared" ca="1" si="14"/>
        <v>1.7452688675531857E-2</v>
      </c>
      <c r="I53" s="285">
        <f t="shared" ca="1" si="14"/>
        <v>2.2387669443750639E-2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3.4697014440696121E-4</v>
      </c>
      <c r="F57" s="285">
        <f t="shared" ca="1" si="17"/>
        <v>7.0820851836707181E-4</v>
      </c>
      <c r="G57" s="285">
        <f t="shared" ca="1" si="17"/>
        <v>1.1041966438426407E-3</v>
      </c>
      <c r="H57" s="285">
        <f t="shared" ca="1" si="17"/>
        <v>1.5176251022201617E-3</v>
      </c>
      <c r="I57" s="285">
        <f t="shared" ca="1" si="17"/>
        <v>1.9467538646739686E-3</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4.3371268050870155E-3</v>
      </c>
      <c r="F59" s="287">
        <f t="shared" ca="1" si="19"/>
        <v>8.8526064795883975E-3</v>
      </c>
      <c r="G59" s="287">
        <f t="shared" ca="1" si="19"/>
        <v>1.3802458048033006E-2</v>
      </c>
      <c r="H59" s="287">
        <f t="shared" ca="1" si="19"/>
        <v>1.8970313777752018E-2</v>
      </c>
      <c r="I59" s="287">
        <f t="shared" ca="1" si="19"/>
        <v>2.4334423308424606E-2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0.184</v>
      </c>
      <c r="E64" s="285">
        <f t="shared" ca="1" si="20"/>
        <v>0.18994238898442731</v>
      </c>
      <c r="F64" s="285">
        <f t="shared" ca="1" si="20"/>
        <v>0.19590554106396588</v>
      </c>
      <c r="G64" s="285">
        <f t="shared" ca="1" si="20"/>
        <v>0.20224749272541354</v>
      </c>
      <c r="H64" s="285">
        <f t="shared" ca="1" si="20"/>
        <v>0.20894185210257904</v>
      </c>
      <c r="I64" s="285">
        <f t="shared" ca="1" si="20"/>
        <v>0.21565382519824666</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1.6E-2</v>
      </c>
      <c r="E68" s="285">
        <f t="shared" ca="1" si="23"/>
        <v>1.6516729476906723E-2</v>
      </c>
      <c r="F68" s="285">
        <f t="shared" ca="1" si="23"/>
        <v>1.7035264440344863E-2</v>
      </c>
      <c r="G68" s="285">
        <f t="shared" ca="1" si="23"/>
        <v>1.7586738497862048E-2</v>
      </c>
      <c r="H68" s="285">
        <f t="shared" ca="1" si="23"/>
        <v>1.8168856704572092E-2</v>
      </c>
      <c r="I68" s="285">
        <f t="shared" ca="1" si="23"/>
        <v>1.8752506538977969E-2</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0.2</v>
      </c>
      <c r="E70" s="295">
        <f t="shared" ca="1" si="25"/>
        <v>0.20645911846133402</v>
      </c>
      <c r="F70" s="295">
        <f t="shared" ca="1" si="25"/>
        <v>0.21294080550431074</v>
      </c>
      <c r="G70" s="295">
        <f t="shared" ca="1" si="25"/>
        <v>0.21983423122327558</v>
      </c>
      <c r="H70" s="295">
        <f t="shared" ca="1" si="25"/>
        <v>0.22711070880715112</v>
      </c>
      <c r="I70" s="295">
        <f t="shared" ca="1" si="25"/>
        <v>0.23440633173722464</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1.9522323237472622E-3</v>
      </c>
      <c r="Q77" s="285">
        <f ca="1">IF($B77&lt;&gt;0,(+VLOOKUP($B77,$A$8:$I$13,6,FALSE))*(F77),0)</f>
        <v>3.7611431027445618E-3</v>
      </c>
      <c r="R77" s="285">
        <f ca="1">IF($B77&lt;&gt;0,(+VLOOKUP($B77,$A$8:$I$13,7,FALSE))*(G77),0)</f>
        <v>5.5492313212231661E-3</v>
      </c>
      <c r="S77" s="285">
        <f ca="1">IF($B77&lt;&gt;0,(+VLOOKUP($B77,$A$8:$I$13,8,FALSE))*(H77),0)</f>
        <v>7.4891634270472076E-3</v>
      </c>
      <c r="T77" s="285">
        <f ca="1">IF($B77&lt;&gt;0,(+VLOOKUP($B77,$A$8:$I$13,9,FALSE))*(I77),0)</f>
        <v>9.2661557544960332E-3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1.6975933249976195E-4</v>
      </c>
      <c r="Q81" s="285">
        <f ca="1">IF($B81&lt;&gt;0,(+VLOOKUP($B81,$A$8:$I$13,6,FALSE))*(F81),0)</f>
        <v>3.2705592197778798E-4</v>
      </c>
      <c r="R81" s="285">
        <f ca="1">IF($B81&lt;&gt;0,(+VLOOKUP($B81,$A$8:$I$13,7,FALSE))*(G81),0)</f>
        <v>4.8254185401940577E-4</v>
      </c>
      <c r="S81" s="285">
        <f ca="1">IF($B81&lt;&gt;0,(+VLOOKUP($B81,$A$8:$I$13,8,FALSE))*(H81),0)</f>
        <v>6.5123160235193108E-4</v>
      </c>
      <c r="T81" s="285">
        <f ca="1">IF($B81&lt;&gt;0,(+VLOOKUP($B81,$A$8:$I$13,9,FALSE))*(I81),0)</f>
        <v>8.057526743040029E-4</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2.1219916562470243E-3</v>
      </c>
      <c r="Q83" s="292">
        <f t="shared" ca="1" si="51"/>
        <v>4.0881990247223499E-3</v>
      </c>
      <c r="R83" s="292">
        <f t="shared" ca="1" si="51"/>
        <v>6.031773175242572E-3</v>
      </c>
      <c r="S83" s="292">
        <f t="shared" ca="1" si="51"/>
        <v>8.1403950293991393E-3</v>
      </c>
      <c r="T83" s="292">
        <f t="shared" ca="1" si="51"/>
        <v>1.0071908428800036E-2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1.9522323237472622E-3</v>
      </c>
      <c r="F98" s="285">
        <f t="shared" ca="1" si="54"/>
        <v>3.7611431027445618E-3</v>
      </c>
      <c r="G98" s="285">
        <f t="shared" ca="1" si="54"/>
        <v>5.5492313212231661E-3</v>
      </c>
      <c r="H98" s="285">
        <f t="shared" ca="1" si="54"/>
        <v>7.4891634270472076E-3</v>
      </c>
      <c r="I98" s="285">
        <f t="shared" ca="1" si="54"/>
        <v>9.2661557544960332E-3</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1.6975933249976195E-4</v>
      </c>
      <c r="F102" s="285">
        <f t="shared" ca="1" si="58"/>
        <v>3.2705592197778798E-4</v>
      </c>
      <c r="G102" s="285">
        <f t="shared" ca="1" si="58"/>
        <v>4.8254185401940577E-4</v>
      </c>
      <c r="H102" s="285">
        <f t="shared" ca="1" si="58"/>
        <v>6.5123160235193108E-4</v>
      </c>
      <c r="I102" s="285">
        <f t="shared" ca="1" si="58"/>
        <v>8.057526743040029E-4</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2.1219916562470243E-3</v>
      </c>
      <c r="F104" s="296">
        <f t="shared" ca="1" si="60"/>
        <v>4.0881990247223499E-3</v>
      </c>
      <c r="G104" s="296">
        <f t="shared" ca="1" si="60"/>
        <v>6.031773175242572E-3</v>
      </c>
      <c r="H104" s="296">
        <f t="shared" ca="1" si="60"/>
        <v>8.1403950293991393E-3</v>
      </c>
      <c r="I104" s="296">
        <f t="shared" ca="1" si="60"/>
        <v>1.0071908428800036E-2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3.990156660680054E-3</v>
      </c>
      <c r="Q113" s="285">
        <f ca="1">IF($B113&lt;&gt;0,(+VLOOKUP($B113,$A$8:$I$13,6,FALSE)+VLOOKUP($B113,$A$42:$I$47,6,FALSE))*(F113),0)</f>
        <v>8.1443979612213259E-3</v>
      </c>
      <c r="R113" s="285">
        <f ca="1">IF($B113&lt;&gt;0,(+VLOOKUP($B113,$A$8:$I$13,7,FALSE)+VLOOKUP($B113,$A$42:$I$47,7,FALSE))*(G113),0)</f>
        <v>1.2698261404190366E-2</v>
      </c>
      <c r="S113" s="285">
        <f ca="1">IF($B113&lt;&gt;0,(+VLOOKUP($B113,$A$8:$I$13,8,FALSE)+VLOOKUP($B113,$A$42:$I$47,8,FALSE))*(H113),0)</f>
        <v>1.7452688675531857E-2</v>
      </c>
      <c r="T113" s="285">
        <f ca="1">IF($B113&lt;&gt;0,(+VLOOKUP($B113,$A$8:$I$13,9,FALSE)+VLOOKUP($B113,$A$42:$I$47,9,FALSE))*(I113),0)</f>
        <v>2.2387669443750639E-2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3.4697014440696121E-4</v>
      </c>
      <c r="Q117" s="285">
        <f t="shared" ca="1" si="68"/>
        <v>7.0820851836707181E-4</v>
      </c>
      <c r="R117" s="285">
        <f t="shared" ca="1" si="69"/>
        <v>1.1041966438426407E-3</v>
      </c>
      <c r="S117" s="285">
        <f t="shared" ca="1" si="70"/>
        <v>1.5176251022201617E-3</v>
      </c>
      <c r="T117" s="285">
        <f t="shared" ca="1" si="71"/>
        <v>1.9467538646739686E-3</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4.3371268050870155E-3</v>
      </c>
      <c r="Q119" s="292">
        <f t="shared" ca="1" si="72"/>
        <v>8.8526064795883975E-3</v>
      </c>
      <c r="R119" s="292">
        <f t="shared" ca="1" si="72"/>
        <v>1.3802458048033006E-2</v>
      </c>
      <c r="S119" s="292">
        <f t="shared" ca="1" si="72"/>
        <v>1.8970313777752018E-2</v>
      </c>
      <c r="T119" s="292">
        <f t="shared" ca="1" si="72"/>
        <v>2.4334423308424606E-2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3.990156660680054E-3</v>
      </c>
      <c r="F134" s="285">
        <f t="shared" ca="1" si="75"/>
        <v>8.1443979612213259E-3</v>
      </c>
      <c r="G134" s="285">
        <f t="shared" ca="1" si="75"/>
        <v>1.2698261404190366E-2</v>
      </c>
      <c r="H134" s="285">
        <f t="shared" ca="1" si="75"/>
        <v>1.7452688675531857E-2</v>
      </c>
      <c r="I134" s="285">
        <f t="shared" ca="1" si="75"/>
        <v>2.2387669443750639E-2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3.4697014440696121E-4</v>
      </c>
      <c r="F138" s="285">
        <f t="shared" ca="1" si="79"/>
        <v>7.0820851836707181E-4</v>
      </c>
      <c r="G138" s="285">
        <f t="shared" ca="1" si="79"/>
        <v>1.1041966438426407E-3</v>
      </c>
      <c r="H138" s="285">
        <f t="shared" ca="1" si="79"/>
        <v>1.5176251022201617E-3</v>
      </c>
      <c r="I138" s="285">
        <f t="shared" ca="1" si="79"/>
        <v>1.9467538646739686E-3</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4.3371268050870155E-3</v>
      </c>
      <c r="F140" s="296">
        <f t="shared" ca="1" si="81"/>
        <v>8.8526064795883975E-3</v>
      </c>
      <c r="G140" s="296">
        <f t="shared" ca="1" si="81"/>
        <v>1.3802458048033006E-2</v>
      </c>
      <c r="H140" s="296">
        <f t="shared" ca="1" si="81"/>
        <v>1.8970313777752018E-2</v>
      </c>
      <c r="I140" s="296">
        <f t="shared" ca="1" si="81"/>
        <v>2.4334423308424606E-2</v>
      </c>
    </row>
    <row r="141" spans="1:16" ht="13.5" outlineLevel="1" thickBot="1">
      <c r="A141" s="122" t="s">
        <v>148</v>
      </c>
      <c r="B141" s="126"/>
      <c r="C141" s="124">
        <f t="shared" ref="C141:I141" ca="1" si="82">IF((+C36+C48)&lt;&gt;0,+C140/(+C36+C48),0)</f>
        <v>0</v>
      </c>
      <c r="D141" s="124">
        <f t="shared" ca="1" si="82"/>
        <v>0</v>
      </c>
      <c r="E141" s="124">
        <f t="shared" ca="1" si="82"/>
        <v>2.1457965902410336E-2</v>
      </c>
      <c r="F141" s="124">
        <f t="shared" ca="1" si="82"/>
        <v>4.3376376105489722E-2</v>
      </c>
      <c r="G141" s="124">
        <f t="shared" ca="1" si="82"/>
        <v>6.6991890791005204E-2</v>
      </c>
      <c r="H141" s="124">
        <f t="shared" ca="1" si="82"/>
        <v>9.114191301055484E-2</v>
      </c>
      <c r="I141" s="124">
        <f t="shared" ca="1" si="82"/>
        <v>0.11583854067128782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7"/>
      <c r="D148" s="59"/>
      <c r="E148" s="59"/>
      <c r="F148" s="59"/>
      <c r="G148" s="59"/>
      <c r="H148" s="59"/>
      <c r="I148" s="59"/>
      <c r="J148" s="60"/>
      <c r="K148" s="60"/>
      <c r="L148" s="60"/>
    </row>
    <row r="149" spans="1:13" s="64" customFormat="1" ht="14.25" outlineLevel="1">
      <c r="A149" s="61" t="s">
        <v>68</v>
      </c>
      <c r="B149" s="90"/>
      <c r="C149" s="598">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598">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598">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598">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598">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598">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599">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v>0</v>
      </c>
      <c r="E185" s="285">
        <f t="array" ref="E185:I190">'[3]TOTAL (SEM)'!$O$43:$S$48</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0.2</v>
      </c>
      <c r="E205" s="82">
        <f t="shared" ca="1" si="95"/>
        <v>0.2</v>
      </c>
      <c r="F205" s="82">
        <f t="shared" ca="1" si="95"/>
        <v>0.2</v>
      </c>
      <c r="G205" s="82">
        <f t="shared" ca="1" si="95"/>
        <v>0.2</v>
      </c>
      <c r="H205" s="82">
        <f t="shared" ca="1" si="95"/>
        <v>0.2</v>
      </c>
      <c r="I205" s="82">
        <f t="shared" ca="1" si="95"/>
        <v>0.2</v>
      </c>
    </row>
    <row r="206" spans="1:9" outlineLevel="1">
      <c r="A206" t="s">
        <v>156</v>
      </c>
      <c r="B206" s="82">
        <f t="shared" ref="B206:I206" ca="1" si="96">+B36</f>
        <v>0</v>
      </c>
      <c r="C206" s="82">
        <f t="shared" ca="1" si="96"/>
        <v>0</v>
      </c>
      <c r="D206" s="82">
        <f t="shared" ca="1" si="96"/>
        <v>0.2</v>
      </c>
      <c r="E206" s="82">
        <f t="shared" ca="1" si="96"/>
        <v>0.2</v>
      </c>
      <c r="F206" s="82">
        <f t="shared" ca="1" si="96"/>
        <v>0.2</v>
      </c>
      <c r="G206" s="82">
        <f t="shared" ca="1" si="96"/>
        <v>0.2</v>
      </c>
      <c r="H206" s="82">
        <f t="shared" ca="1" si="96"/>
        <v>0.2</v>
      </c>
      <c r="I206" s="82">
        <f t="shared" ca="1" si="96"/>
        <v>0.2</v>
      </c>
    </row>
    <row r="207" spans="1:9" outlineLevel="1">
      <c r="A207" t="s">
        <v>157</v>
      </c>
      <c r="B207" s="82">
        <f t="shared" ref="B207:I207" ca="1" si="97">+B36+B48</f>
        <v>0</v>
      </c>
      <c r="C207" s="82">
        <f t="shared" ca="1" si="97"/>
        <v>0</v>
      </c>
      <c r="D207" s="82">
        <f t="shared" ca="1" si="97"/>
        <v>0.2</v>
      </c>
      <c r="E207" s="82">
        <f t="shared" ca="1" si="97"/>
        <v>0.20212199165624703</v>
      </c>
      <c r="F207" s="82">
        <f t="shared" ca="1" si="97"/>
        <v>0.20408819902472236</v>
      </c>
      <c r="G207" s="82">
        <f t="shared" ca="1" si="97"/>
        <v>0.20603177317524257</v>
      </c>
      <c r="H207" s="82">
        <f t="shared" ca="1" si="97"/>
        <v>0.20814039502939916</v>
      </c>
      <c r="I207" s="82">
        <f t="shared" ca="1" si="97"/>
        <v>0.21007190842880005</v>
      </c>
    </row>
    <row r="208" spans="1:9" outlineLevel="1">
      <c r="A208" t="s">
        <v>158</v>
      </c>
      <c r="B208" s="82">
        <f t="shared" ref="B208:I208" ca="1" si="98">+B70</f>
        <v>0</v>
      </c>
      <c r="C208" s="82">
        <f t="shared" ca="1" si="98"/>
        <v>0</v>
      </c>
      <c r="D208" s="82">
        <f t="shared" ca="1" si="98"/>
        <v>0.2</v>
      </c>
      <c r="E208" s="82">
        <f t="shared" ca="1" si="98"/>
        <v>0.20645911846133402</v>
      </c>
      <c r="F208" s="82">
        <f t="shared" ca="1" si="98"/>
        <v>0.21294080550431074</v>
      </c>
      <c r="G208" s="82">
        <f t="shared" ca="1" si="98"/>
        <v>0.21983423122327558</v>
      </c>
      <c r="H208" s="82">
        <f t="shared" ca="1" si="98"/>
        <v>0.22711070880715112</v>
      </c>
      <c r="I208" s="82">
        <f t="shared" ca="1" si="98"/>
        <v>0.23440633173722464</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50" priority="1" stopIfTrue="1" operator="notEqual">
      <formula>0</formula>
    </cfRule>
  </conditionalFormatting>
  <conditionalFormatting sqref="J130 J94 J70 J59 J48 J36:J37 J14 J25">
    <cfRule type="cellIs" dxfId="149" priority="2" stopIfTrue="1" operator="equal">
      <formula>"OK"</formula>
    </cfRule>
    <cfRule type="cellIs" dxfId="148" priority="3" stopIfTrue="1" operator="equal">
      <formula>"Warning Check Escalations"</formula>
    </cfRule>
  </conditionalFormatting>
  <conditionalFormatting sqref="N120:T120 N84:T84">
    <cfRule type="cellIs" dxfId="147" priority="4" stopIfTrue="1" operator="notEqual">
      <formula>0</formula>
    </cfRule>
    <cfRule type="cellIs" dxfId="146"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5" fitToHeight="0" orientation="portrait" r:id="rId6"/>
  <headerFooter alignWithMargins="0">
    <oddFooter>&amp;L&amp;8&amp;F
&amp;A
Printed: &amp;T on &amp;D&amp;C&amp;8Page &amp;P of &amp;N</oddFooter>
  </headerFooter>
  <rowBreaks count="3" manualBreakCount="3">
    <brk id="71" max="8" man="1"/>
    <brk id="143" max="8" man="1"/>
    <brk id="198" max="8" man="1"/>
  </rowBreaks>
  <ignoredErrors>
    <ignoredError sqref="C154 C150" unlockedFormula="1"/>
  </ignoredErrors>
  <drawing r:id="rId7"/>
  <legacyDrawing r:id="rId8"/>
</worksheet>
</file>

<file path=xl/worksheets/sheet61.xml><?xml version="1.0" encoding="utf-8"?>
<worksheet xmlns="http://schemas.openxmlformats.org/spreadsheetml/2006/main" xmlns:r="http://schemas.openxmlformats.org/officeDocument/2006/relationships">
  <sheetPr codeName="Sheet34" enableFormatConditionsCalculation="0">
    <tabColor rgb="FF008000"/>
    <pageSetUpPr fitToPage="1"/>
  </sheetPr>
  <dimension ref="A1:U239"/>
  <sheetViews>
    <sheetView showGridLines="0" topLeftCell="A74"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7</v>
      </c>
      <c r="M1" s="282"/>
      <c r="N1" s="280"/>
      <c r="O1" s="280"/>
      <c r="P1" s="280"/>
      <c r="Q1" s="280"/>
      <c r="R1" s="280"/>
      <c r="S1" s="280"/>
      <c r="T1" s="280"/>
    </row>
    <row r="2" spans="1:20" ht="15.75">
      <c r="A2" s="184" t="s">
        <v>121</v>
      </c>
      <c r="B2" s="74" t="str">
        <f ca="1">OFFSET(List_DAOpexStart,+$K$1,1)</f>
        <v>Maintenance of Asset Information</v>
      </c>
      <c r="F2" s="284"/>
      <c r="H2" s="42"/>
      <c r="I2" s="283"/>
      <c r="L2" s="282"/>
      <c r="M2" s="282"/>
    </row>
    <row r="3" spans="1:20" ht="16.5" thickBot="1">
      <c r="A3" s="184" t="s">
        <v>371</v>
      </c>
      <c r="B3" s="236" t="str">
        <f ca="1">OFFSET(List_DAOpexStart,+$K$1,2)</f>
        <v>Matt Napolitano</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2.0640000000000001</v>
      </c>
      <c r="E8" s="285">
        <f ca="1">OFFSET(Future_DAOpexStart,MATCH($K$1,'I-5 Future DA'!$A$6:$A$222)+2,+'I-5 Future DA'!F$5)</f>
        <v>2.0640000000000001</v>
      </c>
      <c r="F8" s="285">
        <f ca="1">OFFSET(Future_DAOpexStart,MATCH($K$1,'I-5 Future DA'!$A$6:$A$222)+2,+'I-5 Future DA'!G$5)</f>
        <v>2.0640000000000001</v>
      </c>
      <c r="G8" s="285">
        <f ca="1">OFFSET(Future_DAOpexStart,MATCH($K$1,'I-5 Future DA'!$A$6:$A$222)+2,+'I-5 Future DA'!H$5)</f>
        <v>2.0640000000000001</v>
      </c>
      <c r="H8" s="285">
        <f ca="1">OFFSET(Future_DAOpexStart,MATCH($K$1,'I-5 Future DA'!$A$6:$A$222)+2,+'I-5 Future DA'!I$5)</f>
        <v>2.0640000000000001</v>
      </c>
      <c r="I8" s="285">
        <f ca="1">OFFSET(Future_DAOpexStart,MATCH($K$1,'I-5 Future DA'!$A$6:$A$222)+2,+'I-5 Future DA'!J$5)</f>
        <v>2.0640000000000001</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6.0000000000000001E-3</v>
      </c>
      <c r="E9" s="285">
        <f ca="1">OFFSET(Future_DAOpexStart,MATCH($K$1,'I-5 Future DA'!$A$6:$A$222)+3,+'I-5 Future DA'!F$5)</f>
        <v>6.0000000000000001E-3</v>
      </c>
      <c r="F9" s="285">
        <f ca="1">OFFSET(Future_DAOpexStart,MATCH($K$1,'I-5 Future DA'!$A$6:$A$222)+3,+'I-5 Future DA'!G$5)</f>
        <v>6.0000000000000001E-3</v>
      </c>
      <c r="G9" s="285">
        <f ca="1">OFFSET(Future_DAOpexStart,MATCH($K$1,'I-5 Future DA'!$A$6:$A$222)+3,+'I-5 Future DA'!H$5)</f>
        <v>6.0000000000000001E-3</v>
      </c>
      <c r="H9" s="285">
        <f ca="1">OFFSET(Future_DAOpexStart,MATCH($K$1,'I-5 Future DA'!$A$6:$A$222)+3,+'I-5 Future DA'!I$5)</f>
        <v>6.0000000000000001E-3</v>
      </c>
      <c r="I9" s="285">
        <f ca="1">OFFSET(Future_DAOpexStart,MATCH($K$1,'I-5 Future DA'!$A$6:$A$222)+3,+'I-5 Future DA'!J$5)</f>
        <v>6.0000000000000001E-3</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0.13100000000000001</v>
      </c>
      <c r="E11" s="285">
        <f ca="1">OFFSET(Future_DAOpexStart,MATCH($K$1,'I-5 Future DA'!$A$6:$A$222)+5,+'I-5 Future DA'!F$5)</f>
        <v>0.13100000000000001</v>
      </c>
      <c r="F11" s="285">
        <f ca="1">OFFSET(Future_DAOpexStart,MATCH($K$1,'I-5 Future DA'!$A$6:$A$222)+5,+'I-5 Future DA'!G$5)</f>
        <v>0.13100000000000001</v>
      </c>
      <c r="G11" s="285">
        <f ca="1">OFFSET(Future_DAOpexStart,MATCH($K$1,'I-5 Future DA'!$A$6:$A$222)+5,+'I-5 Future DA'!H$5)</f>
        <v>0.13100000000000001</v>
      </c>
      <c r="H11" s="285">
        <f ca="1">OFFSET(Future_DAOpexStart,MATCH($K$1,'I-5 Future DA'!$A$6:$A$222)+5,+'I-5 Future DA'!I$5)</f>
        <v>0.13100000000000001</v>
      </c>
      <c r="I11" s="285">
        <f ca="1">OFFSET(Future_DAOpexStart,MATCH($K$1,'I-5 Future DA'!$A$6:$A$222)+5,+'I-5 Future DA'!J$5)</f>
        <v>0.13100000000000001</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0.14399999999999999</v>
      </c>
      <c r="E12" s="285">
        <f ca="1">OFFSET(Future_DAOpexStart,MATCH($K$1,'I-5 Future DA'!$A$6:$A$222)+6,+'I-5 Future DA'!F$5)</f>
        <v>0.14399999999999999</v>
      </c>
      <c r="F12" s="285">
        <f ca="1">OFFSET(Future_DAOpexStart,MATCH($K$1,'I-5 Future DA'!$A$6:$A$222)+6,+'I-5 Future DA'!G$5)</f>
        <v>0.14399999999999999</v>
      </c>
      <c r="G12" s="285">
        <f ca="1">OFFSET(Future_DAOpexStart,MATCH($K$1,'I-5 Future DA'!$A$6:$A$222)+6,+'I-5 Future DA'!H$5)</f>
        <v>0.14399999999999999</v>
      </c>
      <c r="H12" s="285">
        <f ca="1">OFFSET(Future_DAOpexStart,MATCH($K$1,'I-5 Future DA'!$A$6:$A$222)+6,+'I-5 Future DA'!I$5)</f>
        <v>0.14399999999999999</v>
      </c>
      <c r="I12" s="285">
        <f ca="1">OFFSET(Future_DAOpexStart,MATCH($K$1,'I-5 Future DA'!$A$6:$A$222)+6,+'I-5 Future DA'!J$5)</f>
        <v>0.14399999999999999</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2.3449999999999998</v>
      </c>
      <c r="E14" s="287">
        <f t="shared" ca="1" si="0"/>
        <v>2.3449999999999998</v>
      </c>
      <c r="F14" s="287">
        <f t="shared" ca="1" si="0"/>
        <v>2.3449999999999998</v>
      </c>
      <c r="G14" s="287">
        <f t="shared" ca="1" si="0"/>
        <v>2.3449999999999998</v>
      </c>
      <c r="H14" s="287">
        <f t="shared" ca="1" si="0"/>
        <v>2.3449999999999998</v>
      </c>
      <c r="I14" s="287">
        <f t="shared" ca="1" si="0"/>
        <v>2.3449999999999998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+'DA-7'!B8+'DA-7'!B19</f>
        <v>0</v>
      </c>
      <c r="C30" s="285">
        <f ca="1">+'DA-7'!C8+'DA-7'!C19</f>
        <v>0</v>
      </c>
      <c r="D30" s="285">
        <f ca="1">+'DA-7'!D8+'DA-7'!D19</f>
        <v>2.0640000000000001</v>
      </c>
      <c r="E30" s="285">
        <f ca="1">+'DA-7'!E8+'DA-7'!E19</f>
        <v>2.0640000000000001</v>
      </c>
      <c r="F30" s="285">
        <f ca="1">+'DA-7'!F8+'DA-7'!F19</f>
        <v>2.0640000000000001</v>
      </c>
      <c r="G30" s="285">
        <f ca="1">+'DA-7'!G8+'DA-7'!G19</f>
        <v>2.0640000000000001</v>
      </c>
      <c r="H30" s="285">
        <f ca="1">+'DA-7'!H8+'DA-7'!H19</f>
        <v>2.0640000000000001</v>
      </c>
      <c r="I30" s="285">
        <f ca="1">+'DA-7'!I8+'DA-7'!I19</f>
        <v>2.0640000000000001</v>
      </c>
      <c r="J30" s="42"/>
      <c r="K30" s="21"/>
      <c r="L30" s="21"/>
    </row>
    <row r="31" spans="1:12" outlineLevel="2">
      <c r="A31" s="61" t="s">
        <v>69</v>
      </c>
      <c r="B31" s="285">
        <f ca="1">+'DA-7'!B9+'DA-7'!B20</f>
        <v>0</v>
      </c>
      <c r="C31" s="285">
        <f ca="1">+'DA-7'!C9+'DA-7'!C20</f>
        <v>0</v>
      </c>
      <c r="D31" s="285">
        <f ca="1">+'DA-7'!D9+'DA-7'!D20</f>
        <v>6.0000000000000001E-3</v>
      </c>
      <c r="E31" s="285">
        <f ca="1">+'DA-7'!E9+'DA-7'!E20</f>
        <v>6.0000000000000001E-3</v>
      </c>
      <c r="F31" s="285">
        <f ca="1">+'DA-7'!F9+'DA-7'!F20</f>
        <v>6.0000000000000001E-3</v>
      </c>
      <c r="G31" s="285">
        <f ca="1">+'DA-7'!G9+'DA-7'!G20</f>
        <v>6.0000000000000001E-3</v>
      </c>
      <c r="H31" s="285">
        <f ca="1">+'DA-7'!H9+'DA-7'!H20</f>
        <v>6.0000000000000001E-3</v>
      </c>
      <c r="I31" s="285">
        <f ca="1">+'DA-7'!I9+'DA-7'!I20</f>
        <v>6.0000000000000001E-3</v>
      </c>
      <c r="J31" s="42"/>
      <c r="K31" s="21"/>
      <c r="L31" s="21"/>
    </row>
    <row r="32" spans="1:12" s="759" customFormat="1" outlineLevel="2">
      <c r="A32" s="61" t="s">
        <v>646</v>
      </c>
      <c r="B32" s="285">
        <f ca="1">+'DA-7'!B10+'DA-7'!B21</f>
        <v>0</v>
      </c>
      <c r="C32" s="285">
        <f ca="1">+'DA-7'!C10+'DA-7'!C21</f>
        <v>0</v>
      </c>
      <c r="D32" s="285">
        <f ca="1">+'DA-7'!D10+'DA-7'!D21</f>
        <v>0</v>
      </c>
      <c r="E32" s="285">
        <f ca="1">+'DA-7'!E10+'DA-7'!E21</f>
        <v>0</v>
      </c>
      <c r="F32" s="285">
        <f ca="1">+'DA-7'!F10+'DA-7'!F21</f>
        <v>0</v>
      </c>
      <c r="G32" s="285">
        <f ca="1">+'DA-7'!G10+'DA-7'!G21</f>
        <v>0</v>
      </c>
      <c r="H32" s="285">
        <f ca="1">+'DA-7'!H10+'DA-7'!H21</f>
        <v>0</v>
      </c>
      <c r="I32" s="285">
        <f ca="1">+'DA-7'!I10+'DA-7'!I21</f>
        <v>0</v>
      </c>
      <c r="J32" s="42"/>
      <c r="K32" s="732"/>
      <c r="L32" s="732"/>
    </row>
    <row r="33" spans="1:12" outlineLevel="2">
      <c r="A33" s="61" t="s">
        <v>647</v>
      </c>
      <c r="B33" s="285">
        <f ca="1">+'DA-7'!B11+'DA-7'!B22</f>
        <v>0</v>
      </c>
      <c r="C33" s="285">
        <f ca="1">+'DA-7'!C11+'DA-7'!C22</f>
        <v>0</v>
      </c>
      <c r="D33" s="285">
        <f ca="1">+'DA-7'!D11+'DA-7'!D22</f>
        <v>0.13100000000000001</v>
      </c>
      <c r="E33" s="285">
        <f ca="1">+'DA-7'!E11+'DA-7'!E22</f>
        <v>0.13100000000000001</v>
      </c>
      <c r="F33" s="285">
        <f ca="1">+'DA-7'!F11+'DA-7'!F22</f>
        <v>0.13100000000000001</v>
      </c>
      <c r="G33" s="285">
        <f ca="1">+'DA-7'!G11+'DA-7'!G22</f>
        <v>0.13100000000000001</v>
      </c>
      <c r="H33" s="285">
        <f ca="1">+'DA-7'!H11+'DA-7'!H22</f>
        <v>0.13100000000000001</v>
      </c>
      <c r="I33" s="285">
        <f ca="1">+'DA-7'!I11+'DA-7'!I22</f>
        <v>0.13100000000000001</v>
      </c>
      <c r="J33" s="42"/>
      <c r="K33" s="21"/>
      <c r="L33" s="21"/>
    </row>
    <row r="34" spans="1:12" s="759" customFormat="1" outlineLevel="2">
      <c r="A34" s="61" t="s">
        <v>575</v>
      </c>
      <c r="B34" s="285">
        <f ca="1">+'DA-7'!B12+'DA-7'!B23</f>
        <v>0</v>
      </c>
      <c r="C34" s="285">
        <f ca="1">+'DA-7'!C12+'DA-7'!C23</f>
        <v>0</v>
      </c>
      <c r="D34" s="285">
        <f ca="1">+'DA-7'!D12+'DA-7'!D23</f>
        <v>0.14399999999999999</v>
      </c>
      <c r="E34" s="285">
        <f ca="1">+'DA-7'!E12+'DA-7'!E23</f>
        <v>0.14399999999999999</v>
      </c>
      <c r="F34" s="285">
        <f ca="1">+'DA-7'!F12+'DA-7'!F23</f>
        <v>0.14399999999999999</v>
      </c>
      <c r="G34" s="285">
        <f ca="1">+'DA-7'!G12+'DA-7'!G23</f>
        <v>0.14399999999999999</v>
      </c>
      <c r="H34" s="285">
        <f ca="1">+'DA-7'!H12+'DA-7'!H23</f>
        <v>0.14399999999999999</v>
      </c>
      <c r="I34" s="285">
        <f ca="1">+'DA-7'!I12+'DA-7'!I23</f>
        <v>0.14399999999999999</v>
      </c>
      <c r="J34" s="42"/>
      <c r="K34" s="732"/>
      <c r="L34" s="732"/>
    </row>
    <row r="35" spans="1:12" ht="13.5" outlineLevel="2" thickBot="1">
      <c r="A35" s="83" t="s">
        <v>70</v>
      </c>
      <c r="B35" s="285">
        <f ca="1">+'DA-7'!B13+'DA-7'!B24</f>
        <v>0</v>
      </c>
      <c r="C35" s="285">
        <f ca="1">+'DA-7'!C13+'DA-7'!C24</f>
        <v>0</v>
      </c>
      <c r="D35" s="285">
        <f ca="1">+'DA-7'!D13+'DA-7'!D24</f>
        <v>0</v>
      </c>
      <c r="E35" s="285">
        <f ca="1">+'DA-7'!E13+'DA-7'!E24</f>
        <v>0</v>
      </c>
      <c r="F35" s="285">
        <f ca="1">+'DA-7'!F13+'DA-7'!F24</f>
        <v>0</v>
      </c>
      <c r="G35" s="285">
        <f ca="1">+'DA-7'!G13+'DA-7'!G24</f>
        <v>0</v>
      </c>
      <c r="H35" s="285">
        <f ca="1">+'DA-7'!H13+'DA-7'!H24</f>
        <v>0</v>
      </c>
      <c r="I35" s="285">
        <f ca="1">+'DA-7'!I13+'DA-7'!I24</f>
        <v>0</v>
      </c>
      <c r="J35" s="93"/>
      <c r="K35" s="21"/>
      <c r="L35" s="21"/>
    </row>
    <row r="36" spans="1:12" s="87" customFormat="1" ht="20.25" customHeight="1" thickBot="1">
      <c r="A36" s="94" t="s">
        <v>128</v>
      </c>
      <c r="B36" s="294">
        <f t="shared" ref="B36:I36" ca="1" si="7">SUM(B30:B35)</f>
        <v>0</v>
      </c>
      <c r="C36" s="294">
        <f t="shared" ca="1" si="7"/>
        <v>0</v>
      </c>
      <c r="D36" s="294">
        <f t="shared" ca="1" si="7"/>
        <v>2.3449999999999998</v>
      </c>
      <c r="E36" s="294">
        <f t="shared" ca="1" si="7"/>
        <v>2.3449999999999998</v>
      </c>
      <c r="F36" s="294">
        <f t="shared" ca="1" si="7"/>
        <v>2.3449999999999998</v>
      </c>
      <c r="G36" s="294">
        <f t="shared" ca="1" si="7"/>
        <v>2.3449999999999998</v>
      </c>
      <c r="H36" s="294">
        <f t="shared" ca="1" si="7"/>
        <v>2.3449999999999998</v>
      </c>
      <c r="I36" s="294">
        <f t="shared" ca="1" si="7"/>
        <v>2.3449999999999998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K40" s="42"/>
    </row>
    <row r="41" spans="1:12" s="2" customFormat="1" outlineLevel="1">
      <c r="A41" s="58" t="s">
        <v>126</v>
      </c>
      <c r="B41" s="78"/>
      <c r="C41"/>
      <c r="D41"/>
      <c r="E41"/>
      <c r="F41"/>
      <c r="G41"/>
      <c r="H41"/>
      <c r="I41"/>
      <c r="K41" s="60"/>
      <c r="L41" s="60"/>
    </row>
    <row r="42" spans="1:12" s="64" customFormat="1" ht="14.25" outlineLevel="1">
      <c r="A42" s="61" t="s">
        <v>68</v>
      </c>
      <c r="B42" s="82"/>
      <c r="C42" s="285">
        <f t="shared" ref="C42:I43" ca="1" si="8">+C98</f>
        <v>0</v>
      </c>
      <c r="D42" s="285">
        <f t="shared" ca="1" si="8"/>
        <v>0</v>
      </c>
      <c r="E42" s="285">
        <f t="shared" ca="1" si="8"/>
        <v>2.1898953892469292E-2</v>
      </c>
      <c r="F42" s="285">
        <f t="shared" ca="1" si="8"/>
        <v>4.2190213935134654E-2</v>
      </c>
      <c r="G42" s="285">
        <f t="shared" ca="1" si="8"/>
        <v>6.2247899168503346E-2</v>
      </c>
      <c r="H42" s="285">
        <f t="shared" ca="1" si="8"/>
        <v>8.4008876703399113E-2</v>
      </c>
      <c r="I42" s="285">
        <f t="shared" ca="1" si="8"/>
        <v>0.10394209498521638</v>
      </c>
      <c r="K42" s="63"/>
      <c r="L42" s="63"/>
    </row>
    <row r="43" spans="1:12" outlineLevel="1">
      <c r="A43" s="61" t="s">
        <v>69</v>
      </c>
      <c r="B43" s="82"/>
      <c r="C43" s="285">
        <f t="shared" ca="1" si="8"/>
        <v>0</v>
      </c>
      <c r="D43" s="285">
        <f t="shared" ca="1" si="8"/>
        <v>0</v>
      </c>
      <c r="E43" s="285">
        <f t="shared" ca="1" si="8"/>
        <v>6.3659749687410724E-5</v>
      </c>
      <c r="F43" s="285">
        <f t="shared" ca="1" si="8"/>
        <v>1.2264597074167051E-4</v>
      </c>
      <c r="G43" s="285">
        <f t="shared" ca="1" si="8"/>
        <v>1.8095319525727717E-4</v>
      </c>
      <c r="H43" s="285">
        <f t="shared" ca="1" si="8"/>
        <v>2.4421185088197418E-4</v>
      </c>
      <c r="I43" s="285">
        <f t="shared" ca="1" si="8"/>
        <v>3.0215725286400106E-4</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1.389904534841801E-3</v>
      </c>
      <c r="F45" s="285">
        <f t="shared" ca="1" si="10"/>
        <v>2.6777703611931391E-3</v>
      </c>
      <c r="G45" s="285">
        <f t="shared" ca="1" si="10"/>
        <v>3.9508114297838849E-3</v>
      </c>
      <c r="H45" s="285">
        <f t="shared" ca="1" si="10"/>
        <v>5.3319587442564364E-3</v>
      </c>
      <c r="I45" s="285">
        <f t="shared" ca="1" si="10"/>
        <v>6.5971000208640239E-3</v>
      </c>
      <c r="K45" s="42"/>
      <c r="L45" s="21"/>
    </row>
    <row r="46" spans="1:12" s="759" customFormat="1" outlineLevel="1">
      <c r="A46" s="61" t="s">
        <v>575</v>
      </c>
      <c r="B46" s="82"/>
      <c r="C46" s="285">
        <f t="shared" ref="C46:I46" ca="1" si="11">+C102</f>
        <v>0</v>
      </c>
      <c r="D46" s="285">
        <f t="shared" ca="1" si="11"/>
        <v>0</v>
      </c>
      <c r="E46" s="285">
        <f t="shared" ca="1" si="11"/>
        <v>1.5278339924978573E-3</v>
      </c>
      <c r="F46" s="285">
        <f t="shared" ca="1" si="11"/>
        <v>2.9435032978000915E-3</v>
      </c>
      <c r="G46" s="285">
        <f t="shared" ca="1" si="11"/>
        <v>4.3428766861746517E-3</v>
      </c>
      <c r="H46" s="285">
        <f t="shared" ca="1" si="11"/>
        <v>5.8610844211673795E-3</v>
      </c>
      <c r="I46" s="285">
        <f t="shared" ca="1" si="11"/>
        <v>7.2517740687360254E-3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2.4880352169496359E-2</v>
      </c>
      <c r="F48" s="294">
        <f t="shared" ca="1" si="13"/>
        <v>4.7934133564869558E-2</v>
      </c>
      <c r="G48" s="294">
        <f t="shared" ca="1" si="13"/>
        <v>7.0722540479719168E-2</v>
      </c>
      <c r="H48" s="294">
        <f t="shared" ca="1" si="13"/>
        <v>9.5446131719704896E-2</v>
      </c>
      <c r="I48" s="294">
        <f t="shared" ca="1" si="13"/>
        <v>0.11809312632768043</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4.4759148628497995E-2</v>
      </c>
      <c r="F53" s="285">
        <f t="shared" ca="1" si="14"/>
        <v>9.1358898869352265E-2</v>
      </c>
      <c r="G53" s="285">
        <f t="shared" ca="1" si="14"/>
        <v>0.14244136705570062</v>
      </c>
      <c r="H53" s="285">
        <f t="shared" ca="1" si="14"/>
        <v>0.19577363818640084</v>
      </c>
      <c r="I53" s="285">
        <f t="shared" ca="1" si="14"/>
        <v>0.251131248542942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6.6194952267419494E-4</v>
      </c>
      <c r="F56" s="285">
        <f t="shared" ca="1" si="16"/>
        <v>1.340119647870925E-3</v>
      </c>
      <c r="G56" s="285">
        <f t="shared" ca="1" si="16"/>
        <v>2.579615124412825E-3</v>
      </c>
      <c r="H56" s="285">
        <f t="shared" ca="1" si="16"/>
        <v>4.0648648015957269E-3</v>
      </c>
      <c r="I56" s="285">
        <f t="shared" ca="1" si="16"/>
        <v>5.873832248895359E-3</v>
      </c>
      <c r="K56" s="42"/>
      <c r="L56" s="21"/>
    </row>
    <row r="57" spans="1:12" s="759" customFormat="1" outlineLevel="1">
      <c r="A57" s="61" t="s">
        <v>575</v>
      </c>
      <c r="B57" s="285"/>
      <c r="C57" s="285">
        <f t="shared" ref="C57:I57" ca="1" si="17">+C138</f>
        <v>0</v>
      </c>
      <c r="D57" s="285">
        <f t="shared" ca="1" si="17"/>
        <v>0</v>
      </c>
      <c r="E57" s="285">
        <f t="shared" ca="1" si="17"/>
        <v>3.1227312996626507E-3</v>
      </c>
      <c r="F57" s="285">
        <f t="shared" ca="1" si="17"/>
        <v>6.373876665303646E-3</v>
      </c>
      <c r="G57" s="285">
        <f t="shared" ca="1" si="17"/>
        <v>9.9377697945837624E-3</v>
      </c>
      <c r="H57" s="285">
        <f t="shared" ca="1" si="17"/>
        <v>1.3658625919981453E-2</v>
      </c>
      <c r="I57" s="285">
        <f t="shared" ca="1" si="17"/>
        <v>1.7520784782065719E-2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4.8543829450834845E-2</v>
      </c>
      <c r="F59" s="287">
        <f t="shared" ca="1" si="19"/>
        <v>9.9072895182526835E-2</v>
      </c>
      <c r="G59" s="287">
        <f t="shared" ca="1" si="19"/>
        <v>0.15495875197469722</v>
      </c>
      <c r="H59" s="287">
        <f t="shared" ca="1" si="19"/>
        <v>0.21349712890797803</v>
      </c>
      <c r="I59" s="287">
        <f t="shared" ca="1" si="19"/>
        <v>0.27452586557390307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2.0640000000000001</v>
      </c>
      <c r="E64" s="285">
        <f t="shared" ca="1" si="20"/>
        <v>2.1306581025209672</v>
      </c>
      <c r="F64" s="285">
        <f t="shared" ca="1" si="20"/>
        <v>2.1975491128044871</v>
      </c>
      <c r="G64" s="285">
        <f t="shared" ca="1" si="20"/>
        <v>2.2686892662242042</v>
      </c>
      <c r="H64" s="285">
        <f t="shared" ca="1" si="20"/>
        <v>2.3437825148898002</v>
      </c>
      <c r="I64" s="285">
        <f t="shared" ca="1" si="20"/>
        <v>2.4190733435281588</v>
      </c>
      <c r="K64" s="63"/>
      <c r="L64" s="63"/>
    </row>
    <row r="65" spans="1:21" ht="12.75" customHeight="1" outlineLevel="1">
      <c r="A65" s="61" t="s">
        <v>69</v>
      </c>
      <c r="B65" s="285">
        <f t="shared" ca="1" si="20"/>
        <v>0</v>
      </c>
      <c r="C65" s="285">
        <f t="shared" ca="1" si="20"/>
        <v>0</v>
      </c>
      <c r="D65" s="285">
        <f t="shared" ca="1" si="20"/>
        <v>6.0000000000000001E-3</v>
      </c>
      <c r="E65" s="285">
        <f t="shared" ca="1" si="20"/>
        <v>6.063659749687411E-3</v>
      </c>
      <c r="F65" s="285">
        <f t="shared" ca="1" si="20"/>
        <v>6.1226459707416706E-3</v>
      </c>
      <c r="G65" s="285">
        <f t="shared" ca="1" si="20"/>
        <v>6.1809531952572777E-3</v>
      </c>
      <c r="H65" s="285">
        <f t="shared" ca="1" si="20"/>
        <v>6.2442118508819746E-3</v>
      </c>
      <c r="I65" s="285">
        <f t="shared" ca="1" si="20"/>
        <v>6.3021572528640015E-3</v>
      </c>
      <c r="K65" s="42"/>
      <c r="L65" s="21"/>
    </row>
    <row r="66" spans="1:21"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1" ht="12.75" customHeight="1" outlineLevel="1">
      <c r="A67" s="61" t="s">
        <v>647</v>
      </c>
      <c r="B67" s="285">
        <f t="shared" ref="B67:I67" ca="1" si="22">+B45+B33+B56</f>
        <v>0</v>
      </c>
      <c r="C67" s="285">
        <f t="shared" ca="1" si="22"/>
        <v>0</v>
      </c>
      <c r="D67" s="285">
        <f t="shared" ca="1" si="22"/>
        <v>0.13100000000000001</v>
      </c>
      <c r="E67" s="285">
        <f t="shared" ca="1" si="22"/>
        <v>0.13305185405751602</v>
      </c>
      <c r="F67" s="285">
        <f t="shared" ca="1" si="22"/>
        <v>0.13501789000906406</v>
      </c>
      <c r="G67" s="285">
        <f t="shared" ca="1" si="22"/>
        <v>0.1375304265541967</v>
      </c>
      <c r="H67" s="285">
        <f t="shared" ca="1" si="22"/>
        <v>0.14039682354585217</v>
      </c>
      <c r="I67" s="285">
        <f t="shared" ca="1" si="22"/>
        <v>0.1434709322697594</v>
      </c>
      <c r="K67" s="42"/>
      <c r="L67" s="21"/>
    </row>
    <row r="68" spans="1:21" s="759" customFormat="1" ht="12.75" customHeight="1" outlineLevel="1">
      <c r="A68" s="61" t="s">
        <v>575</v>
      </c>
      <c r="B68" s="285">
        <f t="shared" ref="B68:I68" ca="1" si="23">+B46+B34+B57</f>
        <v>0</v>
      </c>
      <c r="C68" s="285">
        <f t="shared" ca="1" si="23"/>
        <v>0</v>
      </c>
      <c r="D68" s="285">
        <f t="shared" ca="1" si="23"/>
        <v>0.14399999999999999</v>
      </c>
      <c r="E68" s="285">
        <f t="shared" ca="1" si="23"/>
        <v>0.1486505652921605</v>
      </c>
      <c r="F68" s="285">
        <f t="shared" ca="1" si="23"/>
        <v>0.15331737996310374</v>
      </c>
      <c r="G68" s="285">
        <f t="shared" ca="1" si="23"/>
        <v>0.1582806464807584</v>
      </c>
      <c r="H68" s="285">
        <f t="shared" ca="1" si="23"/>
        <v>0.16351971034114882</v>
      </c>
      <c r="I68" s="285">
        <f t="shared" ca="1" si="23"/>
        <v>0.16877255885080175</v>
      </c>
      <c r="K68" s="42"/>
      <c r="L68" s="732"/>
    </row>
    <row r="69" spans="1:21"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1" s="87" customFormat="1" ht="18" customHeight="1" thickBot="1">
      <c r="A70" s="99" t="s">
        <v>129</v>
      </c>
      <c r="B70" s="295">
        <f t="shared" ref="B70:I70" ca="1" si="25">SUM(B64:B69)</f>
        <v>0</v>
      </c>
      <c r="C70" s="295">
        <f t="shared" ca="1" si="25"/>
        <v>0</v>
      </c>
      <c r="D70" s="295">
        <f t="shared" ca="1" si="25"/>
        <v>2.3449999999999998</v>
      </c>
      <c r="E70" s="295">
        <f t="shared" ca="1" si="25"/>
        <v>2.4184241816203311</v>
      </c>
      <c r="F70" s="295">
        <f t="shared" ca="1" si="25"/>
        <v>2.4920070287473965</v>
      </c>
      <c r="G70" s="295">
        <f t="shared" ca="1" si="25"/>
        <v>2.5706812924544167</v>
      </c>
      <c r="H70" s="295">
        <f t="shared" ca="1" si="25"/>
        <v>2.6539432606276834</v>
      </c>
      <c r="I70" s="295">
        <f t="shared" ca="1" si="25"/>
        <v>2.7376189919015839</v>
      </c>
      <c r="J70" s="91" t="str">
        <f ca="1">IF(ROUND(SUM(B48:I48)+SUM(B36:I36)+SUM(B59:I59)-SUM(B70:I70),3)&lt;&gt;0,"Warning Check Totals","OK")</f>
        <v>OK</v>
      </c>
      <c r="L70" s="86"/>
    </row>
    <row r="71" spans="1:21">
      <c r="A71" s="88"/>
      <c r="B71" s="89"/>
      <c r="C71" s="89"/>
      <c r="D71" s="89"/>
      <c r="E71" s="89"/>
      <c r="F71" s="89"/>
      <c r="G71" s="89"/>
      <c r="H71" s="89"/>
      <c r="I71" s="89"/>
      <c r="J71" s="100"/>
    </row>
    <row r="72" spans="1:21">
      <c r="A72" s="92"/>
      <c r="B72" s="95"/>
      <c r="C72" s="95"/>
      <c r="D72" s="95"/>
      <c r="E72" s="95"/>
      <c r="F72" s="95"/>
      <c r="G72" s="95"/>
      <c r="H72" s="95"/>
      <c r="I72" s="95"/>
      <c r="J72" s="100"/>
    </row>
    <row r="73" spans="1:21"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1" ht="13.5" outlineLevel="1" thickBot="1">
      <c r="A74" s="208" t="s">
        <v>132</v>
      </c>
      <c r="B74" s="209"/>
      <c r="C74" s="209"/>
      <c r="D74" s="209"/>
      <c r="E74" s="209"/>
      <c r="F74" s="209"/>
      <c r="G74" s="209"/>
      <c r="H74" s="209"/>
      <c r="I74" s="210"/>
      <c r="J74" s="211" t="s">
        <v>133</v>
      </c>
      <c r="K74" s="211" t="s">
        <v>134</v>
      </c>
      <c r="N74" s="410" t="s">
        <v>376</v>
      </c>
    </row>
    <row r="75" spans="1:21"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1"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1"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79"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2.1898953892469292E-2</v>
      </c>
      <c r="Q77" s="285">
        <f ca="1">IF($B77&lt;&gt;0,(+VLOOKUP($B77,$A$8:$I$13,6,FALSE))*(F77),0)</f>
        <v>4.2190213935134654E-2</v>
      </c>
      <c r="R77" s="285">
        <f ca="1">IF($B77&lt;&gt;0,(+VLOOKUP($B77,$A$8:$I$13,7,FALSE))*(G77),0)</f>
        <v>6.2247899168503346E-2</v>
      </c>
      <c r="S77" s="285">
        <f ca="1">IF($B77&lt;&gt;0,(+VLOOKUP($B77,$A$8:$I$13,8,FALSE))*(H77),0)</f>
        <v>8.4008876703399113E-2</v>
      </c>
      <c r="T77" s="285">
        <f ca="1">IF($B77&lt;&gt;0,(+VLOOKUP($B77,$A$8:$I$13,9,FALSE))*(I77),0)</f>
        <v>0.10394209498521638</v>
      </c>
      <c r="U77" t="s">
        <v>414</v>
      </c>
    </row>
    <row r="78" spans="1:21"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6.3659749687410724E-5</v>
      </c>
      <c r="Q78" s="285">
        <f ca="1">IF($B78&lt;&gt;0,(+VLOOKUP($B78,$A$8:$I$13,6,FALSE))*(F78),0)</f>
        <v>1.2264597074167051E-4</v>
      </c>
      <c r="R78" s="285">
        <f ca="1">IF($B78&lt;&gt;0,(+VLOOKUP($B78,$A$8:$I$13,7,FALSE))*(G78),0)</f>
        <v>1.8095319525727717E-4</v>
      </c>
      <c r="S78" s="285">
        <f ca="1">IF($B78&lt;&gt;0,(+VLOOKUP($B78,$A$8:$I$13,8,FALSE))*(H78),0)</f>
        <v>2.4421185088197418E-4</v>
      </c>
      <c r="T78" s="285">
        <f ca="1">IF($B78&lt;&gt;0,(+VLOOKUP($B78,$A$8:$I$13,9,FALSE))*(I78),0)</f>
        <v>3.0215725286400106E-4</v>
      </c>
      <c r="U78" t="s">
        <v>415</v>
      </c>
    </row>
    <row r="79" spans="1:21"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c r="U79" t="s">
        <v>415</v>
      </c>
    </row>
    <row r="80" spans="1:21" s="634" customFormat="1"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ref="J80:J82" si="44">IF(ISNA(VLOOKUP($A80,Escalations_Specific_Costs,+I$73+3,FALSE)),0,VLOOKUP($A80,Escalations_Specific_Costs,+I$73+3,FALSE))</f>
        <v>Cumulative</v>
      </c>
      <c r="K80" s="106" t="str">
        <f t="shared" si="30"/>
        <v>Yes</v>
      </c>
      <c r="L80" s="788"/>
      <c r="M80" s="103"/>
      <c r="N80" s="285">
        <f t="shared" ca="1" si="31"/>
        <v>0</v>
      </c>
      <c r="O80" s="285">
        <f t="shared" ca="1" si="32"/>
        <v>0</v>
      </c>
      <c r="P80" s="285">
        <f t="shared" ca="1" si="33"/>
        <v>1.389904534841801E-3</v>
      </c>
      <c r="Q80" s="285">
        <f t="shared" ca="1" si="34"/>
        <v>2.6777703611931391E-3</v>
      </c>
      <c r="R80" s="285">
        <f t="shared" ca="1" si="35"/>
        <v>3.9508114297838849E-3</v>
      </c>
      <c r="S80" s="285">
        <f t="shared" ca="1" si="36"/>
        <v>5.3319587442564364E-3</v>
      </c>
      <c r="T80" s="285">
        <f t="shared" ca="1" si="37"/>
        <v>6.5971000208640239E-3</v>
      </c>
    </row>
    <row r="81" spans="1:20" s="634" customFormat="1"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44"/>
        <v>Cumulative</v>
      </c>
      <c r="K81" s="106" t="str">
        <f t="shared" si="30"/>
        <v>Yes</v>
      </c>
      <c r="L81" s="788"/>
      <c r="M81" s="103"/>
      <c r="N81" s="285">
        <f ca="1">IF($B81&lt;&gt;0,(+VLOOKUP($B81,$A$8:$I$13,3,FALSE))*(C81),0)</f>
        <v>0</v>
      </c>
      <c r="O81" s="285">
        <f ca="1">IF($B81&lt;&gt;0,(+VLOOKUP($B81,$A$8:$I$13,4,FALSE))*(D81),0)</f>
        <v>0</v>
      </c>
      <c r="P81" s="285">
        <f ca="1">IF($B81&lt;&gt;0,(+VLOOKUP($B81,$A$8:$I$13,5,FALSE))*(E81),0)</f>
        <v>1.5278339924978573E-3</v>
      </c>
      <c r="Q81" s="285">
        <f ca="1">IF($B81&lt;&gt;0,(+VLOOKUP($B81,$A$8:$I$13,6,FALSE))*(F81),0)</f>
        <v>2.9435032978000915E-3</v>
      </c>
      <c r="R81" s="285">
        <f ca="1">IF($B81&lt;&gt;0,(+VLOOKUP($B81,$A$8:$I$13,7,FALSE))*(G81),0)</f>
        <v>4.3428766861746517E-3</v>
      </c>
      <c r="S81" s="285">
        <f ca="1">IF($B81&lt;&gt;0,(+VLOOKUP($B81,$A$8:$I$13,8,FALSE))*(H81),0)</f>
        <v>5.8610844211673795E-3</v>
      </c>
      <c r="T81" s="285">
        <f ca="1">IF($B81&lt;&gt;0,(+VLOOKUP($B81,$A$8:$I$13,9,FALSE))*(I81),0)</f>
        <v>7.2517740687360254E-3</v>
      </c>
    </row>
    <row r="82" spans="1:20" s="634" customFormat="1"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44"/>
        <v>Cumulative</v>
      </c>
      <c r="K82" s="106" t="str">
        <f t="shared" si="30"/>
        <v>Yes</v>
      </c>
      <c r="L82" s="788"/>
      <c r="M82" s="103"/>
      <c r="N82" s="285">
        <f t="shared" ref="N82" ca="1" si="45">IF($B82&lt;&gt;0,(+VLOOKUP($B82,$A$8:$I$13,3,FALSE))*(C82),0)</f>
        <v>0</v>
      </c>
      <c r="O82" s="285">
        <f t="shared" ref="O82" ca="1" si="46">IF($B82&lt;&gt;0,(+VLOOKUP($B82,$A$8:$I$13,4,FALSE))*(D82),0)</f>
        <v>0</v>
      </c>
      <c r="P82" s="285">
        <f t="shared" ref="P82" ca="1" si="47">IF($B82&lt;&gt;0,(+VLOOKUP($B82,$A$8:$I$13,5,FALSE))*(E82),0)</f>
        <v>0</v>
      </c>
      <c r="Q82" s="285">
        <f t="shared" ref="Q82" ca="1" si="48">IF($B82&lt;&gt;0,(+VLOOKUP($B82,$A$8:$I$13,6,FALSE))*(F82),0)</f>
        <v>0</v>
      </c>
      <c r="R82" s="285">
        <f t="shared" ref="R82" ca="1" si="49">IF($B82&lt;&gt;0,(+VLOOKUP($B82,$A$8:$I$13,7,FALSE))*(G82),0)</f>
        <v>0</v>
      </c>
      <c r="S82" s="285">
        <f t="shared" ref="S82" ca="1" si="50">IF($B82&lt;&gt;0,(+VLOOKUP($B82,$A$8:$I$13,8,FALSE))*(H82),0)</f>
        <v>0</v>
      </c>
      <c r="T82" s="285">
        <f t="shared" ref="T82" ca="1" si="51">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2">SUM(O77:O82)</f>
        <v>0</v>
      </c>
      <c r="P83" s="292">
        <f t="shared" ca="1" si="52"/>
        <v>2.4880352169496359E-2</v>
      </c>
      <c r="Q83" s="292">
        <f t="shared" ca="1" si="52"/>
        <v>4.7934133564869558E-2</v>
      </c>
      <c r="R83" s="292">
        <f t="shared" ca="1" si="52"/>
        <v>7.0722540479719168E-2</v>
      </c>
      <c r="S83" s="292">
        <f t="shared" ca="1" si="52"/>
        <v>9.5446131719704896E-2</v>
      </c>
      <c r="T83" s="292">
        <f t="shared" ca="1" si="52"/>
        <v>0.11809312632768043</v>
      </c>
    </row>
    <row r="84" spans="1:20" ht="12" customHeight="1" outlineLevel="1" thickBot="1">
      <c r="B84" s="42"/>
      <c r="C84" s="42"/>
      <c r="D84" s="42"/>
      <c r="E84" s="42"/>
      <c r="F84" s="42"/>
      <c r="G84" s="42"/>
      <c r="H84" s="42"/>
      <c r="I84" s="78"/>
      <c r="M84" s="411" t="s">
        <v>373</v>
      </c>
      <c r="N84" s="412">
        <f ca="1">ROUND(N83-C104,3)</f>
        <v>0</v>
      </c>
      <c r="O84" s="412">
        <f t="shared" ref="O84:T84" ca="1" si="53">ROUND(O83-D104,3)</f>
        <v>0</v>
      </c>
      <c r="P84" s="412">
        <f t="shared" ca="1" si="53"/>
        <v>0</v>
      </c>
      <c r="Q84" s="412">
        <f t="shared" ca="1" si="53"/>
        <v>0</v>
      </c>
      <c r="R84" s="412">
        <f t="shared" ca="1" si="53"/>
        <v>0</v>
      </c>
      <c r="S84" s="412">
        <f t="shared" ca="1" si="53"/>
        <v>0</v>
      </c>
      <c r="T84" s="413">
        <f t="shared" ca="1" si="53"/>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4">+C92-C93</f>
        <v>0</v>
      </c>
      <c r="D94" s="117">
        <f t="shared" si="54"/>
        <v>0</v>
      </c>
      <c r="E94" s="117">
        <f t="shared" si="54"/>
        <v>0</v>
      </c>
      <c r="F94" s="117">
        <f t="shared" si="54"/>
        <v>0</v>
      </c>
      <c r="G94" s="117">
        <f t="shared" si="54"/>
        <v>0</v>
      </c>
      <c r="H94" s="117">
        <f t="shared" si="54"/>
        <v>0</v>
      </c>
      <c r="I94" s="117">
        <f t="shared" si="54"/>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5">+D8*(D86)</f>
        <v>0</v>
      </c>
      <c r="E98" s="285">
        <f ca="1">+E8*(E86)</f>
        <v>2.1898953892469292E-2</v>
      </c>
      <c r="F98" s="285">
        <f t="shared" ca="1" si="55"/>
        <v>4.2190213935134654E-2</v>
      </c>
      <c r="G98" s="285">
        <f t="shared" ca="1" si="55"/>
        <v>6.2247899168503346E-2</v>
      </c>
      <c r="H98" s="285">
        <f t="shared" ca="1" si="55"/>
        <v>8.4008876703399113E-2</v>
      </c>
      <c r="I98" s="285">
        <f t="shared" ca="1" si="55"/>
        <v>0.10394209498521638</v>
      </c>
      <c r="J98" s="21"/>
      <c r="K98" s="21"/>
    </row>
    <row r="99" spans="1:20" outlineLevel="1">
      <c r="A99" s="61" t="s">
        <v>69</v>
      </c>
      <c r="B99" s="119"/>
      <c r="C99" s="285">
        <f t="shared" ref="C99:I99" ca="1" si="56">+C9*(C87)</f>
        <v>0</v>
      </c>
      <c r="D99" s="285">
        <f t="shared" ca="1" si="56"/>
        <v>0</v>
      </c>
      <c r="E99" s="285">
        <f t="shared" ca="1" si="56"/>
        <v>6.3659749687410724E-5</v>
      </c>
      <c r="F99" s="285">
        <f t="shared" ca="1" si="56"/>
        <v>1.2264597074167051E-4</v>
      </c>
      <c r="G99" s="285">
        <f t="shared" ca="1" si="56"/>
        <v>1.8095319525727717E-4</v>
      </c>
      <c r="H99" s="285">
        <f t="shared" ca="1" si="56"/>
        <v>2.4421185088197418E-4</v>
      </c>
      <c r="I99" s="285">
        <f t="shared" ca="1" si="56"/>
        <v>3.0215725286400106E-4</v>
      </c>
      <c r="J99" s="21"/>
      <c r="K99" s="21"/>
    </row>
    <row r="100" spans="1:20" s="759" customFormat="1" outlineLevel="1">
      <c r="A100" s="61" t="s">
        <v>646</v>
      </c>
      <c r="B100" s="119"/>
      <c r="C100" s="285">
        <f t="shared" ref="C100:I100" ca="1" si="57">+C10*(C88)</f>
        <v>0</v>
      </c>
      <c r="D100" s="285">
        <f t="shared" ca="1" si="57"/>
        <v>0</v>
      </c>
      <c r="E100" s="285">
        <f t="shared" ca="1" si="57"/>
        <v>0</v>
      </c>
      <c r="F100" s="285">
        <f t="shared" ca="1" si="57"/>
        <v>0</v>
      </c>
      <c r="G100" s="285">
        <f t="shared" ca="1" si="57"/>
        <v>0</v>
      </c>
      <c r="H100" s="285">
        <f t="shared" ca="1" si="57"/>
        <v>0</v>
      </c>
      <c r="I100" s="285">
        <f t="shared" ca="1" si="57"/>
        <v>0</v>
      </c>
      <c r="J100" s="732"/>
      <c r="K100" s="732"/>
    </row>
    <row r="101" spans="1:20" outlineLevel="1">
      <c r="A101" s="61" t="s">
        <v>647</v>
      </c>
      <c r="B101" s="119"/>
      <c r="C101" s="285">
        <f t="shared" ref="C101:I101" ca="1" si="58">+C11*(C89)</f>
        <v>0</v>
      </c>
      <c r="D101" s="285">
        <f t="shared" ca="1" si="58"/>
        <v>0</v>
      </c>
      <c r="E101" s="285">
        <f t="shared" ca="1" si="58"/>
        <v>1.389904534841801E-3</v>
      </c>
      <c r="F101" s="285">
        <f t="shared" ca="1" si="58"/>
        <v>2.6777703611931391E-3</v>
      </c>
      <c r="G101" s="285">
        <f t="shared" ca="1" si="58"/>
        <v>3.9508114297838849E-3</v>
      </c>
      <c r="H101" s="285">
        <f t="shared" ca="1" si="58"/>
        <v>5.3319587442564364E-3</v>
      </c>
      <c r="I101" s="285">
        <f t="shared" ca="1" si="58"/>
        <v>6.5971000208640239E-3</v>
      </c>
      <c r="J101" s="21"/>
      <c r="K101" s="21"/>
    </row>
    <row r="102" spans="1:20" s="759" customFormat="1" outlineLevel="1">
      <c r="A102" s="61" t="s">
        <v>575</v>
      </c>
      <c r="B102" s="119"/>
      <c r="C102" s="285">
        <f t="shared" ref="C102:I102" ca="1" si="59">+C12*(C90)</f>
        <v>0</v>
      </c>
      <c r="D102" s="285">
        <f t="shared" ca="1" si="59"/>
        <v>0</v>
      </c>
      <c r="E102" s="285">
        <f t="shared" ca="1" si="59"/>
        <v>1.5278339924978573E-3</v>
      </c>
      <c r="F102" s="285">
        <f t="shared" ca="1" si="59"/>
        <v>2.9435032978000915E-3</v>
      </c>
      <c r="G102" s="285">
        <f t="shared" ca="1" si="59"/>
        <v>4.3428766861746517E-3</v>
      </c>
      <c r="H102" s="285">
        <f t="shared" ca="1" si="59"/>
        <v>5.8610844211673795E-3</v>
      </c>
      <c r="I102" s="285">
        <f t="shared" ca="1" si="59"/>
        <v>7.2517740687360254E-3</v>
      </c>
      <c r="J102" s="732"/>
      <c r="K102" s="732"/>
    </row>
    <row r="103" spans="1:20" outlineLevel="1">
      <c r="A103" s="83" t="s">
        <v>70</v>
      </c>
      <c r="B103" s="119"/>
      <c r="C103" s="285">
        <f t="shared" ref="C103:I103" ca="1" si="60">+C13*(C91)</f>
        <v>0</v>
      </c>
      <c r="D103" s="285">
        <f t="shared" ca="1" si="60"/>
        <v>0</v>
      </c>
      <c r="E103" s="285">
        <f t="shared" ca="1" si="60"/>
        <v>0</v>
      </c>
      <c r="F103" s="285">
        <f t="shared" ca="1" si="60"/>
        <v>0</v>
      </c>
      <c r="G103" s="285">
        <f t="shared" ca="1" si="60"/>
        <v>0</v>
      </c>
      <c r="H103" s="285">
        <f t="shared" ca="1" si="60"/>
        <v>0</v>
      </c>
      <c r="I103" s="285">
        <f t="shared" ca="1" si="60"/>
        <v>0</v>
      </c>
      <c r="J103" s="21"/>
      <c r="K103" s="21"/>
    </row>
    <row r="104" spans="1:20" outlineLevel="1">
      <c r="A104" s="120" t="s">
        <v>142</v>
      </c>
      <c r="B104" s="121"/>
      <c r="C104" s="296">
        <f t="shared" ref="C104:I104" ca="1" si="61">SUM(C98:C103)</f>
        <v>0</v>
      </c>
      <c r="D104" s="296">
        <f t="shared" ca="1" si="61"/>
        <v>0</v>
      </c>
      <c r="E104" s="296">
        <f t="shared" ca="1" si="61"/>
        <v>2.4880352169496359E-2</v>
      </c>
      <c r="F104" s="296">
        <f t="shared" ca="1" si="61"/>
        <v>4.7934133564869558E-2</v>
      </c>
      <c r="G104" s="296">
        <f t="shared" ca="1" si="61"/>
        <v>7.0722540479719168E-2</v>
      </c>
      <c r="H104" s="296">
        <f t="shared" ca="1" si="61"/>
        <v>9.5446131719704896E-2</v>
      </c>
      <c r="I104" s="296">
        <f t="shared" ca="1" si="61"/>
        <v>0.11809312632768043</v>
      </c>
    </row>
    <row r="105" spans="1:20" ht="13.5" outlineLevel="1" thickBot="1">
      <c r="A105" s="122" t="s">
        <v>143</v>
      </c>
      <c r="B105" s="123"/>
      <c r="C105" s="124">
        <f t="shared" ref="C105:I105" ca="1" si="62">IF(C36&lt;&gt;0,+C104/C36,0)</f>
        <v>0</v>
      </c>
      <c r="D105" s="124">
        <f t="shared" ca="1" si="62"/>
        <v>0</v>
      </c>
      <c r="E105" s="124">
        <f t="shared" ca="1" si="62"/>
        <v>1.0609958281235123E-2</v>
      </c>
      <c r="F105" s="124">
        <f t="shared" ca="1" si="62"/>
        <v>2.0440995123611753E-2</v>
      </c>
      <c r="G105" s="124">
        <f t="shared" ca="1" si="62"/>
        <v>3.0158865876212866E-2</v>
      </c>
      <c r="H105" s="124">
        <f t="shared" ca="1" si="62"/>
        <v>4.0701975146995695E-2</v>
      </c>
      <c r="I105" s="124">
        <f t="shared" ca="1" si="62"/>
        <v>5.0359542144000187E-2</v>
      </c>
    </row>
    <row r="106" spans="1:20" ht="7.5" customHeight="1" outlineLevel="1"/>
    <row r="108" spans="1:20" ht="18">
      <c r="A108" s="206" t="s">
        <v>144</v>
      </c>
      <c r="B108" s="200"/>
      <c r="C108" s="204">
        <v>2</v>
      </c>
      <c r="D108" s="204">
        <f t="shared" ref="D108:I108" si="63">+C108+1</f>
        <v>3</v>
      </c>
      <c r="E108" s="204">
        <f t="shared" si="63"/>
        <v>4</v>
      </c>
      <c r="F108" s="204">
        <f t="shared" si="63"/>
        <v>5</v>
      </c>
      <c r="G108" s="204">
        <f t="shared" si="63"/>
        <v>6</v>
      </c>
      <c r="H108" s="204">
        <f t="shared" si="63"/>
        <v>7</v>
      </c>
      <c r="I108" s="205">
        <f t="shared" si="63"/>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4">IF(ISNA(VLOOKUP($A113,Escalations_General_Costs,+I$73+3,FALSE)),0,VLOOKUP($A113,Escalations_General_Costs,+I$73+3,FALSE))</f>
        <v>Cumulative</v>
      </c>
      <c r="K113" s="106" t="str">
        <f t="shared" ref="K113:K118" si="65">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4.4759148628497995E-2</v>
      </c>
      <c r="Q113" s="285">
        <f ca="1">IF($B113&lt;&gt;0,(+VLOOKUP($B113,$A$8:$I$13,6,FALSE)+VLOOKUP($B113,$A$42:$I$47,6,FALSE))*(F113),0)</f>
        <v>9.1358898869352265E-2</v>
      </c>
      <c r="R113" s="285">
        <f ca="1">IF($B113&lt;&gt;0,(+VLOOKUP($B113,$A$8:$I$13,7,FALSE)+VLOOKUP($B113,$A$42:$I$47,7,FALSE))*(G113),0)</f>
        <v>0.14244136705570062</v>
      </c>
      <c r="S113" s="285">
        <f ca="1">IF($B113&lt;&gt;0,(+VLOOKUP($B113,$A$8:$I$13,8,FALSE)+VLOOKUP($B113,$A$42:$I$47,8,FALSE))*(H113),0)</f>
        <v>0.19577363818640084</v>
      </c>
      <c r="T113" s="285">
        <f ca="1">IF($B113&lt;&gt;0,(+VLOOKUP($B113,$A$8:$I$13,9,FALSE)+VLOOKUP($B113,$A$42:$I$47,9,FALSE))*(I113),0)</f>
        <v>0.251131248542942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4"/>
        <v>Cumulative</v>
      </c>
      <c r="K114" s="106" t="str">
        <f t="shared" si="65"/>
        <v>Yes</v>
      </c>
      <c r="M114" s="103"/>
      <c r="N114" s="285">
        <f t="shared" ref="N114:N118" ca="1" si="66">IF($B114&lt;&gt;0,(+VLOOKUP($B114,$A$8:$I$13,3,FALSE)+VLOOKUP($B114,$A$42:$I$47,3,FALSE))*(C114),0)</f>
        <v>0</v>
      </c>
      <c r="O114" s="285">
        <f t="shared" ref="O114:O118" ca="1" si="67">IF($B114&lt;&gt;0,(+VLOOKUP($B114,$A$8:$I$13,4,FALSE)+VLOOKUP($B114,$A$42:$I$47,4,FALSE))*(D114),0)</f>
        <v>0</v>
      </c>
      <c r="P114" s="285">
        <f t="shared" ref="P114:P118" ca="1" si="68">IF($B114&lt;&gt;0,(+VLOOKUP($B114,$A$8:$I$13,5,FALSE)+VLOOKUP($B114,$A$42:$I$47,5,FALSE))*(E114),0)</f>
        <v>0</v>
      </c>
      <c r="Q114" s="285">
        <f t="shared" ref="Q114:Q118" ca="1" si="69">IF($B114&lt;&gt;0,(+VLOOKUP($B114,$A$8:$I$13,6,FALSE)+VLOOKUP($B114,$A$42:$I$47,6,FALSE))*(F114),0)</f>
        <v>0</v>
      </c>
      <c r="R114" s="285">
        <f t="shared" ref="R114:R118" ca="1" si="70">IF($B114&lt;&gt;0,(+VLOOKUP($B114,$A$8:$I$13,7,FALSE)+VLOOKUP($B114,$A$42:$I$47,7,FALSE))*(G114),0)</f>
        <v>0</v>
      </c>
      <c r="S114" s="285">
        <f t="shared" ref="S114:S118" ca="1" si="71">IF($B114&lt;&gt;0,(+VLOOKUP($B114,$A$8:$I$13,8,FALSE)+VLOOKUP($B114,$A$42:$I$47,8,FALSE))*(H114),0)</f>
        <v>0</v>
      </c>
      <c r="T114" s="285">
        <f t="shared" ref="T114:T118" ca="1" si="72">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4"/>
        <v>Cumulative</v>
      </c>
      <c r="K115" s="106" t="str">
        <f t="shared" si="65"/>
        <v>Yes</v>
      </c>
      <c r="M115" s="103"/>
      <c r="N115" s="285">
        <f t="shared" ca="1" si="66"/>
        <v>0</v>
      </c>
      <c r="O115" s="285">
        <f ca="1">IF($B115&lt;&gt;0,(+VLOOKUP($B115,$A$8:$I$13,4,FALSE)+VLOOKUP($B115,$A$42:$I$47,4,FALSE))*(D115),0)</f>
        <v>0</v>
      </c>
      <c r="P115" s="285">
        <f t="shared" ca="1" si="68"/>
        <v>0</v>
      </c>
      <c r="Q115" s="285">
        <f t="shared" ca="1" si="69"/>
        <v>0</v>
      </c>
      <c r="R115" s="285">
        <f t="shared" ca="1" si="70"/>
        <v>0</v>
      </c>
      <c r="S115" s="285">
        <f t="shared" ca="1" si="71"/>
        <v>0</v>
      </c>
      <c r="T115" s="285">
        <f t="shared" ca="1" si="72"/>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4"/>
        <v>Cumulative</v>
      </c>
      <c r="K116" s="106" t="str">
        <f t="shared" si="65"/>
        <v>Yes</v>
      </c>
      <c r="M116" s="103"/>
      <c r="N116" s="285">
        <f t="shared" ca="1" si="66"/>
        <v>0</v>
      </c>
      <c r="O116" s="285">
        <f t="shared" ca="1" si="67"/>
        <v>0</v>
      </c>
      <c r="P116" s="285">
        <f t="shared" ca="1" si="68"/>
        <v>6.6194952267419494E-4</v>
      </c>
      <c r="Q116" s="285">
        <f t="shared" ca="1" si="69"/>
        <v>1.340119647870925E-3</v>
      </c>
      <c r="R116" s="285">
        <f t="shared" ca="1" si="70"/>
        <v>2.579615124412825E-3</v>
      </c>
      <c r="S116" s="285">
        <f t="shared" ca="1" si="71"/>
        <v>4.0648648015957269E-3</v>
      </c>
      <c r="T116" s="285">
        <f t="shared" ca="1" si="72"/>
        <v>5.873832248895359E-3</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4"/>
        <v>Cumulative</v>
      </c>
      <c r="K117" s="106" t="str">
        <f t="shared" si="65"/>
        <v>Yes</v>
      </c>
      <c r="M117" s="103"/>
      <c r="N117" s="285">
        <f t="shared" ca="1" si="66"/>
        <v>0</v>
      </c>
      <c r="O117" s="285">
        <f t="shared" ca="1" si="67"/>
        <v>0</v>
      </c>
      <c r="P117" s="285">
        <f t="shared" ca="1" si="68"/>
        <v>3.1227312996626507E-3</v>
      </c>
      <c r="Q117" s="285">
        <f t="shared" ca="1" si="69"/>
        <v>6.373876665303646E-3</v>
      </c>
      <c r="R117" s="285">
        <f t="shared" ca="1" si="70"/>
        <v>9.9377697945837624E-3</v>
      </c>
      <c r="S117" s="285">
        <f t="shared" ca="1" si="71"/>
        <v>1.3658625919981453E-2</v>
      </c>
      <c r="T117" s="285">
        <f t="shared" ca="1" si="72"/>
        <v>1.7520784782065719E-2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4"/>
        <v>Cumulative</v>
      </c>
      <c r="K118" s="106" t="str">
        <f t="shared" si="65"/>
        <v>Yes</v>
      </c>
      <c r="M118" s="103"/>
      <c r="N118" s="285">
        <f t="shared" ca="1" si="66"/>
        <v>0</v>
      </c>
      <c r="O118" s="285">
        <f t="shared" ca="1" si="67"/>
        <v>0</v>
      </c>
      <c r="P118" s="285">
        <f t="shared" ca="1" si="68"/>
        <v>0</v>
      </c>
      <c r="Q118" s="285">
        <f t="shared" ca="1" si="69"/>
        <v>0</v>
      </c>
      <c r="R118" s="285">
        <f t="shared" ca="1" si="70"/>
        <v>0</v>
      </c>
      <c r="S118" s="285">
        <f t="shared" ca="1" si="71"/>
        <v>0</v>
      </c>
      <c r="T118" s="285">
        <f t="shared" ca="1" si="72"/>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3">SUM(O113:O118)</f>
        <v>0</v>
      </c>
      <c r="P119" s="292">
        <f t="shared" ca="1" si="73"/>
        <v>4.8543829450834845E-2</v>
      </c>
      <c r="Q119" s="292">
        <f t="shared" ca="1" si="73"/>
        <v>9.9072895182526835E-2</v>
      </c>
      <c r="R119" s="292">
        <f t="shared" ca="1" si="73"/>
        <v>0.15495875197469722</v>
      </c>
      <c r="S119" s="292">
        <f t="shared" ca="1" si="73"/>
        <v>0.21349712890797803</v>
      </c>
      <c r="T119" s="292">
        <f t="shared" ca="1" si="73"/>
        <v>0.27452586557390307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4">ROUND(O119-D140,3)</f>
        <v>0</v>
      </c>
      <c r="P120" s="412">
        <f t="shared" ca="1" si="74"/>
        <v>0</v>
      </c>
      <c r="Q120" s="412">
        <f t="shared" ca="1" si="74"/>
        <v>0</v>
      </c>
      <c r="R120" s="412">
        <f t="shared" ca="1" si="74"/>
        <v>0</v>
      </c>
      <c r="S120" s="412">
        <f t="shared" ca="1" si="74"/>
        <v>0</v>
      </c>
      <c r="T120" s="413">
        <f t="shared" ca="1" si="74"/>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5">ROUND(+C128-C129,4)</f>
        <v>0</v>
      </c>
      <c r="D130" s="125">
        <f t="shared" si="75"/>
        <v>0</v>
      </c>
      <c r="E130" s="125">
        <f t="shared" si="75"/>
        <v>0</v>
      </c>
      <c r="F130" s="125">
        <f t="shared" si="75"/>
        <v>0</v>
      </c>
      <c r="G130" s="125">
        <f t="shared" si="75"/>
        <v>0</v>
      </c>
      <c r="H130" s="125">
        <f t="shared" si="75"/>
        <v>0</v>
      </c>
      <c r="I130" s="125">
        <f t="shared" si="75"/>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6">(+E8+E42)*(E$122)</f>
        <v>4.4759148628497995E-2</v>
      </c>
      <c r="F134" s="285">
        <f t="shared" ca="1" si="76"/>
        <v>9.1358898869352265E-2</v>
      </c>
      <c r="G134" s="285">
        <f t="shared" ca="1" si="76"/>
        <v>0.14244136705570062</v>
      </c>
      <c r="H134" s="285">
        <f t="shared" ca="1" si="76"/>
        <v>0.19577363818640084</v>
      </c>
      <c r="I134" s="285">
        <f t="shared" ca="1" si="76"/>
        <v>0.251131248542942</v>
      </c>
    </row>
    <row r="135" spans="1:16" outlineLevel="1">
      <c r="A135" s="61" t="s">
        <v>69</v>
      </c>
      <c r="B135" s="119"/>
      <c r="C135" s="285">
        <f ca="1">(+C9+C43)*(C$123)</f>
        <v>0</v>
      </c>
      <c r="D135" s="285">
        <f t="shared" ref="D135:I135" ca="1" si="77">(+D9+D43)*(D$123)</f>
        <v>0</v>
      </c>
      <c r="E135" s="285">
        <f t="shared" ca="1" si="77"/>
        <v>0</v>
      </c>
      <c r="F135" s="285">
        <f t="shared" ca="1" si="77"/>
        <v>0</v>
      </c>
      <c r="G135" s="285">
        <f t="shared" ca="1" si="77"/>
        <v>0</v>
      </c>
      <c r="H135" s="285">
        <f t="shared" ca="1" si="77"/>
        <v>0</v>
      </c>
      <c r="I135" s="285">
        <f t="shared" ca="1" si="77"/>
        <v>0</v>
      </c>
    </row>
    <row r="136" spans="1:16" s="759" customFormat="1" outlineLevel="1">
      <c r="A136" s="61" t="s">
        <v>646</v>
      </c>
      <c r="B136" s="119"/>
      <c r="C136" s="285">
        <f ca="1">(+C10+C44)*(C$124)</f>
        <v>0</v>
      </c>
      <c r="D136" s="285">
        <f t="shared" ref="D136:I136" ca="1" si="78">(+D10+D44)*(D$124)</f>
        <v>0</v>
      </c>
      <c r="E136" s="285">
        <f t="shared" ca="1" si="78"/>
        <v>0</v>
      </c>
      <c r="F136" s="285">
        <f t="shared" ca="1" si="78"/>
        <v>0</v>
      </c>
      <c r="G136" s="285">
        <f t="shared" ca="1" si="78"/>
        <v>0</v>
      </c>
      <c r="H136" s="285">
        <f t="shared" ca="1" si="78"/>
        <v>0</v>
      </c>
      <c r="I136" s="285">
        <f t="shared" ca="1" si="78"/>
        <v>0</v>
      </c>
    </row>
    <row r="137" spans="1:16" outlineLevel="1">
      <c r="A137" s="61" t="s">
        <v>647</v>
      </c>
      <c r="B137" s="119"/>
      <c r="C137" s="285">
        <f ca="1">(+C11+C45)*(C$125)</f>
        <v>0</v>
      </c>
      <c r="D137" s="285">
        <f t="shared" ref="D137:I137" ca="1" si="79">(+D11+D45)*(D$125)</f>
        <v>0</v>
      </c>
      <c r="E137" s="285">
        <f t="shared" ca="1" si="79"/>
        <v>6.6194952267419494E-4</v>
      </c>
      <c r="F137" s="285">
        <f t="shared" ca="1" si="79"/>
        <v>1.340119647870925E-3</v>
      </c>
      <c r="G137" s="285">
        <f t="shared" ca="1" si="79"/>
        <v>2.579615124412825E-3</v>
      </c>
      <c r="H137" s="285">
        <f t="shared" ca="1" si="79"/>
        <v>4.0648648015957269E-3</v>
      </c>
      <c r="I137" s="285">
        <f t="shared" ca="1" si="79"/>
        <v>5.873832248895359E-3</v>
      </c>
    </row>
    <row r="138" spans="1:16" s="759" customFormat="1" outlineLevel="1">
      <c r="A138" s="61" t="s">
        <v>575</v>
      </c>
      <c r="B138" s="119"/>
      <c r="C138" s="285">
        <f ca="1">(+C12+C46)*(C$126)</f>
        <v>0</v>
      </c>
      <c r="D138" s="285">
        <f t="shared" ref="D138:I138" ca="1" si="80">(+D12+D46)*(D$126)</f>
        <v>0</v>
      </c>
      <c r="E138" s="285">
        <f t="shared" ca="1" si="80"/>
        <v>3.1227312996626507E-3</v>
      </c>
      <c r="F138" s="285">
        <f t="shared" ca="1" si="80"/>
        <v>6.373876665303646E-3</v>
      </c>
      <c r="G138" s="285">
        <f t="shared" ca="1" si="80"/>
        <v>9.9377697945837624E-3</v>
      </c>
      <c r="H138" s="285">
        <f t="shared" ca="1" si="80"/>
        <v>1.3658625919981453E-2</v>
      </c>
      <c r="I138" s="285">
        <f t="shared" ca="1" si="80"/>
        <v>1.7520784782065719E-2</v>
      </c>
    </row>
    <row r="139" spans="1:16" outlineLevel="1">
      <c r="A139" s="83" t="s">
        <v>70</v>
      </c>
      <c r="B139" s="119"/>
      <c r="C139" s="285">
        <f ca="1">(+C13+C47)*(C$127)</f>
        <v>0</v>
      </c>
      <c r="D139" s="285">
        <f t="shared" ref="D139:I139" ca="1" si="81">(+D13+D47)*(D$127)</f>
        <v>0</v>
      </c>
      <c r="E139" s="285">
        <f t="shared" ca="1" si="81"/>
        <v>0</v>
      </c>
      <c r="F139" s="285">
        <f t="shared" ca="1" si="81"/>
        <v>0</v>
      </c>
      <c r="G139" s="285">
        <f t="shared" ca="1" si="81"/>
        <v>0</v>
      </c>
      <c r="H139" s="285">
        <f t="shared" ca="1" si="81"/>
        <v>0</v>
      </c>
      <c r="I139" s="285">
        <f t="shared" ca="1" si="81"/>
        <v>0</v>
      </c>
    </row>
    <row r="140" spans="1:16" outlineLevel="1">
      <c r="A140" s="120" t="s">
        <v>147</v>
      </c>
      <c r="B140" s="121"/>
      <c r="C140" s="296">
        <f t="shared" ref="C140:I140" ca="1" si="82">SUM(C134:C139)</f>
        <v>0</v>
      </c>
      <c r="D140" s="296">
        <f t="shared" ca="1" si="82"/>
        <v>0</v>
      </c>
      <c r="E140" s="296">
        <f t="shared" ca="1" si="82"/>
        <v>4.8543829450834845E-2</v>
      </c>
      <c r="F140" s="296">
        <f t="shared" ca="1" si="82"/>
        <v>9.9072895182526835E-2</v>
      </c>
      <c r="G140" s="296">
        <f t="shared" ca="1" si="82"/>
        <v>0.15495875197469722</v>
      </c>
      <c r="H140" s="296">
        <f t="shared" ca="1" si="82"/>
        <v>0.21349712890797803</v>
      </c>
      <c r="I140" s="296">
        <f t="shared" ca="1" si="82"/>
        <v>0.27452586557390307</v>
      </c>
    </row>
    <row r="141" spans="1:16" ht="13.5" outlineLevel="1" thickBot="1">
      <c r="A141" s="122" t="s">
        <v>148</v>
      </c>
      <c r="B141" s="126"/>
      <c r="C141" s="124">
        <f t="shared" ref="C141:I141" ca="1" si="83">IF((+C36+C48)&lt;&gt;0,+C140/(+C36+C48),0)</f>
        <v>0</v>
      </c>
      <c r="D141" s="124">
        <f t="shared" ca="1" si="83"/>
        <v>0</v>
      </c>
      <c r="E141" s="124">
        <f t="shared" ca="1" si="83"/>
        <v>2.0483662563975276E-2</v>
      </c>
      <c r="F141" s="124">
        <f t="shared" ca="1" si="83"/>
        <v>4.1402265859667928E-2</v>
      </c>
      <c r="G141" s="124">
        <f t="shared" ca="1" si="83"/>
        <v>6.4145922960144749E-2</v>
      </c>
      <c r="H141" s="124">
        <f t="shared" ca="1" si="83"/>
        <v>8.7482827886691941E-2</v>
      </c>
      <c r="I141" s="124">
        <f t="shared" ca="1" si="83"/>
        <v>0.11145573938700572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4">SUMIF($A$185:$A$195,$A149,C$185:C$195)</f>
        <v>0</v>
      </c>
      <c r="D149" s="285">
        <f t="shared" ref="D149:I149" si="85">SUMIF($A$185:$A$195,$A149,D$185:D$195)</f>
        <v>0</v>
      </c>
      <c r="E149" s="285">
        <f t="shared" si="85"/>
        <v>0</v>
      </c>
      <c r="F149" s="285">
        <f t="shared" si="85"/>
        <v>0</v>
      </c>
      <c r="G149" s="285">
        <f t="shared" si="85"/>
        <v>0</v>
      </c>
      <c r="H149" s="285">
        <f t="shared" si="85"/>
        <v>0</v>
      </c>
      <c r="I149" s="285">
        <f t="shared" si="85"/>
        <v>0</v>
      </c>
      <c r="J149" s="63"/>
      <c r="K149" s="63"/>
      <c r="L149" s="63"/>
    </row>
    <row r="150" spans="1:13" outlineLevel="1">
      <c r="A150" s="61" t="s">
        <v>69</v>
      </c>
      <c r="B150" s="65"/>
      <c r="C150" s="285">
        <f t="shared" si="84"/>
        <v>0</v>
      </c>
      <c r="D150" s="285">
        <f t="shared" ref="D150:I154" si="86">SUMIF($A$185:$A$195,$A150,D$185:D$195)</f>
        <v>0</v>
      </c>
      <c r="E150" s="285">
        <f t="shared" si="86"/>
        <v>0</v>
      </c>
      <c r="F150" s="285">
        <f t="shared" si="86"/>
        <v>0</v>
      </c>
      <c r="G150" s="285">
        <f t="shared" si="86"/>
        <v>0</v>
      </c>
      <c r="H150" s="285">
        <f t="shared" si="86"/>
        <v>0</v>
      </c>
      <c r="I150" s="285">
        <f t="shared" si="86"/>
        <v>0</v>
      </c>
      <c r="J150" s="42"/>
      <c r="K150" s="21"/>
      <c r="L150" s="21"/>
    </row>
    <row r="151" spans="1:13" s="759" customFormat="1" outlineLevel="1">
      <c r="A151" s="61" t="s">
        <v>646</v>
      </c>
      <c r="B151" s="65"/>
      <c r="C151" s="285">
        <f t="shared" si="84"/>
        <v>0</v>
      </c>
      <c r="D151" s="285">
        <f t="shared" si="86"/>
        <v>0</v>
      </c>
      <c r="E151" s="285">
        <f t="shared" si="86"/>
        <v>0</v>
      </c>
      <c r="F151" s="285">
        <f t="shared" si="86"/>
        <v>0</v>
      </c>
      <c r="G151" s="285">
        <f t="shared" si="86"/>
        <v>0</v>
      </c>
      <c r="H151" s="285">
        <f t="shared" si="86"/>
        <v>0</v>
      </c>
      <c r="I151" s="285">
        <f t="shared" si="86"/>
        <v>0</v>
      </c>
      <c r="J151" s="42"/>
      <c r="K151" s="732"/>
      <c r="L151" s="732"/>
    </row>
    <row r="152" spans="1:13" outlineLevel="1">
      <c r="A152" s="61" t="s">
        <v>647</v>
      </c>
      <c r="B152" s="65"/>
      <c r="C152" s="285">
        <f t="shared" si="84"/>
        <v>0</v>
      </c>
      <c r="D152" s="285">
        <f t="shared" si="86"/>
        <v>0</v>
      </c>
      <c r="E152" s="285">
        <f t="shared" si="86"/>
        <v>0</v>
      </c>
      <c r="F152" s="285">
        <f t="shared" si="86"/>
        <v>0</v>
      </c>
      <c r="G152" s="285">
        <f t="shared" si="86"/>
        <v>0</v>
      </c>
      <c r="H152" s="285">
        <f t="shared" si="86"/>
        <v>0</v>
      </c>
      <c r="I152" s="285">
        <f t="shared" si="86"/>
        <v>0</v>
      </c>
      <c r="J152" s="42"/>
      <c r="K152" s="21"/>
      <c r="L152" s="21"/>
    </row>
    <row r="153" spans="1:13" s="759" customFormat="1" outlineLevel="1">
      <c r="A153" s="61" t="s">
        <v>575</v>
      </c>
      <c r="B153" s="65"/>
      <c r="C153" s="285">
        <f t="shared" si="84"/>
        <v>0</v>
      </c>
      <c r="D153" s="285">
        <f t="shared" si="86"/>
        <v>0</v>
      </c>
      <c r="E153" s="285">
        <f t="shared" si="86"/>
        <v>0</v>
      </c>
      <c r="F153" s="285">
        <f t="shared" si="86"/>
        <v>0</v>
      </c>
      <c r="G153" s="285">
        <f t="shared" si="86"/>
        <v>0</v>
      </c>
      <c r="H153" s="285">
        <f t="shared" si="86"/>
        <v>0</v>
      </c>
      <c r="I153" s="285">
        <f t="shared" si="86"/>
        <v>0</v>
      </c>
      <c r="J153" s="42"/>
      <c r="K153" s="732"/>
      <c r="L153" s="732"/>
    </row>
    <row r="154" spans="1:13" outlineLevel="1">
      <c r="A154" s="83" t="s">
        <v>70</v>
      </c>
      <c r="B154" s="65"/>
      <c r="C154" s="285">
        <f t="shared" si="84"/>
        <v>0</v>
      </c>
      <c r="D154" s="285">
        <f t="shared" si="86"/>
        <v>0</v>
      </c>
      <c r="E154" s="285">
        <f t="shared" si="86"/>
        <v>0</v>
      </c>
      <c r="F154" s="285">
        <f t="shared" si="86"/>
        <v>0</v>
      </c>
      <c r="G154" s="285">
        <f t="shared" si="86"/>
        <v>0</v>
      </c>
      <c r="H154" s="285">
        <f t="shared" si="86"/>
        <v>0</v>
      </c>
      <c r="I154" s="285">
        <f t="shared" si="86"/>
        <v>0</v>
      </c>
      <c r="J154" s="42"/>
      <c r="K154" s="21"/>
      <c r="L154" s="21"/>
    </row>
    <row r="155" spans="1:13" outlineLevel="1">
      <c r="A155" s="129" t="s">
        <v>150</v>
      </c>
      <c r="B155" s="130"/>
      <c r="C155" s="296">
        <f t="shared" ref="C155:I155" si="87">SUM(C149:C154)</f>
        <v>0</v>
      </c>
      <c r="D155" s="296">
        <f t="shared" si="87"/>
        <v>0</v>
      </c>
      <c r="E155" s="296">
        <f t="shared" si="87"/>
        <v>0</v>
      </c>
      <c r="F155" s="296">
        <f t="shared" si="87"/>
        <v>0</v>
      </c>
      <c r="G155" s="296">
        <f t="shared" si="87"/>
        <v>0</v>
      </c>
      <c r="H155" s="296">
        <f t="shared" si="87"/>
        <v>0</v>
      </c>
      <c r="I155" s="296">
        <f t="shared" si="87"/>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8">IF(ISNUMBER($J160),OFFSET($B$177,MATCH(+$J160,$J$178:$J$195,0),0),"")</f>
        <v>Step Change</v>
      </c>
      <c r="B160" s="285">
        <f t="shared" ref="B160:I169" ca="1" si="89">IF(ISNUMBER($J160),OFFSET(B$177,MATCH(+$J160,$J$178:$J$195,0)+13,0),"")</f>
        <v>0</v>
      </c>
      <c r="C160" s="285">
        <f t="shared" ca="1" si="89"/>
        <v>0</v>
      </c>
      <c r="D160" s="285">
        <f t="shared" ca="1" si="89"/>
        <v>0</v>
      </c>
      <c r="E160" s="285">
        <f t="shared" ca="1" si="89"/>
        <v>0</v>
      </c>
      <c r="F160" s="285">
        <f t="shared" ca="1" si="89"/>
        <v>0</v>
      </c>
      <c r="G160" s="285">
        <f t="shared" ca="1" si="89"/>
        <v>0</v>
      </c>
      <c r="H160" s="285">
        <f t="shared" ca="1" si="89"/>
        <v>0</v>
      </c>
      <c r="I160" s="285">
        <f t="shared" ca="1" si="89"/>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8"/>
        <v/>
      </c>
      <c r="B161" s="285" t="str">
        <f t="shared" ca="1" si="89"/>
        <v/>
      </c>
      <c r="C161" s="285" t="str">
        <f t="shared" ca="1" si="89"/>
        <v/>
      </c>
      <c r="D161" s="285" t="str">
        <f t="shared" ca="1" si="89"/>
        <v/>
      </c>
      <c r="E161" s="285" t="str">
        <f t="shared" ca="1" si="89"/>
        <v/>
      </c>
      <c r="F161" s="285" t="str">
        <f t="shared" ca="1" si="89"/>
        <v/>
      </c>
      <c r="G161" s="285" t="str">
        <f t="shared" ca="1" si="89"/>
        <v/>
      </c>
      <c r="H161" s="285" t="str">
        <f t="shared" ca="1" si="89"/>
        <v/>
      </c>
      <c r="I161" s="285" t="str">
        <f t="shared" ca="1" si="89"/>
        <v/>
      </c>
      <c r="J161" s="378" t="str">
        <f>IF(J160&lt;$D$158,J160+1,"")</f>
        <v/>
      </c>
      <c r="K161" s="66" t="str">
        <f t="shared" ref="K161:K169" ca="1" si="90">IF(ISNUMBER($J161),OFFSET($B$177,MATCH(+$J161,$J$178:$J$195,0)+1,0),"")</f>
        <v/>
      </c>
      <c r="L161" s="66" t="str">
        <f t="shared" ref="L161:L169" ca="1" si="91">IF(ISNUMBER($J161),OFFSET($B$177,MATCH(+$J161,$J$178:$J$195,0)+2,0),"")</f>
        <v/>
      </c>
      <c r="M161" s="66" t="str">
        <f t="shared" ref="M161:M169" ca="1" si="92">IF(ISNUMBER($J161),OFFSET($B$177,MATCH(+$J161,$J$178:$J$195,0)+3,0),"")</f>
        <v/>
      </c>
    </row>
    <row r="162" spans="1:13" outlineLevel="1">
      <c r="A162" s="66" t="str">
        <f t="shared" ca="1" si="88"/>
        <v/>
      </c>
      <c r="B162" s="285" t="str">
        <f t="shared" ca="1" si="89"/>
        <v/>
      </c>
      <c r="C162" s="285" t="str">
        <f t="shared" ca="1" si="89"/>
        <v/>
      </c>
      <c r="D162" s="285" t="str">
        <f t="shared" ca="1" si="89"/>
        <v/>
      </c>
      <c r="E162" s="285" t="str">
        <f t="shared" ca="1" si="89"/>
        <v/>
      </c>
      <c r="F162" s="285" t="str">
        <f t="shared" ca="1" si="89"/>
        <v/>
      </c>
      <c r="G162" s="285" t="str">
        <f t="shared" ca="1" si="89"/>
        <v/>
      </c>
      <c r="H162" s="285" t="str">
        <f t="shared" ca="1" si="89"/>
        <v/>
      </c>
      <c r="I162" s="285" t="str">
        <f t="shared" ca="1" si="89"/>
        <v/>
      </c>
      <c r="J162" s="378" t="str">
        <f t="shared" ref="J162:J169" si="93">IF(J161&lt;$D$158,J161+1,"")</f>
        <v/>
      </c>
      <c r="K162" s="66" t="str">
        <f t="shared" ca="1" si="90"/>
        <v/>
      </c>
      <c r="L162" s="66" t="str">
        <f t="shared" ca="1" si="91"/>
        <v/>
      </c>
      <c r="M162" s="66" t="str">
        <f t="shared" ca="1" si="92"/>
        <v/>
      </c>
    </row>
    <row r="163" spans="1:13" outlineLevel="1">
      <c r="A163" s="66" t="str">
        <f t="shared" ca="1" si="88"/>
        <v/>
      </c>
      <c r="B163" s="285" t="str">
        <f t="shared" ca="1" si="89"/>
        <v/>
      </c>
      <c r="C163" s="285" t="str">
        <f t="shared" ca="1" si="89"/>
        <v/>
      </c>
      <c r="D163" s="285" t="str">
        <f t="shared" ca="1" si="89"/>
        <v/>
      </c>
      <c r="E163" s="285" t="str">
        <f t="shared" ca="1" si="89"/>
        <v/>
      </c>
      <c r="F163" s="285" t="str">
        <f t="shared" ca="1" si="89"/>
        <v/>
      </c>
      <c r="G163" s="285" t="str">
        <f t="shared" ca="1" si="89"/>
        <v/>
      </c>
      <c r="H163" s="285" t="str">
        <f t="shared" ca="1" si="89"/>
        <v/>
      </c>
      <c r="I163" s="285" t="str">
        <f t="shared" ca="1" si="89"/>
        <v/>
      </c>
      <c r="J163" s="378" t="str">
        <f t="shared" si="93"/>
        <v/>
      </c>
      <c r="K163" s="66" t="str">
        <f t="shared" ca="1" si="90"/>
        <v/>
      </c>
      <c r="L163" s="66" t="str">
        <f t="shared" ca="1" si="91"/>
        <v/>
      </c>
      <c r="M163" s="66" t="str">
        <f t="shared" ca="1" si="92"/>
        <v/>
      </c>
    </row>
    <row r="164" spans="1:13" outlineLevel="1">
      <c r="A164" s="66" t="str">
        <f t="shared" ca="1" si="88"/>
        <v/>
      </c>
      <c r="B164" s="285" t="str">
        <f t="shared" ca="1" si="89"/>
        <v/>
      </c>
      <c r="C164" s="285" t="str">
        <f t="shared" ca="1" si="89"/>
        <v/>
      </c>
      <c r="D164" s="285" t="str">
        <f t="shared" ca="1" si="89"/>
        <v/>
      </c>
      <c r="E164" s="285" t="str">
        <f t="shared" ca="1" si="89"/>
        <v/>
      </c>
      <c r="F164" s="285" t="str">
        <f t="shared" ca="1" si="89"/>
        <v/>
      </c>
      <c r="G164" s="285" t="str">
        <f t="shared" ca="1" si="89"/>
        <v/>
      </c>
      <c r="H164" s="285" t="str">
        <f t="shared" ca="1" si="89"/>
        <v/>
      </c>
      <c r="I164" s="285" t="str">
        <f t="shared" ca="1" si="89"/>
        <v/>
      </c>
      <c r="J164" s="378" t="str">
        <f t="shared" si="93"/>
        <v/>
      </c>
      <c r="K164" s="66" t="str">
        <f t="shared" ca="1" si="90"/>
        <v/>
      </c>
      <c r="L164" s="66" t="str">
        <f t="shared" ca="1" si="91"/>
        <v/>
      </c>
      <c r="M164" s="66" t="str">
        <f t="shared" ca="1" si="92"/>
        <v/>
      </c>
    </row>
    <row r="165" spans="1:13" outlineLevel="1">
      <c r="A165" s="66" t="str">
        <f t="shared" ca="1" si="88"/>
        <v/>
      </c>
      <c r="B165" s="285" t="str">
        <f t="shared" ca="1" si="89"/>
        <v/>
      </c>
      <c r="C165" s="285" t="str">
        <f t="shared" ca="1" si="89"/>
        <v/>
      </c>
      <c r="D165" s="285" t="str">
        <f t="shared" ca="1" si="89"/>
        <v/>
      </c>
      <c r="E165" s="285" t="str">
        <f t="shared" ca="1" si="89"/>
        <v/>
      </c>
      <c r="F165" s="285" t="str">
        <f t="shared" ca="1" si="89"/>
        <v/>
      </c>
      <c r="G165" s="285" t="str">
        <f t="shared" ca="1" si="89"/>
        <v/>
      </c>
      <c r="H165" s="285" t="str">
        <f t="shared" ca="1" si="89"/>
        <v/>
      </c>
      <c r="I165" s="285" t="str">
        <f t="shared" ca="1" si="89"/>
        <v/>
      </c>
      <c r="J165" s="378" t="str">
        <f t="shared" si="93"/>
        <v/>
      </c>
      <c r="K165" s="66" t="str">
        <f t="shared" ca="1" si="90"/>
        <v/>
      </c>
      <c r="L165" s="66" t="str">
        <f t="shared" ca="1" si="91"/>
        <v/>
      </c>
      <c r="M165" s="66" t="str">
        <f t="shared" ca="1" si="92"/>
        <v/>
      </c>
    </row>
    <row r="166" spans="1:13" outlineLevel="1">
      <c r="A166" s="66" t="str">
        <f t="shared" ca="1" si="88"/>
        <v/>
      </c>
      <c r="B166" s="285" t="str">
        <f t="shared" ca="1" si="89"/>
        <v/>
      </c>
      <c r="C166" s="285" t="str">
        <f t="shared" ca="1" si="89"/>
        <v/>
      </c>
      <c r="D166" s="285" t="str">
        <f t="shared" ca="1" si="89"/>
        <v/>
      </c>
      <c r="E166" s="285" t="str">
        <f t="shared" ca="1" si="89"/>
        <v/>
      </c>
      <c r="F166" s="285" t="str">
        <f t="shared" ca="1" si="89"/>
        <v/>
      </c>
      <c r="G166" s="285" t="str">
        <f t="shared" ca="1" si="89"/>
        <v/>
      </c>
      <c r="H166" s="285" t="str">
        <f t="shared" ca="1" si="89"/>
        <v/>
      </c>
      <c r="I166" s="285" t="str">
        <f t="shared" ca="1" si="89"/>
        <v/>
      </c>
      <c r="J166" s="378" t="str">
        <f t="shared" si="93"/>
        <v/>
      </c>
      <c r="K166" s="66" t="str">
        <f t="shared" ca="1" si="90"/>
        <v/>
      </c>
      <c r="L166" s="66" t="str">
        <f t="shared" ca="1" si="91"/>
        <v/>
      </c>
      <c r="M166" s="66" t="str">
        <f t="shared" ca="1" si="92"/>
        <v/>
      </c>
    </row>
    <row r="167" spans="1:13" outlineLevel="1">
      <c r="A167" s="66" t="str">
        <f t="shared" ca="1" si="88"/>
        <v/>
      </c>
      <c r="B167" s="285" t="str">
        <f t="shared" ca="1" si="89"/>
        <v/>
      </c>
      <c r="C167" s="285" t="str">
        <f t="shared" ca="1" si="89"/>
        <v/>
      </c>
      <c r="D167" s="285" t="str">
        <f t="shared" ca="1" si="89"/>
        <v/>
      </c>
      <c r="E167" s="285" t="str">
        <f t="shared" ca="1" si="89"/>
        <v/>
      </c>
      <c r="F167" s="285" t="str">
        <f t="shared" ca="1" si="89"/>
        <v/>
      </c>
      <c r="G167" s="285" t="str">
        <f t="shared" ca="1" si="89"/>
        <v/>
      </c>
      <c r="H167" s="285" t="str">
        <f t="shared" ca="1" si="89"/>
        <v/>
      </c>
      <c r="I167" s="285" t="str">
        <f t="shared" ca="1" si="89"/>
        <v/>
      </c>
      <c r="J167" s="378" t="str">
        <f t="shared" si="93"/>
        <v/>
      </c>
      <c r="K167" s="66" t="str">
        <f t="shared" ca="1" si="90"/>
        <v/>
      </c>
      <c r="L167" s="66" t="str">
        <f t="shared" ca="1" si="91"/>
        <v/>
      </c>
      <c r="M167" s="66" t="str">
        <f t="shared" ca="1" si="92"/>
        <v/>
      </c>
    </row>
    <row r="168" spans="1:13" outlineLevel="1">
      <c r="A168" s="66" t="str">
        <f t="shared" ca="1" si="88"/>
        <v/>
      </c>
      <c r="B168" s="285" t="str">
        <f t="shared" ca="1" si="89"/>
        <v/>
      </c>
      <c r="C168" s="285" t="str">
        <f t="shared" ca="1" si="89"/>
        <v/>
      </c>
      <c r="D168" s="285" t="str">
        <f t="shared" ca="1" si="89"/>
        <v/>
      </c>
      <c r="E168" s="285" t="str">
        <f t="shared" ca="1" si="89"/>
        <v/>
      </c>
      <c r="F168" s="285" t="str">
        <f t="shared" ca="1" si="89"/>
        <v/>
      </c>
      <c r="G168" s="285" t="str">
        <f t="shared" ca="1" si="89"/>
        <v/>
      </c>
      <c r="H168" s="285" t="str">
        <f t="shared" ca="1" si="89"/>
        <v/>
      </c>
      <c r="I168" s="285" t="str">
        <f t="shared" ca="1" si="89"/>
        <v/>
      </c>
      <c r="J168" s="378" t="str">
        <f t="shared" si="93"/>
        <v/>
      </c>
      <c r="K168" s="66" t="str">
        <f t="shared" ca="1" si="90"/>
        <v/>
      </c>
      <c r="L168" s="66" t="str">
        <f t="shared" ca="1" si="91"/>
        <v/>
      </c>
      <c r="M168" s="66" t="str">
        <f t="shared" ca="1" si="92"/>
        <v/>
      </c>
    </row>
    <row r="169" spans="1:13" outlineLevel="1">
      <c r="A169" s="66" t="str">
        <f t="shared" ca="1" si="88"/>
        <v/>
      </c>
      <c r="B169" s="285" t="str">
        <f t="shared" ca="1" si="89"/>
        <v/>
      </c>
      <c r="C169" s="285" t="str">
        <f t="shared" ca="1" si="89"/>
        <v/>
      </c>
      <c r="D169" s="285" t="str">
        <f t="shared" ca="1" si="89"/>
        <v/>
      </c>
      <c r="E169" s="285" t="str">
        <f t="shared" ca="1" si="89"/>
        <v/>
      </c>
      <c r="F169" s="285" t="str">
        <f t="shared" ca="1" si="89"/>
        <v/>
      </c>
      <c r="G169" s="285" t="str">
        <f t="shared" ca="1" si="89"/>
        <v/>
      </c>
      <c r="H169" s="285" t="str">
        <f t="shared" ca="1" si="89"/>
        <v/>
      </c>
      <c r="I169" s="285" t="str">
        <f t="shared" ca="1" si="89"/>
        <v/>
      </c>
      <c r="J169" s="378" t="str">
        <f t="shared" si="93"/>
        <v/>
      </c>
      <c r="K169" s="66" t="str">
        <f t="shared" ca="1" si="90"/>
        <v/>
      </c>
      <c r="L169" s="66" t="str">
        <f t="shared" ca="1" si="91"/>
        <v/>
      </c>
      <c r="M169" s="66" t="str">
        <f t="shared" ca="1" si="92"/>
        <v/>
      </c>
    </row>
    <row r="170" spans="1:13">
      <c r="A170" s="129" t="s">
        <v>150</v>
      </c>
      <c r="B170" s="296">
        <f ca="1">SUM(B160:B169)</f>
        <v>0</v>
      </c>
      <c r="C170" s="296">
        <f t="shared" ref="C170:I170" ca="1" si="94">SUM(C160:C169)</f>
        <v>0</v>
      </c>
      <c r="D170" s="296">
        <f t="shared" ca="1" si="94"/>
        <v>0</v>
      </c>
      <c r="E170" s="296">
        <f t="shared" ca="1" si="94"/>
        <v>0</v>
      </c>
      <c r="F170" s="296">
        <f t="shared" ca="1" si="94"/>
        <v>0</v>
      </c>
      <c r="G170" s="296">
        <f t="shared" ca="1" si="94"/>
        <v>0</v>
      </c>
      <c r="H170" s="296">
        <f t="shared" ca="1" si="94"/>
        <v>0</v>
      </c>
      <c r="I170" s="296">
        <f t="shared" ca="1" si="94"/>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(SEM)'!$O$52:$S$57</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5">SUM(C185:C190)</f>
        <v>0</v>
      </c>
      <c r="D191" s="296">
        <f t="shared" si="95"/>
        <v>0</v>
      </c>
      <c r="E191" s="296">
        <f t="shared" si="95"/>
        <v>0</v>
      </c>
      <c r="F191" s="296">
        <f t="shared" si="95"/>
        <v>0</v>
      </c>
      <c r="G191" s="296">
        <f t="shared" si="95"/>
        <v>0</v>
      </c>
      <c r="H191" s="296">
        <f t="shared" si="95"/>
        <v>0</v>
      </c>
      <c r="I191" s="296">
        <f t="shared" si="95"/>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6">+B14</f>
        <v>0</v>
      </c>
      <c r="C205" s="82">
        <f t="shared" ca="1" si="96"/>
        <v>0</v>
      </c>
      <c r="D205" s="82">
        <f t="shared" ca="1" si="96"/>
        <v>2.3449999999999998</v>
      </c>
      <c r="E205" s="82">
        <f t="shared" ca="1" si="96"/>
        <v>2.3449999999999998</v>
      </c>
      <c r="F205" s="82">
        <f t="shared" ca="1" si="96"/>
        <v>2.3449999999999998</v>
      </c>
      <c r="G205" s="82">
        <f t="shared" ca="1" si="96"/>
        <v>2.3449999999999998</v>
      </c>
      <c r="H205" s="82">
        <f t="shared" ca="1" si="96"/>
        <v>2.3449999999999998</v>
      </c>
      <c r="I205" s="82">
        <f t="shared" ca="1" si="96"/>
        <v>2.3449999999999998</v>
      </c>
    </row>
    <row r="206" spans="1:9" outlineLevel="1">
      <c r="A206" t="s">
        <v>156</v>
      </c>
      <c r="B206" s="82">
        <f t="shared" ref="B206:I206" ca="1" si="97">+B36</f>
        <v>0</v>
      </c>
      <c r="C206" s="82">
        <f t="shared" ca="1" si="97"/>
        <v>0</v>
      </c>
      <c r="D206" s="82">
        <f t="shared" ca="1" si="97"/>
        <v>2.3449999999999998</v>
      </c>
      <c r="E206" s="82">
        <f t="shared" ca="1" si="97"/>
        <v>2.3449999999999998</v>
      </c>
      <c r="F206" s="82">
        <f t="shared" ca="1" si="97"/>
        <v>2.3449999999999998</v>
      </c>
      <c r="G206" s="82">
        <f t="shared" ca="1" si="97"/>
        <v>2.3449999999999998</v>
      </c>
      <c r="H206" s="82">
        <f t="shared" ca="1" si="97"/>
        <v>2.3449999999999998</v>
      </c>
      <c r="I206" s="82">
        <f t="shared" ca="1" si="97"/>
        <v>2.3449999999999998</v>
      </c>
    </row>
    <row r="207" spans="1:9" outlineLevel="1">
      <c r="A207" t="s">
        <v>157</v>
      </c>
      <c r="B207" s="82">
        <f t="shared" ref="B207:I207" ca="1" si="98">+B36+B48</f>
        <v>0</v>
      </c>
      <c r="C207" s="82">
        <f t="shared" ca="1" si="98"/>
        <v>0</v>
      </c>
      <c r="D207" s="82">
        <f t="shared" ca="1" si="98"/>
        <v>2.3449999999999998</v>
      </c>
      <c r="E207" s="82">
        <f t="shared" ca="1" si="98"/>
        <v>2.369880352169496</v>
      </c>
      <c r="F207" s="82">
        <f t="shared" ca="1" si="98"/>
        <v>2.3929341335648693</v>
      </c>
      <c r="G207" s="82">
        <f t="shared" ca="1" si="98"/>
        <v>2.4157225404797189</v>
      </c>
      <c r="H207" s="82">
        <f t="shared" ca="1" si="98"/>
        <v>2.4404461317197046</v>
      </c>
      <c r="I207" s="82">
        <f t="shared" ca="1" si="98"/>
        <v>2.4630931263276801</v>
      </c>
    </row>
    <row r="208" spans="1:9" outlineLevel="1">
      <c r="A208" t="s">
        <v>158</v>
      </c>
      <c r="B208" s="82">
        <f t="shared" ref="B208:I208" ca="1" si="99">+B70</f>
        <v>0</v>
      </c>
      <c r="C208" s="82">
        <f t="shared" ca="1" si="99"/>
        <v>0</v>
      </c>
      <c r="D208" s="82">
        <f t="shared" ca="1" si="99"/>
        <v>2.3449999999999998</v>
      </c>
      <c r="E208" s="82">
        <f t="shared" ca="1" si="99"/>
        <v>2.4184241816203311</v>
      </c>
      <c r="F208" s="82">
        <f t="shared" ca="1" si="99"/>
        <v>2.4920070287473965</v>
      </c>
      <c r="G208" s="82">
        <f t="shared" ca="1" si="99"/>
        <v>2.5706812924544167</v>
      </c>
      <c r="H208" s="82">
        <f t="shared" ca="1" si="99"/>
        <v>2.6539432606276834</v>
      </c>
      <c r="I208" s="82">
        <f t="shared" ca="1" si="99"/>
        <v>2.7376189919015839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45" priority="3" stopIfTrue="1" operator="notEqual">
      <formula>0</formula>
    </cfRule>
  </conditionalFormatting>
  <conditionalFormatting sqref="J130 J14 J70 J59 J48 J36:J37 J94 J25">
    <cfRule type="cellIs" dxfId="144" priority="4" stopIfTrue="1" operator="equal">
      <formula>"OK"</formula>
    </cfRule>
    <cfRule type="cellIs" dxfId="143" priority="5" stopIfTrue="1" operator="equal">
      <formula>"Warning Check Escalations"</formula>
    </cfRule>
  </conditionalFormatting>
  <conditionalFormatting sqref="N120:T120 N84:T84">
    <cfRule type="cellIs" dxfId="142" priority="6" stopIfTrue="1" operator="notEqual">
      <formula>0</formula>
    </cfRule>
    <cfRule type="cellIs" dxfId="141" priority="7" stopIfTrue="1" operator="equal">
      <formula>0</formula>
    </cfRule>
  </conditionalFormatting>
  <conditionalFormatting sqref="N84:T84">
    <cfRule type="cellIs" dxfId="140" priority="1" stopIfTrue="1" operator="notEqual">
      <formula>0</formula>
    </cfRule>
    <cfRule type="cellIs" dxfId="139" priority="2"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2.xml><?xml version="1.0" encoding="utf-8"?>
<worksheet xmlns="http://schemas.openxmlformats.org/spreadsheetml/2006/main" xmlns:r="http://schemas.openxmlformats.org/officeDocument/2006/relationships">
  <sheetPr codeName="Sheet36" enableFormatConditionsCalculation="0">
    <tabColor rgb="FF008000"/>
    <pageSetUpPr fitToPage="1"/>
  </sheetPr>
  <dimension ref="A1:U239"/>
  <sheetViews>
    <sheetView showGridLines="0" zoomScaleNormal="100" workbookViewId="0">
      <selection activeCell="D8" sqref="D8"/>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8</v>
      </c>
      <c r="M1" s="282"/>
      <c r="N1" s="280"/>
      <c r="O1" s="280"/>
      <c r="P1" s="280"/>
      <c r="Q1" s="280"/>
      <c r="R1" s="280"/>
      <c r="S1" s="280"/>
      <c r="T1" s="280"/>
    </row>
    <row r="2" spans="1:20" ht="15.75">
      <c r="A2" s="184" t="s">
        <v>121</v>
      </c>
      <c r="B2" s="74" t="str">
        <f ca="1">OFFSET(List_DAOpexStart,+$K$1,1)</f>
        <v>Network Telephony</v>
      </c>
      <c r="F2" s="284"/>
      <c r="H2" s="42"/>
      <c r="I2" s="283"/>
      <c r="L2" s="282"/>
      <c r="M2" s="282"/>
    </row>
    <row r="3" spans="1:20" ht="16.5" thickBot="1">
      <c r="A3" s="184" t="s">
        <v>371</v>
      </c>
      <c r="B3" s="236" t="str">
        <f ca="1">OFFSET(List_DAOpexStart,+$K$1,2)</f>
        <v>Geof Axon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1.8640000000000003</v>
      </c>
      <c r="E8" s="285">
        <f ca="1">OFFSET(Future_DAOpexStart,MATCH($K$1,'I-5 Future DA'!$A$6:$A$222)+2,+'I-5 Future DA'!F$5)</f>
        <v>1.8640000000000003</v>
      </c>
      <c r="F8" s="285">
        <f ca="1">OFFSET(Future_DAOpexStart,MATCH($K$1,'I-5 Future DA'!$A$6:$A$222)+2,+'I-5 Future DA'!G$5)</f>
        <v>1.8640000000000003</v>
      </c>
      <c r="G8" s="285">
        <f ca="1">OFFSET(Future_DAOpexStart,MATCH($K$1,'I-5 Future DA'!$A$6:$A$222)+2,+'I-5 Future DA'!H$5)</f>
        <v>1.8640000000000003</v>
      </c>
      <c r="H8" s="285">
        <f ca="1">OFFSET(Future_DAOpexStart,MATCH($K$1,'I-5 Future DA'!$A$6:$A$222)+2,+'I-5 Future DA'!I$5)</f>
        <v>1.8640000000000003</v>
      </c>
      <c r="I8" s="285">
        <f ca="1">OFFSET(Future_DAOpexStart,MATCH($K$1,'I-5 Future DA'!$A$6:$A$222)+2,+'I-5 Future DA'!J$5)</f>
        <v>1.8640000000000003</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0.11199999999999999</v>
      </c>
      <c r="E9" s="285">
        <f ca="1">OFFSET(Future_DAOpexStart,MATCH($K$1,'I-5 Future DA'!$A$6:$A$222)+3,+'I-5 Future DA'!F$5)</f>
        <v>0.11199999999999999</v>
      </c>
      <c r="F9" s="285">
        <f ca="1">OFFSET(Future_DAOpexStart,MATCH($K$1,'I-5 Future DA'!$A$6:$A$222)+3,+'I-5 Future DA'!G$5)</f>
        <v>0.11199999999999999</v>
      </c>
      <c r="G9" s="285">
        <f ca="1">OFFSET(Future_DAOpexStart,MATCH($K$1,'I-5 Future DA'!$A$6:$A$222)+3,+'I-5 Future DA'!H$5)</f>
        <v>0.11199999999999999</v>
      </c>
      <c r="H9" s="285">
        <f ca="1">OFFSET(Future_DAOpexStart,MATCH($K$1,'I-5 Future DA'!$A$6:$A$222)+3,+'I-5 Future DA'!I$5)</f>
        <v>0.11199999999999999</v>
      </c>
      <c r="I9" s="285">
        <f ca="1">OFFSET(Future_DAOpexStart,MATCH($K$1,'I-5 Future DA'!$A$6:$A$222)+3,+'I-5 Future DA'!J$5)</f>
        <v>0.11199999999999999</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3.375</v>
      </c>
      <c r="E10" s="285">
        <f ca="1">OFFSET(Future_DAOpexStart,MATCH($K$1,'I-5 Future DA'!$A$6:$A$222)+4,+'I-5 Future DA'!F$5)</f>
        <v>3.375</v>
      </c>
      <c r="F10" s="285">
        <f ca="1">OFFSET(Future_DAOpexStart,MATCH($K$1,'I-5 Future DA'!$A$6:$A$222)+4,+'I-5 Future DA'!G$5)</f>
        <v>3.375</v>
      </c>
      <c r="G10" s="285">
        <f ca="1">OFFSET(Future_DAOpexStart,MATCH($K$1,'I-5 Future DA'!$A$6:$A$222)+4,+'I-5 Future DA'!H$5)</f>
        <v>3.375</v>
      </c>
      <c r="H10" s="285">
        <f ca="1">OFFSET(Future_DAOpexStart,MATCH($K$1,'I-5 Future DA'!$A$6:$A$222)+4,+'I-5 Future DA'!I$5)</f>
        <v>3.375</v>
      </c>
      <c r="I10" s="285">
        <f ca="1">OFFSET(Future_DAOpexStart,MATCH($K$1,'I-5 Future DA'!$A$6:$A$222)+4,+'I-5 Future DA'!J$5)</f>
        <v>3.375</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0.36700000000000005</v>
      </c>
      <c r="E11" s="285">
        <f ca="1">OFFSET(Future_DAOpexStart,MATCH($K$1,'I-5 Future DA'!$A$6:$A$222)+5,+'I-5 Future DA'!F$5)</f>
        <v>0.36700000000000005</v>
      </c>
      <c r="F11" s="285">
        <f ca="1">OFFSET(Future_DAOpexStart,MATCH($K$1,'I-5 Future DA'!$A$6:$A$222)+5,+'I-5 Future DA'!G$5)</f>
        <v>0.36700000000000005</v>
      </c>
      <c r="G11" s="285">
        <f ca="1">OFFSET(Future_DAOpexStart,MATCH($K$1,'I-5 Future DA'!$A$6:$A$222)+5,+'I-5 Future DA'!H$5)</f>
        <v>0.36700000000000005</v>
      </c>
      <c r="H11" s="285">
        <f ca="1">OFFSET(Future_DAOpexStart,MATCH($K$1,'I-5 Future DA'!$A$6:$A$222)+5,+'I-5 Future DA'!I$5)</f>
        <v>0.36700000000000005</v>
      </c>
      <c r="I11" s="285">
        <f ca="1">OFFSET(Future_DAOpexStart,MATCH($K$1,'I-5 Future DA'!$A$6:$A$222)+5,+'I-5 Future DA'!J$5)</f>
        <v>0.36700000000000005</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0.442</v>
      </c>
      <c r="E12" s="285">
        <f ca="1">OFFSET(Future_DAOpexStart,MATCH($K$1,'I-5 Future DA'!$A$6:$A$222)+6,+'I-5 Future DA'!F$5)</f>
        <v>0.442</v>
      </c>
      <c r="F12" s="285">
        <f ca="1">OFFSET(Future_DAOpexStart,MATCH($K$1,'I-5 Future DA'!$A$6:$A$222)+6,+'I-5 Future DA'!G$5)</f>
        <v>0.442</v>
      </c>
      <c r="G12" s="285">
        <f ca="1">OFFSET(Future_DAOpexStart,MATCH($K$1,'I-5 Future DA'!$A$6:$A$222)+6,+'I-5 Future DA'!H$5)</f>
        <v>0.442</v>
      </c>
      <c r="H12" s="285">
        <f ca="1">OFFSET(Future_DAOpexStart,MATCH($K$1,'I-5 Future DA'!$A$6:$A$222)+6,+'I-5 Future DA'!I$5)</f>
        <v>0.442</v>
      </c>
      <c r="I12" s="285">
        <f ca="1">OFFSET(Future_DAOpexStart,MATCH($K$1,'I-5 Future DA'!$A$6:$A$222)+6,+'I-5 Future DA'!J$5)</f>
        <v>0.442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6.160000000000001</v>
      </c>
      <c r="E14" s="287">
        <f t="shared" ca="1" si="0"/>
        <v>6.160000000000001</v>
      </c>
      <c r="F14" s="287">
        <f t="shared" ca="1" si="0"/>
        <v>6.160000000000001</v>
      </c>
      <c r="G14" s="287">
        <f t="shared" ca="1" si="0"/>
        <v>6.160000000000001</v>
      </c>
      <c r="H14" s="287">
        <f t="shared" ca="1" si="0"/>
        <v>6.160000000000001</v>
      </c>
      <c r="I14" s="287">
        <f t="shared" ca="1" si="0"/>
        <v>6.160000000000001</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0.14899999999999999</v>
      </c>
      <c r="F19" s="285">
        <f t="shared" si="1"/>
        <v>0.53100000000000003</v>
      </c>
      <c r="G19" s="285">
        <f t="shared" si="1"/>
        <v>0.61599999999999999</v>
      </c>
      <c r="H19" s="285">
        <f t="shared" si="1"/>
        <v>0.51100000000000001</v>
      </c>
      <c r="I19" s="285">
        <f t="shared" si="1"/>
        <v>0.54500000000000004</v>
      </c>
      <c r="J19" s="42"/>
      <c r="K19" s="21"/>
      <c r="L19" s="21"/>
    </row>
    <row r="20" spans="1:12" outlineLevel="1">
      <c r="A20" s="61" t="s">
        <v>69</v>
      </c>
      <c r="B20" s="289"/>
      <c r="C20" s="285">
        <f t="shared" si="1"/>
        <v>0</v>
      </c>
      <c r="D20" s="285">
        <f t="shared" si="1"/>
        <v>0</v>
      </c>
      <c r="E20" s="285">
        <f t="shared" si="1"/>
        <v>0</v>
      </c>
      <c r="F20" s="285">
        <f t="shared" si="1"/>
        <v>2.4E-2</v>
      </c>
      <c r="G20" s="285">
        <f t="shared" si="1"/>
        <v>2.5000000000000001E-2</v>
      </c>
      <c r="H20" s="285">
        <f t="shared" si="1"/>
        <v>3.5999999999999997E-2</v>
      </c>
      <c r="I20" s="285">
        <f t="shared" si="1"/>
        <v>2.9000000000000001E-2</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2.1999999999999999E-2</v>
      </c>
      <c r="F22" s="285">
        <f t="shared" si="3"/>
        <v>6.7949999999999999</v>
      </c>
      <c r="G22" s="285">
        <f t="shared" si="3"/>
        <v>1.962</v>
      </c>
      <c r="H22" s="285">
        <f t="shared" si="3"/>
        <v>2.056</v>
      </c>
      <c r="I22" s="285">
        <f t="shared" si="3"/>
        <v>2.0299999999999998</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0.17099999999999999</v>
      </c>
      <c r="F25" s="287">
        <f t="shared" si="6"/>
        <v>7.35</v>
      </c>
      <c r="G25" s="287">
        <f t="shared" si="6"/>
        <v>2.6029999999999998</v>
      </c>
      <c r="H25" s="287">
        <f t="shared" si="6"/>
        <v>2.6030000000000002</v>
      </c>
      <c r="I25" s="287">
        <f t="shared" si="6"/>
        <v>2.6040000000000001</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+'DA-8'!B8+'DA-8'!B19</f>
        <v>0</v>
      </c>
      <c r="C30" s="285">
        <f ca="1">+'DA-8'!C8+'DA-8'!C19</f>
        <v>0</v>
      </c>
      <c r="D30" s="285">
        <f ca="1">+'DA-8'!D8+'DA-8'!D19</f>
        <v>1.8640000000000003</v>
      </c>
      <c r="E30" s="285">
        <f ca="1">+'DA-8'!E8+'DA-8'!E19</f>
        <v>2.0130000000000003</v>
      </c>
      <c r="F30" s="285">
        <f ca="1">+'DA-8'!F8+'DA-8'!F19</f>
        <v>2.3950000000000005</v>
      </c>
      <c r="G30" s="285">
        <f ca="1">+'DA-8'!G8+'DA-8'!G19</f>
        <v>2.4800000000000004</v>
      </c>
      <c r="H30" s="285">
        <f ca="1">+'DA-8'!H8+'DA-8'!H19</f>
        <v>2.3750000000000004</v>
      </c>
      <c r="I30" s="285">
        <f ca="1">+'DA-8'!I8+'DA-8'!I19</f>
        <v>2.4090000000000003</v>
      </c>
      <c r="J30" s="42"/>
      <c r="K30" s="21"/>
      <c r="L30" s="21"/>
    </row>
    <row r="31" spans="1:12" outlineLevel="2">
      <c r="A31" s="61" t="s">
        <v>69</v>
      </c>
      <c r="B31" s="285">
        <f ca="1">+'DA-8'!B9+'DA-8'!B20</f>
        <v>0</v>
      </c>
      <c r="C31" s="285">
        <f ca="1">+'DA-8'!C9+'DA-8'!C20</f>
        <v>0</v>
      </c>
      <c r="D31" s="285">
        <f ca="1">+'DA-8'!D9+'DA-8'!D20</f>
        <v>0.11199999999999999</v>
      </c>
      <c r="E31" s="285">
        <f ca="1">+'DA-8'!E9+'DA-8'!E20</f>
        <v>0.11199999999999999</v>
      </c>
      <c r="F31" s="285">
        <f ca="1">+'DA-8'!F9+'DA-8'!F20</f>
        <v>0.13599999999999998</v>
      </c>
      <c r="G31" s="285">
        <f ca="1">+'DA-8'!G9+'DA-8'!G20</f>
        <v>0.13699999999999998</v>
      </c>
      <c r="H31" s="285">
        <f ca="1">+'DA-8'!H9+'DA-8'!H20</f>
        <v>0.14799999999999999</v>
      </c>
      <c r="I31" s="285">
        <f ca="1">+'DA-8'!I9+'DA-8'!I20</f>
        <v>0.14099999999999999</v>
      </c>
      <c r="J31" s="42"/>
      <c r="K31" s="21"/>
      <c r="L31" s="21"/>
    </row>
    <row r="32" spans="1:12" s="759" customFormat="1" outlineLevel="2">
      <c r="A32" s="61" t="s">
        <v>646</v>
      </c>
      <c r="B32" s="285">
        <f ca="1">+'DA-8'!B10+'DA-8'!B21</f>
        <v>0</v>
      </c>
      <c r="C32" s="285">
        <f ca="1">+'DA-8'!C10+'DA-8'!C21</f>
        <v>0</v>
      </c>
      <c r="D32" s="285">
        <f ca="1">+'DA-8'!D10+'DA-8'!D21</f>
        <v>3.375</v>
      </c>
      <c r="E32" s="285">
        <f ca="1">+'DA-8'!E10+'DA-8'!E21</f>
        <v>3.375</v>
      </c>
      <c r="F32" s="285">
        <f ca="1">+'DA-8'!F10+'DA-8'!F21</f>
        <v>3.375</v>
      </c>
      <c r="G32" s="285">
        <f ca="1">+'DA-8'!G10+'DA-8'!G21</f>
        <v>3.375</v>
      </c>
      <c r="H32" s="285">
        <f ca="1">+'DA-8'!H10+'DA-8'!H21</f>
        <v>3.375</v>
      </c>
      <c r="I32" s="285">
        <f ca="1">+'DA-8'!I10+'DA-8'!I21</f>
        <v>3.375</v>
      </c>
      <c r="J32" s="42"/>
      <c r="K32" s="732"/>
      <c r="L32" s="732"/>
    </row>
    <row r="33" spans="1:12" outlineLevel="2">
      <c r="A33" s="61" t="s">
        <v>647</v>
      </c>
      <c r="B33" s="285">
        <f ca="1">+'DA-8'!B11+'DA-8'!B22</f>
        <v>0</v>
      </c>
      <c r="C33" s="285">
        <f ca="1">+'DA-8'!C11+'DA-8'!C22</f>
        <v>0</v>
      </c>
      <c r="D33" s="285">
        <f ca="1">+'DA-8'!D11+'DA-8'!D22</f>
        <v>0.36700000000000005</v>
      </c>
      <c r="E33" s="285">
        <f ca="1">+'DA-8'!E11+'DA-8'!E22</f>
        <v>0.38900000000000007</v>
      </c>
      <c r="F33" s="285">
        <f ca="1">+'DA-8'!F11+'DA-8'!F22</f>
        <v>7.1619999999999999</v>
      </c>
      <c r="G33" s="285">
        <f ca="1">+'DA-8'!G11+'DA-8'!G22</f>
        <v>2.3290000000000002</v>
      </c>
      <c r="H33" s="285">
        <f ca="1">+'DA-8'!H11+'DA-8'!H22</f>
        <v>2.423</v>
      </c>
      <c r="I33" s="285">
        <f ca="1">+'DA-8'!I11+'DA-8'!I22</f>
        <v>2.3969999999999998</v>
      </c>
      <c r="J33" s="42"/>
      <c r="K33" s="21"/>
      <c r="L33" s="21"/>
    </row>
    <row r="34" spans="1:12" s="759" customFormat="1" outlineLevel="2">
      <c r="A34" s="61" t="s">
        <v>575</v>
      </c>
      <c r="B34" s="285">
        <f ca="1">+'DA-8'!B12+'DA-8'!B23</f>
        <v>0</v>
      </c>
      <c r="C34" s="285">
        <f ca="1">+'DA-8'!C12+'DA-8'!C23</f>
        <v>0</v>
      </c>
      <c r="D34" s="285">
        <f ca="1">+'DA-8'!D12+'DA-8'!D23</f>
        <v>0.442</v>
      </c>
      <c r="E34" s="285">
        <f ca="1">+'DA-8'!E12+'DA-8'!E23</f>
        <v>0.442</v>
      </c>
      <c r="F34" s="285">
        <f ca="1">+'DA-8'!F12+'DA-8'!F23</f>
        <v>0.442</v>
      </c>
      <c r="G34" s="285">
        <f ca="1">+'DA-8'!G12+'DA-8'!G23</f>
        <v>0.442</v>
      </c>
      <c r="H34" s="285">
        <f ca="1">+'DA-8'!H12+'DA-8'!H23</f>
        <v>0.442</v>
      </c>
      <c r="I34" s="285">
        <f ca="1">+'DA-8'!I12+'DA-8'!I23</f>
        <v>0.442</v>
      </c>
      <c r="J34" s="42"/>
      <c r="K34" s="732"/>
      <c r="L34" s="732"/>
    </row>
    <row r="35" spans="1:12" ht="13.5" outlineLevel="2" thickBot="1">
      <c r="A35" s="83" t="s">
        <v>70</v>
      </c>
      <c r="B35" s="285">
        <f ca="1">+'DA-8'!B13+'DA-8'!B24</f>
        <v>0</v>
      </c>
      <c r="C35" s="285">
        <f ca="1">+'DA-8'!C13+'DA-8'!C24</f>
        <v>0</v>
      </c>
      <c r="D35" s="285">
        <f ca="1">+'DA-8'!D13+'DA-8'!D24</f>
        <v>0</v>
      </c>
      <c r="E35" s="285">
        <f ca="1">+'DA-8'!E13+'DA-8'!E24</f>
        <v>0</v>
      </c>
      <c r="F35" s="285">
        <f ca="1">+'DA-8'!F13+'DA-8'!F24</f>
        <v>0</v>
      </c>
      <c r="G35" s="285">
        <f ca="1">+'DA-8'!G13+'DA-8'!G24</f>
        <v>0</v>
      </c>
      <c r="H35" s="285">
        <f ca="1">+'DA-8'!H13+'DA-8'!H24</f>
        <v>0</v>
      </c>
      <c r="I35" s="285">
        <f ca="1">+'DA-8'!I13+'DA-8'!I24</f>
        <v>0</v>
      </c>
      <c r="J35" s="93"/>
      <c r="K35" s="21"/>
      <c r="L35" s="21"/>
    </row>
    <row r="36" spans="1:12" s="87" customFormat="1" ht="20.25" customHeight="1" thickBot="1">
      <c r="A36" s="94" t="s">
        <v>128</v>
      </c>
      <c r="B36" s="294">
        <f t="shared" ref="B36:I36" ca="1" si="7">SUM(B30:B35)</f>
        <v>0</v>
      </c>
      <c r="C36" s="294">
        <f t="shared" ca="1" si="7"/>
        <v>0</v>
      </c>
      <c r="D36" s="294">
        <f t="shared" ca="1" si="7"/>
        <v>6.160000000000001</v>
      </c>
      <c r="E36" s="294">
        <f t="shared" ca="1" si="7"/>
        <v>6.3310000000000004</v>
      </c>
      <c r="F36" s="294">
        <f t="shared" ca="1" si="7"/>
        <v>13.510000000000002</v>
      </c>
      <c r="G36" s="294">
        <f t="shared" ca="1" si="7"/>
        <v>8.7630000000000017</v>
      </c>
      <c r="H36" s="294">
        <f t="shared" ca="1" si="7"/>
        <v>8.7630000000000017</v>
      </c>
      <c r="I36" s="294">
        <f t="shared" ca="1" si="7"/>
        <v>8.7640000000000011</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1.977696223622227E-2</v>
      </c>
      <c r="F42" s="285">
        <f t="shared" ca="1" si="8"/>
        <v>3.8102014910412305E-2</v>
      </c>
      <c r="G42" s="285">
        <f t="shared" ca="1" si="8"/>
        <v>5.6216125993260778E-2</v>
      </c>
      <c r="H42" s="285">
        <f t="shared" ca="1" si="8"/>
        <v>7.5868481673999982E-2</v>
      </c>
      <c r="I42" s="285">
        <f t="shared" ca="1" si="8"/>
        <v>9.3870186556416352E-2</v>
      </c>
      <c r="K42" s="63"/>
      <c r="L42" s="63"/>
    </row>
    <row r="43" spans="1:12" outlineLevel="1">
      <c r="A43" s="61" t="s">
        <v>69</v>
      </c>
      <c r="B43" s="82"/>
      <c r="C43" s="285">
        <f t="shared" ca="1" si="8"/>
        <v>0</v>
      </c>
      <c r="D43" s="285">
        <f t="shared" ca="1" si="8"/>
        <v>0</v>
      </c>
      <c r="E43" s="285">
        <f t="shared" ca="1" si="8"/>
        <v>1.1883153274983335E-3</v>
      </c>
      <c r="F43" s="285">
        <f t="shared" ca="1" si="8"/>
        <v>2.2893914538445158E-3</v>
      </c>
      <c r="G43" s="285">
        <f t="shared" ca="1" si="8"/>
        <v>3.3777929781358398E-3</v>
      </c>
      <c r="H43" s="285">
        <f t="shared" ca="1" si="8"/>
        <v>4.5586212164635169E-3</v>
      </c>
      <c r="I43" s="285">
        <f t="shared" ca="1" si="8"/>
        <v>5.6402687201280192E-3</v>
      </c>
      <c r="K43" s="42"/>
      <c r="L43" s="21"/>
    </row>
    <row r="44" spans="1:12" s="759" customFormat="1" outlineLevel="1">
      <c r="A44" s="61" t="s">
        <v>646</v>
      </c>
      <c r="B44" s="82"/>
      <c r="C44" s="285">
        <f t="shared" ref="C44:I44" ca="1" si="9">+C100</f>
        <v>0</v>
      </c>
      <c r="D44" s="285">
        <f t="shared" ca="1" si="9"/>
        <v>0</v>
      </c>
      <c r="E44" s="285">
        <f t="shared" ca="1" si="9"/>
        <v>3.5808609199168534E-2</v>
      </c>
      <c r="F44" s="285">
        <f t="shared" ca="1" si="9"/>
        <v>6.8988358542189654E-2</v>
      </c>
      <c r="G44" s="285">
        <f t="shared" ca="1" si="9"/>
        <v>0.1017861723322184</v>
      </c>
      <c r="H44" s="285">
        <f t="shared" ca="1" si="9"/>
        <v>0.13736916612111047</v>
      </c>
      <c r="I44" s="285">
        <f t="shared" ca="1" si="9"/>
        <v>0.16996345473600061</v>
      </c>
      <c r="K44" s="42"/>
      <c r="L44" s="732"/>
    </row>
    <row r="45" spans="1:12" outlineLevel="1">
      <c r="A45" s="61" t="s">
        <v>647</v>
      </c>
      <c r="B45" s="82"/>
      <c r="C45" s="285">
        <f t="shared" ref="C45:I45" ca="1" si="10">+C101</f>
        <v>0</v>
      </c>
      <c r="D45" s="285">
        <f t="shared" ca="1" si="10"/>
        <v>0</v>
      </c>
      <c r="E45" s="285">
        <f t="shared" ca="1" si="10"/>
        <v>3.8938546892132902E-3</v>
      </c>
      <c r="F45" s="285">
        <f t="shared" ca="1" si="10"/>
        <v>7.5018452103655132E-3</v>
      </c>
      <c r="G45" s="285">
        <f t="shared" ca="1" si="10"/>
        <v>1.1068303776570121E-2</v>
      </c>
      <c r="H45" s="285">
        <f t="shared" ca="1" si="10"/>
        <v>1.4937624878947422E-2</v>
      </c>
      <c r="I45" s="285">
        <f t="shared" ca="1" si="10"/>
        <v>1.8481951966848067E-2</v>
      </c>
      <c r="K45" s="42"/>
      <c r="L45" s="21"/>
    </row>
    <row r="46" spans="1:12" s="759" customFormat="1" outlineLevel="1">
      <c r="A46" s="61" t="s">
        <v>575</v>
      </c>
      <c r="B46" s="82"/>
      <c r="C46" s="285">
        <f t="shared" ref="C46:I46" ca="1" si="11">+C102</f>
        <v>0</v>
      </c>
      <c r="D46" s="285">
        <f t="shared" ca="1" si="11"/>
        <v>0</v>
      </c>
      <c r="E46" s="285">
        <f t="shared" ca="1" si="11"/>
        <v>4.6896015603059239E-3</v>
      </c>
      <c r="F46" s="285">
        <f t="shared" ca="1" si="11"/>
        <v>9.0349198446363927E-3</v>
      </c>
      <c r="G46" s="285">
        <f t="shared" ca="1" si="11"/>
        <v>1.3330218717286084E-2</v>
      </c>
      <c r="H46" s="285">
        <f t="shared" ca="1" si="11"/>
        <v>1.7990273014972098E-2</v>
      </c>
      <c r="I46" s="285">
        <f t="shared" ca="1" si="11"/>
        <v>2.2258917627648079E-2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6.535734301240835E-2</v>
      </c>
      <c r="F48" s="294">
        <f t="shared" ca="1" si="13"/>
        <v>0.12591652996144839</v>
      </c>
      <c r="G48" s="294">
        <f t="shared" ca="1" si="13"/>
        <v>0.18577861379747124</v>
      </c>
      <c r="H48" s="294">
        <f t="shared" ca="1" si="13"/>
        <v>0.25072416690549348</v>
      </c>
      <c r="I48" s="294">
        <f t="shared" ca="1" si="13"/>
        <v>0.31021477960704108</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4.0422021823410988E-2</v>
      </c>
      <c r="F53" s="285">
        <f t="shared" ca="1" si="14"/>
        <v>8.2506292389763883E-2</v>
      </c>
      <c r="G53" s="285">
        <f t="shared" ca="1" si="14"/>
        <v>0.12863890900766764</v>
      </c>
      <c r="H53" s="285">
        <f t="shared" ca="1" si="14"/>
        <v>0.17680332440864888</v>
      </c>
      <c r="I53" s="285">
        <f t="shared" ca="1" si="14"/>
        <v>0.22679682523451741</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1.705404304599548E-2</v>
      </c>
      <c r="F55" s="285">
        <f t="shared" ca="1" si="15"/>
        <v>3.452598329438452E-2</v>
      </c>
      <c r="G55" s="285">
        <f t="shared" ca="1" si="15"/>
        <v>6.6459549961017439E-2</v>
      </c>
      <c r="H55" s="285">
        <f t="shared" ca="1" si="15"/>
        <v>0.10472457027011892</v>
      </c>
      <c r="I55" s="285">
        <f t="shared" ca="1" si="15"/>
        <v>0.15132964763375445</v>
      </c>
      <c r="K55" s="42"/>
      <c r="L55" s="732"/>
    </row>
    <row r="56" spans="1:12" outlineLevel="1">
      <c r="A56" s="61" t="s">
        <v>647</v>
      </c>
      <c r="B56" s="285"/>
      <c r="C56" s="285">
        <f t="shared" ref="C56:I56" ca="1" si="16">+C137</f>
        <v>0</v>
      </c>
      <c r="D56" s="285">
        <f t="shared" ca="1" si="16"/>
        <v>0</v>
      </c>
      <c r="E56" s="285">
        <f t="shared" ca="1" si="16"/>
        <v>1.854469273446027E-3</v>
      </c>
      <c r="F56" s="285">
        <f t="shared" ca="1" si="16"/>
        <v>3.7543809982338132E-3</v>
      </c>
      <c r="G56" s="285">
        <f t="shared" ca="1" si="16"/>
        <v>7.2268606920573054E-3</v>
      </c>
      <c r="H56" s="285">
        <f t="shared" ca="1" si="16"/>
        <v>1.1387827344928488E-2</v>
      </c>
      <c r="I56" s="285">
        <f t="shared" ca="1" si="16"/>
        <v>1.6455697979729747E-2</v>
      </c>
      <c r="K56" s="42"/>
      <c r="L56" s="21"/>
    </row>
    <row r="57" spans="1:12" s="759" customFormat="1" outlineLevel="1">
      <c r="A57" s="61" t="s">
        <v>575</v>
      </c>
      <c r="B57" s="285"/>
      <c r="C57" s="285">
        <f t="shared" ref="C57:I57" ca="1" si="17">+C138</f>
        <v>0</v>
      </c>
      <c r="D57" s="285">
        <f t="shared" ca="1" si="17"/>
        <v>0</v>
      </c>
      <c r="E57" s="285">
        <f t="shared" ca="1" si="17"/>
        <v>9.5850502392423025E-3</v>
      </c>
      <c r="F57" s="285">
        <f t="shared" ca="1" si="17"/>
        <v>1.9564260319890357E-2</v>
      </c>
      <c r="G57" s="285">
        <f t="shared" ca="1" si="17"/>
        <v>3.0503432286152942E-2</v>
      </c>
      <c r="H57" s="285">
        <f t="shared" ca="1" si="17"/>
        <v>4.1924393448831962E-2</v>
      </c>
      <c r="I57" s="285">
        <f t="shared" ca="1" si="17"/>
        <v>5.3779075511618389E-2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6.8915584382094802E-2</v>
      </c>
      <c r="F59" s="287">
        <f t="shared" ca="1" si="19"/>
        <v>0.14035091700227256</v>
      </c>
      <c r="G59" s="287">
        <f t="shared" ca="1" si="19"/>
        <v>0.23282875194689531</v>
      </c>
      <c r="H59" s="287">
        <f t="shared" ca="1" si="19"/>
        <v>0.33484011547252829</v>
      </c>
      <c r="I59" s="287">
        <f t="shared" ca="1" si="19"/>
        <v>0.44836124635961994</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1.8640000000000003</v>
      </c>
      <c r="E64" s="285">
        <f t="shared" ca="1" si="20"/>
        <v>2.0731989840596334</v>
      </c>
      <c r="F64" s="285">
        <f t="shared" ca="1" si="20"/>
        <v>2.5156083073001767</v>
      </c>
      <c r="G64" s="285">
        <f t="shared" ca="1" si="20"/>
        <v>2.664855035000929</v>
      </c>
      <c r="H64" s="285">
        <f t="shared" ca="1" si="20"/>
        <v>2.6276718060826494</v>
      </c>
      <c r="I64" s="285">
        <f t="shared" ca="1" si="20"/>
        <v>2.7296670117909341</v>
      </c>
      <c r="K64" s="63"/>
      <c r="L64" s="63"/>
    </row>
    <row r="65" spans="1:21" ht="12.75" customHeight="1" outlineLevel="1">
      <c r="A65" s="61" t="s">
        <v>69</v>
      </c>
      <c r="B65" s="285">
        <f t="shared" ca="1" si="20"/>
        <v>0</v>
      </c>
      <c r="C65" s="285">
        <f t="shared" ca="1" si="20"/>
        <v>0</v>
      </c>
      <c r="D65" s="285">
        <f t="shared" ca="1" si="20"/>
        <v>0.11199999999999999</v>
      </c>
      <c r="E65" s="285">
        <f t="shared" ca="1" si="20"/>
        <v>0.11318831532749832</v>
      </c>
      <c r="F65" s="285">
        <f t="shared" ca="1" si="20"/>
        <v>0.1382893914538445</v>
      </c>
      <c r="G65" s="285">
        <f t="shared" ca="1" si="20"/>
        <v>0.14037779297813582</v>
      </c>
      <c r="H65" s="285">
        <f t="shared" ca="1" si="20"/>
        <v>0.15255862121646352</v>
      </c>
      <c r="I65" s="285">
        <f t="shared" ca="1" si="20"/>
        <v>0.146640268720128</v>
      </c>
      <c r="K65" s="42"/>
      <c r="L65" s="21"/>
    </row>
    <row r="66" spans="1:21" s="759" customFormat="1" ht="12.75" customHeight="1" outlineLevel="1">
      <c r="A66" s="61" t="s">
        <v>646</v>
      </c>
      <c r="B66" s="285">
        <f t="shared" ref="B66:I66" ca="1" si="21">+B44+B32+B55</f>
        <v>0</v>
      </c>
      <c r="C66" s="285">
        <f t="shared" ca="1" si="21"/>
        <v>0</v>
      </c>
      <c r="D66" s="285">
        <f t="shared" ca="1" si="21"/>
        <v>3.375</v>
      </c>
      <c r="E66" s="285">
        <f t="shared" ca="1" si="21"/>
        <v>3.4278626522451643</v>
      </c>
      <c r="F66" s="285">
        <f t="shared" ca="1" si="21"/>
        <v>3.4785143418365743</v>
      </c>
      <c r="G66" s="285">
        <f t="shared" ca="1" si="21"/>
        <v>3.5432457222932356</v>
      </c>
      <c r="H66" s="285">
        <f t="shared" ca="1" si="21"/>
        <v>3.617093736391229</v>
      </c>
      <c r="I66" s="285">
        <f t="shared" ca="1" si="21"/>
        <v>3.6962931023697552</v>
      </c>
      <c r="K66" s="42"/>
      <c r="L66" s="732"/>
    </row>
    <row r="67" spans="1:21" ht="12.75" customHeight="1" outlineLevel="1">
      <c r="A67" s="61" t="s">
        <v>647</v>
      </c>
      <c r="B67" s="285">
        <f t="shared" ref="B67:I67" ca="1" si="22">+B45+B33+B56</f>
        <v>0</v>
      </c>
      <c r="C67" s="285">
        <f t="shared" ca="1" si="22"/>
        <v>0</v>
      </c>
      <c r="D67" s="285">
        <f t="shared" ca="1" si="22"/>
        <v>0.36700000000000005</v>
      </c>
      <c r="E67" s="285">
        <f t="shared" ca="1" si="22"/>
        <v>0.39474832396265935</v>
      </c>
      <c r="F67" s="285">
        <f t="shared" ca="1" si="22"/>
        <v>7.1732562262085988</v>
      </c>
      <c r="G67" s="285">
        <f t="shared" ca="1" si="22"/>
        <v>2.3472951644686275</v>
      </c>
      <c r="H67" s="285">
        <f t="shared" ca="1" si="22"/>
        <v>2.4493254522238761</v>
      </c>
      <c r="I67" s="285">
        <f t="shared" ca="1" si="22"/>
        <v>2.4319376499465775</v>
      </c>
      <c r="K67" s="42"/>
      <c r="L67" s="21"/>
    </row>
    <row r="68" spans="1:21" s="759" customFormat="1" ht="12.75" customHeight="1" outlineLevel="1">
      <c r="A68" s="61" t="s">
        <v>575</v>
      </c>
      <c r="B68" s="285">
        <f t="shared" ref="B68:I68" ca="1" si="23">+B46+B34+B57</f>
        <v>0</v>
      </c>
      <c r="C68" s="285">
        <f t="shared" ca="1" si="23"/>
        <v>0</v>
      </c>
      <c r="D68" s="285">
        <f t="shared" ca="1" si="23"/>
        <v>0.442</v>
      </c>
      <c r="E68" s="285">
        <f t="shared" ca="1" si="23"/>
        <v>0.45627465179954818</v>
      </c>
      <c r="F68" s="285">
        <f t="shared" ca="1" si="23"/>
        <v>0.47059918016452673</v>
      </c>
      <c r="G68" s="285">
        <f t="shared" ca="1" si="23"/>
        <v>0.485833651003439</v>
      </c>
      <c r="H68" s="285">
        <f t="shared" ca="1" si="23"/>
        <v>0.501914666463804</v>
      </c>
      <c r="I68" s="285">
        <f t="shared" ca="1" si="23"/>
        <v>0.51803799313926646</v>
      </c>
      <c r="K68" s="42"/>
      <c r="L68" s="732"/>
    </row>
    <row r="69" spans="1:21"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1" s="87" customFormat="1" ht="18" customHeight="1" thickBot="1">
      <c r="A70" s="99" t="s">
        <v>129</v>
      </c>
      <c r="B70" s="295">
        <f t="shared" ref="B70:I70" ca="1" si="25">SUM(B64:B69)</f>
        <v>0</v>
      </c>
      <c r="C70" s="295">
        <f t="shared" ca="1" si="25"/>
        <v>0</v>
      </c>
      <c r="D70" s="295">
        <f t="shared" ca="1" si="25"/>
        <v>6.160000000000001</v>
      </c>
      <c r="E70" s="295">
        <f t="shared" ca="1" si="25"/>
        <v>6.4652729273945031</v>
      </c>
      <c r="F70" s="295">
        <f t="shared" ca="1" si="25"/>
        <v>13.776267446963722</v>
      </c>
      <c r="G70" s="295">
        <f t="shared" ca="1" si="25"/>
        <v>9.1816073657443678</v>
      </c>
      <c r="H70" s="295">
        <f t="shared" ca="1" si="25"/>
        <v>9.3485642823780228</v>
      </c>
      <c r="I70" s="295">
        <f t="shared" ca="1" si="25"/>
        <v>9.5225760259666608</v>
      </c>
      <c r="J70" s="91" t="str">
        <f ca="1">IF(ROUND(SUM(B48:I48)+SUM(B36:I36)+SUM(B59:I59)-SUM(B70:I70),3)&lt;&gt;0,"Warning Check Totals","OK")</f>
        <v>OK</v>
      </c>
      <c r="L70" s="86"/>
    </row>
    <row r="71" spans="1:21">
      <c r="A71" s="88"/>
      <c r="B71" s="89"/>
      <c r="C71" s="89"/>
      <c r="D71" s="89"/>
      <c r="E71" s="89"/>
      <c r="F71" s="89"/>
      <c r="G71" s="89"/>
      <c r="H71" s="89"/>
      <c r="I71" s="89"/>
      <c r="J71" s="100"/>
    </row>
    <row r="72" spans="1:21">
      <c r="A72" s="92"/>
      <c r="B72" s="95"/>
      <c r="C72" s="95"/>
      <c r="D72" s="95"/>
      <c r="E72" s="95"/>
      <c r="F72" s="95"/>
      <c r="G72" s="95"/>
      <c r="H72" s="95"/>
      <c r="I72" s="95"/>
      <c r="J72" s="100"/>
    </row>
    <row r="73" spans="1:21"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1" ht="13.5" outlineLevel="1" thickBot="1">
      <c r="A74" s="208" t="s">
        <v>132</v>
      </c>
      <c r="B74" s="209"/>
      <c r="C74" s="209"/>
      <c r="D74" s="209"/>
      <c r="E74" s="209"/>
      <c r="F74" s="209"/>
      <c r="G74" s="209"/>
      <c r="H74" s="209"/>
      <c r="I74" s="210"/>
      <c r="J74" s="211" t="s">
        <v>133</v>
      </c>
      <c r="K74" s="211" t="s">
        <v>134</v>
      </c>
      <c r="N74" s="410" t="s">
        <v>376</v>
      </c>
    </row>
    <row r="75" spans="1:21"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1"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1" outlineLevel="1">
      <c r="A77" s="101" t="s">
        <v>714</v>
      </c>
      <c r="B77" s="102" t="s">
        <v>68</v>
      </c>
      <c r="C77" s="103"/>
      <c r="D77" s="103">
        <f t="shared" ref="D77:I79" si="27">IF($K77="No",0,IF($J77="one-off",VLOOKUP($A77,Escalations_Specific_Costs,+D$73,FALSE),(VLOOKUP($A77,Escalations_Specific_Costs,+D$73,FALSE)+1)*(1+C77)-1))</f>
        <v>0</v>
      </c>
      <c r="E77" s="103">
        <f t="shared" si="27"/>
        <v>1.0609958281235121E-2</v>
      </c>
      <c r="F77" s="103">
        <f t="shared" si="27"/>
        <v>2.0440995123611749E-2</v>
      </c>
      <c r="G77" s="103">
        <f t="shared" si="27"/>
        <v>3.0158865876212859E-2</v>
      </c>
      <c r="H77" s="103">
        <f t="shared" si="27"/>
        <v>4.0701975146995695E-2</v>
      </c>
      <c r="I77" s="104">
        <f t="shared" si="27"/>
        <v>5.035954214400018E-2</v>
      </c>
      <c r="J77" s="105" t="str">
        <f t="shared" ref="J77" si="28">IF(ISNA(VLOOKUP($A77,Escalations_Specific_Costs,+I$73+3,FALSE)),0,VLOOKUP($A77,Escalations_Specific_Costs,+I$73+3,FALSE))</f>
        <v>Cumulative</v>
      </c>
      <c r="K77" s="106" t="str">
        <f t="shared" ref="K77:K82" si="29">IF(ISNA(VLOOKUP($A77,Escalations_Specific_Costs,1,FALSE)),"No","Yes")</f>
        <v>Yes</v>
      </c>
      <c r="M77" s="103"/>
      <c r="N77" s="285">
        <f ca="1">IF($B77&lt;&gt;0,(+VLOOKUP($B77,$A$8:$I$13,3,FALSE))*(C77),0)</f>
        <v>0</v>
      </c>
      <c r="O77" s="285">
        <f ca="1">IF($B77&lt;&gt;0,(+VLOOKUP($B77,$A$8:$I$13,4,FALSE))*(D77),0)</f>
        <v>0</v>
      </c>
      <c r="P77" s="285">
        <f ca="1">IF($B77&lt;&gt;0,(+VLOOKUP($B77,$A$8:$I$13,5,FALSE))*(E77),0)</f>
        <v>1.977696223622227E-2</v>
      </c>
      <c r="Q77" s="285">
        <f ca="1">IF($B77&lt;&gt;0,(+VLOOKUP($B77,$A$8:$I$13,6,FALSE))*(F77),0)</f>
        <v>3.8102014910412305E-2</v>
      </c>
      <c r="R77" s="285">
        <f ca="1">IF($B77&lt;&gt;0,(+VLOOKUP($B77,$A$8:$I$13,7,FALSE))*(G77),0)</f>
        <v>5.6216125993260778E-2</v>
      </c>
      <c r="S77" s="285">
        <f ca="1">IF($B77&lt;&gt;0,(+VLOOKUP($B77,$A$8:$I$13,8,FALSE))*(H77),0)</f>
        <v>7.5868481673999982E-2</v>
      </c>
      <c r="T77" s="285">
        <f ca="1">IF($B77&lt;&gt;0,(+VLOOKUP($B77,$A$8:$I$13,9,FALSE))*(I77),0)</f>
        <v>9.3870186556416352E-2</v>
      </c>
    </row>
    <row r="78" spans="1:21" outlineLevel="1">
      <c r="A78" s="101" t="s">
        <v>714</v>
      </c>
      <c r="B78" s="102" t="s">
        <v>69</v>
      </c>
      <c r="C78" s="103"/>
      <c r="D78" s="103">
        <f t="shared" si="27"/>
        <v>0</v>
      </c>
      <c r="E78" s="103">
        <f t="shared" si="27"/>
        <v>1.0609958281235121E-2</v>
      </c>
      <c r="F78" s="103">
        <f t="shared" si="27"/>
        <v>2.0440995123611749E-2</v>
      </c>
      <c r="G78" s="103">
        <f t="shared" si="27"/>
        <v>3.0158865876212859E-2</v>
      </c>
      <c r="H78" s="103">
        <f t="shared" si="27"/>
        <v>4.0701975146995695E-2</v>
      </c>
      <c r="I78" s="104">
        <f t="shared" si="27"/>
        <v>5.035954214400018E-2</v>
      </c>
      <c r="J78" s="105" t="str">
        <f t="shared" ref="J78:J79" si="30">IF(ISNA(VLOOKUP($A78,Escalations_Specific_Costs,+I$73+3,FALSE)),0,VLOOKUP($A78,Escalations_Specific_Costs,+I$73+3,FALSE))</f>
        <v>Cumulative</v>
      </c>
      <c r="K78" s="106" t="str">
        <f t="shared" si="29"/>
        <v>Yes</v>
      </c>
      <c r="M78" s="103"/>
      <c r="N78" s="285">
        <f ca="1">IF($B78&lt;&gt;0,(+VLOOKUP($B78,$A$8:$I$13,3,FALSE))*(C78),0)</f>
        <v>0</v>
      </c>
      <c r="O78" s="285">
        <f ca="1">IF($B78&lt;&gt;0,(+VLOOKUP($B78,$A$8:$I$13,4,FALSE))*(D78),0)</f>
        <v>0</v>
      </c>
      <c r="P78" s="285">
        <f ca="1">IF($B78&lt;&gt;0,(+VLOOKUP($B78,$A$8:$I$13,5,FALSE))*(E78),0)</f>
        <v>1.1883153274983335E-3</v>
      </c>
      <c r="Q78" s="285">
        <f ca="1">IF($B78&lt;&gt;0,(+VLOOKUP($B78,$A$8:$I$13,6,FALSE))*(F78),0)</f>
        <v>2.2893914538445158E-3</v>
      </c>
      <c r="R78" s="285">
        <f ca="1">IF($B78&lt;&gt;0,(+VLOOKUP($B78,$A$8:$I$13,7,FALSE))*(G78),0)</f>
        <v>3.3777929781358398E-3</v>
      </c>
      <c r="S78" s="285">
        <f ca="1">IF($B78&lt;&gt;0,(+VLOOKUP($B78,$A$8:$I$13,8,FALSE))*(H78),0)</f>
        <v>4.5586212164635169E-3</v>
      </c>
      <c r="T78" s="285">
        <f ca="1">IF($B78&lt;&gt;0,(+VLOOKUP($B78,$A$8:$I$13,9,FALSE))*(I78),0)</f>
        <v>5.6402687201280192E-3</v>
      </c>
    </row>
    <row r="79" spans="1:21" outlineLevel="1">
      <c r="A79" s="101" t="s">
        <v>714</v>
      </c>
      <c r="B79" s="102" t="s">
        <v>646</v>
      </c>
      <c r="C79" s="103"/>
      <c r="D79" s="103">
        <f t="shared" si="27"/>
        <v>0</v>
      </c>
      <c r="E79" s="103">
        <f t="shared" si="27"/>
        <v>1.0609958281235121E-2</v>
      </c>
      <c r="F79" s="103">
        <f t="shared" si="27"/>
        <v>2.0440995123611749E-2</v>
      </c>
      <c r="G79" s="103">
        <f t="shared" si="27"/>
        <v>3.0158865876212859E-2</v>
      </c>
      <c r="H79" s="103">
        <f t="shared" si="27"/>
        <v>4.0701975146995695E-2</v>
      </c>
      <c r="I79" s="104">
        <f t="shared" si="27"/>
        <v>5.035954214400018E-2</v>
      </c>
      <c r="J79" s="105" t="str">
        <f t="shared" si="30"/>
        <v>Cumulative</v>
      </c>
      <c r="K79" s="106" t="str">
        <f t="shared" si="29"/>
        <v>Yes</v>
      </c>
      <c r="M79" s="103"/>
      <c r="N79" s="285">
        <f t="shared" ref="N79:N80" ca="1" si="31">IF($B79&lt;&gt;0,(+VLOOKUP($B79,$A$8:$I$13,3,FALSE))*(C79),0)</f>
        <v>0</v>
      </c>
      <c r="O79" s="285">
        <f t="shared" ref="O79:O80" ca="1" si="32">IF($B79&lt;&gt;0,(+VLOOKUP($B79,$A$8:$I$13,4,FALSE))*(D79),0)</f>
        <v>0</v>
      </c>
      <c r="P79" s="285">
        <f t="shared" ref="P79:P80" ca="1" si="33">IF($B79&lt;&gt;0,(+VLOOKUP($B79,$A$8:$I$13,5,FALSE))*(E79),0)</f>
        <v>3.5808609199168534E-2</v>
      </c>
      <c r="Q79" s="285">
        <f t="shared" ref="Q79:Q80" ca="1" si="34">IF($B79&lt;&gt;0,(+VLOOKUP($B79,$A$8:$I$13,6,FALSE))*(F79),0)</f>
        <v>6.8988358542189654E-2</v>
      </c>
      <c r="R79" s="285">
        <f t="shared" ref="R79:R80" ca="1" si="35">IF($B79&lt;&gt;0,(+VLOOKUP($B79,$A$8:$I$13,7,FALSE))*(G79),0)</f>
        <v>0.1017861723322184</v>
      </c>
      <c r="S79" s="285">
        <f t="shared" ref="S79:S80" ca="1" si="36">IF($B79&lt;&gt;0,(+VLOOKUP($B79,$A$8:$I$13,8,FALSE))*(H79),0)</f>
        <v>0.13736916612111047</v>
      </c>
      <c r="T79" s="285">
        <f t="shared" ref="T79:T80" ca="1" si="37">IF($B79&lt;&gt;0,(+VLOOKUP($B79,$A$8:$I$13,9,FALSE))*(I79),0)</f>
        <v>0.16996345473600061</v>
      </c>
    </row>
    <row r="80" spans="1:21" outlineLevel="1">
      <c r="A80" s="101" t="s">
        <v>714</v>
      </c>
      <c r="B80" s="102" t="s">
        <v>647</v>
      </c>
      <c r="C80" s="103"/>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ref="J80:J82" si="44">IF(ISNA(VLOOKUP($A80,Escalations_Specific_Costs,+I$73+3,FALSE)),0,VLOOKUP($A80,Escalations_Specific_Costs,+I$73+3,FALSE))</f>
        <v>Cumulative</v>
      </c>
      <c r="K80" s="106" t="str">
        <f t="shared" si="29"/>
        <v>Yes</v>
      </c>
      <c r="L80" s="788"/>
      <c r="M80" s="103"/>
      <c r="N80" s="285">
        <f t="shared" ca="1" si="31"/>
        <v>0</v>
      </c>
      <c r="O80" s="285">
        <f t="shared" ca="1" si="32"/>
        <v>0</v>
      </c>
      <c r="P80" s="285">
        <f t="shared" ca="1" si="33"/>
        <v>3.8938546892132902E-3</v>
      </c>
      <c r="Q80" s="285">
        <f t="shared" ca="1" si="34"/>
        <v>7.5018452103655132E-3</v>
      </c>
      <c r="R80" s="285">
        <f t="shared" ca="1" si="35"/>
        <v>1.1068303776570121E-2</v>
      </c>
      <c r="S80" s="285">
        <f t="shared" ca="1" si="36"/>
        <v>1.4937624878947422E-2</v>
      </c>
      <c r="T80" s="285">
        <f t="shared" ca="1" si="37"/>
        <v>1.8481951966848067E-2</v>
      </c>
      <c r="U80" t="s">
        <v>416</v>
      </c>
    </row>
    <row r="81" spans="1:21" outlineLevel="1">
      <c r="A81" s="101" t="s">
        <v>714</v>
      </c>
      <c r="B81" s="102" t="s">
        <v>575</v>
      </c>
      <c r="C81" s="103"/>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44"/>
        <v>Cumulative</v>
      </c>
      <c r="K81" s="106" t="str">
        <f t="shared" si="29"/>
        <v>Yes</v>
      </c>
      <c r="L81" s="788"/>
      <c r="M81" s="103"/>
      <c r="N81" s="285">
        <f ca="1">IF($B81&lt;&gt;0,(+VLOOKUP($B81,$A$8:$I$13,3,FALSE))*(C81),0)</f>
        <v>0</v>
      </c>
      <c r="O81" s="285">
        <f ca="1">IF($B81&lt;&gt;0,(+VLOOKUP($B81,$A$8:$I$13,4,FALSE))*(D81),0)</f>
        <v>0</v>
      </c>
      <c r="P81" s="285">
        <f ca="1">IF($B81&lt;&gt;0,(+VLOOKUP($B81,$A$8:$I$13,5,FALSE))*(E81),0)</f>
        <v>4.6896015603059239E-3</v>
      </c>
      <c r="Q81" s="285">
        <f ca="1">IF($B81&lt;&gt;0,(+VLOOKUP($B81,$A$8:$I$13,6,FALSE))*(F81),0)</f>
        <v>9.0349198446363927E-3</v>
      </c>
      <c r="R81" s="285">
        <f ca="1">IF($B81&lt;&gt;0,(+VLOOKUP($B81,$A$8:$I$13,7,FALSE))*(G81),0)</f>
        <v>1.3330218717286084E-2</v>
      </c>
      <c r="S81" s="285">
        <f ca="1">IF($B81&lt;&gt;0,(+VLOOKUP($B81,$A$8:$I$13,8,FALSE))*(H81),0)</f>
        <v>1.7990273014972098E-2</v>
      </c>
      <c r="T81" s="285">
        <f ca="1">IF($B81&lt;&gt;0,(+VLOOKUP($B81,$A$8:$I$13,9,FALSE))*(I81),0)</f>
        <v>2.2258917627648079E-2</v>
      </c>
      <c r="U81" t="s">
        <v>415</v>
      </c>
    </row>
    <row r="82" spans="1:21" outlineLevel="1">
      <c r="A82" s="101" t="s">
        <v>714</v>
      </c>
      <c r="B82" s="102" t="s">
        <v>70</v>
      </c>
      <c r="C82" s="103"/>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44"/>
        <v>Cumulative</v>
      </c>
      <c r="K82" s="106" t="str">
        <f t="shared" si="29"/>
        <v>Yes</v>
      </c>
      <c r="L82" s="788"/>
      <c r="M82" s="103"/>
      <c r="N82" s="285">
        <f t="shared" ref="N82" ca="1" si="45">IF($B82&lt;&gt;0,(+VLOOKUP($B82,$A$8:$I$13,3,FALSE))*(C82),0)</f>
        <v>0</v>
      </c>
      <c r="O82" s="285">
        <f t="shared" ref="O82" ca="1" si="46">IF($B82&lt;&gt;0,(+VLOOKUP($B82,$A$8:$I$13,4,FALSE))*(D82),0)</f>
        <v>0</v>
      </c>
      <c r="P82" s="285">
        <f t="shared" ref="P82" ca="1" si="47">IF($B82&lt;&gt;0,(+VLOOKUP($B82,$A$8:$I$13,5,FALSE))*(E82),0)</f>
        <v>0</v>
      </c>
      <c r="Q82" s="285">
        <f t="shared" ref="Q82" ca="1" si="48">IF($B82&lt;&gt;0,(+VLOOKUP($B82,$A$8:$I$13,6,FALSE))*(F82),0)</f>
        <v>0</v>
      </c>
      <c r="R82" s="285">
        <f t="shared" ref="R82" ca="1" si="49">IF($B82&lt;&gt;0,(+VLOOKUP($B82,$A$8:$I$13,7,FALSE))*(G82),0)</f>
        <v>0</v>
      </c>
      <c r="S82" s="285">
        <f t="shared" ref="S82" ca="1" si="50">IF($B82&lt;&gt;0,(+VLOOKUP($B82,$A$8:$I$13,8,FALSE))*(H82),0)</f>
        <v>0</v>
      </c>
      <c r="T82" s="285">
        <f t="shared" ref="T82" ca="1" si="51">IF($B82&lt;&gt;0,(+VLOOKUP($B82,$A$8:$I$13,9,FALSE))*(I82),0)</f>
        <v>0</v>
      </c>
      <c r="U82" t="s">
        <v>415</v>
      </c>
    </row>
    <row r="83" spans="1:21" ht="11.25" customHeight="1" outlineLevel="1" thickBot="1">
      <c r="A83" s="214" t="s">
        <v>161</v>
      </c>
      <c r="B83" s="202"/>
      <c r="C83" s="202"/>
      <c r="D83" s="202"/>
      <c r="E83" s="202"/>
      <c r="F83" s="202"/>
      <c r="G83" s="202"/>
      <c r="H83" s="202"/>
      <c r="I83" s="203"/>
      <c r="J83" s="3"/>
      <c r="K83" s="3"/>
      <c r="L83" s="3"/>
      <c r="N83" s="292">
        <f ca="1">SUM(N77:N82)</f>
        <v>0</v>
      </c>
      <c r="O83" s="292">
        <f t="shared" ref="O83:T83" ca="1" si="52">SUM(O77:O82)</f>
        <v>0</v>
      </c>
      <c r="P83" s="292">
        <f t="shared" ca="1" si="52"/>
        <v>6.535734301240835E-2</v>
      </c>
      <c r="Q83" s="292">
        <f t="shared" ca="1" si="52"/>
        <v>0.12591652996144839</v>
      </c>
      <c r="R83" s="292">
        <f t="shared" ca="1" si="52"/>
        <v>0.18577861379747124</v>
      </c>
      <c r="S83" s="292">
        <f t="shared" ca="1" si="52"/>
        <v>0.25072416690549348</v>
      </c>
      <c r="T83" s="292">
        <f t="shared" ca="1" si="52"/>
        <v>0.31021477960704108</v>
      </c>
    </row>
    <row r="84" spans="1:21" ht="12" customHeight="1" outlineLevel="1" thickBot="1">
      <c r="B84" s="42"/>
      <c r="C84" s="42"/>
      <c r="D84" s="42"/>
      <c r="E84" s="42"/>
      <c r="F84" s="42"/>
      <c r="G84" s="42"/>
      <c r="H84" s="42"/>
      <c r="I84" s="78"/>
      <c r="M84" s="411" t="s">
        <v>373</v>
      </c>
      <c r="N84" s="412">
        <f ca="1">ROUND(N83-C104,3)</f>
        <v>0</v>
      </c>
      <c r="O84" s="412">
        <f t="shared" ref="O84:T84" ca="1" si="53">ROUND(O83-D104,3)</f>
        <v>0</v>
      </c>
      <c r="P84" s="412">
        <f t="shared" ca="1" si="53"/>
        <v>0</v>
      </c>
      <c r="Q84" s="412">
        <f t="shared" ca="1" si="53"/>
        <v>0</v>
      </c>
      <c r="R84" s="412">
        <f t="shared" ca="1" si="53"/>
        <v>0</v>
      </c>
      <c r="S84" s="412">
        <f t="shared" ca="1" si="53"/>
        <v>0</v>
      </c>
      <c r="T84" s="413">
        <f t="shared" ca="1" si="53"/>
        <v>0</v>
      </c>
    </row>
    <row r="85" spans="1:21" outlineLevel="1">
      <c r="A85" s="208" t="s">
        <v>137</v>
      </c>
      <c r="B85" s="209"/>
      <c r="C85" s="209"/>
      <c r="D85" s="209"/>
      <c r="E85" s="209"/>
      <c r="F85" s="209"/>
      <c r="G85" s="209"/>
      <c r="H85" s="209"/>
      <c r="I85" s="210"/>
    </row>
    <row r="86" spans="1:21"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1"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1"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c r="M88"/>
      <c r="N88"/>
      <c r="O88"/>
      <c r="P88"/>
      <c r="Q88"/>
      <c r="R88"/>
      <c r="S88"/>
      <c r="T88"/>
      <c r="U88"/>
    </row>
    <row r="89" spans="1:21"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1"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c r="M90"/>
      <c r="N90"/>
      <c r="O90"/>
      <c r="P90"/>
      <c r="Q90"/>
      <c r="R90"/>
      <c r="S90"/>
      <c r="T90"/>
      <c r="U90"/>
    </row>
    <row r="91" spans="1:21"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1"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1"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row>
    <row r="94" spans="1:21" ht="13.5" outlineLevel="1" thickBot="1">
      <c r="A94" s="116" t="s">
        <v>140</v>
      </c>
      <c r="B94" s="117"/>
      <c r="C94" s="117">
        <f>ROUND(+C92-C93,4)</f>
        <v>0</v>
      </c>
      <c r="D94" s="117">
        <f t="shared" ref="D94:I94" si="54">ROUND(+D92-D93,4)</f>
        <v>0</v>
      </c>
      <c r="E94" s="117">
        <f t="shared" si="54"/>
        <v>0</v>
      </c>
      <c r="F94" s="117">
        <f t="shared" si="54"/>
        <v>0</v>
      </c>
      <c r="G94" s="117">
        <f t="shared" si="54"/>
        <v>0</v>
      </c>
      <c r="H94" s="117">
        <f t="shared" si="54"/>
        <v>0</v>
      </c>
      <c r="I94" s="117">
        <f t="shared" si="54"/>
        <v>0</v>
      </c>
      <c r="J94" s="118" t="str">
        <f>IF(SUM(C94:I94)&lt;&gt;0,"Warning Check Escalations","OK")</f>
        <v>OK</v>
      </c>
    </row>
    <row r="95" spans="1:21" outlineLevel="1">
      <c r="A95" s="107"/>
      <c r="B95" s="42"/>
      <c r="C95" s="42"/>
      <c r="D95" s="42"/>
      <c r="E95" s="42"/>
      <c r="F95" s="42"/>
      <c r="G95" s="42"/>
      <c r="H95" s="42"/>
      <c r="I95" s="78"/>
    </row>
    <row r="96" spans="1:21" ht="13.5" outlineLevel="1" thickBot="1">
      <c r="A96" s="208" t="s">
        <v>141</v>
      </c>
      <c r="B96" s="209"/>
      <c r="C96" s="209"/>
      <c r="D96" s="209"/>
      <c r="E96" s="209"/>
      <c r="F96" s="209"/>
      <c r="G96" s="209"/>
      <c r="H96" s="209"/>
      <c r="I96" s="210"/>
    </row>
    <row r="97" spans="1:21"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1" outlineLevel="1">
      <c r="A98" s="61" t="s">
        <v>68</v>
      </c>
      <c r="B98" s="119"/>
      <c r="C98" s="285">
        <f ca="1">+C8*(C86)</f>
        <v>0</v>
      </c>
      <c r="D98" s="285">
        <f t="shared" ref="D98:I98" ca="1" si="55">+D8*(D86)</f>
        <v>0</v>
      </c>
      <c r="E98" s="285">
        <f ca="1">+E8*(E86)</f>
        <v>1.977696223622227E-2</v>
      </c>
      <c r="F98" s="285">
        <f t="shared" ca="1" si="55"/>
        <v>3.8102014910412305E-2</v>
      </c>
      <c r="G98" s="285">
        <f t="shared" ca="1" si="55"/>
        <v>5.6216125993260778E-2</v>
      </c>
      <c r="H98" s="285">
        <f t="shared" ca="1" si="55"/>
        <v>7.5868481673999982E-2</v>
      </c>
      <c r="I98" s="285">
        <f t="shared" ca="1" si="55"/>
        <v>9.3870186556416352E-2</v>
      </c>
    </row>
    <row r="99" spans="1:21" outlineLevel="1">
      <c r="A99" s="61" t="s">
        <v>69</v>
      </c>
      <c r="B99" s="119"/>
      <c r="C99" s="285">
        <f t="shared" ref="C99:I99" ca="1" si="56">+C9*(C87)</f>
        <v>0</v>
      </c>
      <c r="D99" s="285">
        <f t="shared" ca="1" si="56"/>
        <v>0</v>
      </c>
      <c r="E99" s="285">
        <f t="shared" ca="1" si="56"/>
        <v>1.1883153274983335E-3</v>
      </c>
      <c r="F99" s="285">
        <f t="shared" ca="1" si="56"/>
        <v>2.2893914538445158E-3</v>
      </c>
      <c r="G99" s="285">
        <f t="shared" ca="1" si="56"/>
        <v>3.3777929781358398E-3</v>
      </c>
      <c r="H99" s="285">
        <f t="shared" ca="1" si="56"/>
        <v>4.5586212164635169E-3</v>
      </c>
      <c r="I99" s="285">
        <f t="shared" ca="1" si="56"/>
        <v>5.6402687201280192E-3</v>
      </c>
    </row>
    <row r="100" spans="1:21" s="759" customFormat="1" outlineLevel="1">
      <c r="A100" s="61" t="s">
        <v>646</v>
      </c>
      <c r="B100" s="119"/>
      <c r="C100" s="285">
        <f t="shared" ref="C100:I100" ca="1" si="57">+C10*(C88)</f>
        <v>0</v>
      </c>
      <c r="D100" s="285">
        <f t="shared" ca="1" si="57"/>
        <v>0</v>
      </c>
      <c r="E100" s="285">
        <f t="shared" ca="1" si="57"/>
        <v>3.5808609199168534E-2</v>
      </c>
      <c r="F100" s="285">
        <f t="shared" ca="1" si="57"/>
        <v>6.8988358542189654E-2</v>
      </c>
      <c r="G100" s="285">
        <f t="shared" ca="1" si="57"/>
        <v>0.1017861723322184</v>
      </c>
      <c r="H100" s="285">
        <f t="shared" ca="1" si="57"/>
        <v>0.13736916612111047</v>
      </c>
      <c r="I100" s="285">
        <f t="shared" ca="1" si="57"/>
        <v>0.16996345473600061</v>
      </c>
      <c r="M100"/>
      <c r="N100"/>
      <c r="O100"/>
      <c r="P100"/>
      <c r="Q100"/>
      <c r="R100"/>
      <c r="S100"/>
      <c r="T100"/>
      <c r="U100"/>
    </row>
    <row r="101" spans="1:21" outlineLevel="1">
      <c r="A101" s="61" t="s">
        <v>647</v>
      </c>
      <c r="B101" s="119"/>
      <c r="C101" s="285">
        <f t="shared" ref="C101:I101" ca="1" si="58">+C11*(C89)</f>
        <v>0</v>
      </c>
      <c r="D101" s="285">
        <f t="shared" ca="1" si="58"/>
        <v>0</v>
      </c>
      <c r="E101" s="285">
        <f t="shared" ca="1" si="58"/>
        <v>3.8938546892132902E-3</v>
      </c>
      <c r="F101" s="285">
        <f t="shared" ca="1" si="58"/>
        <v>7.5018452103655132E-3</v>
      </c>
      <c r="G101" s="285">
        <f t="shared" ca="1" si="58"/>
        <v>1.1068303776570121E-2</v>
      </c>
      <c r="H101" s="285">
        <f t="shared" ca="1" si="58"/>
        <v>1.4937624878947422E-2</v>
      </c>
      <c r="I101" s="285">
        <f t="shared" ca="1" si="58"/>
        <v>1.8481951966848067E-2</v>
      </c>
    </row>
    <row r="102" spans="1:21" s="759" customFormat="1" outlineLevel="1">
      <c r="A102" s="61" t="s">
        <v>575</v>
      </c>
      <c r="B102" s="119"/>
      <c r="C102" s="285">
        <f t="shared" ref="C102:I102" ca="1" si="59">+C12*(C90)</f>
        <v>0</v>
      </c>
      <c r="D102" s="285">
        <f t="shared" ca="1" si="59"/>
        <v>0</v>
      </c>
      <c r="E102" s="285">
        <f t="shared" ca="1" si="59"/>
        <v>4.6896015603059239E-3</v>
      </c>
      <c r="F102" s="285">
        <f t="shared" ca="1" si="59"/>
        <v>9.0349198446363927E-3</v>
      </c>
      <c r="G102" s="285">
        <f t="shared" ca="1" si="59"/>
        <v>1.3330218717286084E-2</v>
      </c>
      <c r="H102" s="285">
        <f t="shared" ca="1" si="59"/>
        <v>1.7990273014972098E-2</v>
      </c>
      <c r="I102" s="285">
        <f t="shared" ca="1" si="59"/>
        <v>2.2258917627648079E-2</v>
      </c>
      <c r="M102"/>
      <c r="N102"/>
      <c r="O102"/>
      <c r="P102"/>
      <c r="Q102"/>
      <c r="R102"/>
      <c r="S102"/>
      <c r="T102"/>
      <c r="U102"/>
    </row>
    <row r="103" spans="1:21" outlineLevel="1">
      <c r="A103" s="83" t="s">
        <v>70</v>
      </c>
      <c r="B103" s="119"/>
      <c r="C103" s="285">
        <f t="shared" ref="C103:I103" ca="1" si="60">+C13*(C91)</f>
        <v>0</v>
      </c>
      <c r="D103" s="285">
        <f t="shared" ca="1" si="60"/>
        <v>0</v>
      </c>
      <c r="E103" s="285">
        <f t="shared" ca="1" si="60"/>
        <v>0</v>
      </c>
      <c r="F103" s="285">
        <f t="shared" ca="1" si="60"/>
        <v>0</v>
      </c>
      <c r="G103" s="285">
        <f t="shared" ca="1" si="60"/>
        <v>0</v>
      </c>
      <c r="H103" s="285">
        <f t="shared" ca="1" si="60"/>
        <v>0</v>
      </c>
      <c r="I103" s="285">
        <f t="shared" ca="1" si="60"/>
        <v>0</v>
      </c>
    </row>
    <row r="104" spans="1:21" outlineLevel="1">
      <c r="A104" s="120" t="s">
        <v>142</v>
      </c>
      <c r="B104" s="121"/>
      <c r="C104" s="296">
        <f t="shared" ref="C104:I104" ca="1" si="61">SUM(C98:C103)</f>
        <v>0</v>
      </c>
      <c r="D104" s="296">
        <f t="shared" ca="1" si="61"/>
        <v>0</v>
      </c>
      <c r="E104" s="296">
        <f t="shared" ca="1" si="61"/>
        <v>6.535734301240835E-2</v>
      </c>
      <c r="F104" s="296">
        <f t="shared" ca="1" si="61"/>
        <v>0.12591652996144839</v>
      </c>
      <c r="G104" s="296">
        <f t="shared" ca="1" si="61"/>
        <v>0.18577861379747124</v>
      </c>
      <c r="H104" s="296">
        <f t="shared" ca="1" si="61"/>
        <v>0.25072416690549348</v>
      </c>
      <c r="I104" s="296">
        <f t="shared" ca="1" si="61"/>
        <v>0.31021477960704108</v>
      </c>
    </row>
    <row r="105" spans="1:21" ht="13.5" outlineLevel="1" thickBot="1">
      <c r="A105" s="122" t="s">
        <v>143</v>
      </c>
      <c r="B105" s="123"/>
      <c r="C105" s="124">
        <f t="shared" ref="C105:I105" ca="1" si="62">IF(C36&lt;&gt;0,+C104/C36,0)</f>
        <v>0</v>
      </c>
      <c r="D105" s="124">
        <f t="shared" ca="1" si="62"/>
        <v>0</v>
      </c>
      <c r="E105" s="124">
        <f t="shared" ca="1" si="62"/>
        <v>1.0323383827579901E-2</v>
      </c>
      <c r="F105" s="124">
        <f t="shared" ca="1" si="62"/>
        <v>9.3202464812322996E-3</v>
      </c>
      <c r="G105" s="124">
        <f t="shared" ca="1" si="62"/>
        <v>2.1200343923025358E-2</v>
      </c>
      <c r="H105" s="124">
        <f t="shared" ca="1" si="62"/>
        <v>2.8611681719216416E-2</v>
      </c>
      <c r="I105" s="124">
        <f t="shared" ca="1" si="62"/>
        <v>3.5396483296102357E-2</v>
      </c>
    </row>
    <row r="106" spans="1:21" ht="7.5" customHeight="1" outlineLevel="1"/>
    <row r="108" spans="1:21" ht="18">
      <c r="A108" s="206" t="s">
        <v>144</v>
      </c>
      <c r="B108" s="200"/>
      <c r="C108" s="204">
        <v>2</v>
      </c>
      <c r="D108" s="204">
        <f t="shared" ref="D108:I108" si="63">+C108+1</f>
        <v>3</v>
      </c>
      <c r="E108" s="204">
        <f t="shared" si="63"/>
        <v>4</v>
      </c>
      <c r="F108" s="204">
        <f t="shared" si="63"/>
        <v>5</v>
      </c>
      <c r="G108" s="204">
        <f t="shared" si="63"/>
        <v>6</v>
      </c>
      <c r="H108" s="204">
        <f t="shared" si="63"/>
        <v>7</v>
      </c>
      <c r="I108" s="205">
        <f t="shared" si="63"/>
        <v>8</v>
      </c>
      <c r="J108" s="201" t="s">
        <v>131</v>
      </c>
      <c r="K108" s="201" t="s">
        <v>131</v>
      </c>
    </row>
    <row r="109" spans="1:21" outlineLevel="1">
      <c r="A109" s="208" t="s">
        <v>145</v>
      </c>
      <c r="B109" s="209"/>
      <c r="C109" s="209"/>
      <c r="D109" s="209"/>
      <c r="E109" s="209"/>
      <c r="F109" s="209"/>
      <c r="G109" s="209"/>
      <c r="H109" s="209"/>
      <c r="I109" s="210"/>
      <c r="J109" s="211" t="s">
        <v>133</v>
      </c>
      <c r="K109" s="211" t="s">
        <v>134</v>
      </c>
    </row>
    <row r="110" spans="1:21" ht="13.5" outlineLevel="1" thickBot="1">
      <c r="A110" s="212" t="s">
        <v>135</v>
      </c>
      <c r="B110" s="213"/>
      <c r="C110" s="213"/>
      <c r="D110" s="213"/>
      <c r="E110" s="213"/>
      <c r="F110" s="213"/>
      <c r="G110" s="213"/>
      <c r="H110" s="213"/>
      <c r="I110" s="213"/>
      <c r="J110" s="211"/>
      <c r="K110" s="211"/>
      <c r="N110" s="410" t="s">
        <v>377</v>
      </c>
    </row>
    <row r="111" spans="1:21"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1"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4">IF(ISNA(VLOOKUP($A113,Escalations_General_Costs,+I$73+3,FALSE)),0,VLOOKUP($A113,Escalations_General_Costs,+I$73+3,FALSE))</f>
        <v>Cumulative</v>
      </c>
      <c r="K113" s="106" t="str">
        <f t="shared" ref="K113:K118" si="65">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4.0422021823410988E-2</v>
      </c>
      <c r="Q113" s="285">
        <f ca="1">IF($B113&lt;&gt;0,(+VLOOKUP($B113,$A$8:$I$13,6,FALSE)+VLOOKUP($B113,$A$42:$I$47,6,FALSE))*(F113),0)</f>
        <v>8.2506292389763883E-2</v>
      </c>
      <c r="R113" s="285">
        <f ca="1">IF($B113&lt;&gt;0,(+VLOOKUP($B113,$A$8:$I$13,7,FALSE)+VLOOKUP($B113,$A$42:$I$47,7,FALSE))*(G113),0)</f>
        <v>0.12863890900766764</v>
      </c>
      <c r="S113" s="285">
        <f ca="1">IF($B113&lt;&gt;0,(+VLOOKUP($B113,$A$8:$I$13,8,FALSE)+VLOOKUP($B113,$A$42:$I$47,8,FALSE))*(H113),0)</f>
        <v>0.17680332440864888</v>
      </c>
      <c r="T113" s="285">
        <f ca="1">IF($B113&lt;&gt;0,(+VLOOKUP($B113,$A$8:$I$13,9,FALSE)+VLOOKUP($B113,$A$42:$I$47,9,FALSE))*(I113),0)</f>
        <v>0.22679682523451741</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4"/>
        <v>Cumulative</v>
      </c>
      <c r="K114" s="106" t="str">
        <f t="shared" si="65"/>
        <v>Yes</v>
      </c>
      <c r="M114" s="103"/>
      <c r="N114" s="285">
        <f t="shared" ref="N114:N118" ca="1" si="66">IF($B114&lt;&gt;0,(+VLOOKUP($B114,$A$8:$I$13,3,FALSE)+VLOOKUP($B114,$A$42:$I$47,3,FALSE))*(C114),0)</f>
        <v>0</v>
      </c>
      <c r="O114" s="285">
        <f t="shared" ref="O114:O118" ca="1" si="67">IF($B114&lt;&gt;0,(+VLOOKUP($B114,$A$8:$I$13,4,FALSE)+VLOOKUP($B114,$A$42:$I$47,4,FALSE))*(D114),0)</f>
        <v>0</v>
      </c>
      <c r="P114" s="285">
        <f t="shared" ref="P114:P118" ca="1" si="68">IF($B114&lt;&gt;0,(+VLOOKUP($B114,$A$8:$I$13,5,FALSE)+VLOOKUP($B114,$A$42:$I$47,5,FALSE))*(E114),0)</f>
        <v>0</v>
      </c>
      <c r="Q114" s="285">
        <f t="shared" ref="Q114:Q118" ca="1" si="69">IF($B114&lt;&gt;0,(+VLOOKUP($B114,$A$8:$I$13,6,FALSE)+VLOOKUP($B114,$A$42:$I$47,6,FALSE))*(F114),0)</f>
        <v>0</v>
      </c>
      <c r="R114" s="285">
        <f t="shared" ref="R114:R118" ca="1" si="70">IF($B114&lt;&gt;0,(+VLOOKUP($B114,$A$8:$I$13,7,FALSE)+VLOOKUP($B114,$A$42:$I$47,7,FALSE))*(G114),0)</f>
        <v>0</v>
      </c>
      <c r="S114" s="285">
        <f t="shared" ref="S114:S118" ca="1" si="71">IF($B114&lt;&gt;0,(+VLOOKUP($B114,$A$8:$I$13,8,FALSE)+VLOOKUP($B114,$A$42:$I$47,8,FALSE))*(H114),0)</f>
        <v>0</v>
      </c>
      <c r="T114" s="285">
        <f t="shared" ref="T114:T118" ca="1" si="72">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4"/>
        <v>Cumulative</v>
      </c>
      <c r="K115" s="106" t="str">
        <f t="shared" si="65"/>
        <v>Yes</v>
      </c>
      <c r="M115" s="103"/>
      <c r="N115" s="285">
        <f t="shared" ca="1" si="66"/>
        <v>0</v>
      </c>
      <c r="O115" s="285">
        <f ca="1">IF($B115&lt;&gt;0,(+VLOOKUP($B115,$A$8:$I$13,4,FALSE)+VLOOKUP($B115,$A$42:$I$47,4,FALSE))*(D115),0)</f>
        <v>0</v>
      </c>
      <c r="P115" s="285">
        <f t="shared" ca="1" si="68"/>
        <v>1.705404304599548E-2</v>
      </c>
      <c r="Q115" s="285">
        <f t="shared" ca="1" si="69"/>
        <v>3.452598329438452E-2</v>
      </c>
      <c r="R115" s="285">
        <f t="shared" ca="1" si="70"/>
        <v>6.6459549961017439E-2</v>
      </c>
      <c r="S115" s="285">
        <f t="shared" ca="1" si="71"/>
        <v>0.10472457027011892</v>
      </c>
      <c r="T115" s="285">
        <f t="shared" ca="1" si="72"/>
        <v>0.15132964763375445</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4"/>
        <v>Cumulative</v>
      </c>
      <c r="K116" s="106" t="str">
        <f t="shared" si="65"/>
        <v>Yes</v>
      </c>
      <c r="M116" s="103"/>
      <c r="N116" s="285">
        <f t="shared" ca="1" si="66"/>
        <v>0</v>
      </c>
      <c r="O116" s="285">
        <f t="shared" ca="1" si="67"/>
        <v>0</v>
      </c>
      <c r="P116" s="285">
        <f t="shared" ca="1" si="68"/>
        <v>1.854469273446027E-3</v>
      </c>
      <c r="Q116" s="285">
        <f t="shared" ca="1" si="69"/>
        <v>3.7543809982338132E-3</v>
      </c>
      <c r="R116" s="285">
        <f t="shared" ca="1" si="70"/>
        <v>7.2268606920573054E-3</v>
      </c>
      <c r="S116" s="285">
        <f t="shared" ca="1" si="71"/>
        <v>1.1387827344928488E-2</v>
      </c>
      <c r="T116" s="285">
        <f t="shared" ca="1" si="72"/>
        <v>1.6455697979729747E-2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4"/>
        <v>Cumulative</v>
      </c>
      <c r="K117" s="106" t="str">
        <f t="shared" si="65"/>
        <v>Yes</v>
      </c>
      <c r="M117" s="103"/>
      <c r="N117" s="285">
        <f t="shared" ca="1" si="66"/>
        <v>0</v>
      </c>
      <c r="O117" s="285">
        <f t="shared" ca="1" si="67"/>
        <v>0</v>
      </c>
      <c r="P117" s="285">
        <f t="shared" ca="1" si="68"/>
        <v>9.5850502392423025E-3</v>
      </c>
      <c r="Q117" s="285">
        <f t="shared" ca="1" si="69"/>
        <v>1.9564260319890357E-2</v>
      </c>
      <c r="R117" s="285">
        <f t="shared" ca="1" si="70"/>
        <v>3.0503432286152942E-2</v>
      </c>
      <c r="S117" s="285">
        <f t="shared" ca="1" si="71"/>
        <v>4.1924393448831962E-2</v>
      </c>
      <c r="T117" s="285">
        <f t="shared" ca="1" si="72"/>
        <v>5.3779075511618389E-2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4"/>
        <v>Cumulative</v>
      </c>
      <c r="K118" s="106" t="str">
        <f t="shared" si="65"/>
        <v>Yes</v>
      </c>
      <c r="M118" s="103"/>
      <c r="N118" s="285">
        <f t="shared" ca="1" si="66"/>
        <v>0</v>
      </c>
      <c r="O118" s="285">
        <f t="shared" ca="1" si="67"/>
        <v>0</v>
      </c>
      <c r="P118" s="285">
        <f t="shared" ca="1" si="68"/>
        <v>0</v>
      </c>
      <c r="Q118" s="285">
        <f t="shared" ca="1" si="69"/>
        <v>0</v>
      </c>
      <c r="R118" s="285">
        <f t="shared" ca="1" si="70"/>
        <v>0</v>
      </c>
      <c r="S118" s="285">
        <f t="shared" ca="1" si="71"/>
        <v>0</v>
      </c>
      <c r="T118" s="285">
        <f t="shared" ca="1" si="72"/>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3">SUM(O113:O118)</f>
        <v>0</v>
      </c>
      <c r="P119" s="292">
        <f t="shared" ca="1" si="73"/>
        <v>6.8915584382094802E-2</v>
      </c>
      <c r="Q119" s="292">
        <f t="shared" ca="1" si="73"/>
        <v>0.14035091700227256</v>
      </c>
      <c r="R119" s="292">
        <f t="shared" ca="1" si="73"/>
        <v>0.23282875194689531</v>
      </c>
      <c r="S119" s="292">
        <f t="shared" ca="1" si="73"/>
        <v>0.33484011547252829</v>
      </c>
      <c r="T119" s="292">
        <f t="shared" ca="1" si="73"/>
        <v>0.44836124635961994</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4">ROUND(O119-D140,3)</f>
        <v>0</v>
      </c>
      <c r="P120" s="412">
        <f t="shared" ca="1" si="74"/>
        <v>0</v>
      </c>
      <c r="Q120" s="412">
        <f t="shared" ca="1" si="74"/>
        <v>0</v>
      </c>
      <c r="R120" s="412">
        <f t="shared" ca="1" si="74"/>
        <v>0</v>
      </c>
      <c r="S120" s="412">
        <f t="shared" ca="1" si="74"/>
        <v>0</v>
      </c>
      <c r="T120" s="413">
        <f t="shared" ca="1" si="74"/>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5">ROUND(+C128-C129,4)</f>
        <v>0</v>
      </c>
      <c r="D130" s="125">
        <f t="shared" si="75"/>
        <v>0</v>
      </c>
      <c r="E130" s="125">
        <f t="shared" si="75"/>
        <v>0</v>
      </c>
      <c r="F130" s="125">
        <f t="shared" si="75"/>
        <v>0</v>
      </c>
      <c r="G130" s="125">
        <f t="shared" si="75"/>
        <v>0</v>
      </c>
      <c r="H130" s="125">
        <f t="shared" si="75"/>
        <v>0</v>
      </c>
      <c r="I130" s="125">
        <f t="shared" si="75"/>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6">(+E8+E42)*(E$122)</f>
        <v>4.0422021823410988E-2</v>
      </c>
      <c r="F134" s="285">
        <f t="shared" ca="1" si="76"/>
        <v>8.2506292389763883E-2</v>
      </c>
      <c r="G134" s="285">
        <f t="shared" ca="1" si="76"/>
        <v>0.12863890900766764</v>
      </c>
      <c r="H134" s="285">
        <f t="shared" ca="1" si="76"/>
        <v>0.17680332440864888</v>
      </c>
      <c r="I134" s="285">
        <f t="shared" ca="1" si="76"/>
        <v>0.22679682523451741</v>
      </c>
    </row>
    <row r="135" spans="1:16" outlineLevel="1">
      <c r="A135" s="61" t="s">
        <v>69</v>
      </c>
      <c r="B135" s="119"/>
      <c r="C135" s="285">
        <f ca="1">(+C9+C43)*(C$123)</f>
        <v>0</v>
      </c>
      <c r="D135" s="285">
        <f t="shared" ref="D135:I135" ca="1" si="77">(+D9+D43)*(D$123)</f>
        <v>0</v>
      </c>
      <c r="E135" s="285">
        <f t="shared" ca="1" si="77"/>
        <v>0</v>
      </c>
      <c r="F135" s="285">
        <f t="shared" ca="1" si="77"/>
        <v>0</v>
      </c>
      <c r="G135" s="285">
        <f t="shared" ca="1" si="77"/>
        <v>0</v>
      </c>
      <c r="H135" s="285">
        <f t="shared" ca="1" si="77"/>
        <v>0</v>
      </c>
      <c r="I135" s="285">
        <f t="shared" ca="1" si="77"/>
        <v>0</v>
      </c>
    </row>
    <row r="136" spans="1:16" s="759" customFormat="1" outlineLevel="1">
      <c r="A136" s="61" t="s">
        <v>646</v>
      </c>
      <c r="B136" s="119"/>
      <c r="C136" s="285">
        <f ca="1">(+C10+C44)*(C$124)</f>
        <v>0</v>
      </c>
      <c r="D136" s="285">
        <f t="shared" ref="D136:I136" ca="1" si="78">(+D10+D44)*(D$124)</f>
        <v>0</v>
      </c>
      <c r="E136" s="285">
        <f t="shared" ca="1" si="78"/>
        <v>1.705404304599548E-2</v>
      </c>
      <c r="F136" s="285">
        <f t="shared" ca="1" si="78"/>
        <v>3.452598329438452E-2</v>
      </c>
      <c r="G136" s="285">
        <f t="shared" ca="1" si="78"/>
        <v>6.6459549961017439E-2</v>
      </c>
      <c r="H136" s="285">
        <f t="shared" ca="1" si="78"/>
        <v>0.10472457027011892</v>
      </c>
      <c r="I136" s="285">
        <f t="shared" ca="1" si="78"/>
        <v>0.15132964763375445</v>
      </c>
    </row>
    <row r="137" spans="1:16" outlineLevel="1">
      <c r="A137" s="61" t="s">
        <v>647</v>
      </c>
      <c r="B137" s="119"/>
      <c r="C137" s="285">
        <f ca="1">(+C11+C45)*(C$125)</f>
        <v>0</v>
      </c>
      <c r="D137" s="285">
        <f t="shared" ref="D137:I137" ca="1" si="79">(+D11+D45)*(D$125)</f>
        <v>0</v>
      </c>
      <c r="E137" s="285">
        <f t="shared" ca="1" si="79"/>
        <v>1.854469273446027E-3</v>
      </c>
      <c r="F137" s="285">
        <f t="shared" ca="1" si="79"/>
        <v>3.7543809982338132E-3</v>
      </c>
      <c r="G137" s="285">
        <f t="shared" ca="1" si="79"/>
        <v>7.2268606920573054E-3</v>
      </c>
      <c r="H137" s="285">
        <f t="shared" ca="1" si="79"/>
        <v>1.1387827344928488E-2</v>
      </c>
      <c r="I137" s="285">
        <f t="shared" ca="1" si="79"/>
        <v>1.6455697979729747E-2</v>
      </c>
    </row>
    <row r="138" spans="1:16" s="759" customFormat="1" outlineLevel="1">
      <c r="A138" s="61" t="s">
        <v>575</v>
      </c>
      <c r="B138" s="119"/>
      <c r="C138" s="285">
        <f ca="1">(+C12+C46)*(C$126)</f>
        <v>0</v>
      </c>
      <c r="D138" s="285">
        <f t="shared" ref="D138:I138" ca="1" si="80">(+D12+D46)*(D$126)</f>
        <v>0</v>
      </c>
      <c r="E138" s="285">
        <f t="shared" ca="1" si="80"/>
        <v>9.5850502392423025E-3</v>
      </c>
      <c r="F138" s="285">
        <f t="shared" ca="1" si="80"/>
        <v>1.9564260319890357E-2</v>
      </c>
      <c r="G138" s="285">
        <f t="shared" ca="1" si="80"/>
        <v>3.0503432286152942E-2</v>
      </c>
      <c r="H138" s="285">
        <f t="shared" ca="1" si="80"/>
        <v>4.1924393448831962E-2</v>
      </c>
      <c r="I138" s="285">
        <f t="shared" ca="1" si="80"/>
        <v>5.3779075511618389E-2</v>
      </c>
    </row>
    <row r="139" spans="1:16" outlineLevel="1">
      <c r="A139" s="83" t="s">
        <v>70</v>
      </c>
      <c r="B139" s="119"/>
      <c r="C139" s="285">
        <f ca="1">(+C13+C47)*(C$127)</f>
        <v>0</v>
      </c>
      <c r="D139" s="285">
        <f t="shared" ref="D139:I139" ca="1" si="81">(+D13+D47)*(D$127)</f>
        <v>0</v>
      </c>
      <c r="E139" s="285">
        <f t="shared" ca="1" si="81"/>
        <v>0</v>
      </c>
      <c r="F139" s="285">
        <f t="shared" ca="1" si="81"/>
        <v>0</v>
      </c>
      <c r="G139" s="285">
        <f t="shared" ca="1" si="81"/>
        <v>0</v>
      </c>
      <c r="H139" s="285">
        <f t="shared" ca="1" si="81"/>
        <v>0</v>
      </c>
      <c r="I139" s="285">
        <f t="shared" ca="1" si="81"/>
        <v>0</v>
      </c>
    </row>
    <row r="140" spans="1:16" outlineLevel="1">
      <c r="A140" s="120" t="s">
        <v>147</v>
      </c>
      <c r="B140" s="121"/>
      <c r="C140" s="296">
        <f t="shared" ref="C140:I140" ca="1" si="82">SUM(C134:C139)</f>
        <v>0</v>
      </c>
      <c r="D140" s="296">
        <f t="shared" ca="1" si="82"/>
        <v>0</v>
      </c>
      <c r="E140" s="296">
        <f t="shared" ca="1" si="82"/>
        <v>6.8915584382094802E-2</v>
      </c>
      <c r="F140" s="296">
        <f t="shared" ca="1" si="82"/>
        <v>0.14035091700227256</v>
      </c>
      <c r="G140" s="296">
        <f t="shared" ca="1" si="82"/>
        <v>0.23282875194689531</v>
      </c>
      <c r="H140" s="296">
        <f t="shared" ca="1" si="82"/>
        <v>0.33484011547252829</v>
      </c>
      <c r="I140" s="296">
        <f t="shared" ca="1" si="82"/>
        <v>0.44836124635961994</v>
      </c>
    </row>
    <row r="141" spans="1:16" ht="13.5" outlineLevel="1" thickBot="1">
      <c r="A141" s="122" t="s">
        <v>148</v>
      </c>
      <c r="B141" s="126"/>
      <c r="C141" s="124">
        <f t="shared" ref="C141:I141" ca="1" si="83">IF((+C36+C48)&lt;&gt;0,+C140/(+C36+C48),0)</f>
        <v>0</v>
      </c>
      <c r="D141" s="124">
        <f t="shared" ca="1" si="83"/>
        <v>0</v>
      </c>
      <c r="E141" s="124">
        <f t="shared" ca="1" si="83"/>
        <v>1.0774192354556372E-2</v>
      </c>
      <c r="F141" s="124">
        <f t="shared" ca="1" si="83"/>
        <v>1.0292738056432599E-2</v>
      </c>
      <c r="G141" s="124">
        <f t="shared" ca="1" si="83"/>
        <v>2.6017936301152154E-2</v>
      </c>
      <c r="H141" s="124">
        <f t="shared" ca="1" si="83"/>
        <v>3.7147810302640132E-2</v>
      </c>
      <c r="I141" s="124">
        <f t="shared" ca="1" si="83"/>
        <v>4.9410473219924846E-2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4">SUMIF($A$185:$A$195,$A149,C$185:C$195)</f>
        <v>0</v>
      </c>
      <c r="D149" s="285">
        <f t="shared" si="84"/>
        <v>0</v>
      </c>
      <c r="E149" s="285">
        <f t="shared" si="84"/>
        <v>0.14899999999999999</v>
      </c>
      <c r="F149" s="285">
        <f t="shared" si="84"/>
        <v>0.53100000000000003</v>
      </c>
      <c r="G149" s="285">
        <f t="shared" si="84"/>
        <v>0.61599999999999999</v>
      </c>
      <c r="H149" s="285">
        <f t="shared" si="84"/>
        <v>0.51100000000000001</v>
      </c>
      <c r="I149" s="285">
        <f t="shared" si="84"/>
        <v>0.54500000000000004</v>
      </c>
      <c r="J149" s="63"/>
      <c r="K149" s="63"/>
      <c r="L149" s="63"/>
    </row>
    <row r="150" spans="1:13" outlineLevel="1">
      <c r="A150" s="61" t="s">
        <v>69</v>
      </c>
      <c r="B150" s="65"/>
      <c r="C150" s="285">
        <f t="shared" si="84"/>
        <v>0</v>
      </c>
      <c r="D150" s="285">
        <f t="shared" si="84"/>
        <v>0</v>
      </c>
      <c r="E150" s="285">
        <f t="shared" si="84"/>
        <v>0</v>
      </c>
      <c r="F150" s="285">
        <f t="shared" si="84"/>
        <v>2.4E-2</v>
      </c>
      <c r="G150" s="285">
        <f t="shared" si="84"/>
        <v>2.5000000000000001E-2</v>
      </c>
      <c r="H150" s="285">
        <f t="shared" si="84"/>
        <v>3.5999999999999997E-2</v>
      </c>
      <c r="I150" s="285">
        <f t="shared" si="84"/>
        <v>2.9000000000000001E-2</v>
      </c>
      <c r="J150" s="42"/>
      <c r="K150" s="21"/>
      <c r="L150" s="21"/>
    </row>
    <row r="151" spans="1:13" s="759" customFormat="1" outlineLevel="1">
      <c r="A151" s="61" t="s">
        <v>646</v>
      </c>
      <c r="B151" s="65"/>
      <c r="C151" s="285">
        <f t="shared" si="84"/>
        <v>0</v>
      </c>
      <c r="D151" s="285">
        <f t="shared" si="84"/>
        <v>0</v>
      </c>
      <c r="E151" s="285">
        <f t="shared" si="84"/>
        <v>0</v>
      </c>
      <c r="F151" s="285">
        <f t="shared" si="84"/>
        <v>0</v>
      </c>
      <c r="G151" s="285">
        <f t="shared" si="84"/>
        <v>0</v>
      </c>
      <c r="H151" s="285">
        <f t="shared" si="84"/>
        <v>0</v>
      </c>
      <c r="I151" s="285">
        <f t="shared" si="84"/>
        <v>0</v>
      </c>
      <c r="J151" s="42"/>
      <c r="K151" s="732"/>
      <c r="L151" s="732"/>
    </row>
    <row r="152" spans="1:13" outlineLevel="1">
      <c r="A152" s="61" t="s">
        <v>647</v>
      </c>
      <c r="B152" s="65"/>
      <c r="C152" s="285">
        <f t="shared" si="84"/>
        <v>0</v>
      </c>
      <c r="D152" s="285">
        <f t="shared" si="84"/>
        <v>0</v>
      </c>
      <c r="E152" s="285">
        <f t="shared" si="84"/>
        <v>2.1999999999999999E-2</v>
      </c>
      <c r="F152" s="285">
        <f t="shared" si="84"/>
        <v>6.7949999999999999</v>
      </c>
      <c r="G152" s="285">
        <f t="shared" si="84"/>
        <v>1.962</v>
      </c>
      <c r="H152" s="285">
        <f t="shared" si="84"/>
        <v>2.056</v>
      </c>
      <c r="I152" s="285">
        <f t="shared" si="84"/>
        <v>2.0299999999999998</v>
      </c>
      <c r="J152" s="42"/>
      <c r="K152" s="21"/>
      <c r="L152" s="21"/>
    </row>
    <row r="153" spans="1:13" s="759" customFormat="1" outlineLevel="1">
      <c r="A153" s="61" t="s">
        <v>575</v>
      </c>
      <c r="B153" s="65"/>
      <c r="C153" s="285">
        <f t="shared" si="84"/>
        <v>0</v>
      </c>
      <c r="D153" s="285">
        <f t="shared" si="84"/>
        <v>0</v>
      </c>
      <c r="E153" s="285">
        <f t="shared" si="84"/>
        <v>0</v>
      </c>
      <c r="F153" s="285">
        <f t="shared" si="84"/>
        <v>0</v>
      </c>
      <c r="G153" s="285">
        <f t="shared" si="84"/>
        <v>0</v>
      </c>
      <c r="H153" s="285">
        <f t="shared" si="84"/>
        <v>0</v>
      </c>
      <c r="I153" s="285">
        <f t="shared" si="84"/>
        <v>0</v>
      </c>
      <c r="J153" s="42"/>
      <c r="K153" s="732"/>
      <c r="L153" s="732"/>
    </row>
    <row r="154" spans="1:13" outlineLevel="1">
      <c r="A154" s="83" t="s">
        <v>70</v>
      </c>
      <c r="B154" s="65"/>
      <c r="C154" s="285">
        <f t="shared" si="84"/>
        <v>0</v>
      </c>
      <c r="D154" s="285">
        <f t="shared" si="84"/>
        <v>0</v>
      </c>
      <c r="E154" s="285">
        <f t="shared" si="84"/>
        <v>0</v>
      </c>
      <c r="F154" s="285">
        <f t="shared" si="84"/>
        <v>0</v>
      </c>
      <c r="G154" s="285">
        <f t="shared" si="84"/>
        <v>0</v>
      </c>
      <c r="H154" s="285">
        <f t="shared" si="84"/>
        <v>0</v>
      </c>
      <c r="I154" s="285">
        <f t="shared" si="84"/>
        <v>0</v>
      </c>
      <c r="J154" s="42"/>
      <c r="K154" s="21"/>
      <c r="L154" s="21"/>
    </row>
    <row r="155" spans="1:13" outlineLevel="1">
      <c r="A155" s="129" t="s">
        <v>150</v>
      </c>
      <c r="B155" s="130"/>
      <c r="C155" s="296">
        <f t="shared" ref="C155:I155" si="85">SUM(C149:C154)</f>
        <v>0</v>
      </c>
      <c r="D155" s="296">
        <f t="shared" si="85"/>
        <v>0</v>
      </c>
      <c r="E155" s="296">
        <f t="shared" si="85"/>
        <v>0.17099999999999999</v>
      </c>
      <c r="F155" s="296">
        <f t="shared" si="85"/>
        <v>7.35</v>
      </c>
      <c r="G155" s="296">
        <f t="shared" si="85"/>
        <v>2.6029999999999998</v>
      </c>
      <c r="H155" s="296">
        <f t="shared" si="85"/>
        <v>2.6030000000000002</v>
      </c>
      <c r="I155" s="296">
        <f t="shared" si="85"/>
        <v>2.6040000000000001</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6">IF(ISNUMBER($J160),OFFSET($B$177,MATCH(+$J160,$J$178:$J$195,0),0),"")</f>
        <v>Step Change</v>
      </c>
      <c r="B160" s="285">
        <f t="shared" ref="B160:I169" ca="1" si="87">IF(ISNUMBER($J160),OFFSET(B$177,MATCH(+$J160,$J$178:$J$195,0)+13,0),"")</f>
        <v>0</v>
      </c>
      <c r="C160" s="285">
        <f t="shared" ca="1" si="87"/>
        <v>0</v>
      </c>
      <c r="D160" s="285">
        <f t="shared" ca="1" si="87"/>
        <v>0</v>
      </c>
      <c r="E160" s="285">
        <f t="shared" ca="1" si="87"/>
        <v>0.17099999999999999</v>
      </c>
      <c r="F160" s="285">
        <f t="shared" ca="1" si="87"/>
        <v>7.35</v>
      </c>
      <c r="G160" s="285">
        <f t="shared" ca="1" si="87"/>
        <v>2.6029999999999998</v>
      </c>
      <c r="H160" s="285">
        <f t="shared" ca="1" si="87"/>
        <v>2.6030000000000002</v>
      </c>
      <c r="I160" s="285">
        <f t="shared" ca="1" si="87"/>
        <v>2.6040000000000001</v>
      </c>
      <c r="J160" s="378">
        <f>IF($D$158&gt;0,1,"")</f>
        <v>1</v>
      </c>
      <c r="K160" s="66" t="str">
        <f t="shared" ref="K160:K169" ca="1" si="88">IF(ISNUMBER($J160),OFFSET($B$177,MATCH(+$J160,$J$178:$J$195,0)+1,0),"")</f>
        <v>Proposal Step Change</v>
      </c>
      <c r="L160" s="66" t="str">
        <f t="shared" ref="L160:L169" ca="1" si="89">IF(ISNUMBER($J160),OFFSET($B$177,MATCH(+$J160,$J$178:$J$195,0)+2,0),"")</f>
        <v>Refer Opex Workings</v>
      </c>
      <c r="M160" s="66" t="str">
        <f t="shared" ref="M160:M169" ca="1" si="90">IF(ISNUMBER($J160),OFFSET($B$177,MATCH(+$J160,$J$178:$J$195,0)+3,0),"")</f>
        <v>Proposal, October 2014</v>
      </c>
    </row>
    <row r="161" spans="1:13" outlineLevel="1">
      <c r="A161" s="66" t="str">
        <f t="shared" ca="1" si="86"/>
        <v/>
      </c>
      <c r="B161" s="285" t="str">
        <f t="shared" ca="1" si="87"/>
        <v/>
      </c>
      <c r="C161" s="285" t="str">
        <f t="shared" ca="1" si="87"/>
        <v/>
      </c>
      <c r="D161" s="285" t="str">
        <f t="shared" ca="1" si="87"/>
        <v/>
      </c>
      <c r="E161" s="285" t="str">
        <f t="shared" ca="1" si="87"/>
        <v/>
      </c>
      <c r="F161" s="285" t="str">
        <f t="shared" ca="1" si="87"/>
        <v/>
      </c>
      <c r="G161" s="285" t="str">
        <f t="shared" ca="1" si="87"/>
        <v/>
      </c>
      <c r="H161" s="285" t="str">
        <f t="shared" ca="1" si="87"/>
        <v/>
      </c>
      <c r="I161" s="285" t="str">
        <f t="shared" ca="1" si="87"/>
        <v/>
      </c>
      <c r="J161" s="378" t="str">
        <f>IF(J160&lt;$D$158,J160+1,"")</f>
        <v/>
      </c>
      <c r="K161" s="66" t="str">
        <f t="shared" ca="1" si="88"/>
        <v/>
      </c>
      <c r="L161" s="66" t="str">
        <f t="shared" ca="1" si="89"/>
        <v/>
      </c>
      <c r="M161" s="66" t="str">
        <f t="shared" ca="1" si="90"/>
        <v/>
      </c>
    </row>
    <row r="162" spans="1:13" outlineLevel="1">
      <c r="A162" s="66" t="str">
        <f t="shared" ca="1" si="86"/>
        <v/>
      </c>
      <c r="B162" s="285" t="str">
        <f t="shared" ca="1" si="87"/>
        <v/>
      </c>
      <c r="C162" s="285" t="str">
        <f t="shared" ca="1" si="87"/>
        <v/>
      </c>
      <c r="D162" s="285" t="str">
        <f t="shared" ca="1" si="87"/>
        <v/>
      </c>
      <c r="E162" s="285" t="str">
        <f t="shared" ca="1" si="87"/>
        <v/>
      </c>
      <c r="F162" s="285" t="str">
        <f t="shared" ca="1" si="87"/>
        <v/>
      </c>
      <c r="G162" s="285" t="str">
        <f t="shared" ca="1" si="87"/>
        <v/>
      </c>
      <c r="H162" s="285" t="str">
        <f t="shared" ca="1" si="87"/>
        <v/>
      </c>
      <c r="I162" s="285" t="str">
        <f t="shared" ca="1" si="87"/>
        <v/>
      </c>
      <c r="J162" s="378" t="str">
        <f t="shared" ref="J162:J169" si="91">IF(J161&lt;$D$158,J161+1,"")</f>
        <v/>
      </c>
      <c r="K162" s="66" t="str">
        <f t="shared" ca="1" si="88"/>
        <v/>
      </c>
      <c r="L162" s="66" t="str">
        <f t="shared" ca="1" si="89"/>
        <v/>
      </c>
      <c r="M162" s="66" t="str">
        <f t="shared" ca="1" si="90"/>
        <v/>
      </c>
    </row>
    <row r="163" spans="1:13" outlineLevel="1">
      <c r="A163" s="66" t="str">
        <f t="shared" ca="1" si="86"/>
        <v/>
      </c>
      <c r="B163" s="285" t="str">
        <f t="shared" ca="1" si="87"/>
        <v/>
      </c>
      <c r="C163" s="285" t="str">
        <f t="shared" ca="1" si="87"/>
        <v/>
      </c>
      <c r="D163" s="285" t="str">
        <f t="shared" ca="1" si="87"/>
        <v/>
      </c>
      <c r="E163" s="285" t="str">
        <f t="shared" ca="1" si="87"/>
        <v/>
      </c>
      <c r="F163" s="285" t="str">
        <f t="shared" ca="1" si="87"/>
        <v/>
      </c>
      <c r="G163" s="285" t="str">
        <f t="shared" ca="1" si="87"/>
        <v/>
      </c>
      <c r="H163" s="285" t="str">
        <f t="shared" ca="1" si="87"/>
        <v/>
      </c>
      <c r="I163" s="285" t="str">
        <f t="shared" ca="1" si="87"/>
        <v/>
      </c>
      <c r="J163" s="378" t="str">
        <f t="shared" si="91"/>
        <v/>
      </c>
      <c r="K163" s="66" t="str">
        <f t="shared" ca="1" si="88"/>
        <v/>
      </c>
      <c r="L163" s="66" t="str">
        <f t="shared" ca="1" si="89"/>
        <v/>
      </c>
      <c r="M163" s="66" t="str">
        <f t="shared" ca="1" si="90"/>
        <v/>
      </c>
    </row>
    <row r="164" spans="1:13" outlineLevel="1">
      <c r="A164" s="66" t="str">
        <f t="shared" ca="1" si="86"/>
        <v/>
      </c>
      <c r="B164" s="285" t="str">
        <f t="shared" ca="1" si="87"/>
        <v/>
      </c>
      <c r="C164" s="285" t="str">
        <f t="shared" ca="1" si="87"/>
        <v/>
      </c>
      <c r="D164" s="285" t="str">
        <f t="shared" ca="1" si="87"/>
        <v/>
      </c>
      <c r="E164" s="285" t="str">
        <f t="shared" ca="1" si="87"/>
        <v/>
      </c>
      <c r="F164" s="285" t="str">
        <f t="shared" ca="1" si="87"/>
        <v/>
      </c>
      <c r="G164" s="285" t="str">
        <f t="shared" ca="1" si="87"/>
        <v/>
      </c>
      <c r="H164" s="285" t="str">
        <f t="shared" ca="1" si="87"/>
        <v/>
      </c>
      <c r="I164" s="285" t="str">
        <f t="shared" ca="1" si="87"/>
        <v/>
      </c>
      <c r="J164" s="378" t="str">
        <f t="shared" si="91"/>
        <v/>
      </c>
      <c r="K164" s="66" t="str">
        <f t="shared" ca="1" si="88"/>
        <v/>
      </c>
      <c r="L164" s="66" t="str">
        <f t="shared" ca="1" si="89"/>
        <v/>
      </c>
      <c r="M164" s="66" t="str">
        <f t="shared" ca="1" si="90"/>
        <v/>
      </c>
    </row>
    <row r="165" spans="1:13" outlineLevel="1">
      <c r="A165" s="66" t="str">
        <f t="shared" ca="1" si="86"/>
        <v/>
      </c>
      <c r="B165" s="285" t="str">
        <f t="shared" ca="1" si="87"/>
        <v/>
      </c>
      <c r="C165" s="285" t="str">
        <f t="shared" ca="1" si="87"/>
        <v/>
      </c>
      <c r="D165" s="285" t="str">
        <f t="shared" ca="1" si="87"/>
        <v/>
      </c>
      <c r="E165" s="285" t="str">
        <f t="shared" ca="1" si="87"/>
        <v/>
      </c>
      <c r="F165" s="285" t="str">
        <f t="shared" ca="1" si="87"/>
        <v/>
      </c>
      <c r="G165" s="285" t="str">
        <f t="shared" ca="1" si="87"/>
        <v/>
      </c>
      <c r="H165" s="285" t="str">
        <f t="shared" ca="1" si="87"/>
        <v/>
      </c>
      <c r="I165" s="285" t="str">
        <f t="shared" ca="1" si="87"/>
        <v/>
      </c>
      <c r="J165" s="378" t="str">
        <f t="shared" si="91"/>
        <v/>
      </c>
      <c r="K165" s="66" t="str">
        <f t="shared" ca="1" si="88"/>
        <v/>
      </c>
      <c r="L165" s="66" t="str">
        <f t="shared" ca="1" si="89"/>
        <v/>
      </c>
      <c r="M165" s="66" t="str">
        <f t="shared" ca="1" si="90"/>
        <v/>
      </c>
    </row>
    <row r="166" spans="1:13" outlineLevel="1">
      <c r="A166" s="66" t="str">
        <f t="shared" ca="1" si="86"/>
        <v/>
      </c>
      <c r="B166" s="285" t="str">
        <f t="shared" ca="1" si="87"/>
        <v/>
      </c>
      <c r="C166" s="285" t="str">
        <f t="shared" ca="1" si="87"/>
        <v/>
      </c>
      <c r="D166" s="285" t="str">
        <f t="shared" ca="1" si="87"/>
        <v/>
      </c>
      <c r="E166" s="285" t="str">
        <f t="shared" ca="1" si="87"/>
        <v/>
      </c>
      <c r="F166" s="285" t="str">
        <f t="shared" ca="1" si="87"/>
        <v/>
      </c>
      <c r="G166" s="285" t="str">
        <f t="shared" ca="1" si="87"/>
        <v/>
      </c>
      <c r="H166" s="285" t="str">
        <f t="shared" ca="1" si="87"/>
        <v/>
      </c>
      <c r="I166" s="285" t="str">
        <f t="shared" ca="1" si="87"/>
        <v/>
      </c>
      <c r="J166" s="378" t="str">
        <f t="shared" si="91"/>
        <v/>
      </c>
      <c r="K166" s="66" t="str">
        <f t="shared" ca="1" si="88"/>
        <v/>
      </c>
      <c r="L166" s="66" t="str">
        <f t="shared" ca="1" si="89"/>
        <v/>
      </c>
      <c r="M166" s="66" t="str">
        <f t="shared" ca="1" si="90"/>
        <v/>
      </c>
    </row>
    <row r="167" spans="1:13" outlineLevel="1">
      <c r="A167" s="66" t="str">
        <f t="shared" ca="1" si="86"/>
        <v/>
      </c>
      <c r="B167" s="285" t="str">
        <f t="shared" ca="1" si="87"/>
        <v/>
      </c>
      <c r="C167" s="285" t="str">
        <f t="shared" ca="1" si="87"/>
        <v/>
      </c>
      <c r="D167" s="285" t="str">
        <f t="shared" ca="1" si="87"/>
        <v/>
      </c>
      <c r="E167" s="285" t="str">
        <f t="shared" ca="1" si="87"/>
        <v/>
      </c>
      <c r="F167" s="285" t="str">
        <f t="shared" ca="1" si="87"/>
        <v/>
      </c>
      <c r="G167" s="285" t="str">
        <f t="shared" ca="1" si="87"/>
        <v/>
      </c>
      <c r="H167" s="285" t="str">
        <f t="shared" ca="1" si="87"/>
        <v/>
      </c>
      <c r="I167" s="285" t="str">
        <f t="shared" ca="1" si="87"/>
        <v/>
      </c>
      <c r="J167" s="378" t="str">
        <f t="shared" si="91"/>
        <v/>
      </c>
      <c r="K167" s="66" t="str">
        <f t="shared" ca="1" si="88"/>
        <v/>
      </c>
      <c r="L167" s="66" t="str">
        <f t="shared" ca="1" si="89"/>
        <v/>
      </c>
      <c r="M167" s="66" t="str">
        <f t="shared" ca="1" si="90"/>
        <v/>
      </c>
    </row>
    <row r="168" spans="1:13" outlineLevel="1">
      <c r="A168" s="66" t="str">
        <f t="shared" ca="1" si="86"/>
        <v/>
      </c>
      <c r="B168" s="285" t="str">
        <f t="shared" ca="1" si="87"/>
        <v/>
      </c>
      <c r="C168" s="285" t="str">
        <f t="shared" ca="1" si="87"/>
        <v/>
      </c>
      <c r="D168" s="285" t="str">
        <f t="shared" ca="1" si="87"/>
        <v/>
      </c>
      <c r="E168" s="285" t="str">
        <f t="shared" ca="1" si="87"/>
        <v/>
      </c>
      <c r="F168" s="285" t="str">
        <f t="shared" ca="1" si="87"/>
        <v/>
      </c>
      <c r="G168" s="285" t="str">
        <f t="shared" ca="1" si="87"/>
        <v/>
      </c>
      <c r="H168" s="285" t="str">
        <f t="shared" ca="1" si="87"/>
        <v/>
      </c>
      <c r="I168" s="285" t="str">
        <f t="shared" ca="1" si="87"/>
        <v/>
      </c>
      <c r="J168" s="378" t="str">
        <f t="shared" si="91"/>
        <v/>
      </c>
      <c r="K168" s="66" t="str">
        <f t="shared" ca="1" si="88"/>
        <v/>
      </c>
      <c r="L168" s="66" t="str">
        <f t="shared" ca="1" si="89"/>
        <v/>
      </c>
      <c r="M168" s="66" t="str">
        <f t="shared" ca="1" si="90"/>
        <v/>
      </c>
    </row>
    <row r="169" spans="1:13" outlineLevel="1">
      <c r="A169" s="66" t="str">
        <f t="shared" ca="1" si="86"/>
        <v/>
      </c>
      <c r="B169" s="285" t="str">
        <f t="shared" ca="1" si="87"/>
        <v/>
      </c>
      <c r="C169" s="285" t="str">
        <f t="shared" ca="1" si="87"/>
        <v/>
      </c>
      <c r="D169" s="285" t="str">
        <f t="shared" ca="1" si="87"/>
        <v/>
      </c>
      <c r="E169" s="285" t="str">
        <f t="shared" ca="1" si="87"/>
        <v/>
      </c>
      <c r="F169" s="285" t="str">
        <f t="shared" ca="1" si="87"/>
        <v/>
      </c>
      <c r="G169" s="285" t="str">
        <f t="shared" ca="1" si="87"/>
        <v/>
      </c>
      <c r="H169" s="285" t="str">
        <f t="shared" ca="1" si="87"/>
        <v/>
      </c>
      <c r="I169" s="285" t="str">
        <f t="shared" ca="1" si="87"/>
        <v/>
      </c>
      <c r="J169" s="378" t="str">
        <f t="shared" si="91"/>
        <v/>
      </c>
      <c r="K169" s="66" t="str">
        <f t="shared" ca="1" si="88"/>
        <v/>
      </c>
      <c r="L169" s="66" t="str">
        <f t="shared" ca="1" si="89"/>
        <v/>
      </c>
      <c r="M169" s="66" t="str">
        <f t="shared" ca="1" si="90"/>
        <v/>
      </c>
    </row>
    <row r="170" spans="1:13">
      <c r="A170" s="129" t="s">
        <v>150</v>
      </c>
      <c r="B170" s="296">
        <f ca="1">SUM(B160:B169)</f>
        <v>0</v>
      </c>
      <c r="C170" s="296">
        <f t="shared" ref="C170:I170" ca="1" si="92">SUM(C160:C169)</f>
        <v>0</v>
      </c>
      <c r="D170" s="296">
        <f t="shared" ca="1" si="92"/>
        <v>0</v>
      </c>
      <c r="E170" s="296">
        <f t="shared" ca="1" si="92"/>
        <v>0.17099999999999999</v>
      </c>
      <c r="F170" s="296">
        <f t="shared" ca="1" si="92"/>
        <v>7.35</v>
      </c>
      <c r="G170" s="296">
        <f t="shared" ca="1" si="92"/>
        <v>2.6029999999999998</v>
      </c>
      <c r="H170" s="296">
        <f t="shared" ca="1" si="92"/>
        <v>2.6030000000000002</v>
      </c>
      <c r="I170" s="296">
        <f t="shared" ca="1" si="92"/>
        <v>2.6040000000000001</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'[3]TOTAL (SEM)'!$O$61:$S$66</f>
        <v>0.14899999999999999</v>
      </c>
      <c r="F185" s="285">
        <v>0.53100000000000003</v>
      </c>
      <c r="G185" s="285">
        <v>0.61599999999999999</v>
      </c>
      <c r="H185" s="285">
        <v>0.51100000000000001</v>
      </c>
      <c r="I185" s="285">
        <v>0.54500000000000004</v>
      </c>
      <c r="J185" s="63"/>
      <c r="K185" s="63"/>
      <c r="L185" s="63"/>
    </row>
    <row r="186" spans="1:12" outlineLevel="1">
      <c r="A186" s="61" t="s">
        <v>69</v>
      </c>
      <c r="B186" s="65"/>
      <c r="C186" s="65"/>
      <c r="D186" s="285"/>
      <c r="E186" s="285">
        <v>0</v>
      </c>
      <c r="F186" s="285">
        <v>2.4E-2</v>
      </c>
      <c r="G186" s="285">
        <v>2.5000000000000001E-2</v>
      </c>
      <c r="H186" s="285">
        <v>3.5999999999999997E-2</v>
      </c>
      <c r="I186" s="285">
        <v>2.9000000000000001E-2</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2.1999999999999999E-2</v>
      </c>
      <c r="F188" s="285">
        <v>6.7949999999999999</v>
      </c>
      <c r="G188" s="285">
        <v>1.962</v>
      </c>
      <c r="H188" s="285">
        <v>2.056</v>
      </c>
      <c r="I188" s="285">
        <v>2.0299999999999998</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3">SUM(C185:C190)</f>
        <v>0</v>
      </c>
      <c r="D191" s="296">
        <f t="shared" si="93"/>
        <v>0</v>
      </c>
      <c r="E191" s="296">
        <f t="shared" si="93"/>
        <v>0.17099999999999999</v>
      </c>
      <c r="F191" s="296">
        <f t="shared" si="93"/>
        <v>7.35</v>
      </c>
      <c r="G191" s="296">
        <f t="shared" si="93"/>
        <v>2.6029999999999998</v>
      </c>
      <c r="H191" s="296">
        <f t="shared" si="93"/>
        <v>2.6030000000000002</v>
      </c>
      <c r="I191" s="296">
        <f t="shared" si="93"/>
        <v>2.6040000000000001</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4">+B14</f>
        <v>0</v>
      </c>
      <c r="C205" s="82">
        <f t="shared" ca="1" si="94"/>
        <v>0</v>
      </c>
      <c r="D205" s="82">
        <f t="shared" ca="1" si="94"/>
        <v>6.160000000000001</v>
      </c>
      <c r="E205" s="82">
        <f t="shared" ca="1" si="94"/>
        <v>6.160000000000001</v>
      </c>
      <c r="F205" s="82">
        <f t="shared" ca="1" si="94"/>
        <v>6.160000000000001</v>
      </c>
      <c r="G205" s="82">
        <f t="shared" ca="1" si="94"/>
        <v>6.160000000000001</v>
      </c>
      <c r="H205" s="82">
        <f t="shared" ca="1" si="94"/>
        <v>6.160000000000001</v>
      </c>
      <c r="I205" s="82">
        <f t="shared" ca="1" si="94"/>
        <v>6.160000000000001</v>
      </c>
    </row>
    <row r="206" spans="1:9" outlineLevel="1">
      <c r="A206" t="s">
        <v>156</v>
      </c>
      <c r="B206" s="82">
        <f t="shared" ref="B206:I206" ca="1" si="95">+B36</f>
        <v>0</v>
      </c>
      <c r="C206" s="82">
        <f t="shared" ca="1" si="95"/>
        <v>0</v>
      </c>
      <c r="D206" s="82">
        <f t="shared" ca="1" si="95"/>
        <v>6.160000000000001</v>
      </c>
      <c r="E206" s="82">
        <f t="shared" ca="1" si="95"/>
        <v>6.3310000000000004</v>
      </c>
      <c r="F206" s="82">
        <f t="shared" ca="1" si="95"/>
        <v>13.510000000000002</v>
      </c>
      <c r="G206" s="82">
        <f t="shared" ca="1" si="95"/>
        <v>8.7630000000000017</v>
      </c>
      <c r="H206" s="82">
        <f t="shared" ca="1" si="95"/>
        <v>8.7630000000000017</v>
      </c>
      <c r="I206" s="82">
        <f t="shared" ca="1" si="95"/>
        <v>8.7640000000000011</v>
      </c>
    </row>
    <row r="207" spans="1:9" outlineLevel="1">
      <c r="A207" t="s">
        <v>157</v>
      </c>
      <c r="B207" s="82">
        <f t="shared" ref="B207:I207" ca="1" si="96">+B36+B48</f>
        <v>0</v>
      </c>
      <c r="C207" s="82">
        <f t="shared" ca="1" si="96"/>
        <v>0</v>
      </c>
      <c r="D207" s="82">
        <f t="shared" ca="1" si="96"/>
        <v>6.160000000000001</v>
      </c>
      <c r="E207" s="82">
        <f t="shared" ca="1" si="96"/>
        <v>6.3963573430124088</v>
      </c>
      <c r="F207" s="82">
        <f t="shared" ca="1" si="96"/>
        <v>13.635916529961451</v>
      </c>
      <c r="G207" s="82">
        <f t="shared" ca="1" si="96"/>
        <v>8.9487786137974723</v>
      </c>
      <c r="H207" s="82">
        <f t="shared" ca="1" si="96"/>
        <v>9.0137241669054955</v>
      </c>
      <c r="I207" s="82">
        <f t="shared" ca="1" si="96"/>
        <v>9.0742147796070416</v>
      </c>
    </row>
    <row r="208" spans="1:9" outlineLevel="1">
      <c r="A208" t="s">
        <v>158</v>
      </c>
      <c r="B208" s="82">
        <f t="shared" ref="B208:I208" ca="1" si="97">+B70</f>
        <v>0</v>
      </c>
      <c r="C208" s="82">
        <f t="shared" ca="1" si="97"/>
        <v>0</v>
      </c>
      <c r="D208" s="82">
        <f t="shared" ca="1" si="97"/>
        <v>6.160000000000001</v>
      </c>
      <c r="E208" s="82">
        <f t="shared" ca="1" si="97"/>
        <v>6.4652729273945031</v>
      </c>
      <c r="F208" s="82">
        <f t="shared" ca="1" si="97"/>
        <v>13.776267446963722</v>
      </c>
      <c r="G208" s="82">
        <f t="shared" ca="1" si="97"/>
        <v>9.1816073657443678</v>
      </c>
      <c r="H208" s="82">
        <f t="shared" ca="1" si="97"/>
        <v>9.3485642823780228</v>
      </c>
      <c r="I208" s="82">
        <f t="shared" ca="1" si="97"/>
        <v>9.5225760259666608</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38" priority="1" stopIfTrue="1" operator="notEqual">
      <formula>0</formula>
    </cfRule>
  </conditionalFormatting>
  <conditionalFormatting sqref="J130 J94 J70 J59 J48 J36:J37 J14 J25">
    <cfRule type="cellIs" dxfId="137" priority="2" stopIfTrue="1" operator="equal">
      <formula>"OK"</formula>
    </cfRule>
    <cfRule type="cellIs" dxfId="136" priority="3" stopIfTrue="1" operator="equal">
      <formula>"Warning Check Escalations"</formula>
    </cfRule>
  </conditionalFormatting>
  <conditionalFormatting sqref="N120:T120 N84:T84">
    <cfRule type="cellIs" dxfId="135" priority="4" stopIfTrue="1" operator="notEqual">
      <formula>0</formula>
    </cfRule>
    <cfRule type="cellIs" dxfId="13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allowBlank="1" showInputMessage="1" showErrorMessage="1" sqref="D5">
      <formula1>"2007/08 Regulatory Accounts, Bottom Up"</formula1>
    </dataValidation>
    <dataValidation type="list" showInputMessage="1" showErrorMessage="1" sqref="A113:A118">
      <formula1>EscalationDescription_General</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3.xml><?xml version="1.0" encoding="utf-8"?>
<worksheet xmlns="http://schemas.openxmlformats.org/spreadsheetml/2006/main" xmlns:r="http://schemas.openxmlformats.org/officeDocument/2006/relationships">
  <sheetPr codeName="Sheet37" enableFormatConditionsCalculation="0">
    <tabColor rgb="FF008000"/>
    <pageSetUpPr fitToPage="1"/>
  </sheetPr>
  <dimension ref="A1:T239"/>
  <sheetViews>
    <sheetView showGridLines="0" topLeftCell="A66"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9</v>
      </c>
      <c r="M1" s="282"/>
      <c r="N1" s="280"/>
      <c r="O1" s="280"/>
      <c r="P1" s="280"/>
      <c r="Q1" s="280"/>
      <c r="R1" s="280"/>
      <c r="S1" s="280"/>
      <c r="T1" s="280"/>
    </row>
    <row r="2" spans="1:20" ht="15.75">
      <c r="A2" s="184" t="s">
        <v>121</v>
      </c>
      <c r="B2" s="74" t="str">
        <f ca="1">OFFSET(List_DAOpexStart,+$K$1,1)</f>
        <v>Feed-in Tariffs</v>
      </c>
      <c r="F2" s="284"/>
      <c r="H2" s="42"/>
      <c r="I2" s="283"/>
      <c r="L2" s="282"/>
      <c r="M2" s="282"/>
    </row>
    <row r="3" spans="1:20" ht="16.5" thickBot="1">
      <c r="A3" s="184" t="s">
        <v>371</v>
      </c>
      <c r="B3" s="236" t="str">
        <f ca="1">OFFSET(List_DAOpexStart,+$K$1,2)</f>
        <v>Wayne Lissner</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hidden="1" outlineLevel="1">
      <c r="A5" s="207" t="s">
        <v>125</v>
      </c>
      <c r="B5" s="78"/>
      <c r="C5" s="78"/>
      <c r="D5" s="79"/>
      <c r="E5" s="78"/>
      <c r="F5" s="78"/>
      <c r="G5" s="78"/>
      <c r="H5" s="78"/>
      <c r="I5" s="78"/>
      <c r="J5" s="42"/>
    </row>
    <row r="6" spans="1:20" hidden="1" outlineLevel="1">
      <c r="B6" s="80"/>
      <c r="C6" s="80"/>
      <c r="D6" s="80"/>
      <c r="E6" s="80"/>
      <c r="F6" s="80"/>
      <c r="G6" s="80"/>
      <c r="H6" s="80"/>
      <c r="I6" s="80"/>
      <c r="J6" s="36"/>
      <c r="K6" s="21"/>
      <c r="L6" s="21"/>
    </row>
    <row r="7" spans="1:20" s="64" customFormat="1" ht="14.25" hidden="1" outlineLevel="1">
      <c r="A7" s="58" t="s">
        <v>126</v>
      </c>
      <c r="B7" s="78"/>
      <c r="C7" s="78"/>
      <c r="D7" s="78"/>
      <c r="E7" s="78"/>
      <c r="F7" s="78"/>
      <c r="G7" s="78"/>
      <c r="H7" s="78"/>
      <c r="I7" s="78"/>
      <c r="J7" s="36"/>
      <c r="K7" s="63"/>
      <c r="L7" s="63"/>
    </row>
    <row r="8" spans="1:20" hidden="1"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hidden="1"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hidden="1"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hidden="1"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ollapsed="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hidden="1" outlineLevel="1">
      <c r="A15" s="88"/>
      <c r="B15" s="89"/>
      <c r="C15" s="89"/>
      <c r="D15" s="89"/>
      <c r="E15" s="89"/>
      <c r="F15" s="89"/>
      <c r="G15" s="89"/>
      <c r="H15" s="89"/>
      <c r="I15" s="89"/>
      <c r="K15" s="21"/>
      <c r="L15" s="21"/>
    </row>
    <row r="16" spans="1:20" ht="18" hidden="1" outlineLevel="1">
      <c r="A16" s="207" t="s">
        <v>41</v>
      </c>
      <c r="B16" s="78"/>
      <c r="C16" s="78"/>
      <c r="D16" s="78"/>
      <c r="E16" s="78"/>
      <c r="F16" s="78"/>
      <c r="G16" s="78"/>
      <c r="H16" s="78"/>
      <c r="I16" s="78"/>
      <c r="J16" s="42"/>
    </row>
    <row r="17" spans="1:12" ht="18" hidden="1" outlineLevel="1">
      <c r="A17" s="77"/>
      <c r="B17" s="78"/>
      <c r="C17" s="78"/>
      <c r="D17" s="78"/>
      <c r="E17" s="78"/>
      <c r="F17" s="78"/>
      <c r="G17" s="78"/>
      <c r="H17" s="78"/>
      <c r="I17" s="78"/>
      <c r="J17" s="42"/>
    </row>
    <row r="18" spans="1:12" s="2" customFormat="1" hidden="1" outlineLevel="1">
      <c r="A18" s="58" t="s">
        <v>126</v>
      </c>
      <c r="B18" s="59"/>
      <c r="C18" s="59"/>
      <c r="D18" s="59"/>
      <c r="E18" s="59"/>
      <c r="F18" s="59"/>
      <c r="G18" s="59"/>
      <c r="H18" s="59"/>
      <c r="I18" s="59"/>
      <c r="J18" s="60"/>
      <c r="K18" s="60"/>
      <c r="L18" s="60"/>
    </row>
    <row r="19" spans="1:12" hidden="1"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hidden="1"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hidden="1"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ht="13.5" outlineLevel="1" thickBot="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hidden="1"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collapsed="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hidden="1" outlineLevel="1">
      <c r="A26" s="88"/>
      <c r="B26" s="292"/>
      <c r="C26" s="292"/>
      <c r="D26" s="292"/>
      <c r="E26" s="292"/>
      <c r="F26" s="292"/>
      <c r="G26" s="292"/>
      <c r="H26" s="292"/>
      <c r="I26" s="292"/>
      <c r="J26" s="42"/>
      <c r="K26" s="21"/>
      <c r="L26" s="21"/>
    </row>
    <row r="27" spans="1:12" ht="18.75" hidden="1" customHeight="1" outlineLevel="1">
      <c r="A27" s="207" t="s">
        <v>127</v>
      </c>
      <c r="B27" s="285"/>
      <c r="C27" s="285"/>
      <c r="D27" s="285"/>
      <c r="E27" s="285"/>
      <c r="F27" s="285"/>
      <c r="G27" s="285"/>
      <c r="H27" s="285"/>
      <c r="I27" s="285"/>
      <c r="J27" s="42"/>
    </row>
    <row r="28" spans="1:12" hidden="1" outlineLevel="1">
      <c r="A28" s="92"/>
      <c r="B28" s="293"/>
      <c r="C28" s="293"/>
      <c r="D28" s="293"/>
      <c r="E28" s="293"/>
      <c r="F28" s="293"/>
      <c r="G28" s="293"/>
      <c r="H28" s="293"/>
      <c r="I28" s="293"/>
      <c r="J28" s="42"/>
      <c r="K28" s="21"/>
      <c r="L28" s="21"/>
    </row>
    <row r="29" spans="1:12" s="64" customFormat="1" ht="14.25" hidden="1" outlineLevel="2">
      <c r="A29" s="58" t="s">
        <v>126</v>
      </c>
      <c r="B29" s="285"/>
      <c r="C29" s="285"/>
      <c r="D29" s="285"/>
      <c r="E29" s="285"/>
      <c r="F29" s="285"/>
      <c r="G29" s="285"/>
      <c r="H29" s="285"/>
      <c r="I29" s="285"/>
      <c r="J29" s="63"/>
      <c r="K29" s="63"/>
      <c r="L29" s="63"/>
    </row>
    <row r="30" spans="1:12" hidden="1" outlineLevel="2">
      <c r="A30" s="61" t="s">
        <v>68</v>
      </c>
      <c r="B30" s="285">
        <f ca="1">+'DA-9'!B8+'DA-9'!B19</f>
        <v>0</v>
      </c>
      <c r="C30" s="285">
        <f ca="1">+'DA-9'!C8+'DA-9'!C19</f>
        <v>0</v>
      </c>
      <c r="D30" s="285">
        <f ca="1">+'DA-9'!D8+'DA-9'!D19</f>
        <v>0</v>
      </c>
      <c r="E30" s="285">
        <f ca="1">+'DA-9'!E8+'DA-9'!E19</f>
        <v>0</v>
      </c>
      <c r="F30" s="285">
        <f ca="1">+'DA-9'!F8+'DA-9'!F19</f>
        <v>0</v>
      </c>
      <c r="G30" s="285">
        <f ca="1">+'DA-9'!G8+'DA-9'!G19</f>
        <v>0</v>
      </c>
      <c r="H30" s="285">
        <f ca="1">+'DA-9'!H8+'DA-9'!H19</f>
        <v>0</v>
      </c>
      <c r="I30" s="285">
        <f ca="1">+'DA-9'!I8+'DA-9'!I19</f>
        <v>0</v>
      </c>
      <c r="J30" s="42"/>
      <c r="K30" s="21"/>
      <c r="L30" s="21"/>
    </row>
    <row r="31" spans="1:12" hidden="1" outlineLevel="2">
      <c r="A31" s="61" t="s">
        <v>69</v>
      </c>
      <c r="B31" s="285">
        <f ca="1">+'DA-9'!B9+'DA-9'!B20</f>
        <v>0</v>
      </c>
      <c r="C31" s="285">
        <f ca="1">+'DA-9'!C9+'DA-9'!C20</f>
        <v>0</v>
      </c>
      <c r="D31" s="285">
        <f ca="1">+'DA-9'!D9+'DA-9'!D20</f>
        <v>0</v>
      </c>
      <c r="E31" s="285">
        <f ca="1">+'DA-9'!E9+'DA-9'!E20</f>
        <v>0</v>
      </c>
      <c r="F31" s="285">
        <f ca="1">+'DA-9'!F9+'DA-9'!F20</f>
        <v>0</v>
      </c>
      <c r="G31" s="285">
        <f ca="1">+'DA-9'!G9+'DA-9'!G20</f>
        <v>0</v>
      </c>
      <c r="H31" s="285">
        <f ca="1">+'DA-9'!H9+'DA-9'!H20</f>
        <v>0</v>
      </c>
      <c r="I31" s="285">
        <f ca="1">+'DA-9'!I9+'DA-9'!I20</f>
        <v>0</v>
      </c>
      <c r="J31" s="42"/>
      <c r="K31" s="21"/>
      <c r="L31" s="21"/>
    </row>
    <row r="32" spans="1:12" s="759" customFormat="1" outlineLevel="2">
      <c r="A32" s="61" t="s">
        <v>646</v>
      </c>
      <c r="B32" s="285">
        <f ca="1">+'DA-9'!B10+'DA-9'!B21</f>
        <v>0</v>
      </c>
      <c r="C32" s="285">
        <f ca="1">+'DA-9'!C10+'DA-9'!C21</f>
        <v>0</v>
      </c>
      <c r="D32" s="285">
        <f ca="1">+'DA-9'!D10+'DA-9'!D21</f>
        <v>0</v>
      </c>
      <c r="E32" s="285">
        <f ca="1">+'DA-9'!E10+'DA-9'!E21</f>
        <v>0</v>
      </c>
      <c r="F32" s="285">
        <f ca="1">+'DA-9'!F10+'DA-9'!F21</f>
        <v>0</v>
      </c>
      <c r="G32" s="285">
        <f ca="1">+'DA-9'!G10+'DA-9'!G21</f>
        <v>0</v>
      </c>
      <c r="H32" s="285">
        <f ca="1">+'DA-9'!H10+'DA-9'!H21</f>
        <v>0</v>
      </c>
      <c r="I32" s="285">
        <f ca="1">+'DA-9'!I10+'DA-9'!I21</f>
        <v>0</v>
      </c>
      <c r="J32" s="42"/>
      <c r="K32" s="732"/>
      <c r="L32" s="732"/>
    </row>
    <row r="33" spans="1:12" hidden="1" outlineLevel="2">
      <c r="A33" s="61" t="s">
        <v>647</v>
      </c>
      <c r="B33" s="285">
        <f ca="1">+'DA-9'!B11+'DA-9'!B22</f>
        <v>0</v>
      </c>
      <c r="C33" s="285">
        <f ca="1">+'DA-9'!C11+'DA-9'!C22</f>
        <v>0</v>
      </c>
      <c r="D33" s="285">
        <f ca="1">+'DA-9'!D11+'DA-9'!D22</f>
        <v>0</v>
      </c>
      <c r="E33" s="285">
        <f ca="1">+'DA-9'!E11+'DA-9'!E22</f>
        <v>0</v>
      </c>
      <c r="F33" s="285">
        <f ca="1">+'DA-9'!F11+'DA-9'!F22</f>
        <v>0</v>
      </c>
      <c r="G33" s="285">
        <f ca="1">+'DA-9'!G11+'DA-9'!G22</f>
        <v>0</v>
      </c>
      <c r="H33" s="285">
        <f ca="1">+'DA-9'!H11+'DA-9'!H22</f>
        <v>0</v>
      </c>
      <c r="I33" s="285">
        <f ca="1">+'DA-9'!I11+'DA-9'!I22</f>
        <v>0</v>
      </c>
      <c r="J33" s="42"/>
      <c r="K33" s="21"/>
      <c r="L33" s="21"/>
    </row>
    <row r="34" spans="1:12" s="759" customFormat="1" ht="13.5" outlineLevel="2" thickBot="1">
      <c r="A34" s="61" t="s">
        <v>575</v>
      </c>
      <c r="B34" s="285">
        <f ca="1">+'DA-9'!B12+'DA-9'!B23</f>
        <v>0</v>
      </c>
      <c r="C34" s="285">
        <f ca="1">+'DA-9'!C12+'DA-9'!C23</f>
        <v>0</v>
      </c>
      <c r="D34" s="285">
        <f ca="1">+'DA-9'!D12+'DA-9'!D23</f>
        <v>0</v>
      </c>
      <c r="E34" s="285">
        <f ca="1">+'DA-9'!E12+'DA-9'!E23</f>
        <v>0</v>
      </c>
      <c r="F34" s="285">
        <f ca="1">+'DA-9'!F12+'DA-9'!F23</f>
        <v>0</v>
      </c>
      <c r="G34" s="285">
        <f ca="1">+'DA-9'!G12+'DA-9'!G23</f>
        <v>0</v>
      </c>
      <c r="H34" s="285">
        <f ca="1">+'DA-9'!H12+'DA-9'!H23</f>
        <v>0</v>
      </c>
      <c r="I34" s="285">
        <f ca="1">+'DA-9'!I12+'DA-9'!I23</f>
        <v>0</v>
      </c>
      <c r="J34" s="42"/>
      <c r="K34" s="732"/>
      <c r="L34" s="732"/>
    </row>
    <row r="35" spans="1:12" ht="13.5" hidden="1" outlineLevel="2" thickBot="1">
      <c r="A35" s="83" t="s">
        <v>70</v>
      </c>
      <c r="B35" s="285">
        <f ca="1">+'DA-9'!B13+'DA-9'!B24</f>
        <v>0</v>
      </c>
      <c r="C35" s="285">
        <f ca="1">+'DA-9'!C13+'DA-9'!C24</f>
        <v>0</v>
      </c>
      <c r="D35" s="285">
        <f ca="1">+'DA-9'!D13+'DA-9'!D24</f>
        <v>0</v>
      </c>
      <c r="E35" s="285">
        <f ca="1">+'DA-9'!E13+'DA-9'!E24</f>
        <v>0</v>
      </c>
      <c r="F35" s="285">
        <f ca="1">+'DA-9'!F13+'DA-9'!F24</f>
        <v>0</v>
      </c>
      <c r="G35" s="285">
        <f ca="1">+'DA-9'!G13+'DA-9'!G24</f>
        <v>0</v>
      </c>
      <c r="H35" s="285">
        <f ca="1">+'DA-9'!H13+'DA-9'!H24</f>
        <v>0</v>
      </c>
      <c r="I35" s="285">
        <f ca="1">+'DA-9'!I13+'DA-9'!I24</f>
        <v>0</v>
      </c>
      <c r="J35" s="93"/>
      <c r="K35" s="21"/>
      <c r="L35" s="21"/>
    </row>
    <row r="36" spans="1:12" s="87" customFormat="1" ht="20.25" customHeight="1" collapsed="1" thickBot="1">
      <c r="A36" s="94" t="s">
        <v>128</v>
      </c>
      <c r="B36" s="294">
        <f t="shared" ref="B36:I36" ca="1" si="7">SUM(B30:B35)</f>
        <v>0</v>
      </c>
      <c r="C36" s="294">
        <f t="shared" ca="1" si="7"/>
        <v>0</v>
      </c>
      <c r="D36" s="294">
        <f t="shared" ca="1" si="7"/>
        <v>0</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hidden="1" outlineLevel="1">
      <c r="A38" s="88"/>
      <c r="B38" s="89"/>
      <c r="C38" s="89"/>
      <c r="D38" s="89"/>
      <c r="E38" s="89"/>
      <c r="F38" s="89"/>
      <c r="G38" s="89"/>
      <c r="H38" s="89"/>
      <c r="I38" s="89"/>
      <c r="K38" s="42"/>
      <c r="L38" s="21"/>
    </row>
    <row r="39" spans="1:12" ht="18" hidden="1" outlineLevel="1">
      <c r="A39" s="207" t="s">
        <v>42</v>
      </c>
      <c r="B39" s="78"/>
      <c r="C39" s="78"/>
      <c r="D39" s="78"/>
      <c r="E39" s="78"/>
      <c r="F39" s="78"/>
      <c r="G39" s="78"/>
      <c r="H39" s="78"/>
      <c r="I39" s="78"/>
      <c r="K39" s="42"/>
    </row>
    <row r="40" spans="1:12" ht="18" hidden="1" outlineLevel="1">
      <c r="A40" s="77"/>
      <c r="B40" s="78"/>
      <c r="C40" s="78"/>
      <c r="D40" s="78"/>
      <c r="E40" s="78"/>
      <c r="F40" s="78"/>
      <c r="G40" s="78"/>
      <c r="H40" s="78"/>
      <c r="I40" s="78"/>
      <c r="K40" s="42"/>
    </row>
    <row r="41" spans="1:12" s="2" customFormat="1" hidden="1" outlineLevel="1">
      <c r="A41" s="58" t="s">
        <v>126</v>
      </c>
      <c r="B41" s="78"/>
      <c r="C41" s="78"/>
      <c r="D41" s="78"/>
      <c r="E41" s="78"/>
      <c r="F41" s="78"/>
      <c r="G41" s="78"/>
      <c r="H41" s="78"/>
      <c r="I41" s="78"/>
      <c r="K41" s="60"/>
      <c r="L41" s="60"/>
    </row>
    <row r="42" spans="1:12" s="64" customFormat="1" ht="14.25" hidden="1"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hidden="1"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hidden="1"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ht="13.5" outlineLevel="1" thickBot="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hidden="1"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collapsed="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hidden="1" outlineLevel="1">
      <c r="A49" s="88"/>
      <c r="B49" s="89"/>
      <c r="C49" s="89"/>
      <c r="D49" s="89"/>
      <c r="E49" s="89"/>
      <c r="F49" s="89"/>
      <c r="G49" s="89"/>
      <c r="H49" s="89"/>
      <c r="I49" s="89"/>
      <c r="K49" s="42"/>
      <c r="L49" s="21"/>
    </row>
    <row r="50" spans="1:12" ht="18" hidden="1" outlineLevel="1">
      <c r="A50" s="207" t="s">
        <v>43</v>
      </c>
      <c r="B50" s="78"/>
      <c r="C50" s="78"/>
      <c r="D50" s="78"/>
      <c r="E50" s="78"/>
      <c r="F50" s="78"/>
      <c r="G50" s="78"/>
      <c r="H50" s="78"/>
      <c r="I50" s="78"/>
      <c r="K50" s="42"/>
    </row>
    <row r="51" spans="1:12" ht="18" hidden="1" outlineLevel="1">
      <c r="A51" s="77"/>
      <c r="B51" s="78"/>
      <c r="C51" s="78"/>
      <c r="D51" s="78"/>
      <c r="E51" s="78"/>
      <c r="F51" s="78"/>
      <c r="G51" s="78"/>
      <c r="H51" s="78"/>
      <c r="I51" s="78"/>
      <c r="K51" s="42"/>
    </row>
    <row r="52" spans="1:12" s="2" customFormat="1" hidden="1" outlineLevel="1">
      <c r="A52" s="58" t="s">
        <v>126</v>
      </c>
      <c r="B52" s="78"/>
      <c r="C52" s="78"/>
      <c r="D52" s="78"/>
      <c r="E52" s="78"/>
      <c r="F52" s="78"/>
      <c r="G52" s="78"/>
      <c r="H52" s="78"/>
      <c r="I52" s="78"/>
      <c r="K52" s="60"/>
      <c r="L52" s="60"/>
    </row>
    <row r="53" spans="1:12" s="64" customFormat="1" ht="14.25" hidden="1"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hidden="1"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hidden="1"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ht="13.5" outlineLevel="1" thickBot="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hidden="1"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collapsed="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hidden="1" outlineLevel="1">
      <c r="A60" s="88"/>
      <c r="B60" s="89"/>
      <c r="C60" s="89"/>
      <c r="D60" s="89"/>
      <c r="E60" s="89"/>
      <c r="F60" s="89"/>
      <c r="G60" s="89"/>
      <c r="H60" s="89"/>
      <c r="I60" s="89"/>
      <c r="K60" s="42"/>
      <c r="L60" s="21"/>
    </row>
    <row r="61" spans="1:12" ht="18.75" hidden="1"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hidden="1" customHeight="1" outlineLevel="1">
      <c r="A62" s="77"/>
      <c r="B62" s="76"/>
      <c r="C62" s="76"/>
      <c r="D62" s="76"/>
      <c r="E62" s="76"/>
      <c r="F62" s="76"/>
      <c r="G62" s="76"/>
      <c r="H62" s="76"/>
      <c r="I62" s="76"/>
      <c r="K62" s="42"/>
    </row>
    <row r="63" spans="1:12" s="2" customFormat="1" hidden="1" outlineLevel="1">
      <c r="A63" s="58" t="s">
        <v>126</v>
      </c>
      <c r="B63" s="78"/>
      <c r="C63" s="78"/>
      <c r="D63" s="78"/>
      <c r="E63" s="78"/>
      <c r="F63" s="78"/>
      <c r="G63" s="78"/>
      <c r="H63" s="78"/>
      <c r="I63" s="78"/>
      <c r="K63" s="60"/>
      <c r="L63" s="60"/>
    </row>
    <row r="64" spans="1:12" s="64" customFormat="1" ht="12.75" hidden="1"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hidden="1"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hidden="1"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thickBot="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hidden="1"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collapsed="1" thickBot="1">
      <c r="A70" s="99" t="s">
        <v>129</v>
      </c>
      <c r="B70" s="295">
        <f t="shared" ref="B70:I70" ca="1" si="25">SUM(B64:B69)</f>
        <v>0</v>
      </c>
      <c r="C70" s="295">
        <f t="shared" ca="1" si="25"/>
        <v>0</v>
      </c>
      <c r="D70" s="295">
        <f t="shared" ca="1" si="25"/>
        <v>0</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hidden="1" outlineLevel="1">
      <c r="A109" s="208" t="s">
        <v>145</v>
      </c>
      <c r="B109" s="209"/>
      <c r="C109" s="209"/>
      <c r="D109" s="209"/>
      <c r="E109" s="209"/>
      <c r="F109" s="209"/>
      <c r="G109" s="209"/>
      <c r="H109" s="209"/>
      <c r="I109" s="210"/>
      <c r="J109" s="211" t="s">
        <v>133</v>
      </c>
      <c r="K109" s="211" t="s">
        <v>134</v>
      </c>
    </row>
    <row r="110" spans="1:20" ht="13.5" hidden="1" outlineLevel="1" thickBot="1">
      <c r="A110" s="212" t="s">
        <v>135</v>
      </c>
      <c r="B110" s="213"/>
      <c r="C110" s="213"/>
      <c r="D110" s="213"/>
      <c r="E110" s="213"/>
      <c r="F110" s="213"/>
      <c r="G110" s="213"/>
      <c r="H110" s="213"/>
      <c r="I110" s="213"/>
      <c r="J110" s="211"/>
      <c r="K110" s="211"/>
      <c r="N110" s="410" t="s">
        <v>377</v>
      </c>
    </row>
    <row r="111" spans="1:20" ht="25.5" hidden="1"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hidden="1" outlineLevel="1">
      <c r="A112" s="58" t="s">
        <v>45</v>
      </c>
      <c r="B112" s="42"/>
      <c r="C112" s="42"/>
      <c r="D112" s="42"/>
      <c r="E112" s="42"/>
      <c r="F112" s="42"/>
      <c r="G112" s="42"/>
      <c r="H112" s="42"/>
      <c r="I112" s="78"/>
      <c r="J112" s="4"/>
    </row>
    <row r="113" spans="1:20" hidden="1"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hidden="1"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hidden="1"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hidden="1"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hidden="1"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hidden="1" outlineLevel="1">
      <c r="A121" s="208" t="s">
        <v>146</v>
      </c>
      <c r="B121" s="209"/>
      <c r="C121" s="209"/>
      <c r="D121" s="209"/>
      <c r="E121" s="209"/>
      <c r="F121" s="209"/>
      <c r="G121" s="209"/>
      <c r="H121" s="209"/>
      <c r="I121" s="210"/>
    </row>
    <row r="122" spans="1:20" hidden="1"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hidden="1"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hidden="1"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hidden="1"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hidden="1"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hidden="1"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hidden="1"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hidden="1" outlineLevel="1">
      <c r="B131" s="42"/>
      <c r="C131" s="42"/>
      <c r="D131" s="42"/>
      <c r="E131" s="42"/>
      <c r="F131" s="42"/>
      <c r="G131" s="42"/>
      <c r="H131" s="42"/>
      <c r="I131" s="78"/>
    </row>
    <row r="132" spans="1:16" ht="13.5" hidden="1" outlineLevel="1" thickBot="1">
      <c r="A132" s="208" t="s">
        <v>147</v>
      </c>
      <c r="B132" s="209"/>
      <c r="C132" s="209"/>
      <c r="D132" s="209"/>
      <c r="E132" s="209"/>
      <c r="F132" s="209"/>
      <c r="G132" s="209"/>
      <c r="H132" s="209"/>
      <c r="I132" s="210"/>
    </row>
    <row r="133" spans="1:16" hidden="1"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hidden="1"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hidden="1"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hidden="1"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hidden="1"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hidden="1"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hidden="1"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hidden="1" outlineLevel="1"/>
    <row r="143" spans="1:16" collapsed="1">
      <c r="K143" s="127"/>
    </row>
    <row r="144" spans="1:16">
      <c r="K144" s="127"/>
    </row>
    <row r="145" spans="1:13" ht="18">
      <c r="A145" s="206" t="s">
        <v>72</v>
      </c>
      <c r="B145" s="202"/>
      <c r="C145" s="202"/>
      <c r="D145" s="202"/>
      <c r="E145" s="202"/>
      <c r="F145" s="202"/>
      <c r="G145" s="202"/>
      <c r="H145" s="202"/>
      <c r="I145" s="203"/>
      <c r="J145" s="42"/>
    </row>
    <row r="146" spans="1:13" ht="13.5" hidden="1" outlineLevel="1" thickBot="1">
      <c r="A146" s="215" t="s">
        <v>149</v>
      </c>
      <c r="B146" s="209"/>
      <c r="C146" s="209"/>
      <c r="D146" s="209"/>
      <c r="E146" s="209"/>
      <c r="F146" s="209"/>
      <c r="G146" s="209"/>
      <c r="H146" s="209"/>
      <c r="I146" s="210"/>
      <c r="J146" s="42"/>
    </row>
    <row r="147" spans="1:13" hidden="1"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hidden="1" outlineLevel="1">
      <c r="A148" s="58" t="s">
        <v>126</v>
      </c>
      <c r="B148" s="128"/>
      <c r="C148" s="59"/>
      <c r="D148" s="59"/>
      <c r="E148" s="59"/>
      <c r="F148" s="59"/>
      <c r="G148" s="59"/>
      <c r="H148" s="59"/>
      <c r="I148" s="59"/>
      <c r="J148" s="60"/>
      <c r="K148" s="60"/>
      <c r="L148" s="60"/>
    </row>
    <row r="149" spans="1:13" s="64" customFormat="1" ht="14.25" hidden="1"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hidden="1"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hidden="1"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hidden="1"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hidden="1"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ollapsed="1">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'[2]DA SEM Non Network'!$N$15:$R$20</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0</v>
      </c>
      <c r="E205" s="82">
        <f t="shared" ca="1" si="93"/>
        <v>0</v>
      </c>
      <c r="F205" s="82">
        <f t="shared" ca="1" si="93"/>
        <v>0</v>
      </c>
      <c r="G205" s="82">
        <f t="shared" ca="1" si="93"/>
        <v>0</v>
      </c>
      <c r="H205" s="82">
        <f t="shared" ca="1" si="93"/>
        <v>0</v>
      </c>
      <c r="I205" s="82">
        <f t="shared" ca="1" si="93"/>
        <v>0</v>
      </c>
    </row>
    <row r="206" spans="1:9" outlineLevel="1">
      <c r="A206" t="s">
        <v>156</v>
      </c>
      <c r="B206" s="82">
        <f t="shared" ref="B206:I206" ca="1" si="94">+B36</f>
        <v>0</v>
      </c>
      <c r="C206" s="82">
        <f t="shared" ca="1" si="94"/>
        <v>0</v>
      </c>
      <c r="D206" s="82">
        <f t="shared" ca="1" si="94"/>
        <v>0</v>
      </c>
      <c r="E206" s="82">
        <f t="shared" ca="1" si="94"/>
        <v>0</v>
      </c>
      <c r="F206" s="82">
        <f t="shared" ca="1" si="94"/>
        <v>0</v>
      </c>
      <c r="G206" s="82">
        <f t="shared" ca="1" si="94"/>
        <v>0</v>
      </c>
      <c r="H206" s="82">
        <f t="shared" ca="1" si="94"/>
        <v>0</v>
      </c>
      <c r="I206" s="82">
        <f t="shared" ca="1" si="94"/>
        <v>0</v>
      </c>
    </row>
    <row r="207" spans="1:9" outlineLevel="1">
      <c r="A207" t="s">
        <v>157</v>
      </c>
      <c r="B207" s="82">
        <f t="shared" ref="B207:I207" ca="1" si="95">+B36+B48</f>
        <v>0</v>
      </c>
      <c r="C207" s="82">
        <f t="shared" ca="1" si="95"/>
        <v>0</v>
      </c>
      <c r="D207" s="82">
        <f t="shared" ca="1" si="95"/>
        <v>0</v>
      </c>
      <c r="E207" s="82">
        <f t="shared" ca="1" si="95"/>
        <v>0</v>
      </c>
      <c r="F207" s="82">
        <f t="shared" ca="1" si="95"/>
        <v>0</v>
      </c>
      <c r="G207" s="82">
        <f t="shared" ca="1" si="95"/>
        <v>0</v>
      </c>
      <c r="H207" s="82">
        <f t="shared" ca="1" si="95"/>
        <v>0</v>
      </c>
      <c r="I207" s="82">
        <f t="shared" ca="1" si="95"/>
        <v>0</v>
      </c>
    </row>
    <row r="208" spans="1:9" outlineLevel="1">
      <c r="A208" t="s">
        <v>158</v>
      </c>
      <c r="B208" s="82">
        <f t="shared" ref="B208:I208" ca="1" si="96">+B70</f>
        <v>0</v>
      </c>
      <c r="C208" s="82">
        <f t="shared" ca="1" si="96"/>
        <v>0</v>
      </c>
      <c r="D208" s="82">
        <f t="shared" ca="1" si="96"/>
        <v>0</v>
      </c>
      <c r="E208" s="82">
        <f t="shared" ca="1" si="96"/>
        <v>0</v>
      </c>
      <c r="F208" s="82">
        <f t="shared" ca="1" si="96"/>
        <v>0</v>
      </c>
      <c r="G208" s="82">
        <f t="shared" ca="1" si="96"/>
        <v>0</v>
      </c>
      <c r="H208" s="82">
        <f t="shared" ca="1" si="96"/>
        <v>0</v>
      </c>
      <c r="I208" s="82">
        <f t="shared" ca="1" si="96"/>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33" priority="1" stopIfTrue="1" operator="notEqual">
      <formula>0</formula>
    </cfRule>
  </conditionalFormatting>
  <conditionalFormatting sqref="J130 J94 J70 J59 J48 J36:J37 J14 J25">
    <cfRule type="cellIs" dxfId="132" priority="2" stopIfTrue="1" operator="equal">
      <formula>"OK"</formula>
    </cfRule>
    <cfRule type="cellIs" dxfId="131" priority="3" stopIfTrue="1" operator="equal">
      <formula>"Warning Check Escalations"</formula>
    </cfRule>
  </conditionalFormatting>
  <conditionalFormatting sqref="N120:T120 N84:T84">
    <cfRule type="cellIs" dxfId="130" priority="4" stopIfTrue="1" operator="notEqual">
      <formula>0</formula>
    </cfRule>
    <cfRule type="cellIs" dxfId="12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4.xml><?xml version="1.0" encoding="utf-8"?>
<worksheet xmlns="http://schemas.openxmlformats.org/spreadsheetml/2006/main" xmlns:r="http://schemas.openxmlformats.org/officeDocument/2006/relationships">
  <sheetPr codeName="Sheet38" enableFormatConditionsCalculation="0">
    <tabColor rgb="FF008000"/>
    <pageSetUpPr fitToPage="1"/>
  </sheetPr>
  <dimension ref="A1:T239"/>
  <sheetViews>
    <sheetView showGridLines="0" topLeftCell="A2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10</v>
      </c>
      <c r="M1" s="282"/>
      <c r="N1" s="280"/>
      <c r="O1" s="280"/>
      <c r="P1" s="280"/>
      <c r="Q1" s="280"/>
      <c r="R1" s="280"/>
      <c r="S1" s="280"/>
      <c r="T1" s="280"/>
    </row>
    <row r="2" spans="1:20" ht="15.75">
      <c r="A2" s="184" t="s">
        <v>121</v>
      </c>
      <c r="B2" s="74" t="str">
        <f ca="1">OFFSET(List_DAOpexStart,+$K$1,1)</f>
        <v>Regulatory Compliance</v>
      </c>
      <c r="F2" s="284"/>
      <c r="H2" s="42"/>
      <c r="I2" s="283"/>
      <c r="L2" s="282"/>
      <c r="M2" s="282"/>
    </row>
    <row r="3" spans="1:20" ht="16.5" thickBot="1">
      <c r="A3" s="184" t="s">
        <v>371</v>
      </c>
      <c r="B3" s="236" t="str">
        <f ca="1">OFFSET(List_DAOpexStart,+$K$1,2)</f>
        <v>Jehad Ali</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hidden="1" outlineLevel="1">
      <c r="A5" s="207" t="s">
        <v>125</v>
      </c>
      <c r="B5" s="78"/>
      <c r="C5" s="78"/>
      <c r="D5" s="79"/>
      <c r="E5" s="78"/>
      <c r="F5" s="78"/>
      <c r="G5" s="78"/>
      <c r="H5" s="78"/>
      <c r="I5" s="78"/>
      <c r="J5" s="42"/>
    </row>
    <row r="6" spans="1:20" hidden="1" outlineLevel="1">
      <c r="B6" s="80"/>
      <c r="C6" s="80"/>
      <c r="D6" s="80"/>
      <c r="E6" s="80"/>
      <c r="F6" s="80"/>
      <c r="G6" s="80"/>
      <c r="H6" s="80"/>
      <c r="I6" s="80"/>
      <c r="J6" s="36"/>
      <c r="K6" s="21"/>
      <c r="L6" s="21"/>
    </row>
    <row r="7" spans="1:20" s="64" customFormat="1" ht="14.25" hidden="1" outlineLevel="1">
      <c r="A7" s="58" t="s">
        <v>126</v>
      </c>
      <c r="B7" s="78"/>
      <c r="C7" s="78"/>
      <c r="D7" s="78"/>
      <c r="E7" s="78"/>
      <c r="F7" s="78"/>
      <c r="G7" s="78"/>
      <c r="H7" s="78"/>
      <c r="I7" s="78"/>
      <c r="J7" s="36"/>
      <c r="K7" s="63"/>
      <c r="L7" s="63"/>
    </row>
    <row r="8" spans="1:20" hidden="1" outlineLevel="1">
      <c r="A8" s="61" t="s">
        <v>68</v>
      </c>
      <c r="B8" s="285">
        <f ca="1">OFFSET(List_NWOpexStart,MATCH($K$1,'I-4 History'!$A$7:$A$222)+2,0)</f>
        <v>0</v>
      </c>
      <c r="C8" s="285">
        <f ca="1">OFFSET(Future_DAOpexStart,MATCH($K$1,'I-5 Future DA'!$A$6:$A$222)+2,+'I-5 Future DA'!D$5)</f>
        <v>0</v>
      </c>
      <c r="D8" s="285">
        <f ca="1">OFFSET(Future_DAOpexStart,MATCH($K$1,'I-5 Future DA'!$A$6:$A$222)+2,+'I-5 Future DA'!E$5)</f>
        <v>3.0390000000000001</v>
      </c>
      <c r="E8" s="285">
        <f ca="1">OFFSET(Future_DAOpexStart,MATCH($K$1,'I-5 Future DA'!$A$6:$A$222)+2,+'I-5 Future DA'!F$5)</f>
        <v>3.0390000000000001</v>
      </c>
      <c r="F8" s="285">
        <f ca="1">OFFSET(Future_DAOpexStart,MATCH($K$1,'I-5 Future DA'!$A$6:$A$222)+2,+'I-5 Future DA'!G$5)</f>
        <v>3.0390000000000001</v>
      </c>
      <c r="G8" s="285">
        <f ca="1">OFFSET(Future_DAOpexStart,MATCH($K$1,'I-5 Future DA'!$A$6:$A$222)+2,+'I-5 Future DA'!H$5)</f>
        <v>3.0390000000000001</v>
      </c>
      <c r="H8" s="285">
        <f ca="1">OFFSET(Future_DAOpexStart,MATCH($K$1,'I-5 Future DA'!$A$6:$A$222)+2,+'I-5 Future DA'!I$5)</f>
        <v>3.0390000000000001</v>
      </c>
      <c r="I8" s="285">
        <f ca="1">OFFSET(Future_DAOpexStart,MATCH($K$1,'I-5 Future DA'!$A$6:$A$222)+2,+'I-5 Future DA'!J$5)</f>
        <v>3.0390000000000001</v>
      </c>
      <c r="J8" s="81"/>
      <c r="K8" s="21"/>
      <c r="L8" s="21"/>
    </row>
    <row r="9" spans="1:20" hidden="1" outlineLevel="1">
      <c r="A9" s="61" t="s">
        <v>69</v>
      </c>
      <c r="B9" s="285">
        <f ca="1">OFFSET(List_NWOpexStart,MATCH($K$1,'I-4 History'!$A$7:$A$222)+3,0)</f>
        <v>0</v>
      </c>
      <c r="C9" s="285">
        <f ca="1">OFFSET(Future_DAOpexStart,MATCH($K$1,'I-5 Future DA'!$A$6:$A$222)+3,+'I-5 Future DA'!D$5)</f>
        <v>0</v>
      </c>
      <c r="D9" s="285">
        <f ca="1">OFFSET(Future_DAOpexStart,MATCH($K$1,'I-5 Future DA'!$A$6:$A$222)+3,+'I-5 Future DA'!E$5)</f>
        <v>5.1999999999999998E-2</v>
      </c>
      <c r="E9" s="285">
        <f ca="1">OFFSET(Future_DAOpexStart,MATCH($K$1,'I-5 Future DA'!$A$6:$A$222)+3,+'I-5 Future DA'!F$5)</f>
        <v>5.1999999999999998E-2</v>
      </c>
      <c r="F9" s="285">
        <f ca="1">OFFSET(Future_DAOpexStart,MATCH($K$1,'I-5 Future DA'!$A$6:$A$222)+3,+'I-5 Future DA'!G$5)</f>
        <v>5.1999999999999998E-2</v>
      </c>
      <c r="G9" s="285">
        <f ca="1">OFFSET(Future_DAOpexStart,MATCH($K$1,'I-5 Future DA'!$A$6:$A$222)+3,+'I-5 Future DA'!H$5)</f>
        <v>5.1999999999999998E-2</v>
      </c>
      <c r="H9" s="285">
        <f ca="1">OFFSET(Future_DAOpexStart,MATCH($K$1,'I-5 Future DA'!$A$6:$A$222)+3,+'I-5 Future DA'!I$5)</f>
        <v>5.1999999999999998E-2</v>
      </c>
      <c r="I9" s="285">
        <f ca="1">OFFSET(Future_DAOpexStart,MATCH($K$1,'I-5 Future DA'!$A$6:$A$222)+3,+'I-5 Future DA'!J$5)</f>
        <v>5.1999999999999998E-2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1E-3</v>
      </c>
      <c r="E10" s="285">
        <f ca="1">OFFSET(Future_DAOpexStart,MATCH($K$1,'I-5 Future DA'!$A$6:$A$222)+4,+'I-5 Future DA'!F$5)</f>
        <v>1E-3</v>
      </c>
      <c r="F10" s="285">
        <f ca="1">OFFSET(Future_DAOpexStart,MATCH($K$1,'I-5 Future DA'!$A$6:$A$222)+4,+'I-5 Future DA'!G$5)</f>
        <v>1E-3</v>
      </c>
      <c r="G10" s="285">
        <f ca="1">OFFSET(Future_DAOpexStart,MATCH($K$1,'I-5 Future DA'!$A$6:$A$222)+4,+'I-5 Future DA'!H$5)</f>
        <v>1E-3</v>
      </c>
      <c r="H10" s="285">
        <f ca="1">OFFSET(Future_DAOpexStart,MATCH($K$1,'I-5 Future DA'!$A$6:$A$222)+4,+'I-5 Future DA'!I$5)</f>
        <v>1E-3</v>
      </c>
      <c r="I10" s="285">
        <f ca="1">OFFSET(Future_DAOpexStart,MATCH($K$1,'I-5 Future DA'!$A$6:$A$222)+4,+'I-5 Future DA'!J$5)</f>
        <v>1E-3</v>
      </c>
      <c r="J10" s="36"/>
      <c r="K10" s="732"/>
      <c r="L10" s="732"/>
    </row>
    <row r="11" spans="1:20" hidden="1"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0.34400000000000003</v>
      </c>
      <c r="E11" s="285">
        <f ca="1">OFFSET(Future_DAOpexStart,MATCH($K$1,'I-5 Future DA'!$A$6:$A$222)+5,+'I-5 Future DA'!F$5)</f>
        <v>0.34400000000000003</v>
      </c>
      <c r="F11" s="285">
        <f ca="1">OFFSET(Future_DAOpexStart,MATCH($K$1,'I-5 Future DA'!$A$6:$A$222)+5,+'I-5 Future DA'!G$5)</f>
        <v>0.34400000000000003</v>
      </c>
      <c r="G11" s="285">
        <f ca="1">OFFSET(Future_DAOpexStart,MATCH($K$1,'I-5 Future DA'!$A$6:$A$222)+5,+'I-5 Future DA'!H$5)</f>
        <v>0.34400000000000003</v>
      </c>
      <c r="H11" s="285">
        <f ca="1">OFFSET(Future_DAOpexStart,MATCH($K$1,'I-5 Future DA'!$A$6:$A$222)+5,+'I-5 Future DA'!I$5)</f>
        <v>0.34400000000000003</v>
      </c>
      <c r="I11" s="285">
        <f ca="1">OFFSET(Future_DAOpexStart,MATCH($K$1,'I-5 Future DA'!$A$6:$A$222)+5,+'I-5 Future DA'!J$5)</f>
        <v>0.34400000000000003</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0.24099999999999999</v>
      </c>
      <c r="E12" s="285">
        <f ca="1">OFFSET(Future_DAOpexStart,MATCH($K$1,'I-5 Future DA'!$A$6:$A$222)+6,+'I-5 Future DA'!F$5)</f>
        <v>0.24099999999999999</v>
      </c>
      <c r="F12" s="285">
        <f ca="1">OFFSET(Future_DAOpexStart,MATCH($K$1,'I-5 Future DA'!$A$6:$A$222)+6,+'I-5 Future DA'!G$5)</f>
        <v>0.24099999999999999</v>
      </c>
      <c r="G12" s="285">
        <f ca="1">OFFSET(Future_DAOpexStart,MATCH($K$1,'I-5 Future DA'!$A$6:$A$222)+6,+'I-5 Future DA'!H$5)</f>
        <v>0.24099999999999999</v>
      </c>
      <c r="H12" s="285">
        <f ca="1">OFFSET(Future_DAOpexStart,MATCH($K$1,'I-5 Future DA'!$A$6:$A$222)+6,+'I-5 Future DA'!I$5)</f>
        <v>0.24099999999999999</v>
      </c>
      <c r="I12" s="285">
        <f ca="1">OFFSET(Future_DAOpexStart,MATCH($K$1,'I-5 Future DA'!$A$6:$A$222)+6,+'I-5 Future DA'!J$5)</f>
        <v>0.24099999999999999</v>
      </c>
      <c r="J12" s="36"/>
      <c r="K12" s="732"/>
      <c r="L12" s="732"/>
    </row>
    <row r="13" spans="1:20" hidden="1"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ollapsed="1">
      <c r="A14" s="84" t="s">
        <v>71</v>
      </c>
      <c r="B14" s="287">
        <f t="shared" ref="B14:I14" ca="1" si="0">SUM(B8:B13)</f>
        <v>0</v>
      </c>
      <c r="C14" s="287">
        <f t="shared" ca="1" si="0"/>
        <v>0</v>
      </c>
      <c r="D14" s="287">
        <f t="shared" ca="1" si="0"/>
        <v>3.677</v>
      </c>
      <c r="E14" s="287">
        <f t="shared" ca="1" si="0"/>
        <v>3.677</v>
      </c>
      <c r="F14" s="287">
        <f t="shared" ca="1" si="0"/>
        <v>3.677</v>
      </c>
      <c r="G14" s="287">
        <f t="shared" ca="1" si="0"/>
        <v>3.677</v>
      </c>
      <c r="H14" s="287">
        <f t="shared" ca="1" si="0"/>
        <v>3.677</v>
      </c>
      <c r="I14" s="287">
        <f t="shared" ca="1" si="0"/>
        <v>3.677</v>
      </c>
      <c r="J14" s="85"/>
      <c r="K14" s="86"/>
      <c r="L14" s="86"/>
    </row>
    <row r="15" spans="1:20" hidden="1" outlineLevel="1">
      <c r="A15" s="88"/>
      <c r="B15" s="89"/>
      <c r="C15" s="89"/>
      <c r="D15" s="89"/>
      <c r="E15" s="89"/>
      <c r="F15" s="89"/>
      <c r="G15" s="89"/>
      <c r="H15" s="89"/>
      <c r="I15" s="89"/>
      <c r="K15" s="21"/>
      <c r="L15" s="21"/>
    </row>
    <row r="16" spans="1:20" ht="18" hidden="1" outlineLevel="1">
      <c r="A16" s="207" t="s">
        <v>41</v>
      </c>
      <c r="B16" s="78"/>
      <c r="C16" s="78"/>
      <c r="D16" s="78"/>
      <c r="E16" s="78"/>
      <c r="F16" s="78"/>
      <c r="G16" s="78"/>
      <c r="H16" s="78"/>
      <c r="I16" s="78"/>
      <c r="J16" s="42"/>
    </row>
    <row r="17" spans="1:12" ht="18" hidden="1" outlineLevel="1">
      <c r="A17" s="77"/>
      <c r="B17" s="78"/>
      <c r="C17" s="78"/>
      <c r="D17" s="78"/>
      <c r="E17" s="78"/>
      <c r="F17" s="78"/>
      <c r="G17" s="78"/>
      <c r="H17" s="78"/>
      <c r="I17" s="78"/>
      <c r="J17" s="42"/>
    </row>
    <row r="18" spans="1:12" s="2" customFormat="1" hidden="1" outlineLevel="1">
      <c r="A18" s="58" t="s">
        <v>126</v>
      </c>
      <c r="B18" s="59"/>
      <c r="C18" s="59"/>
      <c r="D18" s="59"/>
      <c r="E18" s="59"/>
      <c r="F18" s="59"/>
      <c r="G18" s="59"/>
      <c r="H18" s="59"/>
      <c r="I18" s="59"/>
      <c r="J18" s="60"/>
      <c r="K18" s="60"/>
      <c r="L18" s="60"/>
    </row>
    <row r="19" spans="1:12" hidden="1"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hidden="1"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hidden="1"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ht="13.5" outlineLevel="1" thickBot="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hidden="1"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collapsed="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hidden="1" outlineLevel="1">
      <c r="A26" s="88"/>
      <c r="B26" s="292"/>
      <c r="C26" s="292"/>
      <c r="D26" s="292"/>
      <c r="E26" s="292"/>
      <c r="F26" s="292"/>
      <c r="G26" s="292"/>
      <c r="H26" s="292"/>
      <c r="I26" s="292"/>
      <c r="J26" s="42"/>
      <c r="K26" s="21"/>
      <c r="L26" s="21"/>
    </row>
    <row r="27" spans="1:12" ht="18.75" hidden="1" customHeight="1" outlineLevel="1">
      <c r="A27" s="207" t="s">
        <v>127</v>
      </c>
      <c r="B27" s="285"/>
      <c r="C27" s="285"/>
      <c r="D27" s="285"/>
      <c r="E27" s="285"/>
      <c r="F27" s="285"/>
      <c r="G27" s="285"/>
      <c r="H27" s="285"/>
      <c r="I27" s="285"/>
      <c r="J27" s="42"/>
    </row>
    <row r="28" spans="1:12" hidden="1" outlineLevel="1">
      <c r="A28" s="92"/>
      <c r="B28" s="293"/>
      <c r="C28" s="293"/>
      <c r="D28" s="293"/>
      <c r="E28" s="293"/>
      <c r="F28" s="293"/>
      <c r="G28" s="293"/>
      <c r="H28" s="293"/>
      <c r="I28" s="293"/>
      <c r="J28" s="42"/>
      <c r="K28" s="21"/>
      <c r="L28" s="21"/>
    </row>
    <row r="29" spans="1:12" s="64" customFormat="1" ht="14.25" hidden="1" outlineLevel="2">
      <c r="A29" s="58" t="s">
        <v>126</v>
      </c>
      <c r="B29" s="285"/>
      <c r="C29" s="285"/>
      <c r="D29" s="285"/>
      <c r="E29" s="285"/>
      <c r="F29" s="285"/>
      <c r="G29" s="285"/>
      <c r="H29" s="285"/>
      <c r="I29" s="285"/>
      <c r="J29" s="63"/>
      <c r="K29" s="63"/>
      <c r="L29" s="63"/>
    </row>
    <row r="30" spans="1:12" hidden="1" outlineLevel="2">
      <c r="A30" s="61" t="s">
        <v>68</v>
      </c>
      <c r="B30" s="285">
        <f ca="1">+'DA-10'!B8+'DA-10'!B19</f>
        <v>0</v>
      </c>
      <c r="C30" s="285">
        <f ca="1">+'DA-10'!C8+'DA-10'!C19</f>
        <v>0</v>
      </c>
      <c r="D30" s="285">
        <f ca="1">+'DA-10'!D8+'DA-10'!D19</f>
        <v>3.0390000000000001</v>
      </c>
      <c r="E30" s="285">
        <f ca="1">+'DA-10'!E8+'DA-10'!E19</f>
        <v>3.0390000000000001</v>
      </c>
      <c r="F30" s="285">
        <f ca="1">+'DA-10'!F8+'DA-10'!F19</f>
        <v>3.0390000000000001</v>
      </c>
      <c r="G30" s="285">
        <f ca="1">+'DA-10'!G8+'DA-10'!G19</f>
        <v>3.0390000000000001</v>
      </c>
      <c r="H30" s="285">
        <f ca="1">+'DA-10'!H8+'DA-10'!H19</f>
        <v>3.0390000000000001</v>
      </c>
      <c r="I30" s="285">
        <f ca="1">+'DA-10'!I8+'DA-10'!I19</f>
        <v>3.0390000000000001</v>
      </c>
      <c r="J30" s="42"/>
      <c r="K30" s="21"/>
      <c r="L30" s="21"/>
    </row>
    <row r="31" spans="1:12" hidden="1" outlineLevel="2">
      <c r="A31" s="61" t="s">
        <v>69</v>
      </c>
      <c r="B31" s="285">
        <f ca="1">+'DA-10'!B9+'DA-10'!B20</f>
        <v>0</v>
      </c>
      <c r="C31" s="285">
        <f ca="1">+'DA-10'!C9+'DA-10'!C20</f>
        <v>0</v>
      </c>
      <c r="D31" s="285">
        <f ca="1">+'DA-10'!D9+'DA-10'!D20</f>
        <v>5.1999999999999998E-2</v>
      </c>
      <c r="E31" s="285">
        <f ca="1">+'DA-10'!E9+'DA-10'!E20</f>
        <v>5.1999999999999998E-2</v>
      </c>
      <c r="F31" s="285">
        <f ca="1">+'DA-10'!F9+'DA-10'!F20</f>
        <v>5.1999999999999998E-2</v>
      </c>
      <c r="G31" s="285">
        <f ca="1">+'DA-10'!G9+'DA-10'!G20</f>
        <v>5.1999999999999998E-2</v>
      </c>
      <c r="H31" s="285">
        <f ca="1">+'DA-10'!H9+'DA-10'!H20</f>
        <v>5.1999999999999998E-2</v>
      </c>
      <c r="I31" s="285">
        <f ca="1">+'DA-10'!I9+'DA-10'!I20</f>
        <v>5.1999999999999998E-2</v>
      </c>
      <c r="J31" s="42"/>
      <c r="K31" s="21"/>
      <c r="L31" s="21"/>
    </row>
    <row r="32" spans="1:12" s="759" customFormat="1" outlineLevel="2">
      <c r="A32" s="61" t="s">
        <v>646</v>
      </c>
      <c r="B32" s="285">
        <f ca="1">+'DA-10'!B10+'DA-10'!B21</f>
        <v>0</v>
      </c>
      <c r="C32" s="285">
        <f ca="1">+'DA-10'!C10+'DA-10'!C21</f>
        <v>0</v>
      </c>
      <c r="D32" s="285">
        <f ca="1">+'DA-10'!D10+'DA-10'!D21</f>
        <v>1E-3</v>
      </c>
      <c r="E32" s="285">
        <f ca="1">+'DA-10'!E10+'DA-10'!E21</f>
        <v>1E-3</v>
      </c>
      <c r="F32" s="285">
        <f ca="1">+'DA-10'!F10+'DA-10'!F21</f>
        <v>1E-3</v>
      </c>
      <c r="G32" s="285">
        <f ca="1">+'DA-10'!G10+'DA-10'!G21</f>
        <v>1E-3</v>
      </c>
      <c r="H32" s="285">
        <f ca="1">+'DA-10'!H10+'DA-10'!H21</f>
        <v>1E-3</v>
      </c>
      <c r="I32" s="285">
        <f ca="1">+'DA-10'!I10+'DA-10'!I21</f>
        <v>1E-3</v>
      </c>
      <c r="J32" s="42"/>
      <c r="K32" s="732"/>
      <c r="L32" s="732"/>
    </row>
    <row r="33" spans="1:12" hidden="1" outlineLevel="2">
      <c r="A33" s="61" t="s">
        <v>647</v>
      </c>
      <c r="B33" s="285">
        <f ca="1">+'DA-10'!B11+'DA-10'!B22</f>
        <v>0</v>
      </c>
      <c r="C33" s="285">
        <f ca="1">+'DA-10'!C11+'DA-10'!C22</f>
        <v>0</v>
      </c>
      <c r="D33" s="285">
        <f ca="1">+'DA-10'!D11+'DA-10'!D22</f>
        <v>0.34400000000000003</v>
      </c>
      <c r="E33" s="285">
        <f ca="1">+'DA-10'!E11+'DA-10'!E22</f>
        <v>0.34400000000000003</v>
      </c>
      <c r="F33" s="285">
        <f ca="1">+'DA-10'!F11+'DA-10'!F22</f>
        <v>0.34400000000000003</v>
      </c>
      <c r="G33" s="285">
        <f ca="1">+'DA-10'!G11+'DA-10'!G22</f>
        <v>0.34400000000000003</v>
      </c>
      <c r="H33" s="285">
        <f ca="1">+'DA-10'!H11+'DA-10'!H22</f>
        <v>0.34400000000000003</v>
      </c>
      <c r="I33" s="285">
        <f ca="1">+'DA-10'!I11+'DA-10'!I22</f>
        <v>0.34400000000000003</v>
      </c>
      <c r="J33" s="42"/>
      <c r="K33" s="21"/>
      <c r="L33" s="21"/>
    </row>
    <row r="34" spans="1:12" s="759" customFormat="1" ht="13.5" outlineLevel="2" thickBot="1">
      <c r="A34" s="61" t="s">
        <v>575</v>
      </c>
      <c r="B34" s="285">
        <f ca="1">+'DA-10'!B12+'DA-10'!B23</f>
        <v>0</v>
      </c>
      <c r="C34" s="285">
        <f ca="1">+'DA-10'!C12+'DA-10'!C23</f>
        <v>0</v>
      </c>
      <c r="D34" s="285">
        <f ca="1">+'DA-10'!D12+'DA-10'!D23</f>
        <v>0.24099999999999999</v>
      </c>
      <c r="E34" s="285">
        <f ca="1">+'DA-10'!E12+'DA-10'!E23</f>
        <v>0.24099999999999999</v>
      </c>
      <c r="F34" s="285">
        <f ca="1">+'DA-10'!F12+'DA-10'!F23</f>
        <v>0.24099999999999999</v>
      </c>
      <c r="G34" s="285">
        <f ca="1">+'DA-10'!G12+'DA-10'!G23</f>
        <v>0.24099999999999999</v>
      </c>
      <c r="H34" s="285">
        <f ca="1">+'DA-10'!H12+'DA-10'!H23</f>
        <v>0.24099999999999999</v>
      </c>
      <c r="I34" s="285">
        <f ca="1">+'DA-10'!I12+'DA-10'!I23</f>
        <v>0.24099999999999999</v>
      </c>
      <c r="J34" s="42"/>
      <c r="K34" s="732"/>
      <c r="L34" s="732"/>
    </row>
    <row r="35" spans="1:12" ht="13.5" hidden="1" outlineLevel="2" thickBot="1">
      <c r="A35" s="83" t="s">
        <v>70</v>
      </c>
      <c r="B35" s="285">
        <f ca="1">+'DA-10'!B13+'DA-10'!B24</f>
        <v>0</v>
      </c>
      <c r="C35" s="285">
        <f ca="1">+'DA-10'!C13+'DA-10'!C24</f>
        <v>0</v>
      </c>
      <c r="D35" s="285">
        <f ca="1">+'DA-10'!D13+'DA-10'!D24</f>
        <v>0</v>
      </c>
      <c r="E35" s="285">
        <f ca="1">+'DA-10'!E13+'DA-10'!E24</f>
        <v>0</v>
      </c>
      <c r="F35" s="285">
        <f ca="1">+'DA-10'!F13+'DA-10'!F24</f>
        <v>0</v>
      </c>
      <c r="G35" s="285">
        <f ca="1">+'DA-10'!G13+'DA-10'!G24</f>
        <v>0</v>
      </c>
      <c r="H35" s="285">
        <f ca="1">+'DA-10'!H13+'DA-10'!H24</f>
        <v>0</v>
      </c>
      <c r="I35" s="285">
        <f ca="1">+'DA-10'!I13+'DA-10'!I24</f>
        <v>0</v>
      </c>
      <c r="J35" s="93"/>
      <c r="K35" s="21"/>
      <c r="L35" s="21"/>
    </row>
    <row r="36" spans="1:12" s="87" customFormat="1" ht="20.25" customHeight="1" collapsed="1" thickBot="1">
      <c r="A36" s="94" t="s">
        <v>128</v>
      </c>
      <c r="B36" s="294">
        <f t="shared" ref="B36:I36" ca="1" si="7">SUM(B30:B35)</f>
        <v>0</v>
      </c>
      <c r="C36" s="294">
        <f t="shared" ca="1" si="7"/>
        <v>0</v>
      </c>
      <c r="D36" s="294">
        <f t="shared" ca="1" si="7"/>
        <v>3.677</v>
      </c>
      <c r="E36" s="294">
        <f t="shared" ca="1" si="7"/>
        <v>3.677</v>
      </c>
      <c r="F36" s="294">
        <f t="shared" ca="1" si="7"/>
        <v>3.677</v>
      </c>
      <c r="G36" s="294">
        <f t="shared" ca="1" si="7"/>
        <v>3.677</v>
      </c>
      <c r="H36" s="294">
        <f t="shared" ca="1" si="7"/>
        <v>3.677</v>
      </c>
      <c r="I36" s="294">
        <f t="shared" ca="1" si="7"/>
        <v>3.677</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K40" s="42"/>
    </row>
    <row r="41" spans="1:12" s="2" customFormat="1" outlineLevel="1">
      <c r="A41" s="58" t="s">
        <v>126</v>
      </c>
      <c r="B41" s="78"/>
      <c r="C41"/>
      <c r="D41"/>
      <c r="E41"/>
      <c r="F41"/>
      <c r="G41"/>
      <c r="H41"/>
      <c r="I41"/>
      <c r="K41" s="60"/>
      <c r="L41" s="60"/>
    </row>
    <row r="42" spans="1:12" s="64" customFormat="1" ht="14.25" outlineLevel="1">
      <c r="A42" s="61" t="s">
        <v>68</v>
      </c>
      <c r="B42" s="82"/>
      <c r="C42" s="285">
        <f t="shared" ref="C42:I43" ca="1" si="8">+C98</f>
        <v>0</v>
      </c>
      <c r="D42" s="285">
        <f t="shared" ca="1" si="8"/>
        <v>0</v>
      </c>
      <c r="E42" s="285">
        <f t="shared" ca="1" si="8"/>
        <v>3.2243663216673532E-2</v>
      </c>
      <c r="F42" s="285">
        <f t="shared" ca="1" si="8"/>
        <v>6.212018418065611E-2</v>
      </c>
      <c r="G42" s="285">
        <f t="shared" ca="1" si="8"/>
        <v>9.1652793397810878E-2</v>
      </c>
      <c r="H42" s="285">
        <f t="shared" ca="1" si="8"/>
        <v>0.12369330247171992</v>
      </c>
      <c r="I42" s="285">
        <f t="shared" ca="1" si="8"/>
        <v>0.15304264857561656</v>
      </c>
      <c r="K42" s="63"/>
      <c r="L42" s="63"/>
    </row>
    <row r="43" spans="1:12" outlineLevel="1">
      <c r="A43" s="61" t="s">
        <v>69</v>
      </c>
      <c r="B43" s="82"/>
      <c r="C43" s="285">
        <f t="shared" ca="1" si="8"/>
        <v>0</v>
      </c>
      <c r="D43" s="285">
        <f t="shared" ca="1" si="8"/>
        <v>0</v>
      </c>
      <c r="E43" s="285">
        <f t="shared" ca="1" si="8"/>
        <v>5.5171783062422626E-4</v>
      </c>
      <c r="F43" s="285">
        <f t="shared" ca="1" si="8"/>
        <v>1.0629317464278109E-3</v>
      </c>
      <c r="G43" s="285">
        <f t="shared" ca="1" si="8"/>
        <v>1.5682610255630686E-3</v>
      </c>
      <c r="H43" s="285">
        <f t="shared" ca="1" si="8"/>
        <v>2.1165027076437762E-3</v>
      </c>
      <c r="I43" s="285">
        <f t="shared" ca="1" si="8"/>
        <v>2.6186961914880093E-3</v>
      </c>
      <c r="K43" s="42"/>
      <c r="L43" s="21"/>
    </row>
    <row r="44" spans="1:12" s="759" customFormat="1" outlineLevel="1">
      <c r="A44" s="61" t="s">
        <v>646</v>
      </c>
      <c r="B44" s="82"/>
      <c r="C44" s="285">
        <f t="shared" ref="C44:I44" ca="1" si="9">+C100</f>
        <v>0</v>
      </c>
      <c r="D44" s="285">
        <f t="shared" ca="1" si="9"/>
        <v>0</v>
      </c>
      <c r="E44" s="285">
        <f t="shared" ca="1" si="9"/>
        <v>1.0609958281235122E-5</v>
      </c>
      <c r="F44" s="285">
        <f t="shared" ca="1" si="9"/>
        <v>2.0440995123611749E-5</v>
      </c>
      <c r="G44" s="285">
        <f t="shared" ca="1" si="9"/>
        <v>3.0158865876212861E-5</v>
      </c>
      <c r="H44" s="285">
        <f t="shared" ca="1" si="9"/>
        <v>4.0701975146995693E-5</v>
      </c>
      <c r="I44" s="285">
        <f t="shared" ca="1" si="9"/>
        <v>5.0359542144000181E-5</v>
      </c>
      <c r="K44" s="42"/>
      <c r="L44" s="732"/>
    </row>
    <row r="45" spans="1:12" outlineLevel="1">
      <c r="A45" s="61" t="s">
        <v>647</v>
      </c>
      <c r="B45" s="82"/>
      <c r="C45" s="285">
        <f t="shared" ref="C45:I45" ca="1" si="10">+C101</f>
        <v>0</v>
      </c>
      <c r="D45" s="285">
        <f t="shared" ca="1" si="10"/>
        <v>0</v>
      </c>
      <c r="E45" s="285">
        <f t="shared" ca="1" si="10"/>
        <v>3.6498256487448818E-3</v>
      </c>
      <c r="F45" s="285">
        <f t="shared" ca="1" si="10"/>
        <v>7.0317023225224427E-3</v>
      </c>
      <c r="G45" s="285">
        <f t="shared" ca="1" si="10"/>
        <v>1.0374649861417224E-2</v>
      </c>
      <c r="H45" s="285">
        <f t="shared" ca="1" si="10"/>
        <v>1.4001479450566521E-2</v>
      </c>
      <c r="I45" s="285">
        <f t="shared" ca="1" si="10"/>
        <v>1.7323682497536064E-2</v>
      </c>
      <c r="K45" s="42"/>
      <c r="L45" s="21"/>
    </row>
    <row r="46" spans="1:12" s="759" customFormat="1" outlineLevel="1">
      <c r="A46" s="61" t="s">
        <v>575</v>
      </c>
      <c r="B46" s="82"/>
      <c r="C46" s="285">
        <f t="shared" ref="C46:I46" ca="1" si="11">+C102</f>
        <v>0</v>
      </c>
      <c r="D46" s="285">
        <f t="shared" ca="1" si="11"/>
        <v>0</v>
      </c>
      <c r="E46" s="285">
        <f t="shared" ca="1" si="11"/>
        <v>2.556999945777664E-3</v>
      </c>
      <c r="F46" s="285">
        <f t="shared" ca="1" si="11"/>
        <v>4.9262798247904317E-3</v>
      </c>
      <c r="G46" s="285">
        <f t="shared" ca="1" si="11"/>
        <v>7.2682866761672989E-3</v>
      </c>
      <c r="H46" s="285">
        <f t="shared" ca="1" si="11"/>
        <v>9.8091760104259615E-3</v>
      </c>
      <c r="I46" s="285">
        <f t="shared" ca="1" si="11"/>
        <v>1.2136649656704043E-2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3.9012816600101537E-2</v>
      </c>
      <c r="F48" s="294">
        <f t="shared" ca="1" si="13"/>
        <v>7.5161539069520403E-2</v>
      </c>
      <c r="G48" s="294">
        <f t="shared" ca="1" si="13"/>
        <v>0.11089414982683468</v>
      </c>
      <c r="H48" s="294">
        <f t="shared" ca="1" si="13"/>
        <v>0.14966116261550316</v>
      </c>
      <c r="I48" s="294">
        <f t="shared" ca="1" si="13"/>
        <v>0.18517203646348868</v>
      </c>
      <c r="J48" s="91" t="str">
        <f ca="1">IF(ROUND(SUM(B48:I48)-SUM(B104:I104),2)&lt;&gt;0,"Warning Check Escalations","OK")</f>
        <v>OK</v>
      </c>
      <c r="L48" s="86"/>
    </row>
    <row r="49" spans="1:12" hidden="1" outlineLevel="1">
      <c r="A49" s="88"/>
      <c r="B49" s="89"/>
      <c r="C49" s="89"/>
      <c r="D49" s="89"/>
      <c r="E49" s="89"/>
      <c r="F49" s="89"/>
      <c r="G49" s="89"/>
      <c r="H49" s="89"/>
      <c r="I49" s="89"/>
      <c r="K49" s="42"/>
      <c r="L49" s="21"/>
    </row>
    <row r="50" spans="1:12" ht="18" hidden="1" outlineLevel="1">
      <c r="A50" s="207" t="s">
        <v>43</v>
      </c>
      <c r="B50" s="78"/>
      <c r="C50" s="78"/>
      <c r="D50" s="78"/>
      <c r="E50" s="78"/>
      <c r="F50" s="78"/>
      <c r="G50" s="78"/>
      <c r="H50" s="78"/>
      <c r="I50" s="78"/>
      <c r="K50" s="42"/>
    </row>
    <row r="51" spans="1:12" ht="18" hidden="1" outlineLevel="1">
      <c r="A51" s="77"/>
      <c r="B51" s="78"/>
      <c r="C51" s="78"/>
      <c r="D51" s="78"/>
      <c r="E51" s="78"/>
      <c r="F51" s="78"/>
      <c r="G51" s="78"/>
      <c r="H51" s="78"/>
      <c r="I51" s="78"/>
      <c r="K51" s="42"/>
    </row>
    <row r="52" spans="1:12" s="2" customFormat="1" hidden="1" outlineLevel="1">
      <c r="A52" s="58" t="s">
        <v>126</v>
      </c>
      <c r="B52" s="78"/>
      <c r="C52" s="78"/>
      <c r="D52" s="78"/>
      <c r="E52" s="78"/>
      <c r="F52" s="78"/>
      <c r="G52" s="78"/>
      <c r="H52" s="78"/>
      <c r="I52" s="78"/>
      <c r="K52" s="60"/>
      <c r="L52" s="60"/>
    </row>
    <row r="53" spans="1:12" s="64" customFormat="1" ht="14.25" hidden="1" outlineLevel="1">
      <c r="A53" s="61" t="s">
        <v>68</v>
      </c>
      <c r="B53" s="285"/>
      <c r="C53" s="285">
        <f t="shared" ref="C53:I54" ca="1" si="14">+C134</f>
        <v>0</v>
      </c>
      <c r="D53" s="285">
        <f t="shared" ca="1" si="14"/>
        <v>0</v>
      </c>
      <c r="E53" s="285">
        <f t="shared" ca="1" si="14"/>
        <v>6.5902641803297191E-2</v>
      </c>
      <c r="F53" s="285">
        <f t="shared" ca="1" si="14"/>
        <v>0.13451535545734572</v>
      </c>
      <c r="G53" s="285">
        <f t="shared" ca="1" si="14"/>
        <v>0.20972835003986154</v>
      </c>
      <c r="H53" s="285">
        <f t="shared" ca="1" si="14"/>
        <v>0.28825391785294197</v>
      </c>
      <c r="I53" s="285">
        <f t="shared" ca="1" si="14"/>
        <v>0.36976156217151196</v>
      </c>
      <c r="K53" s="63"/>
      <c r="L53" s="63"/>
    </row>
    <row r="54" spans="1:12" hidden="1"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5.0530497914060681E-6</v>
      </c>
      <c r="F55" s="285">
        <f t="shared" ca="1" si="15"/>
        <v>1.0229920976113931E-5</v>
      </c>
      <c r="G55" s="285">
        <f t="shared" ca="1" si="15"/>
        <v>1.9691718506968131E-5</v>
      </c>
      <c r="H55" s="285">
        <f t="shared" ca="1" si="15"/>
        <v>3.1029502302257457E-5</v>
      </c>
      <c r="I55" s="285">
        <f t="shared" ca="1" si="15"/>
        <v>4.4838414113705024E-5</v>
      </c>
      <c r="K55" s="42"/>
      <c r="L55" s="732"/>
    </row>
    <row r="56" spans="1:12" hidden="1" outlineLevel="1">
      <c r="A56" s="61" t="s">
        <v>647</v>
      </c>
      <c r="B56" s="285"/>
      <c r="C56" s="285">
        <f t="shared" ref="C56:I56" ca="1" si="16">+C137</f>
        <v>0</v>
      </c>
      <c r="D56" s="285">
        <f t="shared" ca="1" si="16"/>
        <v>0</v>
      </c>
      <c r="E56" s="285">
        <f t="shared" ca="1" si="16"/>
        <v>1.7382491282436875E-3</v>
      </c>
      <c r="F56" s="285">
        <f t="shared" ca="1" si="16"/>
        <v>3.5190928157831924E-3</v>
      </c>
      <c r="G56" s="285">
        <f t="shared" ca="1" si="16"/>
        <v>6.7739511663970371E-3</v>
      </c>
      <c r="H56" s="285">
        <f t="shared" ca="1" si="16"/>
        <v>1.0674148791976567E-2</v>
      </c>
      <c r="I56" s="285">
        <f t="shared" ca="1" si="16"/>
        <v>1.542441445511453E-2</v>
      </c>
      <c r="K56" s="42"/>
      <c r="L56" s="21"/>
    </row>
    <row r="57" spans="1:12" s="759" customFormat="1" ht="13.5" outlineLevel="1" thickBot="1">
      <c r="A57" s="61" t="s">
        <v>575</v>
      </c>
      <c r="B57" s="285"/>
      <c r="C57" s="285">
        <f t="shared" ref="C57:I57" ca="1" si="17">+C138</f>
        <v>0</v>
      </c>
      <c r="D57" s="285">
        <f t="shared" ca="1" si="17"/>
        <v>0</v>
      </c>
      <c r="E57" s="285">
        <f t="shared" ca="1" si="17"/>
        <v>5.2262378001298529E-3</v>
      </c>
      <c r="F57" s="285">
        <f t="shared" ca="1" si="17"/>
        <v>1.0667390807904019E-2</v>
      </c>
      <c r="G57" s="285">
        <f t="shared" ca="1" si="17"/>
        <v>1.6631961947879772E-2</v>
      </c>
      <c r="H57" s="285">
        <f t="shared" ca="1" si="17"/>
        <v>2.2859228102191185E-2</v>
      </c>
      <c r="I57" s="285">
        <f t="shared" ca="1" si="17"/>
        <v>2.932298008665165E-2</v>
      </c>
      <c r="K57" s="42"/>
      <c r="L57" s="732"/>
    </row>
    <row r="58" spans="1:12" ht="13.5" hidden="1"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collapsed="1" thickBot="1">
      <c r="A59" s="97" t="s">
        <v>73</v>
      </c>
      <c r="B59" s="287"/>
      <c r="C59" s="287">
        <f t="shared" ref="C59:I59" ca="1" si="19">SUM(C53:C58)</f>
        <v>0</v>
      </c>
      <c r="D59" s="287">
        <f t="shared" ca="1" si="19"/>
        <v>0</v>
      </c>
      <c r="E59" s="287">
        <f t="shared" ca="1" si="19"/>
        <v>7.2872181781462153E-2</v>
      </c>
      <c r="F59" s="287">
        <f t="shared" ca="1" si="19"/>
        <v>0.14871206900200903</v>
      </c>
      <c r="G59" s="287">
        <f t="shared" ca="1" si="19"/>
        <v>0.23315395487264531</v>
      </c>
      <c r="H59" s="287">
        <f t="shared" ca="1" si="19"/>
        <v>0.32181832424941204</v>
      </c>
      <c r="I59" s="287">
        <f t="shared" ca="1" si="19"/>
        <v>0.41455379512739182</v>
      </c>
      <c r="J59" s="91" t="str">
        <f ca="1">IF(ROUND(SUM(B59:I59)-SUM(B140:I140),2)&lt;&gt;0,"Warning Check Escalations","OK")</f>
        <v>OK</v>
      </c>
      <c r="L59" s="86"/>
    </row>
    <row r="60" spans="1:12" hidden="1" outlineLevel="1">
      <c r="A60" s="88"/>
      <c r="B60" s="89"/>
      <c r="C60" s="89"/>
      <c r="D60" s="89"/>
      <c r="E60" s="89"/>
      <c r="F60" s="89"/>
      <c r="G60" s="89"/>
      <c r="H60" s="89"/>
      <c r="I60" s="89"/>
      <c r="K60" s="42"/>
      <c r="L60" s="21"/>
    </row>
    <row r="61" spans="1:12" ht="18.75" hidden="1"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hidden="1" customHeight="1" outlineLevel="1">
      <c r="A62" s="77"/>
      <c r="B62" s="76"/>
      <c r="C62" s="76"/>
      <c r="D62" s="76"/>
      <c r="E62" s="76"/>
      <c r="F62" s="76"/>
      <c r="G62" s="76"/>
      <c r="H62" s="76"/>
      <c r="I62" s="76"/>
      <c r="K62" s="42"/>
    </row>
    <row r="63" spans="1:12" s="2" customFormat="1" hidden="1" outlineLevel="1">
      <c r="A63" s="58" t="s">
        <v>126</v>
      </c>
      <c r="B63" s="78"/>
      <c r="C63" s="78"/>
      <c r="D63" s="78"/>
      <c r="E63" s="78"/>
      <c r="F63" s="78"/>
      <c r="G63" s="78"/>
      <c r="H63" s="78"/>
      <c r="I63" s="78"/>
      <c r="K63" s="60"/>
      <c r="L63" s="60"/>
    </row>
    <row r="64" spans="1:12" s="64" customFormat="1" ht="12.75" hidden="1" customHeight="1" outlineLevel="1">
      <c r="A64" s="61" t="s">
        <v>68</v>
      </c>
      <c r="B64" s="285">
        <f t="shared" ref="B64:I65" ca="1" si="20">+B42+B30+B53</f>
        <v>0</v>
      </c>
      <c r="C64" s="285">
        <f t="shared" ca="1" si="20"/>
        <v>0</v>
      </c>
      <c r="D64" s="285">
        <f t="shared" ca="1" si="20"/>
        <v>3.0390000000000001</v>
      </c>
      <c r="E64" s="285">
        <f t="shared" ca="1" si="20"/>
        <v>3.1371463050199706</v>
      </c>
      <c r="F64" s="285">
        <f t="shared" ca="1" si="20"/>
        <v>3.2356355396380021</v>
      </c>
      <c r="G64" s="285">
        <f t="shared" ca="1" si="20"/>
        <v>3.3403811434376727</v>
      </c>
      <c r="H64" s="285">
        <f t="shared" ca="1" si="20"/>
        <v>3.4509472203246618</v>
      </c>
      <c r="I64" s="285">
        <f t="shared" ca="1" si="20"/>
        <v>3.5618042107471286</v>
      </c>
      <c r="K64" s="63"/>
      <c r="L64" s="63"/>
    </row>
    <row r="65" spans="1:20" ht="12.75" hidden="1" customHeight="1" outlineLevel="1">
      <c r="A65" s="61" t="s">
        <v>69</v>
      </c>
      <c r="B65" s="285">
        <f t="shared" ca="1" si="20"/>
        <v>0</v>
      </c>
      <c r="C65" s="285">
        <f t="shared" ca="1" si="20"/>
        <v>0</v>
      </c>
      <c r="D65" s="285">
        <f t="shared" ca="1" si="20"/>
        <v>5.1999999999999998E-2</v>
      </c>
      <c r="E65" s="285">
        <f t="shared" ca="1" si="20"/>
        <v>5.2551717830624227E-2</v>
      </c>
      <c r="F65" s="285">
        <f t="shared" ca="1" si="20"/>
        <v>5.3062931746427809E-2</v>
      </c>
      <c r="G65" s="285">
        <f t="shared" ca="1" si="20"/>
        <v>5.3568261025563065E-2</v>
      </c>
      <c r="H65" s="285">
        <f t="shared" ca="1" si="20"/>
        <v>5.4116502707643774E-2</v>
      </c>
      <c r="I65" s="285">
        <f t="shared" ca="1" si="20"/>
        <v>5.4618696191488007E-2</v>
      </c>
      <c r="K65" s="42"/>
      <c r="L65" s="21"/>
    </row>
    <row r="66" spans="1:20" s="759" customFormat="1" ht="12.75" customHeight="1" outlineLevel="1">
      <c r="A66" s="61" t="s">
        <v>646</v>
      </c>
      <c r="B66" s="285">
        <f t="shared" ref="B66:I66" ca="1" si="21">+B44+B32+B55</f>
        <v>0</v>
      </c>
      <c r="C66" s="285">
        <f t="shared" ca="1" si="21"/>
        <v>0</v>
      </c>
      <c r="D66" s="285">
        <f t="shared" ca="1" si="21"/>
        <v>1E-3</v>
      </c>
      <c r="E66" s="285">
        <f t="shared" ca="1" si="21"/>
        <v>1.0156630080726413E-3</v>
      </c>
      <c r="F66" s="285">
        <f t="shared" ca="1" si="21"/>
        <v>1.0306709160997258E-3</v>
      </c>
      <c r="G66" s="285">
        <f t="shared" ca="1" si="21"/>
        <v>1.0498505843831811E-3</v>
      </c>
      <c r="H66" s="285">
        <f t="shared" ca="1" si="21"/>
        <v>1.0717314774492531E-3</v>
      </c>
      <c r="I66" s="285">
        <f t="shared" ca="1" si="21"/>
        <v>1.0951979562577052E-3</v>
      </c>
      <c r="K66" s="42"/>
      <c r="L66" s="732"/>
    </row>
    <row r="67" spans="1:20" ht="12.75" hidden="1" customHeight="1" outlineLevel="1">
      <c r="A67" s="61" t="s">
        <v>647</v>
      </c>
      <c r="B67" s="285">
        <f t="shared" ref="B67:I67" ca="1" si="22">+B45+B33+B56</f>
        <v>0</v>
      </c>
      <c r="C67" s="285">
        <f t="shared" ca="1" si="22"/>
        <v>0</v>
      </c>
      <c r="D67" s="285">
        <f t="shared" ca="1" si="22"/>
        <v>0.34400000000000003</v>
      </c>
      <c r="E67" s="285">
        <f t="shared" ca="1" si="22"/>
        <v>0.34938807477698858</v>
      </c>
      <c r="F67" s="285">
        <f t="shared" ca="1" si="22"/>
        <v>0.35455079513830567</v>
      </c>
      <c r="G67" s="285">
        <f t="shared" ca="1" si="22"/>
        <v>0.36114860102781432</v>
      </c>
      <c r="H67" s="285">
        <f t="shared" ca="1" si="22"/>
        <v>0.36867562824254313</v>
      </c>
      <c r="I67" s="285">
        <f t="shared" ca="1" si="22"/>
        <v>0.37674809695265066</v>
      </c>
      <c r="K67" s="42"/>
      <c r="L67" s="21"/>
    </row>
    <row r="68" spans="1:20" s="759" customFormat="1" ht="12.75" customHeight="1" outlineLevel="1" thickBot="1">
      <c r="A68" s="61" t="s">
        <v>575</v>
      </c>
      <c r="B68" s="285">
        <f t="shared" ref="B68:I68" ca="1" si="23">+B46+B34+B57</f>
        <v>0</v>
      </c>
      <c r="C68" s="285">
        <f t="shared" ca="1" si="23"/>
        <v>0</v>
      </c>
      <c r="D68" s="285">
        <f t="shared" ca="1" si="23"/>
        <v>0.24099999999999999</v>
      </c>
      <c r="E68" s="285">
        <f t="shared" ca="1" si="23"/>
        <v>0.24878323774590749</v>
      </c>
      <c r="F68" s="285">
        <f t="shared" ca="1" si="23"/>
        <v>0.25659367063269445</v>
      </c>
      <c r="G68" s="285">
        <f t="shared" ca="1" si="23"/>
        <v>0.26490024862404704</v>
      </c>
      <c r="H68" s="285">
        <f t="shared" ca="1" si="23"/>
        <v>0.27366840411261717</v>
      </c>
      <c r="I68" s="285">
        <f t="shared" ca="1" si="23"/>
        <v>0.28245962974335564</v>
      </c>
      <c r="K68" s="42"/>
      <c r="L68" s="732"/>
    </row>
    <row r="69" spans="1:20" ht="12.75" hidden="1"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collapsed="1" thickBot="1">
      <c r="A70" s="99" t="s">
        <v>129</v>
      </c>
      <c r="B70" s="295">
        <f t="shared" ref="B70:I70" ca="1" si="25">SUM(B64:B69)</f>
        <v>0</v>
      </c>
      <c r="C70" s="295">
        <f t="shared" ca="1" si="25"/>
        <v>0</v>
      </c>
      <c r="D70" s="295">
        <f t="shared" ca="1" si="25"/>
        <v>3.677</v>
      </c>
      <c r="E70" s="295">
        <f t="shared" ca="1" si="25"/>
        <v>3.7888849983815631</v>
      </c>
      <c r="F70" s="295">
        <f t="shared" ca="1" si="25"/>
        <v>3.9008736080715294</v>
      </c>
      <c r="G70" s="295">
        <f t="shared" ca="1" si="25"/>
        <v>4.0210481046994797</v>
      </c>
      <c r="H70" s="295">
        <f t="shared" ca="1" si="25"/>
        <v>4.1484794868649146</v>
      </c>
      <c r="I70" s="295">
        <f t="shared" ca="1" si="25"/>
        <v>4.2767258315908805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3.2243663216673532E-2</v>
      </c>
      <c r="Q77" s="285">
        <f ca="1">IF($B77&lt;&gt;0,(+VLOOKUP($B77,$A$8:$I$13,6,FALSE))*(F77),0)</f>
        <v>6.212018418065611E-2</v>
      </c>
      <c r="R77" s="285">
        <f ca="1">IF($B77&lt;&gt;0,(+VLOOKUP($B77,$A$8:$I$13,7,FALSE))*(G77),0)</f>
        <v>9.1652793397810878E-2</v>
      </c>
      <c r="S77" s="285">
        <f ca="1">IF($B77&lt;&gt;0,(+VLOOKUP($B77,$A$8:$I$13,8,FALSE))*(H77),0)</f>
        <v>0.12369330247171992</v>
      </c>
      <c r="T77" s="285">
        <f ca="1">IF($B77&lt;&gt;0,(+VLOOKUP($B77,$A$8:$I$13,9,FALSE))*(I77),0)</f>
        <v>0.15304264857561656</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5.5171783062422626E-4</v>
      </c>
      <c r="Q78" s="285">
        <f ca="1">IF($B78&lt;&gt;0,(+VLOOKUP($B78,$A$8:$I$13,6,FALSE))*(F78),0)</f>
        <v>1.0629317464278109E-3</v>
      </c>
      <c r="R78" s="285">
        <f ca="1">IF($B78&lt;&gt;0,(+VLOOKUP($B78,$A$8:$I$13,7,FALSE))*(G78),0)</f>
        <v>1.5682610255630686E-3</v>
      </c>
      <c r="S78" s="285">
        <f ca="1">IF($B78&lt;&gt;0,(+VLOOKUP($B78,$A$8:$I$13,8,FALSE))*(H78),0)</f>
        <v>2.1165027076437762E-3</v>
      </c>
      <c r="T78" s="285">
        <f ca="1">IF($B78&lt;&gt;0,(+VLOOKUP($B78,$A$8:$I$13,9,FALSE))*(I78),0)</f>
        <v>2.6186961914880093E-3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1.0609958281235122E-5</v>
      </c>
      <c r="Q79" s="285">
        <f t="shared" ref="Q79:Q80" ca="1" si="34">IF($B79&lt;&gt;0,(+VLOOKUP($B79,$A$8:$I$13,6,FALSE))*(F79),0)</f>
        <v>2.0440995123611749E-5</v>
      </c>
      <c r="R79" s="285">
        <f t="shared" ref="R79:R80" ca="1" si="35">IF($B79&lt;&gt;0,(+VLOOKUP($B79,$A$8:$I$13,7,FALSE))*(G79),0)</f>
        <v>3.0158865876212861E-5</v>
      </c>
      <c r="S79" s="285">
        <f t="shared" ref="S79:S80" ca="1" si="36">IF($B79&lt;&gt;0,(+VLOOKUP($B79,$A$8:$I$13,8,FALSE))*(H79),0)</f>
        <v>4.0701975146995693E-5</v>
      </c>
      <c r="T79" s="285">
        <f t="shared" ref="T79:T80" ca="1" si="37">IF($B79&lt;&gt;0,(+VLOOKUP($B79,$A$8:$I$13,9,FALSE))*(I79),0)</f>
        <v>5.0359542144000181E-5</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3.6498256487448818E-3</v>
      </c>
      <c r="Q80" s="285">
        <f t="shared" ca="1" si="34"/>
        <v>7.0317023225224427E-3</v>
      </c>
      <c r="R80" s="285">
        <f t="shared" ca="1" si="35"/>
        <v>1.0374649861417224E-2</v>
      </c>
      <c r="S80" s="285">
        <f t="shared" ca="1" si="36"/>
        <v>1.4001479450566521E-2</v>
      </c>
      <c r="T80" s="285">
        <f t="shared" ca="1" si="37"/>
        <v>1.7323682497536064E-2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2.556999945777664E-3</v>
      </c>
      <c r="Q81" s="285">
        <f ca="1">IF($B81&lt;&gt;0,(+VLOOKUP($B81,$A$8:$I$13,6,FALSE))*(F81),0)</f>
        <v>4.9262798247904317E-3</v>
      </c>
      <c r="R81" s="285">
        <f ca="1">IF($B81&lt;&gt;0,(+VLOOKUP($B81,$A$8:$I$13,7,FALSE))*(G81),0)</f>
        <v>7.2682866761672989E-3</v>
      </c>
      <c r="S81" s="285">
        <f ca="1">IF($B81&lt;&gt;0,(+VLOOKUP($B81,$A$8:$I$13,8,FALSE))*(H81),0)</f>
        <v>9.8091760104259615E-3</v>
      </c>
      <c r="T81" s="285">
        <f ca="1">IF($B81&lt;&gt;0,(+VLOOKUP($B81,$A$8:$I$13,9,FALSE))*(I81),0)</f>
        <v>1.2136649656704043E-2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3.9012816600101537E-2</v>
      </c>
      <c r="Q83" s="292">
        <f t="shared" ca="1" si="51"/>
        <v>7.5161539069520403E-2</v>
      </c>
      <c r="R83" s="292">
        <f t="shared" ca="1" si="51"/>
        <v>0.11089414982683468</v>
      </c>
      <c r="S83" s="292">
        <f t="shared" ca="1" si="51"/>
        <v>0.14966116261550316</v>
      </c>
      <c r="T83" s="292">
        <f t="shared" ca="1" si="51"/>
        <v>0.18517203646348868</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3.2243663216673532E-2</v>
      </c>
      <c r="F98" s="285">
        <f t="shared" ca="1" si="54"/>
        <v>6.212018418065611E-2</v>
      </c>
      <c r="G98" s="285">
        <f t="shared" ca="1" si="54"/>
        <v>9.1652793397810878E-2</v>
      </c>
      <c r="H98" s="285">
        <f t="shared" ca="1" si="54"/>
        <v>0.12369330247171992</v>
      </c>
      <c r="I98" s="285">
        <f t="shared" ca="1" si="54"/>
        <v>0.15304264857561656</v>
      </c>
    </row>
    <row r="99" spans="1:20" outlineLevel="1">
      <c r="A99" s="61" t="s">
        <v>69</v>
      </c>
      <c r="B99" s="119"/>
      <c r="C99" s="285">
        <f t="shared" ref="C99:I99" ca="1" si="55">+C9*(C87)</f>
        <v>0</v>
      </c>
      <c r="D99" s="285">
        <f t="shared" ca="1" si="55"/>
        <v>0</v>
      </c>
      <c r="E99" s="285">
        <f t="shared" ca="1" si="55"/>
        <v>5.5171783062422626E-4</v>
      </c>
      <c r="F99" s="285">
        <f t="shared" ca="1" si="55"/>
        <v>1.0629317464278109E-3</v>
      </c>
      <c r="G99" s="285">
        <f t="shared" ca="1" si="55"/>
        <v>1.5682610255630686E-3</v>
      </c>
      <c r="H99" s="285">
        <f t="shared" ca="1" si="55"/>
        <v>2.1165027076437762E-3</v>
      </c>
      <c r="I99" s="285">
        <f t="shared" ca="1" si="55"/>
        <v>2.6186961914880093E-3</v>
      </c>
    </row>
    <row r="100" spans="1:20" s="759" customFormat="1" outlineLevel="1">
      <c r="A100" s="61" t="s">
        <v>646</v>
      </c>
      <c r="B100" s="119"/>
      <c r="C100" s="285">
        <f t="shared" ref="C100:I100" ca="1" si="56">+C10*(C88)</f>
        <v>0</v>
      </c>
      <c r="D100" s="285">
        <f t="shared" ca="1" si="56"/>
        <v>0</v>
      </c>
      <c r="E100" s="285">
        <f t="shared" ca="1" si="56"/>
        <v>1.0609958281235122E-5</v>
      </c>
      <c r="F100" s="285">
        <f t="shared" ca="1" si="56"/>
        <v>2.0440995123611749E-5</v>
      </c>
      <c r="G100" s="285">
        <f t="shared" ca="1" si="56"/>
        <v>3.0158865876212861E-5</v>
      </c>
      <c r="H100" s="285">
        <f t="shared" ca="1" si="56"/>
        <v>4.0701975146995693E-5</v>
      </c>
      <c r="I100" s="285">
        <f t="shared" ca="1" si="56"/>
        <v>5.0359542144000181E-5</v>
      </c>
    </row>
    <row r="101" spans="1:20" outlineLevel="1">
      <c r="A101" s="61" t="s">
        <v>647</v>
      </c>
      <c r="B101" s="119"/>
      <c r="C101" s="285">
        <f t="shared" ref="C101:I101" ca="1" si="57">+C11*(C89)</f>
        <v>0</v>
      </c>
      <c r="D101" s="285">
        <f t="shared" ca="1" si="57"/>
        <v>0</v>
      </c>
      <c r="E101" s="285">
        <f t="shared" ca="1" si="57"/>
        <v>3.6498256487448818E-3</v>
      </c>
      <c r="F101" s="285">
        <f t="shared" ca="1" si="57"/>
        <v>7.0317023225224427E-3</v>
      </c>
      <c r="G101" s="285">
        <f t="shared" ca="1" si="57"/>
        <v>1.0374649861417224E-2</v>
      </c>
      <c r="H101" s="285">
        <f t="shared" ca="1" si="57"/>
        <v>1.4001479450566521E-2</v>
      </c>
      <c r="I101" s="285">
        <f t="shared" ca="1" si="57"/>
        <v>1.7323682497536064E-2</v>
      </c>
    </row>
    <row r="102" spans="1:20" s="759" customFormat="1" outlineLevel="1">
      <c r="A102" s="61" t="s">
        <v>575</v>
      </c>
      <c r="B102" s="119"/>
      <c r="C102" s="285">
        <f t="shared" ref="C102:I102" ca="1" si="58">+C12*(C90)</f>
        <v>0</v>
      </c>
      <c r="D102" s="285">
        <f t="shared" ca="1" si="58"/>
        <v>0</v>
      </c>
      <c r="E102" s="285">
        <f t="shared" ca="1" si="58"/>
        <v>2.556999945777664E-3</v>
      </c>
      <c r="F102" s="285">
        <f t="shared" ca="1" si="58"/>
        <v>4.9262798247904317E-3</v>
      </c>
      <c r="G102" s="285">
        <f t="shared" ca="1" si="58"/>
        <v>7.2682866761672989E-3</v>
      </c>
      <c r="H102" s="285">
        <f t="shared" ca="1" si="58"/>
        <v>9.8091760104259615E-3</v>
      </c>
      <c r="I102" s="285">
        <f t="shared" ca="1" si="58"/>
        <v>1.2136649656704043E-2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3.9012816600101537E-2</v>
      </c>
      <c r="F104" s="296">
        <f t="shared" ca="1" si="60"/>
        <v>7.5161539069520403E-2</v>
      </c>
      <c r="G104" s="296">
        <f t="shared" ca="1" si="60"/>
        <v>0.11089414982683468</v>
      </c>
      <c r="H104" s="296">
        <f t="shared" ca="1" si="60"/>
        <v>0.14966116261550316</v>
      </c>
      <c r="I104" s="296">
        <f t="shared" ca="1" si="60"/>
        <v>0.18517203646348868</v>
      </c>
    </row>
    <row r="105" spans="1:20" ht="13.5" outlineLevel="1" thickBot="1">
      <c r="A105" s="122" t="s">
        <v>143</v>
      </c>
      <c r="B105" s="123"/>
      <c r="C105" s="124">
        <f t="shared" ref="C105:I105" ca="1" si="61">IF(C36&lt;&gt;0,+C104/C36,0)</f>
        <v>0</v>
      </c>
      <c r="D105" s="124">
        <f t="shared" ca="1" si="61"/>
        <v>0</v>
      </c>
      <c r="E105" s="124">
        <f t="shared" ca="1" si="61"/>
        <v>1.0609958281235119E-2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hidden="1" outlineLevel="1">
      <c r="A109" s="208" t="s">
        <v>145</v>
      </c>
      <c r="B109" s="209"/>
      <c r="C109" s="209"/>
      <c r="D109" s="209"/>
      <c r="E109" s="209"/>
      <c r="F109" s="209"/>
      <c r="G109" s="209"/>
      <c r="H109" s="209"/>
      <c r="I109" s="210"/>
      <c r="J109" s="211" t="s">
        <v>133</v>
      </c>
      <c r="K109" s="211" t="s">
        <v>134</v>
      </c>
    </row>
    <row r="110" spans="1:20" ht="13.5" hidden="1" outlineLevel="1" thickBot="1">
      <c r="A110" s="212" t="s">
        <v>135</v>
      </c>
      <c r="B110" s="213"/>
      <c r="C110" s="213"/>
      <c r="D110" s="213"/>
      <c r="E110" s="213"/>
      <c r="F110" s="213"/>
      <c r="G110" s="213"/>
      <c r="H110" s="213"/>
      <c r="I110" s="213"/>
      <c r="J110" s="211"/>
      <c r="K110" s="211"/>
      <c r="N110" s="410" t="s">
        <v>377</v>
      </c>
    </row>
    <row r="111" spans="1:20" ht="25.5" hidden="1"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hidden="1" outlineLevel="1">
      <c r="A112" s="58" t="s">
        <v>45</v>
      </c>
      <c r="B112" s="42"/>
      <c r="C112" s="42"/>
      <c r="D112" s="42"/>
      <c r="E112" s="42"/>
      <c r="F112" s="42"/>
      <c r="G112" s="42"/>
      <c r="H112" s="42"/>
      <c r="I112" s="78"/>
      <c r="J112" s="4"/>
    </row>
    <row r="113" spans="1:20" hidden="1"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6.5902641803297191E-2</v>
      </c>
      <c r="Q113" s="285">
        <f ca="1">IF($B113&lt;&gt;0,(+VLOOKUP($B113,$A$8:$I$13,6,FALSE)+VLOOKUP($B113,$A$42:$I$47,6,FALSE))*(F113),0)</f>
        <v>0.13451535545734572</v>
      </c>
      <c r="R113" s="285">
        <f ca="1">IF($B113&lt;&gt;0,(+VLOOKUP($B113,$A$8:$I$13,7,FALSE)+VLOOKUP($B113,$A$42:$I$47,7,FALSE))*(G113),0)</f>
        <v>0.20972835003986154</v>
      </c>
      <c r="S113" s="285">
        <f ca="1">IF($B113&lt;&gt;0,(+VLOOKUP($B113,$A$8:$I$13,8,FALSE)+VLOOKUP($B113,$A$42:$I$47,8,FALSE))*(H113),0)</f>
        <v>0.28825391785294197</v>
      </c>
      <c r="T113" s="285">
        <f ca="1">IF($B113&lt;&gt;0,(+VLOOKUP($B113,$A$8:$I$13,9,FALSE)+VLOOKUP($B113,$A$42:$I$47,9,FALSE))*(I113),0)</f>
        <v>0.36976156217151196</v>
      </c>
    </row>
    <row r="114" spans="1:20" hidden="1"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5.0530497914060681E-6</v>
      </c>
      <c r="Q115" s="285">
        <f t="shared" ca="1" si="68"/>
        <v>1.0229920976113931E-5</v>
      </c>
      <c r="R115" s="285">
        <f t="shared" ca="1" si="69"/>
        <v>1.9691718506968131E-5</v>
      </c>
      <c r="S115" s="285">
        <f t="shared" ca="1" si="70"/>
        <v>3.1029502302257457E-5</v>
      </c>
      <c r="T115" s="285">
        <f t="shared" ca="1" si="71"/>
        <v>4.4838414113705024E-5</v>
      </c>
    </row>
    <row r="116" spans="1:20" hidden="1"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1.7382491282436875E-3</v>
      </c>
      <c r="Q116" s="285">
        <f t="shared" ca="1" si="68"/>
        <v>3.5190928157831924E-3</v>
      </c>
      <c r="R116" s="285">
        <f t="shared" ca="1" si="69"/>
        <v>6.7739511663970371E-3</v>
      </c>
      <c r="S116" s="285">
        <f t="shared" ca="1" si="70"/>
        <v>1.0674148791976567E-2</v>
      </c>
      <c r="T116" s="285">
        <f t="shared" ca="1" si="71"/>
        <v>1.542441445511453E-2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5.2262378001298529E-3</v>
      </c>
      <c r="Q117" s="285">
        <f t="shared" ca="1" si="68"/>
        <v>1.0667390807904019E-2</v>
      </c>
      <c r="R117" s="285">
        <f t="shared" ca="1" si="69"/>
        <v>1.6631961947879772E-2</v>
      </c>
      <c r="S117" s="285">
        <f t="shared" ca="1" si="70"/>
        <v>2.2859228102191185E-2</v>
      </c>
      <c r="T117" s="285">
        <f t="shared" ca="1" si="71"/>
        <v>2.932298008665165E-2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hidden="1"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7.2872181781462153E-2</v>
      </c>
      <c r="Q119" s="292">
        <f t="shared" ca="1" si="72"/>
        <v>0.14871206900200903</v>
      </c>
      <c r="R119" s="292">
        <f t="shared" ca="1" si="72"/>
        <v>0.23315395487264531</v>
      </c>
      <c r="S119" s="292">
        <f t="shared" ca="1" si="72"/>
        <v>0.32181832424941204</v>
      </c>
      <c r="T119" s="292">
        <f t="shared" ca="1" si="72"/>
        <v>0.41455379512739182</v>
      </c>
    </row>
    <row r="120" spans="1:20" ht="12" hidden="1"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hidden="1" outlineLevel="1">
      <c r="A121" s="208" t="s">
        <v>146</v>
      </c>
      <c r="B121" s="209"/>
      <c r="C121" s="209"/>
      <c r="D121" s="209"/>
      <c r="E121" s="209"/>
      <c r="F121" s="209"/>
      <c r="G121" s="209"/>
      <c r="H121" s="209"/>
      <c r="I121" s="210"/>
    </row>
    <row r="122" spans="1:20" hidden="1"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hidden="1"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hidden="1"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hidden="1"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hidden="1"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hidden="1"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hidden="1"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hidden="1" outlineLevel="1">
      <c r="B131" s="42"/>
      <c r="C131" s="42"/>
      <c r="D131" s="42"/>
      <c r="E131" s="42"/>
      <c r="F131" s="42"/>
      <c r="G131" s="42"/>
      <c r="H131" s="42"/>
      <c r="I131" s="78"/>
    </row>
    <row r="132" spans="1:16" ht="13.5" hidden="1" outlineLevel="1" thickBot="1">
      <c r="A132" s="208" t="s">
        <v>147</v>
      </c>
      <c r="B132" s="209"/>
      <c r="C132" s="209"/>
      <c r="D132" s="209"/>
      <c r="E132" s="209"/>
      <c r="F132" s="209"/>
      <c r="G132" s="209"/>
      <c r="H132" s="209"/>
      <c r="I132" s="210"/>
    </row>
    <row r="133" spans="1:16" hidden="1"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hidden="1" outlineLevel="1">
      <c r="A134" s="61" t="s">
        <v>68</v>
      </c>
      <c r="B134" s="119"/>
      <c r="C134" s="285">
        <f ca="1">(+C8+C42)*(C$122)</f>
        <v>0</v>
      </c>
      <c r="D134" s="285">
        <f ca="1">(+D8+D42)*(D$122)</f>
        <v>0</v>
      </c>
      <c r="E134" s="285">
        <f t="shared" ref="E134:I134" ca="1" si="75">(+E8+E42)*(E$122)</f>
        <v>6.5902641803297191E-2</v>
      </c>
      <c r="F134" s="285">
        <f t="shared" ca="1" si="75"/>
        <v>0.13451535545734572</v>
      </c>
      <c r="G134" s="285">
        <f t="shared" ca="1" si="75"/>
        <v>0.20972835003986154</v>
      </c>
      <c r="H134" s="285">
        <f t="shared" ca="1" si="75"/>
        <v>0.28825391785294197</v>
      </c>
      <c r="I134" s="285">
        <f t="shared" ca="1" si="75"/>
        <v>0.36976156217151196</v>
      </c>
    </row>
    <row r="135" spans="1:16" hidden="1"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5.0530497914060681E-6</v>
      </c>
      <c r="F136" s="285">
        <f t="shared" ca="1" si="77"/>
        <v>1.0229920976113931E-5</v>
      </c>
      <c r="G136" s="285">
        <f t="shared" ca="1" si="77"/>
        <v>1.9691718506968131E-5</v>
      </c>
      <c r="H136" s="285">
        <f t="shared" ca="1" si="77"/>
        <v>3.1029502302257457E-5</v>
      </c>
      <c r="I136" s="285">
        <f t="shared" ca="1" si="77"/>
        <v>4.4838414113705024E-5</v>
      </c>
    </row>
    <row r="137" spans="1:16" hidden="1" outlineLevel="1">
      <c r="A137" s="61" t="s">
        <v>647</v>
      </c>
      <c r="B137" s="119"/>
      <c r="C137" s="285">
        <f ca="1">(+C11+C45)*(C$125)</f>
        <v>0</v>
      </c>
      <c r="D137" s="285">
        <f t="shared" ref="D137:I137" ca="1" si="78">(+D11+D45)*(D$125)</f>
        <v>0</v>
      </c>
      <c r="E137" s="285">
        <f t="shared" ca="1" si="78"/>
        <v>1.7382491282436875E-3</v>
      </c>
      <c r="F137" s="285">
        <f t="shared" ca="1" si="78"/>
        <v>3.5190928157831924E-3</v>
      </c>
      <c r="G137" s="285">
        <f t="shared" ca="1" si="78"/>
        <v>6.7739511663970371E-3</v>
      </c>
      <c r="H137" s="285">
        <f t="shared" ca="1" si="78"/>
        <v>1.0674148791976567E-2</v>
      </c>
      <c r="I137" s="285">
        <f t="shared" ca="1" si="78"/>
        <v>1.542441445511453E-2</v>
      </c>
    </row>
    <row r="138" spans="1:16" s="759" customFormat="1" outlineLevel="1">
      <c r="A138" s="61" t="s">
        <v>575</v>
      </c>
      <c r="B138" s="119"/>
      <c r="C138" s="285">
        <f ca="1">(+C12+C46)*(C$126)</f>
        <v>0</v>
      </c>
      <c r="D138" s="285">
        <f t="shared" ref="D138:I138" ca="1" si="79">(+D12+D46)*(D$126)</f>
        <v>0</v>
      </c>
      <c r="E138" s="285">
        <f t="shared" ca="1" si="79"/>
        <v>5.2262378001298529E-3</v>
      </c>
      <c r="F138" s="285">
        <f t="shared" ca="1" si="79"/>
        <v>1.0667390807904019E-2</v>
      </c>
      <c r="G138" s="285">
        <f t="shared" ca="1" si="79"/>
        <v>1.6631961947879772E-2</v>
      </c>
      <c r="H138" s="285">
        <f t="shared" ca="1" si="79"/>
        <v>2.2859228102191185E-2</v>
      </c>
      <c r="I138" s="285">
        <f t="shared" ca="1" si="79"/>
        <v>2.932298008665165E-2</v>
      </c>
    </row>
    <row r="139" spans="1:16" hidden="1"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hidden="1" outlineLevel="1">
      <c r="A140" s="120" t="s">
        <v>147</v>
      </c>
      <c r="B140" s="121"/>
      <c r="C140" s="296">
        <f t="shared" ref="C140:I140" ca="1" si="81">SUM(C134:C139)</f>
        <v>0</v>
      </c>
      <c r="D140" s="296">
        <f t="shared" ca="1" si="81"/>
        <v>0</v>
      </c>
      <c r="E140" s="296">
        <f t="shared" ca="1" si="81"/>
        <v>7.2872181781462153E-2</v>
      </c>
      <c r="F140" s="296">
        <f t="shared" ca="1" si="81"/>
        <v>0.14871206900200903</v>
      </c>
      <c r="G140" s="296">
        <f t="shared" ca="1" si="81"/>
        <v>0.23315395487264531</v>
      </c>
      <c r="H140" s="296">
        <f t="shared" ca="1" si="81"/>
        <v>0.32181832424941204</v>
      </c>
      <c r="I140" s="296">
        <f t="shared" ca="1" si="81"/>
        <v>0.41455379512739182</v>
      </c>
    </row>
    <row r="141" spans="1:16" ht="13.5" hidden="1" outlineLevel="1" thickBot="1">
      <c r="A141" s="122" t="s">
        <v>148</v>
      </c>
      <c r="B141" s="126"/>
      <c r="C141" s="124">
        <f t="shared" ref="C141:I141" ca="1" si="82">IF((+C36+C48)&lt;&gt;0,+C140/(+C36+C48),0)</f>
        <v>0</v>
      </c>
      <c r="D141" s="124">
        <f t="shared" ca="1" si="82"/>
        <v>0</v>
      </c>
      <c r="E141" s="124">
        <f t="shared" ca="1" si="82"/>
        <v>1.9610314974138125E-2</v>
      </c>
      <c r="F141" s="124">
        <f t="shared" ca="1" si="82"/>
        <v>3.963370645254452E-2</v>
      </c>
      <c r="G141" s="124">
        <f t="shared" ca="1" si="82"/>
        <v>6.1552394457301311E-2</v>
      </c>
      <c r="H141" s="124">
        <f t="shared" ca="1" si="82"/>
        <v>8.409898618498296E-2</v>
      </c>
      <c r="I141" s="124">
        <f t="shared" ca="1" si="82"/>
        <v>0.1073369573425295</v>
      </c>
    </row>
    <row r="142" spans="1:16" hidden="1" outlineLevel="1"/>
    <row r="143" spans="1:16" collapsed="1">
      <c r="K143" s="127"/>
    </row>
    <row r="144" spans="1:16">
      <c r="K144" s="127"/>
    </row>
    <row r="145" spans="1:13" ht="18">
      <c r="A145" s="206" t="s">
        <v>72</v>
      </c>
      <c r="B145" s="202"/>
      <c r="C145" s="202"/>
      <c r="D145" s="202"/>
      <c r="E145" s="202"/>
      <c r="F145" s="202"/>
      <c r="G145" s="202"/>
      <c r="H145" s="202"/>
      <c r="I145" s="203"/>
      <c r="J145" s="42"/>
    </row>
    <row r="146" spans="1:13" ht="13.5" hidden="1" outlineLevel="1" thickBot="1">
      <c r="A146" s="215" t="s">
        <v>149</v>
      </c>
      <c r="B146" s="209"/>
      <c r="C146" s="209"/>
      <c r="D146" s="209"/>
      <c r="E146" s="209"/>
      <c r="F146" s="209"/>
      <c r="G146" s="209"/>
      <c r="H146" s="209"/>
      <c r="I146" s="210"/>
      <c r="J146" s="42"/>
    </row>
    <row r="147" spans="1:13" hidden="1"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hidden="1" outlineLevel="1">
      <c r="A148" s="58" t="s">
        <v>126</v>
      </c>
      <c r="B148" s="128"/>
      <c r="C148" s="59"/>
      <c r="D148" s="59"/>
      <c r="E148" s="59"/>
      <c r="F148" s="59"/>
      <c r="G148" s="59"/>
      <c r="H148" s="59"/>
      <c r="I148" s="59"/>
      <c r="J148" s="60"/>
      <c r="K148" s="60"/>
      <c r="L148" s="60"/>
    </row>
    <row r="149" spans="1:13" s="64" customFormat="1" ht="14.25" hidden="1"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hidden="1"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hidden="1"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hidden="1"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hidden="1"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ollapsed="1">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hidden="1" outlineLevel="1" thickBot="1">
      <c r="A158" s="215" t="s">
        <v>326</v>
      </c>
      <c r="B158" s="209"/>
      <c r="C158" s="209" t="s">
        <v>327</v>
      </c>
      <c r="D158" s="209">
        <f>MAX(J178:J195)</f>
        <v>1</v>
      </c>
      <c r="E158" s="209"/>
      <c r="F158" s="209"/>
      <c r="G158" s="209"/>
      <c r="H158" s="209"/>
      <c r="I158" s="210"/>
      <c r="K158" s="46" t="s">
        <v>117</v>
      </c>
      <c r="L158" s="50" t="s">
        <v>259</v>
      </c>
      <c r="M158" s="54" t="s">
        <v>111</v>
      </c>
    </row>
    <row r="159" spans="1:13" hidden="1"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hidden="1"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hidden="1"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hidden="1"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hidden="1"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hidden="1"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hidden="1"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hidden="1"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hidden="1"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hidden="1"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hidden="1"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ollapsed="1">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00">
        <v>0</v>
      </c>
      <c r="D185" s="285"/>
      <c r="E185" s="285">
        <f t="array" ref="E185:I190">'[3]TOTAL (SEM)'!$O$70:$S$75</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3.677</v>
      </c>
      <c r="E205" s="82">
        <f t="shared" ca="1" si="95"/>
        <v>3.677</v>
      </c>
      <c r="F205" s="82">
        <f t="shared" ca="1" si="95"/>
        <v>3.677</v>
      </c>
      <c r="G205" s="82">
        <f t="shared" ca="1" si="95"/>
        <v>3.677</v>
      </c>
      <c r="H205" s="82">
        <f t="shared" ca="1" si="95"/>
        <v>3.677</v>
      </c>
      <c r="I205" s="82">
        <f t="shared" ca="1" si="95"/>
        <v>3.677</v>
      </c>
    </row>
    <row r="206" spans="1:9" outlineLevel="1">
      <c r="A206" t="s">
        <v>156</v>
      </c>
      <c r="B206" s="82">
        <f t="shared" ref="B206:I206" ca="1" si="96">+B36</f>
        <v>0</v>
      </c>
      <c r="C206" s="82">
        <f t="shared" ca="1" si="96"/>
        <v>0</v>
      </c>
      <c r="D206" s="82">
        <f t="shared" ca="1" si="96"/>
        <v>3.677</v>
      </c>
      <c r="E206" s="82">
        <f t="shared" ca="1" si="96"/>
        <v>3.677</v>
      </c>
      <c r="F206" s="82">
        <f t="shared" ca="1" si="96"/>
        <v>3.677</v>
      </c>
      <c r="G206" s="82">
        <f t="shared" ca="1" si="96"/>
        <v>3.677</v>
      </c>
      <c r="H206" s="82">
        <f t="shared" ca="1" si="96"/>
        <v>3.677</v>
      </c>
      <c r="I206" s="82">
        <f t="shared" ca="1" si="96"/>
        <v>3.677</v>
      </c>
    </row>
    <row r="207" spans="1:9" outlineLevel="1">
      <c r="A207" t="s">
        <v>157</v>
      </c>
      <c r="B207" s="82">
        <f t="shared" ref="B207:I207" ca="1" si="97">+B36+B48</f>
        <v>0</v>
      </c>
      <c r="C207" s="82">
        <f t="shared" ca="1" si="97"/>
        <v>0</v>
      </c>
      <c r="D207" s="82">
        <f t="shared" ca="1" si="97"/>
        <v>3.677</v>
      </c>
      <c r="E207" s="82">
        <f t="shared" ca="1" si="97"/>
        <v>3.7160128166001014</v>
      </c>
      <c r="F207" s="82">
        <f t="shared" ca="1" si="97"/>
        <v>3.7521615390695207</v>
      </c>
      <c r="G207" s="82">
        <f t="shared" ca="1" si="97"/>
        <v>3.7878941498268346</v>
      </c>
      <c r="H207" s="82">
        <f t="shared" ca="1" si="97"/>
        <v>3.8266611626155034</v>
      </c>
      <c r="I207" s="82">
        <f t="shared" ca="1" si="97"/>
        <v>3.8621720364634888</v>
      </c>
    </row>
    <row r="208" spans="1:9" outlineLevel="1">
      <c r="A208" t="s">
        <v>158</v>
      </c>
      <c r="B208" s="82">
        <f t="shared" ref="B208:I208" ca="1" si="98">+B70</f>
        <v>0</v>
      </c>
      <c r="C208" s="82">
        <f t="shared" ca="1" si="98"/>
        <v>0</v>
      </c>
      <c r="D208" s="82">
        <f t="shared" ca="1" si="98"/>
        <v>3.677</v>
      </c>
      <c r="E208" s="82">
        <f t="shared" ca="1" si="98"/>
        <v>3.7888849983815631</v>
      </c>
      <c r="F208" s="82">
        <f t="shared" ca="1" si="98"/>
        <v>3.9008736080715294</v>
      </c>
      <c r="G208" s="82">
        <f t="shared" ca="1" si="98"/>
        <v>4.0210481046994797</v>
      </c>
      <c r="H208" s="82">
        <f t="shared" ca="1" si="98"/>
        <v>4.1484794868649146</v>
      </c>
      <c r="I208" s="82">
        <f t="shared" ca="1" si="98"/>
        <v>4.2767258315908805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28" priority="1" stopIfTrue="1" operator="notEqual">
      <formula>0</formula>
    </cfRule>
  </conditionalFormatting>
  <conditionalFormatting sqref="J130 J14 J70 J59 J48 J36:J37 J94 J25">
    <cfRule type="cellIs" dxfId="127" priority="2" stopIfTrue="1" operator="equal">
      <formula>"OK"</formula>
    </cfRule>
    <cfRule type="cellIs" dxfId="126" priority="3" stopIfTrue="1" operator="equal">
      <formula>"Warning Check Escalations"</formula>
    </cfRule>
  </conditionalFormatting>
  <conditionalFormatting sqref="N120:T120 N84:T84">
    <cfRule type="cellIs" dxfId="125" priority="4" stopIfTrue="1" operator="notEqual">
      <formula>0</formula>
    </cfRule>
    <cfRule type="cellIs" dxfId="12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5.xml><?xml version="1.0" encoding="utf-8"?>
<worksheet xmlns="http://schemas.openxmlformats.org/spreadsheetml/2006/main" xmlns:r="http://schemas.openxmlformats.org/officeDocument/2006/relationships">
  <sheetPr codeName="Sheet39" enableFormatConditionsCalculation="0">
    <tabColor rgb="FF008000"/>
    <pageSetUpPr fitToPage="1"/>
  </sheetPr>
  <dimension ref="A1:T239"/>
  <sheetViews>
    <sheetView showGridLines="0" topLeftCell="A68"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11</v>
      </c>
      <c r="M1" s="282"/>
      <c r="N1" s="280"/>
      <c r="O1" s="280"/>
      <c r="P1" s="280"/>
      <c r="Q1" s="280"/>
      <c r="R1" s="280"/>
      <c r="S1" s="280"/>
      <c r="T1" s="280"/>
    </row>
    <row r="2" spans="1:20" ht="15.75">
      <c r="A2" s="184" t="s">
        <v>121</v>
      </c>
      <c r="B2" s="74" t="str">
        <f ca="1">OFFSET(List_DAOpexStart,+$K$1,1)</f>
        <v>Outage Management System</v>
      </c>
      <c r="F2" s="284"/>
      <c r="H2" s="42"/>
      <c r="I2" s="283"/>
      <c r="L2" s="282"/>
      <c r="M2" s="282"/>
    </row>
    <row r="3" spans="1:20" ht="16.5" thickBot="1">
      <c r="A3" s="184" t="s">
        <v>371</v>
      </c>
      <c r="B3" s="236" t="str">
        <f ca="1">OFFSET(List_DAOpexStart,+$K$1,2)</f>
        <v>Geoff Coultas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0.29499999999999998</v>
      </c>
      <c r="E8" s="285">
        <f ca="1">OFFSET(Future_DAOpexStart,MATCH($K$1,'I-5 Future DA'!$A$6:$A$222)+2,+'I-5 Future DA'!F$5)</f>
        <v>0.29499999999999998</v>
      </c>
      <c r="F8" s="285">
        <f ca="1">OFFSET(Future_DAOpexStart,MATCH($K$1,'I-5 Future DA'!$A$6:$A$222)+2,+'I-5 Future DA'!G$5)</f>
        <v>0.29499999999999998</v>
      </c>
      <c r="G8" s="285">
        <f ca="1">OFFSET(Future_DAOpexStart,MATCH($K$1,'I-5 Future DA'!$A$6:$A$222)+2,+'I-5 Future DA'!H$5)</f>
        <v>0.29499999999999998</v>
      </c>
      <c r="H8" s="285">
        <f ca="1">OFFSET(Future_DAOpexStart,MATCH($K$1,'I-5 Future DA'!$A$6:$A$222)+2,+'I-5 Future DA'!I$5)</f>
        <v>0.29499999999999998</v>
      </c>
      <c r="I8" s="285">
        <f ca="1">OFFSET(Future_DAOpexStart,MATCH($K$1,'I-5 Future DA'!$A$6:$A$222)+2,+'I-5 Future DA'!J$5)</f>
        <v>0.29499999999999998</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0.69799999999999995</v>
      </c>
      <c r="E11" s="285">
        <f ca="1">OFFSET(Future_DAOpexStart,MATCH($K$1,'I-5 Future DA'!$A$6:$A$222)+5,+'I-5 Future DA'!F$5)</f>
        <v>0.69799999999999995</v>
      </c>
      <c r="F11" s="285">
        <f ca="1">OFFSET(Future_DAOpexStart,MATCH($K$1,'I-5 Future DA'!$A$6:$A$222)+5,+'I-5 Future DA'!G$5)</f>
        <v>0.69799999999999995</v>
      </c>
      <c r="G11" s="285">
        <f ca="1">OFFSET(Future_DAOpexStart,MATCH($K$1,'I-5 Future DA'!$A$6:$A$222)+5,+'I-5 Future DA'!H$5)</f>
        <v>0.69799999999999995</v>
      </c>
      <c r="H11" s="285">
        <f ca="1">OFFSET(Future_DAOpexStart,MATCH($K$1,'I-5 Future DA'!$A$6:$A$222)+5,+'I-5 Future DA'!I$5)</f>
        <v>0.69799999999999995</v>
      </c>
      <c r="I11" s="285">
        <f ca="1">OFFSET(Future_DAOpexStart,MATCH($K$1,'I-5 Future DA'!$A$6:$A$222)+5,+'I-5 Future DA'!J$5)</f>
        <v>0.69799999999999995</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3.3000000000000002E-2</v>
      </c>
      <c r="E12" s="285">
        <f ca="1">OFFSET(Future_DAOpexStart,MATCH($K$1,'I-5 Future DA'!$A$6:$A$222)+6,+'I-5 Future DA'!F$5)</f>
        <v>3.3000000000000002E-2</v>
      </c>
      <c r="F12" s="285">
        <f ca="1">OFFSET(Future_DAOpexStart,MATCH($K$1,'I-5 Future DA'!$A$6:$A$222)+6,+'I-5 Future DA'!G$5)</f>
        <v>3.3000000000000002E-2</v>
      </c>
      <c r="G12" s="285">
        <f ca="1">OFFSET(Future_DAOpexStart,MATCH($K$1,'I-5 Future DA'!$A$6:$A$222)+6,+'I-5 Future DA'!H$5)</f>
        <v>3.3000000000000002E-2</v>
      </c>
      <c r="H12" s="285">
        <f ca="1">OFFSET(Future_DAOpexStart,MATCH($K$1,'I-5 Future DA'!$A$6:$A$222)+6,+'I-5 Future DA'!I$5)</f>
        <v>3.3000000000000002E-2</v>
      </c>
      <c r="I12" s="285">
        <f ca="1">OFFSET(Future_DAOpexStart,MATCH($K$1,'I-5 Future DA'!$A$6:$A$222)+6,+'I-5 Future DA'!J$5)</f>
        <v>3.3000000000000002E-2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1.0259999999999998</v>
      </c>
      <c r="E14" s="287">
        <f t="shared" ca="1" si="0"/>
        <v>1.0259999999999998</v>
      </c>
      <c r="F14" s="287">
        <f t="shared" ca="1" si="0"/>
        <v>1.0259999999999998</v>
      </c>
      <c r="G14" s="287">
        <f t="shared" ca="1" si="0"/>
        <v>1.0259999999999998</v>
      </c>
      <c r="H14" s="287">
        <f t="shared" ca="1" si="0"/>
        <v>1.0259999999999998</v>
      </c>
      <c r="I14" s="287">
        <f t="shared" ca="1" si="0"/>
        <v>1.0259999999999998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+'DA-11'!B8+'DA-11'!B19</f>
        <v>0</v>
      </c>
      <c r="C30" s="285">
        <f ca="1">+'DA-11'!C8+'DA-11'!C19</f>
        <v>0</v>
      </c>
      <c r="D30" s="285">
        <f ca="1">+'DA-11'!D8+'DA-11'!D19</f>
        <v>0.29499999999999998</v>
      </c>
      <c r="E30" s="285">
        <f ca="1">+'DA-11'!E8+'DA-11'!E19</f>
        <v>0.29499999999999998</v>
      </c>
      <c r="F30" s="285">
        <f ca="1">+'DA-11'!F8+'DA-11'!F19</f>
        <v>0.29499999999999998</v>
      </c>
      <c r="G30" s="285">
        <f ca="1">+'DA-11'!G8+'DA-11'!G19</f>
        <v>0.29499999999999998</v>
      </c>
      <c r="H30" s="285">
        <f ca="1">+'DA-11'!H8+'DA-11'!H19</f>
        <v>0.29499999999999998</v>
      </c>
      <c r="I30" s="285">
        <f ca="1">+'DA-11'!I8+'DA-11'!I19</f>
        <v>0.29499999999999998</v>
      </c>
      <c r="J30" s="42"/>
      <c r="K30" s="21"/>
      <c r="L30" s="21"/>
    </row>
    <row r="31" spans="1:12" outlineLevel="2">
      <c r="A31" s="61" t="s">
        <v>69</v>
      </c>
      <c r="B31" s="285">
        <f ca="1">+'DA-11'!B9+'DA-11'!B20</f>
        <v>0</v>
      </c>
      <c r="C31" s="285">
        <f ca="1">+'DA-11'!C9+'DA-11'!C20</f>
        <v>0</v>
      </c>
      <c r="D31" s="285">
        <f ca="1">+'DA-11'!D9+'DA-11'!D20</f>
        <v>0</v>
      </c>
      <c r="E31" s="285">
        <f ca="1">+'DA-11'!E9+'DA-11'!E20</f>
        <v>0</v>
      </c>
      <c r="F31" s="285">
        <f ca="1">+'DA-11'!F9+'DA-11'!F20</f>
        <v>0</v>
      </c>
      <c r="G31" s="285">
        <f ca="1">+'DA-11'!G9+'DA-11'!G20</f>
        <v>0</v>
      </c>
      <c r="H31" s="285">
        <f ca="1">+'DA-11'!H9+'DA-11'!H20</f>
        <v>0</v>
      </c>
      <c r="I31" s="285">
        <f ca="1">+'DA-11'!I9+'DA-11'!I20</f>
        <v>0</v>
      </c>
      <c r="J31" s="42"/>
      <c r="K31" s="21"/>
      <c r="L31" s="21"/>
    </row>
    <row r="32" spans="1:12" s="759" customFormat="1" outlineLevel="2">
      <c r="A32" s="61" t="s">
        <v>646</v>
      </c>
      <c r="B32" s="285">
        <f ca="1">+'DA-11'!B10+'DA-11'!B21</f>
        <v>0</v>
      </c>
      <c r="C32" s="285">
        <f ca="1">+'DA-11'!C10+'DA-11'!C21</f>
        <v>0</v>
      </c>
      <c r="D32" s="285">
        <f ca="1">+'DA-11'!D10+'DA-11'!D21</f>
        <v>0</v>
      </c>
      <c r="E32" s="285">
        <f ca="1">+'DA-11'!E10+'DA-11'!E21</f>
        <v>0</v>
      </c>
      <c r="F32" s="285">
        <f ca="1">+'DA-11'!F10+'DA-11'!F21</f>
        <v>0</v>
      </c>
      <c r="G32" s="285">
        <f ca="1">+'DA-11'!G10+'DA-11'!G21</f>
        <v>0</v>
      </c>
      <c r="H32" s="285">
        <f ca="1">+'DA-11'!H10+'DA-11'!H21</f>
        <v>0</v>
      </c>
      <c r="I32" s="285">
        <f ca="1">+'DA-11'!I10+'DA-11'!I21</f>
        <v>0</v>
      </c>
      <c r="J32" s="42"/>
      <c r="K32" s="732"/>
      <c r="L32" s="732"/>
    </row>
    <row r="33" spans="1:12" outlineLevel="2">
      <c r="A33" s="61" t="s">
        <v>647</v>
      </c>
      <c r="B33" s="285">
        <f ca="1">+'DA-11'!B11+'DA-11'!B22</f>
        <v>0</v>
      </c>
      <c r="C33" s="285">
        <f ca="1">+'DA-11'!C11+'DA-11'!C22</f>
        <v>0</v>
      </c>
      <c r="D33" s="285">
        <f ca="1">+'DA-11'!D11+'DA-11'!D22</f>
        <v>0.69799999999999995</v>
      </c>
      <c r="E33" s="285">
        <f ca="1">+'DA-11'!E11+'DA-11'!E22</f>
        <v>0.69799999999999995</v>
      </c>
      <c r="F33" s="285">
        <f ca="1">+'DA-11'!F11+'DA-11'!F22</f>
        <v>0.69799999999999995</v>
      </c>
      <c r="G33" s="285">
        <f ca="1">+'DA-11'!G11+'DA-11'!G22</f>
        <v>0.69799999999999995</v>
      </c>
      <c r="H33" s="285">
        <f ca="1">+'DA-11'!H11+'DA-11'!H22</f>
        <v>0.69799999999999995</v>
      </c>
      <c r="I33" s="285">
        <f ca="1">+'DA-11'!I11+'DA-11'!I22</f>
        <v>0.69799999999999995</v>
      </c>
      <c r="J33" s="42"/>
      <c r="K33" s="21"/>
      <c r="L33" s="21"/>
    </row>
    <row r="34" spans="1:12" s="759" customFormat="1" outlineLevel="2">
      <c r="A34" s="61" t="s">
        <v>575</v>
      </c>
      <c r="B34" s="285">
        <f ca="1">+'DA-11'!B12+'DA-11'!B23</f>
        <v>0</v>
      </c>
      <c r="C34" s="285">
        <f ca="1">+'DA-11'!C12+'DA-11'!C23</f>
        <v>0</v>
      </c>
      <c r="D34" s="285">
        <f ca="1">+'DA-11'!D12+'DA-11'!D23</f>
        <v>3.3000000000000002E-2</v>
      </c>
      <c r="E34" s="285">
        <f ca="1">+'DA-11'!E12+'DA-11'!E23</f>
        <v>3.3000000000000002E-2</v>
      </c>
      <c r="F34" s="285">
        <f ca="1">+'DA-11'!F12+'DA-11'!F23</f>
        <v>3.3000000000000002E-2</v>
      </c>
      <c r="G34" s="285">
        <f ca="1">+'DA-11'!G12+'DA-11'!G23</f>
        <v>3.3000000000000002E-2</v>
      </c>
      <c r="H34" s="285">
        <f ca="1">+'DA-11'!H12+'DA-11'!H23</f>
        <v>3.3000000000000002E-2</v>
      </c>
      <c r="I34" s="285">
        <f ca="1">+'DA-11'!I12+'DA-11'!I23</f>
        <v>3.3000000000000002E-2</v>
      </c>
      <c r="J34" s="42"/>
      <c r="K34" s="732"/>
      <c r="L34" s="732"/>
    </row>
    <row r="35" spans="1:12" ht="13.5" outlineLevel="2" thickBot="1">
      <c r="A35" s="83" t="s">
        <v>70</v>
      </c>
      <c r="B35" s="285">
        <f ca="1">+'DA-11'!B13+'DA-11'!B24</f>
        <v>0</v>
      </c>
      <c r="C35" s="285">
        <f ca="1">+'DA-11'!C13+'DA-11'!C24</f>
        <v>0</v>
      </c>
      <c r="D35" s="285">
        <f ca="1">+'DA-11'!D13+'DA-11'!D24</f>
        <v>0</v>
      </c>
      <c r="E35" s="285">
        <f ca="1">+'DA-11'!E13+'DA-11'!E24</f>
        <v>0</v>
      </c>
      <c r="F35" s="285">
        <f ca="1">+'DA-11'!F13+'DA-11'!F24</f>
        <v>0</v>
      </c>
      <c r="G35" s="285">
        <f ca="1">+'DA-11'!G13+'DA-11'!G24</f>
        <v>0</v>
      </c>
      <c r="H35" s="285">
        <f ca="1">+'DA-11'!H13+'DA-11'!H24</f>
        <v>0</v>
      </c>
      <c r="I35" s="285">
        <f ca="1">+'DA-11'!I13+'DA-11'!I24</f>
        <v>0</v>
      </c>
      <c r="J35" s="93"/>
      <c r="K35" s="21"/>
      <c r="L35" s="21"/>
    </row>
    <row r="36" spans="1:12" s="87" customFormat="1" ht="20.25" customHeight="1" thickBot="1">
      <c r="A36" s="94" t="s">
        <v>128</v>
      </c>
      <c r="B36" s="294">
        <f t="shared" ref="B36:I36" ca="1" si="7">SUM(B30:B35)</f>
        <v>0</v>
      </c>
      <c r="C36" s="294">
        <f t="shared" ca="1" si="7"/>
        <v>0</v>
      </c>
      <c r="D36" s="294">
        <f t="shared" ca="1" si="7"/>
        <v>1.0259999999999998</v>
      </c>
      <c r="E36" s="294">
        <f t="shared" ca="1" si="7"/>
        <v>1.0259999999999998</v>
      </c>
      <c r="F36" s="294">
        <f t="shared" ca="1" si="7"/>
        <v>1.0259999999999998</v>
      </c>
      <c r="G36" s="294">
        <f t="shared" ca="1" si="7"/>
        <v>1.0259999999999998</v>
      </c>
      <c r="H36" s="294">
        <f t="shared" ca="1" si="7"/>
        <v>1.0259999999999998</v>
      </c>
      <c r="I36" s="294">
        <f t="shared" ca="1" si="7"/>
        <v>1.0259999999999998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3.1299376929643605E-3</v>
      </c>
      <c r="F42" s="285">
        <f t="shared" ca="1" si="8"/>
        <v>6.0300935614654655E-3</v>
      </c>
      <c r="G42" s="285">
        <f t="shared" ca="1" si="8"/>
        <v>8.8968654334827934E-3</v>
      </c>
      <c r="H42" s="285">
        <f t="shared" ca="1" si="8"/>
        <v>1.2007082668363729E-2</v>
      </c>
      <c r="I42" s="285">
        <f t="shared" ca="1" si="8"/>
        <v>1.4856064932480052E-2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7.4057508803021142E-3</v>
      </c>
      <c r="F45" s="285">
        <f t="shared" ca="1" si="10"/>
        <v>1.4267814596281E-2</v>
      </c>
      <c r="G45" s="285">
        <f t="shared" ca="1" si="10"/>
        <v>2.1050888381596574E-2</v>
      </c>
      <c r="H45" s="285">
        <f t="shared" ca="1" si="10"/>
        <v>2.8409978652602991E-2</v>
      </c>
      <c r="I45" s="285">
        <f t="shared" ca="1" si="10"/>
        <v>3.5150960416512125E-2</v>
      </c>
      <c r="K45" s="42"/>
      <c r="L45" s="21"/>
    </row>
    <row r="46" spans="1:12" s="759" customFormat="1" outlineLevel="1">
      <c r="A46" s="61" t="s">
        <v>575</v>
      </c>
      <c r="B46" s="82"/>
      <c r="C46" s="285">
        <f t="shared" ref="C46:I46" ca="1" si="11">+C102</f>
        <v>0</v>
      </c>
      <c r="D46" s="285">
        <f t="shared" ca="1" si="11"/>
        <v>0</v>
      </c>
      <c r="E46" s="285">
        <f t="shared" ca="1" si="11"/>
        <v>3.5012862328075904E-4</v>
      </c>
      <c r="F46" s="285">
        <f t="shared" ca="1" si="11"/>
        <v>6.7455283907918778E-4</v>
      </c>
      <c r="G46" s="285">
        <f t="shared" ca="1" si="11"/>
        <v>9.9524257391502436E-4</v>
      </c>
      <c r="H46" s="285">
        <f t="shared" ca="1" si="11"/>
        <v>1.3431651798508581E-3</v>
      </c>
      <c r="I46" s="285">
        <f t="shared" ca="1" si="11"/>
        <v>1.6618648907520061E-3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1.0885817196547232E-2</v>
      </c>
      <c r="F48" s="294">
        <f t="shared" ca="1" si="13"/>
        <v>2.0972460996825652E-2</v>
      </c>
      <c r="G48" s="294">
        <f t="shared" ca="1" si="13"/>
        <v>3.0942996388994389E-2</v>
      </c>
      <c r="H48" s="294">
        <f t="shared" ca="1" si="13"/>
        <v>4.1760226500817579E-2</v>
      </c>
      <c r="I48" s="294">
        <f t="shared" ca="1" si="13"/>
        <v>5.1668890239744185E-2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6.3972620375033476E-3</v>
      </c>
      <c r="F53" s="285">
        <f t="shared" ca="1" si="14"/>
        <v>1.3057594557392884E-2</v>
      </c>
      <c r="G53" s="285">
        <f t="shared" ca="1" si="14"/>
        <v>2.0358625620848683E-2</v>
      </c>
      <c r="H53" s="285">
        <f t="shared" ca="1" si="14"/>
        <v>2.7981212822184232E-2</v>
      </c>
      <c r="I53" s="285">
        <f t="shared" ca="1" si="14"/>
        <v>3.5893274379926295E-2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3.5270287544014352E-3</v>
      </c>
      <c r="F56" s="285">
        <f t="shared" ca="1" si="16"/>
        <v>7.1404848413275232E-3</v>
      </c>
      <c r="G56" s="285">
        <f t="shared" ca="1" si="16"/>
        <v>1.3744819517863754E-2</v>
      </c>
      <c r="H56" s="285">
        <f t="shared" ca="1" si="16"/>
        <v>2.1658592606975707E-2</v>
      </c>
      <c r="I56" s="285">
        <f t="shared" ca="1" si="16"/>
        <v>3.1297213051366103E-2</v>
      </c>
      <c r="K56" s="42"/>
      <c r="L56" s="21"/>
    </row>
    <row r="57" spans="1:12" s="759" customFormat="1" outlineLevel="1">
      <c r="A57" s="61" t="s">
        <v>575</v>
      </c>
      <c r="B57" s="285"/>
      <c r="C57" s="285">
        <f t="shared" ref="C57:I57" ca="1" si="17">+C138</f>
        <v>0</v>
      </c>
      <c r="D57" s="285">
        <f t="shared" ca="1" si="17"/>
        <v>0</v>
      </c>
      <c r="E57" s="285">
        <f t="shared" ca="1" si="17"/>
        <v>7.1562592283935756E-4</v>
      </c>
      <c r="F57" s="285">
        <f t="shared" ca="1" si="17"/>
        <v>1.4606800691320857E-3</v>
      </c>
      <c r="G57" s="285">
        <f t="shared" ca="1" si="17"/>
        <v>2.2774055779254464E-3</v>
      </c>
      <c r="H57" s="285">
        <f t="shared" ca="1" si="17"/>
        <v>3.1301017733290832E-3</v>
      </c>
      <c r="I57" s="285">
        <f t="shared" ca="1" si="17"/>
        <v>4.0151798458900609E-3</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1.0639916714744142E-2</v>
      </c>
      <c r="F59" s="287">
        <f t="shared" ca="1" si="19"/>
        <v>2.1658759467852493E-2</v>
      </c>
      <c r="G59" s="287">
        <f t="shared" ca="1" si="19"/>
        <v>3.6380850716637887E-2</v>
      </c>
      <c r="H59" s="287">
        <f t="shared" ca="1" si="19"/>
        <v>5.2769907202489023E-2</v>
      </c>
      <c r="I59" s="287">
        <f t="shared" ca="1" si="19"/>
        <v>7.1205667277182458E-2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0.29499999999999998</v>
      </c>
      <c r="E64" s="285">
        <f t="shared" ca="1" si="20"/>
        <v>0.30452719973046771</v>
      </c>
      <c r="F64" s="285">
        <f t="shared" ca="1" si="20"/>
        <v>0.31408768811885829</v>
      </c>
      <c r="G64" s="285">
        <f t="shared" ca="1" si="20"/>
        <v>0.32425549105433144</v>
      </c>
      <c r="H64" s="285">
        <f t="shared" ca="1" si="20"/>
        <v>0.33498829549054798</v>
      </c>
      <c r="I64" s="285">
        <f t="shared" ca="1" si="20"/>
        <v>0.34574933931240631</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0.69799999999999995</v>
      </c>
      <c r="E67" s="285">
        <f t="shared" ca="1" si="22"/>
        <v>0.70893277963470358</v>
      </c>
      <c r="F67" s="285">
        <f t="shared" ca="1" si="22"/>
        <v>0.71940829943760853</v>
      </c>
      <c r="G67" s="285">
        <f t="shared" ca="1" si="22"/>
        <v>0.73279570789946025</v>
      </c>
      <c r="H67" s="285">
        <f t="shared" ca="1" si="22"/>
        <v>0.7480685712595786</v>
      </c>
      <c r="I67" s="285">
        <f t="shared" ca="1" si="22"/>
        <v>0.76444817346787819</v>
      </c>
      <c r="K67" s="42"/>
      <c r="L67" s="21"/>
    </row>
    <row r="68" spans="1:20" s="759" customFormat="1" ht="12.75" customHeight="1" outlineLevel="1">
      <c r="A68" s="61" t="s">
        <v>575</v>
      </c>
      <c r="B68" s="285">
        <f t="shared" ref="B68:I68" ca="1" si="23">+B46+B34+B57</f>
        <v>0</v>
      </c>
      <c r="C68" s="285">
        <f t="shared" ca="1" si="23"/>
        <v>0</v>
      </c>
      <c r="D68" s="285">
        <f t="shared" ca="1" si="23"/>
        <v>3.3000000000000002E-2</v>
      </c>
      <c r="E68" s="285">
        <f t="shared" ca="1" si="23"/>
        <v>3.4065754546120118E-2</v>
      </c>
      <c r="F68" s="285">
        <f t="shared" ca="1" si="23"/>
        <v>3.5135232908211279E-2</v>
      </c>
      <c r="G68" s="285">
        <f t="shared" ca="1" si="23"/>
        <v>3.6272648151840475E-2</v>
      </c>
      <c r="H68" s="285">
        <f t="shared" ca="1" si="23"/>
        <v>3.7473266953179943E-2</v>
      </c>
      <c r="I68" s="285">
        <f t="shared" ca="1" si="23"/>
        <v>3.8677044736642067E-2</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1.0259999999999998</v>
      </c>
      <c r="E70" s="295">
        <f t="shared" ca="1" si="25"/>
        <v>1.0475257339112913</v>
      </c>
      <c r="F70" s="295">
        <f t="shared" ca="1" si="25"/>
        <v>1.0686312204646782</v>
      </c>
      <c r="G70" s="295">
        <f t="shared" ca="1" si="25"/>
        <v>1.0933238471056321</v>
      </c>
      <c r="H70" s="295">
        <f t="shared" ca="1" si="25"/>
        <v>1.1205301337033065</v>
      </c>
      <c r="I70" s="295">
        <f t="shared" ca="1" si="25"/>
        <v>1.1488745575169266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3.1299376929643605E-3</v>
      </c>
      <c r="Q77" s="285">
        <f ca="1">IF($B77&lt;&gt;0,(+VLOOKUP($B77,$A$8:$I$13,6,FALSE))*(F77),0)</f>
        <v>6.0300935614654655E-3</v>
      </c>
      <c r="R77" s="285">
        <f ca="1">IF($B77&lt;&gt;0,(+VLOOKUP($B77,$A$8:$I$13,7,FALSE))*(G77),0)</f>
        <v>8.8968654334827934E-3</v>
      </c>
      <c r="S77" s="285">
        <f ca="1">IF($B77&lt;&gt;0,(+VLOOKUP($B77,$A$8:$I$13,8,FALSE))*(H77),0)</f>
        <v>1.2007082668363729E-2</v>
      </c>
      <c r="T77" s="285">
        <f ca="1">IF($B77&lt;&gt;0,(+VLOOKUP($B77,$A$8:$I$13,9,FALSE))*(I77),0)</f>
        <v>1.4856064932480052E-2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7.4057508803021142E-3</v>
      </c>
      <c r="Q80" s="285">
        <f t="shared" ca="1" si="34"/>
        <v>1.4267814596281E-2</v>
      </c>
      <c r="R80" s="285">
        <f t="shared" ca="1" si="35"/>
        <v>2.1050888381596574E-2</v>
      </c>
      <c r="S80" s="285">
        <f t="shared" ca="1" si="36"/>
        <v>2.8409978652602991E-2</v>
      </c>
      <c r="T80" s="285">
        <f t="shared" ca="1" si="37"/>
        <v>3.5150960416512125E-2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3.5012862328075904E-4</v>
      </c>
      <c r="Q81" s="285">
        <f ca="1">IF($B81&lt;&gt;0,(+VLOOKUP($B81,$A$8:$I$13,6,FALSE))*(F81),0)</f>
        <v>6.7455283907918778E-4</v>
      </c>
      <c r="R81" s="285">
        <f ca="1">IF($B81&lt;&gt;0,(+VLOOKUP($B81,$A$8:$I$13,7,FALSE))*(G81),0)</f>
        <v>9.9524257391502436E-4</v>
      </c>
      <c r="S81" s="285">
        <f ca="1">IF($B81&lt;&gt;0,(+VLOOKUP($B81,$A$8:$I$13,8,FALSE))*(H81),0)</f>
        <v>1.3431651798508581E-3</v>
      </c>
      <c r="T81" s="285">
        <f ca="1">IF($B81&lt;&gt;0,(+VLOOKUP($B81,$A$8:$I$13,9,FALSE))*(I81),0)</f>
        <v>1.6618648907520061E-3</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1.0885817196547232E-2</v>
      </c>
      <c r="Q83" s="292">
        <f t="shared" ca="1" si="51"/>
        <v>2.0972460996825652E-2</v>
      </c>
      <c r="R83" s="292">
        <f t="shared" ca="1" si="51"/>
        <v>3.0942996388994389E-2</v>
      </c>
      <c r="S83" s="292">
        <f t="shared" ca="1" si="51"/>
        <v>4.1760226500817579E-2</v>
      </c>
      <c r="T83" s="292">
        <f t="shared" ca="1" si="51"/>
        <v>5.1668890239744185E-2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3.1299376929643605E-3</v>
      </c>
      <c r="F98" s="285">
        <f t="shared" ca="1" si="54"/>
        <v>6.0300935614654655E-3</v>
      </c>
      <c r="G98" s="285">
        <f t="shared" ca="1" si="54"/>
        <v>8.8968654334827934E-3</v>
      </c>
      <c r="H98" s="285">
        <f t="shared" ca="1" si="54"/>
        <v>1.2007082668363729E-2</v>
      </c>
      <c r="I98" s="285">
        <f t="shared" ca="1" si="54"/>
        <v>1.4856064932480052E-2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7.4057508803021142E-3</v>
      </c>
      <c r="F101" s="285">
        <f t="shared" ca="1" si="57"/>
        <v>1.4267814596281E-2</v>
      </c>
      <c r="G101" s="285">
        <f t="shared" ca="1" si="57"/>
        <v>2.1050888381596574E-2</v>
      </c>
      <c r="H101" s="285">
        <f t="shared" ca="1" si="57"/>
        <v>2.8409978652602991E-2</v>
      </c>
      <c r="I101" s="285">
        <f t="shared" ca="1" si="57"/>
        <v>3.5150960416512125E-2</v>
      </c>
    </row>
    <row r="102" spans="1:20" s="759" customFormat="1" outlineLevel="1">
      <c r="A102" s="61" t="s">
        <v>575</v>
      </c>
      <c r="B102" s="119"/>
      <c r="C102" s="285">
        <f t="shared" ref="C102:I102" ca="1" si="58">+C12*(C90)</f>
        <v>0</v>
      </c>
      <c r="D102" s="285">
        <f t="shared" ca="1" si="58"/>
        <v>0</v>
      </c>
      <c r="E102" s="285">
        <f t="shared" ca="1" si="58"/>
        <v>3.5012862328075904E-4</v>
      </c>
      <c r="F102" s="285">
        <f t="shared" ca="1" si="58"/>
        <v>6.7455283907918778E-4</v>
      </c>
      <c r="G102" s="285">
        <f t="shared" ca="1" si="58"/>
        <v>9.9524257391502436E-4</v>
      </c>
      <c r="H102" s="285">
        <f t="shared" ca="1" si="58"/>
        <v>1.3431651798508581E-3</v>
      </c>
      <c r="I102" s="285">
        <f t="shared" ca="1" si="58"/>
        <v>1.6618648907520061E-3</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1.0885817196547232E-2</v>
      </c>
      <c r="F104" s="296">
        <f t="shared" ca="1" si="60"/>
        <v>2.0972460996825652E-2</v>
      </c>
      <c r="G104" s="296">
        <f t="shared" ca="1" si="60"/>
        <v>3.0942996388994389E-2</v>
      </c>
      <c r="H104" s="296">
        <f t="shared" ca="1" si="60"/>
        <v>4.1760226500817579E-2</v>
      </c>
      <c r="I104" s="296">
        <f t="shared" ca="1" si="60"/>
        <v>5.1668890239744185E-2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4.0701975146995702E-2</v>
      </c>
      <c r="I105" s="124">
        <f t="shared" ca="1" si="61"/>
        <v>5.0359542144000187E-2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6.3972620375033476E-3</v>
      </c>
      <c r="Q113" s="285">
        <f ca="1">IF($B113&lt;&gt;0,(+VLOOKUP($B113,$A$8:$I$13,6,FALSE)+VLOOKUP($B113,$A$42:$I$47,6,FALSE))*(F113),0)</f>
        <v>1.3057594557392884E-2</v>
      </c>
      <c r="R113" s="285">
        <f ca="1">IF($B113&lt;&gt;0,(+VLOOKUP($B113,$A$8:$I$13,7,FALSE)+VLOOKUP($B113,$A$42:$I$47,7,FALSE))*(G113),0)</f>
        <v>2.0358625620848683E-2</v>
      </c>
      <c r="S113" s="285">
        <f ca="1">IF($B113&lt;&gt;0,(+VLOOKUP($B113,$A$8:$I$13,8,FALSE)+VLOOKUP($B113,$A$42:$I$47,8,FALSE))*(H113),0)</f>
        <v>2.7981212822184232E-2</v>
      </c>
      <c r="T113" s="285">
        <f ca="1">IF($B113&lt;&gt;0,(+VLOOKUP($B113,$A$8:$I$13,9,FALSE)+VLOOKUP($B113,$A$42:$I$47,9,FALSE))*(I113),0)</f>
        <v>3.5893274379926295E-2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3.5270287544014352E-3</v>
      </c>
      <c r="Q116" s="285">
        <f t="shared" ca="1" si="68"/>
        <v>7.1404848413275232E-3</v>
      </c>
      <c r="R116" s="285">
        <f t="shared" ca="1" si="69"/>
        <v>1.3744819517863754E-2</v>
      </c>
      <c r="S116" s="285">
        <f t="shared" ca="1" si="70"/>
        <v>2.1658592606975707E-2</v>
      </c>
      <c r="T116" s="285">
        <f t="shared" ca="1" si="71"/>
        <v>3.1297213051366103E-2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7.1562592283935756E-4</v>
      </c>
      <c r="Q117" s="285">
        <f t="shared" ca="1" si="68"/>
        <v>1.4606800691320857E-3</v>
      </c>
      <c r="R117" s="285">
        <f t="shared" ca="1" si="69"/>
        <v>2.2774055779254464E-3</v>
      </c>
      <c r="S117" s="285">
        <f t="shared" ca="1" si="70"/>
        <v>3.1301017733290832E-3</v>
      </c>
      <c r="T117" s="285">
        <f t="shared" ca="1" si="71"/>
        <v>4.0151798458900609E-3</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1.0639916714744142E-2</v>
      </c>
      <c r="Q119" s="292">
        <f t="shared" ca="1" si="72"/>
        <v>2.1658759467852493E-2</v>
      </c>
      <c r="R119" s="292">
        <f t="shared" ca="1" si="72"/>
        <v>3.6380850716637887E-2</v>
      </c>
      <c r="S119" s="292">
        <f t="shared" ca="1" si="72"/>
        <v>5.2769907202489023E-2</v>
      </c>
      <c r="T119" s="292">
        <f t="shared" ca="1" si="72"/>
        <v>7.1205667277182458E-2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6.3972620375033476E-3</v>
      </c>
      <c r="F134" s="285">
        <f t="shared" ca="1" si="75"/>
        <v>1.3057594557392884E-2</v>
      </c>
      <c r="G134" s="285">
        <f t="shared" ca="1" si="75"/>
        <v>2.0358625620848683E-2</v>
      </c>
      <c r="H134" s="285">
        <f t="shared" ca="1" si="75"/>
        <v>2.7981212822184232E-2</v>
      </c>
      <c r="I134" s="285">
        <f t="shared" ca="1" si="75"/>
        <v>3.5893274379926295E-2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3.5270287544014352E-3</v>
      </c>
      <c r="F137" s="285">
        <f t="shared" ca="1" si="78"/>
        <v>7.1404848413275232E-3</v>
      </c>
      <c r="G137" s="285">
        <f t="shared" ca="1" si="78"/>
        <v>1.3744819517863754E-2</v>
      </c>
      <c r="H137" s="285">
        <f t="shared" ca="1" si="78"/>
        <v>2.1658592606975707E-2</v>
      </c>
      <c r="I137" s="285">
        <f t="shared" ca="1" si="78"/>
        <v>3.1297213051366103E-2</v>
      </c>
    </row>
    <row r="138" spans="1:16" s="759" customFormat="1" outlineLevel="1">
      <c r="A138" s="61" t="s">
        <v>575</v>
      </c>
      <c r="B138" s="119"/>
      <c r="C138" s="285">
        <f ca="1">(+C12+C46)*(C$126)</f>
        <v>0</v>
      </c>
      <c r="D138" s="285">
        <f t="shared" ref="D138:I138" ca="1" si="79">(+D12+D46)*(D$126)</f>
        <v>0</v>
      </c>
      <c r="E138" s="285">
        <f t="shared" ca="1" si="79"/>
        <v>7.1562592283935756E-4</v>
      </c>
      <c r="F138" s="285">
        <f t="shared" ca="1" si="79"/>
        <v>1.4606800691320857E-3</v>
      </c>
      <c r="G138" s="285">
        <f t="shared" ca="1" si="79"/>
        <v>2.2774055779254464E-3</v>
      </c>
      <c r="H138" s="285">
        <f t="shared" ca="1" si="79"/>
        <v>3.1301017733290832E-3</v>
      </c>
      <c r="I138" s="285">
        <f t="shared" ca="1" si="79"/>
        <v>4.0151798458900609E-3</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1.0639916714744142E-2</v>
      </c>
      <c r="F140" s="296">
        <f t="shared" ca="1" si="81"/>
        <v>2.1658759467852493E-2</v>
      </c>
      <c r="G140" s="296">
        <f t="shared" ca="1" si="81"/>
        <v>3.6380850716637887E-2</v>
      </c>
      <c r="H140" s="296">
        <f t="shared" ca="1" si="81"/>
        <v>5.2769907202489023E-2</v>
      </c>
      <c r="I140" s="296">
        <f t="shared" ca="1" si="81"/>
        <v>7.1205667277182458E-2</v>
      </c>
    </row>
    <row r="141" spans="1:16" ht="13.5" outlineLevel="1" thickBot="1">
      <c r="A141" s="122" t="s">
        <v>148</v>
      </c>
      <c r="B141" s="126"/>
      <c r="C141" s="124">
        <f t="shared" ref="C141:I141" ca="1" si="82">IF((+C36+C48)&lt;&gt;0,+C140/(+C36+C48),0)</f>
        <v>0</v>
      </c>
      <c r="D141" s="124">
        <f t="shared" ca="1" si="82"/>
        <v>0</v>
      </c>
      <c r="E141" s="124">
        <f t="shared" ca="1" si="82"/>
        <v>1.026141599999076E-2</v>
      </c>
      <c r="F141" s="124">
        <f t="shared" ca="1" si="82"/>
        <v>2.0687038365107643E-2</v>
      </c>
      <c r="G141" s="124">
        <f t="shared" ca="1" si="82"/>
        <v>3.4420825759697245E-2</v>
      </c>
      <c r="H141" s="124">
        <f t="shared" ca="1" si="82"/>
        <v>4.942112085914882E-2</v>
      </c>
      <c r="I141" s="124">
        <f t="shared" ca="1" si="82"/>
        <v>6.6073789381951686E-2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(SEM)'!$O$79:$S$84</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1.0259999999999998</v>
      </c>
      <c r="E205" s="82">
        <f t="shared" ca="1" si="95"/>
        <v>1.0259999999999998</v>
      </c>
      <c r="F205" s="82">
        <f t="shared" ca="1" si="95"/>
        <v>1.0259999999999998</v>
      </c>
      <c r="G205" s="82">
        <f t="shared" ca="1" si="95"/>
        <v>1.0259999999999998</v>
      </c>
      <c r="H205" s="82">
        <f t="shared" ca="1" si="95"/>
        <v>1.0259999999999998</v>
      </c>
      <c r="I205" s="82">
        <f t="shared" ca="1" si="95"/>
        <v>1.0259999999999998</v>
      </c>
    </row>
    <row r="206" spans="1:9" outlineLevel="1">
      <c r="A206" t="s">
        <v>156</v>
      </c>
      <c r="B206" s="82">
        <f t="shared" ref="B206:I206" ca="1" si="96">+B36</f>
        <v>0</v>
      </c>
      <c r="C206" s="82">
        <f t="shared" ca="1" si="96"/>
        <v>0</v>
      </c>
      <c r="D206" s="82">
        <f t="shared" ca="1" si="96"/>
        <v>1.0259999999999998</v>
      </c>
      <c r="E206" s="82">
        <f t="shared" ca="1" si="96"/>
        <v>1.0259999999999998</v>
      </c>
      <c r="F206" s="82">
        <f t="shared" ca="1" si="96"/>
        <v>1.0259999999999998</v>
      </c>
      <c r="G206" s="82">
        <f t="shared" ca="1" si="96"/>
        <v>1.0259999999999998</v>
      </c>
      <c r="H206" s="82">
        <f t="shared" ca="1" si="96"/>
        <v>1.0259999999999998</v>
      </c>
      <c r="I206" s="82">
        <f t="shared" ca="1" si="96"/>
        <v>1.0259999999999998</v>
      </c>
    </row>
    <row r="207" spans="1:9" outlineLevel="1">
      <c r="A207" t="s">
        <v>157</v>
      </c>
      <c r="B207" s="82">
        <f t="shared" ref="B207:I207" ca="1" si="97">+B36+B48</f>
        <v>0</v>
      </c>
      <c r="C207" s="82">
        <f t="shared" ca="1" si="97"/>
        <v>0</v>
      </c>
      <c r="D207" s="82">
        <f t="shared" ca="1" si="97"/>
        <v>1.0259999999999998</v>
      </c>
      <c r="E207" s="82">
        <f t="shared" ca="1" si="97"/>
        <v>1.0368858171965469</v>
      </c>
      <c r="F207" s="82">
        <f t="shared" ca="1" si="97"/>
        <v>1.0469724609968254</v>
      </c>
      <c r="G207" s="82">
        <f t="shared" ca="1" si="97"/>
        <v>1.0569429963889942</v>
      </c>
      <c r="H207" s="82">
        <f t="shared" ca="1" si="97"/>
        <v>1.0677602265008175</v>
      </c>
      <c r="I207" s="82">
        <f t="shared" ca="1" si="97"/>
        <v>1.077668890239744</v>
      </c>
    </row>
    <row r="208" spans="1:9" outlineLevel="1">
      <c r="A208" t="s">
        <v>158</v>
      </c>
      <c r="B208" s="82">
        <f t="shared" ref="B208:I208" ca="1" si="98">+B70</f>
        <v>0</v>
      </c>
      <c r="C208" s="82">
        <f t="shared" ca="1" si="98"/>
        <v>0</v>
      </c>
      <c r="D208" s="82">
        <f t="shared" ca="1" si="98"/>
        <v>1.0259999999999998</v>
      </c>
      <c r="E208" s="82">
        <f t="shared" ca="1" si="98"/>
        <v>1.0475257339112913</v>
      </c>
      <c r="F208" s="82">
        <f t="shared" ca="1" si="98"/>
        <v>1.0686312204646782</v>
      </c>
      <c r="G208" s="82">
        <f t="shared" ca="1" si="98"/>
        <v>1.0933238471056321</v>
      </c>
      <c r="H208" s="82">
        <f t="shared" ca="1" si="98"/>
        <v>1.1205301337033065</v>
      </c>
      <c r="I208" s="82">
        <f t="shared" ca="1" si="98"/>
        <v>1.1488745575169266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23" priority="1" stopIfTrue="1" operator="notEqual">
      <formula>0</formula>
    </cfRule>
  </conditionalFormatting>
  <conditionalFormatting sqref="J130 J94 J70 J59 J48 J36:J37 J14 J25">
    <cfRule type="cellIs" dxfId="122" priority="2" stopIfTrue="1" operator="equal">
      <formula>"OK"</formula>
    </cfRule>
    <cfRule type="cellIs" dxfId="121" priority="3" stopIfTrue="1" operator="equal">
      <formula>"Warning Check Escalations"</formula>
    </cfRule>
  </conditionalFormatting>
  <conditionalFormatting sqref="N120:T120 N84:T84">
    <cfRule type="cellIs" dxfId="120" priority="4" stopIfTrue="1" operator="notEqual">
      <formula>0</formula>
    </cfRule>
    <cfRule type="cellIs" dxfId="11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6.xml><?xml version="1.0" encoding="utf-8"?>
<worksheet xmlns="http://schemas.openxmlformats.org/spreadsheetml/2006/main" xmlns:r="http://schemas.openxmlformats.org/officeDocument/2006/relationships">
  <sheetPr codeName="Sheet40" enableFormatConditionsCalculation="0">
    <tabColor rgb="FF008000"/>
    <pageSetUpPr fitToPage="1"/>
  </sheetPr>
  <dimension ref="A1:T239"/>
  <sheetViews>
    <sheetView showGridLines="0" topLeftCell="A176" zoomScaleNormal="100" workbookViewId="0">
      <selection activeCell="N187" sqref="N187"/>
    </sheetView>
  </sheetViews>
  <sheetFormatPr defaultRowHeight="12.75" outlineLevelRow="2"/>
  <cols>
    <col min="1" max="1" width="30" customWidth="1"/>
    <col min="2" max="2" width="15" customWidth="1"/>
    <col min="3"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12</v>
      </c>
      <c r="M1" s="282"/>
      <c r="N1" s="280"/>
      <c r="O1" s="280"/>
      <c r="P1" s="280"/>
      <c r="Q1" s="280"/>
      <c r="R1" s="280"/>
      <c r="S1" s="280"/>
      <c r="T1" s="280"/>
    </row>
    <row r="2" spans="1:20" ht="15.75">
      <c r="A2" s="184" t="s">
        <v>121</v>
      </c>
      <c r="B2" s="74" t="str">
        <f ca="1">OFFSET(List_DAOpexStart,+$K$1,1)</f>
        <v>Asset Assessment</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2.4209999999999998</v>
      </c>
      <c r="E8" s="285">
        <f ca="1">OFFSET(Future_DAOpexStart,MATCH($K$1,'I-5 Future DA'!$A$6:$A$222)+2,+'I-5 Future DA'!F$5)</f>
        <v>2.4209999999999998</v>
      </c>
      <c r="F8" s="285">
        <f ca="1">OFFSET(Future_DAOpexStart,MATCH($K$1,'I-5 Future DA'!$A$6:$A$222)+2,+'I-5 Future DA'!G$5)</f>
        <v>2.4209999999999998</v>
      </c>
      <c r="G8" s="285">
        <f ca="1">OFFSET(Future_DAOpexStart,MATCH($K$1,'I-5 Future DA'!$A$6:$A$222)+2,+'I-5 Future DA'!H$5)</f>
        <v>2.4209999999999998</v>
      </c>
      <c r="H8" s="285">
        <f ca="1">OFFSET(Future_DAOpexStart,MATCH($K$1,'I-5 Future DA'!$A$6:$A$222)+2,+'I-5 Future DA'!I$5)</f>
        <v>2.4209999999999998</v>
      </c>
      <c r="I8" s="285">
        <f ca="1">OFFSET(Future_DAOpexStart,MATCH($K$1,'I-5 Future DA'!$A$6:$A$222)+2,+'I-5 Future DA'!J$5)</f>
        <v>2.4209999999999998</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5.8000000000000003E-2</v>
      </c>
      <c r="E9" s="285">
        <f ca="1">OFFSET(Future_DAOpexStart,MATCH($K$1,'I-5 Future DA'!$A$6:$A$222)+3,+'I-5 Future DA'!F$5)</f>
        <v>5.8000000000000003E-2</v>
      </c>
      <c r="F9" s="285">
        <f ca="1">OFFSET(Future_DAOpexStart,MATCH($K$1,'I-5 Future DA'!$A$6:$A$222)+3,+'I-5 Future DA'!G$5)</f>
        <v>5.8000000000000003E-2</v>
      </c>
      <c r="G9" s="285">
        <f ca="1">OFFSET(Future_DAOpexStart,MATCH($K$1,'I-5 Future DA'!$A$6:$A$222)+3,+'I-5 Future DA'!H$5)</f>
        <v>5.8000000000000003E-2</v>
      </c>
      <c r="H9" s="285">
        <f ca="1">OFFSET(Future_DAOpexStart,MATCH($K$1,'I-5 Future DA'!$A$6:$A$222)+3,+'I-5 Future DA'!I$5)</f>
        <v>5.8000000000000003E-2</v>
      </c>
      <c r="I9" s="285">
        <f ca="1">OFFSET(Future_DAOpexStart,MATCH($K$1,'I-5 Future DA'!$A$6:$A$222)+3,+'I-5 Future DA'!J$5)</f>
        <v>5.8000000000000003E-2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8.1609999999999996</v>
      </c>
      <c r="E10" s="285">
        <f ca="1">OFFSET(Future_DAOpexStart,MATCH($K$1,'I-5 Future DA'!$A$6:$A$222)+4,+'I-5 Future DA'!F$5)</f>
        <v>8.1609999999999996</v>
      </c>
      <c r="F10" s="285">
        <f ca="1">OFFSET(Future_DAOpexStart,MATCH($K$1,'I-5 Future DA'!$A$6:$A$222)+4,+'I-5 Future DA'!G$5)</f>
        <v>8.1609999999999996</v>
      </c>
      <c r="G10" s="285">
        <f ca="1">OFFSET(Future_DAOpexStart,MATCH($K$1,'I-5 Future DA'!$A$6:$A$222)+4,+'I-5 Future DA'!H$5)</f>
        <v>8.1609999999999996</v>
      </c>
      <c r="H10" s="285">
        <f ca="1">OFFSET(Future_DAOpexStart,MATCH($K$1,'I-5 Future DA'!$A$6:$A$222)+4,+'I-5 Future DA'!I$5)</f>
        <v>8.1609999999999996</v>
      </c>
      <c r="I10" s="285">
        <f ca="1">OFFSET(Future_DAOpexStart,MATCH($K$1,'I-5 Future DA'!$A$6:$A$222)+4,+'I-5 Future DA'!J$5)</f>
        <v>8.1609999999999996</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0.30399999999999999</v>
      </c>
      <c r="E11" s="285">
        <f ca="1">OFFSET(Future_DAOpexStart,MATCH($K$1,'I-5 Future DA'!$A$6:$A$222)+5,+'I-5 Future DA'!F$5)</f>
        <v>0.30399999999999999</v>
      </c>
      <c r="F11" s="285">
        <f ca="1">OFFSET(Future_DAOpexStart,MATCH($K$1,'I-5 Future DA'!$A$6:$A$222)+5,+'I-5 Future DA'!G$5)</f>
        <v>0.30399999999999999</v>
      </c>
      <c r="G11" s="285">
        <f ca="1">OFFSET(Future_DAOpexStart,MATCH($K$1,'I-5 Future DA'!$A$6:$A$222)+5,+'I-5 Future DA'!H$5)</f>
        <v>0.30399999999999999</v>
      </c>
      <c r="H11" s="285">
        <f ca="1">OFFSET(Future_DAOpexStart,MATCH($K$1,'I-5 Future DA'!$A$6:$A$222)+5,+'I-5 Future DA'!I$5)</f>
        <v>0.30399999999999999</v>
      </c>
      <c r="I11" s="285">
        <f ca="1">OFFSET(Future_DAOpexStart,MATCH($K$1,'I-5 Future DA'!$A$6:$A$222)+5,+'I-5 Future DA'!J$5)</f>
        <v>0.30399999999999999</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1.026</v>
      </c>
      <c r="E12" s="285">
        <f ca="1">OFFSET(Future_DAOpexStart,MATCH($K$1,'I-5 Future DA'!$A$6:$A$222)+6,+'I-5 Future DA'!F$5)</f>
        <v>1.026</v>
      </c>
      <c r="F12" s="285">
        <f ca="1">OFFSET(Future_DAOpexStart,MATCH($K$1,'I-5 Future DA'!$A$6:$A$222)+6,+'I-5 Future DA'!G$5)</f>
        <v>1.026</v>
      </c>
      <c r="G12" s="285">
        <f ca="1">OFFSET(Future_DAOpexStart,MATCH($K$1,'I-5 Future DA'!$A$6:$A$222)+6,+'I-5 Future DA'!H$5)</f>
        <v>1.026</v>
      </c>
      <c r="H12" s="285">
        <f ca="1">OFFSET(Future_DAOpexStart,MATCH($K$1,'I-5 Future DA'!$A$6:$A$222)+6,+'I-5 Future DA'!I$5)</f>
        <v>1.026</v>
      </c>
      <c r="I12" s="285">
        <f ca="1">OFFSET(Future_DAOpexStart,MATCH($K$1,'I-5 Future DA'!$A$6:$A$222)+6,+'I-5 Future DA'!J$5)</f>
        <v>1.026</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11.969999999999999</v>
      </c>
      <c r="E14" s="287">
        <f t="shared" ca="1" si="0"/>
        <v>11.969999999999999</v>
      </c>
      <c r="F14" s="287">
        <f t="shared" ca="1" si="0"/>
        <v>11.969999999999999</v>
      </c>
      <c r="G14" s="287">
        <f t="shared" ca="1" si="0"/>
        <v>11.969999999999999</v>
      </c>
      <c r="H14" s="287">
        <f t="shared" ca="1" si="0"/>
        <v>11.969999999999999</v>
      </c>
      <c r="I14" s="287">
        <f t="shared" ca="1" si="0"/>
        <v>11.969999999999999</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0.105</v>
      </c>
      <c r="F19" s="285">
        <f t="shared" si="1"/>
        <v>0.11799999999999999</v>
      </c>
      <c r="G19" s="285">
        <f t="shared" si="1"/>
        <v>0.122</v>
      </c>
      <c r="H19" s="285">
        <f t="shared" si="1"/>
        <v>0.123</v>
      </c>
      <c r="I19" s="285">
        <f t="shared" si="1"/>
        <v>0.121</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2.1539999999999999</v>
      </c>
      <c r="E21" s="285">
        <f t="shared" si="2"/>
        <v>7.2409999999999997</v>
      </c>
      <c r="F21" s="285">
        <f t="shared" si="2"/>
        <v>7.4980000000000002</v>
      </c>
      <c r="G21" s="285">
        <f t="shared" si="2"/>
        <v>7.5640000000000001</v>
      </c>
      <c r="H21" s="285">
        <f t="shared" si="2"/>
        <v>7.5940000000000003</v>
      </c>
      <c r="I21" s="285">
        <f t="shared" si="2"/>
        <v>5.7850000000000001</v>
      </c>
      <c r="J21" s="42"/>
      <c r="K21" s="732"/>
      <c r="L21" s="732"/>
    </row>
    <row r="22" spans="1:12" outlineLevel="1">
      <c r="A22" s="61" t="s">
        <v>647</v>
      </c>
      <c r="B22" s="289"/>
      <c r="C22" s="285">
        <f t="shared" ref="C22:I22" si="3">+C152</f>
        <v>0</v>
      </c>
      <c r="D22" s="285">
        <f t="shared" si="3"/>
        <v>0</v>
      </c>
      <c r="E22" s="285">
        <f t="shared" si="3"/>
        <v>2.5000000000000001E-2</v>
      </c>
      <c r="F22" s="285">
        <f t="shared" si="3"/>
        <v>2.5000000000000001E-2</v>
      </c>
      <c r="G22" s="285">
        <f t="shared" si="3"/>
        <v>2.5000000000000001E-2</v>
      </c>
      <c r="H22" s="285">
        <f t="shared" si="3"/>
        <v>2.5000000000000001E-2</v>
      </c>
      <c r="I22" s="285">
        <f t="shared" si="3"/>
        <v>2.5000000000000001E-2</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2.1539999999999999</v>
      </c>
      <c r="E25" s="287">
        <f t="shared" si="6"/>
        <v>7.3710000000000004</v>
      </c>
      <c r="F25" s="287">
        <f t="shared" si="6"/>
        <v>7.6410000000000009</v>
      </c>
      <c r="G25" s="287">
        <f t="shared" si="6"/>
        <v>7.7110000000000003</v>
      </c>
      <c r="H25" s="287">
        <f t="shared" si="6"/>
        <v>7.7420000000000009</v>
      </c>
      <c r="I25" s="287">
        <f t="shared" si="6"/>
        <v>5.9310000000000009</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+'DA-12'!B8+'DA-12'!B19</f>
        <v>0</v>
      </c>
      <c r="C30" s="285">
        <f ca="1">+'DA-12'!C8+'DA-12'!C19</f>
        <v>0</v>
      </c>
      <c r="D30" s="285">
        <f ca="1">+'DA-12'!D8+'DA-12'!D19</f>
        <v>2.4209999999999998</v>
      </c>
      <c r="E30" s="285">
        <f ca="1">+'DA-12'!E8+'DA-12'!E19</f>
        <v>2.5259999999999998</v>
      </c>
      <c r="F30" s="285">
        <f ca="1">+'DA-12'!F8+'DA-12'!F19</f>
        <v>2.5389999999999997</v>
      </c>
      <c r="G30" s="285">
        <f ca="1">+'DA-12'!G8+'DA-12'!G19</f>
        <v>2.5429999999999997</v>
      </c>
      <c r="H30" s="285">
        <f ca="1">+'DA-12'!H8+'DA-12'!H19</f>
        <v>2.5439999999999996</v>
      </c>
      <c r="I30" s="285">
        <f ca="1">+'DA-12'!I8+'DA-12'!I19</f>
        <v>2.5419999999999998</v>
      </c>
      <c r="J30" s="42"/>
      <c r="K30" s="21"/>
      <c r="L30" s="21"/>
    </row>
    <row r="31" spans="1:12" outlineLevel="2">
      <c r="A31" s="61" t="s">
        <v>69</v>
      </c>
      <c r="B31" s="285">
        <f ca="1">+'DA-12'!B9+'DA-12'!B20</f>
        <v>0</v>
      </c>
      <c r="C31" s="285">
        <f ca="1">+'DA-12'!C9+'DA-12'!C20</f>
        <v>0</v>
      </c>
      <c r="D31" s="285">
        <f ca="1">+'DA-12'!D9+'DA-12'!D20</f>
        <v>5.8000000000000003E-2</v>
      </c>
      <c r="E31" s="285">
        <f ca="1">+'DA-12'!E9+'DA-12'!E20</f>
        <v>5.8000000000000003E-2</v>
      </c>
      <c r="F31" s="285">
        <f ca="1">+'DA-12'!F9+'DA-12'!F20</f>
        <v>5.8000000000000003E-2</v>
      </c>
      <c r="G31" s="285">
        <f ca="1">+'DA-12'!G9+'DA-12'!G20</f>
        <v>5.8000000000000003E-2</v>
      </c>
      <c r="H31" s="285">
        <f ca="1">+'DA-12'!H9+'DA-12'!H20</f>
        <v>5.8000000000000003E-2</v>
      </c>
      <c r="I31" s="285">
        <f ca="1">+'DA-12'!I9+'DA-12'!I20</f>
        <v>5.8000000000000003E-2</v>
      </c>
      <c r="J31" s="42"/>
      <c r="K31" s="21"/>
      <c r="L31" s="21"/>
    </row>
    <row r="32" spans="1:12" s="759" customFormat="1" outlineLevel="2">
      <c r="A32" s="61" t="s">
        <v>646</v>
      </c>
      <c r="B32" s="285">
        <f ca="1">+'DA-12'!B10+'DA-12'!B21</f>
        <v>0</v>
      </c>
      <c r="C32" s="285">
        <f ca="1">+'DA-12'!C10+'DA-12'!C21</f>
        <v>0</v>
      </c>
      <c r="D32" s="285">
        <f ca="1">+'DA-12'!D10+'DA-12'!D21</f>
        <v>10.315</v>
      </c>
      <c r="E32" s="285">
        <f ca="1">+'DA-12'!E10+'DA-12'!E21</f>
        <v>15.401999999999999</v>
      </c>
      <c r="F32" s="285">
        <f ca="1">+'DA-12'!F10+'DA-12'!F21</f>
        <v>15.658999999999999</v>
      </c>
      <c r="G32" s="285">
        <f ca="1">+'DA-12'!G10+'DA-12'!G21</f>
        <v>15.725</v>
      </c>
      <c r="H32" s="285">
        <f ca="1">+'DA-12'!H10+'DA-12'!H21</f>
        <v>15.754999999999999</v>
      </c>
      <c r="I32" s="285">
        <f ca="1">+'DA-12'!I10+'DA-12'!I21</f>
        <v>13.946</v>
      </c>
      <c r="J32" s="42"/>
      <c r="K32" s="732"/>
      <c r="L32" s="732"/>
    </row>
    <row r="33" spans="1:12" outlineLevel="2">
      <c r="A33" s="61" t="s">
        <v>647</v>
      </c>
      <c r="B33" s="285">
        <f ca="1">+'DA-12'!B11+'DA-12'!B22</f>
        <v>0</v>
      </c>
      <c r="C33" s="285">
        <f ca="1">+'DA-12'!C11+'DA-12'!C22</f>
        <v>0</v>
      </c>
      <c r="D33" s="285">
        <f ca="1">+'DA-12'!D11+'DA-12'!D22</f>
        <v>0.30399999999999999</v>
      </c>
      <c r="E33" s="285">
        <f ca="1">+'DA-12'!E11+'DA-12'!E22</f>
        <v>0.32900000000000001</v>
      </c>
      <c r="F33" s="285">
        <f ca="1">+'DA-12'!F11+'DA-12'!F22</f>
        <v>0.32900000000000001</v>
      </c>
      <c r="G33" s="285">
        <f ca="1">+'DA-12'!G11+'DA-12'!G22</f>
        <v>0.32900000000000001</v>
      </c>
      <c r="H33" s="285">
        <f ca="1">+'DA-12'!H11+'DA-12'!H22</f>
        <v>0.32900000000000001</v>
      </c>
      <c r="I33" s="285">
        <f ca="1">+'DA-12'!I11+'DA-12'!I22</f>
        <v>0.32900000000000001</v>
      </c>
      <c r="J33" s="42"/>
      <c r="K33" s="21"/>
      <c r="L33" s="21"/>
    </row>
    <row r="34" spans="1:12" s="759" customFormat="1" outlineLevel="2">
      <c r="A34" s="61" t="s">
        <v>575</v>
      </c>
      <c r="B34" s="285">
        <f ca="1">+'DA-12'!B12+'DA-12'!B23</f>
        <v>0</v>
      </c>
      <c r="C34" s="285">
        <f ca="1">+'DA-12'!C12+'DA-12'!C23</f>
        <v>0</v>
      </c>
      <c r="D34" s="285">
        <f ca="1">+'DA-12'!D12+'DA-12'!D23</f>
        <v>1.026</v>
      </c>
      <c r="E34" s="285">
        <f ca="1">+'DA-12'!E12+'DA-12'!E23</f>
        <v>1.026</v>
      </c>
      <c r="F34" s="285">
        <f ca="1">+'DA-12'!F12+'DA-12'!F23</f>
        <v>1.026</v>
      </c>
      <c r="G34" s="285">
        <f ca="1">+'DA-12'!G12+'DA-12'!G23</f>
        <v>1.026</v>
      </c>
      <c r="H34" s="285">
        <f ca="1">+'DA-12'!H12+'DA-12'!H23</f>
        <v>1.026</v>
      </c>
      <c r="I34" s="285">
        <f ca="1">+'DA-12'!I12+'DA-12'!I23</f>
        <v>1.026</v>
      </c>
      <c r="J34" s="42"/>
      <c r="K34" s="732"/>
      <c r="L34" s="732"/>
    </row>
    <row r="35" spans="1:12" ht="13.5" outlineLevel="2" thickBot="1">
      <c r="A35" s="83" t="s">
        <v>70</v>
      </c>
      <c r="B35" s="285">
        <f ca="1">+'DA-12'!B13+'DA-12'!B24</f>
        <v>0</v>
      </c>
      <c r="C35" s="285">
        <f ca="1">+'DA-12'!C13+'DA-12'!C24</f>
        <v>0</v>
      </c>
      <c r="D35" s="285">
        <f ca="1">+'DA-12'!D13+'DA-12'!D24</f>
        <v>0</v>
      </c>
      <c r="E35" s="285">
        <f ca="1">+'DA-12'!E13+'DA-12'!E24</f>
        <v>0</v>
      </c>
      <c r="F35" s="285">
        <f ca="1">+'DA-12'!F13+'DA-12'!F24</f>
        <v>0</v>
      </c>
      <c r="G35" s="285">
        <f ca="1">+'DA-12'!G13+'DA-12'!G24</f>
        <v>0</v>
      </c>
      <c r="H35" s="285">
        <f ca="1">+'DA-12'!H13+'DA-12'!H24</f>
        <v>0</v>
      </c>
      <c r="I35" s="285">
        <f ca="1">+'DA-12'!I13+'DA-12'!I24</f>
        <v>0</v>
      </c>
      <c r="J35" s="93"/>
      <c r="K35" s="21"/>
      <c r="L35" s="21"/>
    </row>
    <row r="36" spans="1:12" s="87" customFormat="1" ht="20.25" customHeight="1" thickBot="1">
      <c r="A36" s="94" t="s">
        <v>128</v>
      </c>
      <c r="B36" s="294">
        <f t="shared" ref="B36:I36" ca="1" si="7">SUM(B30:B35)</f>
        <v>0</v>
      </c>
      <c r="C36" s="294">
        <f t="shared" ca="1" si="7"/>
        <v>0</v>
      </c>
      <c r="D36" s="294">
        <f t="shared" ca="1" si="7"/>
        <v>14.123999999999999</v>
      </c>
      <c r="E36" s="294">
        <f t="shared" ca="1" si="7"/>
        <v>19.340999999999998</v>
      </c>
      <c r="F36" s="294">
        <f t="shared" ca="1" si="7"/>
        <v>19.611000000000001</v>
      </c>
      <c r="G36" s="294">
        <f t="shared" ca="1" si="7"/>
        <v>19.681000000000001</v>
      </c>
      <c r="H36" s="294">
        <f t="shared" ca="1" si="7"/>
        <v>19.712</v>
      </c>
      <c r="I36" s="294">
        <f t="shared" ca="1" si="7"/>
        <v>17.901</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2.5686708998870225E-2</v>
      </c>
      <c r="F42" s="285">
        <f t="shared" ca="1" si="8"/>
        <v>4.9487649194264044E-2</v>
      </c>
      <c r="G42" s="285">
        <f t="shared" ca="1" si="8"/>
        <v>7.3014614286311327E-2</v>
      </c>
      <c r="H42" s="285">
        <f t="shared" ca="1" si="8"/>
        <v>9.8539481830876574E-2</v>
      </c>
      <c r="I42" s="285">
        <f t="shared" ca="1" si="8"/>
        <v>0.12192045153062443</v>
      </c>
      <c r="K42" s="63"/>
      <c r="L42" s="63"/>
    </row>
    <row r="43" spans="1:12" outlineLevel="1">
      <c r="A43" s="61" t="s">
        <v>69</v>
      </c>
      <c r="B43" s="82"/>
      <c r="C43" s="285">
        <f t="shared" ca="1" si="8"/>
        <v>0</v>
      </c>
      <c r="D43" s="285">
        <f t="shared" ca="1" si="8"/>
        <v>0</v>
      </c>
      <c r="E43" s="285">
        <f t="shared" ca="1" si="8"/>
        <v>6.1537758031163703E-4</v>
      </c>
      <c r="F43" s="285">
        <f t="shared" ca="1" si="8"/>
        <v>1.1855777171694815E-3</v>
      </c>
      <c r="G43" s="285">
        <f t="shared" ca="1" si="8"/>
        <v>1.749214220820346E-3</v>
      </c>
      <c r="H43" s="285">
        <f t="shared" ca="1" si="8"/>
        <v>2.3607145585257503E-3</v>
      </c>
      <c r="I43" s="285">
        <f t="shared" ca="1" si="8"/>
        <v>2.9208534443520106E-3</v>
      </c>
      <c r="K43" s="42"/>
      <c r="L43" s="21"/>
    </row>
    <row r="44" spans="1:12" s="759" customFormat="1" outlineLevel="1">
      <c r="A44" s="61" t="s">
        <v>646</v>
      </c>
      <c r="B44" s="82"/>
      <c r="C44" s="285">
        <f t="shared" ref="C44:I44" ca="1" si="9">+C100</f>
        <v>0</v>
      </c>
      <c r="D44" s="285">
        <f t="shared" ca="1" si="9"/>
        <v>0</v>
      </c>
      <c r="E44" s="285">
        <f t="shared" ca="1" si="9"/>
        <v>8.658786953315982E-2</v>
      </c>
      <c r="F44" s="285">
        <f t="shared" ca="1" si="9"/>
        <v>0.16681896120379547</v>
      </c>
      <c r="G44" s="285">
        <f t="shared" ca="1" si="9"/>
        <v>0.24612650441577313</v>
      </c>
      <c r="H44" s="285">
        <f t="shared" ca="1" si="9"/>
        <v>0.33216881917463187</v>
      </c>
      <c r="I44" s="285">
        <f t="shared" ca="1" si="9"/>
        <v>0.41098422343718544</v>
      </c>
      <c r="K44" s="42"/>
      <c r="L44" s="732"/>
    </row>
    <row r="45" spans="1:12" outlineLevel="1">
      <c r="A45" s="61" t="s">
        <v>647</v>
      </c>
      <c r="B45" s="82"/>
      <c r="C45" s="285">
        <f t="shared" ref="C45:I45" ca="1" si="10">+C101</f>
        <v>0</v>
      </c>
      <c r="D45" s="285">
        <f t="shared" ca="1" si="10"/>
        <v>0</v>
      </c>
      <c r="E45" s="285">
        <f t="shared" ca="1" si="10"/>
        <v>3.2254273174954769E-3</v>
      </c>
      <c r="F45" s="285">
        <f t="shared" ca="1" si="10"/>
        <v>6.214062517577972E-3</v>
      </c>
      <c r="G45" s="285">
        <f t="shared" ca="1" si="10"/>
        <v>9.1682952263687084E-3</v>
      </c>
      <c r="H45" s="285">
        <f t="shared" ca="1" si="10"/>
        <v>1.2373400444686692E-2</v>
      </c>
      <c r="I45" s="285">
        <f t="shared" ca="1" si="10"/>
        <v>1.5309300811776054E-2</v>
      </c>
      <c r="K45" s="42"/>
      <c r="L45" s="21"/>
    </row>
    <row r="46" spans="1:12" s="759" customFormat="1" outlineLevel="1">
      <c r="A46" s="61" t="s">
        <v>575</v>
      </c>
      <c r="B46" s="82"/>
      <c r="C46" s="285">
        <f t="shared" ref="C46:I46" ca="1" si="11">+C102</f>
        <v>0</v>
      </c>
      <c r="D46" s="285">
        <f t="shared" ca="1" si="11"/>
        <v>0</v>
      </c>
      <c r="E46" s="285">
        <f t="shared" ca="1" si="11"/>
        <v>1.0885817196547234E-2</v>
      </c>
      <c r="F46" s="285">
        <f t="shared" ca="1" si="11"/>
        <v>2.0972460996825655E-2</v>
      </c>
      <c r="G46" s="285">
        <f t="shared" ca="1" si="11"/>
        <v>3.0942996388994393E-2</v>
      </c>
      <c r="H46" s="285">
        <f t="shared" ca="1" si="11"/>
        <v>4.1760226500817586E-2</v>
      </c>
      <c r="I46" s="285">
        <f t="shared" ca="1" si="11"/>
        <v>5.1668890239744185E-2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0.1270012006263844</v>
      </c>
      <c r="F48" s="294">
        <f t="shared" ca="1" si="13"/>
        <v>0.24467871162963262</v>
      </c>
      <c r="G48" s="294">
        <f t="shared" ca="1" si="13"/>
        <v>0.3610016245382679</v>
      </c>
      <c r="H48" s="294">
        <f t="shared" ca="1" si="13"/>
        <v>0.48720264250953849</v>
      </c>
      <c r="I48" s="294">
        <f t="shared" ca="1" si="13"/>
        <v>0.60280371946368216</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5.2500919975578313E-2</v>
      </c>
      <c r="F53" s="285">
        <f t="shared" ca="1" si="14"/>
        <v>0.10716080143541755</v>
      </c>
      <c r="G53" s="285">
        <f t="shared" ca="1" si="14"/>
        <v>0.16707875467143951</v>
      </c>
      <c r="H53" s="285">
        <f t="shared" ca="1" si="14"/>
        <v>0.22963564827968819</v>
      </c>
      <c r="I53" s="285">
        <f t="shared" ca="1" si="14"/>
        <v>0.29456819414847984</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4.1237939347664919E-2</v>
      </c>
      <c r="F55" s="285">
        <f t="shared" ca="1" si="15"/>
        <v>8.3486385086065776E-2</v>
      </c>
      <c r="G55" s="285">
        <f t="shared" ca="1" si="15"/>
        <v>0.16070411473536692</v>
      </c>
      <c r="H55" s="285">
        <f t="shared" ca="1" si="15"/>
        <v>0.25323176828872312</v>
      </c>
      <c r="I55" s="285">
        <f t="shared" ca="1" si="15"/>
        <v>0.36592629758194672</v>
      </c>
      <c r="K55" s="42"/>
      <c r="L55" s="732"/>
    </row>
    <row r="56" spans="1:12" outlineLevel="1">
      <c r="A56" s="61" t="s">
        <v>647</v>
      </c>
      <c r="B56" s="285"/>
      <c r="C56" s="285">
        <f t="shared" ref="C56:I56" ca="1" si="16">+C137</f>
        <v>0</v>
      </c>
      <c r="D56" s="285">
        <f t="shared" ca="1" si="16"/>
        <v>0</v>
      </c>
      <c r="E56" s="285">
        <f t="shared" ca="1" si="16"/>
        <v>1.5361271365874447E-3</v>
      </c>
      <c r="F56" s="285">
        <f t="shared" ca="1" si="16"/>
        <v>3.1098959767386345E-3</v>
      </c>
      <c r="G56" s="285">
        <f t="shared" ca="1" si="16"/>
        <v>5.9862824261183115E-3</v>
      </c>
      <c r="H56" s="285">
        <f t="shared" ca="1" si="16"/>
        <v>9.4329686998862686E-3</v>
      </c>
      <c r="I56" s="285">
        <f t="shared" ca="1" si="16"/>
        <v>1.3630877890566329E-2</v>
      </c>
      <c r="K56" s="42"/>
      <c r="L56" s="21"/>
    </row>
    <row r="57" spans="1:12" s="759" customFormat="1" outlineLevel="1">
      <c r="A57" s="61" t="s">
        <v>575</v>
      </c>
      <c r="B57" s="285"/>
      <c r="C57" s="285">
        <f t="shared" ref="C57:I57" ca="1" si="17">+C138</f>
        <v>0</v>
      </c>
      <c r="D57" s="285">
        <f t="shared" ca="1" si="17"/>
        <v>0</v>
      </c>
      <c r="E57" s="285">
        <f t="shared" ca="1" si="17"/>
        <v>2.2249460510096387E-2</v>
      </c>
      <c r="F57" s="285">
        <f t="shared" ca="1" si="17"/>
        <v>4.5413871240288478E-2</v>
      </c>
      <c r="G57" s="285">
        <f t="shared" ca="1" si="17"/>
        <v>7.0806609786409319E-2</v>
      </c>
      <c r="H57" s="285">
        <f t="shared" ca="1" si="17"/>
        <v>9.7317709679867873E-2</v>
      </c>
      <c r="I57" s="285">
        <f t="shared" ca="1" si="17"/>
        <v>0.12483559157221825</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0.11752444696992706</v>
      </c>
      <c r="F59" s="287">
        <f t="shared" ca="1" si="19"/>
        <v>0.23917095373851044</v>
      </c>
      <c r="G59" s="287">
        <f t="shared" ca="1" si="19"/>
        <v>0.40457576161933406</v>
      </c>
      <c r="H59" s="287">
        <f t="shared" ca="1" si="19"/>
        <v>0.58961809494816542</v>
      </c>
      <c r="I59" s="287">
        <f t="shared" ca="1" si="19"/>
        <v>0.79896096119321103</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2.4209999999999998</v>
      </c>
      <c r="E64" s="285">
        <f t="shared" ca="1" si="20"/>
        <v>2.6041876289744481</v>
      </c>
      <c r="F64" s="285">
        <f t="shared" ca="1" si="20"/>
        <v>2.6956484506296814</v>
      </c>
      <c r="G64" s="285">
        <f t="shared" ca="1" si="20"/>
        <v>2.7830933689577506</v>
      </c>
      <c r="H64" s="285">
        <f t="shared" ca="1" si="20"/>
        <v>2.8721751301105645</v>
      </c>
      <c r="I64" s="285">
        <f t="shared" ca="1" si="20"/>
        <v>2.958488645679104</v>
      </c>
      <c r="K64" s="63"/>
      <c r="L64" s="63"/>
    </row>
    <row r="65" spans="1:20" ht="12.75" customHeight="1" outlineLevel="1">
      <c r="A65" s="61" t="s">
        <v>69</v>
      </c>
      <c r="B65" s="285">
        <f t="shared" ca="1" si="20"/>
        <v>0</v>
      </c>
      <c r="C65" s="285">
        <f t="shared" ca="1" si="20"/>
        <v>0</v>
      </c>
      <c r="D65" s="285">
        <f t="shared" ca="1" si="20"/>
        <v>5.8000000000000003E-2</v>
      </c>
      <c r="E65" s="285">
        <f t="shared" ca="1" si="20"/>
        <v>5.8615377580311642E-2</v>
      </c>
      <c r="F65" s="285">
        <f t="shared" ca="1" si="20"/>
        <v>5.9185577717169487E-2</v>
      </c>
      <c r="G65" s="285">
        <f t="shared" ca="1" si="20"/>
        <v>5.974921422082035E-2</v>
      </c>
      <c r="H65" s="285">
        <f t="shared" ca="1" si="20"/>
        <v>6.0360714558525756E-2</v>
      </c>
      <c r="I65" s="285">
        <f t="shared" ca="1" si="20"/>
        <v>6.0920853444352011E-2</v>
      </c>
      <c r="K65" s="42"/>
      <c r="L65" s="21"/>
    </row>
    <row r="66" spans="1:20" s="759" customFormat="1" ht="12.75" customHeight="1" outlineLevel="1">
      <c r="A66" s="61" t="s">
        <v>646</v>
      </c>
      <c r="B66" s="285">
        <f t="shared" ref="B66:I66" ca="1" si="21">+B44+B32+B55</f>
        <v>0</v>
      </c>
      <c r="C66" s="285">
        <f t="shared" ca="1" si="21"/>
        <v>0</v>
      </c>
      <c r="D66" s="285">
        <f t="shared" ca="1" si="21"/>
        <v>10.315</v>
      </c>
      <c r="E66" s="285">
        <f t="shared" ca="1" si="21"/>
        <v>15.529825808880824</v>
      </c>
      <c r="F66" s="285">
        <f t="shared" ca="1" si="21"/>
        <v>15.909305346289859</v>
      </c>
      <c r="G66" s="285">
        <f t="shared" ca="1" si="21"/>
        <v>16.131830619151138</v>
      </c>
      <c r="H66" s="285">
        <f t="shared" ca="1" si="21"/>
        <v>16.340400587463357</v>
      </c>
      <c r="I66" s="285">
        <f t="shared" ca="1" si="21"/>
        <v>14.722910521019132</v>
      </c>
      <c r="K66" s="42"/>
      <c r="L66" s="732"/>
    </row>
    <row r="67" spans="1:20" ht="12.75" customHeight="1" outlineLevel="1">
      <c r="A67" s="61" t="s">
        <v>647</v>
      </c>
      <c r="B67" s="285">
        <f t="shared" ref="B67:I67" ca="1" si="22">+B45+B33+B56</f>
        <v>0</v>
      </c>
      <c r="C67" s="285">
        <f t="shared" ca="1" si="22"/>
        <v>0</v>
      </c>
      <c r="D67" s="285">
        <f t="shared" ca="1" si="22"/>
        <v>0.30399999999999999</v>
      </c>
      <c r="E67" s="285">
        <f t="shared" ca="1" si="22"/>
        <v>0.33376155445408295</v>
      </c>
      <c r="F67" s="285">
        <f t="shared" ca="1" si="22"/>
        <v>0.33832395849431657</v>
      </c>
      <c r="G67" s="285">
        <f t="shared" ca="1" si="22"/>
        <v>0.34415457765248703</v>
      </c>
      <c r="H67" s="285">
        <f t="shared" ca="1" si="22"/>
        <v>0.35080636914457297</v>
      </c>
      <c r="I67" s="285">
        <f t="shared" ca="1" si="22"/>
        <v>0.3579401787023424</v>
      </c>
      <c r="K67" s="42"/>
      <c r="L67" s="21"/>
    </row>
    <row r="68" spans="1:20" s="759" customFormat="1" ht="12.75" customHeight="1" outlineLevel="1">
      <c r="A68" s="61" t="s">
        <v>575</v>
      </c>
      <c r="B68" s="285">
        <f t="shared" ref="B68:I68" ca="1" si="23">+B46+B34+B57</f>
        <v>0</v>
      </c>
      <c r="C68" s="285">
        <f t="shared" ca="1" si="23"/>
        <v>0</v>
      </c>
      <c r="D68" s="285">
        <f t="shared" ca="1" si="23"/>
        <v>1.026</v>
      </c>
      <c r="E68" s="285">
        <f t="shared" ca="1" si="23"/>
        <v>1.0591352777066436</v>
      </c>
      <c r="F68" s="285">
        <f t="shared" ca="1" si="23"/>
        <v>1.0923863322371141</v>
      </c>
      <c r="G68" s="285">
        <f t="shared" ca="1" si="23"/>
        <v>1.1277496061754038</v>
      </c>
      <c r="H68" s="285">
        <f t="shared" ca="1" si="23"/>
        <v>1.1650779361806856</v>
      </c>
      <c r="I68" s="285">
        <f t="shared" ca="1" si="23"/>
        <v>1.2025044818119626</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14.123999999999999</v>
      </c>
      <c r="E70" s="295">
        <f t="shared" ca="1" si="25"/>
        <v>19.58552564759631</v>
      </c>
      <c r="F70" s="295">
        <f t="shared" ca="1" si="25"/>
        <v>20.094849665368145</v>
      </c>
      <c r="G70" s="295">
        <f t="shared" ca="1" si="25"/>
        <v>20.446577386157596</v>
      </c>
      <c r="H70" s="295">
        <f t="shared" ca="1" si="25"/>
        <v>20.788820737457705</v>
      </c>
      <c r="I70" s="295">
        <f t="shared" ca="1" si="25"/>
        <v>19.302764680656896</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2.5686708998870225E-2</v>
      </c>
      <c r="Q77" s="285">
        <f ca="1">IF($B77&lt;&gt;0,(+VLOOKUP($B77,$A$8:$I$13,6,FALSE))*(F77),0)</f>
        <v>4.9487649194264044E-2</v>
      </c>
      <c r="R77" s="285">
        <f ca="1">IF($B77&lt;&gt;0,(+VLOOKUP($B77,$A$8:$I$13,7,FALSE))*(G77),0)</f>
        <v>7.3014614286311327E-2</v>
      </c>
      <c r="S77" s="285">
        <f ca="1">IF($B77&lt;&gt;0,(+VLOOKUP($B77,$A$8:$I$13,8,FALSE))*(H77),0)</f>
        <v>9.8539481830876574E-2</v>
      </c>
      <c r="T77" s="285">
        <f ca="1">IF($B77&lt;&gt;0,(+VLOOKUP($B77,$A$8:$I$13,9,FALSE))*(I77),0)</f>
        <v>0.12192045153062443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6.1537758031163703E-4</v>
      </c>
      <c r="Q78" s="285">
        <f ca="1">IF($B78&lt;&gt;0,(+VLOOKUP($B78,$A$8:$I$13,6,FALSE))*(F78),0)</f>
        <v>1.1855777171694815E-3</v>
      </c>
      <c r="R78" s="285">
        <f ca="1">IF($B78&lt;&gt;0,(+VLOOKUP($B78,$A$8:$I$13,7,FALSE))*(G78),0)</f>
        <v>1.749214220820346E-3</v>
      </c>
      <c r="S78" s="285">
        <f ca="1">IF($B78&lt;&gt;0,(+VLOOKUP($B78,$A$8:$I$13,8,FALSE))*(H78),0)</f>
        <v>2.3607145585257503E-3</v>
      </c>
      <c r="T78" s="285">
        <f ca="1">IF($B78&lt;&gt;0,(+VLOOKUP($B78,$A$8:$I$13,9,FALSE))*(I78),0)</f>
        <v>2.9208534443520106E-3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8.658786953315982E-2</v>
      </c>
      <c r="Q79" s="285">
        <f t="shared" ref="Q79:Q80" ca="1" si="34">IF($B79&lt;&gt;0,(+VLOOKUP($B79,$A$8:$I$13,6,FALSE))*(F79),0)</f>
        <v>0.16681896120379547</v>
      </c>
      <c r="R79" s="285">
        <f t="shared" ref="R79:R80" ca="1" si="35">IF($B79&lt;&gt;0,(+VLOOKUP($B79,$A$8:$I$13,7,FALSE))*(G79),0)</f>
        <v>0.24612650441577313</v>
      </c>
      <c r="S79" s="285">
        <f t="shared" ref="S79:S80" ca="1" si="36">IF($B79&lt;&gt;0,(+VLOOKUP($B79,$A$8:$I$13,8,FALSE))*(H79),0)</f>
        <v>0.33216881917463187</v>
      </c>
      <c r="T79" s="285">
        <f t="shared" ref="T79:T80" ca="1" si="37">IF($B79&lt;&gt;0,(+VLOOKUP($B79,$A$8:$I$13,9,FALSE))*(I79),0)</f>
        <v>0.41098422343718544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3.2254273174954769E-3</v>
      </c>
      <c r="Q80" s="285">
        <f t="shared" ca="1" si="34"/>
        <v>6.214062517577972E-3</v>
      </c>
      <c r="R80" s="285">
        <f t="shared" ca="1" si="35"/>
        <v>9.1682952263687084E-3</v>
      </c>
      <c r="S80" s="285">
        <f t="shared" ca="1" si="36"/>
        <v>1.2373400444686692E-2</v>
      </c>
      <c r="T80" s="285">
        <f t="shared" ca="1" si="37"/>
        <v>1.5309300811776054E-2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1.0885817196547234E-2</v>
      </c>
      <c r="Q81" s="285">
        <f ca="1">IF($B81&lt;&gt;0,(+VLOOKUP($B81,$A$8:$I$13,6,FALSE))*(F81),0)</f>
        <v>2.0972460996825655E-2</v>
      </c>
      <c r="R81" s="285">
        <f ca="1">IF($B81&lt;&gt;0,(+VLOOKUP($B81,$A$8:$I$13,7,FALSE))*(G81),0)</f>
        <v>3.0942996388994393E-2</v>
      </c>
      <c r="S81" s="285">
        <f ca="1">IF($B81&lt;&gt;0,(+VLOOKUP($B81,$A$8:$I$13,8,FALSE))*(H81),0)</f>
        <v>4.1760226500817586E-2</v>
      </c>
      <c r="T81" s="285">
        <f ca="1">IF($B81&lt;&gt;0,(+VLOOKUP($B81,$A$8:$I$13,9,FALSE))*(I81),0)</f>
        <v>5.1668890239744185E-2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0.1270012006263844</v>
      </c>
      <c r="Q83" s="292">
        <f t="shared" ca="1" si="51"/>
        <v>0.24467871162963262</v>
      </c>
      <c r="R83" s="292">
        <f t="shared" ca="1" si="51"/>
        <v>0.3610016245382679</v>
      </c>
      <c r="S83" s="292">
        <f t="shared" ca="1" si="51"/>
        <v>0.48720264250953849</v>
      </c>
      <c r="T83" s="292">
        <f t="shared" ca="1" si="51"/>
        <v>0.60280371946368216</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2.5686708998870225E-2</v>
      </c>
      <c r="F98" s="285">
        <f t="shared" ca="1" si="54"/>
        <v>4.9487649194264044E-2</v>
      </c>
      <c r="G98" s="285">
        <f t="shared" ca="1" si="54"/>
        <v>7.3014614286311327E-2</v>
      </c>
      <c r="H98" s="285">
        <f t="shared" ca="1" si="54"/>
        <v>9.8539481830876574E-2</v>
      </c>
      <c r="I98" s="285">
        <f t="shared" ca="1" si="54"/>
        <v>0.12192045153062443</v>
      </c>
    </row>
    <row r="99" spans="1:20" outlineLevel="1">
      <c r="A99" s="61" t="s">
        <v>69</v>
      </c>
      <c r="B99" s="119"/>
      <c r="C99" s="285">
        <f t="shared" ref="C99:I99" ca="1" si="55">+C9*(C87)</f>
        <v>0</v>
      </c>
      <c r="D99" s="285">
        <f t="shared" ca="1" si="55"/>
        <v>0</v>
      </c>
      <c r="E99" s="285">
        <f t="shared" ca="1" si="55"/>
        <v>6.1537758031163703E-4</v>
      </c>
      <c r="F99" s="285">
        <f t="shared" ca="1" si="55"/>
        <v>1.1855777171694815E-3</v>
      </c>
      <c r="G99" s="285">
        <f t="shared" ca="1" si="55"/>
        <v>1.749214220820346E-3</v>
      </c>
      <c r="H99" s="285">
        <f t="shared" ca="1" si="55"/>
        <v>2.3607145585257503E-3</v>
      </c>
      <c r="I99" s="285">
        <f t="shared" ca="1" si="55"/>
        <v>2.9208534443520106E-3</v>
      </c>
    </row>
    <row r="100" spans="1:20" s="759" customFormat="1" outlineLevel="1">
      <c r="A100" s="61" t="s">
        <v>646</v>
      </c>
      <c r="B100" s="119"/>
      <c r="C100" s="285">
        <f t="shared" ref="C100:I100" ca="1" si="56">+C10*(C88)</f>
        <v>0</v>
      </c>
      <c r="D100" s="285">
        <f t="shared" ca="1" si="56"/>
        <v>0</v>
      </c>
      <c r="E100" s="285">
        <f t="shared" ca="1" si="56"/>
        <v>8.658786953315982E-2</v>
      </c>
      <c r="F100" s="285">
        <f t="shared" ca="1" si="56"/>
        <v>0.16681896120379547</v>
      </c>
      <c r="G100" s="285">
        <f t="shared" ca="1" si="56"/>
        <v>0.24612650441577313</v>
      </c>
      <c r="H100" s="285">
        <f t="shared" ca="1" si="56"/>
        <v>0.33216881917463187</v>
      </c>
      <c r="I100" s="285">
        <f t="shared" ca="1" si="56"/>
        <v>0.41098422343718544</v>
      </c>
    </row>
    <row r="101" spans="1:20" outlineLevel="1">
      <c r="A101" s="61" t="s">
        <v>647</v>
      </c>
      <c r="B101" s="119"/>
      <c r="C101" s="285">
        <f t="shared" ref="C101:I101" ca="1" si="57">+C11*(C89)</f>
        <v>0</v>
      </c>
      <c r="D101" s="285">
        <f t="shared" ca="1" si="57"/>
        <v>0</v>
      </c>
      <c r="E101" s="285">
        <f t="shared" ca="1" si="57"/>
        <v>3.2254273174954769E-3</v>
      </c>
      <c r="F101" s="285">
        <f t="shared" ca="1" si="57"/>
        <v>6.214062517577972E-3</v>
      </c>
      <c r="G101" s="285">
        <f t="shared" ca="1" si="57"/>
        <v>9.1682952263687084E-3</v>
      </c>
      <c r="H101" s="285">
        <f t="shared" ca="1" si="57"/>
        <v>1.2373400444686692E-2</v>
      </c>
      <c r="I101" s="285">
        <f t="shared" ca="1" si="57"/>
        <v>1.5309300811776054E-2</v>
      </c>
    </row>
    <row r="102" spans="1:20" s="759" customFormat="1" outlineLevel="1">
      <c r="A102" s="61" t="s">
        <v>575</v>
      </c>
      <c r="B102" s="119"/>
      <c r="C102" s="285">
        <f t="shared" ref="C102:I102" ca="1" si="58">+C12*(C90)</f>
        <v>0</v>
      </c>
      <c r="D102" s="285">
        <f t="shared" ca="1" si="58"/>
        <v>0</v>
      </c>
      <c r="E102" s="285">
        <f t="shared" ca="1" si="58"/>
        <v>1.0885817196547234E-2</v>
      </c>
      <c r="F102" s="285">
        <f t="shared" ca="1" si="58"/>
        <v>2.0972460996825655E-2</v>
      </c>
      <c r="G102" s="285">
        <f t="shared" ca="1" si="58"/>
        <v>3.0942996388994393E-2</v>
      </c>
      <c r="H102" s="285">
        <f t="shared" ca="1" si="58"/>
        <v>4.1760226500817586E-2</v>
      </c>
      <c r="I102" s="285">
        <f t="shared" ca="1" si="58"/>
        <v>5.1668890239744185E-2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0.1270012006263844</v>
      </c>
      <c r="F104" s="296">
        <f t="shared" ca="1" si="60"/>
        <v>0.24467871162963262</v>
      </c>
      <c r="G104" s="296">
        <f t="shared" ca="1" si="60"/>
        <v>0.3610016245382679</v>
      </c>
      <c r="H104" s="296">
        <f t="shared" ca="1" si="60"/>
        <v>0.48720264250953849</v>
      </c>
      <c r="I104" s="296">
        <f t="shared" ca="1" si="60"/>
        <v>0.60280371946368216</v>
      </c>
    </row>
    <row r="105" spans="1:20" ht="13.5" outlineLevel="1" thickBot="1">
      <c r="A105" s="122" t="s">
        <v>143</v>
      </c>
      <c r="B105" s="123"/>
      <c r="C105" s="124">
        <f t="shared" ref="C105:I105" ca="1" si="61">IF(C36&lt;&gt;0,+C104/C36,0)</f>
        <v>0</v>
      </c>
      <c r="D105" s="124">
        <f t="shared" ca="1" si="61"/>
        <v>0</v>
      </c>
      <c r="E105" s="124">
        <f t="shared" ca="1" si="61"/>
        <v>6.5664236919696197E-3</v>
      </c>
      <c r="F105" s="124">
        <f t="shared" ca="1" si="61"/>
        <v>1.2476605559616164E-2</v>
      </c>
      <c r="G105" s="124">
        <f t="shared" ca="1" si="61"/>
        <v>1.8342646437593001E-2</v>
      </c>
      <c r="H105" s="124">
        <f t="shared" ca="1" si="61"/>
        <v>2.4716043146790712E-2</v>
      </c>
      <c r="I105" s="124">
        <f t="shared" ca="1" si="61"/>
        <v>3.3674304198853817E-2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5.2500919975578313E-2</v>
      </c>
      <c r="Q113" s="285">
        <f ca="1">IF($B113&lt;&gt;0,(+VLOOKUP($B113,$A$8:$I$13,6,FALSE)+VLOOKUP($B113,$A$42:$I$47,6,FALSE))*(F113),0)</f>
        <v>0.10716080143541755</v>
      </c>
      <c r="R113" s="285">
        <f ca="1">IF($B113&lt;&gt;0,(+VLOOKUP($B113,$A$8:$I$13,7,FALSE)+VLOOKUP($B113,$A$42:$I$47,7,FALSE))*(G113),0)</f>
        <v>0.16707875467143951</v>
      </c>
      <c r="S113" s="285">
        <f ca="1">IF($B113&lt;&gt;0,(+VLOOKUP($B113,$A$8:$I$13,8,FALSE)+VLOOKUP($B113,$A$42:$I$47,8,FALSE))*(H113),0)</f>
        <v>0.22963564827968819</v>
      </c>
      <c r="T113" s="285">
        <f ca="1">IF($B113&lt;&gt;0,(+VLOOKUP($B113,$A$8:$I$13,9,FALSE)+VLOOKUP($B113,$A$42:$I$47,9,FALSE))*(I113),0)</f>
        <v>0.29456819414847984</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4.1237939347664919E-2</v>
      </c>
      <c r="Q115" s="285">
        <f t="shared" ca="1" si="68"/>
        <v>8.3486385086065776E-2</v>
      </c>
      <c r="R115" s="285">
        <f t="shared" ca="1" si="69"/>
        <v>0.16070411473536692</v>
      </c>
      <c r="S115" s="285">
        <f t="shared" ca="1" si="70"/>
        <v>0.25323176828872312</v>
      </c>
      <c r="T115" s="285">
        <f t="shared" ca="1" si="71"/>
        <v>0.36592629758194672</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1.5361271365874447E-3</v>
      </c>
      <c r="Q116" s="285">
        <f t="shared" ca="1" si="68"/>
        <v>3.1098959767386345E-3</v>
      </c>
      <c r="R116" s="285">
        <f t="shared" ca="1" si="69"/>
        <v>5.9862824261183115E-3</v>
      </c>
      <c r="S116" s="285">
        <f t="shared" ca="1" si="70"/>
        <v>9.4329686998862686E-3</v>
      </c>
      <c r="T116" s="285">
        <f t="shared" ca="1" si="71"/>
        <v>1.3630877890566329E-2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2.2249460510096387E-2</v>
      </c>
      <c r="Q117" s="285">
        <f t="shared" ca="1" si="68"/>
        <v>4.5413871240288478E-2</v>
      </c>
      <c r="R117" s="285">
        <f t="shared" ca="1" si="69"/>
        <v>7.0806609786409319E-2</v>
      </c>
      <c r="S117" s="285">
        <f t="shared" ca="1" si="70"/>
        <v>9.7317709679867873E-2</v>
      </c>
      <c r="T117" s="285">
        <f t="shared" ca="1" si="71"/>
        <v>0.12483559157221825</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0.11752444696992706</v>
      </c>
      <c r="Q119" s="292">
        <f t="shared" ca="1" si="72"/>
        <v>0.23917095373851044</v>
      </c>
      <c r="R119" s="292">
        <f t="shared" ca="1" si="72"/>
        <v>0.40457576161933406</v>
      </c>
      <c r="S119" s="292">
        <f t="shared" ca="1" si="72"/>
        <v>0.58961809494816542</v>
      </c>
      <c r="T119" s="292">
        <f t="shared" ca="1" si="72"/>
        <v>0.79896096119321103</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5.2500919975578313E-2</v>
      </c>
      <c r="F134" s="285">
        <f t="shared" ca="1" si="75"/>
        <v>0.10716080143541755</v>
      </c>
      <c r="G134" s="285">
        <f t="shared" ca="1" si="75"/>
        <v>0.16707875467143951</v>
      </c>
      <c r="H134" s="285">
        <f t="shared" ca="1" si="75"/>
        <v>0.22963564827968819</v>
      </c>
      <c r="I134" s="285">
        <f t="shared" ca="1" si="75"/>
        <v>0.29456819414847984</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4.1237939347664919E-2</v>
      </c>
      <c r="F136" s="285">
        <f t="shared" ca="1" si="77"/>
        <v>8.3486385086065776E-2</v>
      </c>
      <c r="G136" s="285">
        <f t="shared" ca="1" si="77"/>
        <v>0.16070411473536692</v>
      </c>
      <c r="H136" s="285">
        <f t="shared" ca="1" si="77"/>
        <v>0.25323176828872312</v>
      </c>
      <c r="I136" s="285">
        <f t="shared" ca="1" si="77"/>
        <v>0.36592629758194672</v>
      </c>
    </row>
    <row r="137" spans="1:16" outlineLevel="1">
      <c r="A137" s="61" t="s">
        <v>647</v>
      </c>
      <c r="B137" s="119"/>
      <c r="C137" s="285">
        <f ca="1">(+C11+C45)*(C$125)</f>
        <v>0</v>
      </c>
      <c r="D137" s="285">
        <f t="shared" ref="D137:I137" ca="1" si="78">(+D11+D45)*(D$125)</f>
        <v>0</v>
      </c>
      <c r="E137" s="285">
        <f t="shared" ca="1" si="78"/>
        <v>1.5361271365874447E-3</v>
      </c>
      <c r="F137" s="285">
        <f t="shared" ca="1" si="78"/>
        <v>3.1098959767386345E-3</v>
      </c>
      <c r="G137" s="285">
        <f t="shared" ca="1" si="78"/>
        <v>5.9862824261183115E-3</v>
      </c>
      <c r="H137" s="285">
        <f t="shared" ca="1" si="78"/>
        <v>9.4329686998862686E-3</v>
      </c>
      <c r="I137" s="285">
        <f t="shared" ca="1" si="78"/>
        <v>1.3630877890566329E-2</v>
      </c>
    </row>
    <row r="138" spans="1:16" s="759" customFormat="1" outlineLevel="1">
      <c r="A138" s="61" t="s">
        <v>575</v>
      </c>
      <c r="B138" s="119"/>
      <c r="C138" s="285">
        <f ca="1">(+C12+C46)*(C$126)</f>
        <v>0</v>
      </c>
      <c r="D138" s="285">
        <f t="shared" ref="D138:I138" ca="1" si="79">(+D12+D46)*(D$126)</f>
        <v>0</v>
      </c>
      <c r="E138" s="285">
        <f t="shared" ca="1" si="79"/>
        <v>2.2249460510096387E-2</v>
      </c>
      <c r="F138" s="285">
        <f t="shared" ca="1" si="79"/>
        <v>4.5413871240288478E-2</v>
      </c>
      <c r="G138" s="285">
        <f t="shared" ca="1" si="79"/>
        <v>7.0806609786409319E-2</v>
      </c>
      <c r="H138" s="285">
        <f t="shared" ca="1" si="79"/>
        <v>9.7317709679867873E-2</v>
      </c>
      <c r="I138" s="285">
        <f t="shared" ca="1" si="79"/>
        <v>0.12483559157221825</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0.11752444696992706</v>
      </c>
      <c r="F140" s="296">
        <f t="shared" ca="1" si="81"/>
        <v>0.23917095373851044</v>
      </c>
      <c r="G140" s="296">
        <f t="shared" ca="1" si="81"/>
        <v>0.40457576161933406</v>
      </c>
      <c r="H140" s="296">
        <f t="shared" ca="1" si="81"/>
        <v>0.58961809494816542</v>
      </c>
      <c r="I140" s="296">
        <f t="shared" ca="1" si="81"/>
        <v>0.79896096119321103</v>
      </c>
    </row>
    <row r="141" spans="1:16" ht="13.5" outlineLevel="1" thickBot="1">
      <c r="A141" s="122" t="s">
        <v>148</v>
      </c>
      <c r="B141" s="126"/>
      <c r="C141" s="124">
        <f t="shared" ref="C141:I141" ca="1" si="82">IF((+C36+C48)&lt;&gt;0,+C140/(+C36+C48),0)</f>
        <v>0</v>
      </c>
      <c r="D141" s="124">
        <f t="shared" ca="1" si="82"/>
        <v>0</v>
      </c>
      <c r="E141" s="124">
        <f t="shared" ca="1" si="82"/>
        <v>6.0368008897670354E-3</v>
      </c>
      <c r="F141" s="124">
        <f t="shared" ca="1" si="82"/>
        <v>1.2045468564034835E-2</v>
      </c>
      <c r="G141" s="124">
        <f t="shared" ca="1" si="82"/>
        <v>2.018639501176344E-2</v>
      </c>
      <c r="H141" s="124">
        <f t="shared" ca="1" si="82"/>
        <v>2.9190166829026455E-2</v>
      </c>
      <c r="I141" s="124">
        <f t="shared" ca="1" si="82"/>
        <v>4.3178201266413363E-2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0.105</v>
      </c>
      <c r="F149" s="285">
        <f t="shared" si="83"/>
        <v>0.11799999999999999</v>
      </c>
      <c r="G149" s="285">
        <f t="shared" si="83"/>
        <v>0.122</v>
      </c>
      <c r="H149" s="285">
        <f t="shared" si="83"/>
        <v>0.123</v>
      </c>
      <c r="I149" s="285">
        <f t="shared" si="83"/>
        <v>0.121</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2.1539999999999999</v>
      </c>
      <c r="E151" s="285">
        <f t="shared" si="83"/>
        <v>7.2409999999999997</v>
      </c>
      <c r="F151" s="285">
        <f t="shared" si="83"/>
        <v>7.4980000000000002</v>
      </c>
      <c r="G151" s="285">
        <f t="shared" si="83"/>
        <v>7.5640000000000001</v>
      </c>
      <c r="H151" s="285">
        <f t="shared" si="83"/>
        <v>7.5940000000000003</v>
      </c>
      <c r="I151" s="285">
        <f t="shared" si="83"/>
        <v>5.7850000000000001</v>
      </c>
      <c r="J151" s="42"/>
      <c r="K151" s="732"/>
      <c r="L151" s="732"/>
    </row>
    <row r="152" spans="1:13" outlineLevel="1">
      <c r="A152" s="61" t="s">
        <v>647</v>
      </c>
      <c r="B152" s="65"/>
      <c r="C152" s="285">
        <f t="shared" si="83"/>
        <v>0</v>
      </c>
      <c r="D152" s="285">
        <f t="shared" si="83"/>
        <v>0</v>
      </c>
      <c r="E152" s="285">
        <f t="shared" si="83"/>
        <v>2.5000000000000001E-2</v>
      </c>
      <c r="F152" s="285">
        <f t="shared" si="83"/>
        <v>2.5000000000000001E-2</v>
      </c>
      <c r="G152" s="285">
        <f t="shared" si="83"/>
        <v>2.5000000000000001E-2</v>
      </c>
      <c r="H152" s="285">
        <f t="shared" si="83"/>
        <v>2.5000000000000001E-2</v>
      </c>
      <c r="I152" s="285">
        <f t="shared" si="83"/>
        <v>2.5000000000000001E-2</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2.1539999999999999</v>
      </c>
      <c r="E155" s="296">
        <f t="shared" si="84"/>
        <v>7.3710000000000004</v>
      </c>
      <c r="F155" s="296">
        <f t="shared" si="84"/>
        <v>7.6410000000000009</v>
      </c>
      <c r="G155" s="296">
        <f t="shared" si="84"/>
        <v>7.7110000000000003</v>
      </c>
      <c r="H155" s="296">
        <f t="shared" si="84"/>
        <v>7.7420000000000009</v>
      </c>
      <c r="I155" s="296">
        <f t="shared" si="84"/>
        <v>5.9310000000000009</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2.1539999999999999</v>
      </c>
      <c r="E160" s="285">
        <f t="shared" ca="1" si="86"/>
        <v>7.3710000000000004</v>
      </c>
      <c r="F160" s="285">
        <f t="shared" ca="1" si="86"/>
        <v>7.6410000000000009</v>
      </c>
      <c r="G160" s="285">
        <f t="shared" ca="1" si="86"/>
        <v>7.7110000000000003</v>
      </c>
      <c r="H160" s="285">
        <f t="shared" ca="1" si="86"/>
        <v>7.7420000000000009</v>
      </c>
      <c r="I160" s="285">
        <f t="shared" ca="1" si="86"/>
        <v>5.9310000000000009</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2.1539999999999999</v>
      </c>
      <c r="E170" s="296">
        <f t="shared" ca="1" si="91"/>
        <v>7.3710000000000004</v>
      </c>
      <c r="F170" s="296">
        <f t="shared" ca="1" si="91"/>
        <v>7.6410000000000009</v>
      </c>
      <c r="G170" s="296">
        <f t="shared" ca="1" si="91"/>
        <v>7.7110000000000003</v>
      </c>
      <c r="H170" s="296">
        <f t="shared" ca="1" si="91"/>
        <v>7.7420000000000009</v>
      </c>
      <c r="I170" s="296">
        <f t="shared" ca="1" si="91"/>
        <v>5.9310000000000009</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v>0</v>
      </c>
      <c r="E185" s="285">
        <f t="array" ref="E185:I190">'[3]TOTAL (SEM)'!$O$88:$S$93</f>
        <v>0.105</v>
      </c>
      <c r="F185" s="285">
        <v>0.11799999999999999</v>
      </c>
      <c r="G185" s="285">
        <v>0.122</v>
      </c>
      <c r="H185" s="285">
        <v>0.123</v>
      </c>
      <c r="I185" s="285">
        <v>0.121</v>
      </c>
      <c r="J185" s="63"/>
      <c r="K185" s="63"/>
      <c r="L185" s="63"/>
    </row>
    <row r="186" spans="1:12" outlineLevel="1">
      <c r="A186" s="61" t="s">
        <v>69</v>
      </c>
      <c r="B186" s="65"/>
      <c r="C186" s="65"/>
      <c r="D186" s="285">
        <v>0</v>
      </c>
      <c r="E186" s="285">
        <v>0</v>
      </c>
      <c r="F186" s="285">
        <v>0</v>
      </c>
      <c r="G186" s="285">
        <v>0</v>
      </c>
      <c r="H186" s="285">
        <v>0</v>
      </c>
      <c r="I186" s="285">
        <v>0</v>
      </c>
      <c r="J186" s="42"/>
      <c r="K186" s="21"/>
      <c r="L186" s="21"/>
    </row>
    <row r="187" spans="1:12" s="759" customFormat="1" outlineLevel="1">
      <c r="A187" s="61" t="s">
        <v>646</v>
      </c>
      <c r="B187" s="65"/>
      <c r="C187" s="65"/>
      <c r="D187" s="285">
        <v>2.1539999999999999</v>
      </c>
      <c r="E187" s="285">
        <v>7.2409999999999997</v>
      </c>
      <c r="F187" s="285">
        <v>7.4980000000000002</v>
      </c>
      <c r="G187" s="285">
        <v>7.5640000000000001</v>
      </c>
      <c r="H187" s="285">
        <v>7.5940000000000003</v>
      </c>
      <c r="I187" s="285">
        <v>5.7850000000000001</v>
      </c>
      <c r="J187" s="42"/>
      <c r="K187" s="732"/>
      <c r="L187" s="732"/>
    </row>
    <row r="188" spans="1:12" outlineLevel="1">
      <c r="A188" s="61" t="s">
        <v>647</v>
      </c>
      <c r="B188" s="65"/>
      <c r="C188" s="65"/>
      <c r="D188" s="285">
        <v>0</v>
      </c>
      <c r="E188" s="285">
        <v>2.5000000000000001E-2</v>
      </c>
      <c r="F188" s="285">
        <v>2.5000000000000001E-2</v>
      </c>
      <c r="G188" s="285">
        <v>2.5000000000000001E-2</v>
      </c>
      <c r="H188" s="285">
        <v>2.5000000000000001E-2</v>
      </c>
      <c r="I188" s="285">
        <v>2.5000000000000001E-2</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2.1539999999999999</v>
      </c>
      <c r="E191" s="296">
        <f t="shared" si="92"/>
        <v>7.3710000000000004</v>
      </c>
      <c r="F191" s="296">
        <f t="shared" si="92"/>
        <v>7.6410000000000009</v>
      </c>
      <c r="G191" s="296">
        <f t="shared" si="92"/>
        <v>7.7110000000000003</v>
      </c>
      <c r="H191" s="296">
        <f t="shared" si="92"/>
        <v>7.7420000000000009</v>
      </c>
      <c r="I191" s="296">
        <f t="shared" si="92"/>
        <v>5.9310000000000009</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11.969999999999999</v>
      </c>
      <c r="E205" s="82">
        <f t="shared" ca="1" si="93"/>
        <v>11.969999999999999</v>
      </c>
      <c r="F205" s="82">
        <f t="shared" ca="1" si="93"/>
        <v>11.969999999999999</v>
      </c>
      <c r="G205" s="82">
        <f t="shared" ca="1" si="93"/>
        <v>11.969999999999999</v>
      </c>
      <c r="H205" s="82">
        <f t="shared" ca="1" si="93"/>
        <v>11.969999999999999</v>
      </c>
      <c r="I205" s="82">
        <f t="shared" ca="1" si="93"/>
        <v>11.969999999999999</v>
      </c>
    </row>
    <row r="206" spans="1:9" outlineLevel="1">
      <c r="A206" t="s">
        <v>156</v>
      </c>
      <c r="B206" s="82">
        <f t="shared" ref="B206:I206" ca="1" si="94">+B36</f>
        <v>0</v>
      </c>
      <c r="C206" s="82">
        <f t="shared" ca="1" si="94"/>
        <v>0</v>
      </c>
      <c r="D206" s="82">
        <f t="shared" ca="1" si="94"/>
        <v>14.123999999999999</v>
      </c>
      <c r="E206" s="82">
        <f t="shared" ca="1" si="94"/>
        <v>19.340999999999998</v>
      </c>
      <c r="F206" s="82">
        <f t="shared" ca="1" si="94"/>
        <v>19.611000000000001</v>
      </c>
      <c r="G206" s="82">
        <f t="shared" ca="1" si="94"/>
        <v>19.681000000000001</v>
      </c>
      <c r="H206" s="82">
        <f t="shared" ca="1" si="94"/>
        <v>19.712</v>
      </c>
      <c r="I206" s="82">
        <f t="shared" ca="1" si="94"/>
        <v>17.901</v>
      </c>
    </row>
    <row r="207" spans="1:9" outlineLevel="1">
      <c r="A207" t="s">
        <v>157</v>
      </c>
      <c r="B207" s="82">
        <f t="shared" ref="B207:I207" ca="1" si="95">+B36+B48</f>
        <v>0</v>
      </c>
      <c r="C207" s="82">
        <f t="shared" ca="1" si="95"/>
        <v>0</v>
      </c>
      <c r="D207" s="82">
        <f t="shared" ca="1" si="95"/>
        <v>14.123999999999999</v>
      </c>
      <c r="E207" s="82">
        <f t="shared" ca="1" si="95"/>
        <v>19.468001200626382</v>
      </c>
      <c r="F207" s="82">
        <f t="shared" ca="1" si="95"/>
        <v>19.855678711629633</v>
      </c>
      <c r="G207" s="82">
        <f t="shared" ca="1" si="95"/>
        <v>20.042001624538269</v>
      </c>
      <c r="H207" s="82">
        <f t="shared" ca="1" si="95"/>
        <v>20.199202642509537</v>
      </c>
      <c r="I207" s="82">
        <f t="shared" ca="1" si="95"/>
        <v>18.503803719463683</v>
      </c>
    </row>
    <row r="208" spans="1:9" outlineLevel="1">
      <c r="A208" t="s">
        <v>158</v>
      </c>
      <c r="B208" s="82">
        <f t="shared" ref="B208:I208" ca="1" si="96">+B70</f>
        <v>0</v>
      </c>
      <c r="C208" s="82">
        <f t="shared" ca="1" si="96"/>
        <v>0</v>
      </c>
      <c r="D208" s="82">
        <f t="shared" ca="1" si="96"/>
        <v>14.123999999999999</v>
      </c>
      <c r="E208" s="82">
        <f t="shared" ca="1" si="96"/>
        <v>19.58552564759631</v>
      </c>
      <c r="F208" s="82">
        <f t="shared" ca="1" si="96"/>
        <v>20.094849665368145</v>
      </c>
      <c r="G208" s="82">
        <f t="shared" ca="1" si="96"/>
        <v>20.446577386157596</v>
      </c>
      <c r="H208" s="82">
        <f t="shared" ca="1" si="96"/>
        <v>20.788820737457705</v>
      </c>
      <c r="I208" s="82">
        <f t="shared" ca="1" si="96"/>
        <v>19.302764680656896</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18" priority="1" stopIfTrue="1" operator="notEqual">
      <formula>0</formula>
    </cfRule>
  </conditionalFormatting>
  <conditionalFormatting sqref="J130 J94 J70 J59 J48 J36:J37 J14 J25">
    <cfRule type="cellIs" dxfId="117" priority="2" stopIfTrue="1" operator="equal">
      <formula>"OK"</formula>
    </cfRule>
    <cfRule type="cellIs" dxfId="116" priority="3" stopIfTrue="1" operator="equal">
      <formula>"Warning Check Escalations"</formula>
    </cfRule>
  </conditionalFormatting>
  <conditionalFormatting sqref="N120:T120 N84:T84">
    <cfRule type="cellIs" dxfId="115" priority="4" stopIfTrue="1" operator="notEqual">
      <formula>0</formula>
    </cfRule>
    <cfRule type="cellIs" dxfId="11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7"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7.xml><?xml version="1.0" encoding="utf-8"?>
<worksheet xmlns="http://schemas.openxmlformats.org/spreadsheetml/2006/main" xmlns:r="http://schemas.openxmlformats.org/officeDocument/2006/relationships">
  <sheetPr codeName="Sheet41" enableFormatConditionsCalculation="0">
    <tabColor rgb="FF008000"/>
    <pageSetUpPr fitToPage="1"/>
  </sheetPr>
  <dimension ref="A1:T239"/>
  <sheetViews>
    <sheetView showGridLines="0" topLeftCell="A180" zoomScaleNormal="100" workbookViewId="0">
      <selection activeCell="K190" sqref="K190"/>
    </sheetView>
  </sheetViews>
  <sheetFormatPr defaultRowHeight="12.75" outlineLevelRow="2"/>
  <cols>
    <col min="1" max="1" width="30" customWidth="1"/>
    <col min="2" max="2" width="22.85546875" customWidth="1"/>
    <col min="3"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13</v>
      </c>
      <c r="M1" s="282"/>
      <c r="N1" s="280"/>
      <c r="O1" s="280"/>
      <c r="P1" s="280"/>
      <c r="Q1" s="280"/>
      <c r="R1" s="280"/>
      <c r="S1" s="280"/>
      <c r="T1" s="280"/>
    </row>
    <row r="2" spans="1:20" ht="15.75">
      <c r="A2" s="184" t="s">
        <v>121</v>
      </c>
      <c r="B2" s="74" t="str">
        <f ca="1">OFFSET(List_DAOpexStart,+$K$1,1)</f>
        <v>Asset Maintenance</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8.3899999999999988</v>
      </c>
      <c r="E8" s="285">
        <f ca="1">OFFSET(Future_DAOpexStart,MATCH($K$1,'I-5 Future DA'!$A$6:$A$222)+2,+'I-5 Future DA'!F$5)</f>
        <v>8.3899999999999988</v>
      </c>
      <c r="F8" s="285">
        <f ca="1">OFFSET(Future_DAOpexStart,MATCH($K$1,'I-5 Future DA'!$A$6:$A$222)+2,+'I-5 Future DA'!G$5)</f>
        <v>8.3899999999999988</v>
      </c>
      <c r="G8" s="285">
        <f ca="1">OFFSET(Future_DAOpexStart,MATCH($K$1,'I-5 Future DA'!$A$6:$A$222)+2,+'I-5 Future DA'!H$5)</f>
        <v>8.3899999999999988</v>
      </c>
      <c r="H8" s="285">
        <f ca="1">OFFSET(Future_DAOpexStart,MATCH($K$1,'I-5 Future DA'!$A$6:$A$222)+2,+'I-5 Future DA'!I$5)</f>
        <v>8.3899999999999988</v>
      </c>
      <c r="I8" s="285">
        <f ca="1">OFFSET(Future_DAOpexStart,MATCH($K$1,'I-5 Future DA'!$A$6:$A$222)+2,+'I-5 Future DA'!J$5)</f>
        <v>8.3899999999999988</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1.1950000000000001</v>
      </c>
      <c r="E9" s="285">
        <f ca="1">OFFSET(Future_DAOpexStart,MATCH($K$1,'I-5 Future DA'!$A$6:$A$222)+3,+'I-5 Future DA'!F$5)</f>
        <v>1.1950000000000001</v>
      </c>
      <c r="F9" s="285">
        <f ca="1">OFFSET(Future_DAOpexStart,MATCH($K$1,'I-5 Future DA'!$A$6:$A$222)+3,+'I-5 Future DA'!G$5)</f>
        <v>1.1950000000000001</v>
      </c>
      <c r="G9" s="285">
        <f ca="1">OFFSET(Future_DAOpexStart,MATCH($K$1,'I-5 Future DA'!$A$6:$A$222)+3,+'I-5 Future DA'!H$5)</f>
        <v>1.1950000000000001</v>
      </c>
      <c r="H9" s="285">
        <f ca="1">OFFSET(Future_DAOpexStart,MATCH($K$1,'I-5 Future DA'!$A$6:$A$222)+3,+'I-5 Future DA'!I$5)</f>
        <v>1.1950000000000001</v>
      </c>
      <c r="I9" s="285">
        <f ca="1">OFFSET(Future_DAOpexStart,MATCH($K$1,'I-5 Future DA'!$A$6:$A$222)+3,+'I-5 Future DA'!J$5)</f>
        <v>1.1950000000000001</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0.13700000000000001</v>
      </c>
      <c r="E10" s="285">
        <f ca="1">OFFSET(Future_DAOpexStart,MATCH($K$1,'I-5 Future DA'!$A$6:$A$222)+4,+'I-5 Future DA'!F$5)</f>
        <v>0.13700000000000001</v>
      </c>
      <c r="F10" s="285">
        <f ca="1">OFFSET(Future_DAOpexStart,MATCH($K$1,'I-5 Future DA'!$A$6:$A$222)+4,+'I-5 Future DA'!G$5)</f>
        <v>0.13700000000000001</v>
      </c>
      <c r="G10" s="285">
        <f ca="1">OFFSET(Future_DAOpexStart,MATCH($K$1,'I-5 Future DA'!$A$6:$A$222)+4,+'I-5 Future DA'!H$5)</f>
        <v>0.13700000000000001</v>
      </c>
      <c r="H10" s="285">
        <f ca="1">OFFSET(Future_DAOpexStart,MATCH($K$1,'I-5 Future DA'!$A$6:$A$222)+4,+'I-5 Future DA'!I$5)</f>
        <v>0.13700000000000001</v>
      </c>
      <c r="I10" s="285">
        <f ca="1">OFFSET(Future_DAOpexStart,MATCH($K$1,'I-5 Future DA'!$A$6:$A$222)+4,+'I-5 Future DA'!J$5)</f>
        <v>0.13700000000000001</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3.4049999999999998</v>
      </c>
      <c r="E11" s="285">
        <f ca="1">OFFSET(Future_DAOpexStart,MATCH($K$1,'I-5 Future DA'!$A$6:$A$222)+5,+'I-5 Future DA'!F$5)</f>
        <v>3.4049999999999998</v>
      </c>
      <c r="F11" s="285">
        <f ca="1">OFFSET(Future_DAOpexStart,MATCH($K$1,'I-5 Future DA'!$A$6:$A$222)+5,+'I-5 Future DA'!G$5)</f>
        <v>3.4049999999999998</v>
      </c>
      <c r="G11" s="285">
        <f ca="1">OFFSET(Future_DAOpexStart,MATCH($K$1,'I-5 Future DA'!$A$6:$A$222)+5,+'I-5 Future DA'!H$5)</f>
        <v>3.4049999999999998</v>
      </c>
      <c r="H11" s="285">
        <f ca="1">OFFSET(Future_DAOpexStart,MATCH($K$1,'I-5 Future DA'!$A$6:$A$222)+5,+'I-5 Future DA'!I$5)</f>
        <v>3.4049999999999998</v>
      </c>
      <c r="I11" s="285">
        <f ca="1">OFFSET(Future_DAOpexStart,MATCH($K$1,'I-5 Future DA'!$A$6:$A$222)+5,+'I-5 Future DA'!J$5)</f>
        <v>3.4049999999999998</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0.85799999999999998</v>
      </c>
      <c r="E12" s="285">
        <f ca="1">OFFSET(Future_DAOpexStart,MATCH($K$1,'I-5 Future DA'!$A$6:$A$222)+6,+'I-5 Future DA'!F$5)</f>
        <v>0.85799999999999998</v>
      </c>
      <c r="F12" s="285">
        <f ca="1">OFFSET(Future_DAOpexStart,MATCH($K$1,'I-5 Future DA'!$A$6:$A$222)+6,+'I-5 Future DA'!G$5)</f>
        <v>0.85799999999999998</v>
      </c>
      <c r="G12" s="285">
        <f ca="1">OFFSET(Future_DAOpexStart,MATCH($K$1,'I-5 Future DA'!$A$6:$A$222)+6,+'I-5 Future DA'!H$5)</f>
        <v>0.85799999999999998</v>
      </c>
      <c r="H12" s="285">
        <f ca="1">OFFSET(Future_DAOpexStart,MATCH($K$1,'I-5 Future DA'!$A$6:$A$222)+6,+'I-5 Future DA'!I$5)</f>
        <v>0.85799999999999998</v>
      </c>
      <c r="I12" s="285">
        <f ca="1">OFFSET(Future_DAOpexStart,MATCH($K$1,'I-5 Future DA'!$A$6:$A$222)+6,+'I-5 Future DA'!J$5)</f>
        <v>0.85799999999999998</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13.984999999999999</v>
      </c>
      <c r="E14" s="287">
        <f t="shared" ca="1" si="0"/>
        <v>13.984999999999999</v>
      </c>
      <c r="F14" s="287">
        <f t="shared" ca="1" si="0"/>
        <v>13.984999999999999</v>
      </c>
      <c r="G14" s="287">
        <f t="shared" ca="1" si="0"/>
        <v>13.984999999999999</v>
      </c>
      <c r="H14" s="287">
        <f t="shared" ca="1" si="0"/>
        <v>13.984999999999999</v>
      </c>
      <c r="I14" s="287">
        <f t="shared" ca="1" si="0"/>
        <v>13.984999999999999</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+'DA-13'!B8+'DA-13'!B19</f>
        <v>0</v>
      </c>
      <c r="C30" s="285">
        <f ca="1">+'DA-13'!C8+'DA-13'!C19</f>
        <v>0</v>
      </c>
      <c r="D30" s="285">
        <f ca="1">+'DA-13'!D8+'DA-13'!D19</f>
        <v>8.3899999999999988</v>
      </c>
      <c r="E30" s="285">
        <f ca="1">+'DA-13'!E8+'DA-13'!E19</f>
        <v>8.3899999999999988</v>
      </c>
      <c r="F30" s="285">
        <f ca="1">+'DA-13'!F8+'DA-13'!F19</f>
        <v>8.3899999999999988</v>
      </c>
      <c r="G30" s="285">
        <f ca="1">+'DA-13'!G8+'DA-13'!G19</f>
        <v>8.3899999999999988</v>
      </c>
      <c r="H30" s="285">
        <f ca="1">+'DA-13'!H8+'DA-13'!H19</f>
        <v>8.3899999999999988</v>
      </c>
      <c r="I30" s="285">
        <f ca="1">+'DA-13'!I8+'DA-13'!I19</f>
        <v>8.3899999999999988</v>
      </c>
      <c r="J30" s="42"/>
      <c r="K30" s="21"/>
      <c r="L30" s="21"/>
    </row>
    <row r="31" spans="1:12" outlineLevel="2">
      <c r="A31" s="61" t="s">
        <v>69</v>
      </c>
      <c r="B31" s="285">
        <f ca="1">+'DA-13'!B9+'DA-13'!B20</f>
        <v>0</v>
      </c>
      <c r="C31" s="285">
        <f ca="1">+'DA-13'!C9+'DA-13'!C20</f>
        <v>0</v>
      </c>
      <c r="D31" s="285">
        <f ca="1">+'DA-13'!D9+'DA-13'!D20</f>
        <v>1.1950000000000001</v>
      </c>
      <c r="E31" s="285">
        <f ca="1">+'DA-13'!E9+'DA-13'!E20</f>
        <v>1.1950000000000001</v>
      </c>
      <c r="F31" s="285">
        <f ca="1">+'DA-13'!F9+'DA-13'!F20</f>
        <v>1.1950000000000001</v>
      </c>
      <c r="G31" s="285">
        <f ca="1">+'DA-13'!G9+'DA-13'!G20</f>
        <v>1.1950000000000001</v>
      </c>
      <c r="H31" s="285">
        <f ca="1">+'DA-13'!H9+'DA-13'!H20</f>
        <v>1.1950000000000001</v>
      </c>
      <c r="I31" s="285">
        <f ca="1">+'DA-13'!I9+'DA-13'!I20</f>
        <v>1.1950000000000001</v>
      </c>
      <c r="J31" s="42"/>
      <c r="K31" s="21"/>
      <c r="L31" s="21"/>
    </row>
    <row r="32" spans="1:12" s="759" customFormat="1" outlineLevel="2">
      <c r="A32" s="61" t="s">
        <v>646</v>
      </c>
      <c r="B32" s="285">
        <f ca="1">+'DA-13'!B10+'DA-13'!B21</f>
        <v>0</v>
      </c>
      <c r="C32" s="285">
        <f ca="1">+'DA-13'!C10+'DA-13'!C21</f>
        <v>0</v>
      </c>
      <c r="D32" s="285">
        <f ca="1">+'DA-13'!D10+'DA-13'!D21</f>
        <v>0.13700000000000001</v>
      </c>
      <c r="E32" s="285">
        <f ca="1">+'DA-13'!E10+'DA-13'!E21</f>
        <v>0.13700000000000001</v>
      </c>
      <c r="F32" s="285">
        <f ca="1">+'DA-13'!F10+'DA-13'!F21</f>
        <v>0.13700000000000001</v>
      </c>
      <c r="G32" s="285">
        <f ca="1">+'DA-13'!G10+'DA-13'!G21</f>
        <v>0.13700000000000001</v>
      </c>
      <c r="H32" s="285">
        <f ca="1">+'DA-13'!H10+'DA-13'!H21</f>
        <v>0.13700000000000001</v>
      </c>
      <c r="I32" s="285">
        <f ca="1">+'DA-13'!I10+'DA-13'!I21</f>
        <v>0.13700000000000001</v>
      </c>
      <c r="J32" s="42"/>
      <c r="K32" s="732"/>
      <c r="L32" s="732"/>
    </row>
    <row r="33" spans="1:12" outlineLevel="2">
      <c r="A33" s="61" t="s">
        <v>647</v>
      </c>
      <c r="B33" s="285">
        <f ca="1">+'DA-13'!B11+'DA-13'!B22</f>
        <v>0</v>
      </c>
      <c r="C33" s="285">
        <f ca="1">+'DA-13'!C11+'DA-13'!C22</f>
        <v>0</v>
      </c>
      <c r="D33" s="285">
        <f ca="1">+'DA-13'!D11+'DA-13'!D22</f>
        <v>3.4049999999999998</v>
      </c>
      <c r="E33" s="285">
        <f ca="1">+'DA-13'!E11+'DA-13'!E22</f>
        <v>3.4049999999999998</v>
      </c>
      <c r="F33" s="285">
        <f ca="1">+'DA-13'!F11+'DA-13'!F22</f>
        <v>3.4049999999999998</v>
      </c>
      <c r="G33" s="285">
        <f ca="1">+'DA-13'!G11+'DA-13'!G22</f>
        <v>3.4049999999999998</v>
      </c>
      <c r="H33" s="285">
        <f ca="1">+'DA-13'!H11+'DA-13'!H22</f>
        <v>3.4049999999999998</v>
      </c>
      <c r="I33" s="285">
        <f ca="1">+'DA-13'!I11+'DA-13'!I22</f>
        <v>3.4049999999999998</v>
      </c>
      <c r="J33" s="42"/>
      <c r="K33" s="21"/>
      <c r="L33" s="21"/>
    </row>
    <row r="34" spans="1:12" s="759" customFormat="1" outlineLevel="2">
      <c r="A34" s="61" t="s">
        <v>575</v>
      </c>
      <c r="B34" s="285">
        <f ca="1">+'DA-13'!B12+'DA-13'!B23</f>
        <v>0</v>
      </c>
      <c r="C34" s="285">
        <f ca="1">+'DA-13'!C12+'DA-13'!C23</f>
        <v>0</v>
      </c>
      <c r="D34" s="285">
        <f ca="1">+'DA-13'!D12+'DA-13'!D23</f>
        <v>0.85799999999999998</v>
      </c>
      <c r="E34" s="285">
        <f ca="1">+'DA-13'!E12+'DA-13'!E23</f>
        <v>0.85799999999999998</v>
      </c>
      <c r="F34" s="285">
        <f ca="1">+'DA-13'!F12+'DA-13'!F23</f>
        <v>0.85799999999999998</v>
      </c>
      <c r="G34" s="285">
        <f ca="1">+'DA-13'!G12+'DA-13'!G23</f>
        <v>0.85799999999999998</v>
      </c>
      <c r="H34" s="285">
        <f ca="1">+'DA-13'!H12+'DA-13'!H23</f>
        <v>0.85799999999999998</v>
      </c>
      <c r="I34" s="285">
        <f ca="1">+'DA-13'!I12+'DA-13'!I23</f>
        <v>0.85799999999999998</v>
      </c>
      <c r="J34" s="42"/>
      <c r="K34" s="732"/>
      <c r="L34" s="732"/>
    </row>
    <row r="35" spans="1:12" ht="13.5" outlineLevel="2" thickBot="1">
      <c r="A35" s="83" t="s">
        <v>70</v>
      </c>
      <c r="B35" s="285">
        <f ca="1">+'DA-13'!B13+'DA-13'!B24</f>
        <v>0</v>
      </c>
      <c r="C35" s="285">
        <f ca="1">+'DA-13'!C13+'DA-13'!C24</f>
        <v>0</v>
      </c>
      <c r="D35" s="285">
        <f ca="1">+'DA-13'!D13+'DA-13'!D24</f>
        <v>0</v>
      </c>
      <c r="E35" s="285">
        <f ca="1">+'DA-13'!E13+'DA-13'!E24</f>
        <v>0</v>
      </c>
      <c r="F35" s="285">
        <f ca="1">+'DA-13'!F13+'DA-13'!F24</f>
        <v>0</v>
      </c>
      <c r="G35" s="285">
        <f ca="1">+'DA-13'!G13+'DA-13'!G24</f>
        <v>0</v>
      </c>
      <c r="H35" s="285">
        <f ca="1">+'DA-13'!H13+'DA-13'!H24</f>
        <v>0</v>
      </c>
      <c r="I35" s="285">
        <f ca="1">+'DA-13'!I13+'DA-13'!I24</f>
        <v>0</v>
      </c>
      <c r="J35" s="93"/>
      <c r="K35" s="21"/>
      <c r="L35" s="21"/>
    </row>
    <row r="36" spans="1:12" s="87" customFormat="1" ht="20.25" customHeight="1" thickBot="1">
      <c r="A36" s="94" t="s">
        <v>128</v>
      </c>
      <c r="B36" s="294">
        <f t="shared" ref="B36:I36" ca="1" si="7">SUM(B30:B35)</f>
        <v>0</v>
      </c>
      <c r="C36" s="294">
        <f t="shared" ca="1" si="7"/>
        <v>0</v>
      </c>
      <c r="D36" s="294">
        <f t="shared" ca="1" si="7"/>
        <v>13.984999999999999</v>
      </c>
      <c r="E36" s="294">
        <f t="shared" ca="1" si="7"/>
        <v>13.984999999999999</v>
      </c>
      <c r="F36" s="294">
        <f t="shared" ca="1" si="7"/>
        <v>13.984999999999999</v>
      </c>
      <c r="G36" s="294">
        <f t="shared" ca="1" si="7"/>
        <v>13.984999999999999</v>
      </c>
      <c r="H36" s="294">
        <f t="shared" ca="1" si="7"/>
        <v>13.984999999999999</v>
      </c>
      <c r="I36" s="294">
        <f t="shared" ca="1" si="7"/>
        <v>13.984999999999999</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8.9017549979562655E-2</v>
      </c>
      <c r="F42" s="285">
        <f t="shared" ca="1" si="8"/>
        <v>0.17149994908710256</v>
      </c>
      <c r="G42" s="285">
        <f t="shared" ca="1" si="8"/>
        <v>0.25303288470142588</v>
      </c>
      <c r="H42" s="285">
        <f t="shared" ca="1" si="8"/>
        <v>0.34148957148329384</v>
      </c>
      <c r="I42" s="285">
        <f t="shared" ca="1" si="8"/>
        <v>0.42251655858816145</v>
      </c>
      <c r="K42" s="63"/>
      <c r="L42" s="63"/>
    </row>
    <row r="43" spans="1:12" outlineLevel="1">
      <c r="A43" s="61" t="s">
        <v>69</v>
      </c>
      <c r="B43" s="82"/>
      <c r="C43" s="285">
        <f t="shared" ca="1" si="8"/>
        <v>0</v>
      </c>
      <c r="D43" s="285">
        <f t="shared" ca="1" si="8"/>
        <v>0</v>
      </c>
      <c r="E43" s="285">
        <f t="shared" ca="1" si="8"/>
        <v>1.2678900146075971E-2</v>
      </c>
      <c r="F43" s="285">
        <f t="shared" ca="1" si="8"/>
        <v>2.4426989172716043E-2</v>
      </c>
      <c r="G43" s="285">
        <f t="shared" ca="1" si="8"/>
        <v>3.6039844722074367E-2</v>
      </c>
      <c r="H43" s="285">
        <f t="shared" ca="1" si="8"/>
        <v>4.8638860300659857E-2</v>
      </c>
      <c r="I43" s="285">
        <f t="shared" ca="1" si="8"/>
        <v>6.017965286208022E-2</v>
      </c>
      <c r="K43" s="42"/>
      <c r="L43" s="21"/>
    </row>
    <row r="44" spans="1:12" s="759" customFormat="1" outlineLevel="1">
      <c r="A44" s="61" t="s">
        <v>646</v>
      </c>
      <c r="B44" s="82"/>
      <c r="C44" s="285">
        <f t="shared" ref="C44:I44" ca="1" si="9">+C100</f>
        <v>0</v>
      </c>
      <c r="D44" s="285">
        <f t="shared" ca="1" si="9"/>
        <v>0</v>
      </c>
      <c r="E44" s="285">
        <f t="shared" ca="1" si="9"/>
        <v>1.4535642845292117E-3</v>
      </c>
      <c r="F44" s="285">
        <f t="shared" ca="1" si="9"/>
        <v>2.8004163319348099E-3</v>
      </c>
      <c r="G44" s="285">
        <f t="shared" ca="1" si="9"/>
        <v>4.1317646250411616E-3</v>
      </c>
      <c r="H44" s="285">
        <f t="shared" ca="1" si="9"/>
        <v>5.5761705951384109E-3</v>
      </c>
      <c r="I44" s="285">
        <f t="shared" ca="1" si="9"/>
        <v>6.8992572737280253E-3</v>
      </c>
      <c r="K44" s="42"/>
      <c r="L44" s="732"/>
    </row>
    <row r="45" spans="1:12" outlineLevel="1">
      <c r="A45" s="61" t="s">
        <v>647</v>
      </c>
      <c r="B45" s="82"/>
      <c r="C45" s="285">
        <f t="shared" ref="C45:I45" ca="1" si="10">+C101</f>
        <v>0</v>
      </c>
      <c r="D45" s="285">
        <f t="shared" ca="1" si="10"/>
        <v>0</v>
      </c>
      <c r="E45" s="285">
        <f t="shared" ca="1" si="10"/>
        <v>3.6126907947605584E-2</v>
      </c>
      <c r="F45" s="285">
        <f t="shared" ca="1" si="10"/>
        <v>6.9601588395898001E-2</v>
      </c>
      <c r="G45" s="285">
        <f t="shared" ca="1" si="10"/>
        <v>0.10269093830850477</v>
      </c>
      <c r="H45" s="285">
        <f t="shared" ca="1" si="10"/>
        <v>0.13859022537552032</v>
      </c>
      <c r="I45" s="285">
        <f t="shared" ca="1" si="10"/>
        <v>0.1714742410003206</v>
      </c>
      <c r="K45" s="42"/>
      <c r="L45" s="21"/>
    </row>
    <row r="46" spans="1:12" s="759" customFormat="1" outlineLevel="1">
      <c r="A46" s="61" t="s">
        <v>575</v>
      </c>
      <c r="B46" s="82"/>
      <c r="C46" s="285">
        <f t="shared" ref="C46:I46" ca="1" si="11">+C102</f>
        <v>0</v>
      </c>
      <c r="D46" s="285">
        <f t="shared" ca="1" si="11"/>
        <v>0</v>
      </c>
      <c r="E46" s="285">
        <f t="shared" ca="1" si="11"/>
        <v>9.1033442052997331E-3</v>
      </c>
      <c r="F46" s="285">
        <f t="shared" ca="1" si="11"/>
        <v>1.753837381605888E-2</v>
      </c>
      <c r="G46" s="285">
        <f t="shared" ca="1" si="11"/>
        <v>2.5876306921790632E-2</v>
      </c>
      <c r="H46" s="285">
        <f t="shared" ca="1" si="11"/>
        <v>3.4922294676122304E-2</v>
      </c>
      <c r="I46" s="285">
        <f t="shared" ca="1" si="11"/>
        <v>4.3208487159552153E-2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0.14838026656307315</v>
      </c>
      <c r="F48" s="294">
        <f t="shared" ca="1" si="13"/>
        <v>0.2858673168037103</v>
      </c>
      <c r="G48" s="294">
        <f t="shared" ca="1" si="13"/>
        <v>0.42177173927883682</v>
      </c>
      <c r="H48" s="294">
        <f t="shared" ca="1" si="13"/>
        <v>0.56921712243073475</v>
      </c>
      <c r="I48" s="294">
        <f t="shared" ca="1" si="13"/>
        <v>0.70427819688384252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0.18194246947340026</v>
      </c>
      <c r="F53" s="285">
        <f t="shared" ca="1" si="14"/>
        <v>0.37136684181873325</v>
      </c>
      <c r="G53" s="285">
        <f t="shared" ca="1" si="14"/>
        <v>0.57901311511498454</v>
      </c>
      <c r="H53" s="285">
        <f t="shared" ca="1" si="14"/>
        <v>0.79580466297669716</v>
      </c>
      <c r="I53" s="285">
        <f t="shared" ca="1" si="14"/>
        <v>1.0208290577884123</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6.922678214226314E-4</v>
      </c>
      <c r="F55" s="285">
        <f t="shared" ca="1" si="15"/>
        <v>1.4014991737276087E-3</v>
      </c>
      <c r="G55" s="285">
        <f t="shared" ca="1" si="15"/>
        <v>2.6977654354546341E-3</v>
      </c>
      <c r="H55" s="285">
        <f t="shared" ca="1" si="15"/>
        <v>4.2510418154092719E-3</v>
      </c>
      <c r="I55" s="285">
        <f t="shared" ca="1" si="15"/>
        <v>6.1428627335775891E-3</v>
      </c>
      <c r="K55" s="42"/>
      <c r="L55" s="732"/>
    </row>
    <row r="56" spans="1:12" outlineLevel="1">
      <c r="A56" s="61" t="s">
        <v>647</v>
      </c>
      <c r="B56" s="285"/>
      <c r="C56" s="285">
        <f t="shared" ref="C56:I56" ca="1" si="16">+C137</f>
        <v>0</v>
      </c>
      <c r="D56" s="285">
        <f t="shared" ca="1" si="16"/>
        <v>0</v>
      </c>
      <c r="E56" s="285">
        <f t="shared" ca="1" si="16"/>
        <v>1.7205634539737658E-2</v>
      </c>
      <c r="F56" s="285">
        <f t="shared" ca="1" si="16"/>
        <v>3.483288092366793E-2</v>
      </c>
      <c r="G56" s="285">
        <f t="shared" ca="1" si="16"/>
        <v>6.7050301516226471E-2</v>
      </c>
      <c r="H56" s="285">
        <f t="shared" ca="1" si="16"/>
        <v>0.10565545533918665</v>
      </c>
      <c r="I56" s="285">
        <f t="shared" ca="1" si="16"/>
        <v>0.1526748000571656</v>
      </c>
      <c r="K56" s="42"/>
      <c r="L56" s="21"/>
    </row>
    <row r="57" spans="1:12" s="759" customFormat="1" outlineLevel="1">
      <c r="A57" s="61" t="s">
        <v>575</v>
      </c>
      <c r="B57" s="285"/>
      <c r="C57" s="285">
        <f t="shared" ref="C57:I57" ca="1" si="17">+C138</f>
        <v>0</v>
      </c>
      <c r="D57" s="285">
        <f t="shared" ca="1" si="17"/>
        <v>0</v>
      </c>
      <c r="E57" s="285">
        <f t="shared" ca="1" si="17"/>
        <v>1.8606273993823294E-2</v>
      </c>
      <c r="F57" s="285">
        <f t="shared" ca="1" si="17"/>
        <v>3.7977681797434222E-2</v>
      </c>
      <c r="G57" s="285">
        <f t="shared" ca="1" si="17"/>
        <v>5.9212545026061596E-2</v>
      </c>
      <c r="H57" s="285">
        <f t="shared" ca="1" si="17"/>
        <v>8.138264610655617E-2</v>
      </c>
      <c r="I57" s="285">
        <f t="shared" ca="1" si="17"/>
        <v>0.10439467599314158</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0.21844664582838386</v>
      </c>
      <c r="F59" s="287">
        <f t="shared" ca="1" si="19"/>
        <v>0.44557890371356301</v>
      </c>
      <c r="G59" s="287">
        <f t="shared" ca="1" si="19"/>
        <v>0.70797372709272721</v>
      </c>
      <c r="H59" s="287">
        <f t="shared" ca="1" si="19"/>
        <v>0.98709380623784926</v>
      </c>
      <c r="I59" s="287">
        <f t="shared" ca="1" si="19"/>
        <v>1.284041396572297</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8.3899999999999988</v>
      </c>
      <c r="E64" s="285">
        <f t="shared" ca="1" si="20"/>
        <v>8.6609600194529612</v>
      </c>
      <c r="F64" s="285">
        <f t="shared" ca="1" si="20"/>
        <v>8.9328667909058357</v>
      </c>
      <c r="G64" s="285">
        <f t="shared" ca="1" si="20"/>
        <v>9.2220459998164088</v>
      </c>
      <c r="H64" s="285">
        <f t="shared" ca="1" si="20"/>
        <v>9.5272942344599905</v>
      </c>
      <c r="I64" s="285">
        <f t="shared" ca="1" si="20"/>
        <v>9.8333456163765725</v>
      </c>
      <c r="K64" s="63"/>
      <c r="L64" s="63"/>
    </row>
    <row r="65" spans="1:20" ht="12.75" customHeight="1" outlineLevel="1">
      <c r="A65" s="61" t="s">
        <v>69</v>
      </c>
      <c r="B65" s="285">
        <f t="shared" ca="1" si="20"/>
        <v>0</v>
      </c>
      <c r="C65" s="285">
        <f t="shared" ca="1" si="20"/>
        <v>0</v>
      </c>
      <c r="D65" s="285">
        <f t="shared" ca="1" si="20"/>
        <v>1.1950000000000001</v>
      </c>
      <c r="E65" s="285">
        <f t="shared" ca="1" si="20"/>
        <v>1.2076789001460759</v>
      </c>
      <c r="F65" s="285">
        <f t="shared" ca="1" si="20"/>
        <v>1.2194269891727161</v>
      </c>
      <c r="G65" s="285">
        <f t="shared" ca="1" si="20"/>
        <v>1.2310398447220745</v>
      </c>
      <c r="H65" s="285">
        <f t="shared" ca="1" si="20"/>
        <v>1.2436388603006598</v>
      </c>
      <c r="I65" s="285">
        <f t="shared" ca="1" si="20"/>
        <v>1.2551796528620802</v>
      </c>
      <c r="K65" s="42"/>
      <c r="L65" s="21"/>
    </row>
    <row r="66" spans="1:20" s="759" customFormat="1" ht="12.75" customHeight="1" outlineLevel="1">
      <c r="A66" s="61" t="s">
        <v>646</v>
      </c>
      <c r="B66" s="285">
        <f t="shared" ref="B66:I66" ca="1" si="21">+B44+B32+B55</f>
        <v>0</v>
      </c>
      <c r="C66" s="285">
        <f t="shared" ca="1" si="21"/>
        <v>0</v>
      </c>
      <c r="D66" s="285">
        <f t="shared" ca="1" si="21"/>
        <v>0.13700000000000001</v>
      </c>
      <c r="E66" s="285">
        <f t="shared" ca="1" si="21"/>
        <v>0.13914583210595186</v>
      </c>
      <c r="F66" s="285">
        <f t="shared" ca="1" si="21"/>
        <v>0.14120191550566244</v>
      </c>
      <c r="G66" s="285">
        <f t="shared" ca="1" si="21"/>
        <v>0.14382953006049581</v>
      </c>
      <c r="H66" s="285">
        <f t="shared" ca="1" si="21"/>
        <v>0.14682721241054769</v>
      </c>
      <c r="I66" s="285">
        <f t="shared" ca="1" si="21"/>
        <v>0.15004212000730563</v>
      </c>
      <c r="K66" s="42"/>
      <c r="L66" s="732"/>
    </row>
    <row r="67" spans="1:20" ht="12.75" customHeight="1" outlineLevel="1">
      <c r="A67" s="61" t="s">
        <v>647</v>
      </c>
      <c r="B67" s="285">
        <f t="shared" ref="B67:I67" ca="1" si="22">+B45+B33+B56</f>
        <v>0</v>
      </c>
      <c r="C67" s="285">
        <f t="shared" ca="1" si="22"/>
        <v>0</v>
      </c>
      <c r="D67" s="285">
        <f t="shared" ca="1" si="22"/>
        <v>3.4049999999999998</v>
      </c>
      <c r="E67" s="285">
        <f t="shared" ca="1" si="22"/>
        <v>3.458332542487343</v>
      </c>
      <c r="F67" s="285">
        <f t="shared" ca="1" si="22"/>
        <v>3.5094344693195656</v>
      </c>
      <c r="G67" s="285">
        <f t="shared" ca="1" si="22"/>
        <v>3.5747412398247307</v>
      </c>
      <c r="H67" s="285">
        <f t="shared" ca="1" si="22"/>
        <v>3.6492456807147069</v>
      </c>
      <c r="I67" s="285">
        <f t="shared" ca="1" si="22"/>
        <v>3.7291490410574859</v>
      </c>
      <c r="K67" s="42"/>
      <c r="L67" s="21"/>
    </row>
    <row r="68" spans="1:20" s="759" customFormat="1" ht="12.75" customHeight="1" outlineLevel="1">
      <c r="A68" s="61" t="s">
        <v>575</v>
      </c>
      <c r="B68" s="285">
        <f t="shared" ref="B68:I68" ca="1" si="23">+B46+B34+B57</f>
        <v>0</v>
      </c>
      <c r="C68" s="285">
        <f t="shared" ca="1" si="23"/>
        <v>0</v>
      </c>
      <c r="D68" s="285">
        <f t="shared" ca="1" si="23"/>
        <v>0.85799999999999998</v>
      </c>
      <c r="E68" s="285">
        <f t="shared" ca="1" si="23"/>
        <v>0.88570961819912297</v>
      </c>
      <c r="F68" s="285">
        <f t="shared" ca="1" si="23"/>
        <v>0.91351605561349303</v>
      </c>
      <c r="G68" s="285">
        <f t="shared" ca="1" si="23"/>
        <v>0.94308885194785219</v>
      </c>
      <c r="H68" s="285">
        <f t="shared" ca="1" si="23"/>
        <v>0.97430494078267849</v>
      </c>
      <c r="I68" s="285">
        <f t="shared" ca="1" si="23"/>
        <v>1.0056031631526938</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13.984999999999999</v>
      </c>
      <c r="E70" s="295">
        <f t="shared" ca="1" si="25"/>
        <v>14.351826912391454</v>
      </c>
      <c r="F70" s="295">
        <f t="shared" ca="1" si="25"/>
        <v>14.716446220517273</v>
      </c>
      <c r="G70" s="295">
        <f t="shared" ca="1" si="25"/>
        <v>15.114745466371561</v>
      </c>
      <c r="H70" s="295">
        <f t="shared" ca="1" si="25"/>
        <v>15.541310928668583</v>
      </c>
      <c r="I70" s="295">
        <f t="shared" ca="1" si="25"/>
        <v>15.973319593456139</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8.9017549979562655E-2</v>
      </c>
      <c r="Q77" s="285">
        <f ca="1">IF($B77&lt;&gt;0,(+VLOOKUP($B77,$A$8:$I$13,6,FALSE))*(F77),0)</f>
        <v>0.17149994908710256</v>
      </c>
      <c r="R77" s="285">
        <f ca="1">IF($B77&lt;&gt;0,(+VLOOKUP($B77,$A$8:$I$13,7,FALSE))*(G77),0)</f>
        <v>0.25303288470142588</v>
      </c>
      <c r="S77" s="285">
        <f ca="1">IF($B77&lt;&gt;0,(+VLOOKUP($B77,$A$8:$I$13,8,FALSE))*(H77),0)</f>
        <v>0.34148957148329384</v>
      </c>
      <c r="T77" s="285">
        <f ca="1">IF($B77&lt;&gt;0,(+VLOOKUP($B77,$A$8:$I$13,9,FALSE))*(I77),0)</f>
        <v>0.42251655858816145</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1.2678900146075971E-2</v>
      </c>
      <c r="Q78" s="285">
        <f ca="1">IF($B78&lt;&gt;0,(+VLOOKUP($B78,$A$8:$I$13,6,FALSE))*(F78),0)</f>
        <v>2.4426989172716043E-2</v>
      </c>
      <c r="R78" s="285">
        <f ca="1">IF($B78&lt;&gt;0,(+VLOOKUP($B78,$A$8:$I$13,7,FALSE))*(G78),0)</f>
        <v>3.6039844722074367E-2</v>
      </c>
      <c r="S78" s="285">
        <f ca="1">IF($B78&lt;&gt;0,(+VLOOKUP($B78,$A$8:$I$13,8,FALSE))*(H78),0)</f>
        <v>4.8638860300659857E-2</v>
      </c>
      <c r="T78" s="285">
        <f ca="1">IF($B78&lt;&gt;0,(+VLOOKUP($B78,$A$8:$I$13,9,FALSE))*(I78),0)</f>
        <v>6.017965286208022E-2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1.4535642845292117E-3</v>
      </c>
      <c r="Q79" s="285">
        <f t="shared" ref="Q79:Q80" ca="1" si="34">IF($B79&lt;&gt;0,(+VLOOKUP($B79,$A$8:$I$13,6,FALSE))*(F79),0)</f>
        <v>2.8004163319348099E-3</v>
      </c>
      <c r="R79" s="285">
        <f t="shared" ref="R79:R80" ca="1" si="35">IF($B79&lt;&gt;0,(+VLOOKUP($B79,$A$8:$I$13,7,FALSE))*(G79),0)</f>
        <v>4.1317646250411616E-3</v>
      </c>
      <c r="S79" s="285">
        <f t="shared" ref="S79:S80" ca="1" si="36">IF($B79&lt;&gt;0,(+VLOOKUP($B79,$A$8:$I$13,8,FALSE))*(H79),0)</f>
        <v>5.5761705951384109E-3</v>
      </c>
      <c r="T79" s="285">
        <f t="shared" ref="T79:T80" ca="1" si="37">IF($B79&lt;&gt;0,(+VLOOKUP($B79,$A$8:$I$13,9,FALSE))*(I79),0)</f>
        <v>6.8992572737280253E-3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3.6126907947605584E-2</v>
      </c>
      <c r="Q80" s="285">
        <f t="shared" ca="1" si="34"/>
        <v>6.9601588395898001E-2</v>
      </c>
      <c r="R80" s="285">
        <f t="shared" ca="1" si="35"/>
        <v>0.10269093830850477</v>
      </c>
      <c r="S80" s="285">
        <f t="shared" ca="1" si="36"/>
        <v>0.13859022537552032</v>
      </c>
      <c r="T80" s="285">
        <f t="shared" ca="1" si="37"/>
        <v>0.1714742410003206</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9.1033442052997331E-3</v>
      </c>
      <c r="Q81" s="285">
        <f ca="1">IF($B81&lt;&gt;0,(+VLOOKUP($B81,$A$8:$I$13,6,FALSE))*(F81),0)</f>
        <v>1.753837381605888E-2</v>
      </c>
      <c r="R81" s="285">
        <f ca="1">IF($B81&lt;&gt;0,(+VLOOKUP($B81,$A$8:$I$13,7,FALSE))*(G81),0)</f>
        <v>2.5876306921790632E-2</v>
      </c>
      <c r="S81" s="285">
        <f ca="1">IF($B81&lt;&gt;0,(+VLOOKUP($B81,$A$8:$I$13,8,FALSE))*(H81),0)</f>
        <v>3.4922294676122304E-2</v>
      </c>
      <c r="T81" s="285">
        <f ca="1">IF($B81&lt;&gt;0,(+VLOOKUP($B81,$A$8:$I$13,9,FALSE))*(I81),0)</f>
        <v>4.3208487159552153E-2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0.14838026656307315</v>
      </c>
      <c r="Q83" s="292">
        <f t="shared" ca="1" si="51"/>
        <v>0.2858673168037103</v>
      </c>
      <c r="R83" s="292">
        <f t="shared" ca="1" si="51"/>
        <v>0.42177173927883682</v>
      </c>
      <c r="S83" s="292">
        <f t="shared" ca="1" si="51"/>
        <v>0.56921712243073475</v>
      </c>
      <c r="T83" s="292">
        <f t="shared" ca="1" si="51"/>
        <v>0.70427819688384252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8.9017549979562655E-2</v>
      </c>
      <c r="F98" s="285">
        <f t="shared" ca="1" si="54"/>
        <v>0.17149994908710256</v>
      </c>
      <c r="G98" s="285">
        <f t="shared" ca="1" si="54"/>
        <v>0.25303288470142588</v>
      </c>
      <c r="H98" s="285">
        <f t="shared" ca="1" si="54"/>
        <v>0.34148957148329384</v>
      </c>
      <c r="I98" s="285">
        <f t="shared" ca="1" si="54"/>
        <v>0.42251655858816145</v>
      </c>
    </row>
    <row r="99" spans="1:20" outlineLevel="1">
      <c r="A99" s="61" t="s">
        <v>69</v>
      </c>
      <c r="B99" s="119"/>
      <c r="C99" s="285">
        <f t="shared" ref="C99:I99" ca="1" si="55">+C9*(C87)</f>
        <v>0</v>
      </c>
      <c r="D99" s="285">
        <f t="shared" ca="1" si="55"/>
        <v>0</v>
      </c>
      <c r="E99" s="285">
        <f t="shared" ca="1" si="55"/>
        <v>1.2678900146075971E-2</v>
      </c>
      <c r="F99" s="285">
        <f t="shared" ca="1" si="55"/>
        <v>2.4426989172716043E-2</v>
      </c>
      <c r="G99" s="285">
        <f t="shared" ca="1" si="55"/>
        <v>3.6039844722074367E-2</v>
      </c>
      <c r="H99" s="285">
        <f t="shared" ca="1" si="55"/>
        <v>4.8638860300659857E-2</v>
      </c>
      <c r="I99" s="285">
        <f t="shared" ca="1" si="55"/>
        <v>6.017965286208022E-2</v>
      </c>
    </row>
    <row r="100" spans="1:20" s="759" customFormat="1" outlineLevel="1">
      <c r="A100" s="61" t="s">
        <v>646</v>
      </c>
      <c r="B100" s="119"/>
      <c r="C100" s="285">
        <f t="shared" ref="C100:I100" ca="1" si="56">+C10*(C88)</f>
        <v>0</v>
      </c>
      <c r="D100" s="285">
        <f t="shared" ca="1" si="56"/>
        <v>0</v>
      </c>
      <c r="E100" s="285">
        <f t="shared" ca="1" si="56"/>
        <v>1.4535642845292117E-3</v>
      </c>
      <c r="F100" s="285">
        <f t="shared" ca="1" si="56"/>
        <v>2.8004163319348099E-3</v>
      </c>
      <c r="G100" s="285">
        <f t="shared" ca="1" si="56"/>
        <v>4.1317646250411616E-3</v>
      </c>
      <c r="H100" s="285">
        <f t="shared" ca="1" si="56"/>
        <v>5.5761705951384109E-3</v>
      </c>
      <c r="I100" s="285">
        <f t="shared" ca="1" si="56"/>
        <v>6.8992572737280253E-3</v>
      </c>
    </row>
    <row r="101" spans="1:20" outlineLevel="1">
      <c r="A101" s="61" t="s">
        <v>647</v>
      </c>
      <c r="B101" s="119"/>
      <c r="C101" s="285">
        <f t="shared" ref="C101:I101" ca="1" si="57">+C11*(C89)</f>
        <v>0</v>
      </c>
      <c r="D101" s="285">
        <f t="shared" ca="1" si="57"/>
        <v>0</v>
      </c>
      <c r="E101" s="285">
        <f t="shared" ca="1" si="57"/>
        <v>3.6126907947605584E-2</v>
      </c>
      <c r="F101" s="285">
        <f t="shared" ca="1" si="57"/>
        <v>6.9601588395898001E-2</v>
      </c>
      <c r="G101" s="285">
        <f t="shared" ca="1" si="57"/>
        <v>0.10269093830850477</v>
      </c>
      <c r="H101" s="285">
        <f t="shared" ca="1" si="57"/>
        <v>0.13859022537552032</v>
      </c>
      <c r="I101" s="285">
        <f t="shared" ca="1" si="57"/>
        <v>0.1714742410003206</v>
      </c>
    </row>
    <row r="102" spans="1:20" s="759" customFormat="1" outlineLevel="1">
      <c r="A102" s="61" t="s">
        <v>575</v>
      </c>
      <c r="B102" s="119"/>
      <c r="C102" s="285">
        <f t="shared" ref="C102:I102" ca="1" si="58">+C12*(C90)</f>
        <v>0</v>
      </c>
      <c r="D102" s="285">
        <f t="shared" ca="1" si="58"/>
        <v>0</v>
      </c>
      <c r="E102" s="285">
        <f t="shared" ca="1" si="58"/>
        <v>9.1033442052997331E-3</v>
      </c>
      <c r="F102" s="285">
        <f t="shared" ca="1" si="58"/>
        <v>1.753837381605888E-2</v>
      </c>
      <c r="G102" s="285">
        <f t="shared" ca="1" si="58"/>
        <v>2.5876306921790632E-2</v>
      </c>
      <c r="H102" s="285">
        <f t="shared" ca="1" si="58"/>
        <v>3.4922294676122304E-2</v>
      </c>
      <c r="I102" s="285">
        <f t="shared" ca="1" si="58"/>
        <v>4.3208487159552153E-2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0.14838026656307315</v>
      </c>
      <c r="F104" s="296">
        <f t="shared" ca="1" si="60"/>
        <v>0.2858673168037103</v>
      </c>
      <c r="G104" s="296">
        <f t="shared" ca="1" si="60"/>
        <v>0.42177173927883682</v>
      </c>
      <c r="H104" s="296">
        <f t="shared" ca="1" si="60"/>
        <v>0.56921712243073475</v>
      </c>
      <c r="I104" s="296">
        <f t="shared" ca="1" si="60"/>
        <v>0.70427819688384252</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0.18194246947340026</v>
      </c>
      <c r="Q113" s="285">
        <f ca="1">IF($B113&lt;&gt;0,(+VLOOKUP($B113,$A$8:$I$13,6,FALSE)+VLOOKUP($B113,$A$42:$I$47,6,FALSE))*(F113),0)</f>
        <v>0.37136684181873325</v>
      </c>
      <c r="R113" s="285">
        <f ca="1">IF($B113&lt;&gt;0,(+VLOOKUP($B113,$A$8:$I$13,7,FALSE)+VLOOKUP($B113,$A$42:$I$47,7,FALSE))*(G113),0)</f>
        <v>0.57901311511498454</v>
      </c>
      <c r="S113" s="285">
        <f ca="1">IF($B113&lt;&gt;0,(+VLOOKUP($B113,$A$8:$I$13,8,FALSE)+VLOOKUP($B113,$A$42:$I$47,8,FALSE))*(H113),0)</f>
        <v>0.79580466297669716</v>
      </c>
      <c r="T113" s="285">
        <f ca="1">IF($B113&lt;&gt;0,(+VLOOKUP($B113,$A$8:$I$13,9,FALSE)+VLOOKUP($B113,$A$42:$I$47,9,FALSE))*(I113),0)</f>
        <v>1.0208290577884123</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6.922678214226314E-4</v>
      </c>
      <c r="Q115" s="285">
        <f t="shared" ca="1" si="68"/>
        <v>1.4014991737276087E-3</v>
      </c>
      <c r="R115" s="285">
        <f t="shared" ca="1" si="69"/>
        <v>2.6977654354546341E-3</v>
      </c>
      <c r="S115" s="285">
        <f t="shared" ca="1" si="70"/>
        <v>4.2510418154092719E-3</v>
      </c>
      <c r="T115" s="285">
        <f t="shared" ca="1" si="71"/>
        <v>6.1428627335775891E-3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1.7205634539737658E-2</v>
      </c>
      <c r="Q116" s="285">
        <f t="shared" ca="1" si="68"/>
        <v>3.483288092366793E-2</v>
      </c>
      <c r="R116" s="285">
        <f t="shared" ca="1" si="69"/>
        <v>6.7050301516226471E-2</v>
      </c>
      <c r="S116" s="285">
        <f t="shared" ca="1" si="70"/>
        <v>0.10565545533918665</v>
      </c>
      <c r="T116" s="285">
        <f t="shared" ca="1" si="71"/>
        <v>0.1526748000571656</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1.8606273993823294E-2</v>
      </c>
      <c r="Q117" s="285">
        <f t="shared" ca="1" si="68"/>
        <v>3.7977681797434222E-2</v>
      </c>
      <c r="R117" s="285">
        <f t="shared" ca="1" si="69"/>
        <v>5.9212545026061596E-2</v>
      </c>
      <c r="S117" s="285">
        <f t="shared" ca="1" si="70"/>
        <v>8.138264610655617E-2</v>
      </c>
      <c r="T117" s="285">
        <f t="shared" ca="1" si="71"/>
        <v>0.10439467599314158</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0.21844664582838386</v>
      </c>
      <c r="Q119" s="292">
        <f t="shared" ca="1" si="72"/>
        <v>0.44557890371356301</v>
      </c>
      <c r="R119" s="292">
        <f t="shared" ca="1" si="72"/>
        <v>0.70797372709272721</v>
      </c>
      <c r="S119" s="292">
        <f t="shared" ca="1" si="72"/>
        <v>0.98709380623784926</v>
      </c>
      <c r="T119" s="292">
        <f t="shared" ca="1" si="72"/>
        <v>1.284041396572297</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0.18194246947340026</v>
      </c>
      <c r="F134" s="285">
        <f t="shared" ca="1" si="75"/>
        <v>0.37136684181873325</v>
      </c>
      <c r="G134" s="285">
        <f t="shared" ca="1" si="75"/>
        <v>0.57901311511498454</v>
      </c>
      <c r="H134" s="285">
        <f t="shared" ca="1" si="75"/>
        <v>0.79580466297669716</v>
      </c>
      <c r="I134" s="285">
        <f t="shared" ca="1" si="75"/>
        <v>1.0208290577884123</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6.922678214226314E-4</v>
      </c>
      <c r="F136" s="285">
        <f t="shared" ca="1" si="77"/>
        <v>1.4014991737276087E-3</v>
      </c>
      <c r="G136" s="285">
        <f t="shared" ca="1" si="77"/>
        <v>2.6977654354546341E-3</v>
      </c>
      <c r="H136" s="285">
        <f t="shared" ca="1" si="77"/>
        <v>4.2510418154092719E-3</v>
      </c>
      <c r="I136" s="285">
        <f t="shared" ca="1" si="77"/>
        <v>6.1428627335775891E-3</v>
      </c>
    </row>
    <row r="137" spans="1:16" outlineLevel="1">
      <c r="A137" s="61" t="s">
        <v>647</v>
      </c>
      <c r="B137" s="119"/>
      <c r="C137" s="285">
        <f ca="1">(+C11+C45)*(C$125)</f>
        <v>0</v>
      </c>
      <c r="D137" s="285">
        <f t="shared" ref="D137:I137" ca="1" si="78">(+D11+D45)*(D$125)</f>
        <v>0</v>
      </c>
      <c r="E137" s="285">
        <f t="shared" ca="1" si="78"/>
        <v>1.7205634539737658E-2</v>
      </c>
      <c r="F137" s="285">
        <f t="shared" ca="1" si="78"/>
        <v>3.483288092366793E-2</v>
      </c>
      <c r="G137" s="285">
        <f t="shared" ca="1" si="78"/>
        <v>6.7050301516226471E-2</v>
      </c>
      <c r="H137" s="285">
        <f t="shared" ca="1" si="78"/>
        <v>0.10565545533918665</v>
      </c>
      <c r="I137" s="285">
        <f t="shared" ca="1" si="78"/>
        <v>0.1526748000571656</v>
      </c>
    </row>
    <row r="138" spans="1:16" s="759" customFormat="1" outlineLevel="1">
      <c r="A138" s="61" t="s">
        <v>575</v>
      </c>
      <c r="B138" s="119"/>
      <c r="C138" s="285">
        <f ca="1">(+C12+C46)*(C$126)</f>
        <v>0</v>
      </c>
      <c r="D138" s="285">
        <f t="shared" ref="D138:I138" ca="1" si="79">(+D12+D46)*(D$126)</f>
        <v>0</v>
      </c>
      <c r="E138" s="285">
        <f t="shared" ca="1" si="79"/>
        <v>1.8606273993823294E-2</v>
      </c>
      <c r="F138" s="285">
        <f t="shared" ca="1" si="79"/>
        <v>3.7977681797434222E-2</v>
      </c>
      <c r="G138" s="285">
        <f t="shared" ca="1" si="79"/>
        <v>5.9212545026061596E-2</v>
      </c>
      <c r="H138" s="285">
        <f t="shared" ca="1" si="79"/>
        <v>8.138264610655617E-2</v>
      </c>
      <c r="I138" s="285">
        <f t="shared" ca="1" si="79"/>
        <v>0.10439467599314158</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0.21844664582838386</v>
      </c>
      <c r="F140" s="296">
        <f t="shared" ca="1" si="81"/>
        <v>0.44557890371356301</v>
      </c>
      <c r="G140" s="296">
        <f t="shared" ca="1" si="81"/>
        <v>0.70797372709272721</v>
      </c>
      <c r="H140" s="296">
        <f t="shared" ca="1" si="81"/>
        <v>0.98709380623784926</v>
      </c>
      <c r="I140" s="296">
        <f t="shared" ca="1" si="81"/>
        <v>1.284041396572297</v>
      </c>
    </row>
    <row r="141" spans="1:16" ht="13.5" outlineLevel="1" thickBot="1">
      <c r="A141" s="122" t="s">
        <v>148</v>
      </c>
      <c r="B141" s="126"/>
      <c r="C141" s="124">
        <f t="shared" ref="C141:I141" ca="1" si="82">IF((+C36+C48)&lt;&gt;0,+C140/(+C36+C48),0)</f>
        <v>0</v>
      </c>
      <c r="D141" s="124">
        <f t="shared" ca="1" si="82"/>
        <v>0</v>
      </c>
      <c r="E141" s="124">
        <f t="shared" ca="1" si="82"/>
        <v>1.5456079275330025E-2</v>
      </c>
      <c r="F141" s="124">
        <f t="shared" ca="1" si="82"/>
        <v>3.1222972915521487E-2</v>
      </c>
      <c r="G141" s="124">
        <f t="shared" ca="1" si="82"/>
        <v>4.9141732784069671E-2</v>
      </c>
      <c r="H141" s="124">
        <f t="shared" ca="1" si="82"/>
        <v>6.7821841459033583E-2</v>
      </c>
      <c r="I141" s="124">
        <f t="shared" ca="1" si="82"/>
        <v>8.7413512043409414E-2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v>0</v>
      </c>
      <c r="E185" s="285">
        <f t="array" ref="E185:I190">'[3]TOTAL (SEM)'!$O$97:$S$102</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13.984999999999999</v>
      </c>
      <c r="E205" s="82">
        <f t="shared" ca="1" si="93"/>
        <v>13.984999999999999</v>
      </c>
      <c r="F205" s="82">
        <f t="shared" ca="1" si="93"/>
        <v>13.984999999999999</v>
      </c>
      <c r="G205" s="82">
        <f t="shared" ca="1" si="93"/>
        <v>13.984999999999999</v>
      </c>
      <c r="H205" s="82">
        <f t="shared" ca="1" si="93"/>
        <v>13.984999999999999</v>
      </c>
      <c r="I205" s="82">
        <f t="shared" ca="1" si="93"/>
        <v>13.984999999999999</v>
      </c>
    </row>
    <row r="206" spans="1:9" outlineLevel="1">
      <c r="A206" t="s">
        <v>156</v>
      </c>
      <c r="B206" s="82">
        <f t="shared" ref="B206:I206" ca="1" si="94">+B36</f>
        <v>0</v>
      </c>
      <c r="C206" s="82">
        <f t="shared" ca="1" si="94"/>
        <v>0</v>
      </c>
      <c r="D206" s="82">
        <f t="shared" ca="1" si="94"/>
        <v>13.984999999999999</v>
      </c>
      <c r="E206" s="82">
        <f t="shared" ca="1" si="94"/>
        <v>13.984999999999999</v>
      </c>
      <c r="F206" s="82">
        <f t="shared" ca="1" si="94"/>
        <v>13.984999999999999</v>
      </c>
      <c r="G206" s="82">
        <f t="shared" ca="1" si="94"/>
        <v>13.984999999999999</v>
      </c>
      <c r="H206" s="82">
        <f t="shared" ca="1" si="94"/>
        <v>13.984999999999999</v>
      </c>
      <c r="I206" s="82">
        <f t="shared" ca="1" si="94"/>
        <v>13.984999999999999</v>
      </c>
    </row>
    <row r="207" spans="1:9" outlineLevel="1">
      <c r="A207" t="s">
        <v>157</v>
      </c>
      <c r="B207" s="82">
        <f t="shared" ref="B207:I207" ca="1" si="95">+B36+B48</f>
        <v>0</v>
      </c>
      <c r="C207" s="82">
        <f t="shared" ca="1" si="95"/>
        <v>0</v>
      </c>
      <c r="D207" s="82">
        <f t="shared" ca="1" si="95"/>
        <v>13.984999999999999</v>
      </c>
      <c r="E207" s="82">
        <f t="shared" ca="1" si="95"/>
        <v>14.133380266563073</v>
      </c>
      <c r="F207" s="82">
        <f t="shared" ca="1" si="95"/>
        <v>14.270867316803709</v>
      </c>
      <c r="G207" s="82">
        <f t="shared" ca="1" si="95"/>
        <v>14.406771739278836</v>
      </c>
      <c r="H207" s="82">
        <f t="shared" ca="1" si="95"/>
        <v>14.554217122430734</v>
      </c>
      <c r="I207" s="82">
        <f t="shared" ca="1" si="95"/>
        <v>14.689278196883842</v>
      </c>
    </row>
    <row r="208" spans="1:9" outlineLevel="1">
      <c r="A208" t="s">
        <v>158</v>
      </c>
      <c r="B208" s="82">
        <f t="shared" ref="B208:I208" ca="1" si="96">+B70</f>
        <v>0</v>
      </c>
      <c r="C208" s="82">
        <f t="shared" ca="1" si="96"/>
        <v>0</v>
      </c>
      <c r="D208" s="82">
        <f t="shared" ca="1" si="96"/>
        <v>13.984999999999999</v>
      </c>
      <c r="E208" s="82">
        <f t="shared" ca="1" si="96"/>
        <v>14.351826912391454</v>
      </c>
      <c r="F208" s="82">
        <f t="shared" ca="1" si="96"/>
        <v>14.716446220517273</v>
      </c>
      <c r="G208" s="82">
        <f t="shared" ca="1" si="96"/>
        <v>15.114745466371561</v>
      </c>
      <c r="H208" s="82">
        <f t="shared" ca="1" si="96"/>
        <v>15.541310928668583</v>
      </c>
      <c r="I208" s="82">
        <f t="shared" ca="1" si="96"/>
        <v>15.973319593456139</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13" priority="1" stopIfTrue="1" operator="notEqual">
      <formula>0</formula>
    </cfRule>
  </conditionalFormatting>
  <conditionalFormatting sqref="J130 J94 J70 J59 J48 J36:J37 J14 J25">
    <cfRule type="cellIs" dxfId="112" priority="2" stopIfTrue="1" operator="equal">
      <formula>"OK"</formula>
    </cfRule>
    <cfRule type="cellIs" dxfId="111" priority="3" stopIfTrue="1" operator="equal">
      <formula>"Warning Check Escalations"</formula>
    </cfRule>
  </conditionalFormatting>
  <conditionalFormatting sqref="N120:T120 N84:T84">
    <cfRule type="cellIs" dxfId="110" priority="4" stopIfTrue="1" operator="notEqual">
      <formula>0</formula>
    </cfRule>
    <cfRule type="cellIs" dxfId="10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3"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8.xml><?xml version="1.0" encoding="utf-8"?>
<worksheet xmlns="http://schemas.openxmlformats.org/spreadsheetml/2006/main" xmlns:r="http://schemas.openxmlformats.org/officeDocument/2006/relationships">
  <sheetPr codeName="Sheet42" enableFormatConditionsCalculation="0">
    <tabColor rgb="FF008000"/>
    <pageSetUpPr fitToPage="1"/>
  </sheetPr>
  <dimension ref="A1:T239"/>
  <sheetViews>
    <sheetView showGridLines="0" topLeftCell="A185" zoomScaleNormal="100" workbookViewId="0">
      <selection activeCell="L196" sqref="L196"/>
    </sheetView>
  </sheetViews>
  <sheetFormatPr defaultRowHeight="12.75" outlineLevelRow="2"/>
  <cols>
    <col min="1" max="1" width="30" customWidth="1"/>
    <col min="2" max="2" width="22.85546875" customWidth="1"/>
    <col min="3"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14</v>
      </c>
      <c r="M1" s="282"/>
      <c r="N1" s="280"/>
      <c r="O1" s="280"/>
      <c r="P1" s="280"/>
      <c r="Q1" s="280"/>
      <c r="R1" s="280"/>
      <c r="S1" s="280"/>
      <c r="T1" s="280"/>
    </row>
    <row r="2" spans="1:20" ht="15.75">
      <c r="A2" s="184" t="s">
        <v>121</v>
      </c>
      <c r="B2" s="74" t="str">
        <f ca="1">OFFSET(List_DAOpexStart,+$K$1,1)</f>
        <v>Vegetation Management</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1.6990000000000001</v>
      </c>
      <c r="E8" s="285">
        <f ca="1">OFFSET(Future_DAOpexStart,MATCH($K$1,'I-5 Future DA'!$A$6:$A$222)+2,+'I-5 Future DA'!F$5)</f>
        <v>1.6990000000000001</v>
      </c>
      <c r="F8" s="285">
        <f ca="1">OFFSET(Future_DAOpexStart,MATCH($K$1,'I-5 Future DA'!$A$6:$A$222)+2,+'I-5 Future DA'!G$5)</f>
        <v>1.6990000000000001</v>
      </c>
      <c r="G8" s="285">
        <f ca="1">OFFSET(Future_DAOpexStart,MATCH($K$1,'I-5 Future DA'!$A$6:$A$222)+2,+'I-5 Future DA'!H$5)</f>
        <v>1.6990000000000001</v>
      </c>
      <c r="H8" s="285">
        <f ca="1">OFFSET(Future_DAOpexStart,MATCH($K$1,'I-5 Future DA'!$A$6:$A$222)+2,+'I-5 Future DA'!I$5)</f>
        <v>1.6990000000000001</v>
      </c>
      <c r="I8" s="285">
        <f ca="1">OFFSET(Future_DAOpexStart,MATCH($K$1,'I-5 Future DA'!$A$6:$A$222)+2,+'I-5 Future DA'!J$5)</f>
        <v>1.6990000000000001</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4.0000000000000001E-3</v>
      </c>
      <c r="E9" s="285">
        <f ca="1">OFFSET(Future_DAOpexStart,MATCH($K$1,'I-5 Future DA'!$A$6:$A$222)+3,+'I-5 Future DA'!F$5)</f>
        <v>4.0000000000000001E-3</v>
      </c>
      <c r="F9" s="285">
        <f ca="1">OFFSET(Future_DAOpexStart,MATCH($K$1,'I-5 Future DA'!$A$6:$A$222)+3,+'I-5 Future DA'!G$5)</f>
        <v>4.0000000000000001E-3</v>
      </c>
      <c r="G9" s="285">
        <f ca="1">OFFSET(Future_DAOpexStart,MATCH($K$1,'I-5 Future DA'!$A$6:$A$222)+3,+'I-5 Future DA'!H$5)</f>
        <v>4.0000000000000001E-3</v>
      </c>
      <c r="H9" s="285">
        <f ca="1">OFFSET(Future_DAOpexStart,MATCH($K$1,'I-5 Future DA'!$A$6:$A$222)+3,+'I-5 Future DA'!I$5)</f>
        <v>4.0000000000000001E-3</v>
      </c>
      <c r="I9" s="285">
        <f ca="1">OFFSET(Future_DAOpexStart,MATCH($K$1,'I-5 Future DA'!$A$6:$A$222)+3,+'I-5 Future DA'!J$5)</f>
        <v>4.0000000000000001E-3</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29.507999999999999</v>
      </c>
      <c r="E10" s="285">
        <f ca="1">OFFSET(Future_DAOpexStart,MATCH($K$1,'I-5 Future DA'!$A$6:$A$222)+4,+'I-5 Future DA'!F$5)</f>
        <v>29.507999999999999</v>
      </c>
      <c r="F10" s="285">
        <f ca="1">OFFSET(Future_DAOpexStart,MATCH($K$1,'I-5 Future DA'!$A$6:$A$222)+4,+'I-5 Future DA'!G$5)</f>
        <v>29.507999999999999</v>
      </c>
      <c r="G10" s="285">
        <f ca="1">OFFSET(Future_DAOpexStart,MATCH($K$1,'I-5 Future DA'!$A$6:$A$222)+4,+'I-5 Future DA'!H$5)</f>
        <v>29.507999999999999</v>
      </c>
      <c r="H10" s="285">
        <f ca="1">OFFSET(Future_DAOpexStart,MATCH($K$1,'I-5 Future DA'!$A$6:$A$222)+4,+'I-5 Future DA'!I$5)</f>
        <v>29.507999999999999</v>
      </c>
      <c r="I10" s="285">
        <f ca="1">OFFSET(Future_DAOpexStart,MATCH($K$1,'I-5 Future DA'!$A$6:$A$222)+4,+'I-5 Future DA'!J$5)</f>
        <v>29.507999999999999</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0.35299999999999998</v>
      </c>
      <c r="E11" s="285">
        <f ca="1">OFFSET(Future_DAOpexStart,MATCH($K$1,'I-5 Future DA'!$A$6:$A$222)+5,+'I-5 Future DA'!F$5)</f>
        <v>0.35299999999999998</v>
      </c>
      <c r="F11" s="285">
        <f ca="1">OFFSET(Future_DAOpexStart,MATCH($K$1,'I-5 Future DA'!$A$6:$A$222)+5,+'I-5 Future DA'!G$5)</f>
        <v>0.35299999999999998</v>
      </c>
      <c r="G11" s="285">
        <f ca="1">OFFSET(Future_DAOpexStart,MATCH($K$1,'I-5 Future DA'!$A$6:$A$222)+5,+'I-5 Future DA'!H$5)</f>
        <v>0.35299999999999998</v>
      </c>
      <c r="H11" s="285">
        <f ca="1">OFFSET(Future_DAOpexStart,MATCH($K$1,'I-5 Future DA'!$A$6:$A$222)+5,+'I-5 Future DA'!I$5)</f>
        <v>0.35299999999999998</v>
      </c>
      <c r="I11" s="285">
        <f ca="1">OFFSET(Future_DAOpexStart,MATCH($K$1,'I-5 Future DA'!$A$6:$A$222)+5,+'I-5 Future DA'!J$5)</f>
        <v>0.35299999999999998</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1.873</v>
      </c>
      <c r="E12" s="285">
        <f ca="1">OFFSET(Future_DAOpexStart,MATCH($K$1,'I-5 Future DA'!$A$6:$A$222)+6,+'I-5 Future DA'!F$5)</f>
        <v>1.873</v>
      </c>
      <c r="F12" s="285">
        <f ca="1">OFFSET(Future_DAOpexStart,MATCH($K$1,'I-5 Future DA'!$A$6:$A$222)+6,+'I-5 Future DA'!G$5)</f>
        <v>1.873</v>
      </c>
      <c r="G12" s="285">
        <f ca="1">OFFSET(Future_DAOpexStart,MATCH($K$1,'I-5 Future DA'!$A$6:$A$222)+6,+'I-5 Future DA'!H$5)</f>
        <v>1.873</v>
      </c>
      <c r="H12" s="285">
        <f ca="1">OFFSET(Future_DAOpexStart,MATCH($K$1,'I-5 Future DA'!$A$6:$A$222)+6,+'I-5 Future DA'!I$5)</f>
        <v>1.873</v>
      </c>
      <c r="I12" s="285">
        <f ca="1">OFFSET(Future_DAOpexStart,MATCH($K$1,'I-5 Future DA'!$A$6:$A$222)+6,+'I-5 Future DA'!J$5)</f>
        <v>1.873</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33.436999999999998</v>
      </c>
      <c r="E14" s="287">
        <f t="shared" ca="1" si="0"/>
        <v>33.436999999999998</v>
      </c>
      <c r="F14" s="287">
        <f t="shared" ca="1" si="0"/>
        <v>33.436999999999998</v>
      </c>
      <c r="G14" s="287">
        <f t="shared" ca="1" si="0"/>
        <v>33.436999999999998</v>
      </c>
      <c r="H14" s="287">
        <f t="shared" ca="1" si="0"/>
        <v>33.436999999999998</v>
      </c>
      <c r="I14" s="287">
        <f t="shared" ca="1" si="0"/>
        <v>33.436999999999998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0.36</v>
      </c>
      <c r="F19" s="285">
        <f t="shared" si="1"/>
        <v>0.36</v>
      </c>
      <c r="G19" s="285">
        <f t="shared" si="1"/>
        <v>0.36</v>
      </c>
      <c r="H19" s="285">
        <f t="shared" si="1"/>
        <v>0.36</v>
      </c>
      <c r="I19" s="285">
        <f t="shared" si="1"/>
        <v>0.36</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2.6680000000000001</v>
      </c>
      <c r="E21" s="285">
        <f t="shared" si="2"/>
        <v>6.0170000000000003</v>
      </c>
      <c r="F21" s="285">
        <f t="shared" si="2"/>
        <v>3.984</v>
      </c>
      <c r="G21" s="285">
        <f t="shared" si="2"/>
        <v>3.7749999999999999</v>
      </c>
      <c r="H21" s="285">
        <f t="shared" si="2"/>
        <v>3.5670000000000002</v>
      </c>
      <c r="I21" s="285">
        <f t="shared" si="2"/>
        <v>3.3580000000000001</v>
      </c>
      <c r="J21" s="42"/>
      <c r="K21" s="732"/>
      <c r="L21" s="732"/>
    </row>
    <row r="22" spans="1:12" outlineLevel="1">
      <c r="A22" s="61" t="s">
        <v>647</v>
      </c>
      <c r="B22" s="289"/>
      <c r="C22" s="285">
        <f t="shared" ref="C22:I22" si="3">+C152</f>
        <v>0</v>
      </c>
      <c r="D22" s="285">
        <f t="shared" si="3"/>
        <v>0</v>
      </c>
      <c r="E22" s="285">
        <f t="shared" si="3"/>
        <v>2.9710000000000001</v>
      </c>
      <c r="F22" s="285">
        <f t="shared" si="3"/>
        <v>2.5009999999999999</v>
      </c>
      <c r="G22" s="285">
        <f t="shared" si="3"/>
        <v>2.032</v>
      </c>
      <c r="H22" s="285">
        <f t="shared" si="3"/>
        <v>1.5629999999999999</v>
      </c>
      <c r="I22" s="285">
        <f t="shared" si="3"/>
        <v>1.093</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2.6680000000000001</v>
      </c>
      <c r="E25" s="287">
        <f t="shared" si="6"/>
        <v>9.3480000000000008</v>
      </c>
      <c r="F25" s="287">
        <f t="shared" si="6"/>
        <v>6.8450000000000006</v>
      </c>
      <c r="G25" s="287">
        <f t="shared" si="6"/>
        <v>6.1669999999999998</v>
      </c>
      <c r="H25" s="287">
        <f t="shared" si="6"/>
        <v>5.49</v>
      </c>
      <c r="I25" s="287">
        <f t="shared" si="6"/>
        <v>4.8109999999999999</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+'DA-14'!B8+'DA-14'!B19</f>
        <v>0</v>
      </c>
      <c r="C30" s="285">
        <f ca="1">+'DA-14'!C8+'DA-14'!C19</f>
        <v>0</v>
      </c>
      <c r="D30" s="285">
        <f ca="1">+'DA-14'!D8+'DA-14'!D19</f>
        <v>1.6990000000000001</v>
      </c>
      <c r="E30" s="285">
        <f ca="1">+'DA-14'!E8+'DA-14'!E19</f>
        <v>2.0590000000000002</v>
      </c>
      <c r="F30" s="285">
        <f ca="1">+'DA-14'!F8+'DA-14'!F19</f>
        <v>2.0590000000000002</v>
      </c>
      <c r="G30" s="285">
        <f ca="1">+'DA-14'!G8+'DA-14'!G19</f>
        <v>2.0590000000000002</v>
      </c>
      <c r="H30" s="285">
        <f ca="1">+'DA-14'!H8+'DA-14'!H19</f>
        <v>2.0590000000000002</v>
      </c>
      <c r="I30" s="285">
        <f ca="1">+'DA-14'!I8+'DA-14'!I19</f>
        <v>2.0590000000000002</v>
      </c>
      <c r="J30" s="42"/>
      <c r="K30" s="21"/>
      <c r="L30" s="21"/>
    </row>
    <row r="31" spans="1:12" outlineLevel="2">
      <c r="A31" s="61" t="s">
        <v>69</v>
      </c>
      <c r="B31" s="285">
        <f ca="1">+'DA-14'!B9+'DA-14'!B20</f>
        <v>0</v>
      </c>
      <c r="C31" s="285">
        <f ca="1">+'DA-14'!C9+'DA-14'!C20</f>
        <v>0</v>
      </c>
      <c r="D31" s="285">
        <f ca="1">+'DA-14'!D9+'DA-14'!D20</f>
        <v>4.0000000000000001E-3</v>
      </c>
      <c r="E31" s="285">
        <f ca="1">+'DA-14'!E9+'DA-14'!E20</f>
        <v>4.0000000000000001E-3</v>
      </c>
      <c r="F31" s="285">
        <f ca="1">+'DA-14'!F9+'DA-14'!F20</f>
        <v>4.0000000000000001E-3</v>
      </c>
      <c r="G31" s="285">
        <f ca="1">+'DA-14'!G9+'DA-14'!G20</f>
        <v>4.0000000000000001E-3</v>
      </c>
      <c r="H31" s="285">
        <f ca="1">+'DA-14'!H9+'DA-14'!H20</f>
        <v>4.0000000000000001E-3</v>
      </c>
      <c r="I31" s="285">
        <f ca="1">+'DA-14'!I9+'DA-14'!I20</f>
        <v>4.0000000000000001E-3</v>
      </c>
      <c r="J31" s="42"/>
      <c r="K31" s="21"/>
      <c r="L31" s="21"/>
    </row>
    <row r="32" spans="1:12" s="759" customFormat="1" outlineLevel="2">
      <c r="A32" s="61" t="s">
        <v>646</v>
      </c>
      <c r="B32" s="285">
        <f ca="1">+'DA-14'!B10+'DA-14'!B21</f>
        <v>0</v>
      </c>
      <c r="C32" s="285">
        <f ca="1">+'DA-14'!C10+'DA-14'!C21</f>
        <v>0</v>
      </c>
      <c r="D32" s="285">
        <f ca="1">+'DA-14'!D10+'DA-14'!D21</f>
        <v>32.176000000000002</v>
      </c>
      <c r="E32" s="285">
        <f ca="1">+'DA-14'!E10+'DA-14'!E21</f>
        <v>35.524999999999999</v>
      </c>
      <c r="F32" s="285">
        <f ca="1">+'DA-14'!F10+'DA-14'!F21</f>
        <v>33.491999999999997</v>
      </c>
      <c r="G32" s="285">
        <f ca="1">+'DA-14'!G10+'DA-14'!G21</f>
        <v>33.283000000000001</v>
      </c>
      <c r="H32" s="285">
        <f ca="1">+'DA-14'!H10+'DA-14'!H21</f>
        <v>33.075000000000003</v>
      </c>
      <c r="I32" s="285">
        <f ca="1">+'DA-14'!I10+'DA-14'!I21</f>
        <v>32.866</v>
      </c>
      <c r="J32" s="42"/>
      <c r="K32" s="732"/>
      <c r="L32" s="732"/>
    </row>
    <row r="33" spans="1:12" outlineLevel="2">
      <c r="A33" s="61" t="s">
        <v>647</v>
      </c>
      <c r="B33" s="285">
        <f ca="1">+'DA-14'!B11+'DA-14'!B22</f>
        <v>0</v>
      </c>
      <c r="C33" s="285">
        <f ca="1">+'DA-14'!C11+'DA-14'!C22</f>
        <v>0</v>
      </c>
      <c r="D33" s="285">
        <f ca="1">+'DA-14'!D11+'DA-14'!D22</f>
        <v>0.35299999999999998</v>
      </c>
      <c r="E33" s="285">
        <f ca="1">+'DA-14'!E11+'DA-14'!E22</f>
        <v>3.3239999999999998</v>
      </c>
      <c r="F33" s="285">
        <f ca="1">+'DA-14'!F11+'DA-14'!F22</f>
        <v>2.8540000000000001</v>
      </c>
      <c r="G33" s="285">
        <f ca="1">+'DA-14'!G11+'DA-14'!G22</f>
        <v>2.3849999999999998</v>
      </c>
      <c r="H33" s="285">
        <f ca="1">+'DA-14'!H11+'DA-14'!H22</f>
        <v>1.9159999999999999</v>
      </c>
      <c r="I33" s="285">
        <f ca="1">+'DA-14'!I11+'DA-14'!I22</f>
        <v>1.446</v>
      </c>
      <c r="J33" s="42"/>
      <c r="K33" s="21"/>
      <c r="L33" s="21"/>
    </row>
    <row r="34" spans="1:12" s="759" customFormat="1" outlineLevel="2">
      <c r="A34" s="61" t="s">
        <v>575</v>
      </c>
      <c r="B34" s="285">
        <f ca="1">+'DA-14'!B12+'DA-14'!B23</f>
        <v>0</v>
      </c>
      <c r="C34" s="285">
        <f ca="1">+'DA-14'!C12+'DA-14'!C23</f>
        <v>0</v>
      </c>
      <c r="D34" s="285">
        <f ca="1">+'DA-14'!D12+'DA-14'!D23</f>
        <v>1.873</v>
      </c>
      <c r="E34" s="285">
        <f ca="1">+'DA-14'!E12+'DA-14'!E23</f>
        <v>1.873</v>
      </c>
      <c r="F34" s="285">
        <f ca="1">+'DA-14'!F12+'DA-14'!F23</f>
        <v>1.873</v>
      </c>
      <c r="G34" s="285">
        <f ca="1">+'DA-14'!G12+'DA-14'!G23</f>
        <v>1.873</v>
      </c>
      <c r="H34" s="285">
        <f ca="1">+'DA-14'!H12+'DA-14'!H23</f>
        <v>1.873</v>
      </c>
      <c r="I34" s="285">
        <f ca="1">+'DA-14'!I12+'DA-14'!I23</f>
        <v>1.873</v>
      </c>
      <c r="J34" s="42"/>
      <c r="K34" s="732"/>
      <c r="L34" s="732"/>
    </row>
    <row r="35" spans="1:12" ht="13.5" outlineLevel="2" thickBot="1">
      <c r="A35" s="83" t="s">
        <v>70</v>
      </c>
      <c r="B35" s="285">
        <f ca="1">+'DA-14'!B13+'DA-14'!B24</f>
        <v>0</v>
      </c>
      <c r="C35" s="285">
        <f ca="1">+'DA-14'!C13+'DA-14'!C24</f>
        <v>0</v>
      </c>
      <c r="D35" s="285">
        <f ca="1">+'DA-14'!D13+'DA-14'!D24</f>
        <v>0</v>
      </c>
      <c r="E35" s="285">
        <f ca="1">+'DA-14'!E13+'DA-14'!E24</f>
        <v>0</v>
      </c>
      <c r="F35" s="285">
        <f ca="1">+'DA-14'!F13+'DA-14'!F24</f>
        <v>0</v>
      </c>
      <c r="G35" s="285">
        <f ca="1">+'DA-14'!G13+'DA-14'!G24</f>
        <v>0</v>
      </c>
      <c r="H35" s="285">
        <f ca="1">+'DA-14'!H13+'DA-14'!H24</f>
        <v>0</v>
      </c>
      <c r="I35" s="285">
        <f ca="1">+'DA-14'!I13+'DA-14'!I24</f>
        <v>0</v>
      </c>
      <c r="J35" s="93"/>
      <c r="K35" s="21"/>
      <c r="L35" s="21"/>
    </row>
    <row r="36" spans="1:12" s="87" customFormat="1" ht="20.25" customHeight="1" thickBot="1">
      <c r="A36" s="94" t="s">
        <v>128</v>
      </c>
      <c r="B36" s="294">
        <f t="shared" ref="B36:I36" ca="1" si="7">SUM(B30:B35)</f>
        <v>0</v>
      </c>
      <c r="C36" s="294">
        <f t="shared" ca="1" si="7"/>
        <v>0</v>
      </c>
      <c r="D36" s="294">
        <f t="shared" ca="1" si="7"/>
        <v>36.105000000000004</v>
      </c>
      <c r="E36" s="294">
        <f t="shared" ca="1" si="7"/>
        <v>42.784999999999997</v>
      </c>
      <c r="F36" s="294">
        <f t="shared" ca="1" si="7"/>
        <v>40.281999999999996</v>
      </c>
      <c r="G36" s="294">
        <f t="shared" ca="1" si="7"/>
        <v>39.603999999999999</v>
      </c>
      <c r="H36" s="294">
        <f t="shared" ca="1" si="7"/>
        <v>38.927</v>
      </c>
      <c r="I36" s="294">
        <f t="shared" ca="1" si="7"/>
        <v>38.247999999999998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1.802631911981847E-2</v>
      </c>
      <c r="F42" s="285">
        <f t="shared" ca="1" si="8"/>
        <v>3.4729250715016362E-2</v>
      </c>
      <c r="G42" s="285">
        <f t="shared" ca="1" si="8"/>
        <v>5.123991312368565E-2</v>
      </c>
      <c r="H42" s="285">
        <f t="shared" ca="1" si="8"/>
        <v>6.9152655774745692E-2</v>
      </c>
      <c r="I42" s="285">
        <f t="shared" ca="1" si="8"/>
        <v>8.5560862102656315E-2</v>
      </c>
      <c r="K42" s="63"/>
      <c r="L42" s="63"/>
    </row>
    <row r="43" spans="1:12" outlineLevel="1">
      <c r="A43" s="61" t="s">
        <v>69</v>
      </c>
      <c r="B43" s="82"/>
      <c r="C43" s="285">
        <f t="shared" ca="1" si="8"/>
        <v>0</v>
      </c>
      <c r="D43" s="285">
        <f t="shared" ca="1" si="8"/>
        <v>0</v>
      </c>
      <c r="E43" s="285">
        <f t="shared" ca="1" si="8"/>
        <v>4.2439833124940487E-5</v>
      </c>
      <c r="F43" s="285">
        <f t="shared" ca="1" si="8"/>
        <v>8.1763980494446996E-5</v>
      </c>
      <c r="G43" s="285">
        <f t="shared" ca="1" si="8"/>
        <v>1.2063546350485144E-4</v>
      </c>
      <c r="H43" s="285">
        <f t="shared" ca="1" si="8"/>
        <v>1.6280790058798277E-4</v>
      </c>
      <c r="I43" s="285">
        <f t="shared" ca="1" si="8"/>
        <v>2.0143816857600072E-4</v>
      </c>
      <c r="K43" s="42"/>
      <c r="L43" s="21"/>
    </row>
    <row r="44" spans="1:12" s="759" customFormat="1" outlineLevel="1">
      <c r="A44" s="61" t="s">
        <v>646</v>
      </c>
      <c r="B44" s="82"/>
      <c r="C44" s="285">
        <f t="shared" ref="C44:I44" ca="1" si="9">+C100</f>
        <v>0</v>
      </c>
      <c r="D44" s="285">
        <f t="shared" ca="1" si="9"/>
        <v>0</v>
      </c>
      <c r="E44" s="285">
        <f t="shared" ca="1" si="9"/>
        <v>0.31307864896268595</v>
      </c>
      <c r="F44" s="285">
        <f t="shared" ca="1" si="9"/>
        <v>0.60317288410753545</v>
      </c>
      <c r="G44" s="285">
        <f t="shared" ca="1" si="9"/>
        <v>0.889927814275289</v>
      </c>
      <c r="H44" s="285">
        <f t="shared" ca="1" si="9"/>
        <v>1.2010338826375488</v>
      </c>
      <c r="I44" s="285">
        <f t="shared" ca="1" si="9"/>
        <v>1.4860093695851573</v>
      </c>
      <c r="K44" s="42"/>
      <c r="L44" s="732"/>
    </row>
    <row r="45" spans="1:12" outlineLevel="1">
      <c r="A45" s="61" t="s">
        <v>647</v>
      </c>
      <c r="B45" s="82"/>
      <c r="C45" s="285">
        <f t="shared" ref="C45:I45" ca="1" si="10">+C101</f>
        <v>0</v>
      </c>
      <c r="D45" s="285">
        <f t="shared" ca="1" si="10"/>
        <v>0</v>
      </c>
      <c r="E45" s="285">
        <f t="shared" ca="1" si="10"/>
        <v>3.7453152732759977E-3</v>
      </c>
      <c r="F45" s="285">
        <f t="shared" ca="1" si="10"/>
        <v>7.2156712786349475E-3</v>
      </c>
      <c r="G45" s="285">
        <f t="shared" ca="1" si="10"/>
        <v>1.0646079654303139E-2</v>
      </c>
      <c r="H45" s="285">
        <f t="shared" ca="1" si="10"/>
        <v>1.4367797226889479E-2</v>
      </c>
      <c r="I45" s="285">
        <f t="shared" ca="1" si="10"/>
        <v>1.7776918376832061E-2</v>
      </c>
      <c r="K45" s="42"/>
      <c r="L45" s="21"/>
    </row>
    <row r="46" spans="1:12" s="759" customFormat="1" outlineLevel="1">
      <c r="A46" s="61" t="s">
        <v>575</v>
      </c>
      <c r="B46" s="82"/>
      <c r="C46" s="285">
        <f t="shared" ref="C46:I46" ca="1" si="11">+C102</f>
        <v>0</v>
      </c>
      <c r="D46" s="285">
        <f t="shared" ca="1" si="11"/>
        <v>0</v>
      </c>
      <c r="E46" s="285">
        <f t="shared" ca="1" si="11"/>
        <v>1.9872451860753381E-2</v>
      </c>
      <c r="F46" s="285">
        <f t="shared" ca="1" si="11"/>
        <v>3.8285983866524806E-2</v>
      </c>
      <c r="G46" s="285">
        <f t="shared" ca="1" si="11"/>
        <v>5.6487555786146684E-2</v>
      </c>
      <c r="H46" s="285">
        <f t="shared" ca="1" si="11"/>
        <v>7.6234799450322938E-2</v>
      </c>
      <c r="I46" s="285">
        <f t="shared" ca="1" si="11"/>
        <v>9.4323422435712331E-2</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0.35476517504965871</v>
      </c>
      <c r="F48" s="294">
        <f t="shared" ca="1" si="13"/>
        <v>0.68348555394820609</v>
      </c>
      <c r="G48" s="294">
        <f t="shared" ca="1" si="13"/>
        <v>1.0084219983029292</v>
      </c>
      <c r="H48" s="294">
        <f t="shared" ca="1" si="13"/>
        <v>1.3609519429900949</v>
      </c>
      <c r="I48" s="294">
        <f t="shared" ca="1" si="13"/>
        <v>1.683872010668934</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3.6843892209214198E-2</v>
      </c>
      <c r="F53" s="285">
        <f t="shared" ca="1" si="14"/>
        <v>7.5202892044103437E-2</v>
      </c>
      <c r="G53" s="285">
        <f t="shared" ca="1" si="14"/>
        <v>0.11725188111804039</v>
      </c>
      <c r="H53" s="285">
        <f t="shared" ca="1" si="14"/>
        <v>0.16115281554200342</v>
      </c>
      <c r="I53" s="285">
        <f t="shared" ca="1" si="14"/>
        <v>0.20672092600506706</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0.14910539324481026</v>
      </c>
      <c r="F55" s="285">
        <f t="shared" ca="1" si="15"/>
        <v>0.30186450816316984</v>
      </c>
      <c r="G55" s="285">
        <f t="shared" ca="1" si="15"/>
        <v>0.58106322970361557</v>
      </c>
      <c r="H55" s="285">
        <f t="shared" ca="1" si="15"/>
        <v>0.91561855393501312</v>
      </c>
      <c r="I55" s="285">
        <f t="shared" ca="1" si="15"/>
        <v>1.3230919236672078</v>
      </c>
      <c r="K55" s="42"/>
      <c r="L55" s="732"/>
    </row>
    <row r="56" spans="1:12" outlineLevel="1">
      <c r="A56" s="61" t="s">
        <v>647</v>
      </c>
      <c r="B56" s="285"/>
      <c r="C56" s="285">
        <f t="shared" ref="C56:I56" ca="1" si="16">+C137</f>
        <v>0</v>
      </c>
      <c r="D56" s="285">
        <f t="shared" ca="1" si="16"/>
        <v>0</v>
      </c>
      <c r="E56" s="285">
        <f t="shared" ca="1" si="16"/>
        <v>1.7837265763663418E-3</v>
      </c>
      <c r="F56" s="285">
        <f t="shared" ca="1" si="16"/>
        <v>3.6111621045682172E-3</v>
      </c>
      <c r="G56" s="285">
        <f t="shared" ca="1" si="16"/>
        <v>6.9511766329597496E-3</v>
      </c>
      <c r="H56" s="285">
        <f t="shared" ca="1" si="16"/>
        <v>1.0953414312696882E-2</v>
      </c>
      <c r="I56" s="285">
        <f t="shared" ca="1" si="16"/>
        <v>1.5827960182137873E-2</v>
      </c>
      <c r="K56" s="42"/>
      <c r="L56" s="21"/>
    </row>
    <row r="57" spans="1:12" s="759" customFormat="1" outlineLevel="1">
      <c r="A57" s="61" t="s">
        <v>575</v>
      </c>
      <c r="B57" s="285"/>
      <c r="C57" s="285">
        <f t="shared" ref="C57:I57" ca="1" si="17">+C138</f>
        <v>0</v>
      </c>
      <c r="D57" s="285">
        <f t="shared" ca="1" si="17"/>
        <v>0</v>
      </c>
      <c r="E57" s="285">
        <f t="shared" ca="1" si="17"/>
        <v>4.0617192529639898E-2</v>
      </c>
      <c r="F57" s="285">
        <f t="shared" ca="1" si="17"/>
        <v>8.2904659681345347E-2</v>
      </c>
      <c r="G57" s="285">
        <f t="shared" ca="1" si="17"/>
        <v>0.12926001961982911</v>
      </c>
      <c r="H57" s="285">
        <f t="shared" ca="1" si="17"/>
        <v>0.17765698852864767</v>
      </c>
      <c r="I57" s="285">
        <f t="shared" ca="1" si="17"/>
        <v>0.22789187428339647</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0.22835020456003069</v>
      </c>
      <c r="F59" s="287">
        <f t="shared" ca="1" si="19"/>
        <v>0.46358322199318686</v>
      </c>
      <c r="G59" s="287">
        <f t="shared" ca="1" si="19"/>
        <v>0.83452630707444486</v>
      </c>
      <c r="H59" s="287">
        <f t="shared" ca="1" si="19"/>
        <v>1.2653817723183609</v>
      </c>
      <c r="I59" s="287">
        <f t="shared" ca="1" si="19"/>
        <v>1.7735326841378092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1.6990000000000001</v>
      </c>
      <c r="E64" s="285">
        <f t="shared" ca="1" si="20"/>
        <v>2.1138702113290329</v>
      </c>
      <c r="F64" s="285">
        <f t="shared" ca="1" si="20"/>
        <v>2.1689321427591199</v>
      </c>
      <c r="G64" s="285">
        <f t="shared" ca="1" si="20"/>
        <v>2.2274917942417263</v>
      </c>
      <c r="H64" s="285">
        <f t="shared" ca="1" si="20"/>
        <v>2.2893054713167489</v>
      </c>
      <c r="I64" s="285">
        <f t="shared" ca="1" si="20"/>
        <v>2.3512817881077237</v>
      </c>
      <c r="K64" s="63"/>
      <c r="L64" s="63"/>
    </row>
    <row r="65" spans="1:20" ht="12.75" customHeight="1" outlineLevel="1">
      <c r="A65" s="61" t="s">
        <v>69</v>
      </c>
      <c r="B65" s="285">
        <f t="shared" ca="1" si="20"/>
        <v>0</v>
      </c>
      <c r="C65" s="285">
        <f t="shared" ca="1" si="20"/>
        <v>0</v>
      </c>
      <c r="D65" s="285">
        <f t="shared" ca="1" si="20"/>
        <v>4.0000000000000001E-3</v>
      </c>
      <c r="E65" s="285">
        <f t="shared" ca="1" si="20"/>
        <v>4.0424398331249407E-3</v>
      </c>
      <c r="F65" s="285">
        <f t="shared" ca="1" si="20"/>
        <v>4.0817639804944473E-3</v>
      </c>
      <c r="G65" s="285">
        <f t="shared" ca="1" si="20"/>
        <v>4.1206354635048518E-3</v>
      </c>
      <c r="H65" s="285">
        <f t="shared" ca="1" si="20"/>
        <v>4.1628079005879828E-3</v>
      </c>
      <c r="I65" s="285">
        <f t="shared" ca="1" si="20"/>
        <v>4.2014381685760004E-3</v>
      </c>
      <c r="K65" s="42"/>
      <c r="L65" s="21"/>
    </row>
    <row r="66" spans="1:20" s="759" customFormat="1" ht="12.75" customHeight="1" outlineLevel="1">
      <c r="A66" s="61" t="s">
        <v>646</v>
      </c>
      <c r="B66" s="285">
        <f t="shared" ref="B66:I66" ca="1" si="21">+B44+B32+B55</f>
        <v>0</v>
      </c>
      <c r="C66" s="285">
        <f t="shared" ca="1" si="21"/>
        <v>0</v>
      </c>
      <c r="D66" s="285">
        <f t="shared" ca="1" si="21"/>
        <v>32.176000000000002</v>
      </c>
      <c r="E66" s="285">
        <f t="shared" ca="1" si="21"/>
        <v>35.987184042207495</v>
      </c>
      <c r="F66" s="285">
        <f t="shared" ca="1" si="21"/>
        <v>34.397037392270704</v>
      </c>
      <c r="G66" s="285">
        <f t="shared" ca="1" si="21"/>
        <v>34.753991043978907</v>
      </c>
      <c r="H66" s="285">
        <f t="shared" ca="1" si="21"/>
        <v>35.191652436572561</v>
      </c>
      <c r="I66" s="285">
        <f t="shared" ca="1" si="21"/>
        <v>35.675101293252361</v>
      </c>
      <c r="K66" s="42"/>
      <c r="L66" s="732"/>
    </row>
    <row r="67" spans="1:20" ht="12.75" customHeight="1" outlineLevel="1">
      <c r="A67" s="61" t="s">
        <v>647</v>
      </c>
      <c r="B67" s="285">
        <f t="shared" ref="B67:I67" ca="1" si="22">+B45+B33+B56</f>
        <v>0</v>
      </c>
      <c r="C67" s="285">
        <f t="shared" ca="1" si="22"/>
        <v>0</v>
      </c>
      <c r="D67" s="285">
        <f t="shared" ca="1" si="22"/>
        <v>0.35299999999999998</v>
      </c>
      <c r="E67" s="285">
        <f t="shared" ca="1" si="22"/>
        <v>3.3295290418496419</v>
      </c>
      <c r="F67" s="285">
        <f t="shared" ca="1" si="22"/>
        <v>2.8648268333832032</v>
      </c>
      <c r="G67" s="285">
        <f t="shared" ca="1" si="22"/>
        <v>2.4025972562872626</v>
      </c>
      <c r="H67" s="285">
        <f t="shared" ca="1" si="22"/>
        <v>1.9413212115395861</v>
      </c>
      <c r="I67" s="285">
        <f t="shared" ca="1" si="22"/>
        <v>1.4796048785589699</v>
      </c>
      <c r="K67" s="42"/>
      <c r="L67" s="21"/>
    </row>
    <row r="68" spans="1:20" s="759" customFormat="1" ht="12.75" customHeight="1" outlineLevel="1">
      <c r="A68" s="61" t="s">
        <v>575</v>
      </c>
      <c r="B68" s="285">
        <f t="shared" ref="B68:I68" ca="1" si="23">+B46+B34+B57</f>
        <v>0</v>
      </c>
      <c r="C68" s="285">
        <f t="shared" ca="1" si="23"/>
        <v>0</v>
      </c>
      <c r="D68" s="285">
        <f t="shared" ca="1" si="23"/>
        <v>1.873</v>
      </c>
      <c r="E68" s="285">
        <f t="shared" ca="1" si="23"/>
        <v>1.9334896443903933</v>
      </c>
      <c r="F68" s="285">
        <f t="shared" ca="1" si="23"/>
        <v>1.9941906435478702</v>
      </c>
      <c r="G68" s="285">
        <f t="shared" ca="1" si="23"/>
        <v>2.0587475754059756</v>
      </c>
      <c r="H68" s="285">
        <f t="shared" ca="1" si="23"/>
        <v>2.1268917879789706</v>
      </c>
      <c r="I68" s="285">
        <f t="shared" ca="1" si="23"/>
        <v>2.195215296719109</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36.105000000000004</v>
      </c>
      <c r="E70" s="295">
        <f t="shared" ca="1" si="25"/>
        <v>43.368115379609684</v>
      </c>
      <c r="F70" s="295">
        <f t="shared" ca="1" si="25"/>
        <v>41.429068775941388</v>
      </c>
      <c r="G70" s="295">
        <f t="shared" ca="1" si="25"/>
        <v>41.446948305377376</v>
      </c>
      <c r="H70" s="295">
        <f t="shared" ca="1" si="25"/>
        <v>41.553333715308455</v>
      </c>
      <c r="I70" s="295">
        <f t="shared" ca="1" si="25"/>
        <v>41.705404694806745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1.802631911981847E-2</v>
      </c>
      <c r="Q77" s="285">
        <f ca="1">IF($B77&lt;&gt;0,(+VLOOKUP($B77,$A$8:$I$13,6,FALSE))*(F77),0)</f>
        <v>3.4729250715016362E-2</v>
      </c>
      <c r="R77" s="285">
        <f ca="1">IF($B77&lt;&gt;0,(+VLOOKUP($B77,$A$8:$I$13,7,FALSE))*(G77),0)</f>
        <v>5.123991312368565E-2</v>
      </c>
      <c r="S77" s="285">
        <f ca="1">IF($B77&lt;&gt;0,(+VLOOKUP($B77,$A$8:$I$13,8,FALSE))*(H77),0)</f>
        <v>6.9152655774745692E-2</v>
      </c>
      <c r="T77" s="285">
        <f ca="1">IF($B77&lt;&gt;0,(+VLOOKUP($B77,$A$8:$I$13,9,FALSE))*(I77),0)</f>
        <v>8.5560862102656315E-2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4.2439833124940487E-5</v>
      </c>
      <c r="Q78" s="285">
        <f ca="1">IF($B78&lt;&gt;0,(+VLOOKUP($B78,$A$8:$I$13,6,FALSE))*(F78),0)</f>
        <v>8.1763980494446996E-5</v>
      </c>
      <c r="R78" s="285">
        <f ca="1">IF($B78&lt;&gt;0,(+VLOOKUP($B78,$A$8:$I$13,7,FALSE))*(G78),0)</f>
        <v>1.2063546350485144E-4</v>
      </c>
      <c r="S78" s="285">
        <f ca="1">IF($B78&lt;&gt;0,(+VLOOKUP($B78,$A$8:$I$13,8,FALSE))*(H78),0)</f>
        <v>1.6280790058798277E-4</v>
      </c>
      <c r="T78" s="285">
        <f ca="1">IF($B78&lt;&gt;0,(+VLOOKUP($B78,$A$8:$I$13,9,FALSE))*(I78),0)</f>
        <v>2.0143816857600072E-4</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0.31307864896268595</v>
      </c>
      <c r="Q79" s="285">
        <f t="shared" ref="Q79:Q80" ca="1" si="34">IF($B79&lt;&gt;0,(+VLOOKUP($B79,$A$8:$I$13,6,FALSE))*(F79),0)</f>
        <v>0.60317288410753545</v>
      </c>
      <c r="R79" s="285">
        <f t="shared" ref="R79:R80" ca="1" si="35">IF($B79&lt;&gt;0,(+VLOOKUP($B79,$A$8:$I$13,7,FALSE))*(G79),0)</f>
        <v>0.889927814275289</v>
      </c>
      <c r="S79" s="285">
        <f t="shared" ref="S79:S80" ca="1" si="36">IF($B79&lt;&gt;0,(+VLOOKUP($B79,$A$8:$I$13,8,FALSE))*(H79),0)</f>
        <v>1.2010338826375488</v>
      </c>
      <c r="T79" s="285">
        <f t="shared" ref="T79:T80" ca="1" si="37">IF($B79&lt;&gt;0,(+VLOOKUP($B79,$A$8:$I$13,9,FALSE))*(I79),0)</f>
        <v>1.4860093695851573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3.7453152732759977E-3</v>
      </c>
      <c r="Q80" s="285">
        <f t="shared" ca="1" si="34"/>
        <v>7.2156712786349475E-3</v>
      </c>
      <c r="R80" s="285">
        <f t="shared" ca="1" si="35"/>
        <v>1.0646079654303139E-2</v>
      </c>
      <c r="S80" s="285">
        <f t="shared" ca="1" si="36"/>
        <v>1.4367797226889479E-2</v>
      </c>
      <c r="T80" s="285">
        <f t="shared" ca="1" si="37"/>
        <v>1.7776918376832061E-2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1.9872451860753381E-2</v>
      </c>
      <c r="Q81" s="285">
        <f ca="1">IF($B81&lt;&gt;0,(+VLOOKUP($B81,$A$8:$I$13,6,FALSE))*(F81),0)</f>
        <v>3.8285983866524806E-2</v>
      </c>
      <c r="R81" s="285">
        <f ca="1">IF($B81&lt;&gt;0,(+VLOOKUP($B81,$A$8:$I$13,7,FALSE))*(G81),0)</f>
        <v>5.6487555786146684E-2</v>
      </c>
      <c r="S81" s="285">
        <f ca="1">IF($B81&lt;&gt;0,(+VLOOKUP($B81,$A$8:$I$13,8,FALSE))*(H81),0)</f>
        <v>7.6234799450322938E-2</v>
      </c>
      <c r="T81" s="285">
        <f ca="1">IF($B81&lt;&gt;0,(+VLOOKUP($B81,$A$8:$I$13,9,FALSE))*(I81),0)</f>
        <v>9.4323422435712331E-2</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0.35476517504965871</v>
      </c>
      <c r="Q83" s="292">
        <f t="shared" ca="1" si="51"/>
        <v>0.68348555394820609</v>
      </c>
      <c r="R83" s="292">
        <f t="shared" ca="1" si="51"/>
        <v>1.0084219983029292</v>
      </c>
      <c r="S83" s="292">
        <f t="shared" ca="1" si="51"/>
        <v>1.3609519429900949</v>
      </c>
      <c r="T83" s="292">
        <f t="shared" ca="1" si="51"/>
        <v>1.683872010668934</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1.802631911981847E-2</v>
      </c>
      <c r="F98" s="285">
        <f t="shared" ca="1" si="54"/>
        <v>3.4729250715016362E-2</v>
      </c>
      <c r="G98" s="285">
        <f t="shared" ca="1" si="54"/>
        <v>5.123991312368565E-2</v>
      </c>
      <c r="H98" s="285">
        <f t="shared" ca="1" si="54"/>
        <v>6.9152655774745692E-2</v>
      </c>
      <c r="I98" s="285">
        <f t="shared" ca="1" si="54"/>
        <v>8.5560862102656315E-2</v>
      </c>
    </row>
    <row r="99" spans="1:20" outlineLevel="1">
      <c r="A99" s="61" t="s">
        <v>69</v>
      </c>
      <c r="B99" s="119"/>
      <c r="C99" s="285">
        <f t="shared" ref="C99:I99" ca="1" si="55">+C9*(C87)</f>
        <v>0</v>
      </c>
      <c r="D99" s="285">
        <f t="shared" ca="1" si="55"/>
        <v>0</v>
      </c>
      <c r="E99" s="285">
        <f t="shared" ca="1" si="55"/>
        <v>4.2439833124940487E-5</v>
      </c>
      <c r="F99" s="285">
        <f t="shared" ca="1" si="55"/>
        <v>8.1763980494446996E-5</v>
      </c>
      <c r="G99" s="285">
        <f t="shared" ca="1" si="55"/>
        <v>1.2063546350485144E-4</v>
      </c>
      <c r="H99" s="285">
        <f t="shared" ca="1" si="55"/>
        <v>1.6280790058798277E-4</v>
      </c>
      <c r="I99" s="285">
        <f t="shared" ca="1" si="55"/>
        <v>2.0143816857600072E-4</v>
      </c>
    </row>
    <row r="100" spans="1:20" s="759" customFormat="1" outlineLevel="1">
      <c r="A100" s="61" t="s">
        <v>646</v>
      </c>
      <c r="B100" s="119"/>
      <c r="C100" s="285">
        <f t="shared" ref="C100:I100" ca="1" si="56">+C10*(C88)</f>
        <v>0</v>
      </c>
      <c r="D100" s="285">
        <f t="shared" ca="1" si="56"/>
        <v>0</v>
      </c>
      <c r="E100" s="285">
        <f t="shared" ca="1" si="56"/>
        <v>0.31307864896268595</v>
      </c>
      <c r="F100" s="285">
        <f t="shared" ca="1" si="56"/>
        <v>0.60317288410753545</v>
      </c>
      <c r="G100" s="285">
        <f t="shared" ca="1" si="56"/>
        <v>0.889927814275289</v>
      </c>
      <c r="H100" s="285">
        <f t="shared" ca="1" si="56"/>
        <v>1.2010338826375488</v>
      </c>
      <c r="I100" s="285">
        <f t="shared" ca="1" si="56"/>
        <v>1.4860093695851573</v>
      </c>
    </row>
    <row r="101" spans="1:20" outlineLevel="1">
      <c r="A101" s="61" t="s">
        <v>647</v>
      </c>
      <c r="B101" s="119"/>
      <c r="C101" s="285">
        <f t="shared" ref="C101:I101" ca="1" si="57">+C11*(C89)</f>
        <v>0</v>
      </c>
      <c r="D101" s="285">
        <f t="shared" ca="1" si="57"/>
        <v>0</v>
      </c>
      <c r="E101" s="285">
        <f t="shared" ca="1" si="57"/>
        <v>3.7453152732759977E-3</v>
      </c>
      <c r="F101" s="285">
        <f t="shared" ca="1" si="57"/>
        <v>7.2156712786349475E-3</v>
      </c>
      <c r="G101" s="285">
        <f t="shared" ca="1" si="57"/>
        <v>1.0646079654303139E-2</v>
      </c>
      <c r="H101" s="285">
        <f t="shared" ca="1" si="57"/>
        <v>1.4367797226889479E-2</v>
      </c>
      <c r="I101" s="285">
        <f t="shared" ca="1" si="57"/>
        <v>1.7776918376832061E-2</v>
      </c>
    </row>
    <row r="102" spans="1:20" s="759" customFormat="1" outlineLevel="1">
      <c r="A102" s="61" t="s">
        <v>575</v>
      </c>
      <c r="B102" s="119"/>
      <c r="C102" s="285">
        <f t="shared" ref="C102:I102" ca="1" si="58">+C12*(C90)</f>
        <v>0</v>
      </c>
      <c r="D102" s="285">
        <f t="shared" ca="1" si="58"/>
        <v>0</v>
      </c>
      <c r="E102" s="285">
        <f t="shared" ca="1" si="58"/>
        <v>1.9872451860753381E-2</v>
      </c>
      <c r="F102" s="285">
        <f t="shared" ca="1" si="58"/>
        <v>3.8285983866524806E-2</v>
      </c>
      <c r="G102" s="285">
        <f t="shared" ca="1" si="58"/>
        <v>5.6487555786146684E-2</v>
      </c>
      <c r="H102" s="285">
        <f t="shared" ca="1" si="58"/>
        <v>7.6234799450322938E-2</v>
      </c>
      <c r="I102" s="285">
        <f t="shared" ca="1" si="58"/>
        <v>9.4323422435712331E-2</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0.35476517504965871</v>
      </c>
      <c r="F104" s="296">
        <f t="shared" ca="1" si="60"/>
        <v>0.68348555394820609</v>
      </c>
      <c r="G104" s="296">
        <f t="shared" ca="1" si="60"/>
        <v>1.0084219983029292</v>
      </c>
      <c r="H104" s="296">
        <f t="shared" ca="1" si="60"/>
        <v>1.3609519429900949</v>
      </c>
      <c r="I104" s="296">
        <f t="shared" ca="1" si="60"/>
        <v>1.683872010668934</v>
      </c>
    </row>
    <row r="105" spans="1:20" ht="13.5" outlineLevel="1" thickBot="1">
      <c r="A105" s="122" t="s">
        <v>143</v>
      </c>
      <c r="B105" s="123"/>
      <c r="C105" s="124">
        <f t="shared" ref="C105:I105" ca="1" si="61">IF(C36&lt;&gt;0,+C104/C36,0)</f>
        <v>0</v>
      </c>
      <c r="D105" s="124">
        <f t="shared" ca="1" si="61"/>
        <v>0</v>
      </c>
      <c r="E105" s="124">
        <f t="shared" ca="1" si="61"/>
        <v>8.2918119679714561E-3</v>
      </c>
      <c r="F105" s="124">
        <f t="shared" ca="1" si="61"/>
        <v>1.6967517847877617E-2</v>
      </c>
      <c r="G105" s="124">
        <f t="shared" ca="1" si="61"/>
        <v>2.5462629994518968E-2</v>
      </c>
      <c r="H105" s="124">
        <f t="shared" ca="1" si="61"/>
        <v>3.4961644693659796E-2</v>
      </c>
      <c r="I105" s="124">
        <f t="shared" ca="1" si="61"/>
        <v>4.4025099630541048E-2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3.6843892209214198E-2</v>
      </c>
      <c r="Q113" s="285">
        <f ca="1">IF($B113&lt;&gt;0,(+VLOOKUP($B113,$A$8:$I$13,6,FALSE)+VLOOKUP($B113,$A$42:$I$47,6,FALSE))*(F113),0)</f>
        <v>7.5202892044103437E-2</v>
      </c>
      <c r="R113" s="285">
        <f ca="1">IF($B113&lt;&gt;0,(+VLOOKUP($B113,$A$8:$I$13,7,FALSE)+VLOOKUP($B113,$A$42:$I$47,7,FALSE))*(G113),0)</f>
        <v>0.11725188111804039</v>
      </c>
      <c r="S113" s="285">
        <f ca="1">IF($B113&lt;&gt;0,(+VLOOKUP($B113,$A$8:$I$13,8,FALSE)+VLOOKUP($B113,$A$42:$I$47,8,FALSE))*(H113),0)</f>
        <v>0.16115281554200342</v>
      </c>
      <c r="T113" s="285">
        <f ca="1">IF($B113&lt;&gt;0,(+VLOOKUP($B113,$A$8:$I$13,9,FALSE)+VLOOKUP($B113,$A$42:$I$47,9,FALSE))*(I113),0)</f>
        <v>0.20672092600506706</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0.14910539324481026</v>
      </c>
      <c r="Q115" s="285">
        <f t="shared" ca="1" si="68"/>
        <v>0.30186450816316984</v>
      </c>
      <c r="R115" s="285">
        <f t="shared" ca="1" si="69"/>
        <v>0.58106322970361557</v>
      </c>
      <c r="S115" s="285">
        <f t="shared" ca="1" si="70"/>
        <v>0.91561855393501312</v>
      </c>
      <c r="T115" s="285">
        <f t="shared" ca="1" si="71"/>
        <v>1.3230919236672078</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1.7837265763663418E-3</v>
      </c>
      <c r="Q116" s="285">
        <f t="shared" ca="1" si="68"/>
        <v>3.6111621045682172E-3</v>
      </c>
      <c r="R116" s="285">
        <f t="shared" ca="1" si="69"/>
        <v>6.9511766329597496E-3</v>
      </c>
      <c r="S116" s="285">
        <f t="shared" ca="1" si="70"/>
        <v>1.0953414312696882E-2</v>
      </c>
      <c r="T116" s="285">
        <f t="shared" ca="1" si="71"/>
        <v>1.5827960182137873E-2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4.0617192529639898E-2</v>
      </c>
      <c r="Q117" s="285">
        <f t="shared" ca="1" si="68"/>
        <v>8.2904659681345347E-2</v>
      </c>
      <c r="R117" s="285">
        <f t="shared" ca="1" si="69"/>
        <v>0.12926001961982911</v>
      </c>
      <c r="S117" s="285">
        <f t="shared" ca="1" si="70"/>
        <v>0.17765698852864767</v>
      </c>
      <c r="T117" s="285">
        <f t="shared" ca="1" si="71"/>
        <v>0.22789187428339647</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0.22835020456003069</v>
      </c>
      <c r="Q119" s="292">
        <f t="shared" ca="1" si="72"/>
        <v>0.46358322199318686</v>
      </c>
      <c r="R119" s="292">
        <f t="shared" ca="1" si="72"/>
        <v>0.83452630707444486</v>
      </c>
      <c r="S119" s="292">
        <f t="shared" ca="1" si="72"/>
        <v>1.2653817723183609</v>
      </c>
      <c r="T119" s="292">
        <f t="shared" ca="1" si="72"/>
        <v>1.7735326841378092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3.6843892209214198E-2</v>
      </c>
      <c r="F134" s="285">
        <f t="shared" ca="1" si="75"/>
        <v>7.5202892044103437E-2</v>
      </c>
      <c r="G134" s="285">
        <f t="shared" ca="1" si="75"/>
        <v>0.11725188111804039</v>
      </c>
      <c r="H134" s="285">
        <f t="shared" ca="1" si="75"/>
        <v>0.16115281554200342</v>
      </c>
      <c r="I134" s="285">
        <f t="shared" ca="1" si="75"/>
        <v>0.20672092600506706</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0.14910539324481026</v>
      </c>
      <c r="F136" s="285">
        <f t="shared" ca="1" si="77"/>
        <v>0.30186450816316984</v>
      </c>
      <c r="G136" s="285">
        <f t="shared" ca="1" si="77"/>
        <v>0.58106322970361557</v>
      </c>
      <c r="H136" s="285">
        <f t="shared" ca="1" si="77"/>
        <v>0.91561855393501312</v>
      </c>
      <c r="I136" s="285">
        <f t="shared" ca="1" si="77"/>
        <v>1.3230919236672078</v>
      </c>
    </row>
    <row r="137" spans="1:16" outlineLevel="1">
      <c r="A137" s="61" t="s">
        <v>647</v>
      </c>
      <c r="B137" s="119"/>
      <c r="C137" s="285">
        <f ca="1">(+C11+C45)*(C$125)</f>
        <v>0</v>
      </c>
      <c r="D137" s="285">
        <f t="shared" ref="D137:I137" ca="1" si="78">(+D11+D45)*(D$125)</f>
        <v>0</v>
      </c>
      <c r="E137" s="285">
        <f t="shared" ca="1" si="78"/>
        <v>1.7837265763663418E-3</v>
      </c>
      <c r="F137" s="285">
        <f t="shared" ca="1" si="78"/>
        <v>3.6111621045682172E-3</v>
      </c>
      <c r="G137" s="285">
        <f t="shared" ca="1" si="78"/>
        <v>6.9511766329597496E-3</v>
      </c>
      <c r="H137" s="285">
        <f t="shared" ca="1" si="78"/>
        <v>1.0953414312696882E-2</v>
      </c>
      <c r="I137" s="285">
        <f t="shared" ca="1" si="78"/>
        <v>1.5827960182137873E-2</v>
      </c>
    </row>
    <row r="138" spans="1:16" s="759" customFormat="1" outlineLevel="1">
      <c r="A138" s="61" t="s">
        <v>575</v>
      </c>
      <c r="B138" s="119"/>
      <c r="C138" s="285">
        <f ca="1">(+C12+C46)*(C$126)</f>
        <v>0</v>
      </c>
      <c r="D138" s="285">
        <f t="shared" ref="D138:I138" ca="1" si="79">(+D12+D46)*(D$126)</f>
        <v>0</v>
      </c>
      <c r="E138" s="285">
        <f t="shared" ca="1" si="79"/>
        <v>4.0617192529639898E-2</v>
      </c>
      <c r="F138" s="285">
        <f t="shared" ca="1" si="79"/>
        <v>8.2904659681345347E-2</v>
      </c>
      <c r="G138" s="285">
        <f t="shared" ca="1" si="79"/>
        <v>0.12926001961982911</v>
      </c>
      <c r="H138" s="285">
        <f t="shared" ca="1" si="79"/>
        <v>0.17765698852864767</v>
      </c>
      <c r="I138" s="285">
        <f t="shared" ca="1" si="79"/>
        <v>0.22789187428339647</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0.22835020456003069</v>
      </c>
      <c r="F140" s="296">
        <f t="shared" ca="1" si="81"/>
        <v>0.46358322199318686</v>
      </c>
      <c r="G140" s="296">
        <f t="shared" ca="1" si="81"/>
        <v>0.83452630707444486</v>
      </c>
      <c r="H140" s="296">
        <f t="shared" ca="1" si="81"/>
        <v>1.2653817723183609</v>
      </c>
      <c r="I140" s="296">
        <f t="shared" ca="1" si="81"/>
        <v>1.7735326841378092</v>
      </c>
    </row>
    <row r="141" spans="1:16" ht="13.5" outlineLevel="1" thickBot="1">
      <c r="A141" s="122" t="s">
        <v>148</v>
      </c>
      <c r="B141" s="126"/>
      <c r="C141" s="124">
        <f t="shared" ref="C141:I141" ca="1" si="82">IF((+C36+C48)&lt;&gt;0,+C140/(+C36+C48),0)</f>
        <v>0</v>
      </c>
      <c r="D141" s="124">
        <f t="shared" ca="1" si="82"/>
        <v>0</v>
      </c>
      <c r="E141" s="124">
        <f t="shared" ca="1" si="82"/>
        <v>5.2932648945455893E-3</v>
      </c>
      <c r="F141" s="124">
        <f t="shared" ca="1" si="82"/>
        <v>1.1316434206124215E-2</v>
      </c>
      <c r="G141" s="124">
        <f t="shared" ca="1" si="82"/>
        <v>2.0548548104550802E-2</v>
      </c>
      <c r="H141" s="124">
        <f t="shared" ca="1" si="82"/>
        <v>3.1408441265740022E-2</v>
      </c>
      <c r="I141" s="124">
        <f t="shared" ca="1" si="82"/>
        <v>4.441396295330105E-2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0.36</v>
      </c>
      <c r="F149" s="285">
        <f t="shared" si="84"/>
        <v>0.36</v>
      </c>
      <c r="G149" s="285">
        <f t="shared" si="84"/>
        <v>0.36</v>
      </c>
      <c r="H149" s="285">
        <f t="shared" si="84"/>
        <v>0.36</v>
      </c>
      <c r="I149" s="285">
        <f t="shared" si="84"/>
        <v>0.36</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2.6680000000000001</v>
      </c>
      <c r="E151" s="285">
        <f t="shared" si="85"/>
        <v>6.0170000000000003</v>
      </c>
      <c r="F151" s="285">
        <f t="shared" si="85"/>
        <v>3.984</v>
      </c>
      <c r="G151" s="285">
        <f t="shared" si="85"/>
        <v>3.7749999999999999</v>
      </c>
      <c r="H151" s="285">
        <f t="shared" si="85"/>
        <v>3.5670000000000002</v>
      </c>
      <c r="I151" s="285">
        <f t="shared" si="85"/>
        <v>3.3580000000000001</v>
      </c>
      <c r="J151" s="42"/>
      <c r="K151" s="732"/>
      <c r="L151" s="732"/>
    </row>
    <row r="152" spans="1:13" outlineLevel="1">
      <c r="A152" s="61" t="s">
        <v>647</v>
      </c>
      <c r="B152" s="65"/>
      <c r="C152" s="285">
        <f t="shared" si="83"/>
        <v>0</v>
      </c>
      <c r="D152" s="285">
        <f t="shared" si="85"/>
        <v>0</v>
      </c>
      <c r="E152" s="285">
        <f t="shared" si="85"/>
        <v>2.9710000000000001</v>
      </c>
      <c r="F152" s="285">
        <f t="shared" si="85"/>
        <v>2.5009999999999999</v>
      </c>
      <c r="G152" s="285">
        <f t="shared" si="85"/>
        <v>2.032</v>
      </c>
      <c r="H152" s="285">
        <f t="shared" si="85"/>
        <v>1.5629999999999999</v>
      </c>
      <c r="I152" s="285">
        <f t="shared" si="85"/>
        <v>1.093</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2.6680000000000001</v>
      </c>
      <c r="E155" s="296">
        <f t="shared" si="86"/>
        <v>9.3480000000000008</v>
      </c>
      <c r="F155" s="296">
        <f t="shared" si="86"/>
        <v>6.8450000000000006</v>
      </c>
      <c r="G155" s="296">
        <f t="shared" si="86"/>
        <v>6.1669999999999998</v>
      </c>
      <c r="H155" s="296">
        <f t="shared" si="86"/>
        <v>5.49</v>
      </c>
      <c r="I155" s="296">
        <f t="shared" si="86"/>
        <v>4.8109999999999999</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2.6680000000000001</v>
      </c>
      <c r="E160" s="285">
        <f t="shared" ca="1" si="88"/>
        <v>9.3480000000000008</v>
      </c>
      <c r="F160" s="285">
        <f t="shared" ca="1" si="88"/>
        <v>6.8450000000000006</v>
      </c>
      <c r="G160" s="285">
        <f t="shared" ca="1" si="88"/>
        <v>6.1669999999999998</v>
      </c>
      <c r="H160" s="285">
        <f t="shared" ca="1" si="88"/>
        <v>5.49</v>
      </c>
      <c r="I160" s="285">
        <f t="shared" ca="1" si="88"/>
        <v>4.8109999999999999</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2.6680000000000001</v>
      </c>
      <c r="E170" s="296">
        <f t="shared" ca="1" si="93"/>
        <v>9.3480000000000008</v>
      </c>
      <c r="F170" s="296">
        <f t="shared" ca="1" si="93"/>
        <v>6.8450000000000006</v>
      </c>
      <c r="G170" s="296">
        <f t="shared" ca="1" si="93"/>
        <v>6.1669999999999998</v>
      </c>
      <c r="H170" s="296">
        <f t="shared" ca="1" si="93"/>
        <v>5.49</v>
      </c>
      <c r="I170" s="296">
        <f t="shared" ca="1" si="93"/>
        <v>4.8109999999999999</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(SEM)'!$O$106:$S$111</f>
        <v>0.36</v>
      </c>
      <c r="F185" s="285">
        <v>0.36</v>
      </c>
      <c r="G185" s="285">
        <v>0.36</v>
      </c>
      <c r="H185" s="285">
        <v>0.36</v>
      </c>
      <c r="I185" s="285">
        <v>0.36</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v>2.6680000000000001</v>
      </c>
      <c r="E187" s="285">
        <v>6.0170000000000003</v>
      </c>
      <c r="F187" s="285">
        <v>3.984</v>
      </c>
      <c r="G187" s="285">
        <v>3.7749999999999999</v>
      </c>
      <c r="H187" s="285">
        <v>3.5670000000000002</v>
      </c>
      <c r="I187" s="285">
        <v>3.3580000000000001</v>
      </c>
      <c r="J187" s="42"/>
      <c r="K187" s="732"/>
      <c r="L187" s="732"/>
    </row>
    <row r="188" spans="1:12" outlineLevel="1">
      <c r="A188" s="61" t="s">
        <v>647</v>
      </c>
      <c r="B188" s="65"/>
      <c r="C188" s="285"/>
      <c r="D188" s="285"/>
      <c r="E188" s="285">
        <v>2.9710000000000001</v>
      </c>
      <c r="F188" s="285">
        <v>2.5009999999999999</v>
      </c>
      <c r="G188" s="285">
        <v>2.032</v>
      </c>
      <c r="H188" s="285">
        <v>1.5629999999999999</v>
      </c>
      <c r="I188" s="285">
        <v>1.093</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2.6680000000000001</v>
      </c>
      <c r="E191" s="296">
        <f t="shared" si="94"/>
        <v>9.3480000000000008</v>
      </c>
      <c r="F191" s="296">
        <f t="shared" si="94"/>
        <v>6.8450000000000006</v>
      </c>
      <c r="G191" s="296">
        <f t="shared" si="94"/>
        <v>6.1669999999999998</v>
      </c>
      <c r="H191" s="296">
        <f t="shared" si="94"/>
        <v>5.49</v>
      </c>
      <c r="I191" s="296">
        <f t="shared" si="94"/>
        <v>4.8109999999999999</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33.436999999999998</v>
      </c>
      <c r="E205" s="82">
        <f t="shared" ca="1" si="95"/>
        <v>33.436999999999998</v>
      </c>
      <c r="F205" s="82">
        <f t="shared" ca="1" si="95"/>
        <v>33.436999999999998</v>
      </c>
      <c r="G205" s="82">
        <f t="shared" ca="1" si="95"/>
        <v>33.436999999999998</v>
      </c>
      <c r="H205" s="82">
        <f t="shared" ca="1" si="95"/>
        <v>33.436999999999998</v>
      </c>
      <c r="I205" s="82">
        <f t="shared" ca="1" si="95"/>
        <v>33.436999999999998</v>
      </c>
    </row>
    <row r="206" spans="1:9" outlineLevel="1">
      <c r="A206" t="s">
        <v>156</v>
      </c>
      <c r="B206" s="82">
        <f t="shared" ref="B206:I206" ca="1" si="96">+B36</f>
        <v>0</v>
      </c>
      <c r="C206" s="82">
        <f t="shared" ca="1" si="96"/>
        <v>0</v>
      </c>
      <c r="D206" s="82">
        <f t="shared" ca="1" si="96"/>
        <v>36.105000000000004</v>
      </c>
      <c r="E206" s="82">
        <f t="shared" ca="1" si="96"/>
        <v>42.784999999999997</v>
      </c>
      <c r="F206" s="82">
        <f t="shared" ca="1" si="96"/>
        <v>40.281999999999996</v>
      </c>
      <c r="G206" s="82">
        <f t="shared" ca="1" si="96"/>
        <v>39.603999999999999</v>
      </c>
      <c r="H206" s="82">
        <f t="shared" ca="1" si="96"/>
        <v>38.927</v>
      </c>
      <c r="I206" s="82">
        <f t="shared" ca="1" si="96"/>
        <v>38.247999999999998</v>
      </c>
    </row>
    <row r="207" spans="1:9" outlineLevel="1">
      <c r="A207" t="s">
        <v>157</v>
      </c>
      <c r="B207" s="82">
        <f t="shared" ref="B207:I207" ca="1" si="97">+B36+B48</f>
        <v>0</v>
      </c>
      <c r="C207" s="82">
        <f t="shared" ca="1" si="97"/>
        <v>0</v>
      </c>
      <c r="D207" s="82">
        <f t="shared" ca="1" si="97"/>
        <v>36.105000000000004</v>
      </c>
      <c r="E207" s="82">
        <f t="shared" ca="1" si="97"/>
        <v>43.139765175049654</v>
      </c>
      <c r="F207" s="82">
        <f t="shared" ca="1" si="97"/>
        <v>40.965485553948206</v>
      </c>
      <c r="G207" s="82">
        <f t="shared" ca="1" si="97"/>
        <v>40.612421998302928</v>
      </c>
      <c r="H207" s="82">
        <f t="shared" ca="1" si="97"/>
        <v>40.287951942990091</v>
      </c>
      <c r="I207" s="82">
        <f t="shared" ca="1" si="97"/>
        <v>39.931872010668933</v>
      </c>
    </row>
    <row r="208" spans="1:9" outlineLevel="1">
      <c r="A208" t="s">
        <v>158</v>
      </c>
      <c r="B208" s="82">
        <f t="shared" ref="B208:I208" ca="1" si="98">+B70</f>
        <v>0</v>
      </c>
      <c r="C208" s="82">
        <f t="shared" ca="1" si="98"/>
        <v>0</v>
      </c>
      <c r="D208" s="82">
        <f t="shared" ca="1" si="98"/>
        <v>36.105000000000004</v>
      </c>
      <c r="E208" s="82">
        <f t="shared" ca="1" si="98"/>
        <v>43.368115379609684</v>
      </c>
      <c r="F208" s="82">
        <f t="shared" ca="1" si="98"/>
        <v>41.429068775941388</v>
      </c>
      <c r="G208" s="82">
        <f t="shared" ca="1" si="98"/>
        <v>41.446948305377376</v>
      </c>
      <c r="H208" s="82">
        <f t="shared" ca="1" si="98"/>
        <v>41.553333715308455</v>
      </c>
      <c r="I208" s="82">
        <f t="shared" ca="1" si="98"/>
        <v>41.705404694806745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08" priority="1" stopIfTrue="1" operator="notEqual">
      <formula>0</formula>
    </cfRule>
  </conditionalFormatting>
  <conditionalFormatting sqref="J130 J94 J70 J59 J48 J36:J37 J14 J25">
    <cfRule type="cellIs" dxfId="107" priority="2" stopIfTrue="1" operator="equal">
      <formula>"OK"</formula>
    </cfRule>
    <cfRule type="cellIs" dxfId="106" priority="3" stopIfTrue="1" operator="equal">
      <formula>"Warning Check Escalations"</formula>
    </cfRule>
  </conditionalFormatting>
  <conditionalFormatting sqref="N120:T120 N84:T84">
    <cfRule type="cellIs" dxfId="105" priority="4" stopIfTrue="1" operator="notEqual">
      <formula>0</formula>
    </cfRule>
    <cfRule type="cellIs" dxfId="10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3"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69.xml><?xml version="1.0" encoding="utf-8"?>
<worksheet xmlns="http://schemas.openxmlformats.org/spreadsheetml/2006/main" xmlns:r="http://schemas.openxmlformats.org/officeDocument/2006/relationships">
  <sheetPr codeName="Sheet43" enableFormatConditionsCalculation="0">
    <tabColor rgb="FF008000"/>
    <pageSetUpPr fitToPage="1"/>
  </sheetPr>
  <dimension ref="A1:T239"/>
  <sheetViews>
    <sheetView showGridLines="0" topLeftCell="A76" zoomScaleNormal="100" workbookViewId="0">
      <selection activeCell="J123" sqref="J123"/>
    </sheetView>
  </sheetViews>
  <sheetFormatPr defaultRowHeight="12.75" outlineLevelRow="2"/>
  <cols>
    <col min="1" max="1" width="38.5703125"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15</v>
      </c>
      <c r="M1" s="282"/>
      <c r="N1" s="280"/>
      <c r="O1" s="280"/>
      <c r="P1" s="280"/>
      <c r="Q1" s="280"/>
      <c r="R1" s="280"/>
      <c r="S1" s="280"/>
      <c r="T1" s="280"/>
    </row>
    <row r="2" spans="1:20" ht="15.75">
      <c r="A2" s="184" t="s">
        <v>121</v>
      </c>
      <c r="B2" s="74" t="str">
        <f ca="1">OFFSET(List_DAOpexStart,+$K$1,1)</f>
        <v>Emergency Response</v>
      </c>
      <c r="F2" s="284"/>
      <c r="H2" s="42"/>
      <c r="I2" s="283"/>
      <c r="L2" s="282"/>
      <c r="M2" s="282"/>
    </row>
    <row r="3" spans="1:20" ht="16.5" thickBot="1">
      <c r="A3" s="184" t="s">
        <v>371</v>
      </c>
      <c r="B3" s="236" t="str">
        <f ca="1">OFFSET(List_DAOpexStart,+$K$1,2)</f>
        <v>Steve Wachtel</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21.924000000000003</v>
      </c>
      <c r="E8" s="285">
        <f ca="1">OFFSET(Future_DAOpexStart,MATCH($K$1,'I-5 Future DA'!$A$6:$A$222)+2,+'I-5 Future DA'!F$5)</f>
        <v>21.924000000000003</v>
      </c>
      <c r="F8" s="285">
        <f ca="1">OFFSET(Future_DAOpexStart,MATCH($K$1,'I-5 Future DA'!$A$6:$A$222)+2,+'I-5 Future DA'!G$5)</f>
        <v>21.924000000000003</v>
      </c>
      <c r="G8" s="285">
        <f ca="1">OFFSET(Future_DAOpexStart,MATCH($K$1,'I-5 Future DA'!$A$6:$A$222)+2,+'I-5 Future DA'!H$5)</f>
        <v>21.924000000000003</v>
      </c>
      <c r="H8" s="285">
        <f ca="1">OFFSET(Future_DAOpexStart,MATCH($K$1,'I-5 Future DA'!$A$6:$A$222)+2,+'I-5 Future DA'!I$5)</f>
        <v>21.924000000000003</v>
      </c>
      <c r="I8" s="285">
        <f ca="1">OFFSET(Future_DAOpexStart,MATCH($K$1,'I-5 Future DA'!$A$6:$A$222)+2,+'I-5 Future DA'!J$5)</f>
        <v>21.924000000000003</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-1.512</v>
      </c>
      <c r="E9" s="285">
        <f ca="1">OFFSET(Future_DAOpexStart,MATCH($K$1,'I-5 Future DA'!$A$6:$A$222)+3,+'I-5 Future DA'!F$5)</f>
        <v>-1.512</v>
      </c>
      <c r="F9" s="285">
        <f ca="1">OFFSET(Future_DAOpexStart,MATCH($K$1,'I-5 Future DA'!$A$6:$A$222)+3,+'I-5 Future DA'!G$5)</f>
        <v>-1.512</v>
      </c>
      <c r="G9" s="285">
        <f ca="1">OFFSET(Future_DAOpexStart,MATCH($K$1,'I-5 Future DA'!$A$6:$A$222)+3,+'I-5 Future DA'!H$5)</f>
        <v>-1.512</v>
      </c>
      <c r="H9" s="285">
        <f ca="1">OFFSET(Future_DAOpexStart,MATCH($K$1,'I-5 Future DA'!$A$6:$A$222)+3,+'I-5 Future DA'!I$5)</f>
        <v>-1.512</v>
      </c>
      <c r="I9" s="285">
        <f ca="1">OFFSET(Future_DAOpexStart,MATCH($K$1,'I-5 Future DA'!$A$6:$A$222)+3,+'I-5 Future DA'!J$5)</f>
        <v>-1.512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1.4139999999999999</v>
      </c>
      <c r="E10" s="285">
        <f ca="1">OFFSET(Future_DAOpexStart,MATCH($K$1,'I-5 Future DA'!$A$6:$A$222)+4,+'I-5 Future DA'!F$5)</f>
        <v>1.4139999999999999</v>
      </c>
      <c r="F10" s="285">
        <f ca="1">OFFSET(Future_DAOpexStart,MATCH($K$1,'I-5 Future DA'!$A$6:$A$222)+4,+'I-5 Future DA'!G$5)</f>
        <v>1.4139999999999999</v>
      </c>
      <c r="G10" s="285">
        <f ca="1">OFFSET(Future_DAOpexStart,MATCH($K$1,'I-5 Future DA'!$A$6:$A$222)+4,+'I-5 Future DA'!H$5)</f>
        <v>1.4139999999999999</v>
      </c>
      <c r="H10" s="285">
        <f ca="1">OFFSET(Future_DAOpexStart,MATCH($K$1,'I-5 Future DA'!$A$6:$A$222)+4,+'I-5 Future DA'!I$5)</f>
        <v>1.4139999999999999</v>
      </c>
      <c r="I10" s="285">
        <f ca="1">OFFSET(Future_DAOpexStart,MATCH($K$1,'I-5 Future DA'!$A$6:$A$222)+4,+'I-5 Future DA'!J$5)</f>
        <v>1.4139999999999999</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7.2669999999999995</v>
      </c>
      <c r="E11" s="285">
        <f ca="1">OFFSET(Future_DAOpexStart,MATCH($K$1,'I-5 Future DA'!$A$6:$A$222)+5,+'I-5 Future DA'!F$5)</f>
        <v>7.2669999999999995</v>
      </c>
      <c r="F11" s="285">
        <f ca="1">OFFSET(Future_DAOpexStart,MATCH($K$1,'I-5 Future DA'!$A$6:$A$222)+5,+'I-5 Future DA'!G$5)</f>
        <v>7.2669999999999995</v>
      </c>
      <c r="G11" s="285">
        <f ca="1">OFFSET(Future_DAOpexStart,MATCH($K$1,'I-5 Future DA'!$A$6:$A$222)+5,+'I-5 Future DA'!H$5)</f>
        <v>7.2669999999999995</v>
      </c>
      <c r="H11" s="285">
        <f ca="1">OFFSET(Future_DAOpexStart,MATCH($K$1,'I-5 Future DA'!$A$6:$A$222)+5,+'I-5 Future DA'!I$5)</f>
        <v>7.2669999999999995</v>
      </c>
      <c r="I11" s="285">
        <f ca="1">OFFSET(Future_DAOpexStart,MATCH($K$1,'I-5 Future DA'!$A$6:$A$222)+5,+'I-5 Future DA'!J$5)</f>
        <v>7.2669999999999995</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4.3010000000000002</v>
      </c>
      <c r="E12" s="285">
        <f ca="1">OFFSET(Future_DAOpexStart,MATCH($K$1,'I-5 Future DA'!$A$6:$A$222)+6,+'I-5 Future DA'!F$5)</f>
        <v>4.3010000000000002</v>
      </c>
      <c r="F12" s="285">
        <f ca="1">OFFSET(Future_DAOpexStart,MATCH($K$1,'I-5 Future DA'!$A$6:$A$222)+6,+'I-5 Future DA'!G$5)</f>
        <v>4.3010000000000002</v>
      </c>
      <c r="G12" s="285">
        <f ca="1">OFFSET(Future_DAOpexStart,MATCH($K$1,'I-5 Future DA'!$A$6:$A$222)+6,+'I-5 Future DA'!H$5)</f>
        <v>4.3010000000000002</v>
      </c>
      <c r="H12" s="285">
        <f ca="1">OFFSET(Future_DAOpexStart,MATCH($K$1,'I-5 Future DA'!$A$6:$A$222)+6,+'I-5 Future DA'!I$5)</f>
        <v>4.3010000000000002</v>
      </c>
      <c r="I12" s="285">
        <f ca="1">OFFSET(Future_DAOpexStart,MATCH($K$1,'I-5 Future DA'!$A$6:$A$222)+6,+'I-5 Future DA'!J$5)</f>
        <v>4.3010000000000002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33.394000000000005</v>
      </c>
      <c r="E14" s="287">
        <f t="shared" ca="1" si="0"/>
        <v>33.394000000000005</v>
      </c>
      <c r="F14" s="287">
        <f t="shared" ca="1" si="0"/>
        <v>33.394000000000005</v>
      </c>
      <c r="G14" s="287">
        <f t="shared" ca="1" si="0"/>
        <v>33.394000000000005</v>
      </c>
      <c r="H14" s="287">
        <f t="shared" ca="1" si="0"/>
        <v>33.394000000000005</v>
      </c>
      <c r="I14" s="287">
        <f t="shared" ca="1" si="0"/>
        <v>33.394000000000005</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+'DA-15'!B8+'DA-15'!B19</f>
        <v>0</v>
      </c>
      <c r="C30" s="285">
        <f ca="1">+'DA-15'!C8+'DA-15'!C19</f>
        <v>0</v>
      </c>
      <c r="D30" s="285">
        <f ca="1">+'DA-15'!D8+'DA-15'!D19</f>
        <v>21.924000000000003</v>
      </c>
      <c r="E30" s="285">
        <f ca="1">+'DA-15'!E8+'DA-15'!E19</f>
        <v>21.924000000000003</v>
      </c>
      <c r="F30" s="285">
        <f ca="1">+'DA-15'!F8+'DA-15'!F19</f>
        <v>21.924000000000003</v>
      </c>
      <c r="G30" s="285">
        <f ca="1">+'DA-15'!G8+'DA-15'!G19</f>
        <v>21.924000000000003</v>
      </c>
      <c r="H30" s="285">
        <f ca="1">+'DA-15'!H8+'DA-15'!H19</f>
        <v>21.924000000000003</v>
      </c>
      <c r="I30" s="285">
        <f ca="1">+'DA-15'!I8+'DA-15'!I19</f>
        <v>21.924000000000003</v>
      </c>
      <c r="J30" s="42"/>
      <c r="K30" s="21"/>
      <c r="L30" s="21"/>
    </row>
    <row r="31" spans="1:12" outlineLevel="2">
      <c r="A31" s="61" t="s">
        <v>69</v>
      </c>
      <c r="B31" s="285">
        <f ca="1">+'DA-15'!B9+'DA-15'!B20</f>
        <v>0</v>
      </c>
      <c r="C31" s="285">
        <f ca="1">+'DA-15'!C9+'DA-15'!C20</f>
        <v>0</v>
      </c>
      <c r="D31" s="285">
        <f ca="1">+'DA-15'!D9+'DA-15'!D20</f>
        <v>-1.512</v>
      </c>
      <c r="E31" s="285">
        <f ca="1">+'DA-15'!E9+'DA-15'!E20</f>
        <v>-1.512</v>
      </c>
      <c r="F31" s="285">
        <f ca="1">+'DA-15'!F9+'DA-15'!F20</f>
        <v>-1.512</v>
      </c>
      <c r="G31" s="285">
        <f ca="1">+'DA-15'!G9+'DA-15'!G20</f>
        <v>-1.512</v>
      </c>
      <c r="H31" s="285">
        <f ca="1">+'DA-15'!H9+'DA-15'!H20</f>
        <v>-1.512</v>
      </c>
      <c r="I31" s="285">
        <f ca="1">+'DA-15'!I9+'DA-15'!I20</f>
        <v>-1.512</v>
      </c>
      <c r="J31" s="42"/>
      <c r="K31" s="21"/>
      <c r="L31" s="21"/>
    </row>
    <row r="32" spans="1:12" s="759" customFormat="1" outlineLevel="2">
      <c r="A32" s="61" t="s">
        <v>646</v>
      </c>
      <c r="B32" s="285">
        <f ca="1">+'DA-15'!B10+'DA-15'!B21</f>
        <v>0</v>
      </c>
      <c r="C32" s="285">
        <f ca="1">+'DA-15'!C10+'DA-15'!C21</f>
        <v>0</v>
      </c>
      <c r="D32" s="285">
        <f ca="1">+'DA-15'!D10+'DA-15'!D21</f>
        <v>1.4139999999999999</v>
      </c>
      <c r="E32" s="285">
        <f ca="1">+'DA-15'!E10+'DA-15'!E21</f>
        <v>1.4139999999999999</v>
      </c>
      <c r="F32" s="285">
        <f ca="1">+'DA-15'!F10+'DA-15'!F21</f>
        <v>1.4139999999999999</v>
      </c>
      <c r="G32" s="285">
        <f ca="1">+'DA-15'!G10+'DA-15'!G21</f>
        <v>1.4139999999999999</v>
      </c>
      <c r="H32" s="285">
        <f ca="1">+'DA-15'!H10+'DA-15'!H21</f>
        <v>1.4139999999999999</v>
      </c>
      <c r="I32" s="285">
        <f ca="1">+'DA-15'!I10+'DA-15'!I21</f>
        <v>1.4139999999999999</v>
      </c>
      <c r="J32" s="42"/>
      <c r="K32" s="732"/>
      <c r="L32" s="732"/>
    </row>
    <row r="33" spans="1:12" outlineLevel="2">
      <c r="A33" s="61" t="s">
        <v>647</v>
      </c>
      <c r="B33" s="285">
        <f ca="1">+'DA-15'!B11+'DA-15'!B22</f>
        <v>0</v>
      </c>
      <c r="C33" s="285">
        <f ca="1">+'DA-15'!C11+'DA-15'!C22</f>
        <v>0</v>
      </c>
      <c r="D33" s="285">
        <f ca="1">+'DA-15'!D11+'DA-15'!D22</f>
        <v>7.2669999999999995</v>
      </c>
      <c r="E33" s="285">
        <f ca="1">+'DA-15'!E11+'DA-15'!E22</f>
        <v>7.2669999999999995</v>
      </c>
      <c r="F33" s="285">
        <f ca="1">+'DA-15'!F11+'DA-15'!F22</f>
        <v>7.2669999999999995</v>
      </c>
      <c r="G33" s="285">
        <f ca="1">+'DA-15'!G11+'DA-15'!G22</f>
        <v>7.2669999999999995</v>
      </c>
      <c r="H33" s="285">
        <f ca="1">+'DA-15'!H11+'DA-15'!H22</f>
        <v>7.2669999999999995</v>
      </c>
      <c r="I33" s="285">
        <f ca="1">+'DA-15'!I11+'DA-15'!I22</f>
        <v>7.2669999999999995</v>
      </c>
      <c r="J33" s="42"/>
      <c r="K33" s="21"/>
      <c r="L33" s="21"/>
    </row>
    <row r="34" spans="1:12" s="759" customFormat="1" outlineLevel="2">
      <c r="A34" s="61" t="s">
        <v>575</v>
      </c>
      <c r="B34" s="285">
        <f ca="1">+'DA-15'!B12+'DA-15'!B23</f>
        <v>0</v>
      </c>
      <c r="C34" s="285">
        <f ca="1">+'DA-15'!C12+'DA-15'!C23</f>
        <v>0</v>
      </c>
      <c r="D34" s="285">
        <f ca="1">+'DA-15'!D12+'DA-15'!D23</f>
        <v>4.3010000000000002</v>
      </c>
      <c r="E34" s="285">
        <f ca="1">+'DA-15'!E12+'DA-15'!E23</f>
        <v>4.3010000000000002</v>
      </c>
      <c r="F34" s="285">
        <f ca="1">+'DA-15'!F12+'DA-15'!F23</f>
        <v>4.3010000000000002</v>
      </c>
      <c r="G34" s="285">
        <f ca="1">+'DA-15'!G12+'DA-15'!G23</f>
        <v>4.3010000000000002</v>
      </c>
      <c r="H34" s="285">
        <f ca="1">+'DA-15'!H12+'DA-15'!H23</f>
        <v>4.3010000000000002</v>
      </c>
      <c r="I34" s="285">
        <f ca="1">+'DA-15'!I12+'DA-15'!I23</f>
        <v>4.3010000000000002</v>
      </c>
      <c r="J34" s="42"/>
      <c r="K34" s="732"/>
      <c r="L34" s="732"/>
    </row>
    <row r="35" spans="1:12" ht="13.5" outlineLevel="2" thickBot="1">
      <c r="A35" s="83" t="s">
        <v>70</v>
      </c>
      <c r="B35" s="285">
        <f ca="1">+'DA-15'!B13+'DA-15'!B24</f>
        <v>0</v>
      </c>
      <c r="C35" s="285">
        <f ca="1">+'DA-15'!C13+'DA-15'!C24</f>
        <v>0</v>
      </c>
      <c r="D35" s="285">
        <f ca="1">+'DA-15'!D13+'DA-15'!D24</f>
        <v>0</v>
      </c>
      <c r="E35" s="285">
        <f ca="1">+'DA-15'!E13+'DA-15'!E24</f>
        <v>0</v>
      </c>
      <c r="F35" s="285">
        <f ca="1">+'DA-15'!F13+'DA-15'!F24</f>
        <v>0</v>
      </c>
      <c r="G35" s="285">
        <f ca="1">+'DA-15'!G13+'DA-15'!G24</f>
        <v>0</v>
      </c>
      <c r="H35" s="285">
        <f ca="1">+'DA-15'!H13+'DA-15'!H24</f>
        <v>0</v>
      </c>
      <c r="I35" s="285">
        <f ca="1">+'DA-15'!I13+'DA-15'!I24</f>
        <v>0</v>
      </c>
      <c r="J35" s="93"/>
      <c r="K35" s="21"/>
      <c r="L35" s="21"/>
    </row>
    <row r="36" spans="1:12" s="87" customFormat="1" ht="20.25" customHeight="1" thickBot="1">
      <c r="A36" s="94" t="s">
        <v>128</v>
      </c>
      <c r="B36" s="294">
        <f t="shared" ref="B36:I36" ca="1" si="7">SUM(B30:B35)</f>
        <v>0</v>
      </c>
      <c r="C36" s="294">
        <f t="shared" ca="1" si="7"/>
        <v>0</v>
      </c>
      <c r="D36" s="294">
        <f t="shared" ca="1" si="7"/>
        <v>33.394000000000005</v>
      </c>
      <c r="E36" s="294">
        <f t="shared" ca="1" si="7"/>
        <v>33.394000000000005</v>
      </c>
      <c r="F36" s="294">
        <f t="shared" ca="1" si="7"/>
        <v>33.394000000000005</v>
      </c>
      <c r="G36" s="294">
        <f t="shared" ca="1" si="7"/>
        <v>33.394000000000005</v>
      </c>
      <c r="H36" s="294">
        <f t="shared" ca="1" si="7"/>
        <v>33.394000000000005</v>
      </c>
      <c r="I36" s="294">
        <f t="shared" ca="1" si="7"/>
        <v>33.394000000000005</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0.23261272535779884</v>
      </c>
      <c r="F42" s="285">
        <f t="shared" ca="1" si="8"/>
        <v>0.44814837709006405</v>
      </c>
      <c r="G42" s="285">
        <f t="shared" ca="1" si="8"/>
        <v>0.66120297547009077</v>
      </c>
      <c r="H42" s="285">
        <f t="shared" ca="1" si="8"/>
        <v>0.89235010312273377</v>
      </c>
      <c r="I42" s="285">
        <f t="shared" ca="1" si="8"/>
        <v>1.10408260196506</v>
      </c>
      <c r="K42" s="63"/>
      <c r="L42" s="63"/>
    </row>
    <row r="43" spans="1:12" outlineLevel="1">
      <c r="A43" s="61" t="s">
        <v>69</v>
      </c>
      <c r="B43" s="82"/>
      <c r="C43" s="285">
        <f t="shared" ca="1" si="8"/>
        <v>0</v>
      </c>
      <c r="D43" s="285">
        <f t="shared" ca="1" si="8"/>
        <v>0</v>
      </c>
      <c r="E43" s="285">
        <f t="shared" ca="1" si="8"/>
        <v>-1.6042256921227502E-2</v>
      </c>
      <c r="F43" s="285">
        <f t="shared" ca="1" si="8"/>
        <v>-3.0906784626900965E-2</v>
      </c>
      <c r="G43" s="285">
        <f t="shared" ca="1" si="8"/>
        <v>-4.5600205204833842E-2</v>
      </c>
      <c r="H43" s="285">
        <f t="shared" ca="1" si="8"/>
        <v>-6.1541386422257489E-2</v>
      </c>
      <c r="I43" s="285">
        <f t="shared" ca="1" si="8"/>
        <v>-7.6143627721728266E-2</v>
      </c>
      <c r="K43" s="42"/>
      <c r="L43" s="21"/>
    </row>
    <row r="44" spans="1:12" s="759" customFormat="1" outlineLevel="1">
      <c r="A44" s="61" t="s">
        <v>646</v>
      </c>
      <c r="B44" s="82"/>
      <c r="C44" s="285">
        <f t="shared" ref="C44:I44" ca="1" si="9">+C100</f>
        <v>0</v>
      </c>
      <c r="D44" s="285">
        <f t="shared" ca="1" si="9"/>
        <v>0</v>
      </c>
      <c r="E44" s="285">
        <f t="shared" ca="1" si="9"/>
        <v>1.500248100966646E-2</v>
      </c>
      <c r="F44" s="285">
        <f t="shared" ca="1" si="9"/>
        <v>2.890356710478701E-2</v>
      </c>
      <c r="G44" s="285">
        <f t="shared" ca="1" si="9"/>
        <v>4.2644636348964982E-2</v>
      </c>
      <c r="H44" s="285">
        <f t="shared" ca="1" si="9"/>
        <v>5.7552592857851907E-2</v>
      </c>
      <c r="I44" s="285">
        <f t="shared" ca="1" si="9"/>
        <v>7.1208392591616251E-2</v>
      </c>
      <c r="K44" s="42"/>
      <c r="L44" s="732"/>
    </row>
    <row r="45" spans="1:12" outlineLevel="1">
      <c r="A45" s="61" t="s">
        <v>647</v>
      </c>
      <c r="B45" s="82"/>
      <c r="C45" s="285">
        <f t="shared" ref="C45:I45" ca="1" si="10">+C101</f>
        <v>0</v>
      </c>
      <c r="D45" s="285">
        <f t="shared" ca="1" si="10"/>
        <v>0</v>
      </c>
      <c r="E45" s="285">
        <f t="shared" ca="1" si="10"/>
        <v>7.7102566829735625E-2</v>
      </c>
      <c r="F45" s="285">
        <f t="shared" ca="1" si="10"/>
        <v>0.14854471156328658</v>
      </c>
      <c r="G45" s="285">
        <f t="shared" ca="1" si="10"/>
        <v>0.21916447832243882</v>
      </c>
      <c r="H45" s="285">
        <f t="shared" ca="1" si="10"/>
        <v>0.2957812533932177</v>
      </c>
      <c r="I45" s="285">
        <f t="shared" ca="1" si="10"/>
        <v>0.3659627927604493</v>
      </c>
      <c r="K45" s="42"/>
      <c r="L45" s="21"/>
    </row>
    <row r="46" spans="1:12" s="759" customFormat="1" outlineLevel="1">
      <c r="A46" s="61" t="s">
        <v>575</v>
      </c>
      <c r="B46" s="82"/>
      <c r="C46" s="285">
        <f t="shared" ref="C46:I46" ca="1" si="11">+C102</f>
        <v>0</v>
      </c>
      <c r="D46" s="285">
        <f t="shared" ca="1" si="11"/>
        <v>0</v>
      </c>
      <c r="E46" s="285">
        <f t="shared" ca="1" si="11"/>
        <v>4.5633430567592261E-2</v>
      </c>
      <c r="F46" s="285">
        <f t="shared" ca="1" si="11"/>
        <v>8.7916720026654141E-2</v>
      </c>
      <c r="G46" s="285">
        <f t="shared" ca="1" si="11"/>
        <v>0.12971328213359151</v>
      </c>
      <c r="H46" s="285">
        <f t="shared" ca="1" si="11"/>
        <v>0.17505919510722848</v>
      </c>
      <c r="I46" s="285">
        <f t="shared" ca="1" si="11"/>
        <v>0.21659639076134479</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0.35430894684356573</v>
      </c>
      <c r="F48" s="294">
        <f t="shared" ca="1" si="13"/>
        <v>0.68260659115789091</v>
      </c>
      <c r="G48" s="294">
        <f t="shared" ca="1" si="13"/>
        <v>1.0071251670702521</v>
      </c>
      <c r="H48" s="294">
        <f t="shared" ca="1" si="13"/>
        <v>1.3592017580587743</v>
      </c>
      <c r="I48" s="294">
        <f t="shared" ca="1" si="13"/>
        <v>1.6817065503567423</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0.47543584037363867</v>
      </c>
      <c r="F53" s="285">
        <f t="shared" ca="1" si="14"/>
        <v>0.97042272229248028</v>
      </c>
      <c r="G53" s="285">
        <f t="shared" ca="1" si="14"/>
        <v>1.5130254512253782</v>
      </c>
      <c r="H53" s="285">
        <f t="shared" ca="1" si="14"/>
        <v>2.0795257963171769</v>
      </c>
      <c r="I53" s="285">
        <f t="shared" ca="1" si="14"/>
        <v>2.6675394830695063</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7.14501240504818E-3</v>
      </c>
      <c r="F55" s="285">
        <f t="shared" ca="1" si="15"/>
        <v>1.4465108260225098E-2</v>
      </c>
      <c r="G55" s="285">
        <f t="shared" ca="1" si="15"/>
        <v>2.7844089968852934E-2</v>
      </c>
      <c r="H55" s="285">
        <f t="shared" ca="1" si="15"/>
        <v>4.387571625539205E-2</v>
      </c>
      <c r="I55" s="285">
        <f t="shared" ca="1" si="15"/>
        <v>6.3401517556778905E-2</v>
      </c>
      <c r="K55" s="42"/>
      <c r="L55" s="732"/>
    </row>
    <row r="56" spans="1:12" outlineLevel="1">
      <c r="A56" s="61" t="s">
        <v>647</v>
      </c>
      <c r="B56" s="285"/>
      <c r="C56" s="285">
        <f t="shared" ref="C56:I56" ca="1" si="16">+C137</f>
        <v>0</v>
      </c>
      <c r="D56" s="285">
        <f t="shared" ca="1" si="16"/>
        <v>0</v>
      </c>
      <c r="E56" s="285">
        <f t="shared" ca="1" si="16"/>
        <v>3.6720512834147893E-2</v>
      </c>
      <c r="F56" s="285">
        <f t="shared" ca="1" si="16"/>
        <v>7.434083573341993E-2</v>
      </c>
      <c r="G56" s="285">
        <f t="shared" ca="1" si="16"/>
        <v>0.14309971839013738</v>
      </c>
      <c r="H56" s="285">
        <f t="shared" ca="1" si="16"/>
        <v>0.22549139323050493</v>
      </c>
      <c r="I56" s="285">
        <f t="shared" ca="1" si="16"/>
        <v>0.32584075536429441</v>
      </c>
      <c r="K56" s="42"/>
      <c r="L56" s="21"/>
    </row>
    <row r="57" spans="1:12" s="759" customFormat="1" outlineLevel="1">
      <c r="A57" s="61" t="s">
        <v>575</v>
      </c>
      <c r="B57" s="285"/>
      <c r="C57" s="285">
        <f t="shared" ref="C57:I57" ca="1" si="17">+C138</f>
        <v>0</v>
      </c>
      <c r="D57" s="285">
        <f t="shared" ca="1" si="17"/>
        <v>0</v>
      </c>
      <c r="E57" s="285">
        <f t="shared" ca="1" si="17"/>
        <v>9.3269911943396261E-2</v>
      </c>
      <c r="F57" s="285">
        <f t="shared" ca="1" si="17"/>
        <v>0.19037530234354849</v>
      </c>
      <c r="G57" s="285">
        <f t="shared" ca="1" si="17"/>
        <v>0.29682186032294983</v>
      </c>
      <c r="H57" s="285">
        <f t="shared" ca="1" si="17"/>
        <v>0.40795659779055721</v>
      </c>
      <c r="I57" s="285">
        <f t="shared" ca="1" si="17"/>
        <v>0.52331177324767131</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0.61257127755623098</v>
      </c>
      <c r="F59" s="287">
        <f t="shared" ca="1" si="19"/>
        <v>1.2496039686296738</v>
      </c>
      <c r="G59" s="287">
        <f t="shared" ca="1" si="19"/>
        <v>1.9807911199073185</v>
      </c>
      <c r="H59" s="287">
        <f t="shared" ca="1" si="19"/>
        <v>2.7568495035936311</v>
      </c>
      <c r="I59" s="287">
        <f t="shared" ca="1" si="19"/>
        <v>3.5800935292382512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21.924000000000003</v>
      </c>
      <c r="E64" s="285">
        <f t="shared" ca="1" si="20"/>
        <v>22.632048565731441</v>
      </c>
      <c r="F64" s="285">
        <f t="shared" ca="1" si="20"/>
        <v>23.342571099382546</v>
      </c>
      <c r="G64" s="285">
        <f t="shared" ca="1" si="20"/>
        <v>24.098228426695471</v>
      </c>
      <c r="H64" s="285">
        <f t="shared" ca="1" si="20"/>
        <v>24.895875899439915</v>
      </c>
      <c r="I64" s="285">
        <f t="shared" ca="1" si="20"/>
        <v>25.695622085034572</v>
      </c>
      <c r="K64" s="63"/>
      <c r="L64" s="63"/>
    </row>
    <row r="65" spans="1:20" ht="12.75" customHeight="1" outlineLevel="1">
      <c r="A65" s="61" t="s">
        <v>69</v>
      </c>
      <c r="B65" s="285">
        <f t="shared" ca="1" si="20"/>
        <v>0</v>
      </c>
      <c r="C65" s="285">
        <f t="shared" ca="1" si="20"/>
        <v>0</v>
      </c>
      <c r="D65" s="285">
        <f t="shared" ca="1" si="20"/>
        <v>-1.512</v>
      </c>
      <c r="E65" s="285">
        <f t="shared" ca="1" si="20"/>
        <v>-1.5280422569212275</v>
      </c>
      <c r="F65" s="285">
        <f t="shared" ca="1" si="20"/>
        <v>-1.5429067846269009</v>
      </c>
      <c r="G65" s="285">
        <f t="shared" ca="1" si="20"/>
        <v>-1.5576002052048339</v>
      </c>
      <c r="H65" s="285">
        <f t="shared" ca="1" si="20"/>
        <v>-1.5735413864222576</v>
      </c>
      <c r="I65" s="285">
        <f t="shared" ca="1" si="20"/>
        <v>-1.5881436277217282</v>
      </c>
      <c r="K65" s="42"/>
      <c r="L65" s="21"/>
    </row>
    <row r="66" spans="1:20" s="759" customFormat="1" ht="12.75" customHeight="1" outlineLevel="1">
      <c r="A66" s="61" t="s">
        <v>646</v>
      </c>
      <c r="B66" s="285">
        <f t="shared" ref="B66:I66" ca="1" si="21">+B44+B32+B55</f>
        <v>0</v>
      </c>
      <c r="C66" s="285">
        <f t="shared" ca="1" si="21"/>
        <v>0</v>
      </c>
      <c r="D66" s="285">
        <f t="shared" ca="1" si="21"/>
        <v>1.4139999999999999</v>
      </c>
      <c r="E66" s="285">
        <f t="shared" ca="1" si="21"/>
        <v>1.4361474934147147</v>
      </c>
      <c r="F66" s="285">
        <f t="shared" ca="1" si="21"/>
        <v>1.4573686753650121</v>
      </c>
      <c r="G66" s="285">
        <f t="shared" ca="1" si="21"/>
        <v>1.4844887263178179</v>
      </c>
      <c r="H66" s="285">
        <f t="shared" ca="1" si="21"/>
        <v>1.5154283091132439</v>
      </c>
      <c r="I66" s="285">
        <f t="shared" ca="1" si="21"/>
        <v>1.548609910148395</v>
      </c>
      <c r="K66" s="42"/>
      <c r="L66" s="732"/>
    </row>
    <row r="67" spans="1:20" ht="12.75" customHeight="1" outlineLevel="1">
      <c r="A67" s="61" t="s">
        <v>647</v>
      </c>
      <c r="B67" s="285">
        <f t="shared" ref="B67:I67" ca="1" si="22">+B45+B33+B56</f>
        <v>0</v>
      </c>
      <c r="C67" s="285">
        <f t="shared" ca="1" si="22"/>
        <v>0</v>
      </c>
      <c r="D67" s="285">
        <f t="shared" ca="1" si="22"/>
        <v>7.2669999999999995</v>
      </c>
      <c r="E67" s="285">
        <f t="shared" ca="1" si="22"/>
        <v>7.380823079663883</v>
      </c>
      <c r="F67" s="285">
        <f t="shared" ca="1" si="22"/>
        <v>7.4898855472967059</v>
      </c>
      <c r="G67" s="285">
        <f t="shared" ca="1" si="22"/>
        <v>7.6292641967125752</v>
      </c>
      <c r="H67" s="285">
        <f t="shared" ca="1" si="22"/>
        <v>7.7882726466237218</v>
      </c>
      <c r="I67" s="285">
        <f t="shared" ca="1" si="22"/>
        <v>7.9588035481247426</v>
      </c>
      <c r="K67" s="42"/>
      <c r="L67" s="21"/>
    </row>
    <row r="68" spans="1:20" s="759" customFormat="1" ht="12.75" customHeight="1" outlineLevel="1">
      <c r="A68" s="61" t="s">
        <v>575</v>
      </c>
      <c r="B68" s="285">
        <f t="shared" ref="B68:I68" ca="1" si="23">+B46+B34+B57</f>
        <v>0</v>
      </c>
      <c r="C68" s="285">
        <f t="shared" ca="1" si="23"/>
        <v>0</v>
      </c>
      <c r="D68" s="285">
        <f t="shared" ca="1" si="23"/>
        <v>4.3010000000000002</v>
      </c>
      <c r="E68" s="285">
        <f t="shared" ca="1" si="23"/>
        <v>4.4399033425109886</v>
      </c>
      <c r="F68" s="285">
        <f t="shared" ca="1" si="23"/>
        <v>4.5792920223702032</v>
      </c>
      <c r="G68" s="285">
        <f t="shared" ca="1" si="23"/>
        <v>4.7275351424565422</v>
      </c>
      <c r="H68" s="285">
        <f t="shared" ca="1" si="23"/>
        <v>4.8840157928977854</v>
      </c>
      <c r="I68" s="285">
        <f t="shared" ca="1" si="23"/>
        <v>5.0409081640090161</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33.394000000000005</v>
      </c>
      <c r="E70" s="295">
        <f t="shared" ca="1" si="25"/>
        <v>34.3608802243998</v>
      </c>
      <c r="F70" s="295">
        <f t="shared" ca="1" si="25"/>
        <v>35.326210559787562</v>
      </c>
      <c r="G70" s="295">
        <f t="shared" ca="1" si="25"/>
        <v>36.381916286977571</v>
      </c>
      <c r="H70" s="295">
        <f t="shared" ca="1" si="25"/>
        <v>37.510051261652407</v>
      </c>
      <c r="I70" s="295">
        <f t="shared" ca="1" si="25"/>
        <v>38.655800079595004</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0.23261272535779884</v>
      </c>
      <c r="Q77" s="285">
        <f ca="1">IF($B77&lt;&gt;0,(+VLOOKUP($B77,$A$8:$I$13,6,FALSE))*(F77),0)</f>
        <v>0.44814837709006405</v>
      </c>
      <c r="R77" s="285">
        <f ca="1">IF($B77&lt;&gt;0,(+VLOOKUP($B77,$A$8:$I$13,7,FALSE))*(G77),0)</f>
        <v>0.66120297547009077</v>
      </c>
      <c r="S77" s="285">
        <f ca="1">IF($B77&lt;&gt;0,(+VLOOKUP($B77,$A$8:$I$13,8,FALSE))*(H77),0)</f>
        <v>0.89235010312273377</v>
      </c>
      <c r="T77" s="285">
        <f ca="1">IF($B77&lt;&gt;0,(+VLOOKUP($B77,$A$8:$I$13,9,FALSE))*(I77),0)</f>
        <v>1.10408260196506</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-1.6042256921227502E-2</v>
      </c>
      <c r="Q78" s="285">
        <f ca="1">IF($B78&lt;&gt;0,(+VLOOKUP($B78,$A$8:$I$13,6,FALSE))*(F78),0)</f>
        <v>-3.0906784626900965E-2</v>
      </c>
      <c r="R78" s="285">
        <f ca="1">IF($B78&lt;&gt;0,(+VLOOKUP($B78,$A$8:$I$13,7,FALSE))*(G78),0)</f>
        <v>-4.5600205204833842E-2</v>
      </c>
      <c r="S78" s="285">
        <f ca="1">IF($B78&lt;&gt;0,(+VLOOKUP($B78,$A$8:$I$13,8,FALSE))*(H78),0)</f>
        <v>-6.1541386422257489E-2</v>
      </c>
      <c r="T78" s="285">
        <f ca="1">IF($B78&lt;&gt;0,(+VLOOKUP($B78,$A$8:$I$13,9,FALSE))*(I78),0)</f>
        <v>-7.6143627721728266E-2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1.500248100966646E-2</v>
      </c>
      <c r="Q79" s="285">
        <f t="shared" ref="Q79:Q80" ca="1" si="34">IF($B79&lt;&gt;0,(+VLOOKUP($B79,$A$8:$I$13,6,FALSE))*(F79),0)</f>
        <v>2.890356710478701E-2</v>
      </c>
      <c r="R79" s="285">
        <f t="shared" ref="R79:R80" ca="1" si="35">IF($B79&lt;&gt;0,(+VLOOKUP($B79,$A$8:$I$13,7,FALSE))*(G79),0)</f>
        <v>4.2644636348964982E-2</v>
      </c>
      <c r="S79" s="285">
        <f t="shared" ref="S79:S80" ca="1" si="36">IF($B79&lt;&gt;0,(+VLOOKUP($B79,$A$8:$I$13,8,FALSE))*(H79),0)</f>
        <v>5.7552592857851907E-2</v>
      </c>
      <c r="T79" s="285">
        <f t="shared" ref="T79:T80" ca="1" si="37">IF($B79&lt;&gt;0,(+VLOOKUP($B79,$A$8:$I$13,9,FALSE))*(I79),0)</f>
        <v>7.1208392591616251E-2</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7.7102566829735625E-2</v>
      </c>
      <c r="Q80" s="285">
        <f t="shared" ca="1" si="34"/>
        <v>0.14854471156328658</v>
      </c>
      <c r="R80" s="285">
        <f t="shared" ca="1" si="35"/>
        <v>0.21916447832243882</v>
      </c>
      <c r="S80" s="285">
        <f t="shared" ca="1" si="36"/>
        <v>0.2957812533932177</v>
      </c>
      <c r="T80" s="285">
        <f t="shared" ca="1" si="37"/>
        <v>0.3659627927604493</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4.5633430567592261E-2</v>
      </c>
      <c r="Q81" s="285">
        <f ca="1">IF($B81&lt;&gt;0,(+VLOOKUP($B81,$A$8:$I$13,6,FALSE))*(F81),0)</f>
        <v>8.7916720026654141E-2</v>
      </c>
      <c r="R81" s="285">
        <f ca="1">IF($B81&lt;&gt;0,(+VLOOKUP($B81,$A$8:$I$13,7,FALSE))*(G81),0)</f>
        <v>0.12971328213359151</v>
      </c>
      <c r="S81" s="285">
        <f ca="1">IF($B81&lt;&gt;0,(+VLOOKUP($B81,$A$8:$I$13,8,FALSE))*(H81),0)</f>
        <v>0.17505919510722848</v>
      </c>
      <c r="T81" s="285">
        <f ca="1">IF($B81&lt;&gt;0,(+VLOOKUP($B81,$A$8:$I$13,9,FALSE))*(I81),0)</f>
        <v>0.21659639076134479</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0.35430894684356573</v>
      </c>
      <c r="Q83" s="292">
        <f t="shared" ca="1" si="51"/>
        <v>0.68260659115789091</v>
      </c>
      <c r="R83" s="292">
        <f t="shared" ca="1" si="51"/>
        <v>1.0071251670702521</v>
      </c>
      <c r="S83" s="292">
        <f t="shared" ca="1" si="51"/>
        <v>1.3592017580587743</v>
      </c>
      <c r="T83" s="292">
        <f t="shared" ca="1" si="51"/>
        <v>1.6817065503567423</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0.23261272535779884</v>
      </c>
      <c r="F98" s="285">
        <f t="shared" ca="1" si="54"/>
        <v>0.44814837709006405</v>
      </c>
      <c r="G98" s="285">
        <f t="shared" ca="1" si="54"/>
        <v>0.66120297547009077</v>
      </c>
      <c r="H98" s="285">
        <f t="shared" ca="1" si="54"/>
        <v>0.89235010312273377</v>
      </c>
      <c r="I98" s="285">
        <f t="shared" ca="1" si="54"/>
        <v>1.10408260196506</v>
      </c>
    </row>
    <row r="99" spans="1:20" outlineLevel="1">
      <c r="A99" s="61" t="s">
        <v>69</v>
      </c>
      <c r="B99" s="119"/>
      <c r="C99" s="285">
        <f t="shared" ref="C99:I99" ca="1" si="55">+C9*(C87)</f>
        <v>0</v>
      </c>
      <c r="D99" s="285">
        <f t="shared" ca="1" si="55"/>
        <v>0</v>
      </c>
      <c r="E99" s="285">
        <f t="shared" ca="1" si="55"/>
        <v>-1.6042256921227502E-2</v>
      </c>
      <c r="F99" s="285">
        <f t="shared" ca="1" si="55"/>
        <v>-3.0906784626900965E-2</v>
      </c>
      <c r="G99" s="285">
        <f t="shared" ca="1" si="55"/>
        <v>-4.5600205204833842E-2</v>
      </c>
      <c r="H99" s="285">
        <f t="shared" ca="1" si="55"/>
        <v>-6.1541386422257489E-2</v>
      </c>
      <c r="I99" s="285">
        <f t="shared" ca="1" si="55"/>
        <v>-7.6143627721728266E-2</v>
      </c>
    </row>
    <row r="100" spans="1:20" s="759" customFormat="1" outlineLevel="1">
      <c r="A100" s="61" t="s">
        <v>646</v>
      </c>
      <c r="B100" s="119"/>
      <c r="C100" s="285">
        <f t="shared" ref="C100:I100" ca="1" si="56">+C10*(C88)</f>
        <v>0</v>
      </c>
      <c r="D100" s="285">
        <f t="shared" ca="1" si="56"/>
        <v>0</v>
      </c>
      <c r="E100" s="285">
        <f t="shared" ca="1" si="56"/>
        <v>1.500248100966646E-2</v>
      </c>
      <c r="F100" s="285">
        <f t="shared" ca="1" si="56"/>
        <v>2.890356710478701E-2</v>
      </c>
      <c r="G100" s="285">
        <f t="shared" ca="1" si="56"/>
        <v>4.2644636348964982E-2</v>
      </c>
      <c r="H100" s="285">
        <f t="shared" ca="1" si="56"/>
        <v>5.7552592857851907E-2</v>
      </c>
      <c r="I100" s="285">
        <f t="shared" ca="1" si="56"/>
        <v>7.1208392591616251E-2</v>
      </c>
    </row>
    <row r="101" spans="1:20" outlineLevel="1">
      <c r="A101" s="61" t="s">
        <v>647</v>
      </c>
      <c r="B101" s="119"/>
      <c r="C101" s="285">
        <f t="shared" ref="C101:I101" ca="1" si="57">+C11*(C89)</f>
        <v>0</v>
      </c>
      <c r="D101" s="285">
        <f t="shared" ca="1" si="57"/>
        <v>0</v>
      </c>
      <c r="E101" s="285">
        <f t="shared" ca="1" si="57"/>
        <v>7.7102566829735625E-2</v>
      </c>
      <c r="F101" s="285">
        <f t="shared" ca="1" si="57"/>
        <v>0.14854471156328658</v>
      </c>
      <c r="G101" s="285">
        <f t="shared" ca="1" si="57"/>
        <v>0.21916447832243882</v>
      </c>
      <c r="H101" s="285">
        <f t="shared" ca="1" si="57"/>
        <v>0.2957812533932177</v>
      </c>
      <c r="I101" s="285">
        <f t="shared" ca="1" si="57"/>
        <v>0.3659627927604493</v>
      </c>
    </row>
    <row r="102" spans="1:20" s="759" customFormat="1" outlineLevel="1">
      <c r="A102" s="61" t="s">
        <v>575</v>
      </c>
      <c r="B102" s="119"/>
      <c r="C102" s="285">
        <f t="shared" ref="C102:I102" ca="1" si="58">+C12*(C90)</f>
        <v>0</v>
      </c>
      <c r="D102" s="285">
        <f t="shared" ca="1" si="58"/>
        <v>0</v>
      </c>
      <c r="E102" s="285">
        <f t="shared" ca="1" si="58"/>
        <v>4.5633430567592261E-2</v>
      </c>
      <c r="F102" s="285">
        <f t="shared" ca="1" si="58"/>
        <v>8.7916720026654141E-2</v>
      </c>
      <c r="G102" s="285">
        <f t="shared" ca="1" si="58"/>
        <v>0.12971328213359151</v>
      </c>
      <c r="H102" s="285">
        <f t="shared" ca="1" si="58"/>
        <v>0.17505919510722848</v>
      </c>
      <c r="I102" s="285">
        <f t="shared" ca="1" si="58"/>
        <v>0.21659639076134479</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0.35430894684356573</v>
      </c>
      <c r="F104" s="296">
        <f t="shared" ca="1" si="60"/>
        <v>0.68260659115789091</v>
      </c>
      <c r="G104" s="296">
        <f t="shared" ca="1" si="60"/>
        <v>1.0071251670702521</v>
      </c>
      <c r="H104" s="296">
        <f t="shared" ca="1" si="60"/>
        <v>1.3592017580587743</v>
      </c>
      <c r="I104" s="296">
        <f t="shared" ca="1" si="60"/>
        <v>1.6817065503567423</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2.0440995123611749E-2</v>
      </c>
      <c r="G105" s="124">
        <f t="shared" ca="1" si="61"/>
        <v>3.0158865876212852E-2</v>
      </c>
      <c r="H105" s="124">
        <f t="shared" ca="1" si="61"/>
        <v>4.0701975146995688E-2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0.47543584037363867</v>
      </c>
      <c r="Q113" s="285">
        <f ca="1">IF($B113&lt;&gt;0,(+VLOOKUP($B113,$A$8:$I$13,6,FALSE)+VLOOKUP($B113,$A$42:$I$47,6,FALSE))*(F113),0)</f>
        <v>0.97042272229248028</v>
      </c>
      <c r="R113" s="285">
        <f ca="1">IF($B113&lt;&gt;0,(+VLOOKUP($B113,$A$8:$I$13,7,FALSE)+VLOOKUP($B113,$A$42:$I$47,7,FALSE))*(G113),0)</f>
        <v>1.5130254512253782</v>
      </c>
      <c r="S113" s="285">
        <f ca="1">IF($B113&lt;&gt;0,(+VLOOKUP($B113,$A$8:$I$13,8,FALSE)+VLOOKUP($B113,$A$42:$I$47,8,FALSE))*(H113),0)</f>
        <v>2.0795257963171769</v>
      </c>
      <c r="T113" s="285">
        <f ca="1">IF($B113&lt;&gt;0,(+VLOOKUP($B113,$A$8:$I$13,9,FALSE)+VLOOKUP($B113,$A$42:$I$47,9,FALSE))*(I113),0)</f>
        <v>2.6675394830695063</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7.14501240504818E-3</v>
      </c>
      <c r="Q115" s="285">
        <f t="shared" ca="1" si="68"/>
        <v>1.4465108260225098E-2</v>
      </c>
      <c r="R115" s="285">
        <f t="shared" ca="1" si="69"/>
        <v>2.7844089968852934E-2</v>
      </c>
      <c r="S115" s="285">
        <f t="shared" ca="1" si="70"/>
        <v>4.387571625539205E-2</v>
      </c>
      <c r="T115" s="285">
        <f t="shared" ca="1" si="71"/>
        <v>6.3401517556778905E-2</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3.6720512834147893E-2</v>
      </c>
      <c r="Q116" s="285">
        <f t="shared" ca="1" si="68"/>
        <v>7.434083573341993E-2</v>
      </c>
      <c r="R116" s="285">
        <f t="shared" ca="1" si="69"/>
        <v>0.14309971839013738</v>
      </c>
      <c r="S116" s="285">
        <f t="shared" ca="1" si="70"/>
        <v>0.22549139323050493</v>
      </c>
      <c r="T116" s="285">
        <f t="shared" ca="1" si="71"/>
        <v>0.32584075536429441</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9.3269911943396261E-2</v>
      </c>
      <c r="Q117" s="285">
        <f t="shared" ca="1" si="68"/>
        <v>0.19037530234354849</v>
      </c>
      <c r="R117" s="285">
        <f t="shared" ca="1" si="69"/>
        <v>0.29682186032294983</v>
      </c>
      <c r="S117" s="285">
        <f t="shared" ca="1" si="70"/>
        <v>0.40795659779055721</v>
      </c>
      <c r="T117" s="285">
        <f t="shared" ca="1" si="71"/>
        <v>0.52331177324767131</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0.61257127755623098</v>
      </c>
      <c r="Q119" s="292">
        <f t="shared" ca="1" si="72"/>
        <v>1.2496039686296738</v>
      </c>
      <c r="R119" s="292">
        <f t="shared" ca="1" si="72"/>
        <v>1.9807911199073185</v>
      </c>
      <c r="S119" s="292">
        <f t="shared" ca="1" si="72"/>
        <v>2.7568495035936311</v>
      </c>
      <c r="T119" s="292">
        <f t="shared" ca="1" si="72"/>
        <v>3.5800935292382512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0.47543584037363867</v>
      </c>
      <c r="F134" s="285">
        <f t="shared" ca="1" si="75"/>
        <v>0.97042272229248028</v>
      </c>
      <c r="G134" s="285">
        <f t="shared" ca="1" si="75"/>
        <v>1.5130254512253782</v>
      </c>
      <c r="H134" s="285">
        <f t="shared" ca="1" si="75"/>
        <v>2.0795257963171769</v>
      </c>
      <c r="I134" s="285">
        <f t="shared" ca="1" si="75"/>
        <v>2.6675394830695063</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7.14501240504818E-3</v>
      </c>
      <c r="F136" s="285">
        <f t="shared" ca="1" si="77"/>
        <v>1.4465108260225098E-2</v>
      </c>
      <c r="G136" s="285">
        <f t="shared" ca="1" si="77"/>
        <v>2.7844089968852934E-2</v>
      </c>
      <c r="H136" s="285">
        <f t="shared" ca="1" si="77"/>
        <v>4.387571625539205E-2</v>
      </c>
      <c r="I136" s="285">
        <f t="shared" ca="1" si="77"/>
        <v>6.3401517556778905E-2</v>
      </c>
    </row>
    <row r="137" spans="1:16" outlineLevel="1">
      <c r="A137" s="61" t="s">
        <v>647</v>
      </c>
      <c r="B137" s="119"/>
      <c r="C137" s="285">
        <f ca="1">(+C11+C45)*(C$125)</f>
        <v>0</v>
      </c>
      <c r="D137" s="285">
        <f t="shared" ref="D137:I137" ca="1" si="78">(+D11+D45)*(D$125)</f>
        <v>0</v>
      </c>
      <c r="E137" s="285">
        <f t="shared" ca="1" si="78"/>
        <v>3.6720512834147893E-2</v>
      </c>
      <c r="F137" s="285">
        <f t="shared" ca="1" si="78"/>
        <v>7.434083573341993E-2</v>
      </c>
      <c r="G137" s="285">
        <f t="shared" ca="1" si="78"/>
        <v>0.14309971839013738</v>
      </c>
      <c r="H137" s="285">
        <f t="shared" ca="1" si="78"/>
        <v>0.22549139323050493</v>
      </c>
      <c r="I137" s="285">
        <f t="shared" ca="1" si="78"/>
        <v>0.32584075536429441</v>
      </c>
    </row>
    <row r="138" spans="1:16" s="759" customFormat="1" outlineLevel="1">
      <c r="A138" s="61" t="s">
        <v>575</v>
      </c>
      <c r="B138" s="119"/>
      <c r="C138" s="285">
        <f ca="1">(+C12+C46)*(C$126)</f>
        <v>0</v>
      </c>
      <c r="D138" s="285">
        <f t="shared" ref="D138:I138" ca="1" si="79">(+D12+D46)*(D$126)</f>
        <v>0</v>
      </c>
      <c r="E138" s="285">
        <f t="shared" ca="1" si="79"/>
        <v>9.3269911943396261E-2</v>
      </c>
      <c r="F138" s="285">
        <f t="shared" ca="1" si="79"/>
        <v>0.19037530234354849</v>
      </c>
      <c r="G138" s="285">
        <f t="shared" ca="1" si="79"/>
        <v>0.29682186032294983</v>
      </c>
      <c r="H138" s="285">
        <f t="shared" ca="1" si="79"/>
        <v>0.40795659779055721</v>
      </c>
      <c r="I138" s="285">
        <f t="shared" ca="1" si="79"/>
        <v>0.52331177324767131</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0.61257127755623098</v>
      </c>
      <c r="F140" s="296">
        <f t="shared" ca="1" si="81"/>
        <v>1.2496039686296738</v>
      </c>
      <c r="G140" s="296">
        <f t="shared" ca="1" si="81"/>
        <v>1.9807911199073185</v>
      </c>
      <c r="H140" s="296">
        <f t="shared" ca="1" si="81"/>
        <v>2.7568495035936311</v>
      </c>
      <c r="I140" s="296">
        <f t="shared" ca="1" si="81"/>
        <v>3.5800935292382512</v>
      </c>
    </row>
    <row r="141" spans="1:16" ht="13.5" outlineLevel="1" thickBot="1">
      <c r="A141" s="122" t="s">
        <v>148</v>
      </c>
      <c r="B141" s="126"/>
      <c r="C141" s="124">
        <f t="shared" ref="C141:I141" ca="1" si="82">IF((+C36+C48)&lt;&gt;0,+C140/(+C36+C48),0)</f>
        <v>0</v>
      </c>
      <c r="D141" s="124">
        <f t="shared" ca="1" si="82"/>
        <v>0</v>
      </c>
      <c r="E141" s="124">
        <f t="shared" ca="1" si="82"/>
        <v>1.8151169545149129E-2</v>
      </c>
      <c r="F141" s="124">
        <f t="shared" ca="1" si="82"/>
        <v>3.6670434460276263E-2</v>
      </c>
      <c r="G141" s="124">
        <f t="shared" ca="1" si="82"/>
        <v>5.7579253884503426E-2</v>
      </c>
      <c r="H141" s="124">
        <f t="shared" ca="1" si="82"/>
        <v>7.9326489765920813E-2</v>
      </c>
      <c r="I141" s="124">
        <f t="shared" ca="1" si="82"/>
        <v>0.1020676097885144</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I154" si="83">SUMIF($A$185:$A$195,$A149,C$185:C$195)</f>
        <v>0</v>
      </c>
      <c r="D149" s="285">
        <f t="shared" si="83"/>
        <v>0</v>
      </c>
      <c r="E149" s="285">
        <f t="shared" si="83"/>
        <v>0</v>
      </c>
      <c r="F149" s="285">
        <f t="shared" si="83"/>
        <v>0</v>
      </c>
      <c r="G149" s="285">
        <f t="shared" si="83"/>
        <v>0</v>
      </c>
      <c r="H149" s="285">
        <f t="shared" si="83"/>
        <v>0</v>
      </c>
      <c r="I149" s="285">
        <f t="shared" si="83"/>
        <v>0</v>
      </c>
      <c r="J149" s="63"/>
      <c r="K149" s="63"/>
      <c r="L149" s="63"/>
    </row>
    <row r="150" spans="1:13" outlineLevel="1">
      <c r="A150" s="61" t="s">
        <v>69</v>
      </c>
      <c r="B150" s="65"/>
      <c r="C150" s="285">
        <f t="shared" si="83"/>
        <v>0</v>
      </c>
      <c r="D150" s="285">
        <f t="shared" si="83"/>
        <v>0</v>
      </c>
      <c r="E150" s="285">
        <f t="shared" si="83"/>
        <v>0</v>
      </c>
      <c r="F150" s="285">
        <f t="shared" si="83"/>
        <v>0</v>
      </c>
      <c r="G150" s="285">
        <f t="shared" si="83"/>
        <v>0</v>
      </c>
      <c r="H150" s="285">
        <f t="shared" si="83"/>
        <v>0</v>
      </c>
      <c r="I150" s="285">
        <f t="shared" si="83"/>
        <v>0</v>
      </c>
      <c r="J150" s="42"/>
      <c r="K150" s="21"/>
      <c r="L150" s="21"/>
    </row>
    <row r="151" spans="1:13" s="759" customFormat="1" outlineLevel="1">
      <c r="A151" s="61" t="s">
        <v>646</v>
      </c>
      <c r="B151" s="65"/>
      <c r="C151" s="285">
        <f t="shared" si="83"/>
        <v>0</v>
      </c>
      <c r="D151" s="285">
        <f t="shared" si="83"/>
        <v>0</v>
      </c>
      <c r="E151" s="285">
        <f t="shared" si="83"/>
        <v>0</v>
      </c>
      <c r="F151" s="285">
        <f t="shared" si="83"/>
        <v>0</v>
      </c>
      <c r="G151" s="285">
        <f t="shared" si="83"/>
        <v>0</v>
      </c>
      <c r="H151" s="285">
        <f t="shared" si="83"/>
        <v>0</v>
      </c>
      <c r="I151" s="285">
        <f t="shared" si="83"/>
        <v>0</v>
      </c>
      <c r="J151" s="42"/>
      <c r="K151" s="732"/>
      <c r="L151" s="732"/>
    </row>
    <row r="152" spans="1:13" outlineLevel="1">
      <c r="A152" s="61" t="s">
        <v>647</v>
      </c>
      <c r="B152" s="65"/>
      <c r="C152" s="285">
        <f t="shared" si="83"/>
        <v>0</v>
      </c>
      <c r="D152" s="285">
        <f t="shared" si="83"/>
        <v>0</v>
      </c>
      <c r="E152" s="285">
        <f t="shared" si="83"/>
        <v>0</v>
      </c>
      <c r="F152" s="285">
        <f t="shared" si="83"/>
        <v>0</v>
      </c>
      <c r="G152" s="285">
        <f t="shared" si="83"/>
        <v>0</v>
      </c>
      <c r="H152" s="285">
        <f t="shared" si="83"/>
        <v>0</v>
      </c>
      <c r="I152" s="285">
        <f t="shared" si="83"/>
        <v>0</v>
      </c>
      <c r="J152" s="42"/>
      <c r="K152" s="21"/>
      <c r="L152" s="21"/>
    </row>
    <row r="153" spans="1:13" s="759" customFormat="1" outlineLevel="1">
      <c r="A153" s="61" t="s">
        <v>575</v>
      </c>
      <c r="B153" s="65"/>
      <c r="C153" s="285">
        <f t="shared" si="83"/>
        <v>0</v>
      </c>
      <c r="D153" s="285">
        <f t="shared" si="83"/>
        <v>0</v>
      </c>
      <c r="E153" s="285">
        <f t="shared" si="83"/>
        <v>0</v>
      </c>
      <c r="F153" s="285">
        <f t="shared" si="83"/>
        <v>0</v>
      </c>
      <c r="G153" s="285">
        <f t="shared" si="83"/>
        <v>0</v>
      </c>
      <c r="H153" s="285">
        <f t="shared" si="83"/>
        <v>0</v>
      </c>
      <c r="I153" s="285">
        <f t="shared" si="83"/>
        <v>0</v>
      </c>
      <c r="J153" s="42"/>
      <c r="K153" s="732"/>
      <c r="L153" s="732"/>
    </row>
    <row r="154" spans="1:13" outlineLevel="1">
      <c r="A154" s="83" t="s">
        <v>70</v>
      </c>
      <c r="B154" s="65"/>
      <c r="C154" s="285">
        <f t="shared" si="83"/>
        <v>0</v>
      </c>
      <c r="D154" s="285">
        <f t="shared" si="83"/>
        <v>0</v>
      </c>
      <c r="E154" s="285">
        <f t="shared" si="83"/>
        <v>0</v>
      </c>
      <c r="F154" s="285">
        <f t="shared" si="83"/>
        <v>0</v>
      </c>
      <c r="G154" s="285">
        <f t="shared" si="83"/>
        <v>0</v>
      </c>
      <c r="H154" s="285">
        <f t="shared" si="83"/>
        <v>0</v>
      </c>
      <c r="I154" s="285">
        <f t="shared" si="83"/>
        <v>0</v>
      </c>
      <c r="J154" s="42"/>
      <c r="K154" s="21"/>
      <c r="L154" s="21"/>
    </row>
    <row r="155" spans="1:13" outlineLevel="1">
      <c r="A155" s="129" t="s">
        <v>150</v>
      </c>
      <c r="B155" s="130"/>
      <c r="C155" s="296">
        <f t="shared" ref="C155:I155" si="84">SUM(C149:C154)</f>
        <v>0</v>
      </c>
      <c r="D155" s="296">
        <f t="shared" si="84"/>
        <v>0</v>
      </c>
      <c r="E155" s="296">
        <f t="shared" si="84"/>
        <v>0</v>
      </c>
      <c r="F155" s="296">
        <f t="shared" si="84"/>
        <v>0</v>
      </c>
      <c r="G155" s="296">
        <f t="shared" si="84"/>
        <v>0</v>
      </c>
      <c r="H155" s="296">
        <f t="shared" si="84"/>
        <v>0</v>
      </c>
      <c r="I155" s="296">
        <f t="shared" si="84"/>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5">IF(ISNUMBER($J160),OFFSET($B$177,MATCH(+$J160,$J$178:$J$195,0),0),"")</f>
        <v>Step Change</v>
      </c>
      <c r="B160" s="285">
        <f t="shared" ref="B160:I169" ca="1" si="86">IF(ISNUMBER($J160),OFFSET(B$177,MATCH(+$J160,$J$178:$J$195,0)+13,0),"")</f>
        <v>0</v>
      </c>
      <c r="C160" s="285">
        <f t="shared" ca="1" si="86"/>
        <v>0</v>
      </c>
      <c r="D160" s="285">
        <f t="shared" ca="1" si="86"/>
        <v>0</v>
      </c>
      <c r="E160" s="285">
        <f t="shared" ca="1" si="86"/>
        <v>0</v>
      </c>
      <c r="F160" s="285">
        <f t="shared" ca="1" si="86"/>
        <v>0</v>
      </c>
      <c r="G160" s="285">
        <f t="shared" ca="1" si="86"/>
        <v>0</v>
      </c>
      <c r="H160" s="285">
        <f t="shared" ca="1" si="86"/>
        <v>0</v>
      </c>
      <c r="I160" s="285">
        <f t="shared" ca="1" si="86"/>
        <v>0</v>
      </c>
      <c r="J160" s="378">
        <f>IF($D$158&gt;0,1,"")</f>
        <v>1</v>
      </c>
      <c r="K160" s="66" t="str">
        <f t="shared" ref="K160:K169" ca="1" si="87">IF(ISNUMBER($J160),OFFSET($B$177,MATCH(+$J160,$J$178:$J$195,0)+1,0),"")</f>
        <v>Proposal Step Change</v>
      </c>
      <c r="L160" s="66" t="str">
        <f t="shared" ref="L160:L169" ca="1" si="88">IF(ISNUMBER($J160),OFFSET($B$177,MATCH(+$J160,$J$178:$J$195,0)+2,0),"")</f>
        <v>Refer Opex Workings</v>
      </c>
      <c r="M160" s="66" t="str">
        <f t="shared" ref="M160:M169" ca="1" si="89">IF(ISNUMBER($J160),OFFSET($B$177,MATCH(+$J160,$J$178:$J$195,0)+3,0),"")</f>
        <v>Proposal, October 2014</v>
      </c>
    </row>
    <row r="161" spans="1:13" outlineLevel="1">
      <c r="A161" s="66" t="str">
        <f t="shared" ca="1" si="85"/>
        <v/>
      </c>
      <c r="B161" s="285" t="str">
        <f t="shared" ca="1" si="86"/>
        <v/>
      </c>
      <c r="C161" s="285" t="str">
        <f t="shared" ca="1" si="86"/>
        <v/>
      </c>
      <c r="D161" s="285" t="str">
        <f t="shared" ca="1" si="86"/>
        <v/>
      </c>
      <c r="E161" s="285" t="str">
        <f t="shared" ca="1" si="86"/>
        <v/>
      </c>
      <c r="F161" s="285" t="str">
        <f t="shared" ca="1" si="86"/>
        <v/>
      </c>
      <c r="G161" s="285" t="str">
        <f t="shared" ca="1" si="86"/>
        <v/>
      </c>
      <c r="H161" s="285" t="str">
        <f t="shared" ca="1" si="86"/>
        <v/>
      </c>
      <c r="I161" s="285" t="str">
        <f t="shared" ca="1" si="86"/>
        <v/>
      </c>
      <c r="J161" s="378" t="str">
        <f>IF(J160&lt;$D$158,J160+1,"")</f>
        <v/>
      </c>
      <c r="K161" s="66" t="str">
        <f t="shared" ca="1" si="87"/>
        <v/>
      </c>
      <c r="L161" s="66" t="str">
        <f t="shared" ca="1" si="88"/>
        <v/>
      </c>
      <c r="M161" s="66" t="str">
        <f t="shared" ca="1" si="89"/>
        <v/>
      </c>
    </row>
    <row r="162" spans="1:13" outlineLevel="1">
      <c r="A162" s="66" t="str">
        <f t="shared" ca="1" si="85"/>
        <v/>
      </c>
      <c r="B162" s="285" t="str">
        <f t="shared" ca="1" si="86"/>
        <v/>
      </c>
      <c r="C162" s="285" t="str">
        <f t="shared" ca="1" si="86"/>
        <v/>
      </c>
      <c r="D162" s="285" t="str">
        <f t="shared" ca="1" si="86"/>
        <v/>
      </c>
      <c r="E162" s="285" t="str">
        <f t="shared" ca="1" si="86"/>
        <v/>
      </c>
      <c r="F162" s="285" t="str">
        <f t="shared" ca="1" si="86"/>
        <v/>
      </c>
      <c r="G162" s="285" t="str">
        <f t="shared" ca="1" si="86"/>
        <v/>
      </c>
      <c r="H162" s="285" t="str">
        <f t="shared" ca="1" si="86"/>
        <v/>
      </c>
      <c r="I162" s="285" t="str">
        <f t="shared" ca="1" si="86"/>
        <v/>
      </c>
      <c r="J162" s="378" t="str">
        <f t="shared" ref="J162:J169" si="90">IF(J161&lt;$D$158,J161+1,"")</f>
        <v/>
      </c>
      <c r="K162" s="66" t="str">
        <f t="shared" ca="1" si="87"/>
        <v/>
      </c>
      <c r="L162" s="66" t="str">
        <f t="shared" ca="1" si="88"/>
        <v/>
      </c>
      <c r="M162" s="66" t="str">
        <f t="shared" ca="1" si="89"/>
        <v/>
      </c>
    </row>
    <row r="163" spans="1:13" outlineLevel="1">
      <c r="A163" s="66" t="str">
        <f t="shared" ca="1" si="85"/>
        <v/>
      </c>
      <c r="B163" s="285" t="str">
        <f t="shared" ca="1" si="86"/>
        <v/>
      </c>
      <c r="C163" s="285" t="str">
        <f t="shared" ca="1" si="86"/>
        <v/>
      </c>
      <c r="D163" s="285" t="str">
        <f t="shared" ca="1" si="86"/>
        <v/>
      </c>
      <c r="E163" s="285" t="str">
        <f t="shared" ca="1" si="86"/>
        <v/>
      </c>
      <c r="F163" s="285" t="str">
        <f t="shared" ca="1" si="86"/>
        <v/>
      </c>
      <c r="G163" s="285" t="str">
        <f t="shared" ca="1" si="86"/>
        <v/>
      </c>
      <c r="H163" s="285" t="str">
        <f t="shared" ca="1" si="86"/>
        <v/>
      </c>
      <c r="I163" s="285" t="str">
        <f t="shared" ca="1" si="86"/>
        <v/>
      </c>
      <c r="J163" s="378" t="str">
        <f t="shared" si="90"/>
        <v/>
      </c>
      <c r="K163" s="66" t="str">
        <f t="shared" ca="1" si="87"/>
        <v/>
      </c>
      <c r="L163" s="66" t="str">
        <f t="shared" ca="1" si="88"/>
        <v/>
      </c>
      <c r="M163" s="66" t="str">
        <f t="shared" ca="1" si="89"/>
        <v/>
      </c>
    </row>
    <row r="164" spans="1:13" outlineLevel="1">
      <c r="A164" s="66" t="str">
        <f t="shared" ca="1" si="85"/>
        <v/>
      </c>
      <c r="B164" s="285" t="str">
        <f t="shared" ca="1" si="86"/>
        <v/>
      </c>
      <c r="C164" s="285" t="str">
        <f t="shared" ca="1" si="86"/>
        <v/>
      </c>
      <c r="D164" s="285" t="str">
        <f t="shared" ca="1" si="86"/>
        <v/>
      </c>
      <c r="E164" s="285" t="str">
        <f t="shared" ca="1" si="86"/>
        <v/>
      </c>
      <c r="F164" s="285" t="str">
        <f t="shared" ca="1" si="86"/>
        <v/>
      </c>
      <c r="G164" s="285" t="str">
        <f t="shared" ca="1" si="86"/>
        <v/>
      </c>
      <c r="H164" s="285" t="str">
        <f t="shared" ca="1" si="86"/>
        <v/>
      </c>
      <c r="I164" s="285" t="str">
        <f t="shared" ca="1" si="86"/>
        <v/>
      </c>
      <c r="J164" s="378" t="str">
        <f t="shared" si="90"/>
        <v/>
      </c>
      <c r="K164" s="66" t="str">
        <f t="shared" ca="1" si="87"/>
        <v/>
      </c>
      <c r="L164" s="66" t="str">
        <f t="shared" ca="1" si="88"/>
        <v/>
      </c>
      <c r="M164" s="66" t="str">
        <f t="shared" ca="1" si="89"/>
        <v/>
      </c>
    </row>
    <row r="165" spans="1:13" outlineLevel="1">
      <c r="A165" s="66" t="str">
        <f t="shared" ca="1" si="85"/>
        <v/>
      </c>
      <c r="B165" s="285" t="str">
        <f t="shared" ca="1" si="86"/>
        <v/>
      </c>
      <c r="C165" s="285" t="str">
        <f t="shared" ca="1" si="86"/>
        <v/>
      </c>
      <c r="D165" s="285" t="str">
        <f t="shared" ca="1" si="86"/>
        <v/>
      </c>
      <c r="E165" s="285" t="str">
        <f t="shared" ca="1" si="86"/>
        <v/>
      </c>
      <c r="F165" s="285" t="str">
        <f t="shared" ca="1" si="86"/>
        <v/>
      </c>
      <c r="G165" s="285" t="str">
        <f t="shared" ca="1" si="86"/>
        <v/>
      </c>
      <c r="H165" s="285" t="str">
        <f t="shared" ca="1" si="86"/>
        <v/>
      </c>
      <c r="I165" s="285" t="str">
        <f t="shared" ca="1" si="86"/>
        <v/>
      </c>
      <c r="J165" s="378" t="str">
        <f t="shared" si="90"/>
        <v/>
      </c>
      <c r="K165" s="66" t="str">
        <f t="shared" ca="1" si="87"/>
        <v/>
      </c>
      <c r="L165" s="66" t="str">
        <f t="shared" ca="1" si="88"/>
        <v/>
      </c>
      <c r="M165" s="66" t="str">
        <f t="shared" ca="1" si="89"/>
        <v/>
      </c>
    </row>
    <row r="166" spans="1:13" outlineLevel="1">
      <c r="A166" s="66" t="str">
        <f t="shared" ca="1" si="85"/>
        <v/>
      </c>
      <c r="B166" s="285" t="str">
        <f t="shared" ca="1" si="86"/>
        <v/>
      </c>
      <c r="C166" s="285" t="str">
        <f t="shared" ca="1" si="86"/>
        <v/>
      </c>
      <c r="D166" s="285" t="str">
        <f t="shared" ca="1" si="86"/>
        <v/>
      </c>
      <c r="E166" s="285" t="str">
        <f t="shared" ca="1" si="86"/>
        <v/>
      </c>
      <c r="F166" s="285" t="str">
        <f t="shared" ca="1" si="86"/>
        <v/>
      </c>
      <c r="G166" s="285" t="str">
        <f t="shared" ca="1" si="86"/>
        <v/>
      </c>
      <c r="H166" s="285" t="str">
        <f t="shared" ca="1" si="86"/>
        <v/>
      </c>
      <c r="I166" s="285" t="str">
        <f t="shared" ca="1" si="86"/>
        <v/>
      </c>
      <c r="J166" s="378" t="str">
        <f t="shared" si="90"/>
        <v/>
      </c>
      <c r="K166" s="66" t="str">
        <f t="shared" ca="1" si="87"/>
        <v/>
      </c>
      <c r="L166" s="66" t="str">
        <f t="shared" ca="1" si="88"/>
        <v/>
      </c>
      <c r="M166" s="66" t="str">
        <f t="shared" ca="1" si="89"/>
        <v/>
      </c>
    </row>
    <row r="167" spans="1:13" outlineLevel="1">
      <c r="A167" s="66" t="str">
        <f t="shared" ca="1" si="85"/>
        <v/>
      </c>
      <c r="B167" s="285" t="str">
        <f t="shared" ca="1" si="86"/>
        <v/>
      </c>
      <c r="C167" s="285" t="str">
        <f t="shared" ca="1" si="86"/>
        <v/>
      </c>
      <c r="D167" s="285" t="str">
        <f t="shared" ca="1" si="86"/>
        <v/>
      </c>
      <c r="E167" s="285" t="str">
        <f t="shared" ca="1" si="86"/>
        <v/>
      </c>
      <c r="F167" s="285" t="str">
        <f t="shared" ca="1" si="86"/>
        <v/>
      </c>
      <c r="G167" s="285" t="str">
        <f t="shared" ca="1" si="86"/>
        <v/>
      </c>
      <c r="H167" s="285" t="str">
        <f t="shared" ca="1" si="86"/>
        <v/>
      </c>
      <c r="I167" s="285" t="str">
        <f t="shared" ca="1" si="86"/>
        <v/>
      </c>
      <c r="J167" s="378" t="str">
        <f t="shared" si="90"/>
        <v/>
      </c>
      <c r="K167" s="66" t="str">
        <f t="shared" ca="1" si="87"/>
        <v/>
      </c>
      <c r="L167" s="66" t="str">
        <f t="shared" ca="1" si="88"/>
        <v/>
      </c>
      <c r="M167" s="66" t="str">
        <f t="shared" ca="1" si="89"/>
        <v/>
      </c>
    </row>
    <row r="168" spans="1:13" outlineLevel="1">
      <c r="A168" s="66" t="str">
        <f t="shared" ca="1" si="85"/>
        <v/>
      </c>
      <c r="B168" s="285" t="str">
        <f t="shared" ca="1" si="86"/>
        <v/>
      </c>
      <c r="C168" s="285" t="str">
        <f t="shared" ca="1" si="86"/>
        <v/>
      </c>
      <c r="D168" s="285" t="str">
        <f t="shared" ca="1" si="86"/>
        <v/>
      </c>
      <c r="E168" s="285" t="str">
        <f t="shared" ca="1" si="86"/>
        <v/>
      </c>
      <c r="F168" s="285" t="str">
        <f t="shared" ca="1" si="86"/>
        <v/>
      </c>
      <c r="G168" s="285" t="str">
        <f t="shared" ca="1" si="86"/>
        <v/>
      </c>
      <c r="H168" s="285" t="str">
        <f t="shared" ca="1" si="86"/>
        <v/>
      </c>
      <c r="I168" s="285" t="str">
        <f t="shared" ca="1" si="86"/>
        <v/>
      </c>
      <c r="J168" s="378" t="str">
        <f t="shared" si="90"/>
        <v/>
      </c>
      <c r="K168" s="66" t="str">
        <f t="shared" ca="1" si="87"/>
        <v/>
      </c>
      <c r="L168" s="66" t="str">
        <f t="shared" ca="1" si="88"/>
        <v/>
      </c>
      <c r="M168" s="66" t="str">
        <f t="shared" ca="1" si="89"/>
        <v/>
      </c>
    </row>
    <row r="169" spans="1:13" outlineLevel="1">
      <c r="A169" s="66" t="str">
        <f t="shared" ca="1" si="85"/>
        <v/>
      </c>
      <c r="B169" s="285" t="str">
        <f t="shared" ca="1" si="86"/>
        <v/>
      </c>
      <c r="C169" s="285" t="str">
        <f t="shared" ca="1" si="86"/>
        <v/>
      </c>
      <c r="D169" s="285" t="str">
        <f t="shared" ca="1" si="86"/>
        <v/>
      </c>
      <c r="E169" s="285" t="str">
        <f t="shared" ca="1" si="86"/>
        <v/>
      </c>
      <c r="F169" s="285" t="str">
        <f t="shared" ca="1" si="86"/>
        <v/>
      </c>
      <c r="G169" s="285" t="str">
        <f t="shared" ca="1" si="86"/>
        <v/>
      </c>
      <c r="H169" s="285" t="str">
        <f t="shared" ca="1" si="86"/>
        <v/>
      </c>
      <c r="I169" s="285" t="str">
        <f t="shared" ca="1" si="86"/>
        <v/>
      </c>
      <c r="J169" s="378" t="str">
        <f t="shared" si="90"/>
        <v/>
      </c>
      <c r="K169" s="66" t="str">
        <f t="shared" ca="1" si="87"/>
        <v/>
      </c>
      <c r="L169" s="66" t="str">
        <f t="shared" ca="1" si="88"/>
        <v/>
      </c>
      <c r="M169" s="66" t="str">
        <f t="shared" ca="1" si="89"/>
        <v/>
      </c>
    </row>
    <row r="170" spans="1:13">
      <c r="A170" s="129" t="s">
        <v>150</v>
      </c>
      <c r="B170" s="296">
        <f ca="1">SUM(B160:B169)</f>
        <v>0</v>
      </c>
      <c r="C170" s="296">
        <f t="shared" ref="C170:I170" ca="1" si="91">SUM(C160:C169)</f>
        <v>0</v>
      </c>
      <c r="D170" s="296">
        <f t="shared" ca="1" si="91"/>
        <v>0</v>
      </c>
      <c r="E170" s="296">
        <f t="shared" ca="1" si="91"/>
        <v>0</v>
      </c>
      <c r="F170" s="296">
        <f t="shared" ca="1" si="91"/>
        <v>0</v>
      </c>
      <c r="G170" s="296">
        <f t="shared" ca="1" si="91"/>
        <v>0</v>
      </c>
      <c r="H170" s="296">
        <f t="shared" ca="1" si="91"/>
        <v>0</v>
      </c>
      <c r="I170" s="296">
        <f t="shared" ca="1" si="91"/>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488"/>
      <c r="E185" s="285">
        <f t="array" ref="E185:I190">'[3]TOTAL (SEM)'!$O$115:$S$120</f>
        <v>0</v>
      </c>
      <c r="F185" s="285">
        <v>0</v>
      </c>
      <c r="G185" s="285">
        <v>0</v>
      </c>
      <c r="H185" s="285">
        <v>0</v>
      </c>
      <c r="I185" s="285">
        <v>0</v>
      </c>
      <c r="J185" s="63"/>
      <c r="K185" s="63"/>
      <c r="L185" s="63"/>
    </row>
    <row r="186" spans="1:12" outlineLevel="1">
      <c r="A186" s="61" t="s">
        <v>69</v>
      </c>
      <c r="B186" s="65"/>
      <c r="C186" s="65"/>
      <c r="D186" s="488"/>
      <c r="E186" s="285">
        <v>0</v>
      </c>
      <c r="F186" s="285">
        <v>0</v>
      </c>
      <c r="G186" s="285">
        <v>0</v>
      </c>
      <c r="H186" s="285">
        <v>0</v>
      </c>
      <c r="I186" s="285">
        <v>0</v>
      </c>
      <c r="J186" s="42"/>
      <c r="K186" s="21"/>
      <c r="L186" s="21"/>
    </row>
    <row r="187" spans="1:12" s="759" customFormat="1" outlineLevel="1">
      <c r="A187" s="61" t="s">
        <v>646</v>
      </c>
      <c r="B187" s="65"/>
      <c r="C187" s="65"/>
      <c r="D187" s="488"/>
      <c r="E187" s="285">
        <v>0</v>
      </c>
      <c r="F187" s="285">
        <v>0</v>
      </c>
      <c r="G187" s="285">
        <v>0</v>
      </c>
      <c r="H187" s="285">
        <v>0</v>
      </c>
      <c r="I187" s="285">
        <v>0</v>
      </c>
      <c r="J187" s="42"/>
      <c r="K187" s="732"/>
      <c r="L187" s="732"/>
    </row>
    <row r="188" spans="1:12" outlineLevel="1">
      <c r="A188" s="61" t="s">
        <v>647</v>
      </c>
      <c r="B188" s="65"/>
      <c r="C188" s="65"/>
      <c r="D188" s="488"/>
      <c r="E188" s="285">
        <v>0</v>
      </c>
      <c r="F188" s="285">
        <v>0</v>
      </c>
      <c r="G188" s="285">
        <v>0</v>
      </c>
      <c r="H188" s="285">
        <v>0</v>
      </c>
      <c r="I188" s="285">
        <v>0</v>
      </c>
      <c r="J188" s="42"/>
      <c r="K188" s="21"/>
      <c r="L188" s="21"/>
    </row>
    <row r="189" spans="1:12" s="759" customFormat="1" outlineLevel="1">
      <c r="A189" s="61" t="s">
        <v>575</v>
      </c>
      <c r="B189" s="65"/>
      <c r="C189" s="65"/>
      <c r="D189" s="488"/>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2">SUM(C185:C190)</f>
        <v>0</v>
      </c>
      <c r="D191" s="296">
        <f t="shared" si="92"/>
        <v>0</v>
      </c>
      <c r="E191" s="296">
        <f t="shared" si="92"/>
        <v>0</v>
      </c>
      <c r="F191" s="296">
        <f t="shared" si="92"/>
        <v>0</v>
      </c>
      <c r="G191" s="296">
        <f t="shared" si="92"/>
        <v>0</v>
      </c>
      <c r="H191" s="296">
        <f t="shared" si="92"/>
        <v>0</v>
      </c>
      <c r="I191" s="296">
        <f t="shared" si="92"/>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3">+B14</f>
        <v>0</v>
      </c>
      <c r="C205" s="82">
        <f t="shared" ca="1" si="93"/>
        <v>0</v>
      </c>
      <c r="D205" s="82">
        <f t="shared" ca="1" si="93"/>
        <v>33.394000000000005</v>
      </c>
      <c r="E205" s="82">
        <f t="shared" ca="1" si="93"/>
        <v>33.394000000000005</v>
      </c>
      <c r="F205" s="82">
        <f t="shared" ca="1" si="93"/>
        <v>33.394000000000005</v>
      </c>
      <c r="G205" s="82">
        <f t="shared" ca="1" si="93"/>
        <v>33.394000000000005</v>
      </c>
      <c r="H205" s="82">
        <f t="shared" ca="1" si="93"/>
        <v>33.394000000000005</v>
      </c>
      <c r="I205" s="82">
        <f t="shared" ca="1" si="93"/>
        <v>33.394000000000005</v>
      </c>
    </row>
    <row r="206" spans="1:9" outlineLevel="1">
      <c r="A206" t="s">
        <v>156</v>
      </c>
      <c r="B206" s="82">
        <f t="shared" ref="B206:I206" ca="1" si="94">+B36</f>
        <v>0</v>
      </c>
      <c r="C206" s="82">
        <f t="shared" ca="1" si="94"/>
        <v>0</v>
      </c>
      <c r="D206" s="82">
        <f t="shared" ca="1" si="94"/>
        <v>33.394000000000005</v>
      </c>
      <c r="E206" s="82">
        <f t="shared" ca="1" si="94"/>
        <v>33.394000000000005</v>
      </c>
      <c r="F206" s="82">
        <f t="shared" ca="1" si="94"/>
        <v>33.394000000000005</v>
      </c>
      <c r="G206" s="82">
        <f t="shared" ca="1" si="94"/>
        <v>33.394000000000005</v>
      </c>
      <c r="H206" s="82">
        <f t="shared" ca="1" si="94"/>
        <v>33.394000000000005</v>
      </c>
      <c r="I206" s="82">
        <f t="shared" ca="1" si="94"/>
        <v>33.394000000000005</v>
      </c>
    </row>
    <row r="207" spans="1:9" outlineLevel="1">
      <c r="A207" t="s">
        <v>157</v>
      </c>
      <c r="B207" s="82">
        <f t="shared" ref="B207:I207" ca="1" si="95">+B36+B48</f>
        <v>0</v>
      </c>
      <c r="C207" s="82">
        <f t="shared" ca="1" si="95"/>
        <v>0</v>
      </c>
      <c r="D207" s="82">
        <f t="shared" ca="1" si="95"/>
        <v>33.394000000000005</v>
      </c>
      <c r="E207" s="82">
        <f t="shared" ca="1" si="95"/>
        <v>33.748308946843572</v>
      </c>
      <c r="F207" s="82">
        <f t="shared" ca="1" si="95"/>
        <v>34.076606591157898</v>
      </c>
      <c r="G207" s="82">
        <f t="shared" ca="1" si="95"/>
        <v>34.401125167070255</v>
      </c>
      <c r="H207" s="82">
        <f t="shared" ca="1" si="95"/>
        <v>34.753201758058779</v>
      </c>
      <c r="I207" s="82">
        <f t="shared" ca="1" si="95"/>
        <v>35.075706550356749</v>
      </c>
    </row>
    <row r="208" spans="1:9" outlineLevel="1">
      <c r="A208" t="s">
        <v>158</v>
      </c>
      <c r="B208" s="82">
        <f t="shared" ref="B208:I208" ca="1" si="96">+B70</f>
        <v>0</v>
      </c>
      <c r="C208" s="82">
        <f t="shared" ca="1" si="96"/>
        <v>0</v>
      </c>
      <c r="D208" s="82">
        <f t="shared" ca="1" si="96"/>
        <v>33.394000000000005</v>
      </c>
      <c r="E208" s="82">
        <f t="shared" ca="1" si="96"/>
        <v>34.3608802243998</v>
      </c>
      <c r="F208" s="82">
        <f t="shared" ca="1" si="96"/>
        <v>35.326210559787562</v>
      </c>
      <c r="G208" s="82">
        <f t="shared" ca="1" si="96"/>
        <v>36.381916286977571</v>
      </c>
      <c r="H208" s="82">
        <f t="shared" ca="1" si="96"/>
        <v>37.510051261652407</v>
      </c>
      <c r="I208" s="82">
        <f t="shared" ca="1" si="96"/>
        <v>38.655800079595004</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103" priority="1" stopIfTrue="1" operator="notEqual">
      <formula>0</formula>
    </cfRule>
  </conditionalFormatting>
  <conditionalFormatting sqref="J130 J94 J70 J59 J48 J36:J37 J14 J25">
    <cfRule type="cellIs" dxfId="102" priority="2" stopIfTrue="1" operator="equal">
      <formula>"OK"</formula>
    </cfRule>
    <cfRule type="cellIs" dxfId="101" priority="3" stopIfTrue="1" operator="equal">
      <formula>"Warning Check Escalations"</formula>
    </cfRule>
  </conditionalFormatting>
  <conditionalFormatting sqref="N120:T120 N84:T84">
    <cfRule type="cellIs" dxfId="100" priority="4" stopIfTrue="1" operator="notEqual">
      <formula>0</formula>
    </cfRule>
    <cfRule type="cellIs" dxfId="9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4"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xml><?xml version="1.0" encoding="utf-8"?>
<worksheet xmlns="http://schemas.openxmlformats.org/spreadsheetml/2006/main" xmlns:r="http://schemas.openxmlformats.org/officeDocument/2006/relationships">
  <sheetPr codeName="Sheet14" enableFormatConditionsCalculation="0">
    <tabColor indexed="58"/>
    <pageSetUpPr autoPageBreaks="0"/>
  </sheetPr>
  <dimension ref="A1:F19"/>
  <sheetViews>
    <sheetView showGridLines="0" zoomScaleNormal="100" workbookViewId="0">
      <selection activeCell="D4" sqref="D4"/>
    </sheetView>
  </sheetViews>
  <sheetFormatPr defaultColWidth="9.28515625" defaultRowHeight="12.75"/>
  <cols>
    <col min="1" max="2" width="9.28515625" customWidth="1"/>
    <col min="3" max="3" width="10" customWidth="1"/>
    <col min="4" max="4" width="5.140625" customWidth="1"/>
  </cols>
  <sheetData>
    <row r="1" spans="1:6">
      <c r="A1" s="174" t="s">
        <v>18</v>
      </c>
    </row>
    <row r="9" spans="1:6" ht="18">
      <c r="C9" s="175" t="s">
        <v>388</v>
      </c>
    </row>
    <row r="10" spans="1:6" ht="16.5">
      <c r="C10" s="176" t="s">
        <v>4</v>
      </c>
      <c r="D10" s="730">
        <v>2</v>
      </c>
    </row>
    <row r="11" spans="1:6" ht="15.75">
      <c r="C11" s="177" t="s">
        <v>496</v>
      </c>
    </row>
    <row r="12" spans="1:6">
      <c r="C12" s="882"/>
      <c r="D12" s="882"/>
      <c r="E12" s="882"/>
      <c r="F12" s="882"/>
    </row>
    <row r="16" spans="1:6">
      <c r="C16" s="179" t="s">
        <v>22</v>
      </c>
    </row>
    <row r="17" spans="3:3">
      <c r="C17" s="180" t="s">
        <v>21</v>
      </c>
    </row>
    <row r="18" spans="3:3">
      <c r="C18" s="180"/>
    </row>
    <row r="19" spans="3:3">
      <c r="C19" s="180"/>
    </row>
  </sheetData>
  <sheetProtection formatColumns="0" formatRows="0"/>
  <mergeCells count="1">
    <mergeCell ref="C12:F12"/>
  </mergeCells>
  <phoneticPr fontId="10" type="noConversion"/>
  <pageMargins left="0.39370078740157483" right="0.39370078740157483" top="0.59055118110236227" bottom="0.98425196850393704" header="0" footer="0.31496062992125984"/>
  <pageSetup paperSize="9" orientation="landscape" r:id="rId1"/>
  <headerFooter alignWithMargins="0">
    <oddFooter>&amp;L&amp;"Arial,Bold"&amp;7&amp;F
&amp;A
Printed: &amp;T on &amp;D&amp;C&amp;"Arial,Bold"&amp;10Page &amp;P of &amp;N</oddFooter>
  </headerFooter>
</worksheet>
</file>

<file path=xl/worksheets/sheet70.xml><?xml version="1.0" encoding="utf-8"?>
<worksheet xmlns="http://schemas.openxmlformats.org/spreadsheetml/2006/main" xmlns:r="http://schemas.openxmlformats.org/officeDocument/2006/relationships">
  <sheetPr codeName="Sheet44" enableFormatConditionsCalculation="0">
    <tabColor rgb="FF008000"/>
    <pageSetUpPr fitToPage="1"/>
  </sheetPr>
  <dimension ref="A1:T239"/>
  <sheetViews>
    <sheetView showGridLines="0" topLeftCell="A68"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16</v>
      </c>
      <c r="M1" s="282"/>
      <c r="N1" s="280"/>
      <c r="O1" s="280"/>
      <c r="P1" s="280"/>
      <c r="Q1" s="280"/>
      <c r="R1" s="280"/>
      <c r="S1" s="280"/>
      <c r="T1" s="280"/>
    </row>
    <row r="2" spans="1:20" ht="15.75">
      <c r="A2" s="184" t="s">
        <v>121</v>
      </c>
      <c r="B2" s="74" t="str">
        <f ca="1">OFFSET(List_DAOpexStart,+$K$1,1)</f>
        <v>Meter Reading Charges</v>
      </c>
      <c r="F2" s="284"/>
      <c r="H2" s="42"/>
      <c r="I2" s="283"/>
      <c r="L2" s="282"/>
      <c r="M2" s="282"/>
    </row>
    <row r="3" spans="1:20" ht="16.5" thickBot="1">
      <c r="A3" s="184" t="s">
        <v>371</v>
      </c>
      <c r="B3" s="236" t="str">
        <f ca="1">OFFSET(List_DAOpexStart,+$K$1,2)</f>
        <v>Mark Evans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+'DA-16'!B8+'DA-16'!B19</f>
        <v>0</v>
      </c>
      <c r="C30" s="285">
        <f ca="1">+'DA-16'!C8+'DA-16'!C19</f>
        <v>0</v>
      </c>
      <c r="D30" s="285">
        <f ca="1">+'DA-16'!D8+'DA-16'!D19</f>
        <v>0</v>
      </c>
      <c r="E30" s="285">
        <f ca="1">+'DA-16'!E8+'DA-16'!E19</f>
        <v>0</v>
      </c>
      <c r="F30" s="285">
        <f ca="1">+'DA-16'!F8+'DA-16'!F19</f>
        <v>0</v>
      </c>
      <c r="G30" s="285">
        <f ca="1">+'DA-16'!G8+'DA-16'!G19</f>
        <v>0</v>
      </c>
      <c r="H30" s="285">
        <f ca="1">+'DA-16'!H8+'DA-16'!H19</f>
        <v>0</v>
      </c>
      <c r="I30" s="285">
        <f ca="1">+'DA-16'!I8+'DA-16'!I19</f>
        <v>0</v>
      </c>
      <c r="J30" s="42"/>
      <c r="K30" s="21"/>
      <c r="L30" s="21"/>
    </row>
    <row r="31" spans="1:12" outlineLevel="2">
      <c r="A31" s="61" t="s">
        <v>69</v>
      </c>
      <c r="B31" s="285">
        <f ca="1">+'DA-16'!B9+'DA-16'!B20</f>
        <v>0</v>
      </c>
      <c r="C31" s="285">
        <f ca="1">+'DA-16'!C9+'DA-16'!C20</f>
        <v>0</v>
      </c>
      <c r="D31" s="285">
        <f ca="1">+'DA-16'!D9+'DA-16'!D20</f>
        <v>0</v>
      </c>
      <c r="E31" s="285">
        <f ca="1">+'DA-16'!E9+'DA-16'!E20</f>
        <v>0</v>
      </c>
      <c r="F31" s="285">
        <f ca="1">+'DA-16'!F9+'DA-16'!F20</f>
        <v>0</v>
      </c>
      <c r="G31" s="285">
        <f ca="1">+'DA-16'!G9+'DA-16'!G20</f>
        <v>0</v>
      </c>
      <c r="H31" s="285">
        <f ca="1">+'DA-16'!H9+'DA-16'!H20</f>
        <v>0</v>
      </c>
      <c r="I31" s="285">
        <f ca="1">+'DA-16'!I9+'DA-16'!I20</f>
        <v>0</v>
      </c>
      <c r="J31" s="42"/>
      <c r="K31" s="21"/>
      <c r="L31" s="21"/>
    </row>
    <row r="32" spans="1:12" s="759" customFormat="1" outlineLevel="2">
      <c r="A32" s="61" t="s">
        <v>646</v>
      </c>
      <c r="B32" s="285">
        <f ca="1">+'DA-16'!B10+'DA-16'!B21</f>
        <v>0</v>
      </c>
      <c r="C32" s="285">
        <f ca="1">+'DA-16'!C10+'DA-16'!C21</f>
        <v>0</v>
      </c>
      <c r="D32" s="285">
        <f ca="1">+'DA-16'!D10+'DA-16'!D21</f>
        <v>0</v>
      </c>
      <c r="E32" s="285">
        <f ca="1">+'DA-16'!E10+'DA-16'!E21</f>
        <v>0</v>
      </c>
      <c r="F32" s="285">
        <f ca="1">+'DA-16'!F10+'DA-16'!F21</f>
        <v>0</v>
      </c>
      <c r="G32" s="285">
        <f ca="1">+'DA-16'!G10+'DA-16'!G21</f>
        <v>0</v>
      </c>
      <c r="H32" s="285">
        <f ca="1">+'DA-16'!H10+'DA-16'!H21</f>
        <v>0</v>
      </c>
      <c r="I32" s="285">
        <f ca="1">+'DA-16'!I10+'DA-16'!I21</f>
        <v>0</v>
      </c>
      <c r="J32" s="42"/>
      <c r="K32" s="732"/>
      <c r="L32" s="732"/>
    </row>
    <row r="33" spans="1:12" outlineLevel="2">
      <c r="A33" s="61" t="s">
        <v>647</v>
      </c>
      <c r="B33" s="285">
        <f ca="1">+'DA-16'!B11+'DA-16'!B22</f>
        <v>0</v>
      </c>
      <c r="C33" s="285">
        <f ca="1">+'DA-16'!C11+'DA-16'!C22</f>
        <v>0</v>
      </c>
      <c r="D33" s="285">
        <f ca="1">+'DA-16'!D11+'DA-16'!D22</f>
        <v>0</v>
      </c>
      <c r="E33" s="285">
        <f ca="1">+'DA-16'!E11+'DA-16'!E22</f>
        <v>0</v>
      </c>
      <c r="F33" s="285">
        <f ca="1">+'DA-16'!F11+'DA-16'!F22</f>
        <v>0</v>
      </c>
      <c r="G33" s="285">
        <f ca="1">+'DA-16'!G11+'DA-16'!G22</f>
        <v>0</v>
      </c>
      <c r="H33" s="285">
        <f ca="1">+'DA-16'!H11+'DA-16'!H22</f>
        <v>0</v>
      </c>
      <c r="I33" s="285">
        <f ca="1">+'DA-16'!I11+'DA-16'!I22</f>
        <v>0</v>
      </c>
      <c r="J33" s="42"/>
      <c r="K33" s="21"/>
      <c r="L33" s="21"/>
    </row>
    <row r="34" spans="1:12" s="759" customFormat="1" outlineLevel="2">
      <c r="A34" s="61" t="s">
        <v>575</v>
      </c>
      <c r="B34" s="285">
        <f ca="1">+'DA-16'!B12+'DA-16'!B23</f>
        <v>0</v>
      </c>
      <c r="C34" s="285">
        <f ca="1">+'DA-16'!C12+'DA-16'!C23</f>
        <v>0</v>
      </c>
      <c r="D34" s="285">
        <f ca="1">+'DA-16'!D12+'DA-16'!D23</f>
        <v>0</v>
      </c>
      <c r="E34" s="285">
        <f ca="1">+'DA-16'!E12+'DA-16'!E23</f>
        <v>0</v>
      </c>
      <c r="F34" s="285">
        <f ca="1">+'DA-16'!F12+'DA-16'!F23</f>
        <v>0</v>
      </c>
      <c r="G34" s="285">
        <f ca="1">+'DA-16'!G12+'DA-16'!G23</f>
        <v>0</v>
      </c>
      <c r="H34" s="285">
        <f ca="1">+'DA-16'!H12+'DA-16'!H23</f>
        <v>0</v>
      </c>
      <c r="I34" s="285">
        <f ca="1">+'DA-16'!I12+'DA-16'!I23</f>
        <v>0</v>
      </c>
      <c r="J34" s="42"/>
      <c r="K34" s="732"/>
      <c r="L34" s="732"/>
    </row>
    <row r="35" spans="1:12" ht="13.5" outlineLevel="2" thickBot="1">
      <c r="A35" s="83" t="s">
        <v>70</v>
      </c>
      <c r="B35" s="285">
        <f ca="1">+'DA-16'!B13+'DA-16'!B24</f>
        <v>0</v>
      </c>
      <c r="C35" s="285">
        <f ca="1">+'DA-16'!C13+'DA-16'!C24</f>
        <v>0</v>
      </c>
      <c r="D35" s="285">
        <f ca="1">+'DA-16'!D13+'DA-16'!D24</f>
        <v>0</v>
      </c>
      <c r="E35" s="285">
        <f ca="1">+'DA-16'!E13+'DA-16'!E24</f>
        <v>0</v>
      </c>
      <c r="F35" s="285">
        <f ca="1">+'DA-16'!F13+'DA-16'!F24</f>
        <v>0</v>
      </c>
      <c r="G35" s="285">
        <f ca="1">+'DA-16'!G13+'DA-16'!G24</f>
        <v>0</v>
      </c>
      <c r="H35" s="285">
        <f ca="1">+'DA-16'!H13+'DA-16'!H24</f>
        <v>0</v>
      </c>
      <c r="I35" s="285">
        <f ca="1">+'DA-16'!I13+'DA-16'!I24</f>
        <v>0</v>
      </c>
      <c r="J35" s="93"/>
      <c r="K35" s="21"/>
      <c r="L35" s="21"/>
    </row>
    <row r="36" spans="1:12" s="87" customFormat="1" ht="20.25" customHeight="1" thickBot="1">
      <c r="A36" s="94" t="s">
        <v>128</v>
      </c>
      <c r="B36" s="294">
        <f t="shared" ref="B36:I36" ca="1" si="7">SUM(B30:B35)</f>
        <v>0</v>
      </c>
      <c r="C36" s="294">
        <f t="shared" ca="1" si="7"/>
        <v>0</v>
      </c>
      <c r="D36" s="294">
        <f t="shared" ca="1" si="7"/>
        <v>0</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'[2]DA SEM Non Network'!$N$23:$R$28</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v>
      </c>
      <c r="E205" s="82">
        <f t="shared" ca="1" si="95"/>
        <v>0</v>
      </c>
      <c r="F205" s="82">
        <f t="shared" ca="1" si="95"/>
        <v>0</v>
      </c>
      <c r="G205" s="82">
        <f t="shared" ca="1" si="95"/>
        <v>0</v>
      </c>
      <c r="H205" s="82">
        <f t="shared" ca="1" si="95"/>
        <v>0</v>
      </c>
      <c r="I205" s="82">
        <f t="shared" ca="1" si="95"/>
        <v>0</v>
      </c>
    </row>
    <row r="206" spans="1:9" outlineLevel="1">
      <c r="A206" t="s">
        <v>156</v>
      </c>
      <c r="B206" s="82">
        <f t="shared" ref="B206:I206" ca="1" si="96">+B36</f>
        <v>0</v>
      </c>
      <c r="C206" s="82">
        <f t="shared" ca="1" si="96"/>
        <v>0</v>
      </c>
      <c r="D206" s="82">
        <f t="shared" ca="1" si="96"/>
        <v>0</v>
      </c>
      <c r="E206" s="82">
        <f t="shared" ca="1" si="96"/>
        <v>0</v>
      </c>
      <c r="F206" s="82">
        <f t="shared" ca="1" si="96"/>
        <v>0</v>
      </c>
      <c r="G206" s="82">
        <f t="shared" ca="1" si="96"/>
        <v>0</v>
      </c>
      <c r="H206" s="82">
        <f t="shared" ca="1" si="96"/>
        <v>0</v>
      </c>
      <c r="I206" s="82">
        <f t="shared" ca="1" si="96"/>
        <v>0</v>
      </c>
    </row>
    <row r="207" spans="1:9" outlineLevel="1">
      <c r="A207" t="s">
        <v>157</v>
      </c>
      <c r="B207" s="82">
        <f t="shared" ref="B207:I207" ca="1" si="97">+B36+B48</f>
        <v>0</v>
      </c>
      <c r="C207" s="82">
        <f t="shared" ca="1" si="97"/>
        <v>0</v>
      </c>
      <c r="D207" s="82">
        <f t="shared" ca="1" si="97"/>
        <v>0</v>
      </c>
      <c r="E207" s="82">
        <f t="shared" ca="1" si="97"/>
        <v>0</v>
      </c>
      <c r="F207" s="82">
        <f t="shared" ca="1" si="97"/>
        <v>0</v>
      </c>
      <c r="G207" s="82">
        <f t="shared" ca="1" si="97"/>
        <v>0</v>
      </c>
      <c r="H207" s="82">
        <f t="shared" ca="1" si="97"/>
        <v>0</v>
      </c>
      <c r="I207" s="82">
        <f t="shared" ca="1" si="97"/>
        <v>0</v>
      </c>
    </row>
    <row r="208" spans="1:9" outlineLevel="1">
      <c r="A208" t="s">
        <v>158</v>
      </c>
      <c r="B208" s="82">
        <f t="shared" ref="B208:I208" ca="1" si="98">+B70</f>
        <v>0</v>
      </c>
      <c r="C208" s="82">
        <f t="shared" ca="1" si="98"/>
        <v>0</v>
      </c>
      <c r="D208" s="82">
        <f t="shared" ca="1" si="98"/>
        <v>0</v>
      </c>
      <c r="E208" s="82">
        <f t="shared" ca="1" si="98"/>
        <v>0</v>
      </c>
      <c r="F208" s="82">
        <f t="shared" ca="1" si="98"/>
        <v>0</v>
      </c>
      <c r="G208" s="82">
        <f t="shared" ca="1" si="98"/>
        <v>0</v>
      </c>
      <c r="H208" s="82">
        <f t="shared" ca="1" si="98"/>
        <v>0</v>
      </c>
      <c r="I208" s="82">
        <f t="shared" ca="1" si="98"/>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98" priority="1" stopIfTrue="1" operator="notEqual">
      <formula>0</formula>
    </cfRule>
  </conditionalFormatting>
  <conditionalFormatting sqref="J130 J94 J70 J59 J48 J36:J37 J14 J25">
    <cfRule type="cellIs" dxfId="97" priority="2" stopIfTrue="1" operator="equal">
      <formula>"OK"</formula>
    </cfRule>
    <cfRule type="cellIs" dxfId="96" priority="3" stopIfTrue="1" operator="equal">
      <formula>"Warning Check Escalations"</formula>
    </cfRule>
  </conditionalFormatting>
  <conditionalFormatting sqref="N120:T120 N84:T84">
    <cfRule type="cellIs" dxfId="95" priority="4" stopIfTrue="1" operator="notEqual">
      <formula>0</formula>
    </cfRule>
    <cfRule type="cellIs" dxfId="9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1.xml><?xml version="1.0" encoding="utf-8"?>
<worksheet xmlns="http://schemas.openxmlformats.org/spreadsheetml/2006/main" xmlns:r="http://schemas.openxmlformats.org/officeDocument/2006/relationships">
  <sheetPr codeName="Sheet45" enableFormatConditionsCalculation="0">
    <tabColor rgb="FF008000"/>
    <pageSetUpPr fitToPage="1"/>
  </sheetPr>
  <dimension ref="A1:T239"/>
  <sheetViews>
    <sheetView showGridLines="0" topLeftCell="A92"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17</v>
      </c>
      <c r="M1" s="282"/>
      <c r="N1" s="280"/>
      <c r="O1" s="280"/>
      <c r="P1" s="280"/>
      <c r="Q1" s="280"/>
      <c r="R1" s="280"/>
      <c r="S1" s="280"/>
      <c r="T1" s="280"/>
    </row>
    <row r="2" spans="1:20" ht="15.75">
      <c r="A2" s="184" t="s">
        <v>121</v>
      </c>
      <c r="B2" s="74" t="str">
        <f ca="1">OFFSET(List_DAOpexStart,+$K$1,1)</f>
        <v>Call Centre Charges</v>
      </c>
      <c r="F2" s="284"/>
      <c r="H2" s="42"/>
      <c r="I2" s="283"/>
      <c r="L2" s="282"/>
      <c r="M2" s="282"/>
    </row>
    <row r="3" spans="1:20" ht="16.5" thickBot="1">
      <c r="A3" s="184" t="s">
        <v>371</v>
      </c>
      <c r="B3" s="236" t="str">
        <f ca="1">OFFSET(List_DAOpexStart,+$K$1,2)</f>
        <v>Katrina Jenkins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2.9550000000000001</v>
      </c>
      <c r="E11" s="285">
        <f ca="1">OFFSET(Future_DAOpexStart,MATCH($K$1,'I-5 Future DA'!$A$6:$A$222)+5,+'I-5 Future DA'!F$5)</f>
        <v>2.9550000000000001</v>
      </c>
      <c r="F11" s="285">
        <f ca="1">OFFSET(Future_DAOpexStart,MATCH($K$1,'I-5 Future DA'!$A$6:$A$222)+5,+'I-5 Future DA'!G$5)</f>
        <v>2.9550000000000001</v>
      </c>
      <c r="G11" s="285">
        <f ca="1">OFFSET(Future_DAOpexStart,MATCH($K$1,'I-5 Future DA'!$A$6:$A$222)+5,+'I-5 Future DA'!H$5)</f>
        <v>2.9550000000000001</v>
      </c>
      <c r="H11" s="285">
        <f ca="1">OFFSET(Future_DAOpexStart,MATCH($K$1,'I-5 Future DA'!$A$6:$A$222)+5,+'I-5 Future DA'!I$5)</f>
        <v>2.9550000000000001</v>
      </c>
      <c r="I11" s="285">
        <f ca="1">OFFSET(Future_DAOpexStart,MATCH($K$1,'I-5 Future DA'!$A$6:$A$222)+5,+'I-5 Future DA'!J$5)</f>
        <v>2.9550000000000001</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2.9550000000000001</v>
      </c>
      <c r="E14" s="287">
        <f t="shared" ca="1" si="0"/>
        <v>2.9550000000000001</v>
      </c>
      <c r="F14" s="287">
        <f t="shared" ca="1" si="0"/>
        <v>2.9550000000000001</v>
      </c>
      <c r="G14" s="287">
        <f t="shared" ca="1" si="0"/>
        <v>2.9550000000000001</v>
      </c>
      <c r="H14" s="287">
        <f t="shared" ca="1" si="0"/>
        <v>2.9550000000000001</v>
      </c>
      <c r="I14" s="287">
        <f t="shared" ca="1" si="0"/>
        <v>2.9550000000000001</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+'DA-17'!B8+'DA-17'!B19</f>
        <v>0</v>
      </c>
      <c r="C30" s="285">
        <f ca="1">+'DA-17'!C8+'DA-17'!C19</f>
        <v>0</v>
      </c>
      <c r="D30" s="285">
        <f ca="1">+'DA-17'!D8+'DA-17'!D19</f>
        <v>0</v>
      </c>
      <c r="E30" s="285">
        <f ca="1">+'DA-17'!E8+'DA-17'!E19</f>
        <v>0</v>
      </c>
      <c r="F30" s="285">
        <f ca="1">+'DA-17'!F8+'DA-17'!F19</f>
        <v>0</v>
      </c>
      <c r="G30" s="285">
        <f ca="1">+'DA-17'!G8+'DA-17'!G19</f>
        <v>0</v>
      </c>
      <c r="H30" s="285">
        <f ca="1">+'DA-17'!H8+'DA-17'!H19</f>
        <v>0</v>
      </c>
      <c r="I30" s="285">
        <f ca="1">+'DA-17'!I8+'DA-17'!I19</f>
        <v>0</v>
      </c>
      <c r="J30" s="42"/>
      <c r="K30" s="21"/>
      <c r="L30" s="21"/>
    </row>
    <row r="31" spans="1:12" outlineLevel="2">
      <c r="A31" s="61" t="s">
        <v>69</v>
      </c>
      <c r="B31" s="285">
        <f ca="1">+'DA-17'!B9+'DA-17'!B20</f>
        <v>0</v>
      </c>
      <c r="C31" s="285">
        <f ca="1">+'DA-17'!C9+'DA-17'!C20</f>
        <v>0</v>
      </c>
      <c r="D31" s="285">
        <f ca="1">+'DA-17'!D9+'DA-17'!D20</f>
        <v>0</v>
      </c>
      <c r="E31" s="285">
        <f ca="1">+'DA-17'!E9+'DA-17'!E20</f>
        <v>0</v>
      </c>
      <c r="F31" s="285">
        <f ca="1">+'DA-17'!F9+'DA-17'!F20</f>
        <v>0</v>
      </c>
      <c r="G31" s="285">
        <f ca="1">+'DA-17'!G9+'DA-17'!G20</f>
        <v>0</v>
      </c>
      <c r="H31" s="285">
        <f ca="1">+'DA-17'!H9+'DA-17'!H20</f>
        <v>0</v>
      </c>
      <c r="I31" s="285">
        <f ca="1">+'DA-17'!I9+'DA-17'!I20</f>
        <v>0</v>
      </c>
      <c r="J31" s="42"/>
      <c r="K31" s="21"/>
      <c r="L31" s="21"/>
    </row>
    <row r="32" spans="1:12" s="759" customFormat="1" outlineLevel="2">
      <c r="A32" s="61" t="s">
        <v>646</v>
      </c>
      <c r="B32" s="285">
        <f ca="1">+'DA-17'!B10+'DA-17'!B21</f>
        <v>0</v>
      </c>
      <c r="C32" s="285">
        <f ca="1">+'DA-17'!C10+'DA-17'!C21</f>
        <v>0</v>
      </c>
      <c r="D32" s="285">
        <f ca="1">+'DA-17'!D10+'DA-17'!D21</f>
        <v>0</v>
      </c>
      <c r="E32" s="285">
        <f ca="1">+'DA-17'!E10+'DA-17'!E21</f>
        <v>0</v>
      </c>
      <c r="F32" s="285">
        <f ca="1">+'DA-17'!F10+'DA-17'!F21</f>
        <v>0</v>
      </c>
      <c r="G32" s="285">
        <f ca="1">+'DA-17'!G10+'DA-17'!G21</f>
        <v>0</v>
      </c>
      <c r="H32" s="285">
        <f ca="1">+'DA-17'!H10+'DA-17'!H21</f>
        <v>0</v>
      </c>
      <c r="I32" s="285">
        <f ca="1">+'DA-17'!I10+'DA-17'!I21</f>
        <v>0</v>
      </c>
      <c r="J32" s="42"/>
      <c r="K32" s="732"/>
      <c r="L32" s="732"/>
    </row>
    <row r="33" spans="1:12" outlineLevel="2">
      <c r="A33" s="61" t="s">
        <v>647</v>
      </c>
      <c r="B33" s="285">
        <f ca="1">+'DA-17'!B11+'DA-17'!B22</f>
        <v>0</v>
      </c>
      <c r="C33" s="285">
        <f ca="1">+'DA-17'!C11+'DA-17'!C22</f>
        <v>0</v>
      </c>
      <c r="D33" s="285">
        <f ca="1">+'DA-17'!D11+'DA-17'!D22</f>
        <v>2.9550000000000001</v>
      </c>
      <c r="E33" s="285">
        <f ca="1">+'DA-17'!E11+'DA-17'!E22</f>
        <v>2.9550000000000001</v>
      </c>
      <c r="F33" s="285">
        <f ca="1">+'DA-17'!F11+'DA-17'!F22</f>
        <v>2.9550000000000001</v>
      </c>
      <c r="G33" s="285">
        <f ca="1">+'DA-17'!G11+'DA-17'!G22</f>
        <v>2.9550000000000001</v>
      </c>
      <c r="H33" s="285">
        <f ca="1">+'DA-17'!H11+'DA-17'!H22</f>
        <v>2.9550000000000001</v>
      </c>
      <c r="I33" s="285">
        <f ca="1">+'DA-17'!I11+'DA-17'!I22</f>
        <v>2.9550000000000001</v>
      </c>
      <c r="J33" s="42"/>
      <c r="K33" s="21"/>
      <c r="L33" s="21"/>
    </row>
    <row r="34" spans="1:12" s="759" customFormat="1" outlineLevel="2">
      <c r="A34" s="61" t="s">
        <v>575</v>
      </c>
      <c r="B34" s="285">
        <f ca="1">+'DA-17'!B12+'DA-17'!B23</f>
        <v>0</v>
      </c>
      <c r="C34" s="285">
        <f ca="1">+'DA-17'!C12+'DA-17'!C23</f>
        <v>0</v>
      </c>
      <c r="D34" s="285">
        <f ca="1">+'DA-17'!D12+'DA-17'!D23</f>
        <v>0</v>
      </c>
      <c r="E34" s="285">
        <f ca="1">+'DA-17'!E12+'DA-17'!E23</f>
        <v>0</v>
      </c>
      <c r="F34" s="285">
        <f ca="1">+'DA-17'!F12+'DA-17'!F23</f>
        <v>0</v>
      </c>
      <c r="G34" s="285">
        <f ca="1">+'DA-17'!G12+'DA-17'!G23</f>
        <v>0</v>
      </c>
      <c r="H34" s="285">
        <f ca="1">+'DA-17'!H12+'DA-17'!H23</f>
        <v>0</v>
      </c>
      <c r="I34" s="285">
        <f ca="1">+'DA-17'!I12+'DA-17'!I23</f>
        <v>0</v>
      </c>
      <c r="J34" s="42"/>
      <c r="K34" s="732"/>
      <c r="L34" s="732"/>
    </row>
    <row r="35" spans="1:12" ht="13.5" outlineLevel="2" thickBot="1">
      <c r="A35" s="83" t="s">
        <v>70</v>
      </c>
      <c r="B35" s="285">
        <f ca="1">+'DA-17'!B13+'DA-17'!B24</f>
        <v>0</v>
      </c>
      <c r="C35" s="285">
        <f ca="1">+'DA-17'!C13+'DA-17'!C24</f>
        <v>0</v>
      </c>
      <c r="D35" s="285">
        <f ca="1">+'DA-17'!D13+'DA-17'!D24</f>
        <v>0</v>
      </c>
      <c r="E35" s="285">
        <f ca="1">+'DA-17'!E13+'DA-17'!E24</f>
        <v>0</v>
      </c>
      <c r="F35" s="285">
        <f ca="1">+'DA-17'!F13+'DA-17'!F24</f>
        <v>0</v>
      </c>
      <c r="G35" s="285">
        <f ca="1">+'DA-17'!G13+'DA-17'!G24</f>
        <v>0</v>
      </c>
      <c r="H35" s="285">
        <f ca="1">+'DA-17'!H13+'DA-17'!H24</f>
        <v>0</v>
      </c>
      <c r="I35" s="285">
        <f ca="1">+'DA-17'!I13+'DA-17'!I24</f>
        <v>0</v>
      </c>
      <c r="J35" s="93"/>
      <c r="K35" s="21"/>
      <c r="L35" s="21"/>
    </row>
    <row r="36" spans="1:12" s="87" customFormat="1" ht="20.25" customHeight="1" thickBot="1">
      <c r="A36" s="94" t="s">
        <v>128</v>
      </c>
      <c r="B36" s="294">
        <f t="shared" ref="B36:I36" ca="1" si="7">SUM(B30:B35)</f>
        <v>0</v>
      </c>
      <c r="C36" s="294">
        <f t="shared" ca="1" si="7"/>
        <v>0</v>
      </c>
      <c r="D36" s="294">
        <f t="shared" ca="1" si="7"/>
        <v>2.9550000000000001</v>
      </c>
      <c r="E36" s="294">
        <f t="shared" ca="1" si="7"/>
        <v>2.9550000000000001</v>
      </c>
      <c r="F36" s="294">
        <f t="shared" ca="1" si="7"/>
        <v>2.9550000000000001</v>
      </c>
      <c r="G36" s="294">
        <f t="shared" ca="1" si="7"/>
        <v>2.9550000000000001</v>
      </c>
      <c r="H36" s="294">
        <f t="shared" ca="1" si="7"/>
        <v>2.9550000000000001</v>
      </c>
      <c r="I36" s="294">
        <f t="shared" ca="1" si="7"/>
        <v>2.9550000000000001</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3.1352426721049785E-2</v>
      </c>
      <c r="F45" s="285">
        <f t="shared" ca="1" si="10"/>
        <v>6.0403140590272721E-2</v>
      </c>
      <c r="G45" s="285">
        <f t="shared" ca="1" si="10"/>
        <v>8.9119448664208997E-2</v>
      </c>
      <c r="H45" s="285">
        <f t="shared" ca="1" si="10"/>
        <v>0.12027433655937228</v>
      </c>
      <c r="I45" s="285">
        <f t="shared" ca="1" si="10"/>
        <v>0.14881244703552055</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3.1352426721049785E-2</v>
      </c>
      <c r="F48" s="294">
        <f t="shared" ca="1" si="13"/>
        <v>6.0403140590272721E-2</v>
      </c>
      <c r="G48" s="294">
        <f t="shared" ca="1" si="13"/>
        <v>8.9119448664208997E-2</v>
      </c>
      <c r="H48" s="294">
        <f t="shared" ca="1" si="13"/>
        <v>0.12027433655937228</v>
      </c>
      <c r="I48" s="294">
        <f t="shared" ca="1" si="13"/>
        <v>0.14881244703552055</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1.493176213360493E-2</v>
      </c>
      <c r="F56" s="285">
        <f t="shared" ca="1" si="16"/>
        <v>3.0229416484416665E-2</v>
      </c>
      <c r="G56" s="285">
        <f t="shared" ca="1" si="16"/>
        <v>5.8189028188090824E-2</v>
      </c>
      <c r="H56" s="285">
        <f t="shared" ca="1" si="16"/>
        <v>9.1692179303170793E-2</v>
      </c>
      <c r="I56" s="285">
        <f t="shared" ca="1" si="16"/>
        <v>0.13249751370599835</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1.493176213360493E-2</v>
      </c>
      <c r="F59" s="287">
        <f t="shared" ca="1" si="19"/>
        <v>3.0229416484416665E-2</v>
      </c>
      <c r="G59" s="287">
        <f t="shared" ca="1" si="19"/>
        <v>5.8189028188090824E-2</v>
      </c>
      <c r="H59" s="287">
        <f t="shared" ca="1" si="19"/>
        <v>9.1692179303170793E-2</v>
      </c>
      <c r="I59" s="287">
        <f t="shared" ca="1" si="19"/>
        <v>0.13249751370599835</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2.9550000000000001</v>
      </c>
      <c r="E67" s="285">
        <f t="shared" ca="1" si="22"/>
        <v>3.0012841888546546</v>
      </c>
      <c r="F67" s="285">
        <f t="shared" ca="1" si="22"/>
        <v>3.0456325570746894</v>
      </c>
      <c r="G67" s="285">
        <f t="shared" ca="1" si="22"/>
        <v>3.1023084768523002</v>
      </c>
      <c r="H67" s="285">
        <f t="shared" ca="1" si="22"/>
        <v>3.1669665158625429</v>
      </c>
      <c r="I67" s="285">
        <f t="shared" ca="1" si="22"/>
        <v>3.2363099607415191</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2.9550000000000001</v>
      </c>
      <c r="E70" s="295">
        <f t="shared" ca="1" si="25"/>
        <v>3.0012841888546546</v>
      </c>
      <c r="F70" s="295">
        <f t="shared" ca="1" si="25"/>
        <v>3.0456325570746894</v>
      </c>
      <c r="G70" s="295">
        <f t="shared" ca="1" si="25"/>
        <v>3.1023084768523002</v>
      </c>
      <c r="H70" s="295">
        <f t="shared" ca="1" si="25"/>
        <v>3.1669665158625429</v>
      </c>
      <c r="I70" s="295">
        <f t="shared" ca="1" si="25"/>
        <v>3.2363099607415191</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3.1352426721049785E-2</v>
      </c>
      <c r="Q80" s="285">
        <f t="shared" ca="1" si="34"/>
        <v>6.0403140590272721E-2</v>
      </c>
      <c r="R80" s="285">
        <f t="shared" ca="1" si="35"/>
        <v>8.9119448664208997E-2</v>
      </c>
      <c r="S80" s="285">
        <f t="shared" ca="1" si="36"/>
        <v>0.12027433655937228</v>
      </c>
      <c r="T80" s="285">
        <f t="shared" ca="1" si="37"/>
        <v>0.14881244703552055</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3.1352426721049785E-2</v>
      </c>
      <c r="Q83" s="292">
        <f t="shared" ca="1" si="51"/>
        <v>6.0403140590272721E-2</v>
      </c>
      <c r="R83" s="292">
        <f t="shared" ca="1" si="51"/>
        <v>8.9119448664208997E-2</v>
      </c>
      <c r="S83" s="292">
        <f t="shared" ca="1" si="51"/>
        <v>0.12027433655937228</v>
      </c>
      <c r="T83" s="292">
        <f t="shared" ca="1" si="51"/>
        <v>0.14881244703552055</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3.1352426721049785E-2</v>
      </c>
      <c r="F101" s="285">
        <f t="shared" ca="1" si="57"/>
        <v>6.0403140590272721E-2</v>
      </c>
      <c r="G101" s="285">
        <f t="shared" ca="1" si="57"/>
        <v>8.9119448664208997E-2</v>
      </c>
      <c r="H101" s="285">
        <f t="shared" ca="1" si="57"/>
        <v>0.12027433655937228</v>
      </c>
      <c r="I101" s="285">
        <f t="shared" ca="1" si="57"/>
        <v>0.14881244703552055</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3.1352426721049785E-2</v>
      </c>
      <c r="F104" s="296">
        <f t="shared" ca="1" si="60"/>
        <v>6.0403140590272721E-2</v>
      </c>
      <c r="G104" s="296">
        <f t="shared" ca="1" si="60"/>
        <v>8.9119448664208997E-2</v>
      </c>
      <c r="H104" s="296">
        <f t="shared" ca="1" si="60"/>
        <v>0.12027433655937228</v>
      </c>
      <c r="I104" s="296">
        <f t="shared" ca="1" si="60"/>
        <v>0.14881244703552055</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1.493176213360493E-2</v>
      </c>
      <c r="Q116" s="285">
        <f t="shared" ca="1" si="68"/>
        <v>3.0229416484416665E-2</v>
      </c>
      <c r="R116" s="285">
        <f t="shared" ca="1" si="69"/>
        <v>5.8189028188090824E-2</v>
      </c>
      <c r="S116" s="285">
        <f t="shared" ca="1" si="70"/>
        <v>9.1692179303170793E-2</v>
      </c>
      <c r="T116" s="285">
        <f t="shared" ca="1" si="71"/>
        <v>0.13249751370599835</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1.493176213360493E-2</v>
      </c>
      <c r="Q119" s="292">
        <f t="shared" ca="1" si="72"/>
        <v>3.0229416484416665E-2</v>
      </c>
      <c r="R119" s="292">
        <f t="shared" ca="1" si="72"/>
        <v>5.8189028188090824E-2</v>
      </c>
      <c r="S119" s="292">
        <f t="shared" ca="1" si="72"/>
        <v>9.1692179303170793E-2</v>
      </c>
      <c r="T119" s="292">
        <f t="shared" ca="1" si="72"/>
        <v>0.13249751370599835</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1.493176213360493E-2</v>
      </c>
      <c r="F137" s="285">
        <f t="shared" ca="1" si="78"/>
        <v>3.0229416484416665E-2</v>
      </c>
      <c r="G137" s="285">
        <f t="shared" ca="1" si="78"/>
        <v>5.8189028188090824E-2</v>
      </c>
      <c r="H137" s="285">
        <f t="shared" ca="1" si="78"/>
        <v>9.1692179303170793E-2</v>
      </c>
      <c r="I137" s="285">
        <f t="shared" ca="1" si="78"/>
        <v>0.13249751370599835</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1.493176213360493E-2</v>
      </c>
      <c r="F140" s="296">
        <f t="shared" ca="1" si="81"/>
        <v>3.0229416484416665E-2</v>
      </c>
      <c r="G140" s="296">
        <f t="shared" ca="1" si="81"/>
        <v>5.8189028188090824E-2</v>
      </c>
      <c r="H140" s="296">
        <f t="shared" ca="1" si="81"/>
        <v>9.1692179303170793E-2</v>
      </c>
      <c r="I140" s="296">
        <f t="shared" ca="1" si="81"/>
        <v>0.13249751370599835</v>
      </c>
    </row>
    <row r="141" spans="1:16" ht="13.5" outlineLevel="1" thickBot="1">
      <c r="A141" s="122" t="s">
        <v>148</v>
      </c>
      <c r="B141" s="126"/>
      <c r="C141" s="124">
        <f t="shared" ref="C141:I141" ca="1" si="82">IF((+C36+C48)&lt;&gt;0,+C140/(+C36+C48),0)</f>
        <v>0</v>
      </c>
      <c r="D141" s="124">
        <f t="shared" ca="1" si="82"/>
        <v>0</v>
      </c>
      <c r="E141" s="124">
        <f t="shared" ca="1" si="82"/>
        <v>4.9999999999998934E-3</v>
      </c>
      <c r="F141" s="124">
        <f t="shared" ca="1" si="82"/>
        <v>1.0024999999999729E-2</v>
      </c>
      <c r="G141" s="124">
        <f t="shared" ca="1" si="82"/>
        <v>1.9115224999999514E-2</v>
      </c>
      <c r="H141" s="124">
        <f t="shared" ca="1" si="82"/>
        <v>2.981593486249956E-2</v>
      </c>
      <c r="I141" s="124">
        <f t="shared" ca="1" si="82"/>
        <v>4.2688634048280827E-2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'[2]DA SEM Non Network'!$N$31:$R$36</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2.9550000000000001</v>
      </c>
      <c r="E205" s="82">
        <f t="shared" ca="1" si="95"/>
        <v>2.9550000000000001</v>
      </c>
      <c r="F205" s="82">
        <f t="shared" ca="1" si="95"/>
        <v>2.9550000000000001</v>
      </c>
      <c r="G205" s="82">
        <f t="shared" ca="1" si="95"/>
        <v>2.9550000000000001</v>
      </c>
      <c r="H205" s="82">
        <f t="shared" ca="1" si="95"/>
        <v>2.9550000000000001</v>
      </c>
      <c r="I205" s="82">
        <f t="shared" ca="1" si="95"/>
        <v>2.9550000000000001</v>
      </c>
    </row>
    <row r="206" spans="1:9" outlineLevel="1">
      <c r="A206" t="s">
        <v>156</v>
      </c>
      <c r="B206" s="82">
        <f t="shared" ref="B206:I206" ca="1" si="96">+B36</f>
        <v>0</v>
      </c>
      <c r="C206" s="82">
        <f t="shared" ca="1" si="96"/>
        <v>0</v>
      </c>
      <c r="D206" s="82">
        <f t="shared" ca="1" si="96"/>
        <v>2.9550000000000001</v>
      </c>
      <c r="E206" s="82">
        <f t="shared" ca="1" si="96"/>
        <v>2.9550000000000001</v>
      </c>
      <c r="F206" s="82">
        <f t="shared" ca="1" si="96"/>
        <v>2.9550000000000001</v>
      </c>
      <c r="G206" s="82">
        <f t="shared" ca="1" si="96"/>
        <v>2.9550000000000001</v>
      </c>
      <c r="H206" s="82">
        <f t="shared" ca="1" si="96"/>
        <v>2.9550000000000001</v>
      </c>
      <c r="I206" s="82">
        <f t="shared" ca="1" si="96"/>
        <v>2.9550000000000001</v>
      </c>
    </row>
    <row r="207" spans="1:9" outlineLevel="1">
      <c r="A207" t="s">
        <v>157</v>
      </c>
      <c r="B207" s="82">
        <f t="shared" ref="B207:I207" ca="1" si="97">+B36+B48</f>
        <v>0</v>
      </c>
      <c r="C207" s="82">
        <f t="shared" ca="1" si="97"/>
        <v>0</v>
      </c>
      <c r="D207" s="82">
        <f t="shared" ca="1" si="97"/>
        <v>2.9550000000000001</v>
      </c>
      <c r="E207" s="82">
        <f t="shared" ca="1" si="97"/>
        <v>2.9863524267210497</v>
      </c>
      <c r="F207" s="82">
        <f t="shared" ca="1" si="97"/>
        <v>3.0154031405902728</v>
      </c>
      <c r="G207" s="82">
        <f t="shared" ca="1" si="97"/>
        <v>3.0441194486642091</v>
      </c>
      <c r="H207" s="82">
        <f t="shared" ca="1" si="97"/>
        <v>3.0752743365593722</v>
      </c>
      <c r="I207" s="82">
        <f t="shared" ca="1" si="97"/>
        <v>3.1038124470355206</v>
      </c>
    </row>
    <row r="208" spans="1:9" outlineLevel="1">
      <c r="A208" t="s">
        <v>158</v>
      </c>
      <c r="B208" s="82">
        <f t="shared" ref="B208:I208" ca="1" si="98">+B70</f>
        <v>0</v>
      </c>
      <c r="C208" s="82">
        <f t="shared" ca="1" si="98"/>
        <v>0</v>
      </c>
      <c r="D208" s="82">
        <f t="shared" ca="1" si="98"/>
        <v>2.9550000000000001</v>
      </c>
      <c r="E208" s="82">
        <f t="shared" ca="1" si="98"/>
        <v>3.0012841888546546</v>
      </c>
      <c r="F208" s="82">
        <f t="shared" ca="1" si="98"/>
        <v>3.0456325570746894</v>
      </c>
      <c r="G208" s="82">
        <f t="shared" ca="1" si="98"/>
        <v>3.1023084768523002</v>
      </c>
      <c r="H208" s="82">
        <f t="shared" ca="1" si="98"/>
        <v>3.1669665158625429</v>
      </c>
      <c r="I208" s="82">
        <f t="shared" ca="1" si="98"/>
        <v>3.2363099607415191</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93" priority="1" stopIfTrue="1" operator="notEqual">
      <formula>0</formula>
    </cfRule>
  </conditionalFormatting>
  <conditionalFormatting sqref="J130 J94 J70 J59 J48 J36:J37 J14 J25">
    <cfRule type="cellIs" dxfId="92" priority="2" stopIfTrue="1" operator="equal">
      <formula>"OK"</formula>
    </cfRule>
    <cfRule type="cellIs" dxfId="91" priority="3" stopIfTrue="1" operator="equal">
      <formula>"Warning Check Escalations"</formula>
    </cfRule>
  </conditionalFormatting>
  <conditionalFormatting sqref="N120:T120 N84:T84">
    <cfRule type="cellIs" dxfId="90" priority="4" stopIfTrue="1" operator="notEqual">
      <formula>0</formula>
    </cfRule>
    <cfRule type="cellIs" dxfId="8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2.xml><?xml version="1.0" encoding="utf-8"?>
<worksheet xmlns="http://schemas.openxmlformats.org/spreadsheetml/2006/main" xmlns:r="http://schemas.openxmlformats.org/officeDocument/2006/relationships">
  <sheetPr codeName="Sheet46" enableFormatConditionsCalculation="0">
    <tabColor indexed="17"/>
    <pageSetUpPr fitToPage="1"/>
  </sheetPr>
  <dimension ref="A1:T239"/>
  <sheetViews>
    <sheetView showGridLines="0"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18</v>
      </c>
      <c r="M1" s="282"/>
      <c r="N1" s="280"/>
      <c r="O1" s="280"/>
      <c r="P1" s="280"/>
      <c r="Q1" s="280"/>
      <c r="R1" s="280"/>
      <c r="S1" s="280"/>
      <c r="T1" s="280"/>
    </row>
    <row r="2" spans="1:20" ht="15.75">
      <c r="A2" s="184" t="s">
        <v>121</v>
      </c>
      <c r="B2" s="74" t="str">
        <f ca="1">OFFSET(List_DAOpexStart,+$K$1,1)</f>
        <v>Demand Management</v>
      </c>
      <c r="F2" s="284"/>
      <c r="H2" s="42"/>
      <c r="I2" s="283"/>
      <c r="L2" s="282"/>
      <c r="M2" s="282"/>
    </row>
    <row r="3" spans="1:20" ht="16.5" thickBot="1">
      <c r="A3" s="184" t="s">
        <v>371</v>
      </c>
      <c r="B3" s="236" t="str">
        <f ca="1">OFFSET(List_DAOpexStart,+$K$1,2)</f>
        <v>Mark Vincent</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0.71</v>
      </c>
      <c r="E8" s="285">
        <f ca="1">OFFSET(Future_DAOpexStart,MATCH($K$1,'I-5 Future DA'!$A$6:$A$222)+2,+'I-5 Future DA'!F$5)</f>
        <v>0.71</v>
      </c>
      <c r="F8" s="285">
        <f ca="1">OFFSET(Future_DAOpexStart,MATCH($K$1,'I-5 Future DA'!$A$6:$A$222)+2,+'I-5 Future DA'!G$5)</f>
        <v>0.71</v>
      </c>
      <c r="G8" s="285">
        <f ca="1">OFFSET(Future_DAOpexStart,MATCH($K$1,'I-5 Future DA'!$A$6:$A$222)+2,+'I-5 Future DA'!H$5)</f>
        <v>0.71</v>
      </c>
      <c r="H8" s="285">
        <f ca="1">OFFSET(Future_DAOpexStart,MATCH($K$1,'I-5 Future DA'!$A$6:$A$222)+2,+'I-5 Future DA'!I$5)</f>
        <v>0.71</v>
      </c>
      <c r="I8" s="285">
        <f ca="1">OFFSET(Future_DAOpexStart,MATCH($K$1,'I-5 Future DA'!$A$6:$A$222)+2,+'I-5 Future DA'!J$5)</f>
        <v>0.71</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0.20899999999999999</v>
      </c>
      <c r="E9" s="285">
        <f ca="1">OFFSET(Future_DAOpexStart,MATCH($K$1,'I-5 Future DA'!$A$6:$A$222)+3,+'I-5 Future DA'!F$5)</f>
        <v>0.20899999999999999</v>
      </c>
      <c r="F9" s="285">
        <f ca="1">OFFSET(Future_DAOpexStart,MATCH($K$1,'I-5 Future DA'!$A$6:$A$222)+3,+'I-5 Future DA'!G$5)</f>
        <v>0.20899999999999999</v>
      </c>
      <c r="G9" s="285">
        <f ca="1">OFFSET(Future_DAOpexStart,MATCH($K$1,'I-5 Future DA'!$A$6:$A$222)+3,+'I-5 Future DA'!H$5)</f>
        <v>0.20899999999999999</v>
      </c>
      <c r="H9" s="285">
        <f ca="1">OFFSET(Future_DAOpexStart,MATCH($K$1,'I-5 Future DA'!$A$6:$A$222)+3,+'I-5 Future DA'!I$5)</f>
        <v>0.20899999999999999</v>
      </c>
      <c r="I9" s="285">
        <f ca="1">OFFSET(Future_DAOpexStart,MATCH($K$1,'I-5 Future DA'!$A$6:$A$222)+3,+'I-5 Future DA'!J$5)</f>
        <v>0.20899999999999999</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7.4999999999999997E-2</v>
      </c>
      <c r="E10" s="285">
        <f ca="1">OFFSET(Future_DAOpexStart,MATCH($K$1,'I-5 Future DA'!$A$6:$A$222)+4,+'I-5 Future DA'!F$5)</f>
        <v>7.4999999999999997E-2</v>
      </c>
      <c r="F10" s="285">
        <f ca="1">OFFSET(Future_DAOpexStart,MATCH($K$1,'I-5 Future DA'!$A$6:$A$222)+4,+'I-5 Future DA'!G$5)</f>
        <v>7.4999999999999997E-2</v>
      </c>
      <c r="G10" s="285">
        <f ca="1">OFFSET(Future_DAOpexStart,MATCH($K$1,'I-5 Future DA'!$A$6:$A$222)+4,+'I-5 Future DA'!H$5)</f>
        <v>7.4999999999999997E-2</v>
      </c>
      <c r="H10" s="285">
        <f ca="1">OFFSET(Future_DAOpexStart,MATCH($K$1,'I-5 Future DA'!$A$6:$A$222)+4,+'I-5 Future DA'!I$5)</f>
        <v>7.4999999999999997E-2</v>
      </c>
      <c r="I10" s="285">
        <f ca="1">OFFSET(Future_DAOpexStart,MATCH($K$1,'I-5 Future DA'!$A$6:$A$222)+4,+'I-5 Future DA'!J$5)</f>
        <v>7.4999999999999997E-2</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0.32400000000000001</v>
      </c>
      <c r="E11" s="285">
        <f ca="1">OFFSET(Future_DAOpexStart,MATCH($K$1,'I-5 Future DA'!$A$6:$A$222)+5,+'I-5 Future DA'!F$5)</f>
        <v>0.32400000000000001</v>
      </c>
      <c r="F11" s="285">
        <f ca="1">OFFSET(Future_DAOpexStart,MATCH($K$1,'I-5 Future DA'!$A$6:$A$222)+5,+'I-5 Future DA'!G$5)</f>
        <v>0.32400000000000001</v>
      </c>
      <c r="G11" s="285">
        <f ca="1">OFFSET(Future_DAOpexStart,MATCH($K$1,'I-5 Future DA'!$A$6:$A$222)+5,+'I-5 Future DA'!H$5)</f>
        <v>0.32400000000000001</v>
      </c>
      <c r="H11" s="285">
        <f ca="1">OFFSET(Future_DAOpexStart,MATCH($K$1,'I-5 Future DA'!$A$6:$A$222)+5,+'I-5 Future DA'!I$5)</f>
        <v>0.32400000000000001</v>
      </c>
      <c r="I11" s="285">
        <f ca="1">OFFSET(Future_DAOpexStart,MATCH($K$1,'I-5 Future DA'!$A$6:$A$222)+5,+'I-5 Future DA'!J$5)</f>
        <v>0.32400000000000001</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-0.122</v>
      </c>
      <c r="E12" s="285">
        <f ca="1">OFFSET(Future_DAOpexStart,MATCH($K$1,'I-5 Future DA'!$A$6:$A$222)+6,+'I-5 Future DA'!F$5)</f>
        <v>-0.122</v>
      </c>
      <c r="F12" s="285">
        <f ca="1">OFFSET(Future_DAOpexStart,MATCH($K$1,'I-5 Future DA'!$A$6:$A$222)+6,+'I-5 Future DA'!G$5)</f>
        <v>-0.122</v>
      </c>
      <c r="G12" s="285">
        <f ca="1">OFFSET(Future_DAOpexStart,MATCH($K$1,'I-5 Future DA'!$A$6:$A$222)+6,+'I-5 Future DA'!H$5)</f>
        <v>-0.122</v>
      </c>
      <c r="H12" s="285">
        <f ca="1">OFFSET(Future_DAOpexStart,MATCH($K$1,'I-5 Future DA'!$A$6:$A$222)+6,+'I-5 Future DA'!I$5)</f>
        <v>-0.122</v>
      </c>
      <c r="I12" s="285">
        <f ca="1">OFFSET(Future_DAOpexStart,MATCH($K$1,'I-5 Future DA'!$A$6:$A$222)+6,+'I-5 Future DA'!J$5)</f>
        <v>-0.122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1.1959999999999997</v>
      </c>
      <c r="E14" s="287">
        <f t="shared" ca="1" si="0"/>
        <v>1.1959999999999997</v>
      </c>
      <c r="F14" s="287">
        <f t="shared" ca="1" si="0"/>
        <v>1.1959999999999997</v>
      </c>
      <c r="G14" s="287">
        <f t="shared" ca="1" si="0"/>
        <v>1.1959999999999997</v>
      </c>
      <c r="H14" s="287">
        <f t="shared" ca="1" si="0"/>
        <v>1.1959999999999997</v>
      </c>
      <c r="I14" s="287">
        <f t="shared" ca="1" si="0"/>
        <v>1.1959999999999997</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+'DA-18'!B8+'DA-18'!B19</f>
        <v>0</v>
      </c>
      <c r="C30" s="285">
        <f ca="1">+'DA-18'!C8+'DA-18'!C19</f>
        <v>0</v>
      </c>
      <c r="D30" s="285">
        <f ca="1">+'DA-18'!D8+'DA-18'!D19</f>
        <v>0.71</v>
      </c>
      <c r="E30" s="285">
        <f ca="1">+'DA-18'!E8+'DA-18'!E19</f>
        <v>0.71</v>
      </c>
      <c r="F30" s="285">
        <f ca="1">+'DA-18'!F8+'DA-18'!F19</f>
        <v>0.71</v>
      </c>
      <c r="G30" s="285">
        <f ca="1">+'DA-18'!G8+'DA-18'!G19</f>
        <v>0.71</v>
      </c>
      <c r="H30" s="285">
        <f ca="1">+'DA-18'!H8+'DA-18'!H19</f>
        <v>0.71</v>
      </c>
      <c r="I30" s="285">
        <f ca="1">+'DA-18'!I8+'DA-18'!I19</f>
        <v>0.71</v>
      </c>
      <c r="J30" s="42"/>
      <c r="K30" s="21"/>
      <c r="L30" s="21"/>
    </row>
    <row r="31" spans="1:12" outlineLevel="2">
      <c r="A31" s="61" t="s">
        <v>69</v>
      </c>
      <c r="B31" s="285">
        <f ca="1">+'DA-18'!B9+'DA-18'!B20</f>
        <v>0</v>
      </c>
      <c r="C31" s="285">
        <f ca="1">+'DA-18'!C9+'DA-18'!C20</f>
        <v>0</v>
      </c>
      <c r="D31" s="285">
        <f ca="1">+'DA-18'!D9+'DA-18'!D20</f>
        <v>0.20899999999999999</v>
      </c>
      <c r="E31" s="285">
        <f ca="1">+'DA-18'!E9+'DA-18'!E20</f>
        <v>0.20899999999999999</v>
      </c>
      <c r="F31" s="285">
        <f ca="1">+'DA-18'!F9+'DA-18'!F20</f>
        <v>0.20899999999999999</v>
      </c>
      <c r="G31" s="285">
        <f ca="1">+'DA-18'!G9+'DA-18'!G20</f>
        <v>0.20899999999999999</v>
      </c>
      <c r="H31" s="285">
        <f ca="1">+'DA-18'!H9+'DA-18'!H20</f>
        <v>0.20899999999999999</v>
      </c>
      <c r="I31" s="285">
        <f ca="1">+'DA-18'!I9+'DA-18'!I20</f>
        <v>0.20899999999999999</v>
      </c>
      <c r="J31" s="42"/>
      <c r="K31" s="21"/>
      <c r="L31" s="21"/>
    </row>
    <row r="32" spans="1:12" s="759" customFormat="1" outlineLevel="2">
      <c r="A32" s="61" t="s">
        <v>646</v>
      </c>
      <c r="B32" s="285">
        <f ca="1">+'DA-18'!B10+'DA-18'!B21</f>
        <v>0</v>
      </c>
      <c r="C32" s="285">
        <f ca="1">+'DA-18'!C10+'DA-18'!C21</f>
        <v>0</v>
      </c>
      <c r="D32" s="285">
        <f ca="1">+'DA-18'!D10+'DA-18'!D21</f>
        <v>7.4999999999999997E-2</v>
      </c>
      <c r="E32" s="285">
        <f ca="1">+'DA-18'!E10+'DA-18'!E21</f>
        <v>7.4999999999999997E-2</v>
      </c>
      <c r="F32" s="285">
        <f ca="1">+'DA-18'!F10+'DA-18'!F21</f>
        <v>7.4999999999999997E-2</v>
      </c>
      <c r="G32" s="285">
        <f ca="1">+'DA-18'!G10+'DA-18'!G21</f>
        <v>7.4999999999999997E-2</v>
      </c>
      <c r="H32" s="285">
        <f ca="1">+'DA-18'!H10+'DA-18'!H21</f>
        <v>7.4999999999999997E-2</v>
      </c>
      <c r="I32" s="285">
        <f ca="1">+'DA-18'!I10+'DA-18'!I21</f>
        <v>7.4999999999999997E-2</v>
      </c>
      <c r="J32" s="42"/>
      <c r="K32" s="732"/>
      <c r="L32" s="732"/>
    </row>
    <row r="33" spans="1:12" outlineLevel="2">
      <c r="A33" s="61" t="s">
        <v>647</v>
      </c>
      <c r="B33" s="285">
        <f ca="1">+'DA-18'!B11+'DA-18'!B22</f>
        <v>0</v>
      </c>
      <c r="C33" s="285">
        <f ca="1">+'DA-18'!C11+'DA-18'!C22</f>
        <v>0</v>
      </c>
      <c r="D33" s="285">
        <f ca="1">+'DA-18'!D11+'DA-18'!D22</f>
        <v>0.32400000000000001</v>
      </c>
      <c r="E33" s="285">
        <f ca="1">+'DA-18'!E11+'DA-18'!E22</f>
        <v>0.32400000000000001</v>
      </c>
      <c r="F33" s="285">
        <f ca="1">+'DA-18'!F11+'DA-18'!F22</f>
        <v>0.32400000000000001</v>
      </c>
      <c r="G33" s="285">
        <f ca="1">+'DA-18'!G11+'DA-18'!G22</f>
        <v>0.32400000000000001</v>
      </c>
      <c r="H33" s="285">
        <f ca="1">+'DA-18'!H11+'DA-18'!H22</f>
        <v>0.32400000000000001</v>
      </c>
      <c r="I33" s="285">
        <f ca="1">+'DA-18'!I11+'DA-18'!I22</f>
        <v>0.32400000000000001</v>
      </c>
      <c r="J33" s="42"/>
      <c r="K33" s="21"/>
      <c r="L33" s="21"/>
    </row>
    <row r="34" spans="1:12" s="759" customFormat="1" outlineLevel="2">
      <c r="A34" s="61" t="s">
        <v>575</v>
      </c>
      <c r="B34" s="285">
        <f ca="1">+'DA-18'!B12+'DA-18'!B23</f>
        <v>0</v>
      </c>
      <c r="C34" s="285">
        <f ca="1">+'DA-18'!C12+'DA-18'!C23</f>
        <v>0</v>
      </c>
      <c r="D34" s="285">
        <f ca="1">+'DA-18'!D12+'DA-18'!D23</f>
        <v>-0.122</v>
      </c>
      <c r="E34" s="285">
        <f ca="1">+'DA-18'!E12+'DA-18'!E23</f>
        <v>-0.122</v>
      </c>
      <c r="F34" s="285">
        <f ca="1">+'DA-18'!F12+'DA-18'!F23</f>
        <v>-0.122</v>
      </c>
      <c r="G34" s="285">
        <f ca="1">+'DA-18'!G12+'DA-18'!G23</f>
        <v>-0.122</v>
      </c>
      <c r="H34" s="285">
        <f ca="1">+'DA-18'!H12+'DA-18'!H23</f>
        <v>-0.122</v>
      </c>
      <c r="I34" s="285">
        <f ca="1">+'DA-18'!I12+'DA-18'!I23</f>
        <v>-0.122</v>
      </c>
      <c r="J34" s="42"/>
      <c r="K34" s="732"/>
      <c r="L34" s="732"/>
    </row>
    <row r="35" spans="1:12" ht="13.5" outlineLevel="2" thickBot="1">
      <c r="A35" s="83" t="s">
        <v>70</v>
      </c>
      <c r="B35" s="285">
        <f ca="1">+'DA-18'!B13+'DA-18'!B24</f>
        <v>0</v>
      </c>
      <c r="C35" s="285">
        <f ca="1">+'DA-18'!C13+'DA-18'!C24</f>
        <v>0</v>
      </c>
      <c r="D35" s="285">
        <f ca="1">+'DA-18'!D13+'DA-18'!D24</f>
        <v>0</v>
      </c>
      <c r="E35" s="285">
        <f ca="1">+'DA-18'!E13+'DA-18'!E24</f>
        <v>0</v>
      </c>
      <c r="F35" s="285">
        <f ca="1">+'DA-18'!F13+'DA-18'!F24</f>
        <v>0</v>
      </c>
      <c r="G35" s="285">
        <f ca="1">+'DA-18'!G13+'DA-18'!G24</f>
        <v>0</v>
      </c>
      <c r="H35" s="285">
        <f ca="1">+'DA-18'!H13+'DA-18'!H24</f>
        <v>0</v>
      </c>
      <c r="I35" s="285">
        <f ca="1">+'DA-18'!I13+'DA-18'!I24</f>
        <v>0</v>
      </c>
      <c r="J35" s="93"/>
      <c r="K35" s="21"/>
      <c r="L35" s="21"/>
    </row>
    <row r="36" spans="1:12" s="87" customFormat="1" ht="20.25" customHeight="1" thickBot="1">
      <c r="A36" s="94" t="s">
        <v>128</v>
      </c>
      <c r="B36" s="294">
        <f t="shared" ref="B36:I36" ca="1" si="7">SUM(B30:B35)</f>
        <v>0</v>
      </c>
      <c r="C36" s="294">
        <f t="shared" ca="1" si="7"/>
        <v>0</v>
      </c>
      <c r="D36" s="294">
        <f t="shared" ca="1" si="7"/>
        <v>1.1959999999999997</v>
      </c>
      <c r="E36" s="294">
        <f t="shared" ca="1" si="7"/>
        <v>1.1959999999999997</v>
      </c>
      <c r="F36" s="294">
        <f t="shared" ca="1" si="7"/>
        <v>1.1959999999999997</v>
      </c>
      <c r="G36" s="294">
        <f t="shared" ca="1" si="7"/>
        <v>1.1959999999999997</v>
      </c>
      <c r="H36" s="294">
        <f t="shared" ca="1" si="7"/>
        <v>1.1959999999999997</v>
      </c>
      <c r="I36" s="294">
        <f t="shared" ca="1" si="7"/>
        <v>1.1959999999999997</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7.5330703796769359E-3</v>
      </c>
      <c r="F42" s="285">
        <f t="shared" ca="1" si="8"/>
        <v>1.4513106537764341E-2</v>
      </c>
      <c r="G42" s="285">
        <f t="shared" ca="1" si="8"/>
        <v>2.1412794772111127E-2</v>
      </c>
      <c r="H42" s="285">
        <f t="shared" ca="1" si="8"/>
        <v>2.8898402354366942E-2</v>
      </c>
      <c r="I42" s="285">
        <f t="shared" ca="1" si="8"/>
        <v>3.5755274922240128E-2</v>
      </c>
      <c r="K42" s="63"/>
      <c r="L42" s="63"/>
    </row>
    <row r="43" spans="1:12" outlineLevel="1">
      <c r="A43" s="61" t="s">
        <v>69</v>
      </c>
      <c r="B43" s="82"/>
      <c r="C43" s="285">
        <f t="shared" ca="1" si="8"/>
        <v>0</v>
      </c>
      <c r="D43" s="285">
        <f t="shared" ca="1" si="8"/>
        <v>0</v>
      </c>
      <c r="E43" s="285">
        <f t="shared" ca="1" si="8"/>
        <v>2.2174812807781402E-3</v>
      </c>
      <c r="F43" s="285">
        <f t="shared" ca="1" si="8"/>
        <v>4.2721679808348555E-3</v>
      </c>
      <c r="G43" s="285">
        <f t="shared" ca="1" si="8"/>
        <v>6.303202968128487E-3</v>
      </c>
      <c r="H43" s="285">
        <f t="shared" ca="1" si="8"/>
        <v>8.5067128057220998E-3</v>
      </c>
      <c r="I43" s="285">
        <f t="shared" ca="1" si="8"/>
        <v>1.0525144308096037E-2</v>
      </c>
      <c r="K43" s="42"/>
      <c r="L43" s="21"/>
    </row>
    <row r="44" spans="1:12" s="759" customFormat="1" outlineLevel="1">
      <c r="A44" s="61" t="s">
        <v>646</v>
      </c>
      <c r="B44" s="82"/>
      <c r="C44" s="285">
        <f t="shared" ref="C44:I44" ca="1" si="9">+C100</f>
        <v>0</v>
      </c>
      <c r="D44" s="285">
        <f t="shared" ca="1" si="9"/>
        <v>0</v>
      </c>
      <c r="E44" s="285">
        <f t="shared" ca="1" si="9"/>
        <v>7.9574687109263407E-4</v>
      </c>
      <c r="F44" s="285">
        <f t="shared" ca="1" si="9"/>
        <v>1.5330746342708812E-3</v>
      </c>
      <c r="G44" s="285">
        <f t="shared" ca="1" si="9"/>
        <v>2.2619149407159642E-3</v>
      </c>
      <c r="H44" s="285">
        <f t="shared" ca="1" si="9"/>
        <v>3.052648136024677E-3</v>
      </c>
      <c r="I44" s="285">
        <f t="shared" ca="1" si="9"/>
        <v>3.7769656608000134E-3</v>
      </c>
      <c r="K44" s="42"/>
      <c r="L44" s="732"/>
    </row>
    <row r="45" spans="1:12" outlineLevel="1">
      <c r="A45" s="61" t="s">
        <v>647</v>
      </c>
      <c r="B45" s="82"/>
      <c r="C45" s="285">
        <f t="shared" ref="C45:I45" ca="1" si="10">+C101</f>
        <v>0</v>
      </c>
      <c r="D45" s="285">
        <f t="shared" ca="1" si="10"/>
        <v>0</v>
      </c>
      <c r="E45" s="285">
        <f t="shared" ca="1" si="10"/>
        <v>3.4376264831201793E-3</v>
      </c>
      <c r="F45" s="285">
        <f t="shared" ca="1" si="10"/>
        <v>6.6228824200502074E-3</v>
      </c>
      <c r="G45" s="285">
        <f t="shared" ca="1" si="10"/>
        <v>9.7714725438929669E-3</v>
      </c>
      <c r="H45" s="285">
        <f t="shared" ca="1" si="10"/>
        <v>1.3187439947626606E-2</v>
      </c>
      <c r="I45" s="285">
        <f t="shared" ca="1" si="10"/>
        <v>1.6316491654656057E-2</v>
      </c>
      <c r="K45" s="42"/>
      <c r="L45" s="21"/>
    </row>
    <row r="46" spans="1:12" s="759" customFormat="1" outlineLevel="1">
      <c r="A46" s="61" t="s">
        <v>575</v>
      </c>
      <c r="B46" s="82"/>
      <c r="C46" s="285">
        <f t="shared" ref="C46:I46" ca="1" si="11">+C102</f>
        <v>0</v>
      </c>
      <c r="D46" s="285">
        <f t="shared" ca="1" si="11"/>
        <v>0</v>
      </c>
      <c r="E46" s="285">
        <f t="shared" ca="1" si="11"/>
        <v>-1.2944149103106847E-3</v>
      </c>
      <c r="F46" s="285">
        <f t="shared" ca="1" si="11"/>
        <v>-2.4938014050806335E-3</v>
      </c>
      <c r="G46" s="285">
        <f t="shared" ca="1" si="11"/>
        <v>-3.6793816368979686E-3</v>
      </c>
      <c r="H46" s="285">
        <f t="shared" ca="1" si="11"/>
        <v>-4.965640967933475E-3</v>
      </c>
      <c r="I46" s="285">
        <f t="shared" ca="1" si="11"/>
        <v>-6.1438641415680218E-3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1.2689510104357205E-2</v>
      </c>
      <c r="F48" s="294">
        <f t="shared" ca="1" si="13"/>
        <v>2.4447430167839651E-2</v>
      </c>
      <c r="G48" s="294">
        <f t="shared" ca="1" si="13"/>
        <v>3.607000358795058E-2</v>
      </c>
      <c r="H48" s="294">
        <f t="shared" ca="1" si="13"/>
        <v>4.8679562275806845E-2</v>
      </c>
      <c r="I48" s="294">
        <f t="shared" ca="1" si="13"/>
        <v>6.0230012404224209E-2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1.5396800158058905E-2</v>
      </c>
      <c r="F53" s="285">
        <f t="shared" ca="1" si="14"/>
        <v>3.1426753002538811E-2</v>
      </c>
      <c r="G53" s="285">
        <f t="shared" ca="1" si="14"/>
        <v>4.8998726070517168E-2</v>
      </c>
      <c r="H53" s="285">
        <f t="shared" ca="1" si="14"/>
        <v>6.734461391101966E-2</v>
      </c>
      <c r="I53" s="285">
        <f t="shared" ca="1" si="14"/>
        <v>8.6387202744907368E-2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3.7897873435545506E-4</v>
      </c>
      <c r="F55" s="285">
        <f t="shared" ca="1" si="15"/>
        <v>7.6724407320854474E-4</v>
      </c>
      <c r="G55" s="285">
        <f t="shared" ca="1" si="15"/>
        <v>1.4768788880226097E-3</v>
      </c>
      <c r="H55" s="285">
        <f t="shared" ca="1" si="15"/>
        <v>2.3272126726693095E-3</v>
      </c>
      <c r="I55" s="285">
        <f t="shared" ca="1" si="15"/>
        <v>3.3628810585278773E-3</v>
      </c>
      <c r="K55" s="42"/>
      <c r="L55" s="732"/>
    </row>
    <row r="56" spans="1:12" outlineLevel="1">
      <c r="A56" s="61" t="s">
        <v>647</v>
      </c>
      <c r="B56" s="285"/>
      <c r="C56" s="285">
        <f t="shared" ref="C56:I56" ca="1" si="16">+C137</f>
        <v>0</v>
      </c>
      <c r="D56" s="285">
        <f t="shared" ca="1" si="16"/>
        <v>0</v>
      </c>
      <c r="E56" s="285">
        <f t="shared" ca="1" si="16"/>
        <v>1.6371881324155661E-3</v>
      </c>
      <c r="F56" s="285">
        <f t="shared" ca="1" si="16"/>
        <v>3.3144943962609137E-3</v>
      </c>
      <c r="G56" s="285">
        <f t="shared" ca="1" si="16"/>
        <v>6.3801167962576752E-3</v>
      </c>
      <c r="H56" s="285">
        <f t="shared" ca="1" si="16"/>
        <v>1.0053558745931418E-2</v>
      </c>
      <c r="I56" s="285">
        <f t="shared" ca="1" si="16"/>
        <v>1.4527646172840428E-2</v>
      </c>
      <c r="K56" s="42"/>
      <c r="L56" s="21"/>
    </row>
    <row r="57" spans="1:12" s="759" customFormat="1" outlineLevel="1">
      <c r="A57" s="61" t="s">
        <v>575</v>
      </c>
      <c r="B57" s="285"/>
      <c r="C57" s="285">
        <f t="shared" ref="C57:I57" ca="1" si="17">+C138</f>
        <v>0</v>
      </c>
      <c r="D57" s="285">
        <f t="shared" ca="1" si="17"/>
        <v>0</v>
      </c>
      <c r="E57" s="285">
        <f t="shared" ca="1" si="17"/>
        <v>-2.645647351103079E-3</v>
      </c>
      <c r="F57" s="285">
        <f t="shared" ca="1" si="17"/>
        <v>-5.4000899525489228E-3</v>
      </c>
      <c r="G57" s="285">
        <f t="shared" ca="1" si="17"/>
        <v>-8.4194994093001324E-3</v>
      </c>
      <c r="H57" s="285">
        <f t="shared" ca="1" si="17"/>
        <v>-1.1571891404428733E-2</v>
      </c>
      <c r="I57" s="285">
        <f t="shared" ca="1" si="17"/>
        <v>-1.4843998218139013E-2</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1.4767319673726846E-2</v>
      </c>
      <c r="F59" s="287">
        <f t="shared" ca="1" si="19"/>
        <v>3.0108401519459347E-2</v>
      </c>
      <c r="G59" s="287">
        <f t="shared" ca="1" si="19"/>
        <v>4.8436222345497319E-2</v>
      </c>
      <c r="H59" s="287">
        <f t="shared" ca="1" si="19"/>
        <v>6.8153493925191655E-2</v>
      </c>
      <c r="I59" s="287">
        <f t="shared" ca="1" si="19"/>
        <v>8.9433731758136653E-2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0.71</v>
      </c>
      <c r="E64" s="285">
        <f t="shared" ca="1" si="20"/>
        <v>0.73292987053773584</v>
      </c>
      <c r="F64" s="285">
        <f t="shared" ca="1" si="20"/>
        <v>0.75593985954030318</v>
      </c>
      <c r="G64" s="285">
        <f t="shared" ca="1" si="20"/>
        <v>0.78041152084262821</v>
      </c>
      <c r="H64" s="285">
        <f t="shared" ca="1" si="20"/>
        <v>0.80624301626538653</v>
      </c>
      <c r="I64" s="285">
        <f t="shared" ca="1" si="20"/>
        <v>0.83214247766714755</v>
      </c>
      <c r="K64" s="63"/>
      <c r="L64" s="63"/>
    </row>
    <row r="65" spans="1:20" ht="12.75" customHeight="1" outlineLevel="1">
      <c r="A65" s="61" t="s">
        <v>69</v>
      </c>
      <c r="B65" s="285">
        <f t="shared" ca="1" si="20"/>
        <v>0</v>
      </c>
      <c r="C65" s="285">
        <f t="shared" ca="1" si="20"/>
        <v>0</v>
      </c>
      <c r="D65" s="285">
        <f t="shared" ca="1" si="20"/>
        <v>0.20899999999999999</v>
      </c>
      <c r="E65" s="285">
        <f t="shared" ca="1" si="20"/>
        <v>0.21121748128077814</v>
      </c>
      <c r="F65" s="285">
        <f t="shared" ca="1" si="20"/>
        <v>0.21327216798083484</v>
      </c>
      <c r="G65" s="285">
        <f t="shared" ca="1" si="20"/>
        <v>0.21530320296812847</v>
      </c>
      <c r="H65" s="285">
        <f t="shared" ca="1" si="20"/>
        <v>0.21750671280572209</v>
      </c>
      <c r="I65" s="285">
        <f t="shared" ca="1" si="20"/>
        <v>0.21952514430809603</v>
      </c>
      <c r="K65" s="42"/>
      <c r="L65" s="21"/>
    </row>
    <row r="66" spans="1:20" s="759" customFormat="1" ht="12.75" customHeight="1" outlineLevel="1">
      <c r="A66" s="61" t="s">
        <v>646</v>
      </c>
      <c r="B66" s="285">
        <f t="shared" ref="B66:I66" ca="1" si="21">+B44+B32+B55</f>
        <v>0</v>
      </c>
      <c r="C66" s="285">
        <f t="shared" ca="1" si="21"/>
        <v>0</v>
      </c>
      <c r="D66" s="285">
        <f t="shared" ca="1" si="21"/>
        <v>7.4999999999999997E-2</v>
      </c>
      <c r="E66" s="285">
        <f t="shared" ca="1" si="21"/>
        <v>7.6174725605448079E-2</v>
      </c>
      <c r="F66" s="285">
        <f t="shared" ca="1" si="21"/>
        <v>7.7300318707479429E-2</v>
      </c>
      <c r="G66" s="285">
        <f t="shared" ca="1" si="21"/>
        <v>7.8738793828738579E-2</v>
      </c>
      <c r="H66" s="285">
        <f t="shared" ca="1" si="21"/>
        <v>8.0379860808693984E-2</v>
      </c>
      <c r="I66" s="285">
        <f t="shared" ca="1" si="21"/>
        <v>8.2139846719327891E-2</v>
      </c>
      <c r="K66" s="42"/>
      <c r="L66" s="732"/>
    </row>
    <row r="67" spans="1:20" ht="12.75" customHeight="1" outlineLevel="1">
      <c r="A67" s="61" t="s">
        <v>647</v>
      </c>
      <c r="B67" s="285">
        <f t="shared" ref="B67:I67" ca="1" si="22">+B45+B33+B56</f>
        <v>0</v>
      </c>
      <c r="C67" s="285">
        <f t="shared" ca="1" si="22"/>
        <v>0</v>
      </c>
      <c r="D67" s="285">
        <f t="shared" ca="1" si="22"/>
        <v>0.32400000000000001</v>
      </c>
      <c r="E67" s="285">
        <f t="shared" ca="1" si="22"/>
        <v>0.32907481461553578</v>
      </c>
      <c r="F67" s="285">
        <f t="shared" ca="1" si="22"/>
        <v>0.33393737681631114</v>
      </c>
      <c r="G67" s="285">
        <f t="shared" ca="1" si="22"/>
        <v>0.34015158934015066</v>
      </c>
      <c r="H67" s="285">
        <f t="shared" ca="1" si="22"/>
        <v>0.34724099869355807</v>
      </c>
      <c r="I67" s="285">
        <f t="shared" ca="1" si="22"/>
        <v>0.35484413782749646</v>
      </c>
      <c r="K67" s="42"/>
      <c r="L67" s="21"/>
    </row>
    <row r="68" spans="1:20" s="759" customFormat="1" ht="12.75" customHeight="1" outlineLevel="1">
      <c r="A68" s="61" t="s">
        <v>575</v>
      </c>
      <c r="B68" s="285">
        <f t="shared" ref="B68:I68" ca="1" si="23">+B46+B34+B57</f>
        <v>0</v>
      </c>
      <c r="C68" s="285">
        <f t="shared" ca="1" si="23"/>
        <v>0</v>
      </c>
      <c r="D68" s="285">
        <f t="shared" ca="1" si="23"/>
        <v>-0.122</v>
      </c>
      <c r="E68" s="285">
        <f t="shared" ca="1" si="23"/>
        <v>-0.12594006226141377</v>
      </c>
      <c r="F68" s="285">
        <f t="shared" ca="1" si="23"/>
        <v>-0.12989389135762955</v>
      </c>
      <c r="G68" s="285">
        <f t="shared" ca="1" si="23"/>
        <v>-0.1340988810461981</v>
      </c>
      <c r="H68" s="285">
        <f t="shared" ca="1" si="23"/>
        <v>-0.13853753237236222</v>
      </c>
      <c r="I68" s="285">
        <f t="shared" ca="1" si="23"/>
        <v>-0.14298786235970704</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1.1959999999999997</v>
      </c>
      <c r="E70" s="295">
        <f t="shared" ca="1" si="25"/>
        <v>1.2234568297780841</v>
      </c>
      <c r="F70" s="295">
        <f t="shared" ca="1" si="25"/>
        <v>1.2505558316872991</v>
      </c>
      <c r="G70" s="295">
        <f t="shared" ca="1" si="25"/>
        <v>1.2805062259334479</v>
      </c>
      <c r="H70" s="295">
        <f t="shared" ca="1" si="25"/>
        <v>1.3128330562009984</v>
      </c>
      <c r="I70" s="295">
        <f t="shared" ca="1" si="25"/>
        <v>1.3456637441623611</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7.5330703796769359E-3</v>
      </c>
      <c r="Q77" s="285">
        <f ca="1">IF($B77&lt;&gt;0,(+VLOOKUP($B77,$A$8:$I$13,6,FALSE))*(F77),0)</f>
        <v>1.4513106537764341E-2</v>
      </c>
      <c r="R77" s="285">
        <f ca="1">IF($B77&lt;&gt;0,(+VLOOKUP($B77,$A$8:$I$13,7,FALSE))*(G77),0)</f>
        <v>2.1412794772111127E-2</v>
      </c>
      <c r="S77" s="285">
        <f ca="1">IF($B77&lt;&gt;0,(+VLOOKUP($B77,$A$8:$I$13,8,FALSE))*(H77),0)</f>
        <v>2.8898402354366942E-2</v>
      </c>
      <c r="T77" s="285">
        <f ca="1">IF($B77&lt;&gt;0,(+VLOOKUP($B77,$A$8:$I$13,9,FALSE))*(I77),0)</f>
        <v>3.5755274922240128E-2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2.2174812807781402E-3</v>
      </c>
      <c r="Q78" s="285">
        <f ca="1">IF($B78&lt;&gt;0,(+VLOOKUP($B78,$A$8:$I$13,6,FALSE))*(F78),0)</f>
        <v>4.2721679808348555E-3</v>
      </c>
      <c r="R78" s="285">
        <f ca="1">IF($B78&lt;&gt;0,(+VLOOKUP($B78,$A$8:$I$13,7,FALSE))*(G78),0)</f>
        <v>6.303202968128487E-3</v>
      </c>
      <c r="S78" s="285">
        <f ca="1">IF($B78&lt;&gt;0,(+VLOOKUP($B78,$A$8:$I$13,8,FALSE))*(H78),0)</f>
        <v>8.5067128057220998E-3</v>
      </c>
      <c r="T78" s="285">
        <f ca="1">IF($B78&lt;&gt;0,(+VLOOKUP($B78,$A$8:$I$13,9,FALSE))*(I78),0)</f>
        <v>1.0525144308096037E-2</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7.9574687109263407E-4</v>
      </c>
      <c r="Q79" s="285">
        <f t="shared" ref="Q79:Q80" ca="1" si="34">IF($B79&lt;&gt;0,(+VLOOKUP($B79,$A$8:$I$13,6,FALSE))*(F79),0)</f>
        <v>1.5330746342708812E-3</v>
      </c>
      <c r="R79" s="285">
        <f t="shared" ref="R79:R80" ca="1" si="35">IF($B79&lt;&gt;0,(+VLOOKUP($B79,$A$8:$I$13,7,FALSE))*(G79),0)</f>
        <v>2.2619149407159642E-3</v>
      </c>
      <c r="S79" s="285">
        <f t="shared" ref="S79:S80" ca="1" si="36">IF($B79&lt;&gt;0,(+VLOOKUP($B79,$A$8:$I$13,8,FALSE))*(H79),0)</f>
        <v>3.052648136024677E-3</v>
      </c>
      <c r="T79" s="285">
        <f t="shared" ref="T79:T80" ca="1" si="37">IF($B79&lt;&gt;0,(+VLOOKUP($B79,$A$8:$I$13,9,FALSE))*(I79),0)</f>
        <v>3.7769656608000134E-3</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3.4376264831201793E-3</v>
      </c>
      <c r="Q80" s="285">
        <f t="shared" ca="1" si="34"/>
        <v>6.6228824200502074E-3</v>
      </c>
      <c r="R80" s="285">
        <f t="shared" ca="1" si="35"/>
        <v>9.7714725438929669E-3</v>
      </c>
      <c r="S80" s="285">
        <f t="shared" ca="1" si="36"/>
        <v>1.3187439947626606E-2</v>
      </c>
      <c r="T80" s="285">
        <f t="shared" ca="1" si="37"/>
        <v>1.6316491654656057E-2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-1.2944149103106847E-3</v>
      </c>
      <c r="Q81" s="285">
        <f ca="1">IF($B81&lt;&gt;0,(+VLOOKUP($B81,$A$8:$I$13,6,FALSE))*(F81),0)</f>
        <v>-2.4938014050806335E-3</v>
      </c>
      <c r="R81" s="285">
        <f ca="1">IF($B81&lt;&gt;0,(+VLOOKUP($B81,$A$8:$I$13,7,FALSE))*(G81),0)</f>
        <v>-3.6793816368979686E-3</v>
      </c>
      <c r="S81" s="285">
        <f ca="1">IF($B81&lt;&gt;0,(+VLOOKUP($B81,$A$8:$I$13,8,FALSE))*(H81),0)</f>
        <v>-4.965640967933475E-3</v>
      </c>
      <c r="T81" s="285">
        <f ca="1">IF($B81&lt;&gt;0,(+VLOOKUP($B81,$A$8:$I$13,9,FALSE))*(I81),0)</f>
        <v>-6.1438641415680218E-3</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1.2689510104357205E-2</v>
      </c>
      <c r="Q83" s="292">
        <f t="shared" ca="1" si="51"/>
        <v>2.4447430167839651E-2</v>
      </c>
      <c r="R83" s="292">
        <f t="shared" ca="1" si="51"/>
        <v>3.607000358795058E-2</v>
      </c>
      <c r="S83" s="292">
        <f t="shared" ca="1" si="51"/>
        <v>4.8679562275806845E-2</v>
      </c>
      <c r="T83" s="292">
        <f t="shared" ca="1" si="51"/>
        <v>6.0230012404224209E-2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7.5330703796769359E-3</v>
      </c>
      <c r="F98" s="285">
        <f t="shared" ca="1" si="54"/>
        <v>1.4513106537764341E-2</v>
      </c>
      <c r="G98" s="285">
        <f t="shared" ca="1" si="54"/>
        <v>2.1412794772111127E-2</v>
      </c>
      <c r="H98" s="285">
        <f t="shared" ca="1" si="54"/>
        <v>2.8898402354366942E-2</v>
      </c>
      <c r="I98" s="285">
        <f t="shared" ca="1" si="54"/>
        <v>3.5755274922240128E-2</v>
      </c>
    </row>
    <row r="99" spans="1:20" outlineLevel="1">
      <c r="A99" s="61" t="s">
        <v>69</v>
      </c>
      <c r="B99" s="119"/>
      <c r="C99" s="285">
        <f t="shared" ref="C99:I99" ca="1" si="55">+C9*(C87)</f>
        <v>0</v>
      </c>
      <c r="D99" s="285">
        <f t="shared" ca="1" si="55"/>
        <v>0</v>
      </c>
      <c r="E99" s="285">
        <f t="shared" ca="1" si="55"/>
        <v>2.2174812807781402E-3</v>
      </c>
      <c r="F99" s="285">
        <f t="shared" ca="1" si="55"/>
        <v>4.2721679808348555E-3</v>
      </c>
      <c r="G99" s="285">
        <f t="shared" ca="1" si="55"/>
        <v>6.303202968128487E-3</v>
      </c>
      <c r="H99" s="285">
        <f t="shared" ca="1" si="55"/>
        <v>8.5067128057220998E-3</v>
      </c>
      <c r="I99" s="285">
        <f t="shared" ca="1" si="55"/>
        <v>1.0525144308096037E-2</v>
      </c>
    </row>
    <row r="100" spans="1:20" s="759" customFormat="1" outlineLevel="1">
      <c r="A100" s="61" t="s">
        <v>646</v>
      </c>
      <c r="B100" s="119"/>
      <c r="C100" s="285">
        <f t="shared" ref="C100:I100" ca="1" si="56">+C10*(C88)</f>
        <v>0</v>
      </c>
      <c r="D100" s="285">
        <f t="shared" ca="1" si="56"/>
        <v>0</v>
      </c>
      <c r="E100" s="285">
        <f t="shared" ca="1" si="56"/>
        <v>7.9574687109263407E-4</v>
      </c>
      <c r="F100" s="285">
        <f t="shared" ca="1" si="56"/>
        <v>1.5330746342708812E-3</v>
      </c>
      <c r="G100" s="285">
        <f t="shared" ca="1" si="56"/>
        <v>2.2619149407159642E-3</v>
      </c>
      <c r="H100" s="285">
        <f t="shared" ca="1" si="56"/>
        <v>3.052648136024677E-3</v>
      </c>
      <c r="I100" s="285">
        <f t="shared" ca="1" si="56"/>
        <v>3.7769656608000134E-3</v>
      </c>
    </row>
    <row r="101" spans="1:20" outlineLevel="1">
      <c r="A101" s="61" t="s">
        <v>647</v>
      </c>
      <c r="B101" s="119"/>
      <c r="C101" s="285">
        <f t="shared" ref="C101:I101" ca="1" si="57">+C11*(C89)</f>
        <v>0</v>
      </c>
      <c r="D101" s="285">
        <f t="shared" ca="1" si="57"/>
        <v>0</v>
      </c>
      <c r="E101" s="285">
        <f t="shared" ca="1" si="57"/>
        <v>3.4376264831201793E-3</v>
      </c>
      <c r="F101" s="285">
        <f t="shared" ca="1" si="57"/>
        <v>6.6228824200502074E-3</v>
      </c>
      <c r="G101" s="285">
        <f t="shared" ca="1" si="57"/>
        <v>9.7714725438929669E-3</v>
      </c>
      <c r="H101" s="285">
        <f t="shared" ca="1" si="57"/>
        <v>1.3187439947626606E-2</v>
      </c>
      <c r="I101" s="285">
        <f t="shared" ca="1" si="57"/>
        <v>1.6316491654656057E-2</v>
      </c>
    </row>
    <row r="102" spans="1:20" s="759" customFormat="1" outlineLevel="1">
      <c r="A102" s="61" t="s">
        <v>575</v>
      </c>
      <c r="B102" s="119"/>
      <c r="C102" s="285">
        <f t="shared" ref="C102:I102" ca="1" si="58">+C12*(C90)</f>
        <v>0</v>
      </c>
      <c r="D102" s="285">
        <f t="shared" ca="1" si="58"/>
        <v>0</v>
      </c>
      <c r="E102" s="285">
        <f t="shared" ca="1" si="58"/>
        <v>-1.2944149103106847E-3</v>
      </c>
      <c r="F102" s="285">
        <f t="shared" ca="1" si="58"/>
        <v>-2.4938014050806335E-3</v>
      </c>
      <c r="G102" s="285">
        <f t="shared" ca="1" si="58"/>
        <v>-3.6793816368979686E-3</v>
      </c>
      <c r="H102" s="285">
        <f t="shared" ca="1" si="58"/>
        <v>-4.965640967933475E-3</v>
      </c>
      <c r="I102" s="285">
        <f t="shared" ca="1" si="58"/>
        <v>-6.1438641415680218E-3</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1.2689510104357205E-2</v>
      </c>
      <c r="F104" s="296">
        <f t="shared" ca="1" si="60"/>
        <v>2.4447430167839651E-2</v>
      </c>
      <c r="G104" s="296">
        <f t="shared" ca="1" si="60"/>
        <v>3.607000358795058E-2</v>
      </c>
      <c r="H104" s="296">
        <f t="shared" ca="1" si="60"/>
        <v>4.8679562275806845E-2</v>
      </c>
      <c r="I104" s="296">
        <f t="shared" ca="1" si="60"/>
        <v>6.0230012404224209E-2</v>
      </c>
    </row>
    <row r="105" spans="1:20" ht="13.5" outlineLevel="1" thickBot="1">
      <c r="A105" s="122" t="s">
        <v>143</v>
      </c>
      <c r="B105" s="123"/>
      <c r="C105" s="124">
        <f t="shared" ref="C105:I105" ca="1" si="61">IF(C36&lt;&gt;0,+C104/C36,0)</f>
        <v>0</v>
      </c>
      <c r="D105" s="124">
        <f t="shared" ca="1" si="61"/>
        <v>0</v>
      </c>
      <c r="E105" s="124">
        <f t="shared" ca="1" si="61"/>
        <v>1.0609958281235123E-2</v>
      </c>
      <c r="F105" s="124">
        <f t="shared" ca="1" si="61"/>
        <v>2.0440995123611753E-2</v>
      </c>
      <c r="G105" s="124">
        <f t="shared" ca="1" si="61"/>
        <v>3.0158865876212866E-2</v>
      </c>
      <c r="H105" s="124">
        <f t="shared" ca="1" si="61"/>
        <v>4.0701975146995702E-2</v>
      </c>
      <c r="I105" s="124">
        <f t="shared" ca="1" si="61"/>
        <v>5.0359542144000187E-2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1.5396800158058905E-2</v>
      </c>
      <c r="Q113" s="285">
        <f ca="1">IF($B113&lt;&gt;0,(+VLOOKUP($B113,$A$8:$I$13,6,FALSE)+VLOOKUP($B113,$A$42:$I$47,6,FALSE))*(F113),0)</f>
        <v>3.1426753002538811E-2</v>
      </c>
      <c r="R113" s="285">
        <f ca="1">IF($B113&lt;&gt;0,(+VLOOKUP($B113,$A$8:$I$13,7,FALSE)+VLOOKUP($B113,$A$42:$I$47,7,FALSE))*(G113),0)</f>
        <v>4.8998726070517168E-2</v>
      </c>
      <c r="S113" s="285">
        <f ca="1">IF($B113&lt;&gt;0,(+VLOOKUP($B113,$A$8:$I$13,8,FALSE)+VLOOKUP($B113,$A$42:$I$47,8,FALSE))*(H113),0)</f>
        <v>6.734461391101966E-2</v>
      </c>
      <c r="T113" s="285">
        <f ca="1">IF($B113&lt;&gt;0,(+VLOOKUP($B113,$A$8:$I$13,9,FALSE)+VLOOKUP($B113,$A$42:$I$47,9,FALSE))*(I113),0)</f>
        <v>8.6387202744907368E-2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3.7897873435545506E-4</v>
      </c>
      <c r="Q115" s="285">
        <f t="shared" ca="1" si="68"/>
        <v>7.6724407320854474E-4</v>
      </c>
      <c r="R115" s="285">
        <f t="shared" ca="1" si="69"/>
        <v>1.4768788880226097E-3</v>
      </c>
      <c r="S115" s="285">
        <f t="shared" ca="1" si="70"/>
        <v>2.3272126726693095E-3</v>
      </c>
      <c r="T115" s="285">
        <f t="shared" ca="1" si="71"/>
        <v>3.3628810585278773E-3</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1.6371881324155661E-3</v>
      </c>
      <c r="Q116" s="285">
        <f t="shared" ca="1" si="68"/>
        <v>3.3144943962609137E-3</v>
      </c>
      <c r="R116" s="285">
        <f t="shared" ca="1" si="69"/>
        <v>6.3801167962576752E-3</v>
      </c>
      <c r="S116" s="285">
        <f t="shared" ca="1" si="70"/>
        <v>1.0053558745931418E-2</v>
      </c>
      <c r="T116" s="285">
        <f t="shared" ca="1" si="71"/>
        <v>1.4527646172840428E-2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-2.645647351103079E-3</v>
      </c>
      <c r="Q117" s="285">
        <f t="shared" ca="1" si="68"/>
        <v>-5.4000899525489228E-3</v>
      </c>
      <c r="R117" s="285">
        <f t="shared" ca="1" si="69"/>
        <v>-8.4194994093001324E-3</v>
      </c>
      <c r="S117" s="285">
        <f t="shared" ca="1" si="70"/>
        <v>-1.1571891404428733E-2</v>
      </c>
      <c r="T117" s="285">
        <f t="shared" ca="1" si="71"/>
        <v>-1.4843998218139013E-2</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1.4767319673726846E-2</v>
      </c>
      <c r="Q119" s="292">
        <f t="shared" ca="1" si="72"/>
        <v>3.0108401519459347E-2</v>
      </c>
      <c r="R119" s="292">
        <f t="shared" ca="1" si="72"/>
        <v>4.8436222345497319E-2</v>
      </c>
      <c r="S119" s="292">
        <f t="shared" ca="1" si="72"/>
        <v>6.8153493925191655E-2</v>
      </c>
      <c r="T119" s="292">
        <f t="shared" ca="1" si="72"/>
        <v>8.9433731758136653E-2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1.5396800158058905E-2</v>
      </c>
      <c r="F134" s="285">
        <f t="shared" ca="1" si="75"/>
        <v>3.1426753002538811E-2</v>
      </c>
      <c r="G134" s="285">
        <f t="shared" ca="1" si="75"/>
        <v>4.8998726070517168E-2</v>
      </c>
      <c r="H134" s="285">
        <f t="shared" ca="1" si="75"/>
        <v>6.734461391101966E-2</v>
      </c>
      <c r="I134" s="285">
        <f t="shared" ca="1" si="75"/>
        <v>8.6387202744907368E-2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3.7897873435545506E-4</v>
      </c>
      <c r="F136" s="285">
        <f t="shared" ca="1" si="77"/>
        <v>7.6724407320854474E-4</v>
      </c>
      <c r="G136" s="285">
        <f t="shared" ca="1" si="77"/>
        <v>1.4768788880226097E-3</v>
      </c>
      <c r="H136" s="285">
        <f t="shared" ca="1" si="77"/>
        <v>2.3272126726693095E-3</v>
      </c>
      <c r="I136" s="285">
        <f t="shared" ca="1" si="77"/>
        <v>3.3628810585278773E-3</v>
      </c>
    </row>
    <row r="137" spans="1:16" outlineLevel="1">
      <c r="A137" s="61" t="s">
        <v>647</v>
      </c>
      <c r="B137" s="119"/>
      <c r="C137" s="285">
        <f ca="1">(+C11+C45)*(C$125)</f>
        <v>0</v>
      </c>
      <c r="D137" s="285">
        <f t="shared" ref="D137:I137" ca="1" si="78">(+D11+D45)*(D$125)</f>
        <v>0</v>
      </c>
      <c r="E137" s="285">
        <f t="shared" ca="1" si="78"/>
        <v>1.6371881324155661E-3</v>
      </c>
      <c r="F137" s="285">
        <f t="shared" ca="1" si="78"/>
        <v>3.3144943962609137E-3</v>
      </c>
      <c r="G137" s="285">
        <f t="shared" ca="1" si="78"/>
        <v>6.3801167962576752E-3</v>
      </c>
      <c r="H137" s="285">
        <f t="shared" ca="1" si="78"/>
        <v>1.0053558745931418E-2</v>
      </c>
      <c r="I137" s="285">
        <f t="shared" ca="1" si="78"/>
        <v>1.4527646172840428E-2</v>
      </c>
    </row>
    <row r="138" spans="1:16" s="759" customFormat="1" outlineLevel="1">
      <c r="A138" s="61" t="s">
        <v>575</v>
      </c>
      <c r="B138" s="119"/>
      <c r="C138" s="285">
        <f ca="1">(+C12+C46)*(C$126)</f>
        <v>0</v>
      </c>
      <c r="D138" s="285">
        <f t="shared" ref="D138:I138" ca="1" si="79">(+D12+D46)*(D$126)</f>
        <v>0</v>
      </c>
      <c r="E138" s="285">
        <f t="shared" ca="1" si="79"/>
        <v>-2.645647351103079E-3</v>
      </c>
      <c r="F138" s="285">
        <f t="shared" ca="1" si="79"/>
        <v>-5.4000899525489228E-3</v>
      </c>
      <c r="G138" s="285">
        <f t="shared" ca="1" si="79"/>
        <v>-8.4194994093001324E-3</v>
      </c>
      <c r="H138" s="285">
        <f t="shared" ca="1" si="79"/>
        <v>-1.1571891404428733E-2</v>
      </c>
      <c r="I138" s="285">
        <f t="shared" ca="1" si="79"/>
        <v>-1.4843998218139013E-2</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1.4767319673726846E-2</v>
      </c>
      <c r="F140" s="296">
        <f t="shared" ca="1" si="81"/>
        <v>3.0108401519459347E-2</v>
      </c>
      <c r="G140" s="296">
        <f t="shared" ca="1" si="81"/>
        <v>4.8436222345497319E-2</v>
      </c>
      <c r="H140" s="296">
        <f t="shared" ca="1" si="81"/>
        <v>6.8153493925191655E-2</v>
      </c>
      <c r="I140" s="296">
        <f t="shared" ca="1" si="81"/>
        <v>8.9433731758136653E-2</v>
      </c>
    </row>
    <row r="141" spans="1:16" ht="13.5" outlineLevel="1" thickBot="1">
      <c r="A141" s="122" t="s">
        <v>148</v>
      </c>
      <c r="B141" s="126"/>
      <c r="C141" s="124">
        <f t="shared" ref="C141:I141" ca="1" si="82">IF((+C36+C48)&lt;&gt;0,+C140/(+C36+C48),0)</f>
        <v>0</v>
      </c>
      <c r="D141" s="124">
        <f t="shared" ca="1" si="82"/>
        <v>0</v>
      </c>
      <c r="E141" s="124">
        <f t="shared" ca="1" si="82"/>
        <v>1.2217628721251872E-2</v>
      </c>
      <c r="F141" s="124">
        <f t="shared" ca="1" si="82"/>
        <v>2.4669970025106902E-2</v>
      </c>
      <c r="G141" s="124">
        <f t="shared" ca="1" si="82"/>
        <v>3.9312881739223135E-2</v>
      </c>
      <c r="H141" s="124">
        <f t="shared" ca="1" si="82"/>
        <v>5.4755855234400984E-2</v>
      </c>
      <c r="I141" s="124">
        <f t="shared" ca="1" si="82"/>
        <v>7.1192162959850605E-2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(SEM)'!$O$124:$S$129</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1.1959999999999997</v>
      </c>
      <c r="E205" s="82">
        <f t="shared" ca="1" si="95"/>
        <v>1.1959999999999997</v>
      </c>
      <c r="F205" s="82">
        <f t="shared" ca="1" si="95"/>
        <v>1.1959999999999997</v>
      </c>
      <c r="G205" s="82">
        <f t="shared" ca="1" si="95"/>
        <v>1.1959999999999997</v>
      </c>
      <c r="H205" s="82">
        <f t="shared" ca="1" si="95"/>
        <v>1.1959999999999997</v>
      </c>
      <c r="I205" s="82">
        <f t="shared" ca="1" si="95"/>
        <v>1.1959999999999997</v>
      </c>
    </row>
    <row r="206" spans="1:9" outlineLevel="1">
      <c r="A206" t="s">
        <v>156</v>
      </c>
      <c r="B206" s="82">
        <f t="shared" ref="B206:I206" ca="1" si="96">+B36</f>
        <v>0</v>
      </c>
      <c r="C206" s="82">
        <f t="shared" ca="1" si="96"/>
        <v>0</v>
      </c>
      <c r="D206" s="82">
        <f t="shared" ca="1" si="96"/>
        <v>1.1959999999999997</v>
      </c>
      <c r="E206" s="82">
        <f t="shared" ca="1" si="96"/>
        <v>1.1959999999999997</v>
      </c>
      <c r="F206" s="82">
        <f t="shared" ca="1" si="96"/>
        <v>1.1959999999999997</v>
      </c>
      <c r="G206" s="82">
        <f t="shared" ca="1" si="96"/>
        <v>1.1959999999999997</v>
      </c>
      <c r="H206" s="82">
        <f t="shared" ca="1" si="96"/>
        <v>1.1959999999999997</v>
      </c>
      <c r="I206" s="82">
        <f t="shared" ca="1" si="96"/>
        <v>1.1959999999999997</v>
      </c>
    </row>
    <row r="207" spans="1:9" outlineLevel="1">
      <c r="A207" t="s">
        <v>157</v>
      </c>
      <c r="B207" s="82">
        <f t="shared" ref="B207:I207" ca="1" si="97">+B36+B48</f>
        <v>0</v>
      </c>
      <c r="C207" s="82">
        <f t="shared" ca="1" si="97"/>
        <v>0</v>
      </c>
      <c r="D207" s="82">
        <f t="shared" ca="1" si="97"/>
        <v>1.1959999999999997</v>
      </c>
      <c r="E207" s="82">
        <f t="shared" ca="1" si="97"/>
        <v>1.2086895101043569</v>
      </c>
      <c r="F207" s="82">
        <f t="shared" ca="1" si="97"/>
        <v>1.2204474301678394</v>
      </c>
      <c r="G207" s="82">
        <f t="shared" ca="1" si="97"/>
        <v>1.2320700035879504</v>
      </c>
      <c r="H207" s="82">
        <f t="shared" ca="1" si="97"/>
        <v>1.2446795622758067</v>
      </c>
      <c r="I207" s="82">
        <f t="shared" ca="1" si="97"/>
        <v>1.2562300124042238</v>
      </c>
    </row>
    <row r="208" spans="1:9" outlineLevel="1">
      <c r="A208" t="s">
        <v>158</v>
      </c>
      <c r="B208" s="82">
        <f t="shared" ref="B208:I208" ca="1" si="98">+B70</f>
        <v>0</v>
      </c>
      <c r="C208" s="82">
        <f t="shared" ca="1" si="98"/>
        <v>0</v>
      </c>
      <c r="D208" s="82">
        <f t="shared" ca="1" si="98"/>
        <v>1.1959999999999997</v>
      </c>
      <c r="E208" s="82">
        <f t="shared" ca="1" si="98"/>
        <v>1.2234568297780841</v>
      </c>
      <c r="F208" s="82">
        <f t="shared" ca="1" si="98"/>
        <v>1.2505558316872991</v>
      </c>
      <c r="G208" s="82">
        <f t="shared" ca="1" si="98"/>
        <v>1.2805062259334479</v>
      </c>
      <c r="H208" s="82">
        <f t="shared" ca="1" si="98"/>
        <v>1.3128330562009984</v>
      </c>
      <c r="I208" s="82">
        <f t="shared" ca="1" si="98"/>
        <v>1.3456637441623611</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88" priority="1" stopIfTrue="1" operator="notEqual">
      <formula>0</formula>
    </cfRule>
  </conditionalFormatting>
  <conditionalFormatting sqref="J130 J94 J70 J59 J48 J36:J37 J14 J25">
    <cfRule type="cellIs" dxfId="87" priority="2" stopIfTrue="1" operator="equal">
      <formula>"OK"</formula>
    </cfRule>
    <cfRule type="cellIs" dxfId="86" priority="3" stopIfTrue="1" operator="equal">
      <formula>"Warning Check Escalations"</formula>
    </cfRule>
  </conditionalFormatting>
  <conditionalFormatting sqref="N120:T120 N84:T84">
    <cfRule type="cellIs" dxfId="85" priority="4" stopIfTrue="1" operator="notEqual">
      <formula>0</formula>
    </cfRule>
    <cfRule type="cellIs" dxfId="8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allowBlank="1" showInputMessage="1" showErrorMessage="1" sqref="D5">
      <formula1>"2007/08 Regulatory Accounts, Bottom Up"</formula1>
    </dataValidation>
    <dataValidation type="list" showInputMessage="1" showErrorMessage="1" sqref="A113:A118">
      <formula1>EscalationDescription_General</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3.xml><?xml version="1.0" encoding="utf-8"?>
<worksheet xmlns="http://schemas.openxmlformats.org/spreadsheetml/2006/main" xmlns:r="http://schemas.openxmlformats.org/officeDocument/2006/relationships">
  <sheetPr codeName="Sheet47" enableFormatConditionsCalculation="0">
    <tabColor indexed="17"/>
    <pageSetUpPr fitToPage="1"/>
  </sheetPr>
  <dimension ref="A1:T239"/>
  <sheetViews>
    <sheetView showGridLines="0" topLeftCell="A183" zoomScaleNormal="100" workbookViewId="0">
      <selection activeCell="L12" sqref="L12"/>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19</v>
      </c>
      <c r="M1" s="282"/>
      <c r="N1" s="280"/>
      <c r="O1" s="280"/>
      <c r="P1" s="280"/>
      <c r="Q1" s="280"/>
      <c r="R1" s="280"/>
      <c r="S1" s="280"/>
      <c r="T1" s="280"/>
    </row>
    <row r="2" spans="1:20" ht="15.75">
      <c r="A2" s="184" t="s">
        <v>121</v>
      </c>
      <c r="B2" s="74" t="str">
        <f ca="1">OFFSET(List_DAOpexStart,+$K$1,1)</f>
        <v>Demand Management Innovation Fund</v>
      </c>
      <c r="F2" s="284"/>
      <c r="H2" s="42"/>
      <c r="I2" s="283"/>
      <c r="L2" s="282"/>
      <c r="M2" s="282"/>
    </row>
    <row r="3" spans="1:20" ht="16.5" thickBot="1">
      <c r="A3" s="184" t="s">
        <v>371</v>
      </c>
      <c r="B3" s="236" t="str">
        <f ca="1">OFFSET(List_DAOpexStart,+$K$1,2)</f>
        <v>Mark Vincent</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9"/>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+'DA-19'!B8+'DA-19'!B19</f>
        <v>0</v>
      </c>
      <c r="C30" s="285">
        <f ca="1">+'DA-19'!C8+'DA-19'!C19</f>
        <v>0</v>
      </c>
      <c r="D30" s="285">
        <f ca="1">+'DA-19'!D8+'DA-19'!D19</f>
        <v>0</v>
      </c>
      <c r="E30" s="285">
        <f ca="1">+'DA-19'!E8+'DA-19'!E19</f>
        <v>0</v>
      </c>
      <c r="F30" s="285">
        <f ca="1">+'DA-19'!F8+'DA-19'!F19</f>
        <v>0</v>
      </c>
      <c r="G30" s="285">
        <f ca="1">+'DA-19'!G8+'DA-19'!G19</f>
        <v>0</v>
      </c>
      <c r="H30" s="285">
        <f ca="1">+'DA-19'!H8+'DA-19'!H19</f>
        <v>0</v>
      </c>
      <c r="I30" s="285">
        <f ca="1">+'DA-19'!I8+'DA-19'!I19</f>
        <v>0</v>
      </c>
      <c r="J30" s="42"/>
      <c r="K30" s="21"/>
      <c r="L30" s="21"/>
    </row>
    <row r="31" spans="1:12" outlineLevel="2">
      <c r="A31" s="61" t="s">
        <v>69</v>
      </c>
      <c r="B31" s="285">
        <f ca="1">+'DA-19'!B9+'DA-19'!B20</f>
        <v>0</v>
      </c>
      <c r="C31" s="285">
        <f ca="1">+'DA-19'!C9+'DA-19'!C20</f>
        <v>0</v>
      </c>
      <c r="D31" s="285">
        <f ca="1">+'DA-19'!D9+'DA-19'!D20</f>
        <v>0</v>
      </c>
      <c r="E31" s="285">
        <f ca="1">+'DA-19'!E9+'DA-19'!E20</f>
        <v>0</v>
      </c>
      <c r="F31" s="285">
        <f ca="1">+'DA-19'!F9+'DA-19'!F20</f>
        <v>0</v>
      </c>
      <c r="G31" s="285">
        <f ca="1">+'DA-19'!G9+'DA-19'!G20</f>
        <v>0</v>
      </c>
      <c r="H31" s="285">
        <f ca="1">+'DA-19'!H9+'DA-19'!H20</f>
        <v>0</v>
      </c>
      <c r="I31" s="285">
        <f ca="1">+'DA-19'!I9+'DA-19'!I20</f>
        <v>0</v>
      </c>
      <c r="J31" s="42"/>
      <c r="K31" s="21"/>
      <c r="L31" s="21"/>
    </row>
    <row r="32" spans="1:12" s="759" customFormat="1" outlineLevel="2">
      <c r="A32" s="61" t="s">
        <v>646</v>
      </c>
      <c r="B32" s="285">
        <f ca="1">+'DA-19'!B10+'DA-19'!B21</f>
        <v>0</v>
      </c>
      <c r="C32" s="285">
        <f ca="1">+'DA-19'!C10+'DA-19'!C21</f>
        <v>0</v>
      </c>
      <c r="D32" s="285">
        <f ca="1">+'DA-19'!D10+'DA-19'!D21</f>
        <v>0</v>
      </c>
      <c r="E32" s="285">
        <f ca="1">+'DA-19'!E10+'DA-19'!E21</f>
        <v>0</v>
      </c>
      <c r="F32" s="285">
        <f ca="1">+'DA-19'!F10+'DA-19'!F21</f>
        <v>0</v>
      </c>
      <c r="G32" s="285">
        <f ca="1">+'DA-19'!G10+'DA-19'!G21</f>
        <v>0</v>
      </c>
      <c r="H32" s="285">
        <f ca="1">+'DA-19'!H10+'DA-19'!H21</f>
        <v>0</v>
      </c>
      <c r="I32" s="285">
        <f ca="1">+'DA-19'!I10+'DA-19'!I21</f>
        <v>0</v>
      </c>
      <c r="J32" s="42"/>
      <c r="K32" s="732"/>
      <c r="L32" s="732"/>
    </row>
    <row r="33" spans="1:12" outlineLevel="2">
      <c r="A33" s="61" t="s">
        <v>647</v>
      </c>
      <c r="B33" s="285">
        <f ca="1">+'DA-19'!B11+'DA-19'!B22</f>
        <v>0</v>
      </c>
      <c r="C33" s="285">
        <f ca="1">+'DA-19'!C11+'DA-19'!C22</f>
        <v>0</v>
      </c>
      <c r="D33" s="285">
        <f ca="1">+'DA-19'!D11+'DA-19'!D22</f>
        <v>0</v>
      </c>
      <c r="E33" s="285">
        <f ca="1">+'DA-19'!E11+'DA-19'!E22</f>
        <v>0</v>
      </c>
      <c r="F33" s="285">
        <f ca="1">+'DA-19'!F11+'DA-19'!F22</f>
        <v>0</v>
      </c>
      <c r="G33" s="285">
        <f ca="1">+'DA-19'!G11+'DA-19'!G22</f>
        <v>0</v>
      </c>
      <c r="H33" s="285">
        <f ca="1">+'DA-19'!H11+'DA-19'!H22</f>
        <v>0</v>
      </c>
      <c r="I33" s="285">
        <f ca="1">+'DA-19'!I11+'DA-19'!I22</f>
        <v>0</v>
      </c>
      <c r="J33" s="42"/>
      <c r="K33" s="21"/>
      <c r="L33" s="21"/>
    </row>
    <row r="34" spans="1:12" s="759" customFormat="1" outlineLevel="2">
      <c r="A34" s="61" t="s">
        <v>575</v>
      </c>
      <c r="B34" s="285">
        <f ca="1">+'DA-19'!B12+'DA-19'!B23</f>
        <v>0</v>
      </c>
      <c r="C34" s="285">
        <f ca="1">+'DA-19'!C12+'DA-19'!C23</f>
        <v>0</v>
      </c>
      <c r="D34" s="285">
        <f ca="1">+'DA-19'!D12+'DA-19'!D23</f>
        <v>0</v>
      </c>
      <c r="E34" s="285">
        <f ca="1">+'DA-19'!E12+'DA-19'!E23</f>
        <v>0</v>
      </c>
      <c r="F34" s="285">
        <f ca="1">+'DA-19'!F12+'DA-19'!F23</f>
        <v>0</v>
      </c>
      <c r="G34" s="285">
        <f ca="1">+'DA-19'!G12+'DA-19'!G23</f>
        <v>0</v>
      </c>
      <c r="H34" s="285">
        <f ca="1">+'DA-19'!H12+'DA-19'!H23</f>
        <v>0</v>
      </c>
      <c r="I34" s="285">
        <f ca="1">+'DA-19'!I12+'DA-19'!I23</f>
        <v>0</v>
      </c>
      <c r="J34" s="42"/>
      <c r="K34" s="732"/>
      <c r="L34" s="732"/>
    </row>
    <row r="35" spans="1:12" ht="13.5" outlineLevel="2" thickBot="1">
      <c r="A35" s="83" t="s">
        <v>70</v>
      </c>
      <c r="B35" s="285">
        <f ca="1">+'DA-19'!B13+'DA-19'!B24</f>
        <v>0</v>
      </c>
      <c r="C35" s="285">
        <f ca="1">+'DA-19'!C13+'DA-19'!C24</f>
        <v>0</v>
      </c>
      <c r="D35" s="285">
        <f ca="1">+'DA-19'!D13+'DA-19'!D24</f>
        <v>0</v>
      </c>
      <c r="E35" s="285">
        <f ca="1">+'DA-19'!E13+'DA-19'!E24</f>
        <v>0</v>
      </c>
      <c r="F35" s="285">
        <f ca="1">+'DA-19'!F13+'DA-19'!F24</f>
        <v>0</v>
      </c>
      <c r="G35" s="285">
        <f ca="1">+'DA-19'!G13+'DA-19'!G24</f>
        <v>0</v>
      </c>
      <c r="H35" s="285">
        <f ca="1">+'DA-19'!H13+'DA-19'!H24</f>
        <v>0</v>
      </c>
      <c r="I35" s="285">
        <f ca="1">+'DA-19'!I13+'DA-19'!I24</f>
        <v>0</v>
      </c>
      <c r="J35" s="93"/>
      <c r="K35" s="21"/>
      <c r="L35" s="21"/>
    </row>
    <row r="36" spans="1:12" s="87" customFormat="1" ht="20.25" customHeight="1" thickBot="1">
      <c r="A36" s="94" t="s">
        <v>128</v>
      </c>
      <c r="B36" s="294">
        <f t="shared" ref="B36:I36" ca="1" si="7">SUM(B30:B35)</f>
        <v>0</v>
      </c>
      <c r="C36" s="294">
        <f t="shared" ca="1" si="7"/>
        <v>0</v>
      </c>
      <c r="D36" s="294">
        <f t="shared" ca="1" si="7"/>
        <v>0</v>
      </c>
      <c r="E36" s="294">
        <f t="shared" ca="1" si="7"/>
        <v>0</v>
      </c>
      <c r="F36" s="294">
        <f t="shared" ca="1" si="7"/>
        <v>0</v>
      </c>
      <c r="G36" s="294">
        <f t="shared" ca="1" si="7"/>
        <v>0</v>
      </c>
      <c r="H36" s="294">
        <f t="shared" ca="1" si="7"/>
        <v>0</v>
      </c>
      <c r="I36" s="294">
        <f t="shared" ca="1" si="7"/>
        <v>0</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0</v>
      </c>
      <c r="E70" s="295">
        <f t="shared" ca="1" si="25"/>
        <v>0</v>
      </c>
      <c r="F70" s="295">
        <f t="shared" ca="1" si="25"/>
        <v>0</v>
      </c>
      <c r="G70" s="295">
        <f t="shared" ca="1" si="25"/>
        <v>0</v>
      </c>
      <c r="H70" s="295">
        <f t="shared" ca="1" si="25"/>
        <v>0</v>
      </c>
      <c r="I70" s="295">
        <f t="shared" ca="1" si="25"/>
        <v>0</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693</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0</v>
      </c>
      <c r="F77" s="103">
        <f t="shared" si="28"/>
        <v>0</v>
      </c>
      <c r="G77" s="103">
        <f t="shared" si="28"/>
        <v>0</v>
      </c>
      <c r="H77" s="103">
        <f t="shared" si="28"/>
        <v>0</v>
      </c>
      <c r="I77" s="104">
        <f t="shared" si="28"/>
        <v>0</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693</v>
      </c>
      <c r="B78" s="102" t="s">
        <v>69</v>
      </c>
      <c r="C78" s="103">
        <f t="shared" si="27"/>
        <v>0</v>
      </c>
      <c r="D78" s="103">
        <f t="shared" si="28"/>
        <v>0</v>
      </c>
      <c r="E78" s="103">
        <f t="shared" si="28"/>
        <v>0</v>
      </c>
      <c r="F78" s="103">
        <f t="shared" si="28"/>
        <v>0</v>
      </c>
      <c r="G78" s="103">
        <f t="shared" si="28"/>
        <v>0</v>
      </c>
      <c r="H78" s="103">
        <f t="shared" si="28"/>
        <v>0</v>
      </c>
      <c r="I78" s="104">
        <f t="shared" si="28"/>
        <v>0</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693</v>
      </c>
      <c r="B79" s="102" t="s">
        <v>646</v>
      </c>
      <c r="C79" s="103">
        <f t="shared" si="27"/>
        <v>0</v>
      </c>
      <c r="D79" s="103">
        <f t="shared" si="28"/>
        <v>0</v>
      </c>
      <c r="E79" s="103">
        <f t="shared" si="28"/>
        <v>0</v>
      </c>
      <c r="F79" s="103">
        <f t="shared" si="28"/>
        <v>0</v>
      </c>
      <c r="G79" s="103">
        <f t="shared" si="28"/>
        <v>0</v>
      </c>
      <c r="H79" s="103">
        <f t="shared" si="28"/>
        <v>0</v>
      </c>
      <c r="I79" s="104">
        <f t="shared" si="28"/>
        <v>0</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693</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0</v>
      </c>
      <c r="F80" s="103">
        <f t="shared" ref="F80:F82" si="40">IF($K80="No",0,IF($J80="one-off",VLOOKUP($A80,Escalations_Specific_Costs,+F$73,FALSE),(VLOOKUP($A80,Escalations_Specific_Costs,+F$73,FALSE)+1)*(1+E80)-1))</f>
        <v>0</v>
      </c>
      <c r="G80" s="103">
        <f t="shared" ref="G80:G82" si="41">IF($K80="No",0,IF($J80="one-off",VLOOKUP($A80,Escalations_Specific_Costs,+G$73,FALSE),(VLOOKUP($A80,Escalations_Specific_Costs,+G$73,FALSE)+1)*(1+F80)-1))</f>
        <v>0</v>
      </c>
      <c r="H80" s="103">
        <f t="shared" ref="H80:H82" si="42">IF($K80="No",0,IF($J80="one-off",VLOOKUP($A80,Escalations_Specific_Costs,+H$73,FALSE),(VLOOKUP($A80,Escalations_Specific_Costs,+H$73,FALSE)+1)*(1+G80)-1))</f>
        <v>0</v>
      </c>
      <c r="I80" s="104">
        <f t="shared" ref="I80:I82" si="43">IF($K80="No",0,IF($J80="one-off",VLOOKUP($A80,Escalations_Specific_Costs,+I$73,FALSE),(VLOOKUP($A80,Escalations_Specific_Costs,+I$73,FALSE)+1)*(1+H80)-1))</f>
        <v>0</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693</v>
      </c>
      <c r="B81" s="102" t="s">
        <v>575</v>
      </c>
      <c r="C81" s="103">
        <f t="shared" si="27"/>
        <v>0</v>
      </c>
      <c r="D81" s="103">
        <f t="shared" si="38"/>
        <v>0</v>
      </c>
      <c r="E81" s="103">
        <f t="shared" si="39"/>
        <v>0</v>
      </c>
      <c r="F81" s="103">
        <f t="shared" si="40"/>
        <v>0</v>
      </c>
      <c r="G81" s="103">
        <f t="shared" si="41"/>
        <v>0</v>
      </c>
      <c r="H81" s="103">
        <f t="shared" si="42"/>
        <v>0</v>
      </c>
      <c r="I81" s="104">
        <f t="shared" si="43"/>
        <v>0</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693</v>
      </c>
      <c r="B82" s="102" t="s">
        <v>70</v>
      </c>
      <c r="C82" s="103">
        <f t="shared" si="27"/>
        <v>0</v>
      </c>
      <c r="D82" s="103">
        <f t="shared" si="38"/>
        <v>0</v>
      </c>
      <c r="E82" s="103">
        <f t="shared" si="39"/>
        <v>0</v>
      </c>
      <c r="F82" s="103">
        <f t="shared" si="40"/>
        <v>0</v>
      </c>
      <c r="G82" s="103">
        <f t="shared" si="41"/>
        <v>0</v>
      </c>
      <c r="H82" s="103">
        <f t="shared" si="42"/>
        <v>0</v>
      </c>
      <c r="I82" s="104">
        <f t="shared" si="43"/>
        <v>0</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0</v>
      </c>
      <c r="F86" s="108">
        <f t="array" ref="F86">PRODUCT(IF($B$77:$B$83=$A86,F$77:F$83+1))-IF(COUNTIF($B$77:$B$83,+$A86)=0,0,1)</f>
        <v>0</v>
      </c>
      <c r="G86" s="108">
        <f t="array" ref="G86">PRODUCT(IF($B$77:$B$83=$A86,G$77:G$83+1))-IF(COUNTIF($B$77:$B$83,+$A86)=0,0,1)</f>
        <v>0</v>
      </c>
      <c r="H86" s="108">
        <f t="array" ref="H86">PRODUCT(IF($B$77:$B$83=$A86,H$77:H$83+1))-IF(COUNTIF($B$77:$B$83,+$A86)=0,0,1)</f>
        <v>0</v>
      </c>
      <c r="I86" s="108">
        <f t="array" ref="I86">PRODUCT(IF($B$77:$B$83=$A86,I$77:I$83+1))-IF(COUNTIF($B$77:$B$83,+$A86)=0,0,1)</f>
        <v>0</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0</v>
      </c>
      <c r="F87" s="108">
        <f t="array" ref="F87">PRODUCT(IF($B$77:$B$83=$A87,F$77:F$83+1))-IF(COUNTIF($B$77:$B$83,+$A87)=0,0,1)</f>
        <v>0</v>
      </c>
      <c r="G87" s="108">
        <f t="array" ref="G87">PRODUCT(IF($B$77:$B$83=$A87,G$77:G$83+1))-IF(COUNTIF($B$77:$B$83,+$A87)=0,0,1)</f>
        <v>0</v>
      </c>
      <c r="H87" s="108">
        <f t="array" ref="H87">PRODUCT(IF($B$77:$B$83=$A87,H$77:H$83+1))-IF(COUNTIF($B$77:$B$83,+$A87)=0,0,1)</f>
        <v>0</v>
      </c>
      <c r="I87" s="108">
        <f t="array" ref="I87">PRODUCT(IF($B$77:$B$83=$A87,I$77:I$83+1))-IF(COUNTIF($B$77:$B$83,+$A87)=0,0,1)</f>
        <v>0</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0</v>
      </c>
      <c r="F88" s="108">
        <f t="array" ref="F88">PRODUCT(IF($B$77:$B$83=$A88,F$77:F$83+1))-IF(COUNTIF($B$77:$B$83,+$A88)=0,0,1)</f>
        <v>0</v>
      </c>
      <c r="G88" s="108">
        <f t="array" ref="G88">PRODUCT(IF($B$77:$B$83=$A88,G$77:G$83+1))-IF(COUNTIF($B$77:$B$83,+$A88)=0,0,1)</f>
        <v>0</v>
      </c>
      <c r="H88" s="108">
        <f t="array" ref="H88">PRODUCT(IF($B$77:$B$83=$A88,H$77:H$83+1))-IF(COUNTIF($B$77:$B$83,+$A88)=0,0,1)</f>
        <v>0</v>
      </c>
      <c r="I88" s="108">
        <f t="array" ref="I88">PRODUCT(IF($B$77:$B$83=$A88,I$77:I$83+1))-IF(COUNTIF($B$77:$B$83,+$A88)=0,0,1)</f>
        <v>0</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0</v>
      </c>
      <c r="F89" s="108">
        <f t="array" ref="F89">PRODUCT(IF($B$77:$B$83=$A89,F$77:F$83+1))-IF(COUNTIF($B$77:$B$83,+$A89)=0,0,1)</f>
        <v>0</v>
      </c>
      <c r="G89" s="108">
        <f t="array" ref="G89">PRODUCT(IF($B$77:$B$83=$A89,G$77:G$83+1))-IF(COUNTIF($B$77:$B$83,+$A89)=0,0,1)</f>
        <v>0</v>
      </c>
      <c r="H89" s="108">
        <f t="array" ref="H89">PRODUCT(IF($B$77:$B$83=$A89,H$77:H$83+1))-IF(COUNTIF($B$77:$B$83,+$A89)=0,0,1)</f>
        <v>0</v>
      </c>
      <c r="I89" s="108">
        <f t="array" ref="I89">PRODUCT(IF($B$77:$B$83=$A89,I$77:I$83+1))-IF(COUNTIF($B$77:$B$83,+$A89)=0,0,1)</f>
        <v>0</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0</v>
      </c>
      <c r="F90" s="108">
        <f t="array" ref="F90">PRODUCT(IF($B$77:$B$83=$A90,F$77:F$83+1))-IF(COUNTIF($B$77:$B$83,+$A90)=0,0,1)</f>
        <v>0</v>
      </c>
      <c r="G90" s="108">
        <f t="array" ref="G90">PRODUCT(IF($B$77:$B$83=$A90,G$77:G$83+1))-IF(COUNTIF($B$77:$B$83,+$A90)=0,0,1)</f>
        <v>0</v>
      </c>
      <c r="H90" s="108">
        <f t="array" ref="H90">PRODUCT(IF($B$77:$B$83=$A90,H$77:H$83+1))-IF(COUNTIF($B$77:$B$83,+$A90)=0,0,1)</f>
        <v>0</v>
      </c>
      <c r="I90" s="108">
        <f t="array" ref="I90">PRODUCT(IF($B$77:$B$83=$A90,I$77:I$83+1))-IF(COUNTIF($B$77:$B$83,+$A90)=0,0,1)</f>
        <v>0</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0</v>
      </c>
      <c r="F91" s="108">
        <f t="array" ref="F91">PRODUCT(IF($B$77:$B$83=$A91,F$77:F$83+1))-IF(COUNTIF($B$77:$B$83,+$A91)=0,0,1)</f>
        <v>0</v>
      </c>
      <c r="G91" s="108">
        <f t="array" ref="G91">PRODUCT(IF($B$77:$B$83=$A91,G$77:G$83+1))-IF(COUNTIF($B$77:$B$83,+$A91)=0,0,1)</f>
        <v>0</v>
      </c>
      <c r="H91" s="108">
        <f t="array" ref="H91">PRODUCT(IF($B$77:$B$83=$A91,H$77:H$83+1))-IF(COUNTIF($B$77:$B$83,+$A91)=0,0,1)</f>
        <v>0</v>
      </c>
      <c r="I91" s="108">
        <f t="array" ref="I91">PRODUCT(IF($B$77:$B$83=$A91,I$77:I$83+1))-IF(COUNTIF($B$77:$B$83,+$A91)=0,0,1)</f>
        <v>0</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0</v>
      </c>
      <c r="F92" s="112">
        <f t="array" ref="F92">PRODUCT(IF(F86:F91&lt;&gt;0,F86:F91+1))-IF(SUM(F86:F91)&lt;&gt;0,1,0)</f>
        <v>0</v>
      </c>
      <c r="G92" s="112">
        <f t="array" ref="G92">PRODUCT(IF(G86:G91&lt;&gt;0,G86:G91+1))-IF(SUM(G86:G91)&lt;&gt;0,1,0)</f>
        <v>0</v>
      </c>
      <c r="H92" s="112">
        <f t="array" ref="H92">PRODUCT(IF(H86:H91&lt;&gt;0,H86:H91+1))-IF(SUM(H86:H91)&lt;&gt;0,1,0)</f>
        <v>0</v>
      </c>
      <c r="I92" s="112">
        <f t="array" ref="I92">PRODUCT(IF(I86:I91&lt;&gt;0,I86:I91+1))-IF(SUM(I86:I91)&lt;&gt;0,1,0)</f>
        <v>0</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0</v>
      </c>
      <c r="F93" s="114">
        <f t="array" ref="F93">PRODUCT(IF((F77:F83&lt;&gt;0),F77:F83+1))-IF(F77:F83&lt;&gt;0,1,0)</f>
        <v>0</v>
      </c>
      <c r="G93" s="114">
        <f t="array" ref="G93">PRODUCT(IF((G77:G83&lt;&gt;0),G77:G83+1))-IF(G77:G83&lt;&gt;0,1,0)</f>
        <v>0</v>
      </c>
      <c r="H93" s="114">
        <f t="array" ref="H93">PRODUCT(IF((H77:H83&lt;&gt;0),H77:H83+1))-IF(H77:H83&lt;&gt;0,1,0)</f>
        <v>0</v>
      </c>
      <c r="I93" s="114">
        <f t="array" ref="I93">PRODUCT(IF((I77:I83&lt;&gt;0),I77:I83+1))-IF(I77:I83&lt;&gt;0,1,0)</f>
        <v>0</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c r="F185" s="285"/>
      <c r="G185" s="285"/>
      <c r="H185" s="285"/>
      <c r="I185" s="285"/>
      <c r="J185" s="63"/>
      <c r="K185" s="63"/>
      <c r="L185" s="63"/>
    </row>
    <row r="186" spans="1:12" outlineLevel="1">
      <c r="A186" s="61" t="s">
        <v>69</v>
      </c>
      <c r="B186" s="65"/>
      <c r="C186" s="65"/>
      <c r="D186" s="285"/>
      <c r="E186" s="285"/>
      <c r="F186" s="285"/>
      <c r="G186" s="285"/>
      <c r="H186" s="285"/>
      <c r="I186" s="285"/>
      <c r="J186" s="42"/>
      <c r="K186" s="21"/>
      <c r="L186" s="21"/>
    </row>
    <row r="187" spans="1:12" s="759" customFormat="1" outlineLevel="1">
      <c r="A187" s="61" t="s">
        <v>646</v>
      </c>
      <c r="B187" s="65"/>
      <c r="C187" s="65"/>
      <c r="D187" s="285"/>
      <c r="E187" s="285"/>
      <c r="F187" s="285"/>
      <c r="G187" s="285"/>
      <c r="H187" s="285"/>
      <c r="I187" s="285"/>
      <c r="J187" s="42"/>
      <c r="K187" s="732"/>
      <c r="L187" s="732"/>
    </row>
    <row r="188" spans="1:12" outlineLevel="1">
      <c r="A188" s="61" t="s">
        <v>647</v>
      </c>
      <c r="B188" s="65"/>
      <c r="C188" s="65"/>
      <c r="D188" s="285"/>
      <c r="E188" s="285"/>
      <c r="F188" s="285"/>
      <c r="G188" s="285"/>
      <c r="H188" s="285"/>
      <c r="I188" s="285"/>
      <c r="J188" s="42"/>
      <c r="K188" s="21"/>
      <c r="L188" s="21"/>
    </row>
    <row r="189" spans="1:12" s="759" customFormat="1" outlineLevel="1">
      <c r="A189" s="61" t="s">
        <v>575</v>
      </c>
      <c r="B189" s="65"/>
      <c r="C189" s="65"/>
      <c r="D189" s="285"/>
      <c r="E189" s="285"/>
      <c r="F189" s="285"/>
      <c r="G189" s="285"/>
      <c r="H189" s="285"/>
      <c r="I189" s="285"/>
      <c r="J189" s="42"/>
      <c r="K189" s="732"/>
      <c r="L189" s="732"/>
    </row>
    <row r="190" spans="1:12" outlineLevel="1">
      <c r="A190" s="83" t="s">
        <v>70</v>
      </c>
      <c r="B190" s="65"/>
      <c r="C190" s="65"/>
      <c r="D190" s="285"/>
      <c r="E190" s="285"/>
      <c r="F190" s="285"/>
      <c r="G190" s="285"/>
      <c r="H190" s="285"/>
      <c r="I190" s="285"/>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v>
      </c>
      <c r="E205" s="82">
        <f t="shared" ca="1" si="95"/>
        <v>0</v>
      </c>
      <c r="F205" s="82">
        <f t="shared" ca="1" si="95"/>
        <v>0</v>
      </c>
      <c r="G205" s="82">
        <f t="shared" ca="1" si="95"/>
        <v>0</v>
      </c>
      <c r="H205" s="82">
        <f t="shared" ca="1" si="95"/>
        <v>0</v>
      </c>
      <c r="I205" s="82">
        <f t="shared" ca="1" si="95"/>
        <v>0</v>
      </c>
    </row>
    <row r="206" spans="1:9" outlineLevel="1">
      <c r="A206" t="s">
        <v>156</v>
      </c>
      <c r="B206" s="82">
        <f t="shared" ref="B206:I206" ca="1" si="96">+B36</f>
        <v>0</v>
      </c>
      <c r="C206" s="82">
        <f t="shared" ca="1" si="96"/>
        <v>0</v>
      </c>
      <c r="D206" s="82">
        <f t="shared" ca="1" si="96"/>
        <v>0</v>
      </c>
      <c r="E206" s="82">
        <f t="shared" ca="1" si="96"/>
        <v>0</v>
      </c>
      <c r="F206" s="82">
        <f t="shared" ca="1" si="96"/>
        <v>0</v>
      </c>
      <c r="G206" s="82">
        <f t="shared" ca="1" si="96"/>
        <v>0</v>
      </c>
      <c r="H206" s="82">
        <f t="shared" ca="1" si="96"/>
        <v>0</v>
      </c>
      <c r="I206" s="82">
        <f t="shared" ca="1" si="96"/>
        <v>0</v>
      </c>
    </row>
    <row r="207" spans="1:9" outlineLevel="1">
      <c r="A207" t="s">
        <v>157</v>
      </c>
      <c r="B207" s="82">
        <f t="shared" ref="B207:I207" ca="1" si="97">+B36+B48</f>
        <v>0</v>
      </c>
      <c r="C207" s="82">
        <f t="shared" ca="1" si="97"/>
        <v>0</v>
      </c>
      <c r="D207" s="82">
        <f t="shared" ca="1" si="97"/>
        <v>0</v>
      </c>
      <c r="E207" s="82">
        <f t="shared" ca="1" si="97"/>
        <v>0</v>
      </c>
      <c r="F207" s="82">
        <f t="shared" ca="1" si="97"/>
        <v>0</v>
      </c>
      <c r="G207" s="82">
        <f t="shared" ca="1" si="97"/>
        <v>0</v>
      </c>
      <c r="H207" s="82">
        <f t="shared" ca="1" si="97"/>
        <v>0</v>
      </c>
      <c r="I207" s="82">
        <f t="shared" ca="1" si="97"/>
        <v>0</v>
      </c>
    </row>
    <row r="208" spans="1:9" outlineLevel="1">
      <c r="A208" t="s">
        <v>158</v>
      </c>
      <c r="B208" s="82">
        <f t="shared" ref="B208:I208" ca="1" si="98">+B70</f>
        <v>0</v>
      </c>
      <c r="C208" s="82">
        <f t="shared" ca="1" si="98"/>
        <v>0</v>
      </c>
      <c r="D208" s="82">
        <f t="shared" ca="1" si="98"/>
        <v>0</v>
      </c>
      <c r="E208" s="82">
        <f t="shared" ca="1" si="98"/>
        <v>0</v>
      </c>
      <c r="F208" s="82">
        <f t="shared" ca="1" si="98"/>
        <v>0</v>
      </c>
      <c r="G208" s="82">
        <f t="shared" ca="1" si="98"/>
        <v>0</v>
      </c>
      <c r="H208" s="82">
        <f t="shared" ca="1" si="98"/>
        <v>0</v>
      </c>
      <c r="I208" s="82">
        <f t="shared" ca="1" si="98"/>
        <v>0</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83" priority="1" stopIfTrue="1" operator="notEqual">
      <formula>0</formula>
    </cfRule>
  </conditionalFormatting>
  <conditionalFormatting sqref="J130 J94 J70 J59 J48 J36:J37 J14 J25">
    <cfRule type="cellIs" dxfId="82" priority="2" stopIfTrue="1" operator="equal">
      <formula>"OK"</formula>
    </cfRule>
    <cfRule type="cellIs" dxfId="81" priority="3" stopIfTrue="1" operator="equal">
      <formula>"Warning Check Escalations"</formula>
    </cfRule>
  </conditionalFormatting>
  <conditionalFormatting sqref="N120:T120 N84:T84">
    <cfRule type="cellIs" dxfId="80" priority="4" stopIfTrue="1" operator="notEqual">
      <formula>0</formula>
    </cfRule>
    <cfRule type="cellIs" dxfId="7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4.xml><?xml version="1.0" encoding="utf-8"?>
<worksheet xmlns="http://schemas.openxmlformats.org/spreadsheetml/2006/main" xmlns:r="http://schemas.openxmlformats.org/officeDocument/2006/relationships">
  <sheetPr codeName="Sheet48" enableFormatConditionsCalculation="0">
    <tabColor indexed="17"/>
    <pageSetUpPr fitToPage="1"/>
  </sheetPr>
  <dimension ref="A1:T239"/>
  <sheetViews>
    <sheetView showGridLines="0" topLeftCell="A85"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20</v>
      </c>
      <c r="M1" s="282"/>
      <c r="N1" s="280"/>
      <c r="O1" s="280"/>
      <c r="P1" s="280"/>
      <c r="Q1" s="280"/>
      <c r="R1" s="280"/>
      <c r="S1" s="280"/>
      <c r="T1" s="280"/>
    </row>
    <row r="2" spans="1:20" ht="15.75">
      <c r="A2" s="184" t="s">
        <v>121</v>
      </c>
      <c r="B2" s="74" t="str">
        <f ca="1">OFFSET(List_DAOpexStart,+$K$1,1)</f>
        <v>Guaranteed Service Level Payments</v>
      </c>
      <c r="F2" s="284"/>
      <c r="H2" s="42"/>
      <c r="I2" s="283"/>
      <c r="L2" s="282"/>
      <c r="M2" s="282"/>
    </row>
    <row r="3" spans="1:20" ht="16.5" thickBot="1">
      <c r="A3" s="184" t="s">
        <v>371</v>
      </c>
      <c r="B3" s="236" t="str">
        <f ca="1">OFFSET(List_DAOpexStart,+$K$1,2)</f>
        <v>Jehad Ali</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9.9329999999999998</v>
      </c>
      <c r="E13" s="286">
        <f ca="1">OFFSET(Future_DAOpexStart,MATCH($K$1,'I-5 Future DA'!$A$6:$A$222)+7,+'I-5 Future DA'!F$5)</f>
        <v>9.9329999999999998</v>
      </c>
      <c r="F13" s="286">
        <f ca="1">OFFSET(Future_DAOpexStart,MATCH($K$1,'I-5 Future DA'!$A$6:$A$222)+7,+'I-5 Future DA'!G$5)</f>
        <v>9.9329999999999998</v>
      </c>
      <c r="G13" s="286">
        <f ca="1">OFFSET(Future_DAOpexStart,MATCH($K$1,'I-5 Future DA'!$A$6:$A$222)+7,+'I-5 Future DA'!H$5)</f>
        <v>9.9329999999999998</v>
      </c>
      <c r="H13" s="286">
        <f ca="1">OFFSET(Future_DAOpexStart,MATCH($K$1,'I-5 Future DA'!$A$6:$A$222)+7,+'I-5 Future DA'!I$5)</f>
        <v>9.9329999999999998</v>
      </c>
      <c r="I13" s="286">
        <f ca="1">OFFSET(Future_DAOpexStart,MATCH($K$1,'I-5 Future DA'!$A$6:$A$222)+7,+'I-5 Future DA'!J$5)</f>
        <v>9.9329999999999998</v>
      </c>
      <c r="J13" s="36"/>
      <c r="K13" s="21"/>
      <c r="L13" s="21"/>
    </row>
    <row r="14" spans="1:20" s="87" customFormat="1" ht="18" customHeight="1">
      <c r="A14" s="84" t="s">
        <v>71</v>
      </c>
      <c r="B14" s="287">
        <f t="shared" ref="B14:I14" ca="1" si="0">SUM(B8:B13)</f>
        <v>0</v>
      </c>
      <c r="C14" s="287">
        <f t="shared" ca="1" si="0"/>
        <v>0</v>
      </c>
      <c r="D14" s="287">
        <f t="shared" ca="1" si="0"/>
        <v>9.9329999999999998</v>
      </c>
      <c r="E14" s="287">
        <f t="shared" ca="1" si="0"/>
        <v>9.9329999999999998</v>
      </c>
      <c r="F14" s="287">
        <f t="shared" ca="1" si="0"/>
        <v>9.9329999999999998</v>
      </c>
      <c r="G14" s="287">
        <f t="shared" ca="1" si="0"/>
        <v>9.9329999999999998</v>
      </c>
      <c r="H14" s="287">
        <f t="shared" ca="1" si="0"/>
        <v>9.9329999999999998</v>
      </c>
      <c r="I14" s="287">
        <f t="shared" ca="1" si="0"/>
        <v>9.9329999999999998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+'DA-20'!B8+'DA-20'!B19</f>
        <v>0</v>
      </c>
      <c r="C30" s="285">
        <f ca="1">+'DA-20'!C8+'DA-20'!C19</f>
        <v>0</v>
      </c>
      <c r="D30" s="285">
        <f ca="1">+'DA-20'!D8+'DA-20'!D19</f>
        <v>0</v>
      </c>
      <c r="E30" s="285">
        <f ca="1">+'DA-20'!E8+'DA-20'!E19</f>
        <v>0</v>
      </c>
      <c r="F30" s="285">
        <f ca="1">+'DA-20'!F8+'DA-20'!F19</f>
        <v>0</v>
      </c>
      <c r="G30" s="285">
        <f ca="1">+'DA-20'!G8+'DA-20'!G19</f>
        <v>0</v>
      </c>
      <c r="H30" s="285">
        <f ca="1">+'DA-20'!H8+'DA-20'!H19</f>
        <v>0</v>
      </c>
      <c r="I30" s="285">
        <f ca="1">+'DA-20'!I8+'DA-20'!I19</f>
        <v>0</v>
      </c>
      <c r="J30" s="42"/>
      <c r="K30" s="21"/>
      <c r="L30" s="21"/>
    </row>
    <row r="31" spans="1:12" outlineLevel="2">
      <c r="A31" s="61" t="s">
        <v>69</v>
      </c>
      <c r="B31" s="285">
        <f ca="1">+'DA-20'!B9+'DA-20'!B20</f>
        <v>0</v>
      </c>
      <c r="C31" s="285">
        <f ca="1">+'DA-20'!C9+'DA-20'!C20</f>
        <v>0</v>
      </c>
      <c r="D31" s="285">
        <f ca="1">+'DA-20'!D9+'DA-20'!D20</f>
        <v>0</v>
      </c>
      <c r="E31" s="285">
        <f ca="1">+'DA-20'!E9+'DA-20'!E20</f>
        <v>0</v>
      </c>
      <c r="F31" s="285">
        <f ca="1">+'DA-20'!F9+'DA-20'!F20</f>
        <v>0</v>
      </c>
      <c r="G31" s="285">
        <f ca="1">+'DA-20'!G9+'DA-20'!G20</f>
        <v>0</v>
      </c>
      <c r="H31" s="285">
        <f ca="1">+'DA-20'!H9+'DA-20'!H20</f>
        <v>0</v>
      </c>
      <c r="I31" s="285">
        <f ca="1">+'DA-20'!I9+'DA-20'!I20</f>
        <v>0</v>
      </c>
      <c r="J31" s="42"/>
      <c r="K31" s="21"/>
      <c r="L31" s="21"/>
    </row>
    <row r="32" spans="1:12" s="759" customFormat="1" outlineLevel="2">
      <c r="A32" s="61" t="s">
        <v>646</v>
      </c>
      <c r="B32" s="285">
        <f ca="1">+'DA-20'!B10+'DA-20'!B21</f>
        <v>0</v>
      </c>
      <c r="C32" s="285">
        <f ca="1">+'DA-20'!C10+'DA-20'!C21</f>
        <v>0</v>
      </c>
      <c r="D32" s="285">
        <f ca="1">+'DA-20'!D10+'DA-20'!D21</f>
        <v>0</v>
      </c>
      <c r="E32" s="285">
        <f ca="1">+'DA-20'!E10+'DA-20'!E21</f>
        <v>0</v>
      </c>
      <c r="F32" s="285">
        <f ca="1">+'DA-20'!F10+'DA-20'!F21</f>
        <v>0</v>
      </c>
      <c r="G32" s="285">
        <f ca="1">+'DA-20'!G10+'DA-20'!G21</f>
        <v>0</v>
      </c>
      <c r="H32" s="285">
        <f ca="1">+'DA-20'!H10+'DA-20'!H21</f>
        <v>0</v>
      </c>
      <c r="I32" s="285">
        <f ca="1">+'DA-20'!I10+'DA-20'!I21</f>
        <v>0</v>
      </c>
      <c r="J32" s="42"/>
      <c r="K32" s="732"/>
      <c r="L32" s="732"/>
    </row>
    <row r="33" spans="1:12" outlineLevel="2">
      <c r="A33" s="61" t="s">
        <v>647</v>
      </c>
      <c r="B33" s="285">
        <f ca="1">+'DA-20'!B11+'DA-20'!B22</f>
        <v>0</v>
      </c>
      <c r="C33" s="285">
        <f ca="1">+'DA-20'!C11+'DA-20'!C22</f>
        <v>0</v>
      </c>
      <c r="D33" s="285">
        <f ca="1">+'DA-20'!D11+'DA-20'!D22</f>
        <v>0</v>
      </c>
      <c r="E33" s="285">
        <f ca="1">+'DA-20'!E11+'DA-20'!E22</f>
        <v>0</v>
      </c>
      <c r="F33" s="285">
        <f ca="1">+'DA-20'!F11+'DA-20'!F22</f>
        <v>0</v>
      </c>
      <c r="G33" s="285">
        <f ca="1">+'DA-20'!G11+'DA-20'!G22</f>
        <v>0</v>
      </c>
      <c r="H33" s="285">
        <f ca="1">+'DA-20'!H11+'DA-20'!H22</f>
        <v>0</v>
      </c>
      <c r="I33" s="285">
        <f ca="1">+'DA-20'!I11+'DA-20'!I22</f>
        <v>0</v>
      </c>
      <c r="J33" s="42"/>
      <c r="K33" s="21"/>
      <c r="L33" s="21"/>
    </row>
    <row r="34" spans="1:12" s="759" customFormat="1" outlineLevel="2">
      <c r="A34" s="61" t="s">
        <v>575</v>
      </c>
      <c r="B34" s="285">
        <f ca="1">+'DA-20'!B12+'DA-20'!B23</f>
        <v>0</v>
      </c>
      <c r="C34" s="285">
        <f ca="1">+'DA-20'!C12+'DA-20'!C23</f>
        <v>0</v>
      </c>
      <c r="D34" s="285">
        <f ca="1">+'DA-20'!D12+'DA-20'!D23</f>
        <v>0</v>
      </c>
      <c r="E34" s="285">
        <f ca="1">+'DA-20'!E12+'DA-20'!E23</f>
        <v>0</v>
      </c>
      <c r="F34" s="285">
        <f ca="1">+'DA-20'!F12+'DA-20'!F23</f>
        <v>0</v>
      </c>
      <c r="G34" s="285">
        <f ca="1">+'DA-20'!G12+'DA-20'!G23</f>
        <v>0</v>
      </c>
      <c r="H34" s="285">
        <f ca="1">+'DA-20'!H12+'DA-20'!H23</f>
        <v>0</v>
      </c>
      <c r="I34" s="285">
        <f ca="1">+'DA-20'!I12+'DA-20'!I23</f>
        <v>0</v>
      </c>
      <c r="J34" s="42"/>
      <c r="K34" s="732"/>
      <c r="L34" s="732"/>
    </row>
    <row r="35" spans="1:12" ht="13.5" outlineLevel="2" thickBot="1">
      <c r="A35" s="83" t="s">
        <v>70</v>
      </c>
      <c r="B35" s="285">
        <f ca="1">+'DA-20'!B13+'DA-20'!B24</f>
        <v>0</v>
      </c>
      <c r="C35" s="285">
        <f ca="1">+'DA-20'!C13+'DA-20'!C24</f>
        <v>0</v>
      </c>
      <c r="D35" s="285">
        <f ca="1">+'DA-20'!D13+'DA-20'!D24</f>
        <v>9.9329999999999998</v>
      </c>
      <c r="E35" s="285">
        <f ca="1">+'DA-20'!E13+'DA-20'!E24</f>
        <v>9.9329999999999998</v>
      </c>
      <c r="F35" s="285">
        <f ca="1">+'DA-20'!F13+'DA-20'!F24</f>
        <v>9.9329999999999998</v>
      </c>
      <c r="G35" s="285">
        <f ca="1">+'DA-20'!G13+'DA-20'!G24</f>
        <v>9.9329999999999998</v>
      </c>
      <c r="H35" s="285">
        <f ca="1">+'DA-20'!H13+'DA-20'!H24</f>
        <v>9.9329999999999998</v>
      </c>
      <c r="I35" s="285">
        <f ca="1">+'DA-20'!I13+'DA-20'!I24</f>
        <v>9.9329999999999998</v>
      </c>
      <c r="J35" s="93"/>
      <c r="K35" s="21"/>
      <c r="L35" s="21"/>
    </row>
    <row r="36" spans="1:12" s="87" customFormat="1" ht="20.25" customHeight="1" thickBot="1">
      <c r="A36" s="94" t="s">
        <v>128</v>
      </c>
      <c r="B36" s="294">
        <f t="shared" ref="B36:I36" ca="1" si="7">SUM(B30:B35)</f>
        <v>0</v>
      </c>
      <c r="C36" s="294">
        <f t="shared" ca="1" si="7"/>
        <v>0</v>
      </c>
      <c r="D36" s="294">
        <f t="shared" ca="1" si="7"/>
        <v>9.9329999999999998</v>
      </c>
      <c r="E36" s="294">
        <f t="shared" ca="1" si="7"/>
        <v>9.9329999999999998</v>
      </c>
      <c r="F36" s="294">
        <f t="shared" ca="1" si="7"/>
        <v>9.9329999999999998</v>
      </c>
      <c r="G36" s="294">
        <f t="shared" ca="1" si="7"/>
        <v>9.9329999999999998</v>
      </c>
      <c r="H36" s="294">
        <f t="shared" ca="1" si="7"/>
        <v>9.9329999999999998</v>
      </c>
      <c r="I36" s="294">
        <f t="shared" ca="1" si="7"/>
        <v>9.9329999999999998</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0.10538871560750845</v>
      </c>
      <c r="F47" s="285">
        <f t="shared" ca="1" si="12"/>
        <v>0.20304040456283551</v>
      </c>
      <c r="G47" s="285">
        <f t="shared" ca="1" si="12"/>
        <v>0.29956801474842232</v>
      </c>
      <c r="H47" s="285">
        <f t="shared" ca="1" si="12"/>
        <v>0.40429271913510823</v>
      </c>
      <c r="I47" s="285">
        <f t="shared" ca="1" si="12"/>
        <v>0.50022133211635378</v>
      </c>
      <c r="K47" s="42"/>
      <c r="L47" s="21"/>
    </row>
    <row r="48" spans="1:12" s="87" customFormat="1" ht="18" customHeight="1" thickBot="1">
      <c r="A48" s="94" t="s">
        <v>74</v>
      </c>
      <c r="B48" s="294"/>
      <c r="C48" s="294">
        <f t="shared" ref="C48:I48" ca="1" si="13">SUM(C42:C47)</f>
        <v>0</v>
      </c>
      <c r="D48" s="294">
        <f t="shared" ca="1" si="13"/>
        <v>0</v>
      </c>
      <c r="E48" s="294">
        <f t="shared" ca="1" si="13"/>
        <v>0.10538871560750845</v>
      </c>
      <c r="F48" s="294">
        <f t="shared" ca="1" si="13"/>
        <v>0.20304040456283551</v>
      </c>
      <c r="G48" s="294">
        <f t="shared" ca="1" si="13"/>
        <v>0.29956801474842232</v>
      </c>
      <c r="H48" s="294">
        <f t="shared" ca="1" si="13"/>
        <v>0.40429271913510823</v>
      </c>
      <c r="I48" s="294">
        <f t="shared" ca="1" si="13"/>
        <v>0.50022133211635378</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9.9329999999999998</v>
      </c>
      <c r="E69" s="286">
        <f t="shared" ca="1" si="24"/>
        <v>10.038388715607509</v>
      </c>
      <c r="F69" s="286">
        <f t="shared" ca="1" si="24"/>
        <v>10.136040404562836</v>
      </c>
      <c r="G69" s="286">
        <f t="shared" ca="1" si="24"/>
        <v>10.232568014748422</v>
      </c>
      <c r="H69" s="286">
        <f t="shared" ca="1" si="24"/>
        <v>10.337292719135108</v>
      </c>
      <c r="I69" s="286">
        <f t="shared" ca="1" si="24"/>
        <v>10.433221332116354</v>
      </c>
      <c r="K69" s="42"/>
      <c r="L69" s="21"/>
    </row>
    <row r="70" spans="1:20" s="87" customFormat="1" ht="18" customHeight="1" thickBot="1">
      <c r="A70" s="99" t="s">
        <v>129</v>
      </c>
      <c r="B70" s="295">
        <f t="shared" ref="B70:I70" ca="1" si="25">SUM(B64:B69)</f>
        <v>0</v>
      </c>
      <c r="C70" s="295">
        <f t="shared" ca="1" si="25"/>
        <v>0</v>
      </c>
      <c r="D70" s="295">
        <f t="shared" ca="1" si="25"/>
        <v>9.9329999999999998</v>
      </c>
      <c r="E70" s="295">
        <f t="shared" ca="1" si="25"/>
        <v>10.038388715607509</v>
      </c>
      <c r="F70" s="295">
        <f t="shared" ca="1" si="25"/>
        <v>10.136040404562836</v>
      </c>
      <c r="G70" s="295">
        <f t="shared" ca="1" si="25"/>
        <v>10.232568014748422</v>
      </c>
      <c r="H70" s="295">
        <f t="shared" ca="1" si="25"/>
        <v>10.337292719135108</v>
      </c>
      <c r="I70" s="295">
        <f t="shared" ca="1" si="25"/>
        <v>10.433221332116354</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0.10538871560750845</v>
      </c>
      <c r="Q82" s="285">
        <f t="shared" ref="Q82" ca="1" si="47">IF($B82&lt;&gt;0,(+VLOOKUP($B82,$A$8:$I$13,6,FALSE))*(F82),0)</f>
        <v>0.20304040456283551</v>
      </c>
      <c r="R82" s="285">
        <f t="shared" ref="R82" ca="1" si="48">IF($B82&lt;&gt;0,(+VLOOKUP($B82,$A$8:$I$13,7,FALSE))*(G82),0)</f>
        <v>0.29956801474842232</v>
      </c>
      <c r="S82" s="285">
        <f t="shared" ref="S82" ca="1" si="49">IF($B82&lt;&gt;0,(+VLOOKUP($B82,$A$8:$I$13,8,FALSE))*(H82),0)</f>
        <v>0.40429271913510823</v>
      </c>
      <c r="T82" s="285">
        <f t="shared" ref="T82" ca="1" si="50">IF($B82&lt;&gt;0,(+VLOOKUP($B82,$A$8:$I$13,9,FALSE))*(I82),0)</f>
        <v>0.50022133211635378</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0.10538871560750845</v>
      </c>
      <c r="Q83" s="292">
        <f t="shared" ca="1" si="51"/>
        <v>0.20304040456283551</v>
      </c>
      <c r="R83" s="292">
        <f t="shared" ca="1" si="51"/>
        <v>0.29956801474842232</v>
      </c>
      <c r="S83" s="292">
        <f t="shared" ca="1" si="51"/>
        <v>0.40429271913510823</v>
      </c>
      <c r="T83" s="292">
        <f t="shared" ca="1" si="51"/>
        <v>0.50022133211635378</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0.10538871560750845</v>
      </c>
      <c r="F103" s="285">
        <f t="shared" ca="1" si="59"/>
        <v>0.20304040456283551</v>
      </c>
      <c r="G103" s="285">
        <f t="shared" ca="1" si="59"/>
        <v>0.29956801474842232</v>
      </c>
      <c r="H103" s="285">
        <f t="shared" ca="1" si="59"/>
        <v>0.40429271913510823</v>
      </c>
      <c r="I103" s="285">
        <f t="shared" ca="1" si="59"/>
        <v>0.50022133211635378</v>
      </c>
    </row>
    <row r="104" spans="1:20" outlineLevel="1">
      <c r="A104" s="120" t="s">
        <v>142</v>
      </c>
      <c r="B104" s="121"/>
      <c r="C104" s="296">
        <f t="shared" ref="C104:I104" ca="1" si="60">SUM(C98:C103)</f>
        <v>0</v>
      </c>
      <c r="D104" s="296">
        <f t="shared" ca="1" si="60"/>
        <v>0</v>
      </c>
      <c r="E104" s="296">
        <f t="shared" ca="1" si="60"/>
        <v>0.10538871560750845</v>
      </c>
      <c r="F104" s="296">
        <f t="shared" ca="1" si="60"/>
        <v>0.20304040456283551</v>
      </c>
      <c r="G104" s="296">
        <f t="shared" ca="1" si="60"/>
        <v>0.29956801474842232</v>
      </c>
      <c r="H104" s="296">
        <f t="shared" ca="1" si="60"/>
        <v>0.40429271913510823</v>
      </c>
      <c r="I104" s="296">
        <f t="shared" ca="1" si="60"/>
        <v>0.50022133211635378</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4.0701975146995695E-2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(SEM)'!$O$142:$S$147</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9.9329999999999998</v>
      </c>
      <c r="E205" s="82">
        <f t="shared" ca="1" si="95"/>
        <v>9.9329999999999998</v>
      </c>
      <c r="F205" s="82">
        <f t="shared" ca="1" si="95"/>
        <v>9.9329999999999998</v>
      </c>
      <c r="G205" s="82">
        <f t="shared" ca="1" si="95"/>
        <v>9.9329999999999998</v>
      </c>
      <c r="H205" s="82">
        <f t="shared" ca="1" si="95"/>
        <v>9.9329999999999998</v>
      </c>
      <c r="I205" s="82">
        <f t="shared" ca="1" si="95"/>
        <v>9.9329999999999998</v>
      </c>
    </row>
    <row r="206" spans="1:9" outlineLevel="1">
      <c r="A206" t="s">
        <v>156</v>
      </c>
      <c r="B206" s="82">
        <f t="shared" ref="B206:I206" ca="1" si="96">+B36</f>
        <v>0</v>
      </c>
      <c r="C206" s="82">
        <f t="shared" ca="1" si="96"/>
        <v>0</v>
      </c>
      <c r="D206" s="82">
        <f t="shared" ca="1" si="96"/>
        <v>9.9329999999999998</v>
      </c>
      <c r="E206" s="82">
        <f t="shared" ca="1" si="96"/>
        <v>9.9329999999999998</v>
      </c>
      <c r="F206" s="82">
        <f t="shared" ca="1" si="96"/>
        <v>9.9329999999999998</v>
      </c>
      <c r="G206" s="82">
        <f t="shared" ca="1" si="96"/>
        <v>9.9329999999999998</v>
      </c>
      <c r="H206" s="82">
        <f t="shared" ca="1" si="96"/>
        <v>9.9329999999999998</v>
      </c>
      <c r="I206" s="82">
        <f t="shared" ca="1" si="96"/>
        <v>9.9329999999999998</v>
      </c>
    </row>
    <row r="207" spans="1:9" outlineLevel="1">
      <c r="A207" t="s">
        <v>157</v>
      </c>
      <c r="B207" s="82">
        <f t="shared" ref="B207:I207" ca="1" si="97">+B36+B48</f>
        <v>0</v>
      </c>
      <c r="C207" s="82">
        <f t="shared" ca="1" si="97"/>
        <v>0</v>
      </c>
      <c r="D207" s="82">
        <f t="shared" ca="1" si="97"/>
        <v>9.9329999999999998</v>
      </c>
      <c r="E207" s="82">
        <f t="shared" ca="1" si="97"/>
        <v>10.038388715607509</v>
      </c>
      <c r="F207" s="82">
        <f t="shared" ca="1" si="97"/>
        <v>10.136040404562836</v>
      </c>
      <c r="G207" s="82">
        <f t="shared" ca="1" si="97"/>
        <v>10.232568014748422</v>
      </c>
      <c r="H207" s="82">
        <f t="shared" ca="1" si="97"/>
        <v>10.337292719135108</v>
      </c>
      <c r="I207" s="82">
        <f t="shared" ca="1" si="97"/>
        <v>10.433221332116354</v>
      </c>
    </row>
    <row r="208" spans="1:9" outlineLevel="1">
      <c r="A208" t="s">
        <v>158</v>
      </c>
      <c r="B208" s="82">
        <f t="shared" ref="B208:I208" ca="1" si="98">+B70</f>
        <v>0</v>
      </c>
      <c r="C208" s="82">
        <f t="shared" ca="1" si="98"/>
        <v>0</v>
      </c>
      <c r="D208" s="82">
        <f t="shared" ca="1" si="98"/>
        <v>9.9329999999999998</v>
      </c>
      <c r="E208" s="82">
        <f t="shared" ca="1" si="98"/>
        <v>10.038388715607509</v>
      </c>
      <c r="F208" s="82">
        <f t="shared" ca="1" si="98"/>
        <v>10.136040404562836</v>
      </c>
      <c r="G208" s="82">
        <f t="shared" ca="1" si="98"/>
        <v>10.232568014748422</v>
      </c>
      <c r="H208" s="82">
        <f t="shared" ca="1" si="98"/>
        <v>10.337292719135108</v>
      </c>
      <c r="I208" s="82">
        <f t="shared" ca="1" si="98"/>
        <v>10.433221332116354</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78" priority="1" stopIfTrue="1" operator="notEqual">
      <formula>0</formula>
    </cfRule>
  </conditionalFormatting>
  <conditionalFormatting sqref="J130 J94 J70 J59 J48 J36:J37 J14 J25">
    <cfRule type="cellIs" dxfId="77" priority="2" stopIfTrue="1" operator="equal">
      <formula>"OK"</formula>
    </cfRule>
    <cfRule type="cellIs" dxfId="76" priority="3" stopIfTrue="1" operator="equal">
      <formula>"Warning Check Escalations"</formula>
    </cfRule>
  </conditionalFormatting>
  <conditionalFormatting sqref="N120:T120 N84:T84">
    <cfRule type="cellIs" dxfId="75" priority="4" stopIfTrue="1" operator="notEqual">
      <formula>0</formula>
    </cfRule>
    <cfRule type="cellIs" dxfId="7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5.xml><?xml version="1.0" encoding="utf-8"?>
<worksheet xmlns="http://schemas.openxmlformats.org/spreadsheetml/2006/main" xmlns:r="http://schemas.openxmlformats.org/officeDocument/2006/relationships">
  <sheetPr codeName="Sheet49" enableFormatConditionsCalculation="0">
    <tabColor indexed="17"/>
    <pageSetUpPr fitToPage="1"/>
  </sheetPr>
  <dimension ref="A1:T239"/>
  <sheetViews>
    <sheetView showGridLines="0" zoomScaleNormal="100" workbookViewId="0">
      <selection activeCell="J123" sqref="J123"/>
    </sheetView>
  </sheetViews>
  <sheetFormatPr defaultRowHeight="12.75" outlineLevelRow="2"/>
  <cols>
    <col min="1" max="1" width="30" customWidth="1"/>
    <col min="2" max="2" width="22.85546875" customWidth="1"/>
    <col min="3"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21</v>
      </c>
      <c r="M1" s="282"/>
      <c r="N1" s="280"/>
      <c r="O1" s="280"/>
      <c r="P1" s="280"/>
      <c r="Q1" s="280"/>
      <c r="R1" s="280"/>
      <c r="S1" s="280"/>
      <c r="T1" s="280"/>
    </row>
    <row r="2" spans="1:20" ht="15.75">
      <c r="A2" s="184" t="s">
        <v>121</v>
      </c>
      <c r="B2" s="74" t="str">
        <f ca="1">OFFSET(List_DAOpexStart,+$K$1,1)</f>
        <v>Property – Substation Sites</v>
      </c>
      <c r="F2" s="284"/>
      <c r="H2" s="42"/>
      <c r="I2" s="283"/>
      <c r="L2" s="282"/>
      <c r="M2" s="282"/>
    </row>
    <row r="3" spans="1:20" ht="16.5" thickBot="1">
      <c r="A3" s="184" t="s">
        <v>371</v>
      </c>
      <c r="B3" s="236" t="str">
        <f ca="1">OFFSET(List_DAOpexStart,+$K$1,2)</f>
        <v>David Pritchard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0.64</v>
      </c>
      <c r="E8" s="285">
        <f ca="1">OFFSET(Future_DAOpexStart,MATCH($K$1,'I-5 Future DA'!$A$6:$A$222)+2,+'I-5 Future DA'!F$5)</f>
        <v>0.64</v>
      </c>
      <c r="F8" s="285">
        <f ca="1">OFFSET(Future_DAOpexStart,MATCH($K$1,'I-5 Future DA'!$A$6:$A$222)+2,+'I-5 Future DA'!G$5)</f>
        <v>0.64</v>
      </c>
      <c r="G8" s="285">
        <f ca="1">OFFSET(Future_DAOpexStart,MATCH($K$1,'I-5 Future DA'!$A$6:$A$222)+2,+'I-5 Future DA'!H$5)</f>
        <v>0.64</v>
      </c>
      <c r="H8" s="285">
        <f ca="1">OFFSET(Future_DAOpexStart,MATCH($K$1,'I-5 Future DA'!$A$6:$A$222)+2,+'I-5 Future DA'!I$5)</f>
        <v>0.64</v>
      </c>
      <c r="I8" s="285">
        <f ca="1">OFFSET(Future_DAOpexStart,MATCH($K$1,'I-5 Future DA'!$A$6:$A$222)+2,+'I-5 Future DA'!J$5)</f>
        <v>0.64</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0.14899999999999999</v>
      </c>
      <c r="E9" s="285">
        <f ca="1">OFFSET(Future_DAOpexStart,MATCH($K$1,'I-5 Future DA'!$A$6:$A$222)+3,+'I-5 Future DA'!F$5)</f>
        <v>0.14899999999999999</v>
      </c>
      <c r="F9" s="285">
        <f ca="1">OFFSET(Future_DAOpexStart,MATCH($K$1,'I-5 Future DA'!$A$6:$A$222)+3,+'I-5 Future DA'!G$5)</f>
        <v>0.14899999999999999</v>
      </c>
      <c r="G9" s="285">
        <f ca="1">OFFSET(Future_DAOpexStart,MATCH($K$1,'I-5 Future DA'!$A$6:$A$222)+3,+'I-5 Future DA'!H$5)</f>
        <v>0.14899999999999999</v>
      </c>
      <c r="H9" s="285">
        <f ca="1">OFFSET(Future_DAOpexStart,MATCH($K$1,'I-5 Future DA'!$A$6:$A$222)+3,+'I-5 Future DA'!I$5)</f>
        <v>0.14899999999999999</v>
      </c>
      <c r="I9" s="285">
        <f ca="1">OFFSET(Future_DAOpexStart,MATCH($K$1,'I-5 Future DA'!$A$6:$A$222)+3,+'I-5 Future DA'!J$5)</f>
        <v>0.14899999999999999</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5.0000000000000001E-3</v>
      </c>
      <c r="E10" s="285">
        <f ca="1">OFFSET(Future_DAOpexStart,MATCH($K$1,'I-5 Future DA'!$A$6:$A$222)+4,+'I-5 Future DA'!F$5)</f>
        <v>5.0000000000000001E-3</v>
      </c>
      <c r="F10" s="285">
        <f ca="1">OFFSET(Future_DAOpexStart,MATCH($K$1,'I-5 Future DA'!$A$6:$A$222)+4,+'I-5 Future DA'!G$5)</f>
        <v>5.0000000000000001E-3</v>
      </c>
      <c r="G10" s="285">
        <f ca="1">OFFSET(Future_DAOpexStart,MATCH($K$1,'I-5 Future DA'!$A$6:$A$222)+4,+'I-5 Future DA'!H$5)</f>
        <v>5.0000000000000001E-3</v>
      </c>
      <c r="H10" s="285">
        <f ca="1">OFFSET(Future_DAOpexStart,MATCH($K$1,'I-5 Future DA'!$A$6:$A$222)+4,+'I-5 Future DA'!I$5)</f>
        <v>5.0000000000000001E-3</v>
      </c>
      <c r="I10" s="285">
        <f ca="1">OFFSET(Future_DAOpexStart,MATCH($K$1,'I-5 Future DA'!$A$6:$A$222)+4,+'I-5 Future DA'!J$5)</f>
        <v>5.0000000000000001E-3</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4.3969999999999994</v>
      </c>
      <c r="E11" s="285">
        <f ca="1">OFFSET(Future_DAOpexStart,MATCH($K$1,'I-5 Future DA'!$A$6:$A$222)+5,+'I-5 Future DA'!F$5)</f>
        <v>4.3969999999999994</v>
      </c>
      <c r="F11" s="285">
        <f ca="1">OFFSET(Future_DAOpexStart,MATCH($K$1,'I-5 Future DA'!$A$6:$A$222)+5,+'I-5 Future DA'!G$5)</f>
        <v>4.3969999999999994</v>
      </c>
      <c r="G11" s="285">
        <f ca="1">OFFSET(Future_DAOpexStart,MATCH($K$1,'I-5 Future DA'!$A$6:$A$222)+5,+'I-5 Future DA'!H$5)</f>
        <v>4.3969999999999994</v>
      </c>
      <c r="H11" s="285">
        <f ca="1">OFFSET(Future_DAOpexStart,MATCH($K$1,'I-5 Future DA'!$A$6:$A$222)+5,+'I-5 Future DA'!I$5)</f>
        <v>4.3969999999999994</v>
      </c>
      <c r="I11" s="285">
        <f ca="1">OFFSET(Future_DAOpexStart,MATCH($K$1,'I-5 Future DA'!$A$6:$A$222)+5,+'I-5 Future DA'!J$5)</f>
        <v>4.3969999999999994</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1.546</v>
      </c>
      <c r="E13" s="286">
        <f ca="1">OFFSET(Future_DAOpexStart,MATCH($K$1,'I-5 Future DA'!$A$6:$A$222)+7,+'I-5 Future DA'!F$5)</f>
        <v>1.546</v>
      </c>
      <c r="F13" s="286">
        <f ca="1">OFFSET(Future_DAOpexStart,MATCH($K$1,'I-5 Future DA'!$A$6:$A$222)+7,+'I-5 Future DA'!G$5)</f>
        <v>1.546</v>
      </c>
      <c r="G13" s="286">
        <f ca="1">OFFSET(Future_DAOpexStart,MATCH($K$1,'I-5 Future DA'!$A$6:$A$222)+7,+'I-5 Future DA'!H$5)</f>
        <v>1.546</v>
      </c>
      <c r="H13" s="286">
        <f ca="1">OFFSET(Future_DAOpexStart,MATCH($K$1,'I-5 Future DA'!$A$6:$A$222)+7,+'I-5 Future DA'!I$5)</f>
        <v>1.546</v>
      </c>
      <c r="I13" s="286">
        <f ca="1">OFFSET(Future_DAOpexStart,MATCH($K$1,'I-5 Future DA'!$A$6:$A$222)+7,+'I-5 Future DA'!J$5)</f>
        <v>1.546</v>
      </c>
      <c r="J13" s="36"/>
      <c r="K13" s="21"/>
      <c r="L13" s="21"/>
    </row>
    <row r="14" spans="1:20" s="87" customFormat="1" ht="18" customHeight="1">
      <c r="A14" s="84" t="s">
        <v>71</v>
      </c>
      <c r="B14" s="287">
        <f t="shared" ref="B14:I14" ca="1" si="0">SUM(B8:B13)</f>
        <v>0</v>
      </c>
      <c r="C14" s="287">
        <f t="shared" ca="1" si="0"/>
        <v>0</v>
      </c>
      <c r="D14" s="287">
        <f t="shared" ca="1" si="0"/>
        <v>6.7369999999999992</v>
      </c>
      <c r="E14" s="287">
        <f t="shared" ca="1" si="0"/>
        <v>6.7369999999999992</v>
      </c>
      <c r="F14" s="287">
        <f t="shared" ca="1" si="0"/>
        <v>6.7369999999999992</v>
      </c>
      <c r="G14" s="287">
        <f t="shared" ca="1" si="0"/>
        <v>6.7369999999999992</v>
      </c>
      <c r="H14" s="287">
        <f t="shared" ca="1" si="0"/>
        <v>6.7369999999999992</v>
      </c>
      <c r="I14" s="287">
        <f t="shared" ca="1" si="0"/>
        <v>6.7369999999999992</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+'DA-21'!B8+'DA-21'!B19</f>
        <v>0</v>
      </c>
      <c r="C30" s="285">
        <f ca="1">+'DA-21'!C8+'DA-21'!C19</f>
        <v>0</v>
      </c>
      <c r="D30" s="285">
        <f ca="1">+'DA-21'!D8+'DA-21'!D19</f>
        <v>0.64</v>
      </c>
      <c r="E30" s="285">
        <f ca="1">+'DA-21'!E8+'DA-21'!E19</f>
        <v>0.64</v>
      </c>
      <c r="F30" s="285">
        <f ca="1">+'DA-21'!F8+'DA-21'!F19</f>
        <v>0.64</v>
      </c>
      <c r="G30" s="285">
        <f ca="1">+'DA-21'!G8+'DA-21'!G19</f>
        <v>0.64</v>
      </c>
      <c r="H30" s="285">
        <f ca="1">+'DA-21'!H8+'DA-21'!H19</f>
        <v>0.64</v>
      </c>
      <c r="I30" s="285">
        <f ca="1">+'DA-21'!I8+'DA-21'!I19</f>
        <v>0.64</v>
      </c>
      <c r="J30" s="42"/>
      <c r="K30" s="21"/>
      <c r="L30" s="21"/>
    </row>
    <row r="31" spans="1:12" outlineLevel="2">
      <c r="A31" s="61" t="s">
        <v>69</v>
      </c>
      <c r="B31" s="285">
        <f ca="1">+'DA-21'!B9+'DA-21'!B20</f>
        <v>0</v>
      </c>
      <c r="C31" s="285">
        <f ca="1">+'DA-21'!C9+'DA-21'!C20</f>
        <v>0</v>
      </c>
      <c r="D31" s="285">
        <f ca="1">+'DA-21'!D9+'DA-21'!D20</f>
        <v>0.14899999999999999</v>
      </c>
      <c r="E31" s="285">
        <f ca="1">+'DA-21'!E9+'DA-21'!E20</f>
        <v>0.14899999999999999</v>
      </c>
      <c r="F31" s="285">
        <f ca="1">+'DA-21'!F9+'DA-21'!F20</f>
        <v>0.14899999999999999</v>
      </c>
      <c r="G31" s="285">
        <f ca="1">+'DA-21'!G9+'DA-21'!G20</f>
        <v>0.14899999999999999</v>
      </c>
      <c r="H31" s="285">
        <f ca="1">+'DA-21'!H9+'DA-21'!H20</f>
        <v>0.14899999999999999</v>
      </c>
      <c r="I31" s="285">
        <f ca="1">+'DA-21'!I9+'DA-21'!I20</f>
        <v>0.14899999999999999</v>
      </c>
      <c r="J31" s="42"/>
      <c r="K31" s="21"/>
      <c r="L31" s="21"/>
    </row>
    <row r="32" spans="1:12" s="759" customFormat="1" outlineLevel="2">
      <c r="A32" s="61" t="s">
        <v>646</v>
      </c>
      <c r="B32" s="285">
        <f ca="1">+'DA-21'!B10+'DA-21'!B21</f>
        <v>0</v>
      </c>
      <c r="C32" s="285">
        <f ca="1">+'DA-21'!C10+'DA-21'!C21</f>
        <v>0</v>
      </c>
      <c r="D32" s="285">
        <f ca="1">+'DA-21'!D10+'DA-21'!D21</f>
        <v>5.0000000000000001E-3</v>
      </c>
      <c r="E32" s="285">
        <f ca="1">+'DA-21'!E10+'DA-21'!E21</f>
        <v>5.0000000000000001E-3</v>
      </c>
      <c r="F32" s="285">
        <f ca="1">+'DA-21'!F10+'DA-21'!F21</f>
        <v>5.0000000000000001E-3</v>
      </c>
      <c r="G32" s="285">
        <f ca="1">+'DA-21'!G10+'DA-21'!G21</f>
        <v>5.0000000000000001E-3</v>
      </c>
      <c r="H32" s="285">
        <f ca="1">+'DA-21'!H10+'DA-21'!H21</f>
        <v>5.0000000000000001E-3</v>
      </c>
      <c r="I32" s="285">
        <f ca="1">+'DA-21'!I10+'DA-21'!I21</f>
        <v>5.0000000000000001E-3</v>
      </c>
      <c r="J32" s="42"/>
      <c r="K32" s="732"/>
      <c r="L32" s="732"/>
    </row>
    <row r="33" spans="1:12" outlineLevel="2">
      <c r="A33" s="61" t="s">
        <v>647</v>
      </c>
      <c r="B33" s="285">
        <f ca="1">+'DA-21'!B11+'DA-21'!B22</f>
        <v>0</v>
      </c>
      <c r="C33" s="285">
        <f ca="1">+'DA-21'!C11+'DA-21'!C22</f>
        <v>0</v>
      </c>
      <c r="D33" s="285">
        <f ca="1">+'DA-21'!D11+'DA-21'!D22</f>
        <v>4.3969999999999994</v>
      </c>
      <c r="E33" s="285">
        <f ca="1">+'DA-21'!E11+'DA-21'!E22</f>
        <v>4.3969999999999994</v>
      </c>
      <c r="F33" s="285">
        <f ca="1">+'DA-21'!F11+'DA-21'!F22</f>
        <v>4.3969999999999994</v>
      </c>
      <c r="G33" s="285">
        <f ca="1">+'DA-21'!G11+'DA-21'!G22</f>
        <v>4.3969999999999994</v>
      </c>
      <c r="H33" s="285">
        <f ca="1">+'DA-21'!H11+'DA-21'!H22</f>
        <v>4.3969999999999994</v>
      </c>
      <c r="I33" s="285">
        <f ca="1">+'DA-21'!I11+'DA-21'!I22</f>
        <v>4.3969999999999994</v>
      </c>
      <c r="J33" s="42"/>
      <c r="K33" s="21"/>
      <c r="L33" s="21"/>
    </row>
    <row r="34" spans="1:12" s="759" customFormat="1" outlineLevel="2">
      <c r="A34" s="61" t="s">
        <v>575</v>
      </c>
      <c r="B34" s="285">
        <f ca="1">+'DA-21'!B12+'DA-21'!B23</f>
        <v>0</v>
      </c>
      <c r="C34" s="285">
        <f ca="1">+'DA-21'!C12+'DA-21'!C23</f>
        <v>0</v>
      </c>
      <c r="D34" s="285">
        <f ca="1">+'DA-21'!D12+'DA-21'!D23</f>
        <v>0</v>
      </c>
      <c r="E34" s="285">
        <f ca="1">+'DA-21'!E12+'DA-21'!E23</f>
        <v>0</v>
      </c>
      <c r="F34" s="285">
        <f ca="1">+'DA-21'!F12+'DA-21'!F23</f>
        <v>0</v>
      </c>
      <c r="G34" s="285">
        <f ca="1">+'DA-21'!G12+'DA-21'!G23</f>
        <v>0</v>
      </c>
      <c r="H34" s="285">
        <f ca="1">+'DA-21'!H12+'DA-21'!H23</f>
        <v>0</v>
      </c>
      <c r="I34" s="285">
        <f ca="1">+'DA-21'!I12+'DA-21'!I23</f>
        <v>0</v>
      </c>
      <c r="J34" s="42"/>
      <c r="K34" s="732"/>
      <c r="L34" s="732"/>
    </row>
    <row r="35" spans="1:12" ht="13.5" outlineLevel="2" thickBot="1">
      <c r="A35" s="83" t="s">
        <v>70</v>
      </c>
      <c r="B35" s="285">
        <f ca="1">+'DA-21'!B13+'DA-21'!B24</f>
        <v>0</v>
      </c>
      <c r="C35" s="285">
        <f ca="1">+'DA-21'!C13+'DA-21'!C24</f>
        <v>0</v>
      </c>
      <c r="D35" s="285">
        <f ca="1">+'DA-21'!D13+'DA-21'!D24</f>
        <v>1.546</v>
      </c>
      <c r="E35" s="285">
        <f ca="1">+'DA-21'!E13+'DA-21'!E24</f>
        <v>1.546</v>
      </c>
      <c r="F35" s="285">
        <f ca="1">+'DA-21'!F13+'DA-21'!F24</f>
        <v>1.546</v>
      </c>
      <c r="G35" s="285">
        <f ca="1">+'DA-21'!G13+'DA-21'!G24</f>
        <v>1.546</v>
      </c>
      <c r="H35" s="285">
        <f ca="1">+'DA-21'!H13+'DA-21'!H24</f>
        <v>1.546</v>
      </c>
      <c r="I35" s="285">
        <f ca="1">+'DA-21'!I13+'DA-21'!I24</f>
        <v>1.546</v>
      </c>
      <c r="J35" s="93"/>
      <c r="K35" s="21"/>
      <c r="L35" s="21"/>
    </row>
    <row r="36" spans="1:12" s="87" customFormat="1" ht="20.25" customHeight="1" thickBot="1">
      <c r="A36" s="94" t="s">
        <v>128</v>
      </c>
      <c r="B36" s="294">
        <f t="shared" ref="B36:I36" ca="1" si="7">SUM(B30:B35)</f>
        <v>0</v>
      </c>
      <c r="C36" s="294">
        <f t="shared" ca="1" si="7"/>
        <v>0</v>
      </c>
      <c r="D36" s="294">
        <f t="shared" ca="1" si="7"/>
        <v>6.7369999999999992</v>
      </c>
      <c r="E36" s="294">
        <f t="shared" ca="1" si="7"/>
        <v>6.7369999999999992</v>
      </c>
      <c r="F36" s="294">
        <f t="shared" ca="1" si="7"/>
        <v>6.7369999999999992</v>
      </c>
      <c r="G36" s="294">
        <f t="shared" ca="1" si="7"/>
        <v>6.7369999999999992</v>
      </c>
      <c r="H36" s="294">
        <f t="shared" ca="1" si="7"/>
        <v>6.7369999999999992</v>
      </c>
      <c r="I36" s="294">
        <f t="shared" ca="1" si="7"/>
        <v>6.7369999999999992</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6.7903732999904775E-3</v>
      </c>
      <c r="F42" s="285">
        <f t="shared" ca="1" si="8"/>
        <v>1.308223687911152E-2</v>
      </c>
      <c r="G42" s="285">
        <f t="shared" ca="1" si="8"/>
        <v>1.930167416077623E-2</v>
      </c>
      <c r="H42" s="285">
        <f t="shared" ca="1" si="8"/>
        <v>2.6049264094077245E-2</v>
      </c>
      <c r="I42" s="285">
        <f t="shared" ca="1" si="8"/>
        <v>3.2230106972160118E-2</v>
      </c>
      <c r="K42" s="63"/>
      <c r="L42" s="63"/>
    </row>
    <row r="43" spans="1:12" outlineLevel="1">
      <c r="A43" s="61" t="s">
        <v>69</v>
      </c>
      <c r="B43" s="82"/>
      <c r="C43" s="285">
        <f t="shared" ca="1" si="8"/>
        <v>0</v>
      </c>
      <c r="D43" s="285">
        <f t="shared" ca="1" si="8"/>
        <v>0</v>
      </c>
      <c r="E43" s="285">
        <f t="shared" ca="1" si="8"/>
        <v>1.580883783904033E-3</v>
      </c>
      <c r="F43" s="285">
        <f t="shared" ca="1" si="8"/>
        <v>3.0457082734181504E-3</v>
      </c>
      <c r="G43" s="285">
        <f t="shared" ca="1" si="8"/>
        <v>4.4936710155557159E-3</v>
      </c>
      <c r="H43" s="285">
        <f t="shared" ca="1" si="8"/>
        <v>6.0645942969023581E-3</v>
      </c>
      <c r="I43" s="285">
        <f t="shared" ca="1" si="8"/>
        <v>7.5035717794560263E-3</v>
      </c>
      <c r="K43" s="42"/>
      <c r="L43" s="21"/>
    </row>
    <row r="44" spans="1:12" s="759" customFormat="1" outlineLevel="1">
      <c r="A44" s="61" t="s">
        <v>646</v>
      </c>
      <c r="B44" s="82"/>
      <c r="C44" s="285">
        <f t="shared" ref="C44:I44" ca="1" si="9">+C100</f>
        <v>0</v>
      </c>
      <c r="D44" s="285">
        <f t="shared" ca="1" si="9"/>
        <v>0</v>
      </c>
      <c r="E44" s="285">
        <f t="shared" ca="1" si="9"/>
        <v>5.3049791406175605E-5</v>
      </c>
      <c r="F44" s="285">
        <f t="shared" ca="1" si="9"/>
        <v>1.0220497561805875E-4</v>
      </c>
      <c r="G44" s="285">
        <f t="shared" ca="1" si="9"/>
        <v>1.507943293810643E-4</v>
      </c>
      <c r="H44" s="285">
        <f t="shared" ca="1" si="9"/>
        <v>2.0350987573497848E-4</v>
      </c>
      <c r="I44" s="285">
        <f t="shared" ca="1" si="9"/>
        <v>2.5179771072000092E-4</v>
      </c>
      <c r="K44" s="42"/>
      <c r="L44" s="732"/>
    </row>
    <row r="45" spans="1:12" outlineLevel="1">
      <c r="A45" s="61" t="s">
        <v>647</v>
      </c>
      <c r="B45" s="82"/>
      <c r="C45" s="285">
        <f t="shared" ref="C45:I45" ca="1" si="10">+C101</f>
        <v>0</v>
      </c>
      <c r="D45" s="285">
        <f t="shared" ca="1" si="10"/>
        <v>0</v>
      </c>
      <c r="E45" s="285">
        <f t="shared" ca="1" si="10"/>
        <v>4.6651986562590821E-2</v>
      </c>
      <c r="F45" s="285">
        <f t="shared" ca="1" si="10"/>
        <v>8.9879055558520854E-2</v>
      </c>
      <c r="G45" s="285">
        <f t="shared" ca="1" si="10"/>
        <v>0.13260853325770791</v>
      </c>
      <c r="H45" s="285">
        <f t="shared" ca="1" si="10"/>
        <v>0.17896658472134006</v>
      </c>
      <c r="I45" s="285">
        <f t="shared" ca="1" si="10"/>
        <v>0.22143090680716876</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1.6402995502789498E-2</v>
      </c>
      <c r="F47" s="285">
        <f t="shared" ca="1" si="12"/>
        <v>3.1601778461103763E-2</v>
      </c>
      <c r="G47" s="285">
        <f t="shared" ca="1" si="12"/>
        <v>4.6625606644625082E-2</v>
      </c>
      <c r="H47" s="285">
        <f t="shared" ca="1" si="12"/>
        <v>6.2925253577255341E-2</v>
      </c>
      <c r="I47" s="285">
        <f t="shared" ca="1" si="12"/>
        <v>7.7855852154624275E-2</v>
      </c>
      <c r="K47" s="42"/>
      <c r="L47" s="21"/>
    </row>
    <row r="48" spans="1:12" s="87" customFormat="1" ht="18" customHeight="1" thickBot="1">
      <c r="A48" s="94" t="s">
        <v>74</v>
      </c>
      <c r="B48" s="294"/>
      <c r="C48" s="294">
        <f t="shared" ref="C48:I48" ca="1" si="13">SUM(C42:C47)</f>
        <v>0</v>
      </c>
      <c r="D48" s="294">
        <f t="shared" ca="1" si="13"/>
        <v>0</v>
      </c>
      <c r="E48" s="294">
        <f t="shared" ca="1" si="13"/>
        <v>7.1479288940681007E-2</v>
      </c>
      <c r="F48" s="294">
        <f t="shared" ca="1" si="13"/>
        <v>0.13771098414777233</v>
      </c>
      <c r="G48" s="294">
        <f t="shared" ca="1" si="13"/>
        <v>0.20318027940804601</v>
      </c>
      <c r="H48" s="294">
        <f t="shared" ca="1" si="13"/>
        <v>0.27420920656531</v>
      </c>
      <c r="I48" s="294">
        <f t="shared" ca="1" si="13"/>
        <v>0.33927223542412915</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1.3878805776278449E-2</v>
      </c>
      <c r="F53" s="285">
        <f t="shared" ca="1" si="14"/>
        <v>2.8328340734682871E-2</v>
      </c>
      <c r="G53" s="285">
        <f t="shared" ca="1" si="14"/>
        <v>4.4167865753705619E-2</v>
      </c>
      <c r="H53" s="285">
        <f t="shared" ca="1" si="14"/>
        <v>6.0705004088806469E-2</v>
      </c>
      <c r="I53" s="285">
        <f t="shared" ca="1" si="14"/>
        <v>7.7870154586958756E-2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2.5265248957030338E-5</v>
      </c>
      <c r="F55" s="285">
        <f t="shared" ca="1" si="15"/>
        <v>5.1149604880569651E-5</v>
      </c>
      <c r="G55" s="285">
        <f t="shared" ca="1" si="15"/>
        <v>9.8458592534840649E-5</v>
      </c>
      <c r="H55" s="285">
        <f t="shared" ca="1" si="15"/>
        <v>1.551475115112873E-4</v>
      </c>
      <c r="I55" s="285">
        <f t="shared" ca="1" si="15"/>
        <v>2.2419207056852513E-4</v>
      </c>
      <c r="K55" s="42"/>
      <c r="L55" s="732"/>
    </row>
    <row r="56" spans="1:12" outlineLevel="1">
      <c r="A56" s="61" t="s">
        <v>647</v>
      </c>
      <c r="B56" s="285"/>
      <c r="C56" s="285">
        <f t="shared" ref="C56:I56" ca="1" si="16">+C137</f>
        <v>0</v>
      </c>
      <c r="D56" s="285">
        <f t="shared" ca="1" si="16"/>
        <v>0</v>
      </c>
      <c r="E56" s="285">
        <f t="shared" ca="1" si="16"/>
        <v>2.2218259932812477E-2</v>
      </c>
      <c r="F56" s="285">
        <f t="shared" ca="1" si="16"/>
        <v>4.4980962531972951E-2</v>
      </c>
      <c r="G56" s="285">
        <f t="shared" ca="1" si="16"/>
        <v>8.6584486275138844E-2</v>
      </c>
      <c r="H56" s="285">
        <f t="shared" ca="1" si="16"/>
        <v>0.13643672162302603</v>
      </c>
      <c r="I56" s="285">
        <f t="shared" ca="1" si="16"/>
        <v>0.19715450685796096</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3.6122330958047955E-2</v>
      </c>
      <c r="F59" s="287">
        <f t="shared" ca="1" si="19"/>
        <v>7.3360452871536391E-2</v>
      </c>
      <c r="G59" s="287">
        <f t="shared" ca="1" si="19"/>
        <v>0.13085081062137932</v>
      </c>
      <c r="H59" s="287">
        <f t="shared" ca="1" si="19"/>
        <v>0.19729687322334377</v>
      </c>
      <c r="I59" s="287">
        <f t="shared" ca="1" si="19"/>
        <v>0.27524885351548822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0.64</v>
      </c>
      <c r="E64" s="285">
        <f t="shared" ca="1" si="20"/>
        <v>0.66066917907626888</v>
      </c>
      <c r="F64" s="285">
        <f t="shared" ca="1" si="20"/>
        <v>0.68141057761379431</v>
      </c>
      <c r="G64" s="285">
        <f t="shared" ca="1" si="20"/>
        <v>0.7034695399144818</v>
      </c>
      <c r="H64" s="285">
        <f t="shared" ca="1" si="20"/>
        <v>0.7267542681828838</v>
      </c>
      <c r="I64" s="285">
        <f t="shared" ca="1" si="20"/>
        <v>0.75010026155911891</v>
      </c>
      <c r="K64" s="63"/>
      <c r="L64" s="63"/>
    </row>
    <row r="65" spans="1:20" ht="12.75" customHeight="1" outlineLevel="1">
      <c r="A65" s="61" t="s">
        <v>69</v>
      </c>
      <c r="B65" s="285">
        <f t="shared" ca="1" si="20"/>
        <v>0</v>
      </c>
      <c r="C65" s="285">
        <f t="shared" ca="1" si="20"/>
        <v>0</v>
      </c>
      <c r="D65" s="285">
        <f t="shared" ca="1" si="20"/>
        <v>0.14899999999999999</v>
      </c>
      <c r="E65" s="285">
        <f t="shared" ca="1" si="20"/>
        <v>0.15058088378390402</v>
      </c>
      <c r="F65" s="285">
        <f t="shared" ca="1" si="20"/>
        <v>0.15204570827341815</v>
      </c>
      <c r="G65" s="285">
        <f t="shared" ca="1" si="20"/>
        <v>0.15349367101555572</v>
      </c>
      <c r="H65" s="285">
        <f t="shared" ca="1" si="20"/>
        <v>0.15506459429690236</v>
      </c>
      <c r="I65" s="285">
        <f t="shared" ca="1" si="20"/>
        <v>0.15650357177945601</v>
      </c>
      <c r="K65" s="42"/>
      <c r="L65" s="21"/>
    </row>
    <row r="66" spans="1:20" s="759" customFormat="1" ht="12.75" customHeight="1" outlineLevel="1">
      <c r="A66" s="61" t="s">
        <v>646</v>
      </c>
      <c r="B66" s="285">
        <f t="shared" ref="B66:I66" ca="1" si="21">+B44+B32+B55</f>
        <v>0</v>
      </c>
      <c r="C66" s="285">
        <f t="shared" ca="1" si="21"/>
        <v>0</v>
      </c>
      <c r="D66" s="285">
        <f t="shared" ca="1" si="21"/>
        <v>5.0000000000000001E-3</v>
      </c>
      <c r="E66" s="285">
        <f t="shared" ca="1" si="21"/>
        <v>5.0783150403632057E-3</v>
      </c>
      <c r="F66" s="285">
        <f t="shared" ca="1" si="21"/>
        <v>5.1533545804986281E-3</v>
      </c>
      <c r="G66" s="285">
        <f t="shared" ca="1" si="21"/>
        <v>5.249252921915905E-3</v>
      </c>
      <c r="H66" s="285">
        <f t="shared" ca="1" si="21"/>
        <v>5.3586573872462656E-3</v>
      </c>
      <c r="I66" s="285">
        <f t="shared" ca="1" si="21"/>
        <v>5.4759897812885257E-3</v>
      </c>
      <c r="K66" s="42"/>
      <c r="L66" s="732"/>
    </row>
    <row r="67" spans="1:20" ht="12.75" customHeight="1" outlineLevel="1">
      <c r="A67" s="61" t="s">
        <v>647</v>
      </c>
      <c r="B67" s="285">
        <f t="shared" ref="B67:I67" ca="1" si="22">+B45+B33+B56</f>
        <v>0</v>
      </c>
      <c r="C67" s="285">
        <f t="shared" ca="1" si="22"/>
        <v>0</v>
      </c>
      <c r="D67" s="285">
        <f t="shared" ca="1" si="22"/>
        <v>4.3969999999999994</v>
      </c>
      <c r="E67" s="285">
        <f t="shared" ca="1" si="22"/>
        <v>4.4658702464954025</v>
      </c>
      <c r="F67" s="285">
        <f t="shared" ca="1" si="22"/>
        <v>4.5318600180904935</v>
      </c>
      <c r="G67" s="285">
        <f t="shared" ca="1" si="22"/>
        <v>4.6161930195328456</v>
      </c>
      <c r="H67" s="285">
        <f t="shared" ca="1" si="22"/>
        <v>4.7124033063443651</v>
      </c>
      <c r="I67" s="285">
        <f t="shared" ca="1" si="22"/>
        <v>4.8155854136651293</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1.546</v>
      </c>
      <c r="E69" s="286">
        <f t="shared" ca="1" si="24"/>
        <v>1.5624029955027896</v>
      </c>
      <c r="F69" s="286">
        <f t="shared" ca="1" si="24"/>
        <v>1.5776017784611038</v>
      </c>
      <c r="G69" s="286">
        <f t="shared" ca="1" si="24"/>
        <v>1.5926256066446252</v>
      </c>
      <c r="H69" s="286">
        <f t="shared" ca="1" si="24"/>
        <v>1.6089252535772554</v>
      </c>
      <c r="I69" s="286">
        <f t="shared" ca="1" si="24"/>
        <v>1.6238558521546242</v>
      </c>
      <c r="K69" s="42"/>
      <c r="L69" s="21"/>
    </row>
    <row r="70" spans="1:20" s="87" customFormat="1" ht="18" customHeight="1" thickBot="1">
      <c r="A70" s="99" t="s">
        <v>129</v>
      </c>
      <c r="B70" s="295">
        <f t="shared" ref="B70:I70" ca="1" si="25">SUM(B64:B69)</f>
        <v>0</v>
      </c>
      <c r="C70" s="295">
        <f t="shared" ca="1" si="25"/>
        <v>0</v>
      </c>
      <c r="D70" s="295">
        <f t="shared" ca="1" si="25"/>
        <v>6.7369999999999992</v>
      </c>
      <c r="E70" s="295">
        <f t="shared" ca="1" si="25"/>
        <v>6.8446016198987287</v>
      </c>
      <c r="F70" s="295">
        <f t="shared" ca="1" si="25"/>
        <v>6.9480714370193084</v>
      </c>
      <c r="G70" s="295">
        <f t="shared" ca="1" si="25"/>
        <v>7.0710310900294244</v>
      </c>
      <c r="H70" s="295">
        <f t="shared" ca="1" si="25"/>
        <v>7.2085060797886529</v>
      </c>
      <c r="I70" s="295">
        <f t="shared" ca="1" si="25"/>
        <v>7.3515210889396165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6.7903732999904775E-3</v>
      </c>
      <c r="Q77" s="285">
        <f ca="1">IF($B77&lt;&gt;0,(+VLOOKUP($B77,$A$8:$I$13,6,FALSE))*(F77),0)</f>
        <v>1.308223687911152E-2</v>
      </c>
      <c r="R77" s="285">
        <f ca="1">IF($B77&lt;&gt;0,(+VLOOKUP($B77,$A$8:$I$13,7,FALSE))*(G77),0)</f>
        <v>1.930167416077623E-2</v>
      </c>
      <c r="S77" s="285">
        <f ca="1">IF($B77&lt;&gt;0,(+VLOOKUP($B77,$A$8:$I$13,8,FALSE))*(H77),0)</f>
        <v>2.6049264094077245E-2</v>
      </c>
      <c r="T77" s="285">
        <f ca="1">IF($B77&lt;&gt;0,(+VLOOKUP($B77,$A$8:$I$13,9,FALSE))*(I77),0)</f>
        <v>3.2230106972160118E-2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1.580883783904033E-3</v>
      </c>
      <c r="Q78" s="285">
        <f ca="1">IF($B78&lt;&gt;0,(+VLOOKUP($B78,$A$8:$I$13,6,FALSE))*(F78),0)</f>
        <v>3.0457082734181504E-3</v>
      </c>
      <c r="R78" s="285">
        <f ca="1">IF($B78&lt;&gt;0,(+VLOOKUP($B78,$A$8:$I$13,7,FALSE))*(G78),0)</f>
        <v>4.4936710155557159E-3</v>
      </c>
      <c r="S78" s="285">
        <f ca="1">IF($B78&lt;&gt;0,(+VLOOKUP($B78,$A$8:$I$13,8,FALSE))*(H78),0)</f>
        <v>6.0645942969023581E-3</v>
      </c>
      <c r="T78" s="285">
        <f ca="1">IF($B78&lt;&gt;0,(+VLOOKUP($B78,$A$8:$I$13,9,FALSE))*(I78),0)</f>
        <v>7.5035717794560263E-3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5.3049791406175605E-5</v>
      </c>
      <c r="Q79" s="285">
        <f t="shared" ref="Q79:Q80" ca="1" si="34">IF($B79&lt;&gt;0,(+VLOOKUP($B79,$A$8:$I$13,6,FALSE))*(F79),0)</f>
        <v>1.0220497561805875E-4</v>
      </c>
      <c r="R79" s="285">
        <f t="shared" ref="R79:R80" ca="1" si="35">IF($B79&lt;&gt;0,(+VLOOKUP($B79,$A$8:$I$13,7,FALSE))*(G79),0)</f>
        <v>1.507943293810643E-4</v>
      </c>
      <c r="S79" s="285">
        <f t="shared" ref="S79:S80" ca="1" si="36">IF($B79&lt;&gt;0,(+VLOOKUP($B79,$A$8:$I$13,8,FALSE))*(H79),0)</f>
        <v>2.0350987573497848E-4</v>
      </c>
      <c r="T79" s="285">
        <f t="shared" ref="T79:T80" ca="1" si="37">IF($B79&lt;&gt;0,(+VLOOKUP($B79,$A$8:$I$13,9,FALSE))*(I79),0)</f>
        <v>2.5179771072000092E-4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4.6651986562590821E-2</v>
      </c>
      <c r="Q80" s="285">
        <f t="shared" ca="1" si="34"/>
        <v>8.9879055558520854E-2</v>
      </c>
      <c r="R80" s="285">
        <f t="shared" ca="1" si="35"/>
        <v>0.13260853325770791</v>
      </c>
      <c r="S80" s="285">
        <f t="shared" ca="1" si="36"/>
        <v>0.17896658472134006</v>
      </c>
      <c r="T80" s="285">
        <f t="shared" ca="1" si="37"/>
        <v>0.22143090680716876</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1.6402995502789498E-2</v>
      </c>
      <c r="Q82" s="285">
        <f t="shared" ref="Q82" ca="1" si="47">IF($B82&lt;&gt;0,(+VLOOKUP($B82,$A$8:$I$13,6,FALSE))*(F82),0)</f>
        <v>3.1601778461103763E-2</v>
      </c>
      <c r="R82" s="285">
        <f t="shared" ref="R82" ca="1" si="48">IF($B82&lt;&gt;0,(+VLOOKUP($B82,$A$8:$I$13,7,FALSE))*(G82),0)</f>
        <v>4.6625606644625082E-2</v>
      </c>
      <c r="S82" s="285">
        <f t="shared" ref="S82" ca="1" si="49">IF($B82&lt;&gt;0,(+VLOOKUP($B82,$A$8:$I$13,8,FALSE))*(H82),0)</f>
        <v>6.2925253577255341E-2</v>
      </c>
      <c r="T82" s="285">
        <f t="shared" ref="T82" ca="1" si="50">IF($B82&lt;&gt;0,(+VLOOKUP($B82,$A$8:$I$13,9,FALSE))*(I82),0)</f>
        <v>7.7855852154624275E-2</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7.1479288940681007E-2</v>
      </c>
      <c r="Q83" s="292">
        <f t="shared" ca="1" si="51"/>
        <v>0.13771098414777233</v>
      </c>
      <c r="R83" s="292">
        <f t="shared" ca="1" si="51"/>
        <v>0.20318027940804601</v>
      </c>
      <c r="S83" s="292">
        <f t="shared" ca="1" si="51"/>
        <v>0.27420920656531</v>
      </c>
      <c r="T83" s="292">
        <f t="shared" ca="1" si="51"/>
        <v>0.33927223542412915</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6.7903732999904775E-3</v>
      </c>
      <c r="F98" s="285">
        <f t="shared" ca="1" si="54"/>
        <v>1.308223687911152E-2</v>
      </c>
      <c r="G98" s="285">
        <f t="shared" ca="1" si="54"/>
        <v>1.930167416077623E-2</v>
      </c>
      <c r="H98" s="285">
        <f t="shared" ca="1" si="54"/>
        <v>2.6049264094077245E-2</v>
      </c>
      <c r="I98" s="285">
        <f t="shared" ca="1" si="54"/>
        <v>3.2230106972160118E-2</v>
      </c>
    </row>
    <row r="99" spans="1:20" outlineLevel="1">
      <c r="A99" s="61" t="s">
        <v>69</v>
      </c>
      <c r="B99" s="119"/>
      <c r="C99" s="285">
        <f t="shared" ref="C99:I99" ca="1" si="55">+C9*(C87)</f>
        <v>0</v>
      </c>
      <c r="D99" s="285">
        <f t="shared" ca="1" si="55"/>
        <v>0</v>
      </c>
      <c r="E99" s="285">
        <f t="shared" ca="1" si="55"/>
        <v>1.580883783904033E-3</v>
      </c>
      <c r="F99" s="285">
        <f t="shared" ca="1" si="55"/>
        <v>3.0457082734181504E-3</v>
      </c>
      <c r="G99" s="285">
        <f t="shared" ca="1" si="55"/>
        <v>4.4936710155557159E-3</v>
      </c>
      <c r="H99" s="285">
        <f t="shared" ca="1" si="55"/>
        <v>6.0645942969023581E-3</v>
      </c>
      <c r="I99" s="285">
        <f t="shared" ca="1" si="55"/>
        <v>7.5035717794560263E-3</v>
      </c>
    </row>
    <row r="100" spans="1:20" s="759" customFormat="1" outlineLevel="1">
      <c r="A100" s="61" t="s">
        <v>646</v>
      </c>
      <c r="B100" s="119"/>
      <c r="C100" s="285">
        <f t="shared" ref="C100:I100" ca="1" si="56">+C10*(C88)</f>
        <v>0</v>
      </c>
      <c r="D100" s="285">
        <f t="shared" ca="1" si="56"/>
        <v>0</v>
      </c>
      <c r="E100" s="285">
        <f t="shared" ca="1" si="56"/>
        <v>5.3049791406175605E-5</v>
      </c>
      <c r="F100" s="285">
        <f t="shared" ca="1" si="56"/>
        <v>1.0220497561805875E-4</v>
      </c>
      <c r="G100" s="285">
        <f t="shared" ca="1" si="56"/>
        <v>1.507943293810643E-4</v>
      </c>
      <c r="H100" s="285">
        <f t="shared" ca="1" si="56"/>
        <v>2.0350987573497848E-4</v>
      </c>
      <c r="I100" s="285">
        <f t="shared" ca="1" si="56"/>
        <v>2.5179771072000092E-4</v>
      </c>
    </row>
    <row r="101" spans="1:20" outlineLevel="1">
      <c r="A101" s="61" t="s">
        <v>647</v>
      </c>
      <c r="B101" s="119"/>
      <c r="C101" s="285">
        <f t="shared" ref="C101:I101" ca="1" si="57">+C11*(C89)</f>
        <v>0</v>
      </c>
      <c r="D101" s="285">
        <f t="shared" ca="1" si="57"/>
        <v>0</v>
      </c>
      <c r="E101" s="285">
        <f t="shared" ca="1" si="57"/>
        <v>4.6651986562590821E-2</v>
      </c>
      <c r="F101" s="285">
        <f t="shared" ca="1" si="57"/>
        <v>8.9879055558520854E-2</v>
      </c>
      <c r="G101" s="285">
        <f t="shared" ca="1" si="57"/>
        <v>0.13260853325770791</v>
      </c>
      <c r="H101" s="285">
        <f t="shared" ca="1" si="57"/>
        <v>0.17896658472134006</v>
      </c>
      <c r="I101" s="285">
        <f t="shared" ca="1" si="57"/>
        <v>0.22143090680716876</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1.6402995502789498E-2</v>
      </c>
      <c r="F103" s="285">
        <f t="shared" ca="1" si="59"/>
        <v>3.1601778461103763E-2</v>
      </c>
      <c r="G103" s="285">
        <f t="shared" ca="1" si="59"/>
        <v>4.6625606644625082E-2</v>
      </c>
      <c r="H103" s="285">
        <f t="shared" ca="1" si="59"/>
        <v>6.2925253577255341E-2</v>
      </c>
      <c r="I103" s="285">
        <f t="shared" ca="1" si="59"/>
        <v>7.7855852154624275E-2</v>
      </c>
    </row>
    <row r="104" spans="1:20" outlineLevel="1">
      <c r="A104" s="120" t="s">
        <v>142</v>
      </c>
      <c r="B104" s="121"/>
      <c r="C104" s="296">
        <f t="shared" ref="C104:I104" ca="1" si="60">SUM(C98:C103)</f>
        <v>0</v>
      </c>
      <c r="D104" s="296">
        <f t="shared" ca="1" si="60"/>
        <v>0</v>
      </c>
      <c r="E104" s="296">
        <f t="shared" ca="1" si="60"/>
        <v>7.1479288940681007E-2</v>
      </c>
      <c r="F104" s="296">
        <f t="shared" ca="1" si="60"/>
        <v>0.13771098414777233</v>
      </c>
      <c r="G104" s="296">
        <f t="shared" ca="1" si="60"/>
        <v>0.20318027940804601</v>
      </c>
      <c r="H104" s="296">
        <f t="shared" ca="1" si="60"/>
        <v>0.27420920656531</v>
      </c>
      <c r="I104" s="296">
        <f t="shared" ca="1" si="60"/>
        <v>0.33927223542412915</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4.0701975146995702E-2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1.3878805776278449E-2</v>
      </c>
      <c r="Q113" s="285">
        <f ca="1">IF($B113&lt;&gt;0,(+VLOOKUP($B113,$A$8:$I$13,6,FALSE)+VLOOKUP($B113,$A$42:$I$47,6,FALSE))*(F113),0)</f>
        <v>2.8328340734682871E-2</v>
      </c>
      <c r="R113" s="285">
        <f ca="1">IF($B113&lt;&gt;0,(+VLOOKUP($B113,$A$8:$I$13,7,FALSE)+VLOOKUP($B113,$A$42:$I$47,7,FALSE))*(G113),0)</f>
        <v>4.4167865753705619E-2</v>
      </c>
      <c r="S113" s="285">
        <f ca="1">IF($B113&lt;&gt;0,(+VLOOKUP($B113,$A$8:$I$13,8,FALSE)+VLOOKUP($B113,$A$42:$I$47,8,FALSE))*(H113),0)</f>
        <v>6.0705004088806469E-2</v>
      </c>
      <c r="T113" s="285">
        <f ca="1">IF($B113&lt;&gt;0,(+VLOOKUP($B113,$A$8:$I$13,9,FALSE)+VLOOKUP($B113,$A$42:$I$47,9,FALSE))*(I113),0)</f>
        <v>7.7870154586958756E-2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2.5265248957030338E-5</v>
      </c>
      <c r="Q115" s="285">
        <f t="shared" ca="1" si="68"/>
        <v>5.1149604880569651E-5</v>
      </c>
      <c r="R115" s="285">
        <f t="shared" ca="1" si="69"/>
        <v>9.8458592534840649E-5</v>
      </c>
      <c r="S115" s="285">
        <f t="shared" ca="1" si="70"/>
        <v>1.551475115112873E-4</v>
      </c>
      <c r="T115" s="285">
        <f t="shared" ca="1" si="71"/>
        <v>2.2419207056852513E-4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2.2218259932812477E-2</v>
      </c>
      <c r="Q116" s="285">
        <f t="shared" ca="1" si="68"/>
        <v>4.4980962531972951E-2</v>
      </c>
      <c r="R116" s="285">
        <f t="shared" ca="1" si="69"/>
        <v>8.6584486275138844E-2</v>
      </c>
      <c r="S116" s="285">
        <f t="shared" ca="1" si="70"/>
        <v>0.13643672162302603</v>
      </c>
      <c r="T116" s="285">
        <f t="shared" ca="1" si="71"/>
        <v>0.19715450685796096</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3.6122330958047955E-2</v>
      </c>
      <c r="Q119" s="292">
        <f t="shared" ca="1" si="72"/>
        <v>7.3360452871536391E-2</v>
      </c>
      <c r="R119" s="292">
        <f t="shared" ca="1" si="72"/>
        <v>0.13085081062137932</v>
      </c>
      <c r="S119" s="292">
        <f t="shared" ca="1" si="72"/>
        <v>0.19729687322334377</v>
      </c>
      <c r="T119" s="292">
        <f t="shared" ca="1" si="72"/>
        <v>0.27524885351548822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1.3878805776278449E-2</v>
      </c>
      <c r="F134" s="285">
        <f t="shared" ca="1" si="75"/>
        <v>2.8328340734682871E-2</v>
      </c>
      <c r="G134" s="285">
        <f t="shared" ca="1" si="75"/>
        <v>4.4167865753705619E-2</v>
      </c>
      <c r="H134" s="285">
        <f t="shared" ca="1" si="75"/>
        <v>6.0705004088806469E-2</v>
      </c>
      <c r="I134" s="285">
        <f t="shared" ca="1" si="75"/>
        <v>7.7870154586958756E-2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2.5265248957030338E-5</v>
      </c>
      <c r="F136" s="285">
        <f t="shared" ca="1" si="77"/>
        <v>5.1149604880569651E-5</v>
      </c>
      <c r="G136" s="285">
        <f t="shared" ca="1" si="77"/>
        <v>9.8458592534840649E-5</v>
      </c>
      <c r="H136" s="285">
        <f t="shared" ca="1" si="77"/>
        <v>1.551475115112873E-4</v>
      </c>
      <c r="I136" s="285">
        <f t="shared" ca="1" si="77"/>
        <v>2.2419207056852513E-4</v>
      </c>
    </row>
    <row r="137" spans="1:16" outlineLevel="1">
      <c r="A137" s="61" t="s">
        <v>647</v>
      </c>
      <c r="B137" s="119"/>
      <c r="C137" s="285">
        <f ca="1">(+C11+C45)*(C$125)</f>
        <v>0</v>
      </c>
      <c r="D137" s="285">
        <f t="shared" ref="D137:I137" ca="1" si="78">(+D11+D45)*(D$125)</f>
        <v>0</v>
      </c>
      <c r="E137" s="285">
        <f t="shared" ca="1" si="78"/>
        <v>2.2218259932812477E-2</v>
      </c>
      <c r="F137" s="285">
        <f t="shared" ca="1" si="78"/>
        <v>4.4980962531972951E-2</v>
      </c>
      <c r="G137" s="285">
        <f t="shared" ca="1" si="78"/>
        <v>8.6584486275138844E-2</v>
      </c>
      <c r="H137" s="285">
        <f t="shared" ca="1" si="78"/>
        <v>0.13643672162302603</v>
      </c>
      <c r="I137" s="285">
        <f t="shared" ca="1" si="78"/>
        <v>0.19715450685796096</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3.6122330958047955E-2</v>
      </c>
      <c r="F140" s="296">
        <f t="shared" ca="1" si="81"/>
        <v>7.3360452871536391E-2</v>
      </c>
      <c r="G140" s="296">
        <f t="shared" ca="1" si="81"/>
        <v>0.13085081062137932</v>
      </c>
      <c r="H140" s="296">
        <f t="shared" ca="1" si="81"/>
        <v>0.19729687322334377</v>
      </c>
      <c r="I140" s="296">
        <f t="shared" ca="1" si="81"/>
        <v>0.27524885351548822</v>
      </c>
    </row>
    <row r="141" spans="1:16" ht="13.5" outlineLevel="1" thickBot="1">
      <c r="A141" s="122" t="s">
        <v>148</v>
      </c>
      <c r="B141" s="126"/>
      <c r="C141" s="124">
        <f t="shared" ref="C141:I141" ca="1" si="82">IF((+C36+C48)&lt;&gt;0,+C140/(+C36+C48),0)</f>
        <v>0</v>
      </c>
      <c r="D141" s="124">
        <f t="shared" ca="1" si="82"/>
        <v>0</v>
      </c>
      <c r="E141" s="124">
        <f t="shared" ca="1" si="82"/>
        <v>5.3054917882651249E-3</v>
      </c>
      <c r="F141" s="124">
        <f t="shared" ca="1" si="82"/>
        <v>1.0671059923929379E-2</v>
      </c>
      <c r="G141" s="124">
        <f t="shared" ca="1" si="82"/>
        <v>1.8854093892866439E-2</v>
      </c>
      <c r="H141" s="124">
        <f t="shared" ca="1" si="82"/>
        <v>2.814020626265076E-2</v>
      </c>
      <c r="I141" s="124">
        <f t="shared" ca="1" si="82"/>
        <v>3.8897437006109009E-2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(SEM)'!$O$151:$S$156</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c r="E188" s="285">
        <v>0</v>
      </c>
      <c r="F188" s="285">
        <v>0</v>
      </c>
      <c r="G188" s="285">
        <v>0</v>
      </c>
      <c r="H188" s="285">
        <v>0</v>
      </c>
      <c r="I188" s="285">
        <v>0</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6.7369999999999992</v>
      </c>
      <c r="E205" s="82">
        <f t="shared" ca="1" si="95"/>
        <v>6.7369999999999992</v>
      </c>
      <c r="F205" s="82">
        <f t="shared" ca="1" si="95"/>
        <v>6.7369999999999992</v>
      </c>
      <c r="G205" s="82">
        <f t="shared" ca="1" si="95"/>
        <v>6.7369999999999992</v>
      </c>
      <c r="H205" s="82">
        <f t="shared" ca="1" si="95"/>
        <v>6.7369999999999992</v>
      </c>
      <c r="I205" s="82">
        <f t="shared" ca="1" si="95"/>
        <v>6.7369999999999992</v>
      </c>
    </row>
    <row r="206" spans="1:9" outlineLevel="1">
      <c r="A206" t="s">
        <v>156</v>
      </c>
      <c r="B206" s="82">
        <f t="shared" ref="B206:I206" ca="1" si="96">+B36</f>
        <v>0</v>
      </c>
      <c r="C206" s="82">
        <f t="shared" ca="1" si="96"/>
        <v>0</v>
      </c>
      <c r="D206" s="82">
        <f t="shared" ca="1" si="96"/>
        <v>6.7369999999999992</v>
      </c>
      <c r="E206" s="82">
        <f t="shared" ca="1" si="96"/>
        <v>6.7369999999999992</v>
      </c>
      <c r="F206" s="82">
        <f t="shared" ca="1" si="96"/>
        <v>6.7369999999999992</v>
      </c>
      <c r="G206" s="82">
        <f t="shared" ca="1" si="96"/>
        <v>6.7369999999999992</v>
      </c>
      <c r="H206" s="82">
        <f t="shared" ca="1" si="96"/>
        <v>6.7369999999999992</v>
      </c>
      <c r="I206" s="82">
        <f t="shared" ca="1" si="96"/>
        <v>6.7369999999999992</v>
      </c>
    </row>
    <row r="207" spans="1:9" outlineLevel="1">
      <c r="A207" t="s">
        <v>157</v>
      </c>
      <c r="B207" s="82">
        <f t="shared" ref="B207:I207" ca="1" si="97">+B36+B48</f>
        <v>0</v>
      </c>
      <c r="C207" s="82">
        <f t="shared" ca="1" si="97"/>
        <v>0</v>
      </c>
      <c r="D207" s="82">
        <f t="shared" ca="1" si="97"/>
        <v>6.7369999999999992</v>
      </c>
      <c r="E207" s="82">
        <f t="shared" ca="1" si="97"/>
        <v>6.8084792889406804</v>
      </c>
      <c r="F207" s="82">
        <f t="shared" ca="1" si="97"/>
        <v>6.8747109841477716</v>
      </c>
      <c r="G207" s="82">
        <f t="shared" ca="1" si="97"/>
        <v>6.9401802794080449</v>
      </c>
      <c r="H207" s="82">
        <f t="shared" ca="1" si="97"/>
        <v>7.0112092065653089</v>
      </c>
      <c r="I207" s="82">
        <f t="shared" ca="1" si="97"/>
        <v>7.0762722354241285</v>
      </c>
    </row>
    <row r="208" spans="1:9" outlineLevel="1">
      <c r="A208" t="s">
        <v>158</v>
      </c>
      <c r="B208" s="82">
        <f t="shared" ref="B208:I208" ca="1" si="98">+B70</f>
        <v>0</v>
      </c>
      <c r="C208" s="82">
        <f t="shared" ca="1" si="98"/>
        <v>0</v>
      </c>
      <c r="D208" s="82">
        <f t="shared" ca="1" si="98"/>
        <v>6.7369999999999992</v>
      </c>
      <c r="E208" s="82">
        <f t="shared" ca="1" si="98"/>
        <v>6.8446016198987287</v>
      </c>
      <c r="F208" s="82">
        <f t="shared" ca="1" si="98"/>
        <v>6.9480714370193084</v>
      </c>
      <c r="G208" s="82">
        <f t="shared" ca="1" si="98"/>
        <v>7.0710310900294244</v>
      </c>
      <c r="H208" s="82">
        <f t="shared" ca="1" si="98"/>
        <v>7.2085060797886529</v>
      </c>
      <c r="I208" s="82">
        <f t="shared" ca="1" si="98"/>
        <v>7.3515210889396165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73" priority="1" stopIfTrue="1" operator="notEqual">
      <formula>0</formula>
    </cfRule>
  </conditionalFormatting>
  <conditionalFormatting sqref="J130 J94 J70 J59 J48 J36:J37 J14 J25">
    <cfRule type="cellIs" dxfId="72" priority="2" stopIfTrue="1" operator="equal">
      <formula>"OK"</formula>
    </cfRule>
    <cfRule type="cellIs" dxfId="71" priority="3" stopIfTrue="1" operator="equal">
      <formula>"Warning Check Escalations"</formula>
    </cfRule>
  </conditionalFormatting>
  <conditionalFormatting sqref="N120:T120 N84:T84">
    <cfRule type="cellIs" dxfId="70" priority="4" stopIfTrue="1" operator="notEqual">
      <formula>0</formula>
    </cfRule>
    <cfRule type="cellIs" dxfId="6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3"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6.xml><?xml version="1.0" encoding="utf-8"?>
<worksheet xmlns="http://schemas.openxmlformats.org/spreadsheetml/2006/main" xmlns:r="http://schemas.openxmlformats.org/officeDocument/2006/relationships">
  <sheetPr codeName="Sheet50" enableFormatConditionsCalculation="0">
    <tabColor indexed="17"/>
    <pageSetUpPr fitToPage="1"/>
  </sheetPr>
  <dimension ref="A1:T239"/>
  <sheetViews>
    <sheetView showGridLines="0" topLeftCell="A61"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22</v>
      </c>
      <c r="M1" s="282"/>
      <c r="N1" s="280"/>
      <c r="O1" s="280"/>
      <c r="P1" s="280"/>
      <c r="Q1" s="280"/>
      <c r="R1" s="280"/>
      <c r="S1" s="280"/>
      <c r="T1" s="280"/>
    </row>
    <row r="2" spans="1:20" ht="15.75">
      <c r="A2" s="184" t="s">
        <v>121</v>
      </c>
      <c r="B2" s="74" t="str">
        <f ca="1">OFFSET(List_DAOpexStart,+$K$1,1)</f>
        <v>Network Insurance</v>
      </c>
      <c r="F2" s="284"/>
      <c r="H2" s="42"/>
      <c r="I2" s="283"/>
      <c r="L2" s="282"/>
      <c r="M2" s="282"/>
    </row>
    <row r="3" spans="1:20" ht="16.5" thickBot="1">
      <c r="A3" s="184" t="s">
        <v>371</v>
      </c>
      <c r="B3" s="236" t="str">
        <f ca="1">OFFSET(List_DAOpexStart,+$K$1,2)</f>
        <v>Patrick Makinson</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0.4594860449285228</v>
      </c>
      <c r="E8" s="285">
        <f ca="1">OFFSET(Future_DAOpexStart,MATCH($K$1,'I-5 Future DA'!$A$6:$A$222)+2,+'I-5 Future DA'!F$5)</f>
        <v>0.4594860449285228</v>
      </c>
      <c r="F8" s="285">
        <f ca="1">OFFSET(Future_DAOpexStart,MATCH($K$1,'I-5 Future DA'!$A$6:$A$222)+2,+'I-5 Future DA'!G$5)</f>
        <v>0.4594860449285228</v>
      </c>
      <c r="G8" s="285">
        <f ca="1">OFFSET(Future_DAOpexStart,MATCH($K$1,'I-5 Future DA'!$A$6:$A$222)+2,+'I-5 Future DA'!H$5)</f>
        <v>0.4594860449285228</v>
      </c>
      <c r="H8" s="285">
        <f ca="1">OFFSET(Future_DAOpexStart,MATCH($K$1,'I-5 Future DA'!$A$6:$A$222)+2,+'I-5 Future DA'!I$5)</f>
        <v>0.4594860449285228</v>
      </c>
      <c r="I8" s="285">
        <f ca="1">OFFSET(Future_DAOpexStart,MATCH($K$1,'I-5 Future DA'!$A$6:$A$222)+2,+'I-5 Future DA'!J$5)</f>
        <v>0.4594860449285228</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6.9142273655547993E-3</v>
      </c>
      <c r="E10" s="285">
        <f ca="1">OFFSET(Future_DAOpexStart,MATCH($K$1,'I-5 Future DA'!$A$6:$A$222)+4,+'I-5 Future DA'!F$5)</f>
        <v>6.9142273655547993E-3</v>
      </c>
      <c r="F10" s="285">
        <f ca="1">OFFSET(Future_DAOpexStart,MATCH($K$1,'I-5 Future DA'!$A$6:$A$222)+4,+'I-5 Future DA'!G$5)</f>
        <v>6.9142273655547993E-3</v>
      </c>
      <c r="G10" s="285">
        <f ca="1">OFFSET(Future_DAOpexStart,MATCH($K$1,'I-5 Future DA'!$A$6:$A$222)+4,+'I-5 Future DA'!H$5)</f>
        <v>6.9142273655547993E-3</v>
      </c>
      <c r="H10" s="285">
        <f ca="1">OFFSET(Future_DAOpexStart,MATCH($K$1,'I-5 Future DA'!$A$6:$A$222)+4,+'I-5 Future DA'!I$5)</f>
        <v>6.9142273655547993E-3</v>
      </c>
      <c r="I10" s="285">
        <f ca="1">OFFSET(Future_DAOpexStart,MATCH($K$1,'I-5 Future DA'!$A$6:$A$222)+4,+'I-5 Future DA'!J$5)</f>
        <v>6.9142273655547993E-3</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2.536599727705922</v>
      </c>
      <c r="E13" s="286">
        <f ca="1">OFFSET(Future_DAOpexStart,MATCH($K$1,'I-5 Future DA'!$A$6:$A$222)+7,+'I-5 Future DA'!F$5)</f>
        <v>2.536599727705922</v>
      </c>
      <c r="F13" s="286">
        <f ca="1">OFFSET(Future_DAOpexStart,MATCH($K$1,'I-5 Future DA'!$A$6:$A$222)+7,+'I-5 Future DA'!G$5)</f>
        <v>2.536599727705922</v>
      </c>
      <c r="G13" s="286">
        <f ca="1">OFFSET(Future_DAOpexStart,MATCH($K$1,'I-5 Future DA'!$A$6:$A$222)+7,+'I-5 Future DA'!H$5)</f>
        <v>2.536599727705922</v>
      </c>
      <c r="H13" s="286">
        <f ca="1">OFFSET(Future_DAOpexStart,MATCH($K$1,'I-5 Future DA'!$A$6:$A$222)+7,+'I-5 Future DA'!I$5)</f>
        <v>2.536599727705922</v>
      </c>
      <c r="I13" s="286">
        <f ca="1">OFFSET(Future_DAOpexStart,MATCH($K$1,'I-5 Future DA'!$A$6:$A$222)+7,+'I-5 Future DA'!J$5)</f>
        <v>2.536599727705922</v>
      </c>
      <c r="J13" s="36"/>
      <c r="K13" s="21"/>
      <c r="L13" s="21"/>
    </row>
    <row r="14" spans="1:20" s="87" customFormat="1" ht="18" customHeight="1">
      <c r="A14" s="84" t="s">
        <v>71</v>
      </c>
      <c r="B14" s="287">
        <f t="shared" ref="B14:I14" ca="1" si="0">SUM(B8:B13)</f>
        <v>0</v>
      </c>
      <c r="C14" s="287">
        <f t="shared" ca="1" si="0"/>
        <v>0</v>
      </c>
      <c r="D14" s="287">
        <f t="shared" ca="1" si="0"/>
        <v>3.0029999999999997</v>
      </c>
      <c r="E14" s="287">
        <f t="shared" ca="1" si="0"/>
        <v>3.0029999999999997</v>
      </c>
      <c r="F14" s="287">
        <f t="shared" ca="1" si="0"/>
        <v>3.0029999999999997</v>
      </c>
      <c r="G14" s="287">
        <f t="shared" ca="1" si="0"/>
        <v>3.0029999999999997</v>
      </c>
      <c r="H14" s="287">
        <f t="shared" ca="1" si="0"/>
        <v>3.0029999999999997</v>
      </c>
      <c r="I14" s="287">
        <f t="shared" ca="1" si="0"/>
        <v>3.0029999999999997</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v>
      </c>
      <c r="F22" s="285">
        <f t="shared" si="3"/>
        <v>0</v>
      </c>
      <c r="G22" s="285">
        <f t="shared" si="3"/>
        <v>0</v>
      </c>
      <c r="H22" s="285">
        <f t="shared" si="3"/>
        <v>0</v>
      </c>
      <c r="I22" s="285">
        <f t="shared" si="3"/>
        <v>0</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0</v>
      </c>
      <c r="F25" s="287">
        <f t="shared" si="6"/>
        <v>0</v>
      </c>
      <c r="G25" s="287">
        <f t="shared" si="6"/>
        <v>0</v>
      </c>
      <c r="H25" s="287">
        <f t="shared" si="6"/>
        <v>0</v>
      </c>
      <c r="I25" s="287">
        <f t="shared" si="6"/>
        <v>0</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+'DA-22'!B8+'DA-22'!B19</f>
        <v>0</v>
      </c>
      <c r="C30" s="285">
        <f ca="1">+'DA-22'!C8+'DA-22'!C19</f>
        <v>0</v>
      </c>
      <c r="D30" s="285">
        <f ca="1">+'DA-22'!D8+'DA-22'!D19</f>
        <v>0.4594860449285228</v>
      </c>
      <c r="E30" s="285">
        <f ca="1">+'DA-22'!E8+'DA-22'!E19</f>
        <v>0.4594860449285228</v>
      </c>
      <c r="F30" s="285">
        <f ca="1">+'DA-22'!F8+'DA-22'!F19</f>
        <v>0.4594860449285228</v>
      </c>
      <c r="G30" s="285">
        <f ca="1">+'DA-22'!G8+'DA-22'!G19</f>
        <v>0.4594860449285228</v>
      </c>
      <c r="H30" s="285">
        <f ca="1">+'DA-22'!H8+'DA-22'!H19</f>
        <v>0.4594860449285228</v>
      </c>
      <c r="I30" s="285">
        <f ca="1">+'DA-22'!I8+'DA-22'!I19</f>
        <v>0.4594860449285228</v>
      </c>
      <c r="J30" s="42"/>
      <c r="K30" s="21"/>
      <c r="L30" s="21"/>
    </row>
    <row r="31" spans="1:12" outlineLevel="2">
      <c r="A31" s="61" t="s">
        <v>69</v>
      </c>
      <c r="B31" s="285">
        <f ca="1">+'DA-22'!B9+'DA-22'!B20</f>
        <v>0</v>
      </c>
      <c r="C31" s="285">
        <f ca="1">+'DA-22'!C9+'DA-22'!C20</f>
        <v>0</v>
      </c>
      <c r="D31" s="285">
        <f ca="1">+'DA-22'!D9+'DA-22'!D20</f>
        <v>0</v>
      </c>
      <c r="E31" s="285">
        <f ca="1">+'DA-22'!E9+'DA-22'!E20</f>
        <v>0</v>
      </c>
      <c r="F31" s="285">
        <f ca="1">+'DA-22'!F9+'DA-22'!F20</f>
        <v>0</v>
      </c>
      <c r="G31" s="285">
        <f ca="1">+'DA-22'!G9+'DA-22'!G20</f>
        <v>0</v>
      </c>
      <c r="H31" s="285">
        <f ca="1">+'DA-22'!H9+'DA-22'!H20</f>
        <v>0</v>
      </c>
      <c r="I31" s="285">
        <f ca="1">+'DA-22'!I9+'DA-22'!I20</f>
        <v>0</v>
      </c>
      <c r="J31" s="42"/>
      <c r="K31" s="21"/>
      <c r="L31" s="21"/>
    </row>
    <row r="32" spans="1:12" s="759" customFormat="1" outlineLevel="2">
      <c r="A32" s="61" t="s">
        <v>646</v>
      </c>
      <c r="B32" s="285">
        <f ca="1">+'DA-22'!B10+'DA-22'!B21</f>
        <v>0</v>
      </c>
      <c r="C32" s="285">
        <f ca="1">+'DA-22'!C10+'DA-22'!C21</f>
        <v>0</v>
      </c>
      <c r="D32" s="285">
        <f ca="1">+'DA-22'!D10+'DA-22'!D21</f>
        <v>6.9142273655547993E-3</v>
      </c>
      <c r="E32" s="285">
        <f ca="1">+'DA-22'!E10+'DA-22'!E21</f>
        <v>6.9142273655547993E-3</v>
      </c>
      <c r="F32" s="285">
        <f ca="1">+'DA-22'!F10+'DA-22'!F21</f>
        <v>6.9142273655547993E-3</v>
      </c>
      <c r="G32" s="285">
        <f ca="1">+'DA-22'!G10+'DA-22'!G21</f>
        <v>6.9142273655547993E-3</v>
      </c>
      <c r="H32" s="285">
        <f ca="1">+'DA-22'!H10+'DA-22'!H21</f>
        <v>6.9142273655547993E-3</v>
      </c>
      <c r="I32" s="285">
        <f ca="1">+'DA-22'!I10+'DA-22'!I21</f>
        <v>6.9142273655547993E-3</v>
      </c>
      <c r="J32" s="42"/>
      <c r="K32" s="732"/>
      <c r="L32" s="732"/>
    </row>
    <row r="33" spans="1:12" outlineLevel="2">
      <c r="A33" s="61" t="s">
        <v>647</v>
      </c>
      <c r="B33" s="285">
        <f ca="1">+'DA-22'!B11+'DA-22'!B22</f>
        <v>0</v>
      </c>
      <c r="C33" s="285">
        <f ca="1">+'DA-22'!C11+'DA-22'!C22</f>
        <v>0</v>
      </c>
      <c r="D33" s="285">
        <f ca="1">+'DA-22'!D11+'DA-22'!D22</f>
        <v>0</v>
      </c>
      <c r="E33" s="285">
        <f ca="1">+'DA-22'!E11+'DA-22'!E22</f>
        <v>0</v>
      </c>
      <c r="F33" s="285">
        <f ca="1">+'DA-22'!F11+'DA-22'!F22</f>
        <v>0</v>
      </c>
      <c r="G33" s="285">
        <f ca="1">+'DA-22'!G11+'DA-22'!G22</f>
        <v>0</v>
      </c>
      <c r="H33" s="285">
        <f ca="1">+'DA-22'!H11+'DA-22'!H22</f>
        <v>0</v>
      </c>
      <c r="I33" s="285">
        <f ca="1">+'DA-22'!I11+'DA-22'!I22</f>
        <v>0</v>
      </c>
      <c r="J33" s="42"/>
      <c r="K33" s="21"/>
      <c r="L33" s="21"/>
    </row>
    <row r="34" spans="1:12" s="759" customFormat="1" outlineLevel="2">
      <c r="A34" s="61" t="s">
        <v>575</v>
      </c>
      <c r="B34" s="285">
        <f ca="1">+'DA-22'!B12+'DA-22'!B23</f>
        <v>0</v>
      </c>
      <c r="C34" s="285">
        <f ca="1">+'DA-22'!C12+'DA-22'!C23</f>
        <v>0</v>
      </c>
      <c r="D34" s="285">
        <f ca="1">+'DA-22'!D12+'DA-22'!D23</f>
        <v>0</v>
      </c>
      <c r="E34" s="285">
        <f ca="1">+'DA-22'!E12+'DA-22'!E23</f>
        <v>0</v>
      </c>
      <c r="F34" s="285">
        <f ca="1">+'DA-22'!F12+'DA-22'!F23</f>
        <v>0</v>
      </c>
      <c r="G34" s="285">
        <f ca="1">+'DA-22'!G12+'DA-22'!G23</f>
        <v>0</v>
      </c>
      <c r="H34" s="285">
        <f ca="1">+'DA-22'!H12+'DA-22'!H23</f>
        <v>0</v>
      </c>
      <c r="I34" s="285">
        <f ca="1">+'DA-22'!I12+'DA-22'!I23</f>
        <v>0</v>
      </c>
      <c r="J34" s="42"/>
      <c r="K34" s="732"/>
      <c r="L34" s="732"/>
    </row>
    <row r="35" spans="1:12" ht="13.5" outlineLevel="2" thickBot="1">
      <c r="A35" s="83" t="s">
        <v>70</v>
      </c>
      <c r="B35" s="285">
        <f ca="1">+'DA-22'!B13+'DA-22'!B24</f>
        <v>0</v>
      </c>
      <c r="C35" s="285">
        <f ca="1">+'DA-22'!C13+'DA-22'!C24</f>
        <v>0</v>
      </c>
      <c r="D35" s="285">
        <f ca="1">+'DA-22'!D13+'DA-22'!D24</f>
        <v>2.536599727705922</v>
      </c>
      <c r="E35" s="285">
        <f ca="1">+'DA-22'!E13+'DA-22'!E24</f>
        <v>2.536599727705922</v>
      </c>
      <c r="F35" s="285">
        <f ca="1">+'DA-22'!F13+'DA-22'!F24</f>
        <v>2.536599727705922</v>
      </c>
      <c r="G35" s="285">
        <f ca="1">+'DA-22'!G13+'DA-22'!G24</f>
        <v>2.536599727705922</v>
      </c>
      <c r="H35" s="285">
        <f ca="1">+'DA-22'!H13+'DA-22'!H24</f>
        <v>2.536599727705922</v>
      </c>
      <c r="I35" s="285">
        <f ca="1">+'DA-22'!I13+'DA-22'!I24</f>
        <v>2.536599727705922</v>
      </c>
      <c r="J35" s="93"/>
      <c r="K35" s="21"/>
      <c r="L35" s="21"/>
    </row>
    <row r="36" spans="1:12" s="87" customFormat="1" ht="20.25" customHeight="1" thickBot="1">
      <c r="A36" s="94" t="s">
        <v>128</v>
      </c>
      <c r="B36" s="294">
        <f t="shared" ref="B36:I36" ca="1" si="7">SUM(B30:B35)</f>
        <v>0</v>
      </c>
      <c r="C36" s="294">
        <f t="shared" ca="1" si="7"/>
        <v>0</v>
      </c>
      <c r="D36" s="294">
        <f t="shared" ca="1" si="7"/>
        <v>3.0029999999999997</v>
      </c>
      <c r="E36" s="294">
        <f t="shared" ca="1" si="7"/>
        <v>3.0029999999999997</v>
      </c>
      <c r="F36" s="294">
        <f t="shared" ca="1" si="7"/>
        <v>3.0029999999999997</v>
      </c>
      <c r="G36" s="294">
        <f t="shared" ca="1" si="7"/>
        <v>3.0029999999999997</v>
      </c>
      <c r="H36" s="294">
        <f t="shared" ca="1" si="7"/>
        <v>3.0029999999999997</v>
      </c>
      <c r="I36" s="294">
        <f t="shared" ca="1" si="7"/>
        <v>3.0029999999999997</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4.8751277675013532E-3</v>
      </c>
      <c r="F42" s="285">
        <f t="shared" ca="1" si="8"/>
        <v>9.3923520037515838E-3</v>
      </c>
      <c r="G42" s="285">
        <f t="shared" ca="1" si="8"/>
        <v>1.3857578000990835E-2</v>
      </c>
      <c r="H42" s="285">
        <f t="shared" ca="1" si="8"/>
        <v>1.8701989581072082E-2</v>
      </c>
      <c r="I42" s="285">
        <f t="shared" ca="1" si="8"/>
        <v>2.3139506844157904E-2</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7.3359663895510642E-5</v>
      </c>
      <c r="F44" s="285">
        <f t="shared" ca="1" si="9"/>
        <v>1.4133368786284857E-4</v>
      </c>
      <c r="G44" s="285">
        <f t="shared" ca="1" si="9"/>
        <v>2.0852525575540778E-4</v>
      </c>
      <c r="H44" s="285">
        <f t="shared" ca="1" si="9"/>
        <v>2.8142271039348896E-4</v>
      </c>
      <c r="I44" s="285">
        <f t="shared" ca="1" si="9"/>
        <v>3.4819732440885624E-4</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2.6913217287152201E-2</v>
      </c>
      <c r="F47" s="285">
        <f t="shared" ca="1" si="12"/>
        <v>5.1850622664591645E-2</v>
      </c>
      <c r="G47" s="285">
        <f t="shared" ca="1" si="12"/>
        <v>7.6500970969520965E-2</v>
      </c>
      <c r="H47" s="285">
        <f t="shared" ca="1" si="12"/>
        <v>0.10324461907496249</v>
      </c>
      <c r="I47" s="285">
        <f t="shared" ca="1" si="12"/>
        <v>0.12774200088986576</v>
      </c>
      <c r="K47" s="42"/>
      <c r="L47" s="21"/>
    </row>
    <row r="48" spans="1:12" s="87" customFormat="1" ht="18" customHeight="1" thickBot="1">
      <c r="A48" s="94" t="s">
        <v>74</v>
      </c>
      <c r="B48" s="294"/>
      <c r="C48" s="294">
        <f t="shared" ref="C48:I48" ca="1" si="13">SUM(C42:C47)</f>
        <v>0</v>
      </c>
      <c r="D48" s="294">
        <f t="shared" ca="1" si="13"/>
        <v>0</v>
      </c>
      <c r="E48" s="294">
        <f t="shared" ca="1" si="13"/>
        <v>3.1861704718549065E-2</v>
      </c>
      <c r="F48" s="294">
        <f t="shared" ca="1" si="13"/>
        <v>6.1384308356206077E-2</v>
      </c>
      <c r="G48" s="294">
        <f t="shared" ca="1" si="13"/>
        <v>9.0567074226267211E-2</v>
      </c>
      <c r="H48" s="294">
        <f t="shared" ca="1" si="13"/>
        <v>0.12222803136642807</v>
      </c>
      <c r="I48" s="294">
        <f t="shared" ca="1" si="13"/>
        <v>0.15122970505843253</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9.9642462101145642E-3</v>
      </c>
      <c r="F53" s="285">
        <f t="shared" ca="1" si="14"/>
        <v>2.0338245693073433E-2</v>
      </c>
      <c r="G53" s="285">
        <f t="shared" ca="1" si="14"/>
        <v>3.1710184293912723E-2</v>
      </c>
      <c r="H53" s="285">
        <f t="shared" ca="1" si="14"/>
        <v>4.3582972243961703E-2</v>
      </c>
      <c r="I53" s="285">
        <f t="shared" ca="1" si="14"/>
        <v>5.5906639608022411E-2</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3.4937935147250808E-5</v>
      </c>
      <c r="F55" s="285">
        <f t="shared" ca="1" si="15"/>
        <v>7.0731999560510003E-5</v>
      </c>
      <c r="G55" s="285">
        <f t="shared" ca="1" si="15"/>
        <v>1.3615301897568094E-4</v>
      </c>
      <c r="H55" s="285">
        <f t="shared" ca="1" si="15"/>
        <v>2.1454503395781417E-4</v>
      </c>
      <c r="I55" s="285">
        <f t="shared" ca="1" si="15"/>
        <v>3.1002298989305784E-4</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9.9991841452618142E-3</v>
      </c>
      <c r="F59" s="287">
        <f t="shared" ca="1" si="19"/>
        <v>2.0408977692633945E-2</v>
      </c>
      <c r="G59" s="287">
        <f t="shared" ca="1" si="19"/>
        <v>3.1846337312888405E-2</v>
      </c>
      <c r="H59" s="287">
        <f t="shared" ca="1" si="19"/>
        <v>4.3797517277919515E-2</v>
      </c>
      <c r="I59" s="287">
        <f t="shared" ca="1" si="19"/>
        <v>5.6216662597915468E-2</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0.4594860449285228</v>
      </c>
      <c r="E64" s="285">
        <f t="shared" ca="1" si="20"/>
        <v>0.47432541890613872</v>
      </c>
      <c r="F64" s="285">
        <f t="shared" ca="1" si="20"/>
        <v>0.48921664262534781</v>
      </c>
      <c r="G64" s="285">
        <f t="shared" ca="1" si="20"/>
        <v>0.50505380722342641</v>
      </c>
      <c r="H64" s="285">
        <f t="shared" ca="1" si="20"/>
        <v>0.52177100675355659</v>
      </c>
      <c r="I64" s="285">
        <f t="shared" ca="1" si="20"/>
        <v>0.53853219138070307</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6.9142273655547993E-3</v>
      </c>
      <c r="E66" s="285">
        <f t="shared" ca="1" si="21"/>
        <v>7.0225249645975612E-3</v>
      </c>
      <c r="F66" s="285">
        <f t="shared" ca="1" si="21"/>
        <v>7.126293052978158E-3</v>
      </c>
      <c r="G66" s="285">
        <f t="shared" ca="1" si="21"/>
        <v>7.2589056402858881E-3</v>
      </c>
      <c r="H66" s="285">
        <f t="shared" ca="1" si="21"/>
        <v>7.4101951099061021E-3</v>
      </c>
      <c r="I66" s="285">
        <f t="shared" ca="1" si="21"/>
        <v>7.5724476798567138E-3</v>
      </c>
      <c r="K66" s="42"/>
      <c r="L66" s="732"/>
    </row>
    <row r="67" spans="1:20" ht="12.75" customHeight="1" outlineLevel="1">
      <c r="A67" s="61" t="s">
        <v>647</v>
      </c>
      <c r="B67" s="285">
        <f t="shared" ref="B67:I67" ca="1" si="22">+B45+B33+B56</f>
        <v>0</v>
      </c>
      <c r="C67" s="285">
        <f t="shared" ca="1" si="22"/>
        <v>0</v>
      </c>
      <c r="D67" s="285">
        <f t="shared" ca="1" si="22"/>
        <v>0</v>
      </c>
      <c r="E67" s="285">
        <f t="shared" ca="1" si="22"/>
        <v>0</v>
      </c>
      <c r="F67" s="285">
        <f t="shared" ca="1" si="22"/>
        <v>0</v>
      </c>
      <c r="G67" s="285">
        <f t="shared" ca="1" si="22"/>
        <v>0</v>
      </c>
      <c r="H67" s="285">
        <f t="shared" ca="1" si="22"/>
        <v>0</v>
      </c>
      <c r="I67" s="285">
        <f t="shared" ca="1" si="22"/>
        <v>0</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2.536599727705922</v>
      </c>
      <c r="E69" s="286">
        <f t="shared" ca="1" si="24"/>
        <v>2.5635129449930742</v>
      </c>
      <c r="F69" s="286">
        <f t="shared" ca="1" si="24"/>
        <v>2.5884503503705139</v>
      </c>
      <c r="G69" s="286">
        <f t="shared" ca="1" si="24"/>
        <v>2.613100698675443</v>
      </c>
      <c r="H69" s="286">
        <f t="shared" ca="1" si="24"/>
        <v>2.6398443467808845</v>
      </c>
      <c r="I69" s="286">
        <f t="shared" ca="1" si="24"/>
        <v>2.6643417285957876</v>
      </c>
      <c r="K69" s="42"/>
      <c r="L69" s="21"/>
    </row>
    <row r="70" spans="1:20" s="87" customFormat="1" ht="18" customHeight="1" thickBot="1">
      <c r="A70" s="99" t="s">
        <v>129</v>
      </c>
      <c r="B70" s="295">
        <f t="shared" ref="B70:I70" ca="1" si="25">SUM(B64:B69)</f>
        <v>0</v>
      </c>
      <c r="C70" s="295">
        <f t="shared" ca="1" si="25"/>
        <v>0</v>
      </c>
      <c r="D70" s="295">
        <f t="shared" ca="1" si="25"/>
        <v>3.0029999999999997</v>
      </c>
      <c r="E70" s="295">
        <f t="shared" ca="1" si="25"/>
        <v>3.0448608888638105</v>
      </c>
      <c r="F70" s="295">
        <f t="shared" ca="1" si="25"/>
        <v>3.0847932860488401</v>
      </c>
      <c r="G70" s="295">
        <f t="shared" ca="1" si="25"/>
        <v>3.1254134115391552</v>
      </c>
      <c r="H70" s="295">
        <f t="shared" ca="1" si="25"/>
        <v>3.1690255486443473</v>
      </c>
      <c r="I70" s="295">
        <f t="shared" ca="1" si="25"/>
        <v>3.2104463676563473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4.8751277675013532E-3</v>
      </c>
      <c r="Q77" s="285">
        <f ca="1">IF($B77&lt;&gt;0,(+VLOOKUP($B77,$A$8:$I$13,6,FALSE))*(F77),0)</f>
        <v>9.3923520037515838E-3</v>
      </c>
      <c r="R77" s="285">
        <f ca="1">IF($B77&lt;&gt;0,(+VLOOKUP($B77,$A$8:$I$13,7,FALSE))*(G77),0)</f>
        <v>1.3857578000990835E-2</v>
      </c>
      <c r="S77" s="285">
        <f ca="1">IF($B77&lt;&gt;0,(+VLOOKUP($B77,$A$8:$I$13,8,FALSE))*(H77),0)</f>
        <v>1.8701989581072082E-2</v>
      </c>
      <c r="T77" s="285">
        <f ca="1">IF($B77&lt;&gt;0,(+VLOOKUP($B77,$A$8:$I$13,9,FALSE))*(I77),0)</f>
        <v>2.3139506844157904E-2</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7.3359663895510642E-5</v>
      </c>
      <c r="Q79" s="285">
        <f t="shared" ref="Q79:Q80" ca="1" si="34">IF($B79&lt;&gt;0,(+VLOOKUP($B79,$A$8:$I$13,6,FALSE))*(F79),0)</f>
        <v>1.4133368786284857E-4</v>
      </c>
      <c r="R79" s="285">
        <f t="shared" ref="R79:R80" ca="1" si="35">IF($B79&lt;&gt;0,(+VLOOKUP($B79,$A$8:$I$13,7,FALSE))*(G79),0)</f>
        <v>2.0852525575540778E-4</v>
      </c>
      <c r="S79" s="285">
        <f t="shared" ref="S79:S80" ca="1" si="36">IF($B79&lt;&gt;0,(+VLOOKUP($B79,$A$8:$I$13,8,FALSE))*(H79),0)</f>
        <v>2.8142271039348896E-4</v>
      </c>
      <c r="T79" s="285">
        <f t="shared" ref="T79:T80" ca="1" si="37">IF($B79&lt;&gt;0,(+VLOOKUP($B79,$A$8:$I$13,9,FALSE))*(I79),0)</f>
        <v>3.4819732440885624E-4</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2.6913217287152201E-2</v>
      </c>
      <c r="Q82" s="285">
        <f t="shared" ref="Q82" ca="1" si="47">IF($B82&lt;&gt;0,(+VLOOKUP($B82,$A$8:$I$13,6,FALSE))*(F82),0)</f>
        <v>5.1850622664591645E-2</v>
      </c>
      <c r="R82" s="285">
        <f t="shared" ref="R82" ca="1" si="48">IF($B82&lt;&gt;0,(+VLOOKUP($B82,$A$8:$I$13,7,FALSE))*(G82),0)</f>
        <v>7.6500970969520965E-2</v>
      </c>
      <c r="S82" s="285">
        <f t="shared" ref="S82" ca="1" si="49">IF($B82&lt;&gt;0,(+VLOOKUP($B82,$A$8:$I$13,8,FALSE))*(H82),0)</f>
        <v>0.10324461907496249</v>
      </c>
      <c r="T82" s="285">
        <f t="shared" ref="T82" ca="1" si="50">IF($B82&lt;&gt;0,(+VLOOKUP($B82,$A$8:$I$13,9,FALSE))*(I82),0)</f>
        <v>0.12774200088986576</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3.1861704718549065E-2</v>
      </c>
      <c r="Q83" s="292">
        <f t="shared" ca="1" si="51"/>
        <v>6.1384308356206077E-2</v>
      </c>
      <c r="R83" s="292">
        <f t="shared" ca="1" si="51"/>
        <v>9.0567074226267211E-2</v>
      </c>
      <c r="S83" s="292">
        <f t="shared" ca="1" si="51"/>
        <v>0.12222803136642807</v>
      </c>
      <c r="T83" s="292">
        <f t="shared" ca="1" si="51"/>
        <v>0.15122970505843253</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4.8751277675013532E-3</v>
      </c>
      <c r="F98" s="285">
        <f t="shared" ca="1" si="54"/>
        <v>9.3923520037515838E-3</v>
      </c>
      <c r="G98" s="285">
        <f t="shared" ca="1" si="54"/>
        <v>1.3857578000990835E-2</v>
      </c>
      <c r="H98" s="285">
        <f t="shared" ca="1" si="54"/>
        <v>1.8701989581072082E-2</v>
      </c>
      <c r="I98" s="285">
        <f t="shared" ca="1" si="54"/>
        <v>2.3139506844157904E-2</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7.3359663895510642E-5</v>
      </c>
      <c r="F100" s="285">
        <f t="shared" ca="1" si="56"/>
        <v>1.4133368786284857E-4</v>
      </c>
      <c r="G100" s="285">
        <f t="shared" ca="1" si="56"/>
        <v>2.0852525575540778E-4</v>
      </c>
      <c r="H100" s="285">
        <f t="shared" ca="1" si="56"/>
        <v>2.8142271039348896E-4</v>
      </c>
      <c r="I100" s="285">
        <f t="shared" ca="1" si="56"/>
        <v>3.4819732440885624E-4</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2.6913217287152201E-2</v>
      </c>
      <c r="F103" s="285">
        <f t="shared" ca="1" si="59"/>
        <v>5.1850622664591645E-2</v>
      </c>
      <c r="G103" s="285">
        <f t="shared" ca="1" si="59"/>
        <v>7.6500970969520965E-2</v>
      </c>
      <c r="H103" s="285">
        <f t="shared" ca="1" si="59"/>
        <v>0.10324461907496249</v>
      </c>
      <c r="I103" s="285">
        <f t="shared" ca="1" si="59"/>
        <v>0.12774200088986576</v>
      </c>
    </row>
    <row r="104" spans="1:20" outlineLevel="1">
      <c r="A104" s="120" t="s">
        <v>142</v>
      </c>
      <c r="B104" s="121"/>
      <c r="C104" s="296">
        <f t="shared" ref="C104:I104" ca="1" si="60">SUM(C98:C103)</f>
        <v>0</v>
      </c>
      <c r="D104" s="296">
        <f t="shared" ca="1" si="60"/>
        <v>0</v>
      </c>
      <c r="E104" s="296">
        <f t="shared" ca="1" si="60"/>
        <v>3.1861704718549065E-2</v>
      </c>
      <c r="F104" s="296">
        <f t="shared" ca="1" si="60"/>
        <v>6.1384308356206077E-2</v>
      </c>
      <c r="G104" s="296">
        <f t="shared" ca="1" si="60"/>
        <v>9.0567074226267211E-2</v>
      </c>
      <c r="H104" s="296">
        <f t="shared" ca="1" si="60"/>
        <v>0.12222803136642807</v>
      </c>
      <c r="I104" s="296">
        <f t="shared" ca="1" si="60"/>
        <v>0.15122970505843253</v>
      </c>
    </row>
    <row r="105" spans="1:20" ht="13.5" outlineLevel="1" thickBot="1">
      <c r="A105" s="122" t="s">
        <v>143</v>
      </c>
      <c r="B105" s="123"/>
      <c r="C105" s="124">
        <f t="shared" ref="C105:I105" ca="1" si="61">IF(C36&lt;&gt;0,+C104/C36,0)</f>
        <v>0</v>
      </c>
      <c r="D105" s="124">
        <f t="shared" ca="1" si="61"/>
        <v>0</v>
      </c>
      <c r="E105" s="124">
        <f t="shared" ca="1" si="61"/>
        <v>1.0609958281235121E-2</v>
      </c>
      <c r="F105" s="124">
        <f t="shared" ca="1" si="61"/>
        <v>2.0440995123611749E-2</v>
      </c>
      <c r="G105" s="124">
        <f t="shared" ca="1" si="61"/>
        <v>3.0158865876212859E-2</v>
      </c>
      <c r="H105" s="124">
        <f t="shared" ca="1" si="61"/>
        <v>4.0701975146995702E-2</v>
      </c>
      <c r="I105" s="124">
        <f t="shared" ca="1" si="61"/>
        <v>5.035954214400018E-2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9.9642462101145642E-3</v>
      </c>
      <c r="Q113" s="285">
        <f ca="1">IF($B113&lt;&gt;0,(+VLOOKUP($B113,$A$8:$I$13,6,FALSE)+VLOOKUP($B113,$A$42:$I$47,6,FALSE))*(F113),0)</f>
        <v>2.0338245693073433E-2</v>
      </c>
      <c r="R113" s="285">
        <f ca="1">IF($B113&lt;&gt;0,(+VLOOKUP($B113,$A$8:$I$13,7,FALSE)+VLOOKUP($B113,$A$42:$I$47,7,FALSE))*(G113),0)</f>
        <v>3.1710184293912723E-2</v>
      </c>
      <c r="S113" s="285">
        <f ca="1">IF($B113&lt;&gt;0,(+VLOOKUP($B113,$A$8:$I$13,8,FALSE)+VLOOKUP($B113,$A$42:$I$47,8,FALSE))*(H113),0)</f>
        <v>4.3582972243961703E-2</v>
      </c>
      <c r="T113" s="285">
        <f ca="1">IF($B113&lt;&gt;0,(+VLOOKUP($B113,$A$8:$I$13,9,FALSE)+VLOOKUP($B113,$A$42:$I$47,9,FALSE))*(I113),0)</f>
        <v>5.5906639608022411E-2</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3.4937935147250808E-5</v>
      </c>
      <c r="Q115" s="285">
        <f t="shared" ca="1" si="68"/>
        <v>7.0731999560510003E-5</v>
      </c>
      <c r="R115" s="285">
        <f t="shared" ca="1" si="69"/>
        <v>1.3615301897568094E-4</v>
      </c>
      <c r="S115" s="285">
        <f t="shared" ca="1" si="70"/>
        <v>2.1454503395781417E-4</v>
      </c>
      <c r="T115" s="285">
        <f t="shared" ca="1" si="71"/>
        <v>3.1002298989305784E-4</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9.9991841452618142E-3</v>
      </c>
      <c r="Q119" s="292">
        <f t="shared" ca="1" si="72"/>
        <v>2.0408977692633945E-2</v>
      </c>
      <c r="R119" s="292">
        <f t="shared" ca="1" si="72"/>
        <v>3.1846337312888405E-2</v>
      </c>
      <c r="S119" s="292">
        <f t="shared" ca="1" si="72"/>
        <v>4.3797517277919515E-2</v>
      </c>
      <c r="T119" s="292">
        <f t="shared" ca="1" si="72"/>
        <v>5.6216662597915468E-2</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9.9642462101145642E-3</v>
      </c>
      <c r="F134" s="285">
        <f t="shared" ca="1" si="75"/>
        <v>2.0338245693073433E-2</v>
      </c>
      <c r="G134" s="285">
        <f t="shared" ca="1" si="75"/>
        <v>3.1710184293912723E-2</v>
      </c>
      <c r="H134" s="285">
        <f t="shared" ca="1" si="75"/>
        <v>4.3582972243961703E-2</v>
      </c>
      <c r="I134" s="285">
        <f t="shared" ca="1" si="75"/>
        <v>5.5906639608022411E-2</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3.4937935147250808E-5</v>
      </c>
      <c r="F136" s="285">
        <f t="shared" ca="1" si="77"/>
        <v>7.0731999560510003E-5</v>
      </c>
      <c r="G136" s="285">
        <f t="shared" ca="1" si="77"/>
        <v>1.3615301897568094E-4</v>
      </c>
      <c r="H136" s="285">
        <f t="shared" ca="1" si="77"/>
        <v>2.1454503395781417E-4</v>
      </c>
      <c r="I136" s="285">
        <f t="shared" ca="1" si="77"/>
        <v>3.1002298989305784E-4</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9.9991841452618142E-3</v>
      </c>
      <c r="F140" s="296">
        <f t="shared" ca="1" si="81"/>
        <v>2.0408977692633945E-2</v>
      </c>
      <c r="G140" s="296">
        <f t="shared" ca="1" si="81"/>
        <v>3.1846337312888405E-2</v>
      </c>
      <c r="H140" s="296">
        <f t="shared" ca="1" si="81"/>
        <v>4.3797517277919515E-2</v>
      </c>
      <c r="I140" s="296">
        <f t="shared" ca="1" si="81"/>
        <v>5.6216662597915468E-2</v>
      </c>
    </row>
    <row r="141" spans="1:16" ht="13.5" outlineLevel="1" thickBot="1">
      <c r="A141" s="122" t="s">
        <v>148</v>
      </c>
      <c r="B141" s="126"/>
      <c r="C141" s="124">
        <f t="shared" ref="C141:I141" ca="1" si="82">IF((+C36+C48)&lt;&gt;0,+C140/(+C36+C48),0)</f>
        <v>0</v>
      </c>
      <c r="D141" s="124">
        <f t="shared" ca="1" si="82"/>
        <v>0</v>
      </c>
      <c r="E141" s="124">
        <f t="shared" ca="1" si="82"/>
        <v>3.2947742329461874E-3</v>
      </c>
      <c r="F141" s="124">
        <f t="shared" ca="1" si="82"/>
        <v>6.6600581516427712E-3</v>
      </c>
      <c r="G141" s="124">
        <f t="shared" ca="1" si="82"/>
        <v>1.0294374276935147E-2</v>
      </c>
      <c r="H141" s="124">
        <f t="shared" ca="1" si="82"/>
        <v>1.4014182913484923E-2</v>
      </c>
      <c r="I141" s="124">
        <f t="shared" ca="1" si="82"/>
        <v>1.7822627980378512E-2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v>
      </c>
      <c r="F152" s="285">
        <f t="shared" si="85"/>
        <v>0</v>
      </c>
      <c r="G152" s="285">
        <f t="shared" si="85"/>
        <v>0</v>
      </c>
      <c r="H152" s="285">
        <f t="shared" si="85"/>
        <v>0</v>
      </c>
      <c r="I152" s="285">
        <f t="shared" si="85"/>
        <v>0</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0</v>
      </c>
      <c r="F155" s="296">
        <f t="shared" si="86"/>
        <v>0</v>
      </c>
      <c r="G155" s="296">
        <f t="shared" si="86"/>
        <v>0</v>
      </c>
      <c r="H155" s="296">
        <f t="shared" si="86"/>
        <v>0</v>
      </c>
      <c r="I155" s="296">
        <f t="shared" si="86"/>
        <v>0</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0</v>
      </c>
      <c r="F160" s="285">
        <f t="shared" ca="1" si="88"/>
        <v>0</v>
      </c>
      <c r="G160" s="285">
        <f t="shared" ca="1" si="88"/>
        <v>0</v>
      </c>
      <c r="H160" s="285">
        <f t="shared" ca="1" si="88"/>
        <v>0</v>
      </c>
      <c r="I160" s="285">
        <f t="shared" ca="1" si="88"/>
        <v>0</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0</v>
      </c>
      <c r="F170" s="296">
        <f t="shared" ca="1" si="93"/>
        <v>0</v>
      </c>
      <c r="G170" s="296">
        <f t="shared" ca="1" si="93"/>
        <v>0</v>
      </c>
      <c r="H170" s="296">
        <f t="shared" ca="1" si="93"/>
        <v>0</v>
      </c>
      <c r="I170" s="296">
        <f t="shared" ca="1" si="93"/>
        <v>0</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 t="array" ref="E185:I190">'[2]DA SEM Non Network'!$N$39:$R$44</f>
        <v>0</v>
      </c>
      <c r="F185" s="285">
        <v>0</v>
      </c>
      <c r="G185" s="285">
        <v>0</v>
      </c>
      <c r="H185" s="285">
        <v>0</v>
      </c>
      <c r="I185" s="285">
        <v>0</v>
      </c>
      <c r="J185" s="63"/>
      <c r="K185" s="63"/>
      <c r="L185" s="63"/>
    </row>
    <row r="186" spans="1:12" outlineLevel="1">
      <c r="A186" s="61" t="s">
        <v>69</v>
      </c>
      <c r="B186" s="65"/>
      <c r="C186" s="65"/>
      <c r="D186" s="285"/>
      <c r="E186" s="285">
        <v>0</v>
      </c>
      <c r="F186" s="285">
        <v>0</v>
      </c>
      <c r="G186" s="285">
        <v>0</v>
      </c>
      <c r="H186" s="285">
        <v>0</v>
      </c>
      <c r="I186" s="285">
        <v>0</v>
      </c>
      <c r="J186" s="42"/>
      <c r="K186" s="21"/>
      <c r="L186" s="21"/>
    </row>
    <row r="187" spans="1:12" s="759" customFormat="1" outlineLevel="1">
      <c r="A187" s="61" t="s">
        <v>646</v>
      </c>
      <c r="B187" s="65"/>
      <c r="C187" s="65"/>
      <c r="D187" s="285"/>
      <c r="E187" s="285">
        <v>0</v>
      </c>
      <c r="F187" s="285">
        <v>0</v>
      </c>
      <c r="G187" s="285">
        <v>0</v>
      </c>
      <c r="H187" s="285">
        <v>0</v>
      </c>
      <c r="I187" s="285">
        <v>0</v>
      </c>
      <c r="J187" s="42"/>
      <c r="K187" s="732"/>
      <c r="L187" s="732"/>
    </row>
    <row r="188" spans="1:12" outlineLevel="1">
      <c r="A188" s="61" t="s">
        <v>647</v>
      </c>
      <c r="B188" s="65"/>
      <c r="C188" s="65"/>
      <c r="D188" s="285"/>
      <c r="E188" s="285">
        <v>0</v>
      </c>
      <c r="F188" s="285">
        <v>0</v>
      </c>
      <c r="G188" s="285">
        <v>0</v>
      </c>
      <c r="H188" s="285">
        <v>0</v>
      </c>
      <c r="I188" s="285">
        <v>0</v>
      </c>
      <c r="J188" s="42"/>
      <c r="K188" s="21"/>
      <c r="L188" s="21"/>
    </row>
    <row r="189" spans="1:12" s="759" customFormat="1" outlineLevel="1">
      <c r="A189" s="61" t="s">
        <v>575</v>
      </c>
      <c r="B189" s="65"/>
      <c r="C189" s="65"/>
      <c r="D189" s="285"/>
      <c r="E189" s="285">
        <v>0</v>
      </c>
      <c r="F189" s="285">
        <v>0</v>
      </c>
      <c r="G189" s="285">
        <v>0</v>
      </c>
      <c r="H189" s="285">
        <v>0</v>
      </c>
      <c r="I189" s="285">
        <v>0</v>
      </c>
      <c r="J189" s="42"/>
      <c r="K189" s="732"/>
      <c r="L189" s="732"/>
    </row>
    <row r="190" spans="1:12" outlineLevel="1">
      <c r="A190" s="83" t="s">
        <v>70</v>
      </c>
      <c r="B190" s="65"/>
      <c r="C190" s="6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0</v>
      </c>
      <c r="E191" s="296">
        <f t="shared" si="94"/>
        <v>0</v>
      </c>
      <c r="F191" s="296">
        <f t="shared" si="94"/>
        <v>0</v>
      </c>
      <c r="G191" s="296">
        <f t="shared" si="94"/>
        <v>0</v>
      </c>
      <c r="H191" s="296">
        <f t="shared" si="94"/>
        <v>0</v>
      </c>
      <c r="I191" s="296">
        <f t="shared" si="94"/>
        <v>0</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3.0029999999999997</v>
      </c>
      <c r="E205" s="82">
        <f t="shared" ca="1" si="95"/>
        <v>3.0029999999999997</v>
      </c>
      <c r="F205" s="82">
        <f t="shared" ca="1" si="95"/>
        <v>3.0029999999999997</v>
      </c>
      <c r="G205" s="82">
        <f t="shared" ca="1" si="95"/>
        <v>3.0029999999999997</v>
      </c>
      <c r="H205" s="82">
        <f t="shared" ca="1" si="95"/>
        <v>3.0029999999999997</v>
      </c>
      <c r="I205" s="82">
        <f t="shared" ca="1" si="95"/>
        <v>3.0029999999999997</v>
      </c>
    </row>
    <row r="206" spans="1:9" outlineLevel="1">
      <c r="A206" t="s">
        <v>156</v>
      </c>
      <c r="B206" s="82">
        <f t="shared" ref="B206:I206" ca="1" si="96">+B36</f>
        <v>0</v>
      </c>
      <c r="C206" s="82">
        <f t="shared" ca="1" si="96"/>
        <v>0</v>
      </c>
      <c r="D206" s="82">
        <f t="shared" ca="1" si="96"/>
        <v>3.0029999999999997</v>
      </c>
      <c r="E206" s="82">
        <f t="shared" ca="1" si="96"/>
        <v>3.0029999999999997</v>
      </c>
      <c r="F206" s="82">
        <f t="shared" ca="1" si="96"/>
        <v>3.0029999999999997</v>
      </c>
      <c r="G206" s="82">
        <f t="shared" ca="1" si="96"/>
        <v>3.0029999999999997</v>
      </c>
      <c r="H206" s="82">
        <f t="shared" ca="1" si="96"/>
        <v>3.0029999999999997</v>
      </c>
      <c r="I206" s="82">
        <f t="shared" ca="1" si="96"/>
        <v>3.0029999999999997</v>
      </c>
    </row>
    <row r="207" spans="1:9" outlineLevel="1">
      <c r="A207" t="s">
        <v>157</v>
      </c>
      <c r="B207" s="82">
        <f t="shared" ref="B207:I207" ca="1" si="97">+B36+B48</f>
        <v>0</v>
      </c>
      <c r="C207" s="82">
        <f t="shared" ca="1" si="97"/>
        <v>0</v>
      </c>
      <c r="D207" s="82">
        <f t="shared" ca="1" si="97"/>
        <v>3.0029999999999997</v>
      </c>
      <c r="E207" s="82">
        <f t="shared" ca="1" si="97"/>
        <v>3.0348617047185487</v>
      </c>
      <c r="F207" s="82">
        <f t="shared" ca="1" si="97"/>
        <v>3.0643843083562059</v>
      </c>
      <c r="G207" s="82">
        <f t="shared" ca="1" si="97"/>
        <v>3.0935670742262671</v>
      </c>
      <c r="H207" s="82">
        <f t="shared" ca="1" si="97"/>
        <v>3.1252280313664276</v>
      </c>
      <c r="I207" s="82">
        <f t="shared" ca="1" si="97"/>
        <v>3.154229705058432</v>
      </c>
    </row>
    <row r="208" spans="1:9" outlineLevel="1">
      <c r="A208" t="s">
        <v>158</v>
      </c>
      <c r="B208" s="82">
        <f t="shared" ref="B208:I208" ca="1" si="98">+B70</f>
        <v>0</v>
      </c>
      <c r="C208" s="82">
        <f t="shared" ca="1" si="98"/>
        <v>0</v>
      </c>
      <c r="D208" s="82">
        <f t="shared" ca="1" si="98"/>
        <v>3.0029999999999997</v>
      </c>
      <c r="E208" s="82">
        <f t="shared" ca="1" si="98"/>
        <v>3.0448608888638105</v>
      </c>
      <c r="F208" s="82">
        <f t="shared" ca="1" si="98"/>
        <v>3.0847932860488401</v>
      </c>
      <c r="G208" s="82">
        <f t="shared" ca="1" si="98"/>
        <v>3.1254134115391552</v>
      </c>
      <c r="H208" s="82">
        <f t="shared" ca="1" si="98"/>
        <v>3.1690255486443473</v>
      </c>
      <c r="I208" s="82">
        <f t="shared" ca="1" si="98"/>
        <v>3.2104463676563473</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68" priority="1" stopIfTrue="1" operator="notEqual">
      <formula>0</formula>
    </cfRule>
  </conditionalFormatting>
  <conditionalFormatting sqref="J130 J94 J70 J59 J48 J36:J37 J14 J25">
    <cfRule type="cellIs" dxfId="67" priority="2" stopIfTrue="1" operator="equal">
      <formula>"OK"</formula>
    </cfRule>
    <cfRule type="cellIs" dxfId="66" priority="3" stopIfTrue="1" operator="equal">
      <formula>"Warning Check Escalations"</formula>
    </cfRule>
  </conditionalFormatting>
  <conditionalFormatting sqref="N120:T120 N84:T84">
    <cfRule type="cellIs" dxfId="65" priority="4" stopIfTrue="1" operator="notEqual">
      <formula>0</formula>
    </cfRule>
    <cfRule type="cellIs" dxfId="6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7.xml><?xml version="1.0" encoding="utf-8"?>
<worksheet xmlns="http://schemas.openxmlformats.org/spreadsheetml/2006/main" xmlns:r="http://schemas.openxmlformats.org/officeDocument/2006/relationships">
  <sheetPr codeName="Sheet51" enableFormatConditionsCalculation="0">
    <tabColor indexed="17"/>
    <pageSetUpPr fitToPage="1"/>
  </sheetPr>
  <dimension ref="A1:T239"/>
  <sheetViews>
    <sheetView showGridLines="0" zoomScaleNormal="100" workbookViewId="0">
      <selection activeCell="J123" sqref="J123"/>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23</v>
      </c>
      <c r="M1" s="282"/>
      <c r="N1" s="280"/>
      <c r="O1" s="280"/>
      <c r="P1" s="280"/>
      <c r="Q1" s="280"/>
      <c r="R1" s="280"/>
      <c r="S1" s="280"/>
      <c r="T1" s="280"/>
    </row>
    <row r="2" spans="1:20" ht="15.75">
      <c r="A2" s="184" t="s">
        <v>121</v>
      </c>
      <c r="B2" s="74" t="str">
        <f ca="1">OFFSET(List_DAOpexStart,+$K$1,1)</f>
        <v>Retail Contestability</v>
      </c>
      <c r="F2" s="284"/>
      <c r="H2" s="42"/>
      <c r="I2" s="283"/>
      <c r="L2" s="282"/>
      <c r="M2" s="282"/>
    </row>
    <row r="3" spans="1:20" ht="16.5" thickBot="1">
      <c r="A3" s="184" t="s">
        <v>371</v>
      </c>
      <c r="B3" s="236" t="str">
        <f ca="1">OFFSET(List_DAOpexStart,+$K$1,2)</f>
        <v>Mark Evans</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4.1499999999999995</v>
      </c>
      <c r="E8" s="285">
        <f ca="1">OFFSET(Future_DAOpexStart,MATCH($K$1,'I-5 Future DA'!$A$6:$A$222)+2,+'I-5 Future DA'!F$5)</f>
        <v>4.1499999999999995</v>
      </c>
      <c r="F8" s="285">
        <f ca="1">OFFSET(Future_DAOpexStart,MATCH($K$1,'I-5 Future DA'!$A$6:$A$222)+2,+'I-5 Future DA'!G$5)</f>
        <v>4.1499999999999995</v>
      </c>
      <c r="G8" s="285">
        <f ca="1">OFFSET(Future_DAOpexStart,MATCH($K$1,'I-5 Future DA'!$A$6:$A$222)+2,+'I-5 Future DA'!H$5)</f>
        <v>4.1499999999999995</v>
      </c>
      <c r="H8" s="285">
        <f ca="1">OFFSET(Future_DAOpexStart,MATCH($K$1,'I-5 Future DA'!$A$6:$A$222)+2,+'I-5 Future DA'!I$5)</f>
        <v>4.1499999999999995</v>
      </c>
      <c r="I8" s="285">
        <f ca="1">OFFSET(Future_DAOpexStart,MATCH($K$1,'I-5 Future DA'!$A$6:$A$222)+2,+'I-5 Future DA'!J$5)</f>
        <v>4.1499999999999995</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5.2999999999999999E-2</v>
      </c>
      <c r="E9" s="285">
        <f ca="1">OFFSET(Future_DAOpexStart,MATCH($K$1,'I-5 Future DA'!$A$6:$A$222)+3,+'I-5 Future DA'!F$5)</f>
        <v>5.2999999999999999E-2</v>
      </c>
      <c r="F9" s="285">
        <f ca="1">OFFSET(Future_DAOpexStart,MATCH($K$1,'I-5 Future DA'!$A$6:$A$222)+3,+'I-5 Future DA'!G$5)</f>
        <v>5.2999999999999999E-2</v>
      </c>
      <c r="G9" s="285">
        <f ca="1">OFFSET(Future_DAOpexStart,MATCH($K$1,'I-5 Future DA'!$A$6:$A$222)+3,+'I-5 Future DA'!H$5)</f>
        <v>5.2999999999999999E-2</v>
      </c>
      <c r="H9" s="285">
        <f ca="1">OFFSET(Future_DAOpexStart,MATCH($K$1,'I-5 Future DA'!$A$6:$A$222)+3,+'I-5 Future DA'!I$5)</f>
        <v>5.2999999999999999E-2</v>
      </c>
      <c r="I9" s="285">
        <f ca="1">OFFSET(Future_DAOpexStart,MATCH($K$1,'I-5 Future DA'!$A$6:$A$222)+3,+'I-5 Future DA'!J$5)</f>
        <v>5.2999999999999999E-2</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11.552</v>
      </c>
      <c r="E10" s="285">
        <f ca="1">OFFSET(Future_DAOpexStart,MATCH($K$1,'I-5 Future DA'!$A$6:$A$222)+4,+'I-5 Future DA'!F$5)</f>
        <v>11.552</v>
      </c>
      <c r="F10" s="285">
        <f ca="1">OFFSET(Future_DAOpexStart,MATCH($K$1,'I-5 Future DA'!$A$6:$A$222)+4,+'I-5 Future DA'!G$5)</f>
        <v>11.552</v>
      </c>
      <c r="G10" s="285">
        <f ca="1">OFFSET(Future_DAOpexStart,MATCH($K$1,'I-5 Future DA'!$A$6:$A$222)+4,+'I-5 Future DA'!H$5)</f>
        <v>11.552</v>
      </c>
      <c r="H10" s="285">
        <f ca="1">OFFSET(Future_DAOpexStart,MATCH($K$1,'I-5 Future DA'!$A$6:$A$222)+4,+'I-5 Future DA'!I$5)</f>
        <v>11.552</v>
      </c>
      <c r="I10" s="285">
        <f ca="1">OFFSET(Future_DAOpexStart,MATCH($K$1,'I-5 Future DA'!$A$6:$A$222)+4,+'I-5 Future DA'!J$5)</f>
        <v>11.552</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-0.81600000000000006</v>
      </c>
      <c r="E11" s="285">
        <f ca="1">OFFSET(Future_DAOpexStart,MATCH($K$1,'I-5 Future DA'!$A$6:$A$222)+5,+'I-5 Future DA'!F$5)</f>
        <v>-0.81600000000000006</v>
      </c>
      <c r="F11" s="285">
        <f ca="1">OFFSET(Future_DAOpexStart,MATCH($K$1,'I-5 Future DA'!$A$6:$A$222)+5,+'I-5 Future DA'!G$5)</f>
        <v>-0.81600000000000006</v>
      </c>
      <c r="G11" s="285">
        <f ca="1">OFFSET(Future_DAOpexStart,MATCH($K$1,'I-5 Future DA'!$A$6:$A$222)+5,+'I-5 Future DA'!H$5)</f>
        <v>-0.81600000000000006</v>
      </c>
      <c r="H11" s="285">
        <f ca="1">OFFSET(Future_DAOpexStart,MATCH($K$1,'I-5 Future DA'!$A$6:$A$222)+5,+'I-5 Future DA'!I$5)</f>
        <v>-0.81600000000000006</v>
      </c>
      <c r="I11" s="285">
        <f ca="1">OFFSET(Future_DAOpexStart,MATCH($K$1,'I-5 Future DA'!$A$6:$A$222)+5,+'I-5 Future DA'!J$5)</f>
        <v>-0.81600000000000006</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-7.3999999999999996E-2</v>
      </c>
      <c r="E12" s="285">
        <f ca="1">OFFSET(Future_DAOpexStart,MATCH($K$1,'I-5 Future DA'!$A$6:$A$222)+6,+'I-5 Future DA'!F$5)</f>
        <v>-7.3999999999999996E-2</v>
      </c>
      <c r="F12" s="285">
        <f ca="1">OFFSET(Future_DAOpexStart,MATCH($K$1,'I-5 Future DA'!$A$6:$A$222)+6,+'I-5 Future DA'!G$5)</f>
        <v>-7.3999999999999996E-2</v>
      </c>
      <c r="G12" s="285">
        <f ca="1">OFFSET(Future_DAOpexStart,MATCH($K$1,'I-5 Future DA'!$A$6:$A$222)+6,+'I-5 Future DA'!H$5)</f>
        <v>-7.3999999999999996E-2</v>
      </c>
      <c r="H12" s="285">
        <f ca="1">OFFSET(Future_DAOpexStart,MATCH($K$1,'I-5 Future DA'!$A$6:$A$222)+6,+'I-5 Future DA'!I$5)</f>
        <v>-7.3999999999999996E-2</v>
      </c>
      <c r="I12" s="285">
        <f ca="1">OFFSET(Future_DAOpexStart,MATCH($K$1,'I-5 Future DA'!$A$6:$A$222)+6,+'I-5 Future DA'!J$5)</f>
        <v>-7.3999999999999996E-2</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14.864999999999998</v>
      </c>
      <c r="E14" s="287">
        <f t="shared" ca="1" si="0"/>
        <v>14.864999999999998</v>
      </c>
      <c r="F14" s="287">
        <f t="shared" ca="1" si="0"/>
        <v>14.864999999999998</v>
      </c>
      <c r="G14" s="287">
        <f t="shared" ca="1" si="0"/>
        <v>14.864999999999998</v>
      </c>
      <c r="H14" s="287">
        <f t="shared" ca="1" si="0"/>
        <v>14.864999999999998</v>
      </c>
      <c r="I14" s="287">
        <f t="shared" ca="1" si="0"/>
        <v>14.864999999999998</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1.012</v>
      </c>
      <c r="F19" s="285">
        <f t="shared" si="1"/>
        <v>1.365</v>
      </c>
      <c r="G19" s="285">
        <f t="shared" si="1"/>
        <v>1.6520000000000001</v>
      </c>
      <c r="H19" s="285">
        <f t="shared" si="1"/>
        <v>1.6440000000000001</v>
      </c>
      <c r="I19" s="285">
        <f t="shared" si="1"/>
        <v>1.746</v>
      </c>
      <c r="J19" s="42"/>
      <c r="K19" s="21"/>
      <c r="L19" s="21"/>
    </row>
    <row r="20" spans="1:12" outlineLevel="1">
      <c r="A20" s="61" t="s">
        <v>69</v>
      </c>
      <c r="B20" s="289"/>
      <c r="C20" s="285">
        <f t="shared" si="1"/>
        <v>0</v>
      </c>
      <c r="D20" s="285">
        <f t="shared" si="1"/>
        <v>0</v>
      </c>
      <c r="E20" s="285">
        <f t="shared" si="1"/>
        <v>0</v>
      </c>
      <c r="F20" s="285">
        <f t="shared" si="1"/>
        <v>0</v>
      </c>
      <c r="G20" s="285">
        <f t="shared" si="1"/>
        <v>6.0000000000000001E-3</v>
      </c>
      <c r="H20" s="285">
        <f t="shared" si="1"/>
        <v>0.01</v>
      </c>
      <c r="I20" s="285">
        <f t="shared" si="1"/>
        <v>1.2999999999999999E-2</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0</v>
      </c>
      <c r="E22" s="285">
        <f t="shared" si="3"/>
        <v>0.20200000000000001</v>
      </c>
      <c r="F22" s="285">
        <f t="shared" si="3"/>
        <v>0.192</v>
      </c>
      <c r="G22" s="285">
        <f t="shared" si="3"/>
        <v>0.29899999999999999</v>
      </c>
      <c r="H22" s="285">
        <f t="shared" si="3"/>
        <v>0.29599999999999999</v>
      </c>
      <c r="I22" s="285">
        <f t="shared" si="3"/>
        <v>0.30099999999999999</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0</v>
      </c>
      <c r="E25" s="287">
        <f t="shared" si="6"/>
        <v>1.214</v>
      </c>
      <c r="F25" s="287">
        <f t="shared" si="6"/>
        <v>1.5569999999999999</v>
      </c>
      <c r="G25" s="287">
        <f t="shared" si="6"/>
        <v>1.9570000000000001</v>
      </c>
      <c r="H25" s="287">
        <f t="shared" si="6"/>
        <v>1.9500000000000002</v>
      </c>
      <c r="I25" s="287">
        <f t="shared" si="6"/>
        <v>2.06</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+'DA-23'!B8+'DA-23'!B19</f>
        <v>0</v>
      </c>
      <c r="C30" s="285">
        <f ca="1">+'DA-23'!C8+'DA-23'!C19</f>
        <v>0</v>
      </c>
      <c r="D30" s="285">
        <f ca="1">+'DA-23'!D8+'DA-23'!D19</f>
        <v>4.1499999999999995</v>
      </c>
      <c r="E30" s="285">
        <f ca="1">+'DA-23'!E8+'DA-23'!E19</f>
        <v>5.161999999999999</v>
      </c>
      <c r="F30" s="285">
        <f ca="1">+'DA-23'!F8+'DA-23'!F19</f>
        <v>5.5149999999999997</v>
      </c>
      <c r="G30" s="285">
        <f ca="1">+'DA-23'!G8+'DA-23'!G19</f>
        <v>5.8019999999999996</v>
      </c>
      <c r="H30" s="285">
        <f ca="1">+'DA-23'!H8+'DA-23'!H19</f>
        <v>5.7939999999999996</v>
      </c>
      <c r="I30" s="285">
        <f ca="1">+'DA-23'!I8+'DA-23'!I19</f>
        <v>5.895999999999999</v>
      </c>
      <c r="J30" s="42"/>
      <c r="K30" s="21"/>
      <c r="L30" s="21"/>
    </row>
    <row r="31" spans="1:12" outlineLevel="2">
      <c r="A31" s="61" t="s">
        <v>69</v>
      </c>
      <c r="B31" s="285">
        <f ca="1">+'DA-23'!B9+'DA-23'!B20</f>
        <v>0</v>
      </c>
      <c r="C31" s="285">
        <f ca="1">+'DA-23'!C9+'DA-23'!C20</f>
        <v>0</v>
      </c>
      <c r="D31" s="285">
        <f ca="1">+'DA-23'!D9+'DA-23'!D20</f>
        <v>5.2999999999999999E-2</v>
      </c>
      <c r="E31" s="285">
        <f ca="1">+'DA-23'!E9+'DA-23'!E20</f>
        <v>5.2999999999999999E-2</v>
      </c>
      <c r="F31" s="285">
        <f ca="1">+'DA-23'!F9+'DA-23'!F20</f>
        <v>5.2999999999999999E-2</v>
      </c>
      <c r="G31" s="285">
        <f ca="1">+'DA-23'!G9+'DA-23'!G20</f>
        <v>5.8999999999999997E-2</v>
      </c>
      <c r="H31" s="285">
        <f ca="1">+'DA-23'!H9+'DA-23'!H20</f>
        <v>6.3E-2</v>
      </c>
      <c r="I31" s="285">
        <f ca="1">+'DA-23'!I9+'DA-23'!I20</f>
        <v>6.6000000000000003E-2</v>
      </c>
      <c r="J31" s="42"/>
      <c r="K31" s="21"/>
      <c r="L31" s="21"/>
    </row>
    <row r="32" spans="1:12" s="759" customFormat="1" outlineLevel="2">
      <c r="A32" s="61" t="s">
        <v>646</v>
      </c>
      <c r="B32" s="285">
        <f ca="1">+'DA-23'!B10+'DA-23'!B21</f>
        <v>0</v>
      </c>
      <c r="C32" s="285">
        <f ca="1">+'DA-23'!C10+'DA-23'!C21</f>
        <v>0</v>
      </c>
      <c r="D32" s="285">
        <f ca="1">+'DA-23'!D10+'DA-23'!D21</f>
        <v>11.552</v>
      </c>
      <c r="E32" s="285">
        <f ca="1">+'DA-23'!E10+'DA-23'!E21</f>
        <v>11.552</v>
      </c>
      <c r="F32" s="285">
        <f ca="1">+'DA-23'!F10+'DA-23'!F21</f>
        <v>11.552</v>
      </c>
      <c r="G32" s="285">
        <f ca="1">+'DA-23'!G10+'DA-23'!G21</f>
        <v>11.552</v>
      </c>
      <c r="H32" s="285">
        <f ca="1">+'DA-23'!H10+'DA-23'!H21</f>
        <v>11.552</v>
      </c>
      <c r="I32" s="285">
        <f ca="1">+'DA-23'!I10+'DA-23'!I21</f>
        <v>11.552</v>
      </c>
      <c r="J32" s="42"/>
      <c r="K32" s="732"/>
      <c r="L32" s="732"/>
    </row>
    <row r="33" spans="1:12" outlineLevel="2">
      <c r="A33" s="61" t="s">
        <v>647</v>
      </c>
      <c r="B33" s="285">
        <f ca="1">+'DA-23'!B11+'DA-23'!B22</f>
        <v>0</v>
      </c>
      <c r="C33" s="285">
        <f ca="1">+'DA-23'!C11+'DA-23'!C22</f>
        <v>0</v>
      </c>
      <c r="D33" s="285">
        <f ca="1">+'DA-23'!D11+'DA-23'!D22</f>
        <v>-0.81600000000000006</v>
      </c>
      <c r="E33" s="285">
        <f ca="1">+'DA-23'!E11+'DA-23'!E22</f>
        <v>-0.6140000000000001</v>
      </c>
      <c r="F33" s="285">
        <f ca="1">+'DA-23'!F11+'DA-23'!F22</f>
        <v>-0.62400000000000011</v>
      </c>
      <c r="G33" s="285">
        <f ca="1">+'DA-23'!G11+'DA-23'!G22</f>
        <v>-0.51700000000000013</v>
      </c>
      <c r="H33" s="285">
        <f ca="1">+'DA-23'!H11+'DA-23'!H22</f>
        <v>-0.52</v>
      </c>
      <c r="I33" s="285">
        <f ca="1">+'DA-23'!I11+'DA-23'!I22</f>
        <v>-0.51500000000000012</v>
      </c>
      <c r="J33" s="42"/>
      <c r="K33" s="21"/>
      <c r="L33" s="21"/>
    </row>
    <row r="34" spans="1:12" s="759" customFormat="1" outlineLevel="2">
      <c r="A34" s="61" t="s">
        <v>575</v>
      </c>
      <c r="B34" s="285">
        <f ca="1">+'DA-23'!B12+'DA-23'!B23</f>
        <v>0</v>
      </c>
      <c r="C34" s="285">
        <f ca="1">+'DA-23'!C12+'DA-23'!C23</f>
        <v>0</v>
      </c>
      <c r="D34" s="285">
        <f ca="1">+'DA-23'!D12+'DA-23'!D23</f>
        <v>-7.3999999999999996E-2</v>
      </c>
      <c r="E34" s="285">
        <f ca="1">+'DA-23'!E12+'DA-23'!E23</f>
        <v>-7.3999999999999996E-2</v>
      </c>
      <c r="F34" s="285">
        <f ca="1">+'DA-23'!F12+'DA-23'!F23</f>
        <v>-7.3999999999999996E-2</v>
      </c>
      <c r="G34" s="285">
        <f ca="1">+'DA-23'!G12+'DA-23'!G23</f>
        <v>-7.3999999999999996E-2</v>
      </c>
      <c r="H34" s="285">
        <f ca="1">+'DA-23'!H12+'DA-23'!H23</f>
        <v>-7.3999999999999996E-2</v>
      </c>
      <c r="I34" s="285">
        <f ca="1">+'DA-23'!I12+'DA-23'!I23</f>
        <v>-7.3999999999999996E-2</v>
      </c>
      <c r="J34" s="42"/>
      <c r="K34" s="732"/>
      <c r="L34" s="732"/>
    </row>
    <row r="35" spans="1:12" ht="13.5" outlineLevel="2" thickBot="1">
      <c r="A35" s="83" t="s">
        <v>70</v>
      </c>
      <c r="B35" s="285">
        <f ca="1">+'DA-23'!B13+'DA-23'!B24</f>
        <v>0</v>
      </c>
      <c r="C35" s="285">
        <f ca="1">+'DA-23'!C13+'DA-23'!C24</f>
        <v>0</v>
      </c>
      <c r="D35" s="285">
        <f ca="1">+'DA-23'!D13+'DA-23'!D24</f>
        <v>0</v>
      </c>
      <c r="E35" s="285">
        <f ca="1">+'DA-23'!E13+'DA-23'!E24</f>
        <v>0</v>
      </c>
      <c r="F35" s="285">
        <f ca="1">+'DA-23'!F13+'DA-23'!F24</f>
        <v>0</v>
      </c>
      <c r="G35" s="285">
        <f ca="1">+'DA-23'!G13+'DA-23'!G24</f>
        <v>0</v>
      </c>
      <c r="H35" s="285">
        <f ca="1">+'DA-23'!H13+'DA-23'!H24</f>
        <v>0</v>
      </c>
      <c r="I35" s="285">
        <f ca="1">+'DA-23'!I13+'DA-23'!I24</f>
        <v>0</v>
      </c>
      <c r="J35" s="93"/>
      <c r="K35" s="21"/>
      <c r="L35" s="21"/>
    </row>
    <row r="36" spans="1:12" s="87" customFormat="1" ht="20.25" customHeight="1" thickBot="1">
      <c r="A36" s="94" t="s">
        <v>128</v>
      </c>
      <c r="B36" s="294">
        <f t="shared" ref="B36:I36" ca="1" si="7">SUM(B30:B35)</f>
        <v>0</v>
      </c>
      <c r="C36" s="294">
        <f t="shared" ca="1" si="7"/>
        <v>0</v>
      </c>
      <c r="D36" s="294">
        <f t="shared" ca="1" si="7"/>
        <v>14.864999999999998</v>
      </c>
      <c r="E36" s="294">
        <f t="shared" ca="1" si="7"/>
        <v>16.078999999999997</v>
      </c>
      <c r="F36" s="294">
        <f t="shared" ca="1" si="7"/>
        <v>16.421999999999997</v>
      </c>
      <c r="G36" s="294">
        <f t="shared" ca="1" si="7"/>
        <v>16.821999999999999</v>
      </c>
      <c r="H36" s="294">
        <f t="shared" ca="1" si="7"/>
        <v>16.814999999999998</v>
      </c>
      <c r="I36" s="294">
        <f t="shared" ca="1" si="7"/>
        <v>16.924999999999997</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4.4031326867125749E-2</v>
      </c>
      <c r="F42" s="285">
        <f t="shared" ca="1" si="8"/>
        <v>8.4830129762988746E-2</v>
      </c>
      <c r="G42" s="285">
        <f t="shared" ca="1" si="8"/>
        <v>0.12515929338628334</v>
      </c>
      <c r="H42" s="285">
        <f t="shared" ca="1" si="8"/>
        <v>0.16891319686003212</v>
      </c>
      <c r="I42" s="285">
        <f t="shared" ca="1" si="8"/>
        <v>0.20899209989760073</v>
      </c>
      <c r="K42" s="63"/>
      <c r="L42" s="63"/>
    </row>
    <row r="43" spans="1:12" outlineLevel="1">
      <c r="A43" s="61" t="s">
        <v>69</v>
      </c>
      <c r="B43" s="82"/>
      <c r="C43" s="285">
        <f t="shared" ca="1" si="8"/>
        <v>0</v>
      </c>
      <c r="D43" s="285">
        <f t="shared" ca="1" si="8"/>
        <v>0</v>
      </c>
      <c r="E43" s="285">
        <f t="shared" ca="1" si="8"/>
        <v>5.6232778890546141E-4</v>
      </c>
      <c r="F43" s="285">
        <f t="shared" ca="1" si="8"/>
        <v>1.0833727415514227E-3</v>
      </c>
      <c r="G43" s="285">
        <f t="shared" ca="1" si="8"/>
        <v>1.5984198914392816E-3</v>
      </c>
      <c r="H43" s="285">
        <f t="shared" ca="1" si="8"/>
        <v>2.1572046827907716E-3</v>
      </c>
      <c r="I43" s="285">
        <f t="shared" ca="1" si="8"/>
        <v>2.6690557336320093E-3</v>
      </c>
      <c r="K43" s="42"/>
      <c r="L43" s="21"/>
    </row>
    <row r="44" spans="1:12" s="759" customFormat="1" outlineLevel="1">
      <c r="A44" s="61" t="s">
        <v>646</v>
      </c>
      <c r="B44" s="82"/>
      <c r="C44" s="285">
        <f t="shared" ref="C44:I44" ca="1" si="9">+C100</f>
        <v>0</v>
      </c>
      <c r="D44" s="285">
        <f t="shared" ca="1" si="9"/>
        <v>0</v>
      </c>
      <c r="E44" s="285">
        <f t="shared" ca="1" si="9"/>
        <v>0.12256623806482811</v>
      </c>
      <c r="F44" s="285">
        <f t="shared" ca="1" si="9"/>
        <v>0.23613437566796291</v>
      </c>
      <c r="G44" s="285">
        <f t="shared" ca="1" si="9"/>
        <v>0.34839521860201095</v>
      </c>
      <c r="H44" s="285">
        <f t="shared" ca="1" si="9"/>
        <v>0.47018921689809423</v>
      </c>
      <c r="I44" s="285">
        <f t="shared" ca="1" si="9"/>
        <v>0.58175343084749009</v>
      </c>
      <c r="K44" s="42"/>
      <c r="L44" s="732"/>
    </row>
    <row r="45" spans="1:12" outlineLevel="1">
      <c r="A45" s="61" t="s">
        <v>647</v>
      </c>
      <c r="B45" s="82"/>
      <c r="C45" s="285">
        <f t="shared" ref="C45:I45" ca="1" si="10">+C101</f>
        <v>0</v>
      </c>
      <c r="D45" s="285">
        <f t="shared" ca="1" si="10"/>
        <v>0</v>
      </c>
      <c r="E45" s="285">
        <f t="shared" ca="1" si="10"/>
        <v>-8.6577259574878596E-3</v>
      </c>
      <c r="F45" s="285">
        <f t="shared" ca="1" si="10"/>
        <v>-1.6679852020867188E-2</v>
      </c>
      <c r="G45" s="285">
        <f t="shared" ca="1" si="10"/>
        <v>-2.4609634554989695E-2</v>
      </c>
      <c r="H45" s="285">
        <f t="shared" ca="1" si="10"/>
        <v>-3.3212811719948492E-2</v>
      </c>
      <c r="I45" s="285">
        <f t="shared" ca="1" si="10"/>
        <v>-4.1093386389504147E-2</v>
      </c>
      <c r="K45" s="42"/>
      <c r="L45" s="21"/>
    </row>
    <row r="46" spans="1:12" s="759" customFormat="1" outlineLevel="1">
      <c r="A46" s="61" t="s">
        <v>575</v>
      </c>
      <c r="B46" s="82"/>
      <c r="C46" s="285">
        <f t="shared" ref="C46:I46" ca="1" si="11">+C102</f>
        <v>0</v>
      </c>
      <c r="D46" s="285">
        <f t="shared" ca="1" si="11"/>
        <v>0</v>
      </c>
      <c r="E46" s="285">
        <f t="shared" ca="1" si="11"/>
        <v>-7.8513691281139892E-4</v>
      </c>
      <c r="F46" s="285">
        <f t="shared" ca="1" si="11"/>
        <v>-1.5126336391472694E-3</v>
      </c>
      <c r="G46" s="285">
        <f t="shared" ca="1" si="11"/>
        <v>-2.2317560748397513E-3</v>
      </c>
      <c r="H46" s="285">
        <f t="shared" ca="1" si="11"/>
        <v>-3.0119461608776811E-3</v>
      </c>
      <c r="I46" s="285">
        <f t="shared" ca="1" si="11"/>
        <v>-3.7266061186560133E-3</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0.15771702985056005</v>
      </c>
      <c r="F48" s="294">
        <f t="shared" ca="1" si="13"/>
        <v>0.30385539251248861</v>
      </c>
      <c r="G48" s="294">
        <f t="shared" ca="1" si="13"/>
        <v>0.44831154124990408</v>
      </c>
      <c r="H48" s="294">
        <f t="shared" ca="1" si="13"/>
        <v>0.60503486056009104</v>
      </c>
      <c r="I48" s="294">
        <f t="shared" ca="1" si="13"/>
        <v>0.74859459397056272</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8.9995381205555558E-2</v>
      </c>
      <c r="F53" s="285">
        <f t="shared" ca="1" si="14"/>
        <v>0.18369158445145922</v>
      </c>
      <c r="G53" s="285">
        <f t="shared" ca="1" si="14"/>
        <v>0.28640100449668482</v>
      </c>
      <c r="H53" s="285">
        <f t="shared" ca="1" si="14"/>
        <v>0.39363401088835437</v>
      </c>
      <c r="I53" s="285">
        <f t="shared" ca="1" si="14"/>
        <v>0.50493928364981056</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5.8372831190322889E-2</v>
      </c>
      <c r="F55" s="285">
        <f t="shared" ca="1" si="15"/>
        <v>0.11817604711606812</v>
      </c>
      <c r="G55" s="285">
        <f t="shared" ca="1" si="15"/>
        <v>0.22747873219249584</v>
      </c>
      <c r="H55" s="285">
        <f t="shared" ca="1" si="15"/>
        <v>0.35845281059567813</v>
      </c>
      <c r="I55" s="285">
        <f t="shared" ca="1" si="15"/>
        <v>0.51797335984152049</v>
      </c>
      <c r="K55" s="42"/>
      <c r="L55" s="732"/>
    </row>
    <row r="56" spans="1:12" outlineLevel="1">
      <c r="A56" s="61" t="s">
        <v>647</v>
      </c>
      <c r="B56" s="285"/>
      <c r="C56" s="285">
        <f t="shared" ref="C56:I56" ca="1" si="16">+C137</f>
        <v>0</v>
      </c>
      <c r="D56" s="285">
        <f t="shared" ca="1" si="16"/>
        <v>0</v>
      </c>
      <c r="E56" s="285">
        <f t="shared" ca="1" si="16"/>
        <v>-4.1232886297873517E-3</v>
      </c>
      <c r="F56" s="285">
        <f t="shared" ca="1" si="16"/>
        <v>-8.3476155165089685E-3</v>
      </c>
      <c r="G56" s="285">
        <f t="shared" ca="1" si="16"/>
        <v>-1.6068442301685994E-2</v>
      </c>
      <c r="H56" s="285">
        <f t="shared" ca="1" si="16"/>
        <v>-2.5320073878642088E-2</v>
      </c>
      <c r="I56" s="285">
        <f t="shared" ca="1" si="16"/>
        <v>-3.6588145916783305E-2</v>
      </c>
      <c r="K56" s="42"/>
      <c r="L56" s="21"/>
    </row>
    <row r="57" spans="1:12" s="759" customFormat="1" outlineLevel="1">
      <c r="A57" s="61" t="s">
        <v>575</v>
      </c>
      <c r="B57" s="285"/>
      <c r="C57" s="285">
        <f t="shared" ref="C57:I57" ca="1" si="17">+C138</f>
        <v>0</v>
      </c>
      <c r="D57" s="285">
        <f t="shared" ca="1" si="17"/>
        <v>0</v>
      </c>
      <c r="E57" s="285">
        <f t="shared" ca="1" si="17"/>
        <v>-1.6047369178821957E-3</v>
      </c>
      <c r="F57" s="285">
        <f t="shared" ca="1" si="17"/>
        <v>-3.2754643974477072E-3</v>
      </c>
      <c r="G57" s="285">
        <f t="shared" ca="1" si="17"/>
        <v>-5.1069094777722113E-3</v>
      </c>
      <c r="H57" s="285">
        <f t="shared" ca="1" si="17"/>
        <v>-7.0190160977682478E-3</v>
      </c>
      <c r="I57" s="285">
        <f t="shared" ca="1" si="17"/>
        <v>-9.0037366241171052E-3</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0.14264018684820889</v>
      </c>
      <c r="F59" s="287">
        <f t="shared" ca="1" si="19"/>
        <v>0.29024455165357066</v>
      </c>
      <c r="G59" s="287">
        <f t="shared" ca="1" si="19"/>
        <v>0.49270438490972246</v>
      </c>
      <c r="H59" s="287">
        <f t="shared" ca="1" si="19"/>
        <v>0.71974773150762217</v>
      </c>
      <c r="I59" s="287">
        <f t="shared" ca="1" si="19"/>
        <v>0.97732076095043074</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4.1499999999999995</v>
      </c>
      <c r="E64" s="285">
        <f t="shared" ca="1" si="20"/>
        <v>5.2960267080726799</v>
      </c>
      <c r="F64" s="285">
        <f t="shared" ca="1" si="20"/>
        <v>5.7835217142144479</v>
      </c>
      <c r="G64" s="285">
        <f t="shared" ca="1" si="20"/>
        <v>6.2135602978829674</v>
      </c>
      <c r="H64" s="285">
        <f t="shared" ca="1" si="20"/>
        <v>6.3565472077483864</v>
      </c>
      <c r="I64" s="285">
        <f t="shared" ca="1" si="20"/>
        <v>6.6099313835474103</v>
      </c>
      <c r="K64" s="63"/>
      <c r="L64" s="63"/>
    </row>
    <row r="65" spans="1:20" ht="12.75" customHeight="1" outlineLevel="1">
      <c r="A65" s="61" t="s">
        <v>69</v>
      </c>
      <c r="B65" s="285">
        <f t="shared" ca="1" si="20"/>
        <v>0</v>
      </c>
      <c r="C65" s="285">
        <f t="shared" ca="1" si="20"/>
        <v>0</v>
      </c>
      <c r="D65" s="285">
        <f t="shared" ca="1" si="20"/>
        <v>5.2999999999999999E-2</v>
      </c>
      <c r="E65" s="285">
        <f t="shared" ca="1" si="20"/>
        <v>5.3562327788905462E-2</v>
      </c>
      <c r="F65" s="285">
        <f t="shared" ca="1" si="20"/>
        <v>5.4083372741551422E-2</v>
      </c>
      <c r="G65" s="285">
        <f t="shared" ca="1" si="20"/>
        <v>6.0598419891439277E-2</v>
      </c>
      <c r="H65" s="285">
        <f t="shared" ca="1" si="20"/>
        <v>6.5157204682790779E-2</v>
      </c>
      <c r="I65" s="285">
        <f t="shared" ca="1" si="20"/>
        <v>6.8669055733632009E-2</v>
      </c>
      <c r="K65" s="42"/>
      <c r="L65" s="21"/>
    </row>
    <row r="66" spans="1:20" s="759" customFormat="1" ht="12.75" customHeight="1" outlineLevel="1">
      <c r="A66" s="61" t="s">
        <v>646</v>
      </c>
      <c r="B66" s="285">
        <f t="shared" ref="B66:I66" ca="1" si="21">+B44+B32+B55</f>
        <v>0</v>
      </c>
      <c r="C66" s="285">
        <f t="shared" ca="1" si="21"/>
        <v>0</v>
      </c>
      <c r="D66" s="285">
        <f t="shared" ca="1" si="21"/>
        <v>11.552</v>
      </c>
      <c r="E66" s="285">
        <f t="shared" ca="1" si="21"/>
        <v>11.732939069255149</v>
      </c>
      <c r="F66" s="285">
        <f t="shared" ca="1" si="21"/>
        <v>11.90631042278403</v>
      </c>
      <c r="G66" s="285">
        <f t="shared" ca="1" si="21"/>
        <v>12.127873950794507</v>
      </c>
      <c r="H66" s="285">
        <f t="shared" ca="1" si="21"/>
        <v>12.380642027493771</v>
      </c>
      <c r="I66" s="285">
        <f t="shared" ca="1" si="21"/>
        <v>12.651726790689009</v>
      </c>
      <c r="K66" s="42"/>
      <c r="L66" s="732"/>
    </row>
    <row r="67" spans="1:20" ht="12.75" customHeight="1" outlineLevel="1">
      <c r="A67" s="61" t="s">
        <v>647</v>
      </c>
      <c r="B67" s="285">
        <f t="shared" ref="B67:I67" ca="1" si="22">+B45+B33+B56</f>
        <v>0</v>
      </c>
      <c r="C67" s="285">
        <f t="shared" ca="1" si="22"/>
        <v>0</v>
      </c>
      <c r="D67" s="285">
        <f t="shared" ca="1" si="22"/>
        <v>-0.81600000000000006</v>
      </c>
      <c r="E67" s="285">
        <f t="shared" ca="1" si="22"/>
        <v>-0.62678101458727531</v>
      </c>
      <c r="F67" s="285">
        <f t="shared" ca="1" si="22"/>
        <v>-0.64902746753737628</v>
      </c>
      <c r="G67" s="285">
        <f t="shared" ca="1" si="22"/>
        <v>-0.55767807685667581</v>
      </c>
      <c r="H67" s="285">
        <f t="shared" ca="1" si="22"/>
        <v>-0.57853288559859062</v>
      </c>
      <c r="I67" s="285">
        <f t="shared" ca="1" si="22"/>
        <v>-0.59268153230628751</v>
      </c>
      <c r="K67" s="42"/>
      <c r="L67" s="21"/>
    </row>
    <row r="68" spans="1:20" s="759" customFormat="1" ht="12.75" customHeight="1" outlineLevel="1">
      <c r="A68" s="61" t="s">
        <v>575</v>
      </c>
      <c r="B68" s="285">
        <f t="shared" ref="B68:I68" ca="1" si="23">+B46+B34+B57</f>
        <v>0</v>
      </c>
      <c r="C68" s="285">
        <f t="shared" ca="1" si="23"/>
        <v>0</v>
      </c>
      <c r="D68" s="285">
        <f t="shared" ca="1" si="23"/>
        <v>-7.3999999999999996E-2</v>
      </c>
      <c r="E68" s="285">
        <f t="shared" ca="1" si="23"/>
        <v>-7.6389873830693594E-2</v>
      </c>
      <c r="F68" s="285">
        <f t="shared" ca="1" si="23"/>
        <v>-7.8788098036594978E-2</v>
      </c>
      <c r="G68" s="285">
        <f t="shared" ca="1" si="23"/>
        <v>-8.1338665552611961E-2</v>
      </c>
      <c r="H68" s="285">
        <f t="shared" ca="1" si="23"/>
        <v>-8.4030962258645925E-2</v>
      </c>
      <c r="I68" s="285">
        <f t="shared" ca="1" si="23"/>
        <v>-8.6730342742773109E-2</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14.864999999999998</v>
      </c>
      <c r="E70" s="295">
        <f t="shared" ca="1" si="25"/>
        <v>16.379357216698768</v>
      </c>
      <c r="F70" s="295">
        <f t="shared" ca="1" si="25"/>
        <v>17.016099944166058</v>
      </c>
      <c r="G70" s="295">
        <f t="shared" ca="1" si="25"/>
        <v>17.763015926159628</v>
      </c>
      <c r="H70" s="295">
        <f t="shared" ca="1" si="25"/>
        <v>18.139782592067711</v>
      </c>
      <c r="I70" s="295">
        <f t="shared" ca="1" si="25"/>
        <v>18.650915354920993</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4.4031326867125749E-2</v>
      </c>
      <c r="Q77" s="285">
        <f ca="1">IF($B77&lt;&gt;0,(+VLOOKUP($B77,$A$8:$I$13,6,FALSE))*(F77),0)</f>
        <v>8.4830129762988746E-2</v>
      </c>
      <c r="R77" s="285">
        <f ca="1">IF($B77&lt;&gt;0,(+VLOOKUP($B77,$A$8:$I$13,7,FALSE))*(G77),0)</f>
        <v>0.12515929338628334</v>
      </c>
      <c r="S77" s="285">
        <f ca="1">IF($B77&lt;&gt;0,(+VLOOKUP($B77,$A$8:$I$13,8,FALSE))*(H77),0)</f>
        <v>0.16891319686003212</v>
      </c>
      <c r="T77" s="285">
        <f ca="1">IF($B77&lt;&gt;0,(+VLOOKUP($B77,$A$8:$I$13,9,FALSE))*(I77),0)</f>
        <v>0.20899209989760073</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5.6232778890546141E-4</v>
      </c>
      <c r="Q78" s="285">
        <f ca="1">IF($B78&lt;&gt;0,(+VLOOKUP($B78,$A$8:$I$13,6,FALSE))*(F78),0)</f>
        <v>1.0833727415514227E-3</v>
      </c>
      <c r="R78" s="285">
        <f ca="1">IF($B78&lt;&gt;0,(+VLOOKUP($B78,$A$8:$I$13,7,FALSE))*(G78),0)</f>
        <v>1.5984198914392816E-3</v>
      </c>
      <c r="S78" s="285">
        <f ca="1">IF($B78&lt;&gt;0,(+VLOOKUP($B78,$A$8:$I$13,8,FALSE))*(H78),0)</f>
        <v>2.1572046827907716E-3</v>
      </c>
      <c r="T78" s="285">
        <f ca="1">IF($B78&lt;&gt;0,(+VLOOKUP($B78,$A$8:$I$13,9,FALSE))*(I78),0)</f>
        <v>2.6690557336320093E-3</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0.12256623806482811</v>
      </c>
      <c r="Q79" s="285">
        <f t="shared" ref="Q79:Q80" ca="1" si="34">IF($B79&lt;&gt;0,(+VLOOKUP($B79,$A$8:$I$13,6,FALSE))*(F79),0)</f>
        <v>0.23613437566796291</v>
      </c>
      <c r="R79" s="285">
        <f t="shared" ref="R79:R80" ca="1" si="35">IF($B79&lt;&gt;0,(+VLOOKUP($B79,$A$8:$I$13,7,FALSE))*(G79),0)</f>
        <v>0.34839521860201095</v>
      </c>
      <c r="S79" s="285">
        <f t="shared" ref="S79:S80" ca="1" si="36">IF($B79&lt;&gt;0,(+VLOOKUP($B79,$A$8:$I$13,8,FALSE))*(H79),0)</f>
        <v>0.47018921689809423</v>
      </c>
      <c r="T79" s="285">
        <f t="shared" ref="T79:T80" ca="1" si="37">IF($B79&lt;&gt;0,(+VLOOKUP($B79,$A$8:$I$13,9,FALSE))*(I79),0)</f>
        <v>0.58175343084749009</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-8.6577259574878596E-3</v>
      </c>
      <c r="Q80" s="285">
        <f t="shared" ca="1" si="34"/>
        <v>-1.6679852020867188E-2</v>
      </c>
      <c r="R80" s="285">
        <f t="shared" ca="1" si="35"/>
        <v>-2.4609634554989695E-2</v>
      </c>
      <c r="S80" s="285">
        <f t="shared" ca="1" si="36"/>
        <v>-3.3212811719948492E-2</v>
      </c>
      <c r="T80" s="285">
        <f t="shared" ca="1" si="37"/>
        <v>-4.1093386389504147E-2</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-7.8513691281139892E-4</v>
      </c>
      <c r="Q81" s="285">
        <f ca="1">IF($B81&lt;&gt;0,(+VLOOKUP($B81,$A$8:$I$13,6,FALSE))*(F81),0)</f>
        <v>-1.5126336391472694E-3</v>
      </c>
      <c r="R81" s="285">
        <f ca="1">IF($B81&lt;&gt;0,(+VLOOKUP($B81,$A$8:$I$13,7,FALSE))*(G81),0)</f>
        <v>-2.2317560748397513E-3</v>
      </c>
      <c r="S81" s="285">
        <f ca="1">IF($B81&lt;&gt;0,(+VLOOKUP($B81,$A$8:$I$13,8,FALSE))*(H81),0)</f>
        <v>-3.0119461608776811E-3</v>
      </c>
      <c r="T81" s="285">
        <f ca="1">IF($B81&lt;&gt;0,(+VLOOKUP($B81,$A$8:$I$13,9,FALSE))*(I81),0)</f>
        <v>-3.7266061186560133E-3</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0.15771702985056005</v>
      </c>
      <c r="Q83" s="292">
        <f t="shared" ca="1" si="51"/>
        <v>0.30385539251248861</v>
      </c>
      <c r="R83" s="292">
        <f t="shared" ca="1" si="51"/>
        <v>0.44831154124990408</v>
      </c>
      <c r="S83" s="292">
        <f t="shared" ca="1" si="51"/>
        <v>0.60503486056009104</v>
      </c>
      <c r="T83" s="292">
        <f t="shared" ca="1" si="51"/>
        <v>0.74859459397056272</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4.4031326867125749E-2</v>
      </c>
      <c r="F98" s="285">
        <f t="shared" ca="1" si="54"/>
        <v>8.4830129762988746E-2</v>
      </c>
      <c r="G98" s="285">
        <f t="shared" ca="1" si="54"/>
        <v>0.12515929338628334</v>
      </c>
      <c r="H98" s="285">
        <f t="shared" ca="1" si="54"/>
        <v>0.16891319686003212</v>
      </c>
      <c r="I98" s="285">
        <f t="shared" ca="1" si="54"/>
        <v>0.20899209989760073</v>
      </c>
    </row>
    <row r="99" spans="1:20" outlineLevel="1">
      <c r="A99" s="61" t="s">
        <v>69</v>
      </c>
      <c r="B99" s="119"/>
      <c r="C99" s="285">
        <f t="shared" ref="C99:I99" ca="1" si="55">+C9*(C87)</f>
        <v>0</v>
      </c>
      <c r="D99" s="285">
        <f t="shared" ca="1" si="55"/>
        <v>0</v>
      </c>
      <c r="E99" s="285">
        <f t="shared" ca="1" si="55"/>
        <v>5.6232778890546141E-4</v>
      </c>
      <c r="F99" s="285">
        <f t="shared" ca="1" si="55"/>
        <v>1.0833727415514227E-3</v>
      </c>
      <c r="G99" s="285">
        <f t="shared" ca="1" si="55"/>
        <v>1.5984198914392816E-3</v>
      </c>
      <c r="H99" s="285">
        <f t="shared" ca="1" si="55"/>
        <v>2.1572046827907716E-3</v>
      </c>
      <c r="I99" s="285">
        <f t="shared" ca="1" si="55"/>
        <v>2.6690557336320093E-3</v>
      </c>
    </row>
    <row r="100" spans="1:20" s="759" customFormat="1" outlineLevel="1">
      <c r="A100" s="61" t="s">
        <v>646</v>
      </c>
      <c r="B100" s="119"/>
      <c r="C100" s="285">
        <f t="shared" ref="C100:I100" ca="1" si="56">+C10*(C88)</f>
        <v>0</v>
      </c>
      <c r="D100" s="285">
        <f t="shared" ca="1" si="56"/>
        <v>0</v>
      </c>
      <c r="E100" s="285">
        <f t="shared" ca="1" si="56"/>
        <v>0.12256623806482811</v>
      </c>
      <c r="F100" s="285">
        <f t="shared" ca="1" si="56"/>
        <v>0.23613437566796291</v>
      </c>
      <c r="G100" s="285">
        <f t="shared" ca="1" si="56"/>
        <v>0.34839521860201095</v>
      </c>
      <c r="H100" s="285">
        <f t="shared" ca="1" si="56"/>
        <v>0.47018921689809423</v>
      </c>
      <c r="I100" s="285">
        <f t="shared" ca="1" si="56"/>
        <v>0.58175343084749009</v>
      </c>
    </row>
    <row r="101" spans="1:20" outlineLevel="1">
      <c r="A101" s="61" t="s">
        <v>647</v>
      </c>
      <c r="B101" s="119"/>
      <c r="C101" s="285">
        <f t="shared" ref="C101:I101" ca="1" si="57">+C11*(C89)</f>
        <v>0</v>
      </c>
      <c r="D101" s="285">
        <f t="shared" ca="1" si="57"/>
        <v>0</v>
      </c>
      <c r="E101" s="285">
        <f t="shared" ca="1" si="57"/>
        <v>-8.6577259574878596E-3</v>
      </c>
      <c r="F101" s="285">
        <f t="shared" ca="1" si="57"/>
        <v>-1.6679852020867188E-2</v>
      </c>
      <c r="G101" s="285">
        <f t="shared" ca="1" si="57"/>
        <v>-2.4609634554989695E-2</v>
      </c>
      <c r="H101" s="285">
        <f t="shared" ca="1" si="57"/>
        <v>-3.3212811719948492E-2</v>
      </c>
      <c r="I101" s="285">
        <f t="shared" ca="1" si="57"/>
        <v>-4.1093386389504147E-2</v>
      </c>
    </row>
    <row r="102" spans="1:20" s="759" customFormat="1" outlineLevel="1">
      <c r="A102" s="61" t="s">
        <v>575</v>
      </c>
      <c r="B102" s="119"/>
      <c r="C102" s="285">
        <f t="shared" ref="C102:I102" ca="1" si="58">+C12*(C90)</f>
        <v>0</v>
      </c>
      <c r="D102" s="285">
        <f t="shared" ca="1" si="58"/>
        <v>0</v>
      </c>
      <c r="E102" s="285">
        <f t="shared" ca="1" si="58"/>
        <v>-7.8513691281139892E-4</v>
      </c>
      <c r="F102" s="285">
        <f t="shared" ca="1" si="58"/>
        <v>-1.5126336391472694E-3</v>
      </c>
      <c r="G102" s="285">
        <f t="shared" ca="1" si="58"/>
        <v>-2.2317560748397513E-3</v>
      </c>
      <c r="H102" s="285">
        <f t="shared" ca="1" si="58"/>
        <v>-3.0119461608776811E-3</v>
      </c>
      <c r="I102" s="285">
        <f t="shared" ca="1" si="58"/>
        <v>-3.7266061186560133E-3</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0.15771702985056005</v>
      </c>
      <c r="F104" s="296">
        <f t="shared" ca="1" si="60"/>
        <v>0.30385539251248861</v>
      </c>
      <c r="G104" s="296">
        <f t="shared" ca="1" si="60"/>
        <v>0.44831154124990408</v>
      </c>
      <c r="H104" s="296">
        <f t="shared" ca="1" si="60"/>
        <v>0.60503486056009104</v>
      </c>
      <c r="I104" s="296">
        <f t="shared" ca="1" si="60"/>
        <v>0.74859459397056272</v>
      </c>
    </row>
    <row r="105" spans="1:20" ht="13.5" outlineLevel="1" thickBot="1">
      <c r="A105" s="122" t="s">
        <v>143</v>
      </c>
      <c r="B105" s="123"/>
      <c r="C105" s="124">
        <f t="shared" ref="C105:I105" ca="1" si="61">IF(C36&lt;&gt;0,+C104/C36,0)</f>
        <v>0</v>
      </c>
      <c r="D105" s="124">
        <f t="shared" ca="1" si="61"/>
        <v>0</v>
      </c>
      <c r="E105" s="124">
        <f t="shared" ca="1" si="61"/>
        <v>9.8088830058187752E-3</v>
      </c>
      <c r="F105" s="124">
        <f t="shared" ca="1" si="61"/>
        <v>1.850294680991893E-2</v>
      </c>
      <c r="G105" s="124">
        <f t="shared" ca="1" si="61"/>
        <v>2.6650311571151119E-2</v>
      </c>
      <c r="H105" s="124">
        <f t="shared" ca="1" si="61"/>
        <v>3.598185314065365E-2</v>
      </c>
      <c r="I105" s="124">
        <f t="shared" ca="1" si="61"/>
        <v>4.4230108949516268E-2</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8.9995381205555558E-2</v>
      </c>
      <c r="Q113" s="285">
        <f ca="1">IF($B113&lt;&gt;0,(+VLOOKUP($B113,$A$8:$I$13,6,FALSE)+VLOOKUP($B113,$A$42:$I$47,6,FALSE))*(F113),0)</f>
        <v>0.18369158445145922</v>
      </c>
      <c r="R113" s="285">
        <f ca="1">IF($B113&lt;&gt;0,(+VLOOKUP($B113,$A$8:$I$13,7,FALSE)+VLOOKUP($B113,$A$42:$I$47,7,FALSE))*(G113),0)</f>
        <v>0.28640100449668482</v>
      </c>
      <c r="S113" s="285">
        <f ca="1">IF($B113&lt;&gt;0,(+VLOOKUP($B113,$A$8:$I$13,8,FALSE)+VLOOKUP($B113,$A$42:$I$47,8,FALSE))*(H113),0)</f>
        <v>0.39363401088835437</v>
      </c>
      <c r="T113" s="285">
        <f ca="1">IF($B113&lt;&gt;0,(+VLOOKUP($B113,$A$8:$I$13,9,FALSE)+VLOOKUP($B113,$A$42:$I$47,9,FALSE))*(I113),0)</f>
        <v>0.50493928364981056</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ca="1">IF($B114&lt;&gt;0,(+VLOOKUP($B114,$A$8:$I$13,4,FALSE)+VLOOKUP($B114,$A$42:$I$47,4,FALSE))*(D114),0)</f>
        <v>0</v>
      </c>
      <c r="P114" s="285">
        <f t="shared" ref="P114:P118" ca="1" si="66">IF($B114&lt;&gt;0,(+VLOOKUP($B114,$A$8:$I$13,5,FALSE)+VLOOKUP($B114,$A$42:$I$47,5,FALSE))*(E114),0)</f>
        <v>0</v>
      </c>
      <c r="Q114" s="285">
        <f t="shared" ref="Q114:Q118" ca="1" si="67">IF($B114&lt;&gt;0,(+VLOOKUP($B114,$A$8:$I$13,6,FALSE)+VLOOKUP($B114,$A$42:$I$47,6,FALSE))*(F114),0)</f>
        <v>0</v>
      </c>
      <c r="R114" s="285">
        <f t="shared" ref="R114:R118" ca="1" si="68">IF($B114&lt;&gt;0,(+VLOOKUP($B114,$A$8:$I$13,7,FALSE)+VLOOKUP($B114,$A$42:$I$47,7,FALSE))*(G114),0)</f>
        <v>0</v>
      </c>
      <c r="S114" s="285">
        <f t="shared" ref="S114:S118" ca="1" si="69">IF($B114&lt;&gt;0,(+VLOOKUP($B114,$A$8:$I$13,8,FALSE)+VLOOKUP($B114,$A$42:$I$47,8,FALSE))*(H114),0)</f>
        <v>0</v>
      </c>
      <c r="T114" s="285">
        <f t="shared" ref="T114:T118" ca="1" si="70">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6"/>
        <v>5.8372831190322889E-2</v>
      </c>
      <c r="Q115" s="285">
        <f t="shared" ca="1" si="67"/>
        <v>0.11817604711606812</v>
      </c>
      <c r="R115" s="285">
        <f t="shared" ca="1" si="68"/>
        <v>0.22747873219249584</v>
      </c>
      <c r="S115" s="285">
        <f t="shared" ca="1" si="69"/>
        <v>0.35845281059567813</v>
      </c>
      <c r="T115" s="285">
        <f t="shared" ca="1" si="70"/>
        <v>0.51797335984152049</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ref="O116:O118" ca="1" si="71">IF($B116&lt;&gt;0,(+VLOOKUP($B116,$A$8:$I$13,4,FALSE)+VLOOKUP($B116,$A$42:$I$47,4,FALSE))*(D116),0)</f>
        <v>0</v>
      </c>
      <c r="P116" s="285">
        <f t="shared" ca="1" si="66"/>
        <v>-4.1232886297873517E-3</v>
      </c>
      <c r="Q116" s="285">
        <f t="shared" ca="1" si="67"/>
        <v>-8.3476155165089685E-3</v>
      </c>
      <c r="R116" s="285">
        <f t="shared" ca="1" si="68"/>
        <v>-1.6068442301685994E-2</v>
      </c>
      <c r="S116" s="285">
        <f t="shared" ca="1" si="69"/>
        <v>-2.5320073878642088E-2</v>
      </c>
      <c r="T116" s="285">
        <f t="shared" ca="1" si="70"/>
        <v>-3.6588145916783305E-2</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71"/>
        <v>0</v>
      </c>
      <c r="P117" s="285">
        <f t="shared" ca="1" si="66"/>
        <v>-1.6047369178821957E-3</v>
      </c>
      <c r="Q117" s="285">
        <f t="shared" ca="1" si="67"/>
        <v>-3.2754643974477072E-3</v>
      </c>
      <c r="R117" s="285">
        <f t="shared" ca="1" si="68"/>
        <v>-5.1069094777722113E-3</v>
      </c>
      <c r="S117" s="285">
        <f t="shared" ca="1" si="69"/>
        <v>-7.0190160977682478E-3</v>
      </c>
      <c r="T117" s="285">
        <f t="shared" ca="1" si="70"/>
        <v>-9.0037366241171052E-3</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71"/>
        <v>0</v>
      </c>
      <c r="P118" s="285">
        <f t="shared" ca="1" si="66"/>
        <v>0</v>
      </c>
      <c r="Q118" s="285">
        <f t="shared" ca="1" si="67"/>
        <v>0</v>
      </c>
      <c r="R118" s="285">
        <f t="shared" ca="1" si="68"/>
        <v>0</v>
      </c>
      <c r="S118" s="285">
        <f t="shared" ca="1" si="69"/>
        <v>0</v>
      </c>
      <c r="T118" s="285">
        <f t="shared" ca="1" si="70"/>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0.14264018684820889</v>
      </c>
      <c r="Q119" s="292">
        <f t="shared" ca="1" si="72"/>
        <v>0.29024455165357066</v>
      </c>
      <c r="R119" s="292">
        <f t="shared" ca="1" si="72"/>
        <v>0.49270438490972246</v>
      </c>
      <c r="S119" s="292">
        <f t="shared" ca="1" si="72"/>
        <v>0.71974773150762217</v>
      </c>
      <c r="T119" s="292">
        <f t="shared" ca="1" si="72"/>
        <v>0.97732076095043074</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8.9995381205555558E-2</v>
      </c>
      <c r="F134" s="285">
        <f t="shared" ca="1" si="75"/>
        <v>0.18369158445145922</v>
      </c>
      <c r="G134" s="285">
        <f t="shared" ca="1" si="75"/>
        <v>0.28640100449668482</v>
      </c>
      <c r="H134" s="285">
        <f t="shared" ca="1" si="75"/>
        <v>0.39363401088835437</v>
      </c>
      <c r="I134" s="285">
        <f t="shared" ca="1" si="75"/>
        <v>0.50493928364981056</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5.8372831190322889E-2</v>
      </c>
      <c r="F136" s="285">
        <f t="shared" ca="1" si="77"/>
        <v>0.11817604711606812</v>
      </c>
      <c r="G136" s="285">
        <f t="shared" ca="1" si="77"/>
        <v>0.22747873219249584</v>
      </c>
      <c r="H136" s="285">
        <f t="shared" ca="1" si="77"/>
        <v>0.35845281059567813</v>
      </c>
      <c r="I136" s="285">
        <f t="shared" ca="1" si="77"/>
        <v>0.51797335984152049</v>
      </c>
    </row>
    <row r="137" spans="1:16" outlineLevel="1">
      <c r="A137" s="61" t="s">
        <v>647</v>
      </c>
      <c r="B137" s="119"/>
      <c r="C137" s="285">
        <f ca="1">(+C11+C45)*(C$125)</f>
        <v>0</v>
      </c>
      <c r="D137" s="285">
        <f t="shared" ref="D137:I137" ca="1" si="78">(+D11+D45)*(D$125)</f>
        <v>0</v>
      </c>
      <c r="E137" s="285">
        <f t="shared" ca="1" si="78"/>
        <v>-4.1232886297873517E-3</v>
      </c>
      <c r="F137" s="285">
        <f t="shared" ca="1" si="78"/>
        <v>-8.3476155165089685E-3</v>
      </c>
      <c r="G137" s="285">
        <f t="shared" ca="1" si="78"/>
        <v>-1.6068442301685994E-2</v>
      </c>
      <c r="H137" s="285">
        <f t="shared" ca="1" si="78"/>
        <v>-2.5320073878642088E-2</v>
      </c>
      <c r="I137" s="285">
        <f t="shared" ca="1" si="78"/>
        <v>-3.6588145916783305E-2</v>
      </c>
    </row>
    <row r="138" spans="1:16" s="759" customFormat="1" outlineLevel="1">
      <c r="A138" s="61" t="s">
        <v>575</v>
      </c>
      <c r="B138" s="119"/>
      <c r="C138" s="285">
        <f ca="1">(+C12+C46)*(C$126)</f>
        <v>0</v>
      </c>
      <c r="D138" s="285">
        <f t="shared" ref="D138:I138" ca="1" si="79">(+D12+D46)*(D$126)</f>
        <v>0</v>
      </c>
      <c r="E138" s="285">
        <f t="shared" ca="1" si="79"/>
        <v>-1.6047369178821957E-3</v>
      </c>
      <c r="F138" s="285">
        <f t="shared" ca="1" si="79"/>
        <v>-3.2754643974477072E-3</v>
      </c>
      <c r="G138" s="285">
        <f t="shared" ca="1" si="79"/>
        <v>-5.1069094777722113E-3</v>
      </c>
      <c r="H138" s="285">
        <f t="shared" ca="1" si="79"/>
        <v>-7.0190160977682478E-3</v>
      </c>
      <c r="I138" s="285">
        <f t="shared" ca="1" si="79"/>
        <v>-9.0037366241171052E-3</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0.14264018684820889</v>
      </c>
      <c r="F140" s="296">
        <f t="shared" ca="1" si="81"/>
        <v>0.29024455165357066</v>
      </c>
      <c r="G140" s="296">
        <f t="shared" ca="1" si="81"/>
        <v>0.49270438490972246</v>
      </c>
      <c r="H140" s="296">
        <f t="shared" ca="1" si="81"/>
        <v>0.71974773150762217</v>
      </c>
      <c r="I140" s="296">
        <f t="shared" ca="1" si="81"/>
        <v>0.97732076095043074</v>
      </c>
    </row>
    <row r="141" spans="1:16" ht="13.5" outlineLevel="1" thickBot="1">
      <c r="A141" s="122" t="s">
        <v>148</v>
      </c>
      <c r="B141" s="126"/>
      <c r="C141" s="124">
        <f t="shared" ref="C141:I141" ca="1" si="82">IF((+C36+C48)&lt;&gt;0,+C140/(+C36+C48),0)</f>
        <v>0</v>
      </c>
      <c r="D141" s="124">
        <f t="shared" ca="1" si="82"/>
        <v>0</v>
      </c>
      <c r="E141" s="124">
        <f t="shared" ca="1" si="82"/>
        <v>8.7850386618163398E-3</v>
      </c>
      <c r="F141" s="124">
        <f t="shared" ca="1" si="82"/>
        <v>1.7353046815381523E-2</v>
      </c>
      <c r="G141" s="124">
        <f t="shared" ca="1" si="82"/>
        <v>2.8528980715426283E-2</v>
      </c>
      <c r="H141" s="124">
        <f t="shared" ca="1" si="82"/>
        <v>4.1317238298826275E-2</v>
      </c>
      <c r="I141" s="124">
        <f t="shared" ca="1" si="82"/>
        <v>5.52983579969549E-2</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1.012</v>
      </c>
      <c r="F149" s="285">
        <f t="shared" si="84"/>
        <v>1.365</v>
      </c>
      <c r="G149" s="285">
        <f t="shared" si="84"/>
        <v>1.6520000000000001</v>
      </c>
      <c r="H149" s="285">
        <f t="shared" si="84"/>
        <v>1.6440000000000001</v>
      </c>
      <c r="I149" s="285">
        <f t="shared" si="84"/>
        <v>1.746</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6.0000000000000001E-3</v>
      </c>
      <c r="H150" s="285">
        <f t="shared" si="85"/>
        <v>0.01</v>
      </c>
      <c r="I150" s="285">
        <f t="shared" si="85"/>
        <v>1.2999999999999999E-2</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0</v>
      </c>
      <c r="E152" s="285">
        <f t="shared" si="85"/>
        <v>0.20200000000000001</v>
      </c>
      <c r="F152" s="285">
        <f t="shared" si="85"/>
        <v>0.192</v>
      </c>
      <c r="G152" s="285">
        <f t="shared" si="85"/>
        <v>0.29899999999999999</v>
      </c>
      <c r="H152" s="285">
        <f t="shared" si="85"/>
        <v>0.29599999999999999</v>
      </c>
      <c r="I152" s="285">
        <f t="shared" si="85"/>
        <v>0.30099999999999999</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0</v>
      </c>
      <c r="E155" s="296">
        <f t="shared" si="86"/>
        <v>1.214</v>
      </c>
      <c r="F155" s="296">
        <f t="shared" si="86"/>
        <v>1.5569999999999999</v>
      </c>
      <c r="G155" s="296">
        <f t="shared" si="86"/>
        <v>1.9570000000000001</v>
      </c>
      <c r="H155" s="296">
        <f t="shared" si="86"/>
        <v>1.9500000000000002</v>
      </c>
      <c r="I155" s="296">
        <f t="shared" si="86"/>
        <v>2.06</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0</v>
      </c>
      <c r="E160" s="285">
        <f t="shared" ca="1" si="88"/>
        <v>1.214</v>
      </c>
      <c r="F160" s="285">
        <f t="shared" ca="1" si="88"/>
        <v>1.5569999999999999</v>
      </c>
      <c r="G160" s="285">
        <f t="shared" ca="1" si="88"/>
        <v>1.9570000000000001</v>
      </c>
      <c r="H160" s="285">
        <f t="shared" ca="1" si="88"/>
        <v>1.9500000000000002</v>
      </c>
      <c r="I160" s="285">
        <f t="shared" ca="1" si="88"/>
        <v>2.06</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0</v>
      </c>
      <c r="E170" s="296">
        <f t="shared" ca="1" si="93"/>
        <v>1.214</v>
      </c>
      <c r="F170" s="296">
        <f t="shared" ca="1" si="93"/>
        <v>1.5569999999999999</v>
      </c>
      <c r="G170" s="296">
        <f t="shared" ca="1" si="93"/>
        <v>1.9570000000000001</v>
      </c>
      <c r="H170" s="296">
        <f t="shared" ca="1" si="93"/>
        <v>1.9500000000000002</v>
      </c>
      <c r="I170" s="296">
        <f t="shared" ca="1" si="93"/>
        <v>2.06</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62"/>
      <c r="D185" s="285"/>
      <c r="E185" s="285">
        <f>'[2]DA-23'!H67+'[2]DA-23'!H39</f>
        <v>1.012</v>
      </c>
      <c r="F185" s="285">
        <f>'[2]DA-23'!I67+'[2]DA-23'!I39</f>
        <v>1.365</v>
      </c>
      <c r="G185" s="285">
        <f>'[2]DA-23'!J67+'[2]DA-23'!J39</f>
        <v>1.6520000000000001</v>
      </c>
      <c r="H185" s="285">
        <f>'[2]DA-23'!K67+'[2]DA-23'!K39</f>
        <v>1.6440000000000001</v>
      </c>
      <c r="I185" s="285">
        <f>'[2]DA-23'!L67+'[2]DA-23'!L39</f>
        <v>1.746</v>
      </c>
      <c r="J185" s="63"/>
      <c r="K185" s="63"/>
      <c r="L185" s="63"/>
    </row>
    <row r="186" spans="1:12" outlineLevel="1">
      <c r="A186" s="61" t="s">
        <v>69</v>
      </c>
      <c r="B186" s="65"/>
      <c r="C186" s="65"/>
      <c r="D186" s="285"/>
      <c r="E186" s="285">
        <f>'[2]DA-23'!H69</f>
        <v>0</v>
      </c>
      <c r="F186" s="285">
        <f>'[2]DA-23'!I69</f>
        <v>0</v>
      </c>
      <c r="G186" s="285">
        <f>'[2]DA-23'!J69</f>
        <v>6.0000000000000001E-3</v>
      </c>
      <c r="H186" s="285">
        <f>'[2]DA-23'!K69</f>
        <v>0.01</v>
      </c>
      <c r="I186" s="285">
        <f>'[2]DA-23'!L69</f>
        <v>1.2999999999999999E-2</v>
      </c>
      <c r="J186" s="42"/>
      <c r="K186" s="21"/>
      <c r="L186" s="21"/>
    </row>
    <row r="187" spans="1:12" s="759" customFormat="1" outlineLevel="1">
      <c r="A187" s="61" t="s">
        <v>646</v>
      </c>
      <c r="B187" s="65"/>
      <c r="C187" s="65"/>
      <c r="D187" s="285"/>
      <c r="E187" s="285"/>
      <c r="F187" s="285"/>
      <c r="G187" s="285"/>
      <c r="H187" s="285"/>
      <c r="I187" s="285"/>
      <c r="J187" s="42"/>
      <c r="K187" s="732"/>
      <c r="L187" s="732"/>
    </row>
    <row r="188" spans="1:12" outlineLevel="1">
      <c r="A188" s="61" t="s">
        <v>647</v>
      </c>
      <c r="B188" s="65"/>
      <c r="C188" s="598">
        <v>0</v>
      </c>
      <c r="D188" s="285"/>
      <c r="E188" s="285">
        <f>'[2]DA-23'!H71</f>
        <v>0.20200000000000001</v>
      </c>
      <c r="F188" s="285">
        <f>'[2]DA-23'!I71</f>
        <v>0.192</v>
      </c>
      <c r="G188" s="285">
        <f>'[2]DA-23'!J71</f>
        <v>0.29899999999999999</v>
      </c>
      <c r="H188" s="285">
        <f>'[2]DA-23'!K71</f>
        <v>0.29599999999999999</v>
      </c>
      <c r="I188" s="285">
        <f>'[2]DA-23'!L71</f>
        <v>0.30099999999999999</v>
      </c>
      <c r="J188" s="42"/>
      <c r="K188" s="21"/>
      <c r="L188" s="21"/>
    </row>
    <row r="189" spans="1:12" s="759" customFormat="1" outlineLevel="1">
      <c r="A189" s="61" t="s">
        <v>575</v>
      </c>
      <c r="B189" s="65"/>
      <c r="C189" s="598"/>
      <c r="D189" s="285"/>
      <c r="E189" s="285"/>
      <c r="F189" s="285"/>
      <c r="G189" s="285"/>
      <c r="H189" s="285"/>
      <c r="I189" s="285"/>
      <c r="J189" s="42"/>
      <c r="K189" s="732"/>
      <c r="L189" s="732"/>
    </row>
    <row r="190" spans="1:12" outlineLevel="1">
      <c r="A190" s="83" t="s">
        <v>70</v>
      </c>
      <c r="B190" s="65"/>
      <c r="C190" s="65"/>
      <c r="D190" s="285"/>
      <c r="E190" s="285"/>
      <c r="F190" s="285"/>
      <c r="G190" s="285"/>
      <c r="H190" s="285"/>
      <c r="I190" s="285"/>
      <c r="J190" s="42"/>
      <c r="K190" s="21"/>
      <c r="L190" s="21"/>
    </row>
    <row r="191" spans="1:12" outlineLevel="1">
      <c r="A191" s="129" t="s">
        <v>154</v>
      </c>
      <c r="B191" s="132"/>
      <c r="C191" s="296">
        <f t="shared" ref="C191:I191" si="94">SUM(C185:C190)</f>
        <v>0</v>
      </c>
      <c r="D191" s="296">
        <f t="shared" si="94"/>
        <v>0</v>
      </c>
      <c r="E191" s="296">
        <f t="shared" si="94"/>
        <v>1.214</v>
      </c>
      <c r="F191" s="296">
        <f t="shared" si="94"/>
        <v>1.5569999999999999</v>
      </c>
      <c r="G191" s="296">
        <f t="shared" si="94"/>
        <v>1.9570000000000001</v>
      </c>
      <c r="H191" s="296">
        <f t="shared" si="94"/>
        <v>1.9500000000000002</v>
      </c>
      <c r="I191" s="296">
        <f t="shared" si="94"/>
        <v>2.06</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14.864999999999998</v>
      </c>
      <c r="E205" s="82">
        <f t="shared" ca="1" si="95"/>
        <v>14.864999999999998</v>
      </c>
      <c r="F205" s="82">
        <f t="shared" ca="1" si="95"/>
        <v>14.864999999999998</v>
      </c>
      <c r="G205" s="82">
        <f t="shared" ca="1" si="95"/>
        <v>14.864999999999998</v>
      </c>
      <c r="H205" s="82">
        <f t="shared" ca="1" si="95"/>
        <v>14.864999999999998</v>
      </c>
      <c r="I205" s="82">
        <f t="shared" ca="1" si="95"/>
        <v>14.864999999999998</v>
      </c>
    </row>
    <row r="206" spans="1:9" outlineLevel="1">
      <c r="A206" t="s">
        <v>156</v>
      </c>
      <c r="B206" s="82">
        <f t="shared" ref="B206:I206" ca="1" si="96">+B36</f>
        <v>0</v>
      </c>
      <c r="C206" s="82">
        <f t="shared" ca="1" si="96"/>
        <v>0</v>
      </c>
      <c r="D206" s="82">
        <f t="shared" ca="1" si="96"/>
        <v>14.864999999999998</v>
      </c>
      <c r="E206" s="82">
        <f t="shared" ca="1" si="96"/>
        <v>16.078999999999997</v>
      </c>
      <c r="F206" s="82">
        <f t="shared" ca="1" si="96"/>
        <v>16.421999999999997</v>
      </c>
      <c r="G206" s="82">
        <f t="shared" ca="1" si="96"/>
        <v>16.821999999999999</v>
      </c>
      <c r="H206" s="82">
        <f t="shared" ca="1" si="96"/>
        <v>16.814999999999998</v>
      </c>
      <c r="I206" s="82">
        <f t="shared" ca="1" si="96"/>
        <v>16.924999999999997</v>
      </c>
    </row>
    <row r="207" spans="1:9" outlineLevel="1">
      <c r="A207" t="s">
        <v>157</v>
      </c>
      <c r="B207" s="82">
        <f t="shared" ref="B207:I207" ca="1" si="97">+B36+B48</f>
        <v>0</v>
      </c>
      <c r="C207" s="82">
        <f t="shared" ca="1" si="97"/>
        <v>0</v>
      </c>
      <c r="D207" s="82">
        <f t="shared" ca="1" si="97"/>
        <v>14.864999999999998</v>
      </c>
      <c r="E207" s="82">
        <f t="shared" ca="1" si="97"/>
        <v>16.236717029850556</v>
      </c>
      <c r="F207" s="82">
        <f t="shared" ca="1" si="97"/>
        <v>16.725855392512486</v>
      </c>
      <c r="G207" s="82">
        <f t="shared" ca="1" si="97"/>
        <v>17.270311541249903</v>
      </c>
      <c r="H207" s="82">
        <f t="shared" ca="1" si="97"/>
        <v>17.42003486056009</v>
      </c>
      <c r="I207" s="82">
        <f t="shared" ca="1" si="97"/>
        <v>17.673594593970559</v>
      </c>
    </row>
    <row r="208" spans="1:9" outlineLevel="1">
      <c r="A208" t="s">
        <v>158</v>
      </c>
      <c r="B208" s="82">
        <f t="shared" ref="B208:I208" ca="1" si="98">+B70</f>
        <v>0</v>
      </c>
      <c r="C208" s="82">
        <f t="shared" ca="1" si="98"/>
        <v>0</v>
      </c>
      <c r="D208" s="82">
        <f t="shared" ca="1" si="98"/>
        <v>14.864999999999998</v>
      </c>
      <c r="E208" s="82">
        <f t="shared" ca="1" si="98"/>
        <v>16.379357216698768</v>
      </c>
      <c r="F208" s="82">
        <f t="shared" ca="1" si="98"/>
        <v>17.016099944166058</v>
      </c>
      <c r="G208" s="82">
        <f t="shared" ca="1" si="98"/>
        <v>17.763015926159628</v>
      </c>
      <c r="H208" s="82">
        <f t="shared" ca="1" si="98"/>
        <v>18.139782592067711</v>
      </c>
      <c r="I208" s="82">
        <f t="shared" ca="1" si="98"/>
        <v>18.650915354920993</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63" priority="1" stopIfTrue="1" operator="notEqual">
      <formula>0</formula>
    </cfRule>
  </conditionalFormatting>
  <conditionalFormatting sqref="J130 J94 J70 J59 J48 J36:J37 J14 J25">
    <cfRule type="cellIs" dxfId="62" priority="2" stopIfTrue="1" operator="equal">
      <formula>"OK"</formula>
    </cfRule>
    <cfRule type="cellIs" dxfId="61" priority="3" stopIfTrue="1" operator="equal">
      <formula>"Warning Check Escalations"</formula>
    </cfRule>
  </conditionalFormatting>
  <conditionalFormatting sqref="N120:T120 N84:T84">
    <cfRule type="cellIs" dxfId="60" priority="4" stopIfTrue="1" operator="notEqual">
      <formula>0</formula>
    </cfRule>
    <cfRule type="cellIs" dxfId="59"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8.xml><?xml version="1.0" encoding="utf-8"?>
<worksheet xmlns="http://schemas.openxmlformats.org/spreadsheetml/2006/main" xmlns:r="http://schemas.openxmlformats.org/officeDocument/2006/relationships">
  <sheetPr codeName="Sheet52" enableFormatConditionsCalculation="0">
    <tabColor indexed="17"/>
    <pageSetUpPr fitToPage="1"/>
  </sheetPr>
  <dimension ref="A1:T239"/>
  <sheetViews>
    <sheetView showGridLines="0" topLeftCell="A184" zoomScaleNormal="100" workbookViewId="0">
      <selection activeCell="A201" sqref="A201"/>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LU_TemplateDollarDenomination</f>
        <v>$'M Real 2013/14</v>
      </c>
      <c r="J1" s="281" t="s">
        <v>275</v>
      </c>
      <c r="K1" s="305">
        <v>24</v>
      </c>
      <c r="M1" s="282"/>
      <c r="N1" s="280"/>
      <c r="O1" s="280"/>
      <c r="P1" s="280"/>
      <c r="Q1" s="280"/>
      <c r="R1" s="280"/>
      <c r="S1" s="280"/>
      <c r="T1" s="280"/>
    </row>
    <row r="2" spans="1:20" ht="15.75">
      <c r="A2" s="184" t="s">
        <v>121</v>
      </c>
      <c r="B2" s="74" t="str">
        <f ca="1">OFFSET(List_DAOpexStart,+$K$1,1)</f>
        <v>Non Network Solutions</v>
      </c>
      <c r="F2" s="284"/>
      <c r="H2" s="42"/>
      <c r="I2" s="283"/>
      <c r="L2" s="282"/>
      <c r="M2" s="282"/>
    </row>
    <row r="3" spans="1:20" ht="16.5" thickBot="1">
      <c r="A3" s="184" t="s">
        <v>371</v>
      </c>
      <c r="B3" s="236" t="str">
        <f ca="1">OFFSET(List_DAOpexStart,+$K$1,2)</f>
        <v>David Pritchard</v>
      </c>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s="78"/>
      <c r="C7" s="78"/>
      <c r="D7" s="78"/>
      <c r="E7" s="78"/>
      <c r="F7" s="78"/>
      <c r="G7" s="78"/>
      <c r="H7" s="78"/>
      <c r="I7" s="78"/>
      <c r="J7" s="36"/>
      <c r="K7" s="63"/>
      <c r="L7" s="63"/>
    </row>
    <row r="8" spans="1:20" outlineLevel="1">
      <c r="A8" s="61" t="s">
        <v>68</v>
      </c>
      <c r="B8" s="285">
        <f ca="1">OFFSET(List_NWOpexStart,MATCH($K$1,'I-4 History'!$A$7:$A$222)+2,0)</f>
        <v>0</v>
      </c>
      <c r="C8" s="285">
        <f ca="1">OFFSET(Future_DAOpexStart,MATCH($K$1,'I-5 Future DA'!$A$6:$A$222)+2,+'I-5 Future DA'!D$5)</f>
        <v>0</v>
      </c>
      <c r="D8" s="285">
        <f ca="1">OFFSET(Future_DAOpexStart,MATCH($K$1,'I-5 Future DA'!$A$6:$A$222)+2,+'I-5 Future DA'!E$5)</f>
        <v>0</v>
      </c>
      <c r="E8" s="285">
        <f ca="1">OFFSET(Future_DAOpexStart,MATCH($K$1,'I-5 Future DA'!$A$6:$A$222)+2,+'I-5 Future DA'!F$5)</f>
        <v>0</v>
      </c>
      <c r="F8" s="285">
        <f ca="1">OFFSET(Future_DAOpexStart,MATCH($K$1,'I-5 Future DA'!$A$6:$A$222)+2,+'I-5 Future DA'!G$5)</f>
        <v>0</v>
      </c>
      <c r="G8" s="285">
        <f ca="1">OFFSET(Future_DAOpexStart,MATCH($K$1,'I-5 Future DA'!$A$6:$A$222)+2,+'I-5 Future DA'!H$5)</f>
        <v>0</v>
      </c>
      <c r="H8" s="285">
        <f ca="1">OFFSET(Future_DAOpexStart,MATCH($K$1,'I-5 Future DA'!$A$6:$A$222)+2,+'I-5 Future DA'!I$5)</f>
        <v>0</v>
      </c>
      <c r="I8" s="285">
        <f ca="1">OFFSET(Future_DAOpexStart,MATCH($K$1,'I-5 Future DA'!$A$6:$A$222)+2,+'I-5 Future DA'!J$5)</f>
        <v>0</v>
      </c>
      <c r="J8" s="81"/>
      <c r="K8" s="21"/>
      <c r="L8" s="21"/>
    </row>
    <row r="9" spans="1:20" outlineLevel="1">
      <c r="A9" s="61" t="s">
        <v>69</v>
      </c>
      <c r="B9" s="285">
        <f ca="1">OFFSET(List_NWOpexStart,MATCH($K$1,'I-4 History'!$A$7:$A$222)+3,0)</f>
        <v>0</v>
      </c>
      <c r="C9" s="285">
        <f ca="1">OFFSET(Future_DAOpexStart,MATCH($K$1,'I-5 Future DA'!$A$6:$A$222)+3,+'I-5 Future DA'!D$5)</f>
        <v>0</v>
      </c>
      <c r="D9" s="285">
        <f ca="1">OFFSET(Future_DAOpexStart,MATCH($K$1,'I-5 Future DA'!$A$6:$A$222)+3,+'I-5 Future DA'!E$5)</f>
        <v>0</v>
      </c>
      <c r="E9" s="285">
        <f ca="1">OFFSET(Future_DAOpexStart,MATCH($K$1,'I-5 Future DA'!$A$6:$A$222)+3,+'I-5 Future DA'!F$5)</f>
        <v>0</v>
      </c>
      <c r="F9" s="285">
        <f ca="1">OFFSET(Future_DAOpexStart,MATCH($K$1,'I-5 Future DA'!$A$6:$A$222)+3,+'I-5 Future DA'!G$5)</f>
        <v>0</v>
      </c>
      <c r="G9" s="285">
        <f ca="1">OFFSET(Future_DAOpexStart,MATCH($K$1,'I-5 Future DA'!$A$6:$A$222)+3,+'I-5 Future DA'!H$5)</f>
        <v>0</v>
      </c>
      <c r="H9" s="285">
        <f ca="1">OFFSET(Future_DAOpexStart,MATCH($K$1,'I-5 Future DA'!$A$6:$A$222)+3,+'I-5 Future DA'!I$5)</f>
        <v>0</v>
      </c>
      <c r="I9" s="285">
        <f ca="1">OFFSET(Future_DAOpexStart,MATCH($K$1,'I-5 Future DA'!$A$6:$A$222)+3,+'I-5 Future DA'!J$5)</f>
        <v>0</v>
      </c>
      <c r="J9" s="36"/>
      <c r="K9" s="21"/>
      <c r="L9" s="21"/>
    </row>
    <row r="10" spans="1:20" s="759" customFormat="1" outlineLevel="1">
      <c r="A10" s="61" t="s">
        <v>646</v>
      </c>
      <c r="B10" s="285">
        <f ca="1">OFFSET(List_NWOpexStart,MATCH($K$1,'I-4 History'!$A$7:$A$222)+4,0)</f>
        <v>0</v>
      </c>
      <c r="C10" s="285">
        <f ca="1">OFFSET(Future_DAOpexStart,MATCH($K$1,'I-5 Future DA'!$A$6:$A$222)+4,+'I-5 Future DA'!D$5)</f>
        <v>0</v>
      </c>
      <c r="D10" s="285">
        <f ca="1">OFFSET(Future_DAOpexStart,MATCH($K$1,'I-5 Future DA'!$A$6:$A$222)+4,+'I-5 Future DA'!E$5)</f>
        <v>0</v>
      </c>
      <c r="E10" s="285">
        <f ca="1">OFFSET(Future_DAOpexStart,MATCH($K$1,'I-5 Future DA'!$A$6:$A$222)+4,+'I-5 Future DA'!F$5)</f>
        <v>0</v>
      </c>
      <c r="F10" s="285">
        <f ca="1">OFFSET(Future_DAOpexStart,MATCH($K$1,'I-5 Future DA'!$A$6:$A$222)+4,+'I-5 Future DA'!G$5)</f>
        <v>0</v>
      </c>
      <c r="G10" s="285">
        <f ca="1">OFFSET(Future_DAOpexStart,MATCH($K$1,'I-5 Future DA'!$A$6:$A$222)+4,+'I-5 Future DA'!H$5)</f>
        <v>0</v>
      </c>
      <c r="H10" s="285">
        <f ca="1">OFFSET(Future_DAOpexStart,MATCH($K$1,'I-5 Future DA'!$A$6:$A$222)+4,+'I-5 Future DA'!I$5)</f>
        <v>0</v>
      </c>
      <c r="I10" s="285">
        <f ca="1">OFFSET(Future_DAOpexStart,MATCH($K$1,'I-5 Future DA'!$A$6:$A$222)+4,+'I-5 Future DA'!J$5)</f>
        <v>0</v>
      </c>
      <c r="J10" s="36"/>
      <c r="K10" s="732"/>
      <c r="L10" s="732"/>
    </row>
    <row r="11" spans="1:20" outlineLevel="1">
      <c r="A11" s="61" t="s">
        <v>647</v>
      </c>
      <c r="B11" s="285">
        <f ca="1">OFFSET(List_NWOpexStart,MATCH($K$1,'I-4 History'!$A$7:$A$222)+5,0)</f>
        <v>0</v>
      </c>
      <c r="C11" s="285">
        <f ca="1">OFFSET(Future_DAOpexStart,MATCH($K$1,'I-5 Future DA'!$A$6:$A$222)+5,+'I-5 Future DA'!D$5)</f>
        <v>0</v>
      </c>
      <c r="D11" s="285">
        <f ca="1">OFFSET(Future_DAOpexStart,MATCH($K$1,'I-5 Future DA'!$A$6:$A$222)+5,+'I-5 Future DA'!E$5)</f>
        <v>0</v>
      </c>
      <c r="E11" s="285">
        <f ca="1">OFFSET(Future_DAOpexStart,MATCH($K$1,'I-5 Future DA'!$A$6:$A$222)+5,+'I-5 Future DA'!F$5)</f>
        <v>0</v>
      </c>
      <c r="F11" s="285">
        <f ca="1">OFFSET(Future_DAOpexStart,MATCH($K$1,'I-5 Future DA'!$A$6:$A$222)+5,+'I-5 Future DA'!G$5)</f>
        <v>0</v>
      </c>
      <c r="G11" s="285">
        <f ca="1">OFFSET(Future_DAOpexStart,MATCH($K$1,'I-5 Future DA'!$A$6:$A$222)+5,+'I-5 Future DA'!H$5)</f>
        <v>0</v>
      </c>
      <c r="H11" s="285">
        <f ca="1">OFFSET(Future_DAOpexStart,MATCH($K$1,'I-5 Future DA'!$A$6:$A$222)+5,+'I-5 Future DA'!I$5)</f>
        <v>0</v>
      </c>
      <c r="I11" s="285">
        <f ca="1">OFFSET(Future_DAOpexStart,MATCH($K$1,'I-5 Future DA'!$A$6:$A$222)+5,+'I-5 Future DA'!J$5)</f>
        <v>0</v>
      </c>
      <c r="J11" s="36"/>
      <c r="K11" s="21"/>
      <c r="L11" s="21"/>
    </row>
    <row r="12" spans="1:20" s="759" customFormat="1" outlineLevel="1">
      <c r="A12" s="61" t="s">
        <v>575</v>
      </c>
      <c r="B12" s="285">
        <f ca="1">OFFSET(List_NWOpexStart,MATCH($K$1,'I-4 History'!$A$7:$A$222)+6,0)</f>
        <v>0</v>
      </c>
      <c r="C12" s="285">
        <f ca="1">OFFSET(Future_DAOpexStart,MATCH($K$1,'I-5 Future DA'!$A$6:$A$222)+6,+'I-5 Future DA'!D$5)</f>
        <v>0</v>
      </c>
      <c r="D12" s="285">
        <f ca="1">OFFSET(Future_DAOpexStart,MATCH($K$1,'I-5 Future DA'!$A$6:$A$222)+6,+'I-5 Future DA'!E$5)</f>
        <v>0</v>
      </c>
      <c r="E12" s="285">
        <f ca="1">OFFSET(Future_DAOpexStart,MATCH($K$1,'I-5 Future DA'!$A$6:$A$222)+6,+'I-5 Future DA'!F$5)</f>
        <v>0</v>
      </c>
      <c r="F12" s="285">
        <f ca="1">OFFSET(Future_DAOpexStart,MATCH($K$1,'I-5 Future DA'!$A$6:$A$222)+6,+'I-5 Future DA'!G$5)</f>
        <v>0</v>
      </c>
      <c r="G12" s="285">
        <f ca="1">OFFSET(Future_DAOpexStart,MATCH($K$1,'I-5 Future DA'!$A$6:$A$222)+6,+'I-5 Future DA'!H$5)</f>
        <v>0</v>
      </c>
      <c r="H12" s="285">
        <f ca="1">OFFSET(Future_DAOpexStart,MATCH($K$1,'I-5 Future DA'!$A$6:$A$222)+6,+'I-5 Future DA'!I$5)</f>
        <v>0</v>
      </c>
      <c r="I12" s="285">
        <f ca="1">OFFSET(Future_DAOpexStart,MATCH($K$1,'I-5 Future DA'!$A$6:$A$222)+6,+'I-5 Future DA'!J$5)</f>
        <v>0</v>
      </c>
      <c r="J12" s="36"/>
      <c r="K12" s="732"/>
      <c r="L12" s="732"/>
    </row>
    <row r="13" spans="1:20" outlineLevel="1">
      <c r="A13" s="83" t="s">
        <v>70</v>
      </c>
      <c r="B13" s="286">
        <f ca="1">OFFSET(List_NWOpexStart,MATCH($K$1,'I-4 History'!$A$7:$A$222)+7,0)</f>
        <v>0</v>
      </c>
      <c r="C13" s="286">
        <f ca="1">OFFSET(Future_DAOpexStart,MATCH($K$1,'I-5 Future DA'!$A$6:$A$222)+7,+'I-5 Future DA'!D$5)</f>
        <v>0</v>
      </c>
      <c r="D13" s="286">
        <f ca="1">OFFSET(Future_DAOpexStart,MATCH($K$1,'I-5 Future DA'!$A$6:$A$222)+7,+'I-5 Future DA'!E$5)</f>
        <v>0</v>
      </c>
      <c r="E13" s="286">
        <f ca="1">OFFSET(Future_DAOpexStart,MATCH($K$1,'I-5 Future DA'!$A$6:$A$222)+7,+'I-5 Future DA'!F$5)</f>
        <v>0</v>
      </c>
      <c r="F13" s="286">
        <f ca="1">OFFSET(Future_DAOpexStart,MATCH($K$1,'I-5 Future DA'!$A$6:$A$222)+7,+'I-5 Future DA'!G$5)</f>
        <v>0</v>
      </c>
      <c r="G13" s="286">
        <f ca="1">OFFSET(Future_DAOpexStart,MATCH($K$1,'I-5 Future DA'!$A$6:$A$222)+7,+'I-5 Future DA'!H$5)</f>
        <v>0</v>
      </c>
      <c r="H13" s="286">
        <f ca="1">OFFSET(Future_DAOpexStart,MATCH($K$1,'I-5 Future DA'!$A$6:$A$222)+7,+'I-5 Future DA'!I$5)</f>
        <v>0</v>
      </c>
      <c r="I13" s="286">
        <f ca="1">OFFSET(Future_DAOpexStart,MATCH($K$1,'I-5 Future DA'!$A$6:$A$222)+7,+'I-5 Future DA'!J$5)</f>
        <v>0</v>
      </c>
      <c r="J13" s="36"/>
      <c r="K13" s="21"/>
      <c r="L13" s="21"/>
    </row>
    <row r="14" spans="1:20" s="87" customFormat="1" ht="18" customHeight="1">
      <c r="A14" s="84" t="s">
        <v>71</v>
      </c>
      <c r="B14" s="287">
        <f t="shared" ref="B14:I14" ca="1" si="0">SUM(B8:B13)</f>
        <v>0</v>
      </c>
      <c r="C14" s="287">
        <f t="shared" ca="1" si="0"/>
        <v>0</v>
      </c>
      <c r="D14" s="287">
        <f t="shared" ca="1" si="0"/>
        <v>0</v>
      </c>
      <c r="E14" s="287">
        <f t="shared" ca="1" si="0"/>
        <v>0</v>
      </c>
      <c r="F14" s="287">
        <f t="shared" ca="1" si="0"/>
        <v>0</v>
      </c>
      <c r="G14" s="287">
        <f t="shared" ca="1" si="0"/>
        <v>0</v>
      </c>
      <c r="H14" s="287">
        <f t="shared" ca="1" si="0"/>
        <v>0</v>
      </c>
      <c r="I14" s="287">
        <f t="shared" ca="1" si="0"/>
        <v>0</v>
      </c>
      <c r="J14" s="85"/>
      <c r="K14" s="86"/>
      <c r="L14" s="86"/>
    </row>
    <row r="15" spans="1:20" outlineLevel="1">
      <c r="A15" s="88"/>
      <c r="B15" s="89"/>
      <c r="C15" s="89"/>
      <c r="D15" s="89"/>
      <c r="E15" s="89"/>
      <c r="F15" s="89"/>
      <c r="G15" s="89"/>
      <c r="H15" s="89"/>
      <c r="I15" s="89"/>
      <c r="K15" s="21"/>
      <c r="L15" s="21"/>
    </row>
    <row r="16" spans="1:20" ht="18" outlineLevel="1">
      <c r="A16" s="207" t="s">
        <v>41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 t="shared" ref="C19:I20" si="1">+C149</f>
        <v>0</v>
      </c>
      <c r="D19" s="285">
        <f t="shared" si="1"/>
        <v>0</v>
      </c>
      <c r="E19" s="285">
        <f t="shared" si="1"/>
        <v>0</v>
      </c>
      <c r="F19" s="285">
        <f t="shared" si="1"/>
        <v>0</v>
      </c>
      <c r="G19" s="285">
        <f t="shared" si="1"/>
        <v>0</v>
      </c>
      <c r="H19" s="285">
        <f t="shared" si="1"/>
        <v>0</v>
      </c>
      <c r="I19" s="285">
        <f t="shared" si="1"/>
        <v>0</v>
      </c>
      <c r="J19" s="42"/>
      <c r="K19" s="21"/>
      <c r="L19" s="21"/>
    </row>
    <row r="20" spans="1:12" outlineLevel="1">
      <c r="A20" s="61" t="s">
        <v>69</v>
      </c>
      <c r="B20" s="289"/>
      <c r="C20" s="285">
        <f t="shared" si="1"/>
        <v>0</v>
      </c>
      <c r="D20" s="285">
        <f t="shared" si="1"/>
        <v>0</v>
      </c>
      <c r="E20" s="285">
        <f t="shared" si="1"/>
        <v>0</v>
      </c>
      <c r="F20" s="285">
        <f t="shared" si="1"/>
        <v>0</v>
      </c>
      <c r="G20" s="285">
        <f t="shared" si="1"/>
        <v>0</v>
      </c>
      <c r="H20" s="285">
        <f t="shared" si="1"/>
        <v>0</v>
      </c>
      <c r="I20" s="285">
        <f t="shared" si="1"/>
        <v>0</v>
      </c>
      <c r="J20" s="42"/>
      <c r="K20" s="21"/>
      <c r="L20" s="21"/>
    </row>
    <row r="21" spans="1:12" s="759" customFormat="1" outlineLevel="1">
      <c r="A21" s="61" t="s">
        <v>646</v>
      </c>
      <c r="B21" s="289"/>
      <c r="C21" s="285">
        <f t="shared" ref="C21:I21" si="2">+C151</f>
        <v>0</v>
      </c>
      <c r="D21" s="285">
        <f t="shared" si="2"/>
        <v>0</v>
      </c>
      <c r="E21" s="285">
        <f t="shared" si="2"/>
        <v>0</v>
      </c>
      <c r="F21" s="285">
        <f t="shared" si="2"/>
        <v>0</v>
      </c>
      <c r="G21" s="285">
        <f t="shared" si="2"/>
        <v>0</v>
      </c>
      <c r="H21" s="285">
        <f t="shared" si="2"/>
        <v>0</v>
      </c>
      <c r="I21" s="285">
        <f t="shared" si="2"/>
        <v>0</v>
      </c>
      <c r="J21" s="42"/>
      <c r="K21" s="732"/>
      <c r="L21" s="732"/>
    </row>
    <row r="22" spans="1:12" outlineLevel="1">
      <c r="A22" s="61" t="s">
        <v>647</v>
      </c>
      <c r="B22" s="289"/>
      <c r="C22" s="285">
        <f t="shared" ref="C22:I22" si="3">+C152</f>
        <v>0</v>
      </c>
      <c r="D22" s="285">
        <f t="shared" si="3"/>
        <v>9.6736987014919812E-2</v>
      </c>
      <c r="E22" s="285">
        <f t="shared" si="3"/>
        <v>0.15</v>
      </c>
      <c r="F22" s="285">
        <f t="shared" si="3"/>
        <v>0.2</v>
      </c>
      <c r="G22" s="285">
        <f t="shared" si="3"/>
        <v>0.25</v>
      </c>
      <c r="H22" s="285">
        <f t="shared" si="3"/>
        <v>0.3</v>
      </c>
      <c r="I22" s="285">
        <f t="shared" si="3"/>
        <v>0.35</v>
      </c>
      <c r="J22" s="42"/>
      <c r="K22" s="21"/>
      <c r="L22" s="21"/>
    </row>
    <row r="23" spans="1:12" s="759" customFormat="1" outlineLevel="1">
      <c r="A23" s="61" t="s">
        <v>575</v>
      </c>
      <c r="B23" s="289"/>
      <c r="C23" s="285">
        <f t="shared" ref="C23:I23" si="4">+C153</f>
        <v>0</v>
      </c>
      <c r="D23" s="285">
        <f t="shared" si="4"/>
        <v>0</v>
      </c>
      <c r="E23" s="285">
        <f t="shared" si="4"/>
        <v>0</v>
      </c>
      <c r="F23" s="285">
        <f t="shared" si="4"/>
        <v>0</v>
      </c>
      <c r="G23" s="285">
        <f t="shared" si="4"/>
        <v>0</v>
      </c>
      <c r="H23" s="285">
        <f t="shared" si="4"/>
        <v>0</v>
      </c>
      <c r="I23" s="285">
        <f t="shared" si="4"/>
        <v>0</v>
      </c>
      <c r="J23" s="42"/>
      <c r="K23" s="732"/>
      <c r="L23" s="732"/>
    </row>
    <row r="24" spans="1:12" ht="13.5" outlineLevel="1" thickBot="1">
      <c r="A24" s="83" t="s">
        <v>70</v>
      </c>
      <c r="B24" s="290"/>
      <c r="C24" s="286">
        <f t="shared" ref="C24:I24" si="5">+C154</f>
        <v>0</v>
      </c>
      <c r="D24" s="286">
        <f t="shared" si="5"/>
        <v>0</v>
      </c>
      <c r="E24" s="286">
        <f t="shared" si="5"/>
        <v>0</v>
      </c>
      <c r="F24" s="286">
        <f t="shared" si="5"/>
        <v>0</v>
      </c>
      <c r="G24" s="286">
        <f t="shared" si="5"/>
        <v>0</v>
      </c>
      <c r="H24" s="286">
        <f t="shared" si="5"/>
        <v>0</v>
      </c>
      <c r="I24" s="286">
        <f t="shared" si="5"/>
        <v>0</v>
      </c>
      <c r="J24" s="42"/>
      <c r="K24" s="21"/>
      <c r="L24" s="21"/>
    </row>
    <row r="25" spans="1:12" s="87" customFormat="1" ht="18" customHeight="1" thickBot="1">
      <c r="A25" s="84" t="s">
        <v>72</v>
      </c>
      <c r="B25" s="291"/>
      <c r="C25" s="287">
        <f t="shared" ref="C25:I25" si="6">SUM(C19:C24)</f>
        <v>0</v>
      </c>
      <c r="D25" s="287">
        <f t="shared" si="6"/>
        <v>9.6736987014919812E-2</v>
      </c>
      <c r="E25" s="287">
        <f t="shared" si="6"/>
        <v>0.15</v>
      </c>
      <c r="F25" s="287">
        <f t="shared" si="6"/>
        <v>0.2</v>
      </c>
      <c r="G25" s="287">
        <f t="shared" si="6"/>
        <v>0.25</v>
      </c>
      <c r="H25" s="287">
        <f t="shared" si="6"/>
        <v>0.3</v>
      </c>
      <c r="I25" s="287">
        <f t="shared" si="6"/>
        <v>0.35</v>
      </c>
      <c r="J25" s="91" t="str">
        <f>IF(ROUND(SUM(C155:I155)-SUM(C25:I25),2)&lt;&gt;0,"Warning Check Totals","OK")</f>
        <v>OK</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+'DA-24'!B8+'DA-24'!B19</f>
        <v>0</v>
      </c>
      <c r="C30" s="285">
        <f ca="1">+'DA-24'!C8+'DA-24'!C19</f>
        <v>0</v>
      </c>
      <c r="D30" s="285">
        <f ca="1">+'DA-24'!D8+'DA-24'!D19</f>
        <v>0</v>
      </c>
      <c r="E30" s="285">
        <f ca="1">+'DA-24'!E8+'DA-24'!E19</f>
        <v>0</v>
      </c>
      <c r="F30" s="285">
        <f ca="1">+'DA-24'!F8+'DA-24'!F19</f>
        <v>0</v>
      </c>
      <c r="G30" s="285">
        <f ca="1">+'DA-24'!G8+'DA-24'!G19</f>
        <v>0</v>
      </c>
      <c r="H30" s="285">
        <f ca="1">+'DA-24'!H8+'DA-24'!H19</f>
        <v>0</v>
      </c>
      <c r="I30" s="285">
        <f ca="1">+'DA-24'!I8+'DA-24'!I19</f>
        <v>0</v>
      </c>
      <c r="J30" s="42"/>
      <c r="K30" s="21"/>
      <c r="L30" s="21"/>
    </row>
    <row r="31" spans="1:12" outlineLevel="2">
      <c r="A31" s="61" t="s">
        <v>69</v>
      </c>
      <c r="B31" s="285">
        <f ca="1">+'DA-24'!B9+'DA-24'!B20</f>
        <v>0</v>
      </c>
      <c r="C31" s="285">
        <f ca="1">+'DA-24'!C9+'DA-24'!C20</f>
        <v>0</v>
      </c>
      <c r="D31" s="285">
        <f ca="1">+'DA-24'!D9+'DA-24'!D20</f>
        <v>0</v>
      </c>
      <c r="E31" s="285">
        <f ca="1">+'DA-24'!E9+'DA-24'!E20</f>
        <v>0</v>
      </c>
      <c r="F31" s="285">
        <f ca="1">+'DA-24'!F9+'DA-24'!F20</f>
        <v>0</v>
      </c>
      <c r="G31" s="285">
        <f ca="1">+'DA-24'!G9+'DA-24'!G20</f>
        <v>0</v>
      </c>
      <c r="H31" s="285">
        <f ca="1">+'DA-24'!H9+'DA-24'!H20</f>
        <v>0</v>
      </c>
      <c r="I31" s="285">
        <f ca="1">+'DA-24'!I9+'DA-24'!I20</f>
        <v>0</v>
      </c>
      <c r="J31" s="42"/>
      <c r="K31" s="21"/>
      <c r="L31" s="21"/>
    </row>
    <row r="32" spans="1:12" s="759" customFormat="1" outlineLevel="2">
      <c r="A32" s="61" t="s">
        <v>646</v>
      </c>
      <c r="B32" s="285">
        <f ca="1">+'DA-24'!B10+'DA-24'!B21</f>
        <v>0</v>
      </c>
      <c r="C32" s="285">
        <f ca="1">+'DA-24'!C10+'DA-24'!C21</f>
        <v>0</v>
      </c>
      <c r="D32" s="285">
        <f ca="1">+'DA-24'!D10+'DA-24'!D21</f>
        <v>0</v>
      </c>
      <c r="E32" s="285">
        <f ca="1">+'DA-24'!E10+'DA-24'!E21</f>
        <v>0</v>
      </c>
      <c r="F32" s="285">
        <f ca="1">+'DA-24'!F10+'DA-24'!F21</f>
        <v>0</v>
      </c>
      <c r="G32" s="285">
        <f ca="1">+'DA-24'!G10+'DA-24'!G21</f>
        <v>0</v>
      </c>
      <c r="H32" s="285">
        <f ca="1">+'DA-24'!H10+'DA-24'!H21</f>
        <v>0</v>
      </c>
      <c r="I32" s="285">
        <f ca="1">+'DA-24'!I10+'DA-24'!I21</f>
        <v>0</v>
      </c>
      <c r="J32" s="42"/>
      <c r="K32" s="732"/>
      <c r="L32" s="732"/>
    </row>
    <row r="33" spans="1:12" outlineLevel="2">
      <c r="A33" s="61" t="s">
        <v>647</v>
      </c>
      <c r="B33" s="285">
        <f ca="1">+'DA-24'!B11+'DA-24'!B22</f>
        <v>0</v>
      </c>
      <c r="C33" s="285">
        <f ca="1">+'DA-24'!C11+'DA-24'!C22</f>
        <v>0</v>
      </c>
      <c r="D33" s="285">
        <f ca="1">+'DA-24'!D11+'DA-24'!D22</f>
        <v>9.6736987014919812E-2</v>
      </c>
      <c r="E33" s="285">
        <f ca="1">+'DA-24'!E11+'DA-24'!E22</f>
        <v>0.15</v>
      </c>
      <c r="F33" s="285">
        <f ca="1">+'DA-24'!F11+'DA-24'!F22</f>
        <v>0.2</v>
      </c>
      <c r="G33" s="285">
        <f ca="1">+'DA-24'!G11+'DA-24'!G22</f>
        <v>0.25</v>
      </c>
      <c r="H33" s="285">
        <f ca="1">+'DA-24'!H11+'DA-24'!H22</f>
        <v>0.3</v>
      </c>
      <c r="I33" s="285">
        <f ca="1">+'DA-24'!I11+'DA-24'!I22</f>
        <v>0.35</v>
      </c>
      <c r="J33" s="42"/>
      <c r="K33" s="21"/>
      <c r="L33" s="21"/>
    </row>
    <row r="34" spans="1:12" s="759" customFormat="1" outlineLevel="2">
      <c r="A34" s="61" t="s">
        <v>575</v>
      </c>
      <c r="B34" s="285">
        <f ca="1">+'DA-24'!B12+'DA-24'!B23</f>
        <v>0</v>
      </c>
      <c r="C34" s="285">
        <f ca="1">+'DA-24'!C12+'DA-24'!C23</f>
        <v>0</v>
      </c>
      <c r="D34" s="285">
        <f ca="1">+'DA-24'!D12+'DA-24'!D23</f>
        <v>0</v>
      </c>
      <c r="E34" s="285">
        <f ca="1">+'DA-24'!E12+'DA-24'!E23</f>
        <v>0</v>
      </c>
      <c r="F34" s="285">
        <f ca="1">+'DA-24'!F12+'DA-24'!F23</f>
        <v>0</v>
      </c>
      <c r="G34" s="285">
        <f ca="1">+'DA-24'!G12+'DA-24'!G23</f>
        <v>0</v>
      </c>
      <c r="H34" s="285">
        <f ca="1">+'DA-24'!H12+'DA-24'!H23</f>
        <v>0</v>
      </c>
      <c r="I34" s="285">
        <f ca="1">+'DA-24'!I12+'DA-24'!I23</f>
        <v>0</v>
      </c>
      <c r="J34" s="42"/>
      <c r="K34" s="732"/>
      <c r="L34" s="732"/>
    </row>
    <row r="35" spans="1:12" ht="13.5" outlineLevel="2" thickBot="1">
      <c r="A35" s="83" t="s">
        <v>70</v>
      </c>
      <c r="B35" s="285">
        <f ca="1">+'DA-24'!B13+'DA-24'!B24</f>
        <v>0</v>
      </c>
      <c r="C35" s="285">
        <f ca="1">+'DA-24'!C13+'DA-24'!C24</f>
        <v>0</v>
      </c>
      <c r="D35" s="285">
        <f ca="1">+'DA-24'!D13+'DA-24'!D24</f>
        <v>0</v>
      </c>
      <c r="E35" s="285">
        <f ca="1">+'DA-24'!E13+'DA-24'!E24</f>
        <v>0</v>
      </c>
      <c r="F35" s="285">
        <f ca="1">+'DA-24'!F13+'DA-24'!F24</f>
        <v>0</v>
      </c>
      <c r="G35" s="285">
        <f ca="1">+'DA-24'!G13+'DA-24'!G24</f>
        <v>0</v>
      </c>
      <c r="H35" s="285">
        <f ca="1">+'DA-24'!H13+'DA-24'!H24</f>
        <v>0</v>
      </c>
      <c r="I35" s="285">
        <f ca="1">+'DA-24'!I13+'DA-24'!I24</f>
        <v>0</v>
      </c>
      <c r="J35" s="93"/>
      <c r="K35" s="21"/>
      <c r="L35" s="21"/>
    </row>
    <row r="36" spans="1:12" s="87" customFormat="1" ht="20.25" customHeight="1" thickBot="1">
      <c r="A36" s="94" t="s">
        <v>128</v>
      </c>
      <c r="B36" s="294">
        <f t="shared" ref="B36:I36" ca="1" si="7">SUM(B30:B35)</f>
        <v>0</v>
      </c>
      <c r="C36" s="294">
        <f t="shared" ca="1" si="7"/>
        <v>0</v>
      </c>
      <c r="D36" s="294">
        <f t="shared" ca="1" si="7"/>
        <v>9.6736987014919812E-2</v>
      </c>
      <c r="E36" s="294">
        <f t="shared" ca="1" si="7"/>
        <v>0.15</v>
      </c>
      <c r="F36" s="294">
        <f t="shared" ca="1" si="7"/>
        <v>0.2</v>
      </c>
      <c r="G36" s="294">
        <f t="shared" ca="1" si="7"/>
        <v>0.25</v>
      </c>
      <c r="H36" s="294">
        <f t="shared" ca="1" si="7"/>
        <v>0.3</v>
      </c>
      <c r="I36" s="294">
        <f t="shared" ca="1" si="7"/>
        <v>0.35</v>
      </c>
      <c r="J36" s="91" t="str">
        <f ca="1">IF(ROUND(SUM(B14:I14)+SUM(B25:I25)-SUM(B36:I36),2)&lt;&gt;0,"Warning Check Totals","OK")</f>
        <v>OK</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42</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t="shared" ref="C42:I43" ca="1" si="8">+C98</f>
        <v>0</v>
      </c>
      <c r="D42" s="285">
        <f t="shared" ca="1" si="8"/>
        <v>0</v>
      </c>
      <c r="E42" s="285">
        <f t="shared" ca="1" si="8"/>
        <v>0</v>
      </c>
      <c r="F42" s="285">
        <f t="shared" ca="1" si="8"/>
        <v>0</v>
      </c>
      <c r="G42" s="285">
        <f t="shared" ca="1" si="8"/>
        <v>0</v>
      </c>
      <c r="H42" s="285">
        <f t="shared" ca="1" si="8"/>
        <v>0</v>
      </c>
      <c r="I42" s="285">
        <f t="shared" ca="1" si="8"/>
        <v>0</v>
      </c>
      <c r="K42" s="63"/>
      <c r="L42" s="63"/>
    </row>
    <row r="43" spans="1:12" outlineLevel="1">
      <c r="A43" s="61" t="s">
        <v>69</v>
      </c>
      <c r="B43" s="82"/>
      <c r="C43" s="285">
        <f t="shared" ca="1" si="8"/>
        <v>0</v>
      </c>
      <c r="D43" s="285">
        <f t="shared" ca="1" si="8"/>
        <v>0</v>
      </c>
      <c r="E43" s="285">
        <f t="shared" ca="1" si="8"/>
        <v>0</v>
      </c>
      <c r="F43" s="285">
        <f t="shared" ca="1" si="8"/>
        <v>0</v>
      </c>
      <c r="G43" s="285">
        <f t="shared" ca="1" si="8"/>
        <v>0</v>
      </c>
      <c r="H43" s="285">
        <f t="shared" ca="1" si="8"/>
        <v>0</v>
      </c>
      <c r="I43" s="285">
        <f t="shared" ca="1" si="8"/>
        <v>0</v>
      </c>
      <c r="K43" s="42"/>
      <c r="L43" s="21"/>
    </row>
    <row r="44" spans="1:12" s="759" customFormat="1" outlineLevel="1">
      <c r="A44" s="61" t="s">
        <v>646</v>
      </c>
      <c r="B44" s="82"/>
      <c r="C44" s="285">
        <f t="shared" ref="C44:I44" ca="1" si="9">+C100</f>
        <v>0</v>
      </c>
      <c r="D44" s="285">
        <f t="shared" ca="1" si="9"/>
        <v>0</v>
      </c>
      <c r="E44" s="285">
        <f t="shared" ca="1" si="9"/>
        <v>0</v>
      </c>
      <c r="F44" s="285">
        <f t="shared" ca="1" si="9"/>
        <v>0</v>
      </c>
      <c r="G44" s="285">
        <f t="shared" ca="1" si="9"/>
        <v>0</v>
      </c>
      <c r="H44" s="285">
        <f t="shared" ca="1" si="9"/>
        <v>0</v>
      </c>
      <c r="I44" s="285">
        <f t="shared" ca="1" si="9"/>
        <v>0</v>
      </c>
      <c r="K44" s="42"/>
      <c r="L44" s="732"/>
    </row>
    <row r="45" spans="1:12" outlineLevel="1">
      <c r="A45" s="61" t="s">
        <v>647</v>
      </c>
      <c r="B45" s="82"/>
      <c r="C45" s="285">
        <f t="shared" ref="C45:I45" ca="1" si="10">+C101</f>
        <v>0</v>
      </c>
      <c r="D45" s="285">
        <f t="shared" ca="1" si="10"/>
        <v>0</v>
      </c>
      <c r="E45" s="285">
        <f t="shared" ca="1" si="10"/>
        <v>0</v>
      </c>
      <c r="F45" s="285">
        <f t="shared" ca="1" si="10"/>
        <v>0</v>
      </c>
      <c r="G45" s="285">
        <f t="shared" ca="1" si="10"/>
        <v>0</v>
      </c>
      <c r="H45" s="285">
        <f t="shared" ca="1" si="10"/>
        <v>0</v>
      </c>
      <c r="I45" s="285">
        <f t="shared" ca="1" si="10"/>
        <v>0</v>
      </c>
      <c r="K45" s="42"/>
      <c r="L45" s="21"/>
    </row>
    <row r="46" spans="1:12" s="759" customFormat="1" outlineLevel="1">
      <c r="A46" s="61" t="s">
        <v>575</v>
      </c>
      <c r="B46" s="82"/>
      <c r="C46" s="285">
        <f t="shared" ref="C46:I46" ca="1" si="11">+C102</f>
        <v>0</v>
      </c>
      <c r="D46" s="285">
        <f t="shared" ca="1" si="11"/>
        <v>0</v>
      </c>
      <c r="E46" s="285">
        <f t="shared" ca="1" si="11"/>
        <v>0</v>
      </c>
      <c r="F46" s="285">
        <f t="shared" ca="1" si="11"/>
        <v>0</v>
      </c>
      <c r="G46" s="285">
        <f t="shared" ca="1" si="11"/>
        <v>0</v>
      </c>
      <c r="H46" s="285">
        <f t="shared" ca="1" si="11"/>
        <v>0</v>
      </c>
      <c r="I46" s="285">
        <f t="shared" ca="1" si="11"/>
        <v>0</v>
      </c>
      <c r="K46" s="42"/>
      <c r="L46" s="732"/>
    </row>
    <row r="47" spans="1:12" ht="13.5" outlineLevel="1" thickBot="1">
      <c r="A47" s="83" t="s">
        <v>70</v>
      </c>
      <c r="B47" s="82"/>
      <c r="C47" s="285">
        <f t="shared" ref="C47:I47" ca="1" si="12">+C103</f>
        <v>0</v>
      </c>
      <c r="D47" s="285">
        <f t="shared" ca="1" si="12"/>
        <v>0</v>
      </c>
      <c r="E47" s="285">
        <f t="shared" ca="1" si="12"/>
        <v>0</v>
      </c>
      <c r="F47" s="285">
        <f t="shared" ca="1" si="12"/>
        <v>0</v>
      </c>
      <c r="G47" s="285">
        <f t="shared" ca="1" si="12"/>
        <v>0</v>
      </c>
      <c r="H47" s="285">
        <f t="shared" ca="1" si="12"/>
        <v>0</v>
      </c>
      <c r="I47" s="285">
        <f t="shared" ca="1" si="12"/>
        <v>0</v>
      </c>
      <c r="K47" s="42"/>
      <c r="L47" s="21"/>
    </row>
    <row r="48" spans="1:12" s="87" customFormat="1" ht="18" customHeight="1" thickBot="1">
      <c r="A48" s="94" t="s">
        <v>74</v>
      </c>
      <c r="B48" s="294"/>
      <c r="C48" s="294">
        <f t="shared" ref="C48:I48" ca="1" si="13">SUM(C42:C47)</f>
        <v>0</v>
      </c>
      <c r="D48" s="294">
        <f t="shared" ca="1" si="13"/>
        <v>0</v>
      </c>
      <c r="E48" s="294">
        <f t="shared" ca="1" si="13"/>
        <v>0</v>
      </c>
      <c r="F48" s="294">
        <f t="shared" ca="1" si="13"/>
        <v>0</v>
      </c>
      <c r="G48" s="294">
        <f t="shared" ca="1" si="13"/>
        <v>0</v>
      </c>
      <c r="H48" s="294">
        <f t="shared" ca="1" si="13"/>
        <v>0</v>
      </c>
      <c r="I48" s="294">
        <f t="shared" ca="1" si="13"/>
        <v>0</v>
      </c>
      <c r="J48" s="91" t="str">
        <f ca="1">IF(ROUND(SUM(B48:I48)-SUM(B104:I104),2)&lt;&gt;0,"Warning Check Escalations","OK")</f>
        <v>OK</v>
      </c>
      <c r="L48" s="86"/>
    </row>
    <row r="49" spans="1:12" outlineLevel="1">
      <c r="A49" s="88"/>
      <c r="B49" s="89"/>
      <c r="C49" s="89"/>
      <c r="D49" s="89"/>
      <c r="E49" s="89"/>
      <c r="F49" s="89"/>
      <c r="G49" s="89"/>
      <c r="H49" s="89"/>
      <c r="I49" s="89"/>
      <c r="K49" s="42"/>
      <c r="L49" s="21"/>
    </row>
    <row r="50" spans="1:12" ht="18" outlineLevel="1">
      <c r="A50" s="207" t="s">
        <v>43</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t="shared" ref="C53:I54" ca="1" si="14">+C134</f>
        <v>0</v>
      </c>
      <c r="D53" s="285">
        <f t="shared" ca="1" si="14"/>
        <v>0</v>
      </c>
      <c r="E53" s="285">
        <f t="shared" ca="1" si="14"/>
        <v>0</v>
      </c>
      <c r="F53" s="285">
        <f t="shared" ca="1" si="14"/>
        <v>0</v>
      </c>
      <c r="G53" s="285">
        <f t="shared" ca="1" si="14"/>
        <v>0</v>
      </c>
      <c r="H53" s="285">
        <f t="shared" ca="1" si="14"/>
        <v>0</v>
      </c>
      <c r="I53" s="285">
        <f t="shared" ca="1" si="14"/>
        <v>0</v>
      </c>
      <c r="K53" s="63"/>
      <c r="L53" s="63"/>
    </row>
    <row r="54" spans="1:12" outlineLevel="1">
      <c r="A54" s="61" t="s">
        <v>69</v>
      </c>
      <c r="B54" s="285"/>
      <c r="C54" s="285">
        <f t="shared" ca="1" si="14"/>
        <v>0</v>
      </c>
      <c r="D54" s="285">
        <f t="shared" ca="1" si="14"/>
        <v>0</v>
      </c>
      <c r="E54" s="285">
        <f t="shared" ca="1" si="14"/>
        <v>0</v>
      </c>
      <c r="F54" s="285">
        <f t="shared" ca="1" si="14"/>
        <v>0</v>
      </c>
      <c r="G54" s="285">
        <f t="shared" ca="1" si="14"/>
        <v>0</v>
      </c>
      <c r="H54" s="285">
        <f t="shared" ca="1" si="14"/>
        <v>0</v>
      </c>
      <c r="I54" s="285">
        <f t="shared" ca="1" si="14"/>
        <v>0</v>
      </c>
      <c r="K54" s="42"/>
      <c r="L54" s="21"/>
    </row>
    <row r="55" spans="1:12" s="759" customFormat="1" outlineLevel="1">
      <c r="A55" s="61" t="s">
        <v>646</v>
      </c>
      <c r="B55" s="285"/>
      <c r="C55" s="285">
        <f t="shared" ref="C55:I55" ca="1" si="15">+C136</f>
        <v>0</v>
      </c>
      <c r="D55" s="285">
        <f t="shared" ca="1" si="15"/>
        <v>0</v>
      </c>
      <c r="E55" s="285">
        <f t="shared" ca="1" si="15"/>
        <v>0</v>
      </c>
      <c r="F55" s="285">
        <f t="shared" ca="1" si="15"/>
        <v>0</v>
      </c>
      <c r="G55" s="285">
        <f t="shared" ca="1" si="15"/>
        <v>0</v>
      </c>
      <c r="H55" s="285">
        <f t="shared" ca="1" si="15"/>
        <v>0</v>
      </c>
      <c r="I55" s="285">
        <f t="shared" ca="1" si="15"/>
        <v>0</v>
      </c>
      <c r="K55" s="42"/>
      <c r="L55" s="732"/>
    </row>
    <row r="56" spans="1:12" outlineLevel="1">
      <c r="A56" s="61" t="s">
        <v>647</v>
      </c>
      <c r="B56" s="285"/>
      <c r="C56" s="285">
        <f t="shared" ref="C56:I56" ca="1" si="16">+C137</f>
        <v>0</v>
      </c>
      <c r="D56" s="285">
        <f t="shared" ca="1" si="16"/>
        <v>0</v>
      </c>
      <c r="E56" s="285">
        <f t="shared" ca="1" si="16"/>
        <v>0</v>
      </c>
      <c r="F56" s="285">
        <f t="shared" ca="1" si="16"/>
        <v>0</v>
      </c>
      <c r="G56" s="285">
        <f t="shared" ca="1" si="16"/>
        <v>0</v>
      </c>
      <c r="H56" s="285">
        <f t="shared" ca="1" si="16"/>
        <v>0</v>
      </c>
      <c r="I56" s="285">
        <f t="shared" ca="1" si="16"/>
        <v>0</v>
      </c>
      <c r="K56" s="42"/>
      <c r="L56" s="21"/>
    </row>
    <row r="57" spans="1:12" s="759" customFormat="1" outlineLevel="1">
      <c r="A57" s="61" t="s">
        <v>575</v>
      </c>
      <c r="B57" s="285"/>
      <c r="C57" s="285">
        <f t="shared" ref="C57:I57" ca="1" si="17">+C138</f>
        <v>0</v>
      </c>
      <c r="D57" s="285">
        <f t="shared" ca="1" si="17"/>
        <v>0</v>
      </c>
      <c r="E57" s="285">
        <f t="shared" ca="1" si="17"/>
        <v>0</v>
      </c>
      <c r="F57" s="285">
        <f t="shared" ca="1" si="17"/>
        <v>0</v>
      </c>
      <c r="G57" s="285">
        <f t="shared" ca="1" si="17"/>
        <v>0</v>
      </c>
      <c r="H57" s="285">
        <f t="shared" ca="1" si="17"/>
        <v>0</v>
      </c>
      <c r="I57" s="285">
        <f t="shared" ca="1" si="17"/>
        <v>0</v>
      </c>
      <c r="K57" s="42"/>
      <c r="L57" s="732"/>
    </row>
    <row r="58" spans="1:12" ht="13.5" outlineLevel="1" thickBot="1">
      <c r="A58" s="83" t="s">
        <v>70</v>
      </c>
      <c r="B58" s="286"/>
      <c r="C58" s="286">
        <f t="shared" ref="C58:I58" ca="1" si="18">+C139</f>
        <v>0</v>
      </c>
      <c r="D58" s="286">
        <f t="shared" ca="1" si="18"/>
        <v>0</v>
      </c>
      <c r="E58" s="286">
        <f t="shared" ca="1" si="18"/>
        <v>0</v>
      </c>
      <c r="F58" s="286">
        <f t="shared" ca="1" si="18"/>
        <v>0</v>
      </c>
      <c r="G58" s="286">
        <f t="shared" ca="1" si="18"/>
        <v>0</v>
      </c>
      <c r="H58" s="286">
        <f t="shared" ca="1" si="18"/>
        <v>0</v>
      </c>
      <c r="I58" s="286">
        <f t="shared" ca="1" si="18"/>
        <v>0</v>
      </c>
      <c r="K58" s="42"/>
      <c r="L58" s="21"/>
    </row>
    <row r="59" spans="1:12" s="87" customFormat="1" ht="18" customHeight="1" thickBot="1">
      <c r="A59" s="97" t="s">
        <v>73</v>
      </c>
      <c r="B59" s="287"/>
      <c r="C59" s="287">
        <f t="shared" ref="C59:I59" ca="1" si="19">SUM(C53:C58)</f>
        <v>0</v>
      </c>
      <c r="D59" s="287">
        <f t="shared" ca="1" si="19"/>
        <v>0</v>
      </c>
      <c r="E59" s="287">
        <f t="shared" ca="1" si="19"/>
        <v>0</v>
      </c>
      <c r="F59" s="287">
        <f t="shared" ca="1" si="19"/>
        <v>0</v>
      </c>
      <c r="G59" s="287">
        <f t="shared" ca="1" si="19"/>
        <v>0</v>
      </c>
      <c r="H59" s="287">
        <f t="shared" ca="1" si="19"/>
        <v>0</v>
      </c>
      <c r="I59" s="287">
        <f t="shared" ca="1" si="19"/>
        <v>0</v>
      </c>
      <c r="J59" s="91" t="str">
        <f ca="1">IF(ROUND(SUM(B59:I59)-SUM(B140:I140),2)&lt;&gt;0,"Warning Check Escalations","OK")</f>
        <v>OK</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18.75" customHeight="1" outlineLevel="1">
      <c r="A62" s="77"/>
      <c r="B62" s="76"/>
      <c r="C62" s="76"/>
      <c r="D62" s="76"/>
      <c r="E62" s="76"/>
      <c r="F62" s="76"/>
      <c r="G62" s="76"/>
      <c r="H62" s="76"/>
      <c r="I62" s="76"/>
      <c r="K62" s="42"/>
    </row>
    <row r="63" spans="1:12" s="2" customFormat="1" outlineLevel="1">
      <c r="A63" s="58" t="s">
        <v>126</v>
      </c>
      <c r="B63" s="78"/>
      <c r="C63" s="78"/>
      <c r="D63" s="78"/>
      <c r="E63" s="78"/>
      <c r="F63" s="78"/>
      <c r="G63" s="78"/>
      <c r="H63" s="78"/>
      <c r="I63" s="78"/>
      <c r="K63" s="60"/>
      <c r="L63" s="60"/>
    </row>
    <row r="64" spans="1:12" s="64" customFormat="1" ht="12.75" customHeight="1" outlineLevel="1">
      <c r="A64" s="61" t="s">
        <v>68</v>
      </c>
      <c r="B64" s="285">
        <f t="shared" ref="B64:I65" ca="1" si="20">+B42+B30+B53</f>
        <v>0</v>
      </c>
      <c r="C64" s="285">
        <f t="shared" ca="1" si="20"/>
        <v>0</v>
      </c>
      <c r="D64" s="285">
        <f t="shared" ca="1" si="20"/>
        <v>0</v>
      </c>
      <c r="E64" s="285">
        <f t="shared" ca="1" si="20"/>
        <v>0</v>
      </c>
      <c r="F64" s="285">
        <f t="shared" ca="1" si="20"/>
        <v>0</v>
      </c>
      <c r="G64" s="285">
        <f t="shared" ca="1" si="20"/>
        <v>0</v>
      </c>
      <c r="H64" s="285">
        <f t="shared" ca="1" si="20"/>
        <v>0</v>
      </c>
      <c r="I64" s="285">
        <f t="shared" ca="1" si="20"/>
        <v>0</v>
      </c>
      <c r="K64" s="63"/>
      <c r="L64" s="63"/>
    </row>
    <row r="65" spans="1:20" ht="12.75" customHeight="1" outlineLevel="1">
      <c r="A65" s="61" t="s">
        <v>69</v>
      </c>
      <c r="B65" s="285">
        <f t="shared" ca="1" si="20"/>
        <v>0</v>
      </c>
      <c r="C65" s="285">
        <f t="shared" ca="1" si="20"/>
        <v>0</v>
      </c>
      <c r="D65" s="285">
        <f t="shared" ca="1" si="20"/>
        <v>0</v>
      </c>
      <c r="E65" s="285">
        <f t="shared" ca="1" si="20"/>
        <v>0</v>
      </c>
      <c r="F65" s="285">
        <f t="shared" ca="1" si="20"/>
        <v>0</v>
      </c>
      <c r="G65" s="285">
        <f t="shared" ca="1" si="20"/>
        <v>0</v>
      </c>
      <c r="H65" s="285">
        <f t="shared" ca="1" si="20"/>
        <v>0</v>
      </c>
      <c r="I65" s="285">
        <f t="shared" ca="1" si="20"/>
        <v>0</v>
      </c>
      <c r="K65" s="42"/>
      <c r="L65" s="21"/>
    </row>
    <row r="66" spans="1:20" s="759" customFormat="1" ht="12.75" customHeight="1" outlineLevel="1">
      <c r="A66" s="61" t="s">
        <v>646</v>
      </c>
      <c r="B66" s="285">
        <f t="shared" ref="B66:I66" ca="1" si="21">+B44+B32+B55</f>
        <v>0</v>
      </c>
      <c r="C66" s="285">
        <f t="shared" ca="1" si="21"/>
        <v>0</v>
      </c>
      <c r="D66" s="285">
        <f t="shared" ca="1" si="21"/>
        <v>0</v>
      </c>
      <c r="E66" s="285">
        <f t="shared" ca="1" si="21"/>
        <v>0</v>
      </c>
      <c r="F66" s="285">
        <f t="shared" ca="1" si="21"/>
        <v>0</v>
      </c>
      <c r="G66" s="285">
        <f t="shared" ca="1" si="21"/>
        <v>0</v>
      </c>
      <c r="H66" s="285">
        <f t="shared" ca="1" si="21"/>
        <v>0</v>
      </c>
      <c r="I66" s="285">
        <f t="shared" ca="1" si="21"/>
        <v>0</v>
      </c>
      <c r="K66" s="42"/>
      <c r="L66" s="732"/>
    </row>
    <row r="67" spans="1:20" ht="12.75" customHeight="1" outlineLevel="1">
      <c r="A67" s="61" t="s">
        <v>647</v>
      </c>
      <c r="B67" s="285">
        <f t="shared" ref="B67:I67" ca="1" si="22">+B45+B33+B56</f>
        <v>0</v>
      </c>
      <c r="C67" s="285">
        <f t="shared" ca="1" si="22"/>
        <v>0</v>
      </c>
      <c r="D67" s="285">
        <f t="shared" ca="1" si="22"/>
        <v>9.6736987014919812E-2</v>
      </c>
      <c r="E67" s="285">
        <f t="shared" ca="1" si="22"/>
        <v>0.15</v>
      </c>
      <c r="F67" s="285">
        <f t="shared" ca="1" si="22"/>
        <v>0.2</v>
      </c>
      <c r="G67" s="285">
        <f t="shared" ca="1" si="22"/>
        <v>0.25</v>
      </c>
      <c r="H67" s="285">
        <f t="shared" ca="1" si="22"/>
        <v>0.3</v>
      </c>
      <c r="I67" s="285">
        <f t="shared" ca="1" si="22"/>
        <v>0.35</v>
      </c>
      <c r="K67" s="42"/>
      <c r="L67" s="21"/>
    </row>
    <row r="68" spans="1:20" s="759" customFormat="1" ht="12.75" customHeight="1" outlineLevel="1">
      <c r="A68" s="61" t="s">
        <v>575</v>
      </c>
      <c r="B68" s="285">
        <f t="shared" ref="B68:I68" ca="1" si="23">+B46+B34+B57</f>
        <v>0</v>
      </c>
      <c r="C68" s="285">
        <f t="shared" ca="1" si="23"/>
        <v>0</v>
      </c>
      <c r="D68" s="285">
        <f t="shared" ca="1" si="23"/>
        <v>0</v>
      </c>
      <c r="E68" s="285">
        <f t="shared" ca="1" si="23"/>
        <v>0</v>
      </c>
      <c r="F68" s="285">
        <f t="shared" ca="1" si="23"/>
        <v>0</v>
      </c>
      <c r="G68" s="285">
        <f t="shared" ca="1" si="23"/>
        <v>0</v>
      </c>
      <c r="H68" s="285">
        <f t="shared" ca="1" si="23"/>
        <v>0</v>
      </c>
      <c r="I68" s="285">
        <f t="shared" ca="1" si="23"/>
        <v>0</v>
      </c>
      <c r="K68" s="42"/>
      <c r="L68" s="732"/>
    </row>
    <row r="69" spans="1:20" ht="12.75" customHeight="1" outlineLevel="1" thickBot="1">
      <c r="A69" s="83" t="s">
        <v>70</v>
      </c>
      <c r="B69" s="286">
        <f t="shared" ref="B69:I69" ca="1" si="24">+B47+B35+B58</f>
        <v>0</v>
      </c>
      <c r="C69" s="286">
        <f t="shared" ca="1" si="24"/>
        <v>0</v>
      </c>
      <c r="D69" s="286">
        <f t="shared" ca="1" si="24"/>
        <v>0</v>
      </c>
      <c r="E69" s="286">
        <f t="shared" ca="1" si="24"/>
        <v>0</v>
      </c>
      <c r="F69" s="286">
        <f t="shared" ca="1" si="24"/>
        <v>0</v>
      </c>
      <c r="G69" s="286">
        <f t="shared" ca="1" si="24"/>
        <v>0</v>
      </c>
      <c r="H69" s="286">
        <f t="shared" ca="1" si="24"/>
        <v>0</v>
      </c>
      <c r="I69" s="286">
        <f t="shared" ca="1" si="24"/>
        <v>0</v>
      </c>
      <c r="K69" s="42"/>
      <c r="L69" s="21"/>
    </row>
    <row r="70" spans="1:20" s="87" customFormat="1" ht="18" customHeight="1" thickBot="1">
      <c r="A70" s="99" t="s">
        <v>129</v>
      </c>
      <c r="B70" s="295">
        <f t="shared" ref="B70:I70" ca="1" si="25">SUM(B64:B69)</f>
        <v>0</v>
      </c>
      <c r="C70" s="295">
        <f t="shared" ca="1" si="25"/>
        <v>0</v>
      </c>
      <c r="D70" s="295">
        <f t="shared" ca="1" si="25"/>
        <v>9.6736987014919812E-2</v>
      </c>
      <c r="E70" s="295">
        <f t="shared" ca="1" si="25"/>
        <v>0.15</v>
      </c>
      <c r="F70" s="295">
        <f t="shared" ca="1" si="25"/>
        <v>0.2</v>
      </c>
      <c r="G70" s="295">
        <f t="shared" ca="1" si="25"/>
        <v>0.25</v>
      </c>
      <c r="H70" s="295">
        <f t="shared" ca="1" si="25"/>
        <v>0.3</v>
      </c>
      <c r="I70" s="295">
        <f t="shared" ca="1" si="25"/>
        <v>0.35</v>
      </c>
      <c r="J70" s="91" t="str">
        <f ca="1">IF(ROUND(SUM(B48:I48)+SUM(B36:I36)+SUM(B59:I59)-SUM(B70:I70),3)&lt;&gt;0,"Warning Check Totals","OK")</f>
        <v>OK</v>
      </c>
      <c r="L70" s="86"/>
    </row>
    <row r="71" spans="1:20">
      <c r="A71" s="88"/>
      <c r="B71" s="89"/>
      <c r="C71" s="89"/>
      <c r="D71" s="89"/>
      <c r="E71" s="89"/>
      <c r="F71" s="89"/>
      <c r="G71" s="89"/>
      <c r="H71" s="89"/>
      <c r="I71" s="89"/>
      <c r="J71" s="100"/>
    </row>
    <row r="72" spans="1:20">
      <c r="A72" s="92"/>
      <c r="B72" s="95"/>
      <c r="C72" s="95"/>
      <c r="D72" s="95"/>
      <c r="E72" s="95"/>
      <c r="F72" s="95"/>
      <c r="G72" s="95"/>
      <c r="H72" s="95"/>
      <c r="I72" s="95"/>
      <c r="J72" s="100"/>
    </row>
    <row r="73" spans="1:20" ht="18">
      <c r="A73" s="206" t="s">
        <v>130</v>
      </c>
      <c r="B73" s="200"/>
      <c r="C73" s="204">
        <v>2</v>
      </c>
      <c r="D73" s="204">
        <f t="shared" ref="D73:I73" si="26">+C73+1</f>
        <v>3</v>
      </c>
      <c r="E73" s="204">
        <f t="shared" si="26"/>
        <v>4</v>
      </c>
      <c r="F73" s="204">
        <f t="shared" si="26"/>
        <v>5</v>
      </c>
      <c r="G73" s="204">
        <f t="shared" si="26"/>
        <v>6</v>
      </c>
      <c r="H73" s="204">
        <f t="shared" si="26"/>
        <v>7</v>
      </c>
      <c r="I73" s="205">
        <f t="shared" si="26"/>
        <v>8</v>
      </c>
      <c r="J73" s="201" t="s">
        <v>131</v>
      </c>
      <c r="K73" s="201" t="s">
        <v>131</v>
      </c>
    </row>
    <row r="74" spans="1:20" ht="13.5" outlineLevel="1" thickBot="1">
      <c r="A74" s="208" t="s">
        <v>132</v>
      </c>
      <c r="B74" s="209"/>
      <c r="C74" s="209"/>
      <c r="D74" s="209"/>
      <c r="E74" s="209"/>
      <c r="F74" s="209"/>
      <c r="G74" s="209"/>
      <c r="H74" s="209"/>
      <c r="I74" s="210"/>
      <c r="J74" s="211" t="s">
        <v>133</v>
      </c>
      <c r="K74" s="211" t="s">
        <v>134</v>
      </c>
      <c r="N74" s="410" t="s">
        <v>376</v>
      </c>
    </row>
    <row r="75" spans="1:20" ht="13.5" outlineLevel="1" thickBot="1">
      <c r="A75" s="212" t="s">
        <v>135</v>
      </c>
      <c r="B75" s="213"/>
      <c r="C75" s="213"/>
      <c r="D75" s="213"/>
      <c r="E75" s="213"/>
      <c r="F75" s="213"/>
      <c r="G75" s="213"/>
      <c r="H75" s="213"/>
      <c r="I75" s="213"/>
      <c r="J75" s="211"/>
      <c r="K75" s="211"/>
      <c r="N75" s="57" t="str">
        <f t="array" ref="N75:T75">LU_TemplateYearHeader2</f>
        <v>2013/14</v>
      </c>
      <c r="O75" s="57" t="str">
        <v>2014/15</v>
      </c>
      <c r="P75" s="57" t="str">
        <v>2015/16</v>
      </c>
      <c r="Q75" s="57" t="str">
        <v>2016/17</v>
      </c>
      <c r="R75" s="57" t="str">
        <v>2017/18</v>
      </c>
      <c r="S75" s="57" t="str">
        <v>2018/19</v>
      </c>
      <c r="T75" s="57" t="str">
        <v>2019/20</v>
      </c>
    </row>
    <row r="76" spans="1:20" ht="25.5" outlineLevel="1">
      <c r="A76" s="58" t="s">
        <v>74</v>
      </c>
      <c r="B76" s="57" t="s">
        <v>136</v>
      </c>
      <c r="C76" s="57" t="str">
        <f t="array" ref="C76:I76">LU_TemplateYearHeader2</f>
        <v>2013/14</v>
      </c>
      <c r="D76" s="57" t="str">
        <v>2014/15</v>
      </c>
      <c r="E76" s="57" t="str">
        <v>2015/16</v>
      </c>
      <c r="F76" s="57" t="str">
        <v>2016/17</v>
      </c>
      <c r="G76" s="57" t="str">
        <v>2017/18</v>
      </c>
      <c r="H76" s="57" t="str">
        <v>2018/19</v>
      </c>
      <c r="I76" s="57" t="str">
        <v>2019/20</v>
      </c>
    </row>
    <row r="77" spans="1:20" outlineLevel="1">
      <c r="A77" s="101" t="s">
        <v>714</v>
      </c>
      <c r="B77" s="102" t="s">
        <v>68</v>
      </c>
      <c r="C77" s="103">
        <f t="shared" ref="C77:C82" si="27">IF($K77="No",0,VLOOKUP($A77,Escalations_Specific_Costs,+C$73,FALSE))</f>
        <v>0</v>
      </c>
      <c r="D77" s="103">
        <f t="shared" ref="D77:I79" si="28">IF($K77="No",0,IF($J77="one-off",VLOOKUP($A77,Escalations_Specific_Costs,+D$73,FALSE),(VLOOKUP($A77,Escalations_Specific_Costs,+D$73,FALSE)+1)*(1+C77)-1))</f>
        <v>0</v>
      </c>
      <c r="E77" s="103">
        <f t="shared" si="28"/>
        <v>1.0609958281235121E-2</v>
      </c>
      <c r="F77" s="103">
        <f t="shared" si="28"/>
        <v>2.0440995123611749E-2</v>
      </c>
      <c r="G77" s="103">
        <f t="shared" si="28"/>
        <v>3.0158865876212859E-2</v>
      </c>
      <c r="H77" s="103">
        <f t="shared" si="28"/>
        <v>4.0701975146995695E-2</v>
      </c>
      <c r="I77" s="104">
        <f t="shared" si="28"/>
        <v>5.035954214400018E-2</v>
      </c>
      <c r="J77" s="105" t="str">
        <f t="shared" ref="J77:J82" si="29">IF(ISNA(VLOOKUP($A77,Escalations_Specific_Costs,+I$73+3,FALSE)),0,VLOOKUP($A77,Escalations_Specific_Costs,+I$73+3,FALSE))</f>
        <v>Cumulative</v>
      </c>
      <c r="K77" s="106" t="str">
        <f t="shared" ref="K77:K82" si="30">IF(ISNA(VLOOKUP($A77,Escalations_Specific_Costs,1,FALSE)),"No","Yes")</f>
        <v>Yes</v>
      </c>
      <c r="M77" s="103"/>
      <c r="N77" s="285">
        <f ca="1">IF($B77&lt;&gt;0,(+VLOOKUP($B77,$A$8:$I$13,3,FALSE))*(C77),0)</f>
        <v>0</v>
      </c>
      <c r="O77" s="285">
        <f ca="1">IF($B77&lt;&gt;0,(+VLOOKUP($B77,$A$8:$I$13,4,FALSE))*(D77),0)</f>
        <v>0</v>
      </c>
      <c r="P77" s="285">
        <f ca="1">IF($B77&lt;&gt;0,(+VLOOKUP($B77,$A$8:$I$13,5,FALSE))*(E77),0)</f>
        <v>0</v>
      </c>
      <c r="Q77" s="285">
        <f ca="1">IF($B77&lt;&gt;0,(+VLOOKUP($B77,$A$8:$I$13,6,FALSE))*(F77),0)</f>
        <v>0</v>
      </c>
      <c r="R77" s="285">
        <f ca="1">IF($B77&lt;&gt;0,(+VLOOKUP($B77,$A$8:$I$13,7,FALSE))*(G77),0)</f>
        <v>0</v>
      </c>
      <c r="S77" s="285">
        <f ca="1">IF($B77&lt;&gt;0,(+VLOOKUP($B77,$A$8:$I$13,8,FALSE))*(H77),0)</f>
        <v>0</v>
      </c>
      <c r="T77" s="285">
        <f ca="1">IF($B77&lt;&gt;0,(+VLOOKUP($B77,$A$8:$I$13,9,FALSE))*(I77),0)</f>
        <v>0</v>
      </c>
    </row>
    <row r="78" spans="1:20" outlineLevel="1">
      <c r="A78" s="101" t="s">
        <v>714</v>
      </c>
      <c r="B78" s="102" t="s">
        <v>69</v>
      </c>
      <c r="C78" s="103">
        <f t="shared" si="27"/>
        <v>0</v>
      </c>
      <c r="D78" s="103">
        <f t="shared" si="28"/>
        <v>0</v>
      </c>
      <c r="E78" s="103">
        <f t="shared" si="28"/>
        <v>1.0609958281235121E-2</v>
      </c>
      <c r="F78" s="103">
        <f t="shared" si="28"/>
        <v>2.0440995123611749E-2</v>
      </c>
      <c r="G78" s="103">
        <f t="shared" si="28"/>
        <v>3.0158865876212859E-2</v>
      </c>
      <c r="H78" s="103">
        <f t="shared" si="28"/>
        <v>4.0701975146995695E-2</v>
      </c>
      <c r="I78" s="104">
        <f t="shared" si="28"/>
        <v>5.035954214400018E-2</v>
      </c>
      <c r="J78" s="105" t="str">
        <f t="shared" si="29"/>
        <v>Cumulative</v>
      </c>
      <c r="K78" s="106" t="str">
        <f t="shared" si="30"/>
        <v>Yes</v>
      </c>
      <c r="M78" s="103"/>
      <c r="N78" s="285">
        <f ca="1">IF($B78&lt;&gt;0,(+VLOOKUP($B78,$A$8:$I$13,3,FALSE))*(C78),0)</f>
        <v>0</v>
      </c>
      <c r="O78" s="285">
        <f ca="1">IF($B78&lt;&gt;0,(+VLOOKUP($B78,$A$8:$I$13,4,FALSE))*(D78),0)</f>
        <v>0</v>
      </c>
      <c r="P78" s="285">
        <f ca="1">IF($B78&lt;&gt;0,(+VLOOKUP($B78,$A$8:$I$13,5,FALSE))*(E78),0)</f>
        <v>0</v>
      </c>
      <c r="Q78" s="285">
        <f ca="1">IF($B78&lt;&gt;0,(+VLOOKUP($B78,$A$8:$I$13,6,FALSE))*(F78),0)</f>
        <v>0</v>
      </c>
      <c r="R78" s="285">
        <f ca="1">IF($B78&lt;&gt;0,(+VLOOKUP($B78,$A$8:$I$13,7,FALSE))*(G78),0)</f>
        <v>0</v>
      </c>
      <c r="S78" s="285">
        <f ca="1">IF($B78&lt;&gt;0,(+VLOOKUP($B78,$A$8:$I$13,8,FALSE))*(H78),0)</f>
        <v>0</v>
      </c>
      <c r="T78" s="285">
        <f ca="1">IF($B78&lt;&gt;0,(+VLOOKUP($B78,$A$8:$I$13,9,FALSE))*(I78),0)</f>
        <v>0</v>
      </c>
    </row>
    <row r="79" spans="1:20" outlineLevel="1">
      <c r="A79" s="101" t="s">
        <v>714</v>
      </c>
      <c r="B79" s="102" t="s">
        <v>646</v>
      </c>
      <c r="C79" s="103">
        <f t="shared" si="27"/>
        <v>0</v>
      </c>
      <c r="D79" s="103">
        <f t="shared" si="28"/>
        <v>0</v>
      </c>
      <c r="E79" s="103">
        <f t="shared" si="28"/>
        <v>1.0609958281235121E-2</v>
      </c>
      <c r="F79" s="103">
        <f t="shared" si="28"/>
        <v>2.0440995123611749E-2</v>
      </c>
      <c r="G79" s="103">
        <f t="shared" si="28"/>
        <v>3.0158865876212859E-2</v>
      </c>
      <c r="H79" s="103">
        <f t="shared" si="28"/>
        <v>4.0701975146995695E-2</v>
      </c>
      <c r="I79" s="104">
        <f t="shared" si="28"/>
        <v>5.035954214400018E-2</v>
      </c>
      <c r="J79" s="105" t="str">
        <f t="shared" si="29"/>
        <v>Cumulative</v>
      </c>
      <c r="K79" s="106" t="str">
        <f t="shared" si="30"/>
        <v>Yes</v>
      </c>
      <c r="M79" s="103"/>
      <c r="N79" s="285">
        <f t="shared" ref="N79:N80" ca="1" si="31">IF($B79&lt;&gt;0,(+VLOOKUP($B79,$A$8:$I$13,3,FALSE))*(C79),0)</f>
        <v>0</v>
      </c>
      <c r="O79" s="285">
        <f t="shared" ref="O79:O80" ca="1" si="32">IF($B79&lt;&gt;0,(+VLOOKUP($B79,$A$8:$I$13,4,FALSE))*(D79),0)</f>
        <v>0</v>
      </c>
      <c r="P79" s="285">
        <f t="shared" ref="P79:P80" ca="1" si="33">IF($B79&lt;&gt;0,(+VLOOKUP($B79,$A$8:$I$13,5,FALSE))*(E79),0)</f>
        <v>0</v>
      </c>
      <c r="Q79" s="285">
        <f t="shared" ref="Q79:Q80" ca="1" si="34">IF($B79&lt;&gt;0,(+VLOOKUP($B79,$A$8:$I$13,6,FALSE))*(F79),0)</f>
        <v>0</v>
      </c>
      <c r="R79" s="285">
        <f t="shared" ref="R79:R80" ca="1" si="35">IF($B79&lt;&gt;0,(+VLOOKUP($B79,$A$8:$I$13,7,FALSE))*(G79),0)</f>
        <v>0</v>
      </c>
      <c r="S79" s="285">
        <f t="shared" ref="S79:S80" ca="1" si="36">IF($B79&lt;&gt;0,(+VLOOKUP($B79,$A$8:$I$13,8,FALSE))*(H79),0)</f>
        <v>0</v>
      </c>
      <c r="T79" s="285">
        <f t="shared" ref="T79:T80" ca="1" si="37">IF($B79&lt;&gt;0,(+VLOOKUP($B79,$A$8:$I$13,9,FALSE))*(I79),0)</f>
        <v>0</v>
      </c>
    </row>
    <row r="80" spans="1:20" outlineLevel="1">
      <c r="A80" s="101" t="s">
        <v>714</v>
      </c>
      <c r="B80" s="102" t="s">
        <v>647</v>
      </c>
      <c r="C80" s="103">
        <f t="shared" si="27"/>
        <v>0</v>
      </c>
      <c r="D80" s="103">
        <f t="shared" ref="D80:D82" si="38">IF($K80="No",0,IF($J80="one-off",VLOOKUP($A80,Escalations_Specific_Costs,+D$73,FALSE),(VLOOKUP($A80,Escalations_Specific_Costs,+D$73,FALSE)+1)*(1+C80)-1))</f>
        <v>0</v>
      </c>
      <c r="E80" s="103">
        <f t="shared" ref="E80:E82" si="39">IF($K80="No",0,IF($J80="one-off",VLOOKUP($A80,Escalations_Specific_Costs,+E$73,FALSE),(VLOOKUP($A80,Escalations_Specific_Costs,+E$73,FALSE)+1)*(1+D80)-1))</f>
        <v>1.0609958281235121E-2</v>
      </c>
      <c r="F80" s="103">
        <f t="shared" ref="F80:F82" si="40">IF($K80="No",0,IF($J80="one-off",VLOOKUP($A80,Escalations_Specific_Costs,+F$73,FALSE),(VLOOKUP($A80,Escalations_Specific_Costs,+F$73,FALSE)+1)*(1+E80)-1))</f>
        <v>2.0440995123611749E-2</v>
      </c>
      <c r="G80" s="103">
        <f t="shared" ref="G80:G82" si="41">IF($K80="No",0,IF($J80="one-off",VLOOKUP($A80,Escalations_Specific_Costs,+G$73,FALSE),(VLOOKUP($A80,Escalations_Specific_Costs,+G$73,FALSE)+1)*(1+F80)-1))</f>
        <v>3.0158865876212859E-2</v>
      </c>
      <c r="H80" s="103">
        <f t="shared" ref="H80:H82" si="42">IF($K80="No",0,IF($J80="one-off",VLOOKUP($A80,Escalations_Specific_Costs,+H$73,FALSE),(VLOOKUP($A80,Escalations_Specific_Costs,+H$73,FALSE)+1)*(1+G80)-1))</f>
        <v>4.0701975146995695E-2</v>
      </c>
      <c r="I80" s="104">
        <f t="shared" ref="I80:I82" si="43">IF($K80="No",0,IF($J80="one-off",VLOOKUP($A80,Escalations_Specific_Costs,+I$73,FALSE),(VLOOKUP($A80,Escalations_Specific_Costs,+I$73,FALSE)+1)*(1+H80)-1))</f>
        <v>5.035954214400018E-2</v>
      </c>
      <c r="J80" s="105" t="str">
        <f t="shared" si="29"/>
        <v>Cumulative</v>
      </c>
      <c r="K80" s="106" t="str">
        <f t="shared" si="30"/>
        <v>Yes</v>
      </c>
      <c r="L80" s="788"/>
      <c r="M80" s="103"/>
      <c r="N80" s="285">
        <f t="shared" ca="1" si="31"/>
        <v>0</v>
      </c>
      <c r="O80" s="285">
        <f t="shared" ca="1" si="32"/>
        <v>0</v>
      </c>
      <c r="P80" s="285">
        <f t="shared" ca="1" si="33"/>
        <v>0</v>
      </c>
      <c r="Q80" s="285">
        <f t="shared" ca="1" si="34"/>
        <v>0</v>
      </c>
      <c r="R80" s="285">
        <f t="shared" ca="1" si="35"/>
        <v>0</v>
      </c>
      <c r="S80" s="285">
        <f t="shared" ca="1" si="36"/>
        <v>0</v>
      </c>
      <c r="T80" s="285">
        <f t="shared" ca="1" si="37"/>
        <v>0</v>
      </c>
    </row>
    <row r="81" spans="1:20" outlineLevel="1">
      <c r="A81" s="101" t="s">
        <v>714</v>
      </c>
      <c r="B81" s="102" t="s">
        <v>575</v>
      </c>
      <c r="C81" s="103">
        <f t="shared" si="27"/>
        <v>0</v>
      </c>
      <c r="D81" s="103">
        <f t="shared" si="38"/>
        <v>0</v>
      </c>
      <c r="E81" s="103">
        <f t="shared" si="39"/>
        <v>1.0609958281235121E-2</v>
      </c>
      <c r="F81" s="103">
        <f t="shared" si="40"/>
        <v>2.0440995123611749E-2</v>
      </c>
      <c r="G81" s="103">
        <f t="shared" si="41"/>
        <v>3.0158865876212859E-2</v>
      </c>
      <c r="H81" s="103">
        <f t="shared" si="42"/>
        <v>4.0701975146995695E-2</v>
      </c>
      <c r="I81" s="104">
        <f t="shared" si="43"/>
        <v>5.035954214400018E-2</v>
      </c>
      <c r="J81" s="105" t="str">
        <f t="shared" si="29"/>
        <v>Cumulative</v>
      </c>
      <c r="K81" s="106" t="str">
        <f t="shared" si="30"/>
        <v>Yes</v>
      </c>
      <c r="L81" s="788"/>
      <c r="M81" s="103"/>
      <c r="N81" s="285">
        <f ca="1">IF($B81&lt;&gt;0,(+VLOOKUP($B81,$A$8:$I$13,3,FALSE))*(C81),0)</f>
        <v>0</v>
      </c>
      <c r="O81" s="285">
        <f ca="1">IF($B81&lt;&gt;0,(+VLOOKUP($B81,$A$8:$I$13,4,FALSE))*(D81),0)</f>
        <v>0</v>
      </c>
      <c r="P81" s="285">
        <f ca="1">IF($B81&lt;&gt;0,(+VLOOKUP($B81,$A$8:$I$13,5,FALSE))*(E81),0)</f>
        <v>0</v>
      </c>
      <c r="Q81" s="285">
        <f ca="1">IF($B81&lt;&gt;0,(+VLOOKUP($B81,$A$8:$I$13,6,FALSE))*(F81),0)</f>
        <v>0</v>
      </c>
      <c r="R81" s="285">
        <f ca="1">IF($B81&lt;&gt;0,(+VLOOKUP($B81,$A$8:$I$13,7,FALSE))*(G81),0)</f>
        <v>0</v>
      </c>
      <c r="S81" s="285">
        <f ca="1">IF($B81&lt;&gt;0,(+VLOOKUP($B81,$A$8:$I$13,8,FALSE))*(H81),0)</f>
        <v>0</v>
      </c>
      <c r="T81" s="285">
        <f ca="1">IF($B81&lt;&gt;0,(+VLOOKUP($B81,$A$8:$I$13,9,FALSE))*(I81),0)</f>
        <v>0</v>
      </c>
    </row>
    <row r="82" spans="1:20" outlineLevel="1">
      <c r="A82" s="101" t="s">
        <v>714</v>
      </c>
      <c r="B82" s="102" t="s">
        <v>70</v>
      </c>
      <c r="C82" s="103">
        <f t="shared" si="27"/>
        <v>0</v>
      </c>
      <c r="D82" s="103">
        <f t="shared" si="38"/>
        <v>0</v>
      </c>
      <c r="E82" s="103">
        <f t="shared" si="39"/>
        <v>1.0609958281235121E-2</v>
      </c>
      <c r="F82" s="103">
        <f t="shared" si="40"/>
        <v>2.0440995123611749E-2</v>
      </c>
      <c r="G82" s="103">
        <f t="shared" si="41"/>
        <v>3.0158865876212859E-2</v>
      </c>
      <c r="H82" s="103">
        <f t="shared" si="42"/>
        <v>4.0701975146995695E-2</v>
      </c>
      <c r="I82" s="104">
        <f t="shared" si="43"/>
        <v>5.035954214400018E-2</v>
      </c>
      <c r="J82" s="105" t="str">
        <f t="shared" si="29"/>
        <v>Cumulative</v>
      </c>
      <c r="K82" s="106" t="str">
        <f t="shared" si="30"/>
        <v>Yes</v>
      </c>
      <c r="L82" s="788"/>
      <c r="M82" s="103"/>
      <c r="N82" s="285">
        <f t="shared" ref="N82" ca="1" si="44">IF($B82&lt;&gt;0,(+VLOOKUP($B82,$A$8:$I$13,3,FALSE))*(C82),0)</f>
        <v>0</v>
      </c>
      <c r="O82" s="285">
        <f t="shared" ref="O82" ca="1" si="45">IF($B82&lt;&gt;0,(+VLOOKUP($B82,$A$8:$I$13,4,FALSE))*(D82),0)</f>
        <v>0</v>
      </c>
      <c r="P82" s="285">
        <f t="shared" ref="P82" ca="1" si="46">IF($B82&lt;&gt;0,(+VLOOKUP($B82,$A$8:$I$13,5,FALSE))*(E82),0)</f>
        <v>0</v>
      </c>
      <c r="Q82" s="285">
        <f t="shared" ref="Q82" ca="1" si="47">IF($B82&lt;&gt;0,(+VLOOKUP($B82,$A$8:$I$13,6,FALSE))*(F82),0)</f>
        <v>0</v>
      </c>
      <c r="R82" s="285">
        <f t="shared" ref="R82" ca="1" si="48">IF($B82&lt;&gt;0,(+VLOOKUP($B82,$A$8:$I$13,7,FALSE))*(G82),0)</f>
        <v>0</v>
      </c>
      <c r="S82" s="285">
        <f t="shared" ref="S82" ca="1" si="49">IF($B82&lt;&gt;0,(+VLOOKUP($B82,$A$8:$I$13,8,FALSE))*(H82),0)</f>
        <v>0</v>
      </c>
      <c r="T82" s="285">
        <f t="shared" ref="T82" ca="1" si="50">IF($B82&lt;&gt;0,(+VLOOKUP($B82,$A$8:$I$13,9,FALSE))*(I82),0)</f>
        <v>0</v>
      </c>
    </row>
    <row r="83" spans="1:20" ht="11.25" customHeight="1" outlineLevel="1" thickBot="1">
      <c r="A83" s="214" t="s">
        <v>161</v>
      </c>
      <c r="B83" s="202"/>
      <c r="C83" s="202"/>
      <c r="D83" s="202"/>
      <c r="E83" s="202"/>
      <c r="F83" s="202"/>
      <c r="G83" s="202"/>
      <c r="H83" s="202"/>
      <c r="I83" s="203"/>
      <c r="J83" s="3"/>
      <c r="K83" s="3"/>
      <c r="L83" s="3"/>
      <c r="N83" s="292">
        <f ca="1">SUM(N77:N82)</f>
        <v>0</v>
      </c>
      <c r="O83" s="292">
        <f t="shared" ref="O83:T83" ca="1" si="51">SUM(O77:O82)</f>
        <v>0</v>
      </c>
      <c r="P83" s="292">
        <f t="shared" ca="1" si="51"/>
        <v>0</v>
      </c>
      <c r="Q83" s="292">
        <f t="shared" ca="1" si="51"/>
        <v>0</v>
      </c>
      <c r="R83" s="292">
        <f t="shared" ca="1" si="51"/>
        <v>0</v>
      </c>
      <c r="S83" s="292">
        <f t="shared" ca="1" si="51"/>
        <v>0</v>
      </c>
      <c r="T83" s="292">
        <f t="shared" ca="1" si="51"/>
        <v>0</v>
      </c>
    </row>
    <row r="84" spans="1:20" ht="12" customHeight="1" outlineLevel="1" thickBot="1">
      <c r="B84" s="42"/>
      <c r="C84" s="42"/>
      <c r="D84" s="42"/>
      <c r="E84" s="42"/>
      <c r="F84" s="42"/>
      <c r="G84" s="42"/>
      <c r="H84" s="42"/>
      <c r="I84" s="78"/>
      <c r="M84" s="411" t="s">
        <v>373</v>
      </c>
      <c r="N84" s="412">
        <f ca="1">ROUND(N83-C104,3)</f>
        <v>0</v>
      </c>
      <c r="O84" s="412">
        <f t="shared" ref="O84:T84" ca="1" si="52">ROUND(O83-D104,3)</f>
        <v>0</v>
      </c>
      <c r="P84" s="412">
        <f t="shared" ca="1" si="52"/>
        <v>0</v>
      </c>
      <c r="Q84" s="412">
        <f t="shared" ca="1" si="52"/>
        <v>0</v>
      </c>
      <c r="R84" s="412">
        <f t="shared" ca="1" si="52"/>
        <v>0</v>
      </c>
      <c r="S84" s="412">
        <f t="shared" ca="1" si="52"/>
        <v>0</v>
      </c>
      <c r="T84" s="413">
        <f t="shared" ca="1" si="52"/>
        <v>0</v>
      </c>
    </row>
    <row r="85" spans="1:20" outlineLevel="1">
      <c r="A85" s="208" t="s">
        <v>137</v>
      </c>
      <c r="B85" s="209"/>
      <c r="C85" s="209"/>
      <c r="D85" s="209"/>
      <c r="E85" s="209"/>
      <c r="F85" s="209"/>
      <c r="G85" s="209"/>
      <c r="H85" s="209"/>
      <c r="I85" s="210"/>
    </row>
    <row r="86" spans="1:20" outlineLevel="1">
      <c r="A86" s="107" t="s">
        <v>68</v>
      </c>
      <c r="B86" s="42"/>
      <c r="C86" s="108">
        <f t="array" ref="C86">PRODUCT(IF($B$77:$B$83=$A86,C$77:C$83+1))-IF(COUNTIF($B$77:$B$83,+$A86)=0,0,1)</f>
        <v>0</v>
      </c>
      <c r="D86" s="108">
        <f t="array" ref="D86">PRODUCT(IF($B$77:$B$83=$A86,D$77:D$83+1))-IF(COUNTIF($B$77:$B$83,+$A86)=0,0,1)</f>
        <v>0</v>
      </c>
      <c r="E86" s="108">
        <f t="array" ref="E86">PRODUCT(IF($B$77:$B$83=$A86,E$77:E$83+1))-IF(COUNTIF($B$77:$B$83,+$A86)=0,0,1)</f>
        <v>1.0609958281235121E-2</v>
      </c>
      <c r="F86" s="108">
        <f t="array" ref="F86">PRODUCT(IF($B$77:$B$83=$A86,F$77:F$83+1))-IF(COUNTIF($B$77:$B$83,+$A86)=0,0,1)</f>
        <v>2.0440995123611749E-2</v>
      </c>
      <c r="G86" s="108">
        <f t="array" ref="G86">PRODUCT(IF($B$77:$B$83=$A86,G$77:G$83+1))-IF(COUNTIF($B$77:$B$83,+$A86)=0,0,1)</f>
        <v>3.0158865876212859E-2</v>
      </c>
      <c r="H86" s="108">
        <f t="array" ref="H86">PRODUCT(IF($B$77:$B$83=$A86,H$77:H$83+1))-IF(COUNTIF($B$77:$B$83,+$A86)=0,0,1)</f>
        <v>4.0701975146995695E-2</v>
      </c>
      <c r="I86" s="108">
        <f t="array" ref="I86">PRODUCT(IF($B$77:$B$83=$A86,I$77:I$83+1))-IF(COUNTIF($B$77:$B$83,+$A86)=0,0,1)</f>
        <v>5.035954214400018E-2</v>
      </c>
      <c r="J86" s="109"/>
    </row>
    <row r="87" spans="1:20" outlineLevel="1">
      <c r="A87" s="107" t="s">
        <v>69</v>
      </c>
      <c r="B87" s="42"/>
      <c r="C87" s="108">
        <f t="array" ref="C87">PRODUCT(IF($B$77:$B$83=$A87,C$77:C$83+1))-IF(COUNTIF($B$77:$B$83,+$A87)=0,0,1)</f>
        <v>0</v>
      </c>
      <c r="D87" s="108">
        <f t="array" ref="D87">PRODUCT(IF($B$77:$B$83=$A87,D$77:D$83+1))-IF(COUNTIF($B$77:$B$83,+$A87)=0,0,1)</f>
        <v>0</v>
      </c>
      <c r="E87" s="108">
        <f t="array" ref="E87">PRODUCT(IF($B$77:$B$83=$A87,E$77:E$83+1))-IF(COUNTIF($B$77:$B$83,+$A87)=0,0,1)</f>
        <v>1.0609958281235121E-2</v>
      </c>
      <c r="F87" s="108">
        <f t="array" ref="F87">PRODUCT(IF($B$77:$B$83=$A87,F$77:F$83+1))-IF(COUNTIF($B$77:$B$83,+$A87)=0,0,1)</f>
        <v>2.0440995123611749E-2</v>
      </c>
      <c r="G87" s="108">
        <f t="array" ref="G87">PRODUCT(IF($B$77:$B$83=$A87,G$77:G$83+1))-IF(COUNTIF($B$77:$B$83,+$A87)=0,0,1)</f>
        <v>3.0158865876212859E-2</v>
      </c>
      <c r="H87" s="108">
        <f t="array" ref="H87">PRODUCT(IF($B$77:$B$83=$A87,H$77:H$83+1))-IF(COUNTIF($B$77:$B$83,+$A87)=0,0,1)</f>
        <v>4.0701975146995695E-2</v>
      </c>
      <c r="I87" s="108">
        <f t="array" ref="I87">PRODUCT(IF($B$77:$B$83=$A87,I$77:I$83+1))-IF(COUNTIF($B$77:$B$83,+$A87)=0,0,1)</f>
        <v>5.035954214400018E-2</v>
      </c>
    </row>
    <row r="88" spans="1:20" s="759" customFormat="1" outlineLevel="1">
      <c r="A88" s="107" t="s">
        <v>646</v>
      </c>
      <c r="B88" s="42"/>
      <c r="C88" s="108">
        <f t="array" ref="C88">PRODUCT(IF($B$77:$B$83=$A88,C$77:C$83+1))-IF(COUNTIF($B$77:$B$83,+$A88)=0,0,1)</f>
        <v>0</v>
      </c>
      <c r="D88" s="108">
        <f t="array" ref="D88">PRODUCT(IF($B$77:$B$83=$A88,D$77:D$83+1))-IF(COUNTIF($B$77:$B$83,+$A88)=0,0,1)</f>
        <v>0</v>
      </c>
      <c r="E88" s="108">
        <f t="array" ref="E88">PRODUCT(IF($B$77:$B$83=$A88,E$77:E$83+1))-IF(COUNTIF($B$77:$B$83,+$A88)=0,0,1)</f>
        <v>1.0609958281235121E-2</v>
      </c>
      <c r="F88" s="108">
        <f t="array" ref="F88">PRODUCT(IF($B$77:$B$83=$A88,F$77:F$83+1))-IF(COUNTIF($B$77:$B$83,+$A88)=0,0,1)</f>
        <v>2.0440995123611749E-2</v>
      </c>
      <c r="G88" s="108">
        <f t="array" ref="G88">PRODUCT(IF($B$77:$B$83=$A88,G$77:G$83+1))-IF(COUNTIF($B$77:$B$83,+$A88)=0,0,1)</f>
        <v>3.0158865876212859E-2</v>
      </c>
      <c r="H88" s="108">
        <f t="array" ref="H88">PRODUCT(IF($B$77:$B$83=$A88,H$77:H$83+1))-IF(COUNTIF($B$77:$B$83,+$A88)=0,0,1)</f>
        <v>4.0701975146995695E-2</v>
      </c>
      <c r="I88" s="108">
        <f t="array" ref="I88">PRODUCT(IF($B$77:$B$83=$A88,I$77:I$83+1))-IF(COUNTIF($B$77:$B$83,+$A88)=0,0,1)</f>
        <v>5.035954214400018E-2</v>
      </c>
    </row>
    <row r="89" spans="1:20" outlineLevel="1">
      <c r="A89" s="110" t="s">
        <v>647</v>
      </c>
      <c r="B89" s="42"/>
      <c r="C89" s="108">
        <f t="array" ref="C89">PRODUCT(IF($B$77:$B$83=$A89,C$77:C$83+1))-IF(COUNTIF($B$77:$B$83,+$A89)=0,0,1)</f>
        <v>0</v>
      </c>
      <c r="D89" s="108">
        <f t="array" ref="D89">PRODUCT(IF($B$77:$B$83=$A89,D$77:D$83+1))-IF(COUNTIF($B$77:$B$83,+$A89)=0,0,1)</f>
        <v>0</v>
      </c>
      <c r="E89" s="108">
        <f t="array" ref="E89">PRODUCT(IF($B$77:$B$83=$A89,E$77:E$83+1))-IF(COUNTIF($B$77:$B$83,+$A89)=0,0,1)</f>
        <v>1.0609958281235121E-2</v>
      </c>
      <c r="F89" s="108">
        <f t="array" ref="F89">PRODUCT(IF($B$77:$B$83=$A89,F$77:F$83+1))-IF(COUNTIF($B$77:$B$83,+$A89)=0,0,1)</f>
        <v>2.0440995123611749E-2</v>
      </c>
      <c r="G89" s="108">
        <f t="array" ref="G89">PRODUCT(IF($B$77:$B$83=$A89,G$77:G$83+1))-IF(COUNTIF($B$77:$B$83,+$A89)=0,0,1)</f>
        <v>3.0158865876212859E-2</v>
      </c>
      <c r="H89" s="108">
        <f t="array" ref="H89">PRODUCT(IF($B$77:$B$83=$A89,H$77:H$83+1))-IF(COUNTIF($B$77:$B$83,+$A89)=0,0,1)</f>
        <v>4.0701975146995695E-2</v>
      </c>
      <c r="I89" s="108">
        <f t="array" ref="I89">PRODUCT(IF($B$77:$B$83=$A89,I$77:I$83+1))-IF(COUNTIF($B$77:$B$83,+$A89)=0,0,1)</f>
        <v>5.035954214400018E-2</v>
      </c>
    </row>
    <row r="90" spans="1:20" s="759" customFormat="1" outlineLevel="1">
      <c r="A90" s="110" t="s">
        <v>575</v>
      </c>
      <c r="B90" s="42"/>
      <c r="C90" s="108">
        <f t="array" ref="C90">PRODUCT(IF($B$77:$B$83=$A90,C$77:C$83+1))-IF(COUNTIF($B$77:$B$83,+$A90)=0,0,1)</f>
        <v>0</v>
      </c>
      <c r="D90" s="108">
        <f t="array" ref="D90">PRODUCT(IF($B$77:$B$83=$A90,D$77:D$83+1))-IF(COUNTIF($B$77:$B$83,+$A90)=0,0,1)</f>
        <v>0</v>
      </c>
      <c r="E90" s="108">
        <f t="array" ref="E90">PRODUCT(IF($B$77:$B$83=$A90,E$77:E$83+1))-IF(COUNTIF($B$77:$B$83,+$A90)=0,0,1)</f>
        <v>1.0609958281235121E-2</v>
      </c>
      <c r="F90" s="108">
        <f t="array" ref="F90">PRODUCT(IF($B$77:$B$83=$A90,F$77:F$83+1))-IF(COUNTIF($B$77:$B$83,+$A90)=0,0,1)</f>
        <v>2.0440995123611749E-2</v>
      </c>
      <c r="G90" s="108">
        <f t="array" ref="G90">PRODUCT(IF($B$77:$B$83=$A90,G$77:G$83+1))-IF(COUNTIF($B$77:$B$83,+$A90)=0,0,1)</f>
        <v>3.0158865876212859E-2</v>
      </c>
      <c r="H90" s="108">
        <f t="array" ref="H90">PRODUCT(IF($B$77:$B$83=$A90,H$77:H$83+1))-IF(COUNTIF($B$77:$B$83,+$A90)=0,0,1)</f>
        <v>4.0701975146995695E-2</v>
      </c>
      <c r="I90" s="108">
        <f t="array" ref="I90">PRODUCT(IF($B$77:$B$83=$A90,I$77:I$83+1))-IF(COUNTIF($B$77:$B$83,+$A90)=0,0,1)</f>
        <v>5.035954214400018E-2</v>
      </c>
    </row>
    <row r="91" spans="1:20" ht="13.5" outlineLevel="1" thickBot="1">
      <c r="A91" s="107" t="s">
        <v>70</v>
      </c>
      <c r="B91" s="42"/>
      <c r="C91" s="108">
        <f t="array" ref="C91">PRODUCT(IF($B$77:$B$83=$A91,C$77:C$83+1))-IF(COUNTIF($B$77:$B$83,+$A91)=0,0,1)</f>
        <v>0</v>
      </c>
      <c r="D91" s="108">
        <f t="array" ref="D91">PRODUCT(IF($B$77:$B$83=$A91,D$77:D$83+1))-IF(COUNTIF($B$77:$B$83,+$A91)=0,0,1)</f>
        <v>0</v>
      </c>
      <c r="E91" s="108">
        <f t="array" ref="E91">PRODUCT(IF($B$77:$B$83=$A91,E$77:E$83+1))-IF(COUNTIF($B$77:$B$83,+$A91)=0,0,1)</f>
        <v>1.0609958281235121E-2</v>
      </c>
      <c r="F91" s="108">
        <f t="array" ref="F91">PRODUCT(IF($B$77:$B$83=$A91,F$77:F$83+1))-IF(COUNTIF($B$77:$B$83,+$A91)=0,0,1)</f>
        <v>2.0440995123611749E-2</v>
      </c>
      <c r="G91" s="108">
        <f t="array" ref="G91">PRODUCT(IF($B$77:$B$83=$A91,G$77:G$83+1))-IF(COUNTIF($B$77:$B$83,+$A91)=0,0,1)</f>
        <v>3.0158865876212859E-2</v>
      </c>
      <c r="H91" s="108">
        <f t="array" ref="H91">PRODUCT(IF($B$77:$B$83=$A91,H$77:H$83+1))-IF(COUNTIF($B$77:$B$83,+$A91)=0,0,1)</f>
        <v>4.0701975146995695E-2</v>
      </c>
      <c r="I91" s="108">
        <f t="array" ref="I91">PRODUCT(IF($B$77:$B$83=$A91,I$77:I$83+1))-IF(COUNTIF($B$77:$B$83,+$A91)=0,0,1)</f>
        <v>5.035954214400018E-2</v>
      </c>
    </row>
    <row r="92" spans="1:20" outlineLevel="1">
      <c r="A92" s="111" t="s">
        <v>138</v>
      </c>
      <c r="B92" s="112"/>
      <c r="C92" s="112">
        <f t="array" ref="C92">PRODUCT(IF(C86:C91&lt;&gt;0,C86:C91+1))-IF(SUM(C86:C91)&lt;&gt;0,1,0)</f>
        <v>0</v>
      </c>
      <c r="D92" s="112">
        <f t="array" ref="D92">PRODUCT(IF(D86:D91&lt;&gt;0,D86:D91+1))-IF(SUM(D86:D91)&lt;&gt;0,1,0)</f>
        <v>0</v>
      </c>
      <c r="E92" s="112">
        <f t="array" ref="E92">PRODUCT(IF(E86:E91&lt;&gt;0,E86:E91+1))-IF(SUM(E86:E91)&lt;&gt;0,1,0)</f>
        <v>6.5372396318509329E-2</v>
      </c>
      <c r="F92" s="112">
        <f t="array" ref="F92">PRODUCT(IF(F86:F91&lt;&gt;0,F86:F91+1))-IF(SUM(F86:F91)&lt;&gt;0,1,0)</f>
        <v>0.12908694420405231</v>
      </c>
      <c r="G92" s="112">
        <f t="array" ref="G92">PRODUCT(IF(G86:G91&lt;&gt;0,G86:G91+1))-IF(SUM(G86:G91)&lt;&gt;0,1,0)</f>
        <v>0.19515773725620345</v>
      </c>
      <c r="H92" s="112">
        <f t="array" ref="H92">PRODUCT(IF(H86:H91&lt;&gt;0,H86:H91+1))-IF(SUM(H86:H91)&lt;&gt;0,1,0)</f>
        <v>0.27045203393441097</v>
      </c>
      <c r="I92" s="112">
        <f t="array" ref="I92">PRODUCT(IF(I86:I91&lt;&gt;0,I86:I91+1))-IF(SUM(I86:I91)&lt;&gt;0,1,0)</f>
        <v>0.34285126069482064</v>
      </c>
    </row>
    <row r="93" spans="1:20" ht="13.5" outlineLevel="1" thickBot="1">
      <c r="A93" s="113" t="s">
        <v>139</v>
      </c>
      <c r="B93" s="42"/>
      <c r="C93" s="114">
        <f t="array" ref="C93">PRODUCT(IF((C77:C83&lt;&gt;0),C77:C83+1))-IF(C77:C83&lt;&gt;0,1,0)</f>
        <v>0</v>
      </c>
      <c r="D93" s="114">
        <f t="array" ref="D93">PRODUCT(IF((D77:D83&lt;&gt;0),D77:D83+1))-IF(D77:D83&lt;&gt;0,1,0)</f>
        <v>0</v>
      </c>
      <c r="E93" s="114">
        <f t="array" ref="E93">PRODUCT(IF((E77:E83&lt;&gt;0),E77:E83+1))-IF(E77:E83&lt;&gt;0,1,0)</f>
        <v>6.5372396318509329E-2</v>
      </c>
      <c r="F93" s="114">
        <f t="array" ref="F93">PRODUCT(IF((F77:F83&lt;&gt;0),F77:F83+1))-IF(F77:F83&lt;&gt;0,1,0)</f>
        <v>0.12908694420405231</v>
      </c>
      <c r="G93" s="114">
        <f t="array" ref="G93">PRODUCT(IF((G77:G83&lt;&gt;0),G77:G83+1))-IF(G77:G83&lt;&gt;0,1,0)</f>
        <v>0.19515773725620345</v>
      </c>
      <c r="H93" s="114">
        <f t="array" ref="H93">PRODUCT(IF((H77:H83&lt;&gt;0),H77:H83+1))-IF(H77:H83&lt;&gt;0,1,0)</f>
        <v>0.27045203393441097</v>
      </c>
      <c r="I93" s="114">
        <f t="array" ref="I93">PRODUCT(IF((I77:I83&lt;&gt;0),I77:I83+1))-IF(I77:I83&lt;&gt;0,1,0)</f>
        <v>0.34285126069482064</v>
      </c>
      <c r="M93" s="115"/>
      <c r="N93" s="115"/>
      <c r="O93" s="115"/>
      <c r="P93" s="115"/>
    </row>
    <row r="94" spans="1:20" ht="13.5" outlineLevel="1" thickBot="1">
      <c r="A94" s="116" t="s">
        <v>140</v>
      </c>
      <c r="B94" s="117"/>
      <c r="C94" s="117">
        <f t="shared" ref="C94:I94" si="53">+C92-C93</f>
        <v>0</v>
      </c>
      <c r="D94" s="117">
        <f t="shared" si="53"/>
        <v>0</v>
      </c>
      <c r="E94" s="117">
        <f t="shared" si="53"/>
        <v>0</v>
      </c>
      <c r="F94" s="117">
        <f t="shared" si="53"/>
        <v>0</v>
      </c>
      <c r="G94" s="117">
        <f t="shared" si="53"/>
        <v>0</v>
      </c>
      <c r="H94" s="117">
        <f t="shared" si="53"/>
        <v>0</v>
      </c>
      <c r="I94" s="117">
        <f t="shared" si="53"/>
        <v>0</v>
      </c>
      <c r="J94" s="118" t="str">
        <f>IF(SUM(C94:I94)&lt;&gt;0,"Warning Check Escalations","OK")</f>
        <v>OK</v>
      </c>
    </row>
    <row r="95" spans="1:20" outlineLevel="1">
      <c r="A95" s="107"/>
      <c r="B95" s="42"/>
      <c r="C95" s="42"/>
      <c r="D95" s="42"/>
      <c r="E95" s="42"/>
      <c r="F95" s="42"/>
      <c r="G95" s="42"/>
      <c r="H95" s="42"/>
      <c r="I95" s="78"/>
    </row>
    <row r="96" spans="1:20" ht="13.5" outlineLevel="1" thickBot="1">
      <c r="A96" s="208" t="s">
        <v>141</v>
      </c>
      <c r="B96" s="209"/>
      <c r="C96" s="209"/>
      <c r="D96" s="209"/>
      <c r="E96" s="209"/>
      <c r="F96" s="209"/>
      <c r="G96" s="209"/>
      <c r="H96" s="209"/>
      <c r="I96" s="210"/>
    </row>
    <row r="97" spans="1:20" outlineLevel="1">
      <c r="A97" s="56" t="s">
        <v>126</v>
      </c>
      <c r="B97" s="57"/>
      <c r="C97" s="57" t="str">
        <f t="array" ref="C97:I97">LU_TemplateYearHeader2</f>
        <v>2013/14</v>
      </c>
      <c r="D97" s="57" t="str">
        <v>2014/15</v>
      </c>
      <c r="E97" s="57" t="str">
        <v>2015/16</v>
      </c>
      <c r="F97" s="57" t="str">
        <v>2016/17</v>
      </c>
      <c r="G97" s="57" t="str">
        <v>2017/18</v>
      </c>
      <c r="H97" s="57" t="str">
        <v>2018/19</v>
      </c>
      <c r="I97" s="57" t="str">
        <v>2019/20</v>
      </c>
    </row>
    <row r="98" spans="1:20" outlineLevel="1">
      <c r="A98" s="61" t="s">
        <v>68</v>
      </c>
      <c r="B98" s="119"/>
      <c r="C98" s="285">
        <f ca="1">+C8*(C86)</f>
        <v>0</v>
      </c>
      <c r="D98" s="285">
        <f t="shared" ref="D98:I98" ca="1" si="54">+D8*(D86)</f>
        <v>0</v>
      </c>
      <c r="E98" s="285">
        <f ca="1">+E8*(E86)</f>
        <v>0</v>
      </c>
      <c r="F98" s="285">
        <f t="shared" ca="1" si="54"/>
        <v>0</v>
      </c>
      <c r="G98" s="285">
        <f t="shared" ca="1" si="54"/>
        <v>0</v>
      </c>
      <c r="H98" s="285">
        <f t="shared" ca="1" si="54"/>
        <v>0</v>
      </c>
      <c r="I98" s="285">
        <f t="shared" ca="1" si="54"/>
        <v>0</v>
      </c>
    </row>
    <row r="99" spans="1:20" outlineLevel="1">
      <c r="A99" s="61" t="s">
        <v>69</v>
      </c>
      <c r="B99" s="119"/>
      <c r="C99" s="285">
        <f t="shared" ref="C99:I99" ca="1" si="55">+C9*(C87)</f>
        <v>0</v>
      </c>
      <c r="D99" s="285">
        <f t="shared" ca="1" si="55"/>
        <v>0</v>
      </c>
      <c r="E99" s="285">
        <f t="shared" ca="1" si="55"/>
        <v>0</v>
      </c>
      <c r="F99" s="285">
        <f t="shared" ca="1" si="55"/>
        <v>0</v>
      </c>
      <c r="G99" s="285">
        <f t="shared" ca="1" si="55"/>
        <v>0</v>
      </c>
      <c r="H99" s="285">
        <f t="shared" ca="1" si="55"/>
        <v>0</v>
      </c>
      <c r="I99" s="285">
        <f t="shared" ca="1" si="55"/>
        <v>0</v>
      </c>
    </row>
    <row r="100" spans="1:20" s="759" customFormat="1" outlineLevel="1">
      <c r="A100" s="61" t="s">
        <v>646</v>
      </c>
      <c r="B100" s="119"/>
      <c r="C100" s="285">
        <f t="shared" ref="C100:I100" ca="1" si="56">+C10*(C88)</f>
        <v>0</v>
      </c>
      <c r="D100" s="285">
        <f t="shared" ca="1" si="56"/>
        <v>0</v>
      </c>
      <c r="E100" s="285">
        <f t="shared" ca="1" si="56"/>
        <v>0</v>
      </c>
      <c r="F100" s="285">
        <f t="shared" ca="1" si="56"/>
        <v>0</v>
      </c>
      <c r="G100" s="285">
        <f t="shared" ca="1" si="56"/>
        <v>0</v>
      </c>
      <c r="H100" s="285">
        <f t="shared" ca="1" si="56"/>
        <v>0</v>
      </c>
      <c r="I100" s="285">
        <f t="shared" ca="1" si="56"/>
        <v>0</v>
      </c>
    </row>
    <row r="101" spans="1:20" outlineLevel="1">
      <c r="A101" s="61" t="s">
        <v>647</v>
      </c>
      <c r="B101" s="119"/>
      <c r="C101" s="285">
        <f t="shared" ref="C101:I101" ca="1" si="57">+C11*(C89)</f>
        <v>0</v>
      </c>
      <c r="D101" s="285">
        <f t="shared" ca="1" si="57"/>
        <v>0</v>
      </c>
      <c r="E101" s="285">
        <f t="shared" ca="1" si="57"/>
        <v>0</v>
      </c>
      <c r="F101" s="285">
        <f t="shared" ca="1" si="57"/>
        <v>0</v>
      </c>
      <c r="G101" s="285">
        <f t="shared" ca="1" si="57"/>
        <v>0</v>
      </c>
      <c r="H101" s="285">
        <f t="shared" ca="1" si="57"/>
        <v>0</v>
      </c>
      <c r="I101" s="285">
        <f t="shared" ca="1" si="57"/>
        <v>0</v>
      </c>
    </row>
    <row r="102" spans="1:20" s="759" customFormat="1" outlineLevel="1">
      <c r="A102" s="61" t="s">
        <v>575</v>
      </c>
      <c r="B102" s="119"/>
      <c r="C102" s="285">
        <f t="shared" ref="C102:I102" ca="1" si="58">+C12*(C90)</f>
        <v>0</v>
      </c>
      <c r="D102" s="285">
        <f t="shared" ca="1" si="58"/>
        <v>0</v>
      </c>
      <c r="E102" s="285">
        <f t="shared" ca="1" si="58"/>
        <v>0</v>
      </c>
      <c r="F102" s="285">
        <f t="shared" ca="1" si="58"/>
        <v>0</v>
      </c>
      <c r="G102" s="285">
        <f t="shared" ca="1" si="58"/>
        <v>0</v>
      </c>
      <c r="H102" s="285">
        <f t="shared" ca="1" si="58"/>
        <v>0</v>
      </c>
      <c r="I102" s="285">
        <f t="shared" ca="1" si="58"/>
        <v>0</v>
      </c>
    </row>
    <row r="103" spans="1:20" outlineLevel="1">
      <c r="A103" s="83" t="s">
        <v>70</v>
      </c>
      <c r="B103" s="119"/>
      <c r="C103" s="285">
        <f t="shared" ref="C103:I103" ca="1" si="59">+C13*(C91)</f>
        <v>0</v>
      </c>
      <c r="D103" s="285">
        <f t="shared" ca="1" si="59"/>
        <v>0</v>
      </c>
      <c r="E103" s="285">
        <f t="shared" ca="1" si="59"/>
        <v>0</v>
      </c>
      <c r="F103" s="285">
        <f t="shared" ca="1" si="59"/>
        <v>0</v>
      </c>
      <c r="G103" s="285">
        <f t="shared" ca="1" si="59"/>
        <v>0</v>
      </c>
      <c r="H103" s="285">
        <f t="shared" ca="1" si="59"/>
        <v>0</v>
      </c>
      <c r="I103" s="285">
        <f t="shared" ca="1" si="59"/>
        <v>0</v>
      </c>
    </row>
    <row r="104" spans="1:20" outlineLevel="1">
      <c r="A104" s="120" t="s">
        <v>142</v>
      </c>
      <c r="B104" s="121"/>
      <c r="C104" s="296">
        <f t="shared" ref="C104:I104" ca="1" si="60">SUM(C98:C103)</f>
        <v>0</v>
      </c>
      <c r="D104" s="296">
        <f t="shared" ca="1" si="60"/>
        <v>0</v>
      </c>
      <c r="E104" s="296">
        <f t="shared" ca="1" si="60"/>
        <v>0</v>
      </c>
      <c r="F104" s="296">
        <f t="shared" ca="1" si="60"/>
        <v>0</v>
      </c>
      <c r="G104" s="296">
        <f t="shared" ca="1" si="60"/>
        <v>0</v>
      </c>
      <c r="H104" s="296">
        <f t="shared" ca="1" si="60"/>
        <v>0</v>
      </c>
      <c r="I104" s="296">
        <f t="shared" ca="1" si="60"/>
        <v>0</v>
      </c>
    </row>
    <row r="105" spans="1:20" ht="13.5" outlineLevel="1" thickBot="1">
      <c r="A105" s="122" t="s">
        <v>143</v>
      </c>
      <c r="B105" s="123"/>
      <c r="C105" s="124">
        <f t="shared" ref="C105:I105" ca="1" si="61">IF(C36&lt;&gt;0,+C104/C36,0)</f>
        <v>0</v>
      </c>
      <c r="D105" s="124">
        <f t="shared" ca="1" si="61"/>
        <v>0</v>
      </c>
      <c r="E105" s="124">
        <f t="shared" ca="1" si="61"/>
        <v>0</v>
      </c>
      <c r="F105" s="124">
        <f t="shared" ca="1" si="61"/>
        <v>0</v>
      </c>
      <c r="G105" s="124">
        <f t="shared" ca="1" si="61"/>
        <v>0</v>
      </c>
      <c r="H105" s="124">
        <f t="shared" ca="1" si="61"/>
        <v>0</v>
      </c>
      <c r="I105" s="124">
        <f t="shared" ca="1" si="61"/>
        <v>0</v>
      </c>
    </row>
    <row r="106" spans="1:20" ht="7.5" customHeight="1" outlineLevel="1"/>
    <row r="108" spans="1:20" ht="18">
      <c r="A108" s="206" t="s">
        <v>144</v>
      </c>
      <c r="B108" s="200"/>
      <c r="C108" s="204">
        <v>2</v>
      </c>
      <c r="D108" s="204">
        <f t="shared" ref="D108:I108" si="62">+C108+1</f>
        <v>3</v>
      </c>
      <c r="E108" s="204">
        <f t="shared" si="62"/>
        <v>4</v>
      </c>
      <c r="F108" s="204">
        <f t="shared" si="62"/>
        <v>5</v>
      </c>
      <c r="G108" s="204">
        <f t="shared" si="62"/>
        <v>6</v>
      </c>
      <c r="H108" s="204">
        <f t="shared" si="62"/>
        <v>7</v>
      </c>
      <c r="I108" s="205">
        <f t="shared" si="62"/>
        <v>8</v>
      </c>
      <c r="J108" s="201" t="s">
        <v>131</v>
      </c>
      <c r="K108" s="201" t="s">
        <v>131</v>
      </c>
    </row>
    <row r="109" spans="1:20" outlineLevel="1">
      <c r="A109" s="208" t="s">
        <v>145</v>
      </c>
      <c r="B109" s="209"/>
      <c r="C109" s="209"/>
      <c r="D109" s="209"/>
      <c r="E109" s="209"/>
      <c r="F109" s="209"/>
      <c r="G109" s="209"/>
      <c r="H109" s="209"/>
      <c r="I109" s="210"/>
      <c r="J109" s="211" t="s">
        <v>133</v>
      </c>
      <c r="K109" s="211" t="s">
        <v>134</v>
      </c>
    </row>
    <row r="110" spans="1:20" ht="13.5" outlineLevel="1" thickBot="1">
      <c r="A110" s="212" t="s">
        <v>135</v>
      </c>
      <c r="B110" s="213"/>
      <c r="C110" s="213"/>
      <c r="D110" s="213"/>
      <c r="E110" s="213"/>
      <c r="F110" s="213"/>
      <c r="G110" s="213"/>
      <c r="H110" s="213"/>
      <c r="I110" s="213"/>
      <c r="J110" s="211"/>
      <c r="K110" s="211"/>
      <c r="N110" s="410" t="s">
        <v>377</v>
      </c>
    </row>
    <row r="111" spans="1:20" ht="25.5" outlineLevel="1">
      <c r="A111" s="58"/>
      <c r="B111" s="57" t="s">
        <v>136</v>
      </c>
      <c r="C111" s="57" t="str">
        <f t="array" ref="C111:I111">LU_TemplateYearHeader2</f>
        <v>2013/14</v>
      </c>
      <c r="D111" s="57" t="str">
        <v>2014/15</v>
      </c>
      <c r="E111" s="57" t="str">
        <v>2015/16</v>
      </c>
      <c r="F111" s="57" t="str">
        <v>2016/17</v>
      </c>
      <c r="G111" s="57" t="str">
        <v>2017/18</v>
      </c>
      <c r="H111" s="57" t="str">
        <v>2018/19</v>
      </c>
      <c r="I111" s="57" t="str">
        <v>2019/20</v>
      </c>
      <c r="N111" s="57" t="str">
        <f t="array" ref="N111:T111">LU_TemplateYearHeader2</f>
        <v>2013/14</v>
      </c>
      <c r="O111" s="57" t="str">
        <v>2014/15</v>
      </c>
      <c r="P111" s="57" t="str">
        <v>2015/16</v>
      </c>
      <c r="Q111" s="57" t="str">
        <v>2016/17</v>
      </c>
      <c r="R111" s="57" t="str">
        <v>2017/18</v>
      </c>
      <c r="S111" s="57" t="str">
        <v>2018/19</v>
      </c>
      <c r="T111" s="57" t="str">
        <v>2019/20</v>
      </c>
    </row>
    <row r="112" spans="1:20" outlineLevel="1">
      <c r="A112" s="58" t="s">
        <v>45</v>
      </c>
      <c r="B112" s="42"/>
      <c r="C112" s="42"/>
      <c r="D112" s="42"/>
      <c r="E112" s="42"/>
      <c r="F112" s="42"/>
      <c r="G112" s="42"/>
      <c r="H112" s="42"/>
      <c r="I112" s="78"/>
      <c r="J112" s="4"/>
    </row>
    <row r="113" spans="1:20" outlineLevel="1">
      <c r="A113" s="101" t="s">
        <v>68</v>
      </c>
      <c r="B113" s="102" t="s">
        <v>68</v>
      </c>
      <c r="C113" s="103">
        <f>IF($K113="No",0,VLOOKUP($A113,Escalations_General_Costs,+'I-7 Escalations'!C9+1,FALSE))</f>
        <v>0</v>
      </c>
      <c r="D113" s="103">
        <f>IF($K113="No",0,IF($J113="one-off",VLOOKUP($A113,Escalations_General_Costs,+'I-7 Escalations'!D$9+1,FALSE),((VLOOKUP($A113,Escalations_General_Costs,+'I-7 Escalations'!D$9+1,FALSE)+1)*(1+C113)-1)))</f>
        <v>0</v>
      </c>
      <c r="E113" s="103">
        <f>IF($K113="No",0,IF($J113="one-off",VLOOKUP($A113,Escalations_General_Costs,+'I-7 Escalations'!E$9+1,FALSE),((VLOOKUP($A113,Escalations_General_Costs,+'I-7 Escalations'!E$9+1,FALSE)+1)*(1+D113)-1)))</f>
        <v>2.1457965902410336E-2</v>
      </c>
      <c r="F113" s="103">
        <f>IF($K113="No",0,IF($J113="one-off",VLOOKUP($A113,Escalations_General_Costs,+'I-7 Escalations'!F$9+1,FALSE),((VLOOKUP($A113,Escalations_General_Costs,+'I-7 Escalations'!F$9+1,FALSE)+1)*(1+E113)-1)))</f>
        <v>4.3376376105489722E-2</v>
      </c>
      <c r="G113" s="103">
        <f>IF($K113="No",0,IF($J113="one-off",VLOOKUP($A113,Escalations_General_Costs,+'I-7 Escalations'!G$9+1,FALSE),((VLOOKUP($A113,Escalations_General_Costs,+'I-7 Escalations'!G$9+1,FALSE)+1)*(1+F113)-1)))</f>
        <v>6.6991890791005204E-2</v>
      </c>
      <c r="H113" s="103">
        <f>IF($K113="No",0,IF($J113="one-off",VLOOKUP($A113,Escalations_General_Costs,+'I-7 Escalations'!H$9+1,FALSE),((VLOOKUP($A113,Escalations_General_Costs,+'I-7 Escalations'!H$9+1,FALSE)+1)*(1+G113)-1)))</f>
        <v>9.1141913010554854E-2</v>
      </c>
      <c r="I113" s="103">
        <f>IF($K113="No",0,IF($J113="one-off",VLOOKUP($A113,Escalations_General_Costs,+'I-7 Escalations'!I$9+1,FALSE),((VLOOKUP($A113,Escalations_General_Costs,+'I-7 Escalations'!I$9+1,FALSE)+1)*(1+H113)-1)))</f>
        <v>0.11583854067128785</v>
      </c>
      <c r="J113" s="105" t="str">
        <f t="shared" ref="J113:J118" si="63">IF(ISNA(VLOOKUP($A113,Escalations_General_Costs,+I$73+3,FALSE)),0,VLOOKUP($A113,Escalations_General_Costs,+I$73+3,FALSE))</f>
        <v>Cumulative</v>
      </c>
      <c r="K113" s="106" t="str">
        <f t="shared" ref="K113:K118" si="64">IF(ISNA(VLOOKUP($A113,Escalations_General_Costs,1,FALSE)),"No","Yes")</f>
        <v>Yes</v>
      </c>
      <c r="M113" s="103"/>
      <c r="N113" s="285">
        <f ca="1">IF($B113&lt;&gt;0,(+VLOOKUP($B113,$A$8:$I$13,3,FALSE)+VLOOKUP($B113,$A$42:$I$47,3,FALSE))*(C113),0)</f>
        <v>0</v>
      </c>
      <c r="O113" s="285">
        <f ca="1">IF($B113&lt;&gt;0,(+VLOOKUP($B113,$A$8:$I$13,4,FALSE)+VLOOKUP($B113,$A$42:$I$47,4,FALSE))*(D113),0)</f>
        <v>0</v>
      </c>
      <c r="P113" s="285">
        <f ca="1">IF($B113&lt;&gt;0,(+VLOOKUP($B113,$A$8:$I$13,5,FALSE)+VLOOKUP($B113,$A$42:$I$47,5,FALSE))*(E113),0)</f>
        <v>0</v>
      </c>
      <c r="Q113" s="285">
        <f ca="1">IF($B113&lt;&gt;0,(+VLOOKUP($B113,$A$8:$I$13,6,FALSE)+VLOOKUP($B113,$A$42:$I$47,6,FALSE))*(F113),0)</f>
        <v>0</v>
      </c>
      <c r="R113" s="285">
        <f ca="1">IF($B113&lt;&gt;0,(+VLOOKUP($B113,$A$8:$I$13,7,FALSE)+VLOOKUP($B113,$A$42:$I$47,7,FALSE))*(G113),0)</f>
        <v>0</v>
      </c>
      <c r="S113" s="285">
        <f ca="1">IF($B113&lt;&gt;0,(+VLOOKUP($B113,$A$8:$I$13,8,FALSE)+VLOOKUP($B113,$A$42:$I$47,8,FALSE))*(H113),0)</f>
        <v>0</v>
      </c>
      <c r="T113" s="285">
        <f ca="1">IF($B113&lt;&gt;0,(+VLOOKUP($B113,$A$8:$I$13,9,FALSE)+VLOOKUP($B113,$A$42:$I$47,9,FALSE))*(I113),0)</f>
        <v>0</v>
      </c>
    </row>
    <row r="114" spans="1:20" outlineLevel="1">
      <c r="A114" s="101" t="s">
        <v>69</v>
      </c>
      <c r="B114" s="102" t="s">
        <v>69</v>
      </c>
      <c r="C114" s="103">
        <f>IF($K114="No",0,VLOOKUP($A114,Escalations_General_Costs,+C$108,FALSE))</f>
        <v>0</v>
      </c>
      <c r="D114" s="103">
        <f>IF($K114="No",0,IF($J114="one-off",VLOOKUP($A114,Escalations_General_Costs,+'I-7 Escalations'!D$9+1,FALSE),((VLOOKUP($A114,Escalations_General_Costs,+'I-7 Escalations'!D$9+1,FALSE)+1)*(1+C114)-1)))</f>
        <v>0</v>
      </c>
      <c r="E114" s="103">
        <f>IF($K114="No",0,IF($J114="one-off",VLOOKUP($A114,Escalations_General_Costs,+'I-7 Escalations'!E$9+1,FALSE),((VLOOKUP($A114,Escalations_General_Costs,+'I-7 Escalations'!E$9+1,FALSE)+1)*(1+D114)-1)))</f>
        <v>0</v>
      </c>
      <c r="F114" s="103">
        <f>IF($K114="No",0,IF($J114="one-off",VLOOKUP($A114,Escalations_General_Costs,+'I-7 Escalations'!F$9+1,FALSE),((VLOOKUP($A114,Escalations_General_Costs,+'I-7 Escalations'!F$9+1,FALSE)+1)*(1+E114)-1)))</f>
        <v>0</v>
      </c>
      <c r="G114" s="103">
        <f>IF($K114="No",0,IF($J114="one-off",VLOOKUP($A114,Escalations_General_Costs,+'I-7 Escalations'!G$9+1,FALSE),((VLOOKUP($A114,Escalations_General_Costs,+'I-7 Escalations'!G$9+1,FALSE)+1)*(1+F114)-1)))</f>
        <v>0</v>
      </c>
      <c r="H114" s="103">
        <f>IF($K114="No",0,IF($J114="one-off",VLOOKUP($A114,Escalations_General_Costs,+'I-7 Escalations'!H$9+1,FALSE),((VLOOKUP($A114,Escalations_General_Costs,+'I-7 Escalations'!H$9+1,FALSE)+1)*(1+G114)-1)))</f>
        <v>0</v>
      </c>
      <c r="I114" s="103">
        <f>IF($K114="No",0,IF($J114="one-off",VLOOKUP($A114,Escalations_General_Costs,+'I-7 Escalations'!I$9+1,FALSE),((VLOOKUP($A114,Escalations_General_Costs,+'I-7 Escalations'!I$9+1,FALSE)+1)*(1+H114)-1)))</f>
        <v>0</v>
      </c>
      <c r="J114" s="105" t="str">
        <f t="shared" si="63"/>
        <v>Cumulative</v>
      </c>
      <c r="K114" s="106" t="str">
        <f t="shared" si="64"/>
        <v>Yes</v>
      </c>
      <c r="M114" s="103"/>
      <c r="N114" s="285">
        <f t="shared" ref="N114:N118" ca="1" si="65">IF($B114&lt;&gt;0,(+VLOOKUP($B114,$A$8:$I$13,3,FALSE)+VLOOKUP($B114,$A$42:$I$47,3,FALSE))*(C114),0)</f>
        <v>0</v>
      </c>
      <c r="O114" s="285">
        <f t="shared" ref="O114:O118" ca="1" si="66">IF($B114&lt;&gt;0,(+VLOOKUP($B114,$A$8:$I$13,4,FALSE)+VLOOKUP($B114,$A$42:$I$47,4,FALSE))*(D114),0)</f>
        <v>0</v>
      </c>
      <c r="P114" s="285">
        <f t="shared" ref="P114:P118" ca="1" si="67">IF($B114&lt;&gt;0,(+VLOOKUP($B114,$A$8:$I$13,5,FALSE)+VLOOKUP($B114,$A$42:$I$47,5,FALSE))*(E114),0)</f>
        <v>0</v>
      </c>
      <c r="Q114" s="285">
        <f t="shared" ref="Q114:Q118" ca="1" si="68">IF($B114&lt;&gt;0,(+VLOOKUP($B114,$A$8:$I$13,6,FALSE)+VLOOKUP($B114,$A$42:$I$47,6,FALSE))*(F114),0)</f>
        <v>0</v>
      </c>
      <c r="R114" s="285">
        <f t="shared" ref="R114:R118" ca="1" si="69">IF($B114&lt;&gt;0,(+VLOOKUP($B114,$A$8:$I$13,7,FALSE)+VLOOKUP($B114,$A$42:$I$47,7,FALSE))*(G114),0)</f>
        <v>0</v>
      </c>
      <c r="S114" s="285">
        <f t="shared" ref="S114:S118" ca="1" si="70">IF($B114&lt;&gt;0,(+VLOOKUP($B114,$A$8:$I$13,8,FALSE)+VLOOKUP($B114,$A$42:$I$47,8,FALSE))*(H114),0)</f>
        <v>0</v>
      </c>
      <c r="T114" s="285">
        <f t="shared" ref="T114:T118" ca="1" si="71">IF($B114&lt;&gt;0,(+VLOOKUP($B114,$A$8:$I$13,9,FALSE)+VLOOKUP($B114,$A$42:$I$47,9,FALSE))*(I114),0)</f>
        <v>0</v>
      </c>
    </row>
    <row r="115" spans="1:20" s="759" customFormat="1" outlineLevel="1">
      <c r="A115" s="101" t="s">
        <v>397</v>
      </c>
      <c r="B115" s="102" t="s">
        <v>646</v>
      </c>
      <c r="C115" s="103">
        <f>IF($K115="No",0,VLOOKUP($A115,Escalations_General_Costs,+C$108,FALSE))</f>
        <v>0</v>
      </c>
      <c r="D115" s="103">
        <f>IF($K115="No",0,IF($J115="one-off",VLOOKUP($A115,Escalations_General_Costs,+'I-7 Escalations'!D$9+1,FALSE),((VLOOKUP($A115,Escalations_General_Costs,+'I-7 Escalations'!D$9+1,FALSE)+1)*(1+C115)-1)))</f>
        <v>0</v>
      </c>
      <c r="E115" s="103">
        <f>IF($K115="No",0,IF($J115="one-off",VLOOKUP($A115,Escalations_General_Costs,+'I-7 Escalations'!E$9+1,FALSE),((VLOOKUP($A115,Escalations_General_Costs,+'I-7 Escalations'!E$9+1,FALSE)+1)*(1+D115)-1)))</f>
        <v>4.9999999999998934E-3</v>
      </c>
      <c r="F115" s="103">
        <f>IF($K115="No",0,IF($J115="one-off",VLOOKUP($A115,Escalations_General_Costs,+'I-7 Escalations'!F$9+1,FALSE),((VLOOKUP($A115,Escalations_General_Costs,+'I-7 Escalations'!F$9+1,FALSE)+1)*(1+E115)-1)))</f>
        <v>1.0024999999999729E-2</v>
      </c>
      <c r="G115" s="103">
        <f>IF($K115="No",0,IF($J115="one-off",VLOOKUP($A115,Escalations_General_Costs,+'I-7 Escalations'!G$9+1,FALSE),((VLOOKUP($A115,Escalations_General_Costs,+'I-7 Escalations'!G$9+1,FALSE)+1)*(1+F115)-1)))</f>
        <v>1.9115224999999514E-2</v>
      </c>
      <c r="H115" s="103">
        <f>IF($K115="No",0,IF($J115="one-off",VLOOKUP($A115,Escalations_General_Costs,+'I-7 Escalations'!H$9+1,FALSE),((VLOOKUP($A115,Escalations_General_Costs,+'I-7 Escalations'!H$9+1,FALSE)+1)*(1+G115)-1)))</f>
        <v>2.981593486249956E-2</v>
      </c>
      <c r="I115" s="103">
        <f>IF($K115="No",0,IF($J115="one-off",VLOOKUP($A115,Escalations_General_Costs,+'I-7 Escalations'!I$9+1,FALSE),((VLOOKUP($A115,Escalations_General_Costs,+'I-7 Escalations'!I$9+1,FALSE)+1)*(1+H115)-1)))</f>
        <v>4.2688634048280827E-2</v>
      </c>
      <c r="J115" s="105" t="str">
        <f t="shared" si="63"/>
        <v>Cumulative</v>
      </c>
      <c r="K115" s="106" t="str">
        <f t="shared" si="64"/>
        <v>Yes</v>
      </c>
      <c r="M115" s="103"/>
      <c r="N115" s="285">
        <f t="shared" ca="1" si="65"/>
        <v>0</v>
      </c>
      <c r="O115" s="285">
        <f ca="1">IF($B115&lt;&gt;0,(+VLOOKUP($B115,$A$8:$I$13,4,FALSE)+VLOOKUP($B115,$A$42:$I$47,4,FALSE))*(D115),0)</f>
        <v>0</v>
      </c>
      <c r="P115" s="285">
        <f t="shared" ca="1" si="67"/>
        <v>0</v>
      </c>
      <c r="Q115" s="285">
        <f t="shared" ca="1" si="68"/>
        <v>0</v>
      </c>
      <c r="R115" s="285">
        <f t="shared" ca="1" si="69"/>
        <v>0</v>
      </c>
      <c r="S115" s="285">
        <f t="shared" ca="1" si="70"/>
        <v>0</v>
      </c>
      <c r="T115" s="285">
        <f t="shared" ca="1" si="71"/>
        <v>0</v>
      </c>
    </row>
    <row r="116" spans="1:20" outlineLevel="1">
      <c r="A116" s="101" t="s">
        <v>398</v>
      </c>
      <c r="B116" s="102" t="s">
        <v>647</v>
      </c>
      <c r="C116" s="103">
        <f>IF($K116="No",0,VLOOKUP($A116,Escalations_General_Costs,+C$108,FALSE))</f>
        <v>0</v>
      </c>
      <c r="D116" s="103">
        <f>IF($K116="No",0,IF($J116="one-off",VLOOKUP($A116,Escalations_General_Costs,+'I-7 Escalations'!D$9+1,FALSE),((VLOOKUP($A116,Escalations_General_Costs,+'I-7 Escalations'!D$9+1,FALSE)+1)*(1+C116)-1)))</f>
        <v>0</v>
      </c>
      <c r="E116" s="103">
        <f>IF($K116="No",0,IF($J116="one-off",VLOOKUP($A116,Escalations_General_Costs,+'I-7 Escalations'!E$9+1,FALSE),((VLOOKUP($A116,Escalations_General_Costs,+'I-7 Escalations'!E$9+1,FALSE)+1)*(1+D116)-1)))</f>
        <v>4.9999999999998934E-3</v>
      </c>
      <c r="F116" s="103">
        <f>IF($K116="No",0,IF($J116="one-off",VLOOKUP($A116,Escalations_General_Costs,+'I-7 Escalations'!F$9+1,FALSE),((VLOOKUP($A116,Escalations_General_Costs,+'I-7 Escalations'!F$9+1,FALSE)+1)*(1+E116)-1)))</f>
        <v>1.0024999999999729E-2</v>
      </c>
      <c r="G116" s="103">
        <f>IF($K116="No",0,IF($J116="one-off",VLOOKUP($A116,Escalations_General_Costs,+'I-7 Escalations'!G$9+1,FALSE),((VLOOKUP($A116,Escalations_General_Costs,+'I-7 Escalations'!G$9+1,FALSE)+1)*(1+F116)-1)))</f>
        <v>1.9115224999999514E-2</v>
      </c>
      <c r="H116" s="103">
        <f>IF($K116="No",0,IF($J116="one-off",VLOOKUP($A116,Escalations_General_Costs,+'I-7 Escalations'!H$9+1,FALSE),((VLOOKUP($A116,Escalations_General_Costs,+'I-7 Escalations'!H$9+1,FALSE)+1)*(1+G116)-1)))</f>
        <v>2.981593486249956E-2</v>
      </c>
      <c r="I116" s="103">
        <f>IF($K116="No",0,IF($J116="one-off",VLOOKUP($A116,Escalations_General_Costs,+'I-7 Escalations'!I$9+1,FALSE),((VLOOKUP($A116,Escalations_General_Costs,+'I-7 Escalations'!I$9+1,FALSE)+1)*(1+H116)-1)))</f>
        <v>4.2688634048280827E-2</v>
      </c>
      <c r="J116" s="105" t="str">
        <f t="shared" si="63"/>
        <v>Cumulative</v>
      </c>
      <c r="K116" s="106" t="str">
        <f t="shared" si="64"/>
        <v>Yes</v>
      </c>
      <c r="M116" s="103"/>
      <c r="N116" s="285">
        <f t="shared" ca="1" si="65"/>
        <v>0</v>
      </c>
      <c r="O116" s="285">
        <f t="shared" ca="1" si="66"/>
        <v>0</v>
      </c>
      <c r="P116" s="285">
        <f t="shared" ca="1" si="67"/>
        <v>0</v>
      </c>
      <c r="Q116" s="285">
        <f t="shared" ca="1" si="68"/>
        <v>0</v>
      </c>
      <c r="R116" s="285">
        <f t="shared" ca="1" si="69"/>
        <v>0</v>
      </c>
      <c r="S116" s="285">
        <f t="shared" ca="1" si="70"/>
        <v>0</v>
      </c>
      <c r="T116" s="285">
        <f t="shared" ca="1" si="71"/>
        <v>0</v>
      </c>
    </row>
    <row r="117" spans="1:20" s="759" customFormat="1" outlineLevel="1">
      <c r="A117" s="101" t="s">
        <v>68</v>
      </c>
      <c r="B117" s="102" t="s">
        <v>575</v>
      </c>
      <c r="C117" s="103">
        <f>IF($K117="No",0,VLOOKUP($A117,Escalations_General_Costs,+C$108,FALSE))</f>
        <v>0</v>
      </c>
      <c r="D117" s="103">
        <f>IF($K117="No",0,IF($J117="one-off",VLOOKUP($A117,Escalations_General_Costs,+'I-7 Escalations'!D$9+1,FALSE),((VLOOKUP($A117,Escalations_General_Costs,+'I-7 Escalations'!D$9+1,FALSE)+1)*(1+C117)-1)))</f>
        <v>0</v>
      </c>
      <c r="E117" s="103">
        <f>IF($K117="No",0,IF($J117="one-off",VLOOKUP($A117,Escalations_General_Costs,+'I-7 Escalations'!E$9+1,FALSE),((VLOOKUP($A117,Escalations_General_Costs,+'I-7 Escalations'!E$9+1,FALSE)+1)*(1+D117)-1)))</f>
        <v>2.1457965902410336E-2</v>
      </c>
      <c r="F117" s="103">
        <f>IF($K117="No",0,IF($J117="one-off",VLOOKUP($A117,Escalations_General_Costs,+'I-7 Escalations'!F$9+1,FALSE),((VLOOKUP($A117,Escalations_General_Costs,+'I-7 Escalations'!F$9+1,FALSE)+1)*(1+E117)-1)))</f>
        <v>4.3376376105489722E-2</v>
      </c>
      <c r="G117" s="103">
        <f>IF($K117="No",0,IF($J117="one-off",VLOOKUP($A117,Escalations_General_Costs,+'I-7 Escalations'!G$9+1,FALSE),((VLOOKUP($A117,Escalations_General_Costs,+'I-7 Escalations'!G$9+1,FALSE)+1)*(1+F117)-1)))</f>
        <v>6.6991890791005204E-2</v>
      </c>
      <c r="H117" s="103">
        <f>IF($K117="No",0,IF($J117="one-off",VLOOKUP($A117,Escalations_General_Costs,+'I-7 Escalations'!H$9+1,FALSE),((VLOOKUP($A117,Escalations_General_Costs,+'I-7 Escalations'!H$9+1,FALSE)+1)*(1+G117)-1)))</f>
        <v>9.1141913010554854E-2</v>
      </c>
      <c r="I117" s="103">
        <f>IF($K117="No",0,IF($J117="one-off",VLOOKUP($A117,Escalations_General_Costs,+'I-7 Escalations'!I$9+1,FALSE),((VLOOKUP($A117,Escalations_General_Costs,+'I-7 Escalations'!I$9+1,FALSE)+1)*(1+H117)-1)))</f>
        <v>0.11583854067128785</v>
      </c>
      <c r="J117" s="105" t="str">
        <f t="shared" si="63"/>
        <v>Cumulative</v>
      </c>
      <c r="K117" s="106" t="str">
        <f t="shared" si="64"/>
        <v>Yes</v>
      </c>
      <c r="M117" s="103"/>
      <c r="N117" s="285">
        <f t="shared" ca="1" si="65"/>
        <v>0</v>
      </c>
      <c r="O117" s="285">
        <f t="shared" ca="1" si="66"/>
        <v>0</v>
      </c>
      <c r="P117" s="285">
        <f t="shared" ca="1" si="67"/>
        <v>0</v>
      </c>
      <c r="Q117" s="285">
        <f t="shared" ca="1" si="68"/>
        <v>0</v>
      </c>
      <c r="R117" s="285">
        <f t="shared" ca="1" si="69"/>
        <v>0</v>
      </c>
      <c r="S117" s="285">
        <f t="shared" ca="1" si="70"/>
        <v>0</v>
      </c>
      <c r="T117" s="285">
        <f t="shared" ca="1" si="71"/>
        <v>0</v>
      </c>
    </row>
    <row r="118" spans="1:20" s="766" customFormat="1" outlineLevel="1">
      <c r="A118" s="101" t="s">
        <v>648</v>
      </c>
      <c r="B118" s="102" t="s">
        <v>70</v>
      </c>
      <c r="C118" s="103">
        <f>IF($K118="No",0,VLOOKUP($A118,Escalations_General_Costs,+C$108,FALSE))</f>
        <v>0</v>
      </c>
      <c r="D118" s="103">
        <f>IF($K118="No",0,IF($J118="one-off",VLOOKUP($A118,Escalations_General_Costs,+'I-7 Escalations'!D$9+1,FALSE),((VLOOKUP($A118,Escalations_General_Costs,+'I-7 Escalations'!D$9+1,FALSE)+1)*(1+C118)-1)))</f>
        <v>0</v>
      </c>
      <c r="E118" s="103">
        <f>IF($K118="No",0,IF($J118="one-off",VLOOKUP($A118,Escalations_General_Costs,+'I-7 Escalations'!E$9+1,FALSE),((VLOOKUP($A118,Escalations_General_Costs,+'I-7 Escalations'!E$9+1,FALSE)+1)*(1+D118)-1)))</f>
        <v>0</v>
      </c>
      <c r="F118" s="103">
        <f>IF($K118="No",0,IF($J118="one-off",VLOOKUP($A118,Escalations_General_Costs,+'I-7 Escalations'!F$9+1,FALSE),((VLOOKUP($A118,Escalations_General_Costs,+'I-7 Escalations'!F$9+1,FALSE)+1)*(1+E118)-1)))</f>
        <v>0</v>
      </c>
      <c r="G118" s="103">
        <f>IF($K118="No",0,IF($J118="one-off",VLOOKUP($A118,Escalations_General_Costs,+'I-7 Escalations'!G$9+1,FALSE),((VLOOKUP($A118,Escalations_General_Costs,+'I-7 Escalations'!G$9+1,FALSE)+1)*(1+F118)-1)))</f>
        <v>0</v>
      </c>
      <c r="H118" s="103">
        <f>IF($K118="No",0,IF($J118="one-off",VLOOKUP($A118,Escalations_General_Costs,+'I-7 Escalations'!H$9+1,FALSE),((VLOOKUP($A118,Escalations_General_Costs,+'I-7 Escalations'!H$9+1,FALSE)+1)*(1+G118)-1)))</f>
        <v>0</v>
      </c>
      <c r="I118" s="103">
        <f>IF($K118="No",0,IF($J118="one-off",VLOOKUP($A118,Escalations_General_Costs,+'I-7 Escalations'!I$9+1,FALSE),((VLOOKUP($A118,Escalations_General_Costs,+'I-7 Escalations'!I$9+1,FALSE)+1)*(1+H118)-1)))</f>
        <v>0</v>
      </c>
      <c r="J118" s="105" t="str">
        <f t="shared" si="63"/>
        <v>Cumulative</v>
      </c>
      <c r="K118" s="106" t="str">
        <f t="shared" si="64"/>
        <v>Yes</v>
      </c>
      <c r="M118" s="103"/>
      <c r="N118" s="285">
        <f t="shared" ca="1" si="65"/>
        <v>0</v>
      </c>
      <c r="O118" s="285">
        <f t="shared" ca="1" si="66"/>
        <v>0</v>
      </c>
      <c r="P118" s="285">
        <f t="shared" ca="1" si="67"/>
        <v>0</v>
      </c>
      <c r="Q118" s="285">
        <f t="shared" ca="1" si="68"/>
        <v>0</v>
      </c>
      <c r="R118" s="285">
        <f t="shared" ca="1" si="69"/>
        <v>0</v>
      </c>
      <c r="S118" s="285">
        <f t="shared" ca="1" si="70"/>
        <v>0</v>
      </c>
      <c r="T118" s="285">
        <f t="shared" ca="1" si="71"/>
        <v>0</v>
      </c>
    </row>
    <row r="119" spans="1:20" ht="11.25" customHeight="1" outlineLevel="1" thickBot="1">
      <c r="A119" s="214" t="s">
        <v>161</v>
      </c>
      <c r="B119" s="202"/>
      <c r="C119" s="202"/>
      <c r="D119" s="202"/>
      <c r="E119" s="202"/>
      <c r="F119" s="202"/>
      <c r="G119" s="202"/>
      <c r="H119" s="202"/>
      <c r="I119" s="203"/>
      <c r="J119" s="3"/>
      <c r="K119" s="3"/>
      <c r="L119" s="3"/>
      <c r="N119" s="292">
        <f ca="1">SUM(N113:N118)</f>
        <v>0</v>
      </c>
      <c r="O119" s="292">
        <f t="shared" ref="O119:T119" ca="1" si="72">SUM(O113:O118)</f>
        <v>0</v>
      </c>
      <c r="P119" s="292">
        <f t="shared" ca="1" si="72"/>
        <v>0</v>
      </c>
      <c r="Q119" s="292">
        <f t="shared" ca="1" si="72"/>
        <v>0</v>
      </c>
      <c r="R119" s="292">
        <f t="shared" ca="1" si="72"/>
        <v>0</v>
      </c>
      <c r="S119" s="292">
        <f t="shared" ca="1" si="72"/>
        <v>0</v>
      </c>
      <c r="T119" s="292">
        <f t="shared" ca="1" si="72"/>
        <v>0</v>
      </c>
    </row>
    <row r="120" spans="1:20" ht="12" customHeight="1" outlineLevel="1" thickBot="1">
      <c r="A120" s="107"/>
      <c r="B120" s="42"/>
      <c r="C120" s="42"/>
      <c r="D120" s="42"/>
      <c r="E120" s="42"/>
      <c r="F120" s="42"/>
      <c r="G120" s="42"/>
      <c r="H120" s="42"/>
      <c r="I120" s="78"/>
      <c r="M120" s="411" t="s">
        <v>373</v>
      </c>
      <c r="N120" s="412">
        <f ca="1">ROUND(N119-C140,3)</f>
        <v>0</v>
      </c>
      <c r="O120" s="412">
        <f t="shared" ref="O120:T120" ca="1" si="73">ROUND(O119-D140,3)</f>
        <v>0</v>
      </c>
      <c r="P120" s="412">
        <f t="shared" ca="1" si="73"/>
        <v>0</v>
      </c>
      <c r="Q120" s="412">
        <f t="shared" ca="1" si="73"/>
        <v>0</v>
      </c>
      <c r="R120" s="412">
        <f t="shared" ca="1" si="73"/>
        <v>0</v>
      </c>
      <c r="S120" s="412">
        <f t="shared" ca="1" si="73"/>
        <v>0</v>
      </c>
      <c r="T120" s="413">
        <f t="shared" ca="1" si="73"/>
        <v>0</v>
      </c>
    </row>
    <row r="121" spans="1:20" outlineLevel="1">
      <c r="A121" s="208" t="s">
        <v>146</v>
      </c>
      <c r="B121" s="209"/>
      <c r="C121" s="209"/>
      <c r="D121" s="209"/>
      <c r="E121" s="209"/>
      <c r="F121" s="209"/>
      <c r="G121" s="209"/>
      <c r="H121" s="209"/>
      <c r="I121" s="210"/>
    </row>
    <row r="122" spans="1:20" outlineLevel="1">
      <c r="A122" s="107" t="s">
        <v>68</v>
      </c>
      <c r="B122" s="42"/>
      <c r="C122" s="108">
        <f t="array" ref="C122">PRODUCT(IF($B$113:$B$119=$A122,C$113:C$119+1))-IF(COUNTIF($B$113:$B$119,+$A122)=0,0,1)</f>
        <v>0</v>
      </c>
      <c r="D122" s="108">
        <f t="array" ref="D122">PRODUCT(IF($B$113:$B$119=$A122,D$113:D$119+1))-IF(COUNTIF($B$113:$B$119,+$A122)=0,0,1)</f>
        <v>0</v>
      </c>
      <c r="E122" s="108">
        <f t="array" ref="E122">PRODUCT(IF($B$113:$B$119=$A122,E$113:E$119+1))-IF(COUNTIF($B$113:$B$119,+$A122)=0,0,1)</f>
        <v>2.1457965902410336E-2</v>
      </c>
      <c r="F122" s="108">
        <f t="array" ref="F122">PRODUCT(IF($B$113:$B$119=$A122,F$113:F$119+1))-IF(COUNTIF($B$113:$B$119,+$A122)=0,0,1)</f>
        <v>4.3376376105489722E-2</v>
      </c>
      <c r="G122" s="108">
        <f t="array" ref="G122">PRODUCT(IF($B$113:$B$119=$A122,G$113:G$119+1))-IF(COUNTIF($B$113:$B$119,+$A122)=0,0,1)</f>
        <v>6.6991890791005204E-2</v>
      </c>
      <c r="H122" s="108">
        <f t="array" ref="H122">PRODUCT(IF($B$113:$B$119=$A122,H$113:H$119+1))-IF(COUNTIF($B$113:$B$119,+$A122)=0,0,1)</f>
        <v>9.1141913010554854E-2</v>
      </c>
      <c r="I122" s="108">
        <f t="array" ref="I122">PRODUCT(IF($B$113:$B$119=$A122,I$113:I$119+1))-IF(COUNTIF($B$113:$B$119,+$A122)=0,0,1)</f>
        <v>0.11583854067128785</v>
      </c>
      <c r="J122" s="109"/>
    </row>
    <row r="123" spans="1:20" outlineLevel="1">
      <c r="A123" s="107" t="s">
        <v>69</v>
      </c>
      <c r="B123" s="42"/>
      <c r="C123" s="108">
        <f t="array" ref="C123">PRODUCT(IF($B$113:$B$119=$A123,C$113:C$119+1))-IF(COUNTIF($B$113:$B$119,+$A123)=0,0,1)</f>
        <v>0</v>
      </c>
      <c r="D123" s="108">
        <f t="array" ref="D123">PRODUCT(IF($B$113:$B$119=$A123,D$113:D$119+1))-IF(COUNTIF($B$113:$B$119,+$A123)=0,0,1)</f>
        <v>0</v>
      </c>
      <c r="E123" s="108">
        <f t="array" ref="E123">PRODUCT(IF($B$113:$B$119=$A123,E$113:E$119+1))-IF(COUNTIF($B$113:$B$119,+$A123)=0,0,1)</f>
        <v>0</v>
      </c>
      <c r="F123" s="108">
        <f t="array" ref="F123">PRODUCT(IF($B$113:$B$119=$A123,F$113:F$119+1))-IF(COUNTIF($B$113:$B$119,+$A123)=0,0,1)</f>
        <v>0</v>
      </c>
      <c r="G123" s="108">
        <f t="array" ref="G123">PRODUCT(IF($B$113:$B$119=$A123,G$113:G$119+1))-IF(COUNTIF($B$113:$B$119,+$A123)=0,0,1)</f>
        <v>0</v>
      </c>
      <c r="H123" s="108">
        <f t="array" ref="H123">PRODUCT(IF($B$113:$B$119=$A123,H$113:H$119+1))-IF(COUNTIF($B$113:$B$119,+$A123)=0,0,1)</f>
        <v>0</v>
      </c>
      <c r="I123" s="108">
        <f t="array" ref="I123">PRODUCT(IF($B$113:$B$119=$A123,I$113:I$119+1))-IF(COUNTIF($B$113:$B$119,+$A123)=0,0,1)</f>
        <v>0</v>
      </c>
    </row>
    <row r="124" spans="1:20" s="759" customFormat="1" outlineLevel="1">
      <c r="A124" s="107" t="s">
        <v>646</v>
      </c>
      <c r="B124" s="42"/>
      <c r="C124" s="108">
        <f t="array" ref="C124">PRODUCT(IF($B$113:$B$119=$A124,C$113:C$119+1))-IF(COUNTIF($B$113:$B$119,+$A124)=0,0,1)</f>
        <v>0</v>
      </c>
      <c r="D124" s="108">
        <f t="array" ref="D124">PRODUCT(IF($B$113:$B$119=$A124,D$113:D$119+1))-IF(COUNTIF($B$113:$B$119,+$A124)=0,0,1)</f>
        <v>0</v>
      </c>
      <c r="E124" s="108">
        <f t="array" ref="E124">PRODUCT(IF($B$113:$B$119=$A124,E$113:E$119+1))-IF(COUNTIF($B$113:$B$119,+$A124)=0,0,1)</f>
        <v>4.9999999999998934E-3</v>
      </c>
      <c r="F124" s="108">
        <f t="array" ref="F124">PRODUCT(IF($B$113:$B$119=$A124,F$113:F$119+1))-IF(COUNTIF($B$113:$B$119,+$A124)=0,0,1)</f>
        <v>1.0024999999999729E-2</v>
      </c>
      <c r="G124" s="108">
        <f t="array" ref="G124">PRODUCT(IF($B$113:$B$119=$A124,G$113:G$119+1))-IF(COUNTIF($B$113:$B$119,+$A124)=0,0,1)</f>
        <v>1.9115224999999514E-2</v>
      </c>
      <c r="H124" s="108">
        <f t="array" ref="H124">PRODUCT(IF($B$113:$B$119=$A124,H$113:H$119+1))-IF(COUNTIF($B$113:$B$119,+$A124)=0,0,1)</f>
        <v>2.981593486249956E-2</v>
      </c>
      <c r="I124" s="108">
        <f t="array" ref="I124">PRODUCT(IF($B$113:$B$119=$A124,I$113:I$119+1))-IF(COUNTIF($B$113:$B$119,+$A124)=0,0,1)</f>
        <v>4.2688634048280827E-2</v>
      </c>
    </row>
    <row r="125" spans="1:20" outlineLevel="1">
      <c r="A125" s="110" t="s">
        <v>647</v>
      </c>
      <c r="B125" s="42"/>
      <c r="C125" s="108">
        <f t="array" ref="C125">PRODUCT(IF($B$113:$B$119=$A125,C$113:C$119+1))-IF(COUNTIF($B$113:$B$119,+$A125)=0,0,1)</f>
        <v>0</v>
      </c>
      <c r="D125" s="108">
        <f t="array" ref="D125">PRODUCT(IF($B$113:$B$119=$A125,D$113:D$119+1))-IF(COUNTIF($B$113:$B$119,+$A125)=0,0,1)</f>
        <v>0</v>
      </c>
      <c r="E125" s="108">
        <f t="array" ref="E125">PRODUCT(IF($B$113:$B$119=$A125,E$113:E$119+1))-IF(COUNTIF($B$113:$B$119,+$A125)=0,0,1)</f>
        <v>4.9999999999998934E-3</v>
      </c>
      <c r="F125" s="108">
        <f t="array" ref="F125">PRODUCT(IF($B$113:$B$119=$A125,F$113:F$119+1))-IF(COUNTIF($B$113:$B$119,+$A125)=0,0,1)</f>
        <v>1.0024999999999729E-2</v>
      </c>
      <c r="G125" s="108">
        <f t="array" ref="G125">PRODUCT(IF($B$113:$B$119=$A125,G$113:G$119+1))-IF(COUNTIF($B$113:$B$119,+$A125)=0,0,1)</f>
        <v>1.9115224999999514E-2</v>
      </c>
      <c r="H125" s="108">
        <f t="array" ref="H125">PRODUCT(IF($B$113:$B$119=$A125,H$113:H$119+1))-IF(COUNTIF($B$113:$B$119,+$A125)=0,0,1)</f>
        <v>2.981593486249956E-2</v>
      </c>
      <c r="I125" s="108">
        <f t="array" ref="I125">PRODUCT(IF($B$113:$B$119=$A125,I$113:I$119+1))-IF(COUNTIF($B$113:$B$119,+$A125)=0,0,1)</f>
        <v>4.2688634048280827E-2</v>
      </c>
    </row>
    <row r="126" spans="1:20" s="759" customFormat="1" outlineLevel="1">
      <c r="A126" s="110" t="s">
        <v>575</v>
      </c>
      <c r="B126" s="42"/>
      <c r="C126" s="108">
        <f t="array" ref="C126">PRODUCT(IF($B$113:$B$119=$A126,C$113:C$119+1))-IF(COUNTIF($B$113:$B$119,+$A126)=0,0,1)</f>
        <v>0</v>
      </c>
      <c r="D126" s="108">
        <f t="array" ref="D126">PRODUCT(IF($B$113:$B$119=$A126,D$113:D$119+1))-IF(COUNTIF($B$113:$B$119,+$A126)=0,0,1)</f>
        <v>0</v>
      </c>
      <c r="E126" s="108">
        <f t="array" ref="E126">PRODUCT(IF($B$113:$B$119=$A126,E$113:E$119+1))-IF(COUNTIF($B$113:$B$119,+$A126)=0,0,1)</f>
        <v>2.1457965902410336E-2</v>
      </c>
      <c r="F126" s="108">
        <f t="array" ref="F126">PRODUCT(IF($B$113:$B$119=$A126,F$113:F$119+1))-IF(COUNTIF($B$113:$B$119,+$A126)=0,0,1)</f>
        <v>4.3376376105489722E-2</v>
      </c>
      <c r="G126" s="108">
        <f t="array" ref="G126">PRODUCT(IF($B$113:$B$119=$A126,G$113:G$119+1))-IF(COUNTIF($B$113:$B$119,+$A126)=0,0,1)</f>
        <v>6.6991890791005204E-2</v>
      </c>
      <c r="H126" s="108">
        <f t="array" ref="H126">PRODUCT(IF($B$113:$B$119=$A126,H$113:H$119+1))-IF(COUNTIF($B$113:$B$119,+$A126)=0,0,1)</f>
        <v>9.1141913010554854E-2</v>
      </c>
      <c r="I126" s="108">
        <f t="array" ref="I126">PRODUCT(IF($B$113:$B$119=$A126,I$113:I$119+1))-IF(COUNTIF($B$113:$B$119,+$A126)=0,0,1)</f>
        <v>0.11583854067128785</v>
      </c>
    </row>
    <row r="127" spans="1:20" ht="13.5" outlineLevel="1" thickBot="1">
      <c r="A127" s="107" t="s">
        <v>70</v>
      </c>
      <c r="B127" s="42"/>
      <c r="C127" s="108">
        <f t="array" ref="C127">PRODUCT(IF($B$113:$B$119=$A127,C$113:C$119+1))-IF(COUNTIF($B$113:$B$119,+$A127)=0,0,1)</f>
        <v>0</v>
      </c>
      <c r="D127" s="108">
        <f t="array" ref="D127">PRODUCT(IF($B$113:$B$119=$A127,D$113:D$119+1))-IF(COUNTIF($B$113:$B$119,+$A127)=0,0,1)</f>
        <v>0</v>
      </c>
      <c r="E127" s="108">
        <f t="array" ref="E127">PRODUCT(IF($B$113:$B$119=$A127,E$113:E$119+1))-IF(COUNTIF($B$113:$B$119,+$A127)=0,0,1)</f>
        <v>0</v>
      </c>
      <c r="F127" s="108">
        <f t="array" ref="F127">PRODUCT(IF($B$113:$B$119=$A127,F$113:F$119+1))-IF(COUNTIF($B$113:$B$119,+$A127)=0,0,1)</f>
        <v>0</v>
      </c>
      <c r="G127" s="108">
        <f t="array" ref="G127">PRODUCT(IF($B$113:$B$119=$A127,G$113:G$119+1))-IF(COUNTIF($B$113:$B$119,+$A127)=0,0,1)</f>
        <v>0</v>
      </c>
      <c r="H127" s="108">
        <f t="array" ref="H127">PRODUCT(IF($B$113:$B$119=$A127,H$113:H$119+1))-IF(COUNTIF($B$113:$B$119,+$A127)=0,0,1)</f>
        <v>0</v>
      </c>
      <c r="I127" s="108">
        <f t="array" ref="I127">PRODUCT(IF($B$113:$B$119=$A127,I$113:I$119+1))-IF(COUNTIF($B$113:$B$119,+$A127)=0,0,1)</f>
        <v>0</v>
      </c>
    </row>
    <row r="128" spans="1:20" outlineLevel="1">
      <c r="A128" s="111" t="s">
        <v>138</v>
      </c>
      <c r="B128" s="112"/>
      <c r="C128" s="112">
        <f t="array" ref="C128">PRODUCT(IF(C122:C127&lt;&gt;0,C122:C127+1))-IF(SUM(C122:C127)&lt;&gt;0,1,0)</f>
        <v>0</v>
      </c>
      <c r="D128" s="112">
        <f t="array" ref="D128">PRODUCT(IF(D122:D127&lt;&gt;0,D122:D127+1))-IF(SUM(D122:D127)&lt;&gt;0,1,0)</f>
        <v>0</v>
      </c>
      <c r="E128" s="112">
        <f t="array" ref="E128">PRODUCT(IF(E122:E127&lt;&gt;0,E122:E127+1))-IF(SUM(E122:E127)&lt;&gt;0,1,0)</f>
        <v>5.383622427594692E-2</v>
      </c>
      <c r="F128" s="112">
        <f t="array" ref="F128">PRODUCT(IF(F122:F127&lt;&gt;0,F122:F127+1))-IF(SUM(F122:F127)&lt;&gt;0,1,0)</f>
        <v>0.11057078759618411</v>
      </c>
      <c r="G128" s="112">
        <f t="array" ref="G128">PRODUCT(IF(G122:G127&lt;&gt;0,G122:G127+1))-IF(SUM(G122:G127)&lt;&gt;0,1,0)</f>
        <v>0.18241196847880436</v>
      </c>
      <c r="H128" s="112">
        <f t="array" ref="H128">PRODUCT(IF(H122:H127&lt;&gt;0,H122:H127+1))-IF(SUM(H122:H127)&lt;&gt;0,1,0)</f>
        <v>0.26264624548558624</v>
      </c>
      <c r="I128" s="112">
        <f t="array" ref="I128">PRODUCT(IF(I122:I127&lt;&gt;0,I122:I127+1))-IF(SUM(I122:I127)&lt;&gt;0,1,0)</f>
        <v>0.35366747591644665</v>
      </c>
    </row>
    <row r="129" spans="1:16" ht="13.5" outlineLevel="1" thickBot="1">
      <c r="A129" s="113" t="s">
        <v>139</v>
      </c>
      <c r="B129" s="42"/>
      <c r="C129" s="114">
        <f t="array" ref="C129">PRODUCT(IF((C113:C119&lt;&gt;0),C113:C119+1))-IF(C113:C119&lt;&gt;0,1,0)</f>
        <v>0</v>
      </c>
      <c r="D129" s="114">
        <f t="array" ref="D129">PRODUCT(IF((D113:D119&lt;&gt;0),D113:D119+1))-IF(D113:D119&lt;&gt;0,1,0)</f>
        <v>0</v>
      </c>
      <c r="E129" s="114">
        <f t="array" ref="E129">PRODUCT(IF((E113:E119&lt;&gt;0),E113:E119+1))-IF(E113:E119&lt;&gt;0,1,0)</f>
        <v>5.383622427594692E-2</v>
      </c>
      <c r="F129" s="114">
        <f t="array" ref="F129">PRODUCT(IF((F113:F119&lt;&gt;0),F113:F119+1))-IF(F113:F119&lt;&gt;0,1,0)</f>
        <v>0.11057078759618411</v>
      </c>
      <c r="G129" s="114">
        <f t="array" ref="G129">PRODUCT(IF((G113:G119&lt;&gt;0),G113:G119+1))-IF(G113:G119&lt;&gt;0,1,0)</f>
        <v>0.18241196847880436</v>
      </c>
      <c r="H129" s="114">
        <f t="array" ref="H129">PRODUCT(IF((H113:H119&lt;&gt;0),H113:H119+1))-IF(H113:H119&lt;&gt;0,1,0)</f>
        <v>0.26264624548558624</v>
      </c>
      <c r="I129" s="114">
        <f t="array" ref="I129">PRODUCT(IF((I113:I119&lt;&gt;0),I113:I119+1))-IF(I113:I119&lt;&gt;0,1,0)</f>
        <v>0.35366747591644665</v>
      </c>
      <c r="M129" s="115"/>
      <c r="N129" s="115"/>
      <c r="O129" s="115"/>
      <c r="P129" s="115"/>
    </row>
    <row r="130" spans="1:16" ht="13.5" outlineLevel="1" thickBot="1">
      <c r="A130" s="116" t="s">
        <v>140</v>
      </c>
      <c r="B130" s="117"/>
      <c r="C130" s="125">
        <f t="shared" ref="C130:I130" si="74">ROUND(+C128-C129,4)</f>
        <v>0</v>
      </c>
      <c r="D130" s="125">
        <f t="shared" si="74"/>
        <v>0</v>
      </c>
      <c r="E130" s="125">
        <f t="shared" si="74"/>
        <v>0</v>
      </c>
      <c r="F130" s="125">
        <f t="shared" si="74"/>
        <v>0</v>
      </c>
      <c r="G130" s="125">
        <f t="shared" si="74"/>
        <v>0</v>
      </c>
      <c r="H130" s="125">
        <f t="shared" si="74"/>
        <v>0</v>
      </c>
      <c r="I130" s="125">
        <f t="shared" si="74"/>
        <v>0</v>
      </c>
      <c r="J130" s="118" t="str">
        <f>IF(SUM(C130:I130)&lt;&gt;0,"Warning Check Escalations","OK")</f>
        <v>OK</v>
      </c>
    </row>
    <row r="131" spans="1:16" outlineLevel="1">
      <c r="B131" s="42"/>
      <c r="C131" s="42"/>
      <c r="D131" s="42"/>
      <c r="E131" s="42"/>
      <c r="F131" s="42"/>
      <c r="G131" s="42"/>
      <c r="H131" s="42"/>
      <c r="I131" s="78"/>
    </row>
    <row r="132" spans="1:16" ht="13.5" outlineLevel="1" thickBot="1">
      <c r="A132" s="208" t="s">
        <v>147</v>
      </c>
      <c r="B132" s="209"/>
      <c r="C132" s="209"/>
      <c r="D132" s="209"/>
      <c r="E132" s="209"/>
      <c r="F132" s="209"/>
      <c r="G132" s="209"/>
      <c r="H132" s="209"/>
      <c r="I132" s="210"/>
    </row>
    <row r="133" spans="1:16" outlineLevel="1">
      <c r="A133" s="56" t="s">
        <v>126</v>
      </c>
      <c r="B133" s="57"/>
      <c r="C133" s="57" t="str">
        <f t="array" ref="C133:I133">LU_TemplateYearHeader2</f>
        <v>2013/14</v>
      </c>
      <c r="D133" s="57" t="str">
        <v>2014/15</v>
      </c>
      <c r="E133" s="57" t="str">
        <v>2015/16</v>
      </c>
      <c r="F133" s="57" t="str">
        <v>2016/17</v>
      </c>
      <c r="G133" s="57" t="str">
        <v>2017/18</v>
      </c>
      <c r="H133" s="57" t="str">
        <v>2018/19</v>
      </c>
      <c r="I133" s="57" t="str">
        <v>2019/20</v>
      </c>
    </row>
    <row r="134" spans="1:16" outlineLevel="1">
      <c r="A134" s="61" t="s">
        <v>68</v>
      </c>
      <c r="B134" s="119"/>
      <c r="C134" s="285">
        <f ca="1">(+C8+C42)*(C$122)</f>
        <v>0</v>
      </c>
      <c r="D134" s="285">
        <f ca="1">(+D8+D42)*(D$122)</f>
        <v>0</v>
      </c>
      <c r="E134" s="285">
        <f t="shared" ref="E134:I134" ca="1" si="75">(+E8+E42)*(E$122)</f>
        <v>0</v>
      </c>
      <c r="F134" s="285">
        <f t="shared" ca="1" si="75"/>
        <v>0</v>
      </c>
      <c r="G134" s="285">
        <f t="shared" ca="1" si="75"/>
        <v>0</v>
      </c>
      <c r="H134" s="285">
        <f t="shared" ca="1" si="75"/>
        <v>0</v>
      </c>
      <c r="I134" s="285">
        <f t="shared" ca="1" si="75"/>
        <v>0</v>
      </c>
    </row>
    <row r="135" spans="1:16" outlineLevel="1">
      <c r="A135" s="61" t="s">
        <v>69</v>
      </c>
      <c r="B135" s="119"/>
      <c r="C135" s="285">
        <f ca="1">(+C9+C43)*(C$123)</f>
        <v>0</v>
      </c>
      <c r="D135" s="285">
        <f t="shared" ref="D135:I135" ca="1" si="76">(+D9+D43)*(D$123)</f>
        <v>0</v>
      </c>
      <c r="E135" s="285">
        <f t="shared" ca="1" si="76"/>
        <v>0</v>
      </c>
      <c r="F135" s="285">
        <f t="shared" ca="1" si="76"/>
        <v>0</v>
      </c>
      <c r="G135" s="285">
        <f t="shared" ca="1" si="76"/>
        <v>0</v>
      </c>
      <c r="H135" s="285">
        <f t="shared" ca="1" si="76"/>
        <v>0</v>
      </c>
      <c r="I135" s="285">
        <f t="shared" ca="1" si="76"/>
        <v>0</v>
      </c>
    </row>
    <row r="136" spans="1:16" s="759" customFormat="1" outlineLevel="1">
      <c r="A136" s="61" t="s">
        <v>646</v>
      </c>
      <c r="B136" s="119"/>
      <c r="C136" s="285">
        <f ca="1">(+C10+C44)*(C$124)</f>
        <v>0</v>
      </c>
      <c r="D136" s="285">
        <f t="shared" ref="D136:I136" ca="1" si="77">(+D10+D44)*(D$124)</f>
        <v>0</v>
      </c>
      <c r="E136" s="285">
        <f t="shared" ca="1" si="77"/>
        <v>0</v>
      </c>
      <c r="F136" s="285">
        <f t="shared" ca="1" si="77"/>
        <v>0</v>
      </c>
      <c r="G136" s="285">
        <f t="shared" ca="1" si="77"/>
        <v>0</v>
      </c>
      <c r="H136" s="285">
        <f t="shared" ca="1" si="77"/>
        <v>0</v>
      </c>
      <c r="I136" s="285">
        <f t="shared" ca="1" si="77"/>
        <v>0</v>
      </c>
    </row>
    <row r="137" spans="1:16" outlineLevel="1">
      <c r="A137" s="61" t="s">
        <v>647</v>
      </c>
      <c r="B137" s="119"/>
      <c r="C137" s="285">
        <f ca="1">(+C11+C45)*(C$125)</f>
        <v>0</v>
      </c>
      <c r="D137" s="285">
        <f t="shared" ref="D137:I137" ca="1" si="78">(+D11+D45)*(D$125)</f>
        <v>0</v>
      </c>
      <c r="E137" s="285">
        <f t="shared" ca="1" si="78"/>
        <v>0</v>
      </c>
      <c r="F137" s="285">
        <f t="shared" ca="1" si="78"/>
        <v>0</v>
      </c>
      <c r="G137" s="285">
        <f t="shared" ca="1" si="78"/>
        <v>0</v>
      </c>
      <c r="H137" s="285">
        <f t="shared" ca="1" si="78"/>
        <v>0</v>
      </c>
      <c r="I137" s="285">
        <f t="shared" ca="1" si="78"/>
        <v>0</v>
      </c>
    </row>
    <row r="138" spans="1:16" s="759" customFormat="1" outlineLevel="1">
      <c r="A138" s="61" t="s">
        <v>575</v>
      </c>
      <c r="B138" s="119"/>
      <c r="C138" s="285">
        <f ca="1">(+C12+C46)*(C$126)</f>
        <v>0</v>
      </c>
      <c r="D138" s="285">
        <f t="shared" ref="D138:I138" ca="1" si="79">(+D12+D46)*(D$126)</f>
        <v>0</v>
      </c>
      <c r="E138" s="285">
        <f t="shared" ca="1" si="79"/>
        <v>0</v>
      </c>
      <c r="F138" s="285">
        <f t="shared" ca="1" si="79"/>
        <v>0</v>
      </c>
      <c r="G138" s="285">
        <f t="shared" ca="1" si="79"/>
        <v>0</v>
      </c>
      <c r="H138" s="285">
        <f t="shared" ca="1" si="79"/>
        <v>0</v>
      </c>
      <c r="I138" s="285">
        <f t="shared" ca="1" si="79"/>
        <v>0</v>
      </c>
    </row>
    <row r="139" spans="1:16" outlineLevel="1">
      <c r="A139" s="83" t="s">
        <v>70</v>
      </c>
      <c r="B139" s="119"/>
      <c r="C139" s="285">
        <f ca="1">(+C13+C47)*(C$127)</f>
        <v>0</v>
      </c>
      <c r="D139" s="285">
        <f t="shared" ref="D139:I139" ca="1" si="80">(+D13+D47)*(D$127)</f>
        <v>0</v>
      </c>
      <c r="E139" s="285">
        <f t="shared" ca="1" si="80"/>
        <v>0</v>
      </c>
      <c r="F139" s="285">
        <f t="shared" ca="1" si="80"/>
        <v>0</v>
      </c>
      <c r="G139" s="285">
        <f t="shared" ca="1" si="80"/>
        <v>0</v>
      </c>
      <c r="H139" s="285">
        <f t="shared" ca="1" si="80"/>
        <v>0</v>
      </c>
      <c r="I139" s="285">
        <f t="shared" ca="1" si="80"/>
        <v>0</v>
      </c>
    </row>
    <row r="140" spans="1:16" outlineLevel="1">
      <c r="A140" s="120" t="s">
        <v>147</v>
      </c>
      <c r="B140" s="121"/>
      <c r="C140" s="296">
        <f t="shared" ref="C140:I140" ca="1" si="81">SUM(C134:C139)</f>
        <v>0</v>
      </c>
      <c r="D140" s="296">
        <f t="shared" ca="1" si="81"/>
        <v>0</v>
      </c>
      <c r="E140" s="296">
        <f t="shared" ca="1" si="81"/>
        <v>0</v>
      </c>
      <c r="F140" s="296">
        <f t="shared" ca="1" si="81"/>
        <v>0</v>
      </c>
      <c r="G140" s="296">
        <f t="shared" ca="1" si="81"/>
        <v>0</v>
      </c>
      <c r="H140" s="296">
        <f t="shared" ca="1" si="81"/>
        <v>0</v>
      </c>
      <c r="I140" s="296">
        <f t="shared" ca="1" si="81"/>
        <v>0</v>
      </c>
    </row>
    <row r="141" spans="1:16" ht="13.5" outlineLevel="1" thickBot="1">
      <c r="A141" s="122" t="s">
        <v>148</v>
      </c>
      <c r="B141" s="126"/>
      <c r="C141" s="124">
        <f t="shared" ref="C141:I141" ca="1" si="82">IF((+C36+C48)&lt;&gt;0,+C140/(+C36+C48),0)</f>
        <v>0</v>
      </c>
      <c r="D141" s="124">
        <f t="shared" ca="1" si="82"/>
        <v>0</v>
      </c>
      <c r="E141" s="124">
        <f t="shared" ca="1" si="82"/>
        <v>0</v>
      </c>
      <c r="F141" s="124">
        <f t="shared" ca="1" si="82"/>
        <v>0</v>
      </c>
      <c r="G141" s="124">
        <f t="shared" ca="1" si="82"/>
        <v>0</v>
      </c>
      <c r="H141" s="124">
        <f t="shared" ca="1" si="82"/>
        <v>0</v>
      </c>
      <c r="I141" s="124">
        <f t="shared" ca="1" si="82"/>
        <v>0</v>
      </c>
    </row>
    <row r="142" spans="1:16" outlineLevel="1"/>
    <row r="143" spans="1:16">
      <c r="K143" s="127"/>
    </row>
    <row r="144" spans="1:16">
      <c r="K144" s="127"/>
    </row>
    <row r="145" spans="1:13" ht="18">
      <c r="A145" s="206" t="s">
        <v>72</v>
      </c>
      <c r="B145" s="202"/>
      <c r="C145" s="202"/>
      <c r="D145" s="202"/>
      <c r="E145" s="202"/>
      <c r="F145" s="202"/>
      <c r="G145" s="202"/>
      <c r="H145" s="202"/>
      <c r="I145" s="203"/>
      <c r="J145" s="42"/>
    </row>
    <row r="146" spans="1:13" ht="13.5" outlineLevel="1" thickBot="1">
      <c r="A146" s="215" t="s">
        <v>149</v>
      </c>
      <c r="B146" s="209"/>
      <c r="C146" s="209"/>
      <c r="D146" s="209"/>
      <c r="E146" s="209"/>
      <c r="F146" s="209"/>
      <c r="G146" s="209"/>
      <c r="H146" s="209"/>
      <c r="I146" s="210"/>
      <c r="J146" s="42"/>
    </row>
    <row r="147" spans="1:13" outlineLevel="1">
      <c r="A147" s="56"/>
      <c r="B147" s="57" t="str">
        <f t="array" ref="B147:I147">LU_TemplateYearHeader</f>
        <v>2012/13</v>
      </c>
      <c r="C147" s="57" t="str">
        <v>2013/14</v>
      </c>
      <c r="D147" s="57" t="str">
        <v>2014/15</v>
      </c>
      <c r="E147" s="57" t="str">
        <v>2015/16</v>
      </c>
      <c r="F147" s="57" t="str">
        <v>2016/17</v>
      </c>
      <c r="G147" s="57" t="str">
        <v>2017/18</v>
      </c>
      <c r="H147" s="57" t="str">
        <v>2018/19</v>
      </c>
      <c r="I147" s="57" t="str">
        <v>2019/20</v>
      </c>
      <c r="J147" s="42"/>
      <c r="K147" s="21"/>
      <c r="L147" s="21"/>
    </row>
    <row r="148" spans="1:13" s="2" customFormat="1" outlineLevel="1">
      <c r="A148" s="58" t="s">
        <v>126</v>
      </c>
      <c r="B148" s="128"/>
      <c r="C148" s="59"/>
      <c r="D148" s="59"/>
      <c r="E148" s="59"/>
      <c r="F148" s="59"/>
      <c r="G148" s="59"/>
      <c r="H148" s="59"/>
      <c r="I148" s="59"/>
      <c r="J148" s="60"/>
      <c r="K148" s="60"/>
      <c r="L148" s="60"/>
    </row>
    <row r="149" spans="1:13" s="64" customFormat="1" ht="14.25" outlineLevel="1">
      <c r="A149" s="61" t="s">
        <v>68</v>
      </c>
      <c r="B149" s="90"/>
      <c r="C149" s="285">
        <f t="shared" ref="C149:C154" si="83">SUMIF($A$185:$A$195,$A149,C$185:C$195)</f>
        <v>0</v>
      </c>
      <c r="D149" s="285">
        <f t="shared" ref="D149:I149" si="84">SUMIF($A$185:$A$195,$A149,D$185:D$195)</f>
        <v>0</v>
      </c>
      <c r="E149" s="285">
        <f t="shared" si="84"/>
        <v>0</v>
      </c>
      <c r="F149" s="285">
        <f t="shared" si="84"/>
        <v>0</v>
      </c>
      <c r="G149" s="285">
        <f t="shared" si="84"/>
        <v>0</v>
      </c>
      <c r="H149" s="285">
        <f t="shared" si="84"/>
        <v>0</v>
      </c>
      <c r="I149" s="285">
        <f t="shared" si="84"/>
        <v>0</v>
      </c>
      <c r="J149" s="63"/>
      <c r="K149" s="63"/>
      <c r="L149" s="63"/>
    </row>
    <row r="150" spans="1:13" outlineLevel="1">
      <c r="A150" s="61" t="s">
        <v>69</v>
      </c>
      <c r="B150" s="65"/>
      <c r="C150" s="285">
        <f t="shared" si="83"/>
        <v>0</v>
      </c>
      <c r="D150" s="285">
        <f t="shared" ref="D150:I154" si="85">SUMIF($A$185:$A$195,$A150,D$185:D$195)</f>
        <v>0</v>
      </c>
      <c r="E150" s="285">
        <f t="shared" si="85"/>
        <v>0</v>
      </c>
      <c r="F150" s="285">
        <f t="shared" si="85"/>
        <v>0</v>
      </c>
      <c r="G150" s="285">
        <f t="shared" si="85"/>
        <v>0</v>
      </c>
      <c r="H150" s="285">
        <f t="shared" si="85"/>
        <v>0</v>
      </c>
      <c r="I150" s="285">
        <f t="shared" si="85"/>
        <v>0</v>
      </c>
      <c r="J150" s="42"/>
      <c r="K150" s="21"/>
      <c r="L150" s="21"/>
    </row>
    <row r="151" spans="1:13" s="759" customFormat="1" outlineLevel="1">
      <c r="A151" s="61" t="s">
        <v>646</v>
      </c>
      <c r="B151" s="65"/>
      <c r="C151" s="285">
        <f t="shared" si="83"/>
        <v>0</v>
      </c>
      <c r="D151" s="285">
        <f t="shared" si="85"/>
        <v>0</v>
      </c>
      <c r="E151" s="285">
        <f t="shared" si="85"/>
        <v>0</v>
      </c>
      <c r="F151" s="285">
        <f t="shared" si="85"/>
        <v>0</v>
      </c>
      <c r="G151" s="285">
        <f t="shared" si="85"/>
        <v>0</v>
      </c>
      <c r="H151" s="285">
        <f t="shared" si="85"/>
        <v>0</v>
      </c>
      <c r="I151" s="285">
        <f t="shared" si="85"/>
        <v>0</v>
      </c>
      <c r="J151" s="42"/>
      <c r="K151" s="732"/>
      <c r="L151" s="732"/>
    </row>
    <row r="152" spans="1:13" outlineLevel="1">
      <c r="A152" s="61" t="s">
        <v>647</v>
      </c>
      <c r="B152" s="65"/>
      <c r="C152" s="285">
        <f t="shared" si="83"/>
        <v>0</v>
      </c>
      <c r="D152" s="285">
        <f t="shared" si="85"/>
        <v>9.6736987014919812E-2</v>
      </c>
      <c r="E152" s="285">
        <f t="shared" si="85"/>
        <v>0.15</v>
      </c>
      <c r="F152" s="285">
        <f t="shared" si="85"/>
        <v>0.2</v>
      </c>
      <c r="G152" s="285">
        <f t="shared" si="85"/>
        <v>0.25</v>
      </c>
      <c r="H152" s="285">
        <f t="shared" si="85"/>
        <v>0.3</v>
      </c>
      <c r="I152" s="285">
        <f t="shared" si="85"/>
        <v>0.35</v>
      </c>
      <c r="J152" s="42"/>
      <c r="K152" s="21"/>
      <c r="L152" s="21"/>
    </row>
    <row r="153" spans="1:13" s="759" customFormat="1" outlineLevel="1">
      <c r="A153" s="61" t="s">
        <v>575</v>
      </c>
      <c r="B153" s="65"/>
      <c r="C153" s="285">
        <f t="shared" si="83"/>
        <v>0</v>
      </c>
      <c r="D153" s="285">
        <f t="shared" si="85"/>
        <v>0</v>
      </c>
      <c r="E153" s="285">
        <f t="shared" si="85"/>
        <v>0</v>
      </c>
      <c r="F153" s="285">
        <f t="shared" si="85"/>
        <v>0</v>
      </c>
      <c r="G153" s="285">
        <f t="shared" si="85"/>
        <v>0</v>
      </c>
      <c r="H153" s="285">
        <f t="shared" si="85"/>
        <v>0</v>
      </c>
      <c r="I153" s="285">
        <f t="shared" si="85"/>
        <v>0</v>
      </c>
      <c r="J153" s="42"/>
      <c r="K153" s="732"/>
      <c r="L153" s="732"/>
    </row>
    <row r="154" spans="1:13" outlineLevel="1">
      <c r="A154" s="83" t="s">
        <v>70</v>
      </c>
      <c r="B154" s="65"/>
      <c r="C154" s="285">
        <f t="shared" si="83"/>
        <v>0</v>
      </c>
      <c r="D154" s="285">
        <f t="shared" si="85"/>
        <v>0</v>
      </c>
      <c r="E154" s="285">
        <f t="shared" si="85"/>
        <v>0</v>
      </c>
      <c r="F154" s="285">
        <f t="shared" si="85"/>
        <v>0</v>
      </c>
      <c r="G154" s="285">
        <f t="shared" si="85"/>
        <v>0</v>
      </c>
      <c r="H154" s="285">
        <f t="shared" si="85"/>
        <v>0</v>
      </c>
      <c r="I154" s="285">
        <f t="shared" si="85"/>
        <v>0</v>
      </c>
      <c r="J154" s="42"/>
      <c r="K154" s="21"/>
      <c r="L154" s="21"/>
    </row>
    <row r="155" spans="1:13" outlineLevel="1">
      <c r="A155" s="129" t="s">
        <v>150</v>
      </c>
      <c r="B155" s="130"/>
      <c r="C155" s="296">
        <f t="shared" ref="C155:I155" si="86">SUM(C149:C154)</f>
        <v>0</v>
      </c>
      <c r="D155" s="296">
        <f t="shared" si="86"/>
        <v>9.6736987014919812E-2</v>
      </c>
      <c r="E155" s="296">
        <f t="shared" si="86"/>
        <v>0.15</v>
      </c>
      <c r="F155" s="296">
        <f t="shared" si="86"/>
        <v>0.2</v>
      </c>
      <c r="G155" s="296">
        <f t="shared" si="86"/>
        <v>0.25</v>
      </c>
      <c r="H155" s="296">
        <f t="shared" si="86"/>
        <v>0.3</v>
      </c>
      <c r="I155" s="296">
        <f t="shared" si="86"/>
        <v>0.35</v>
      </c>
      <c r="J155" s="127"/>
      <c r="K155" s="21"/>
      <c r="L155" s="21"/>
    </row>
    <row r="156" spans="1:13">
      <c r="A156" s="67"/>
      <c r="B156" s="55"/>
      <c r="C156" s="55"/>
      <c r="D156" s="55"/>
      <c r="E156" s="55"/>
      <c r="F156" s="55"/>
      <c r="G156" s="55"/>
      <c r="H156" s="55"/>
      <c r="I156" s="66"/>
    </row>
    <row r="157" spans="1:13" ht="18">
      <c r="A157" s="206" t="s">
        <v>325</v>
      </c>
      <c r="B157" s="202"/>
      <c r="C157" s="202"/>
      <c r="D157" s="202"/>
      <c r="E157" s="202"/>
      <c r="F157" s="202"/>
      <c r="G157" s="202"/>
      <c r="H157" s="202"/>
      <c r="I157" s="203"/>
      <c r="J157" s="42"/>
    </row>
    <row r="158" spans="1:13" ht="51.75" outlineLevel="1" thickBot="1">
      <c r="A158" s="215" t="s">
        <v>326</v>
      </c>
      <c r="B158" s="209"/>
      <c r="C158" s="209" t="s">
        <v>327</v>
      </c>
      <c r="D158" s="209">
        <f>MAX(J178:J195)</f>
        <v>1</v>
      </c>
      <c r="E158" s="209"/>
      <c r="F158" s="209"/>
      <c r="G158" s="209"/>
      <c r="H158" s="209"/>
      <c r="I158" s="210"/>
      <c r="K158" s="46" t="s">
        <v>117</v>
      </c>
      <c r="L158" s="50" t="s">
        <v>259</v>
      </c>
      <c r="M158" s="54" t="s">
        <v>111</v>
      </c>
    </row>
    <row r="159" spans="1:13" outlineLevel="1">
      <c r="A159" s="56"/>
      <c r="B159" s="57" t="str">
        <f t="array" ref="B159:I159">LU_TemplateYearHeader</f>
        <v>2012/13</v>
      </c>
      <c r="C159" s="57" t="str">
        <v>2013/14</v>
      </c>
      <c r="D159" s="57" t="str">
        <v>2014/15</v>
      </c>
      <c r="E159" s="57" t="str">
        <v>2015/16</v>
      </c>
      <c r="F159" s="57" t="str">
        <v>2016/17</v>
      </c>
      <c r="G159" s="57" t="str">
        <v>2017/18</v>
      </c>
      <c r="H159" s="57" t="str">
        <v>2018/19</v>
      </c>
      <c r="I159" s="57" t="str">
        <v>2019/20</v>
      </c>
      <c r="J159" s="53" t="s">
        <v>324</v>
      </c>
      <c r="K159" s="21"/>
      <c r="L159" s="21"/>
    </row>
    <row r="160" spans="1:13" outlineLevel="1">
      <c r="A160" s="66" t="str">
        <f t="shared" ref="A160:A169" ca="1" si="87">IF(ISNUMBER($J160),OFFSET($B$177,MATCH(+$J160,$J$178:$J$195,0),0),"")</f>
        <v>Step Change</v>
      </c>
      <c r="B160" s="285">
        <f t="shared" ref="B160:I169" ca="1" si="88">IF(ISNUMBER($J160),OFFSET(B$177,MATCH(+$J160,$J$178:$J$195,0)+13,0),"")</f>
        <v>0</v>
      </c>
      <c r="C160" s="285">
        <f t="shared" ca="1" si="88"/>
        <v>0</v>
      </c>
      <c r="D160" s="285">
        <f t="shared" ca="1" si="88"/>
        <v>9.6736987014919812E-2</v>
      </c>
      <c r="E160" s="285">
        <f t="shared" ca="1" si="88"/>
        <v>0.15</v>
      </c>
      <c r="F160" s="285">
        <f t="shared" ca="1" si="88"/>
        <v>0.2</v>
      </c>
      <c r="G160" s="285">
        <f t="shared" ca="1" si="88"/>
        <v>0.25</v>
      </c>
      <c r="H160" s="285">
        <f t="shared" ca="1" si="88"/>
        <v>0.3</v>
      </c>
      <c r="I160" s="285">
        <f t="shared" ca="1" si="88"/>
        <v>0.35</v>
      </c>
      <c r="J160" s="378">
        <f>IF($D$158&gt;0,1,"")</f>
        <v>1</v>
      </c>
      <c r="K160" s="66" t="str">
        <f ca="1">IF(ISNUMBER($J160),OFFSET($B$177,MATCH(+$J160,$J$178:$J$195,0)+1,0),"")</f>
        <v>Proposal Step Change</v>
      </c>
      <c r="L160" s="66" t="str">
        <f ca="1">IF(ISNUMBER($J160),OFFSET($B$177,MATCH(+$J160,$J$178:$J$195,0)+2,0),"")</f>
        <v>Refer Opex Workings</v>
      </c>
      <c r="M160" s="66" t="str">
        <f ca="1">IF(ISNUMBER($J160),OFFSET($B$177,MATCH(+$J160,$J$178:$J$195,0)+3,0),"")</f>
        <v>Proposal, October 2014</v>
      </c>
    </row>
    <row r="161" spans="1:13" outlineLevel="1">
      <c r="A161" s="66" t="str">
        <f t="shared" ca="1" si="87"/>
        <v/>
      </c>
      <c r="B161" s="285" t="str">
        <f t="shared" ca="1" si="88"/>
        <v/>
      </c>
      <c r="C161" s="285" t="str">
        <f t="shared" ca="1" si="88"/>
        <v/>
      </c>
      <c r="D161" s="285" t="str">
        <f t="shared" ca="1" si="88"/>
        <v/>
      </c>
      <c r="E161" s="285" t="str">
        <f t="shared" ca="1" si="88"/>
        <v/>
      </c>
      <c r="F161" s="285" t="str">
        <f t="shared" ca="1" si="88"/>
        <v/>
      </c>
      <c r="G161" s="285" t="str">
        <f t="shared" ca="1" si="88"/>
        <v/>
      </c>
      <c r="H161" s="285" t="str">
        <f t="shared" ca="1" si="88"/>
        <v/>
      </c>
      <c r="I161" s="285" t="str">
        <f t="shared" ca="1" si="88"/>
        <v/>
      </c>
      <c r="J161" s="378" t="str">
        <f>IF(J160&lt;$D$158,J160+1,"")</f>
        <v/>
      </c>
      <c r="K161" s="66" t="str">
        <f t="shared" ref="K161:K169" ca="1" si="89">IF(ISNUMBER($J161),OFFSET($B$177,MATCH(+$J161,$J$178:$J$195,0)+1,0),"")</f>
        <v/>
      </c>
      <c r="L161" s="66" t="str">
        <f t="shared" ref="L161:L169" ca="1" si="90">IF(ISNUMBER($J161),OFFSET($B$177,MATCH(+$J161,$J$178:$J$195,0)+2,0),"")</f>
        <v/>
      </c>
      <c r="M161" s="66" t="str">
        <f t="shared" ref="M161:M169" ca="1" si="91">IF(ISNUMBER($J161),OFFSET($B$177,MATCH(+$J161,$J$178:$J$195,0)+3,0),"")</f>
        <v/>
      </c>
    </row>
    <row r="162" spans="1:13" outlineLevel="1">
      <c r="A162" s="66" t="str">
        <f t="shared" ca="1" si="87"/>
        <v/>
      </c>
      <c r="B162" s="285" t="str">
        <f t="shared" ca="1" si="88"/>
        <v/>
      </c>
      <c r="C162" s="285" t="str">
        <f t="shared" ca="1" si="88"/>
        <v/>
      </c>
      <c r="D162" s="285" t="str">
        <f t="shared" ca="1" si="88"/>
        <v/>
      </c>
      <c r="E162" s="285" t="str">
        <f t="shared" ca="1" si="88"/>
        <v/>
      </c>
      <c r="F162" s="285" t="str">
        <f t="shared" ca="1" si="88"/>
        <v/>
      </c>
      <c r="G162" s="285" t="str">
        <f t="shared" ca="1" si="88"/>
        <v/>
      </c>
      <c r="H162" s="285" t="str">
        <f t="shared" ca="1" si="88"/>
        <v/>
      </c>
      <c r="I162" s="285" t="str">
        <f t="shared" ca="1" si="88"/>
        <v/>
      </c>
      <c r="J162" s="378" t="str">
        <f t="shared" ref="J162:J169" si="92">IF(J161&lt;$D$158,J161+1,"")</f>
        <v/>
      </c>
      <c r="K162" s="66" t="str">
        <f t="shared" ca="1" si="89"/>
        <v/>
      </c>
      <c r="L162" s="66" t="str">
        <f t="shared" ca="1" si="90"/>
        <v/>
      </c>
      <c r="M162" s="66" t="str">
        <f t="shared" ca="1" si="91"/>
        <v/>
      </c>
    </row>
    <row r="163" spans="1:13" outlineLevel="1">
      <c r="A163" s="66" t="str">
        <f t="shared" ca="1" si="87"/>
        <v/>
      </c>
      <c r="B163" s="285" t="str">
        <f t="shared" ca="1" si="88"/>
        <v/>
      </c>
      <c r="C163" s="285" t="str">
        <f t="shared" ca="1" si="88"/>
        <v/>
      </c>
      <c r="D163" s="285" t="str">
        <f t="shared" ca="1" si="88"/>
        <v/>
      </c>
      <c r="E163" s="285" t="str">
        <f t="shared" ca="1" si="88"/>
        <v/>
      </c>
      <c r="F163" s="285" t="str">
        <f t="shared" ca="1" si="88"/>
        <v/>
      </c>
      <c r="G163" s="285" t="str">
        <f t="shared" ca="1" si="88"/>
        <v/>
      </c>
      <c r="H163" s="285" t="str">
        <f t="shared" ca="1" si="88"/>
        <v/>
      </c>
      <c r="I163" s="285" t="str">
        <f t="shared" ca="1" si="88"/>
        <v/>
      </c>
      <c r="J163" s="378" t="str">
        <f t="shared" si="92"/>
        <v/>
      </c>
      <c r="K163" s="66" t="str">
        <f t="shared" ca="1" si="89"/>
        <v/>
      </c>
      <c r="L163" s="66" t="str">
        <f t="shared" ca="1" si="90"/>
        <v/>
      </c>
      <c r="M163" s="66" t="str">
        <f t="shared" ca="1" si="91"/>
        <v/>
      </c>
    </row>
    <row r="164" spans="1:13" outlineLevel="1">
      <c r="A164" s="66" t="str">
        <f t="shared" ca="1" si="87"/>
        <v/>
      </c>
      <c r="B164" s="285" t="str">
        <f t="shared" ca="1" si="88"/>
        <v/>
      </c>
      <c r="C164" s="285" t="str">
        <f t="shared" ca="1" si="88"/>
        <v/>
      </c>
      <c r="D164" s="285" t="str">
        <f t="shared" ca="1" si="88"/>
        <v/>
      </c>
      <c r="E164" s="285" t="str">
        <f t="shared" ca="1" si="88"/>
        <v/>
      </c>
      <c r="F164" s="285" t="str">
        <f t="shared" ca="1" si="88"/>
        <v/>
      </c>
      <c r="G164" s="285" t="str">
        <f t="shared" ca="1" si="88"/>
        <v/>
      </c>
      <c r="H164" s="285" t="str">
        <f t="shared" ca="1" si="88"/>
        <v/>
      </c>
      <c r="I164" s="285" t="str">
        <f t="shared" ca="1" si="88"/>
        <v/>
      </c>
      <c r="J164" s="378" t="str">
        <f t="shared" si="92"/>
        <v/>
      </c>
      <c r="K164" s="66" t="str">
        <f t="shared" ca="1" si="89"/>
        <v/>
      </c>
      <c r="L164" s="66" t="str">
        <f t="shared" ca="1" si="90"/>
        <v/>
      </c>
      <c r="M164" s="66" t="str">
        <f t="shared" ca="1" si="91"/>
        <v/>
      </c>
    </row>
    <row r="165" spans="1:13" outlineLevel="1">
      <c r="A165" s="66" t="str">
        <f t="shared" ca="1" si="87"/>
        <v/>
      </c>
      <c r="B165" s="285" t="str">
        <f t="shared" ca="1" si="88"/>
        <v/>
      </c>
      <c r="C165" s="285" t="str">
        <f t="shared" ca="1" si="88"/>
        <v/>
      </c>
      <c r="D165" s="285" t="str">
        <f t="shared" ca="1" si="88"/>
        <v/>
      </c>
      <c r="E165" s="285" t="str">
        <f t="shared" ca="1" si="88"/>
        <v/>
      </c>
      <c r="F165" s="285" t="str">
        <f t="shared" ca="1" si="88"/>
        <v/>
      </c>
      <c r="G165" s="285" t="str">
        <f t="shared" ca="1" si="88"/>
        <v/>
      </c>
      <c r="H165" s="285" t="str">
        <f t="shared" ca="1" si="88"/>
        <v/>
      </c>
      <c r="I165" s="285" t="str">
        <f t="shared" ca="1" si="88"/>
        <v/>
      </c>
      <c r="J165" s="378" t="str">
        <f t="shared" si="92"/>
        <v/>
      </c>
      <c r="K165" s="66" t="str">
        <f t="shared" ca="1" si="89"/>
        <v/>
      </c>
      <c r="L165" s="66" t="str">
        <f t="shared" ca="1" si="90"/>
        <v/>
      </c>
      <c r="M165" s="66" t="str">
        <f t="shared" ca="1" si="91"/>
        <v/>
      </c>
    </row>
    <row r="166" spans="1:13" outlineLevel="1">
      <c r="A166" s="66" t="str">
        <f t="shared" ca="1" si="87"/>
        <v/>
      </c>
      <c r="B166" s="285" t="str">
        <f t="shared" ca="1" si="88"/>
        <v/>
      </c>
      <c r="C166" s="285" t="str">
        <f t="shared" ca="1" si="88"/>
        <v/>
      </c>
      <c r="D166" s="285" t="str">
        <f t="shared" ca="1" si="88"/>
        <v/>
      </c>
      <c r="E166" s="285" t="str">
        <f t="shared" ca="1" si="88"/>
        <v/>
      </c>
      <c r="F166" s="285" t="str">
        <f t="shared" ca="1" si="88"/>
        <v/>
      </c>
      <c r="G166" s="285" t="str">
        <f t="shared" ca="1" si="88"/>
        <v/>
      </c>
      <c r="H166" s="285" t="str">
        <f t="shared" ca="1" si="88"/>
        <v/>
      </c>
      <c r="I166" s="285" t="str">
        <f t="shared" ca="1" si="88"/>
        <v/>
      </c>
      <c r="J166" s="378" t="str">
        <f t="shared" si="92"/>
        <v/>
      </c>
      <c r="K166" s="66" t="str">
        <f t="shared" ca="1" si="89"/>
        <v/>
      </c>
      <c r="L166" s="66" t="str">
        <f t="shared" ca="1" si="90"/>
        <v/>
      </c>
      <c r="M166" s="66" t="str">
        <f t="shared" ca="1" si="91"/>
        <v/>
      </c>
    </row>
    <row r="167" spans="1:13" outlineLevel="1">
      <c r="A167" s="66" t="str">
        <f t="shared" ca="1" si="87"/>
        <v/>
      </c>
      <c r="B167" s="285" t="str">
        <f t="shared" ca="1" si="88"/>
        <v/>
      </c>
      <c r="C167" s="285" t="str">
        <f t="shared" ca="1" si="88"/>
        <v/>
      </c>
      <c r="D167" s="285" t="str">
        <f t="shared" ca="1" si="88"/>
        <v/>
      </c>
      <c r="E167" s="285" t="str">
        <f t="shared" ca="1" si="88"/>
        <v/>
      </c>
      <c r="F167" s="285" t="str">
        <f t="shared" ca="1" si="88"/>
        <v/>
      </c>
      <c r="G167" s="285" t="str">
        <f t="shared" ca="1" si="88"/>
        <v/>
      </c>
      <c r="H167" s="285" t="str">
        <f t="shared" ca="1" si="88"/>
        <v/>
      </c>
      <c r="I167" s="285" t="str">
        <f t="shared" ca="1" si="88"/>
        <v/>
      </c>
      <c r="J167" s="378" t="str">
        <f t="shared" si="92"/>
        <v/>
      </c>
      <c r="K167" s="66" t="str">
        <f t="shared" ca="1" si="89"/>
        <v/>
      </c>
      <c r="L167" s="66" t="str">
        <f t="shared" ca="1" si="90"/>
        <v/>
      </c>
      <c r="M167" s="66" t="str">
        <f t="shared" ca="1" si="91"/>
        <v/>
      </c>
    </row>
    <row r="168" spans="1:13" outlineLevel="1">
      <c r="A168" s="66" t="str">
        <f t="shared" ca="1" si="87"/>
        <v/>
      </c>
      <c r="B168" s="285" t="str">
        <f t="shared" ca="1" si="88"/>
        <v/>
      </c>
      <c r="C168" s="285" t="str">
        <f t="shared" ca="1" si="88"/>
        <v/>
      </c>
      <c r="D168" s="285" t="str">
        <f t="shared" ca="1" si="88"/>
        <v/>
      </c>
      <c r="E168" s="285" t="str">
        <f t="shared" ca="1" si="88"/>
        <v/>
      </c>
      <c r="F168" s="285" t="str">
        <f t="shared" ca="1" si="88"/>
        <v/>
      </c>
      <c r="G168" s="285" t="str">
        <f t="shared" ca="1" si="88"/>
        <v/>
      </c>
      <c r="H168" s="285" t="str">
        <f t="shared" ca="1" si="88"/>
        <v/>
      </c>
      <c r="I168" s="285" t="str">
        <f t="shared" ca="1" si="88"/>
        <v/>
      </c>
      <c r="J168" s="378" t="str">
        <f t="shared" si="92"/>
        <v/>
      </c>
      <c r="K168" s="66" t="str">
        <f t="shared" ca="1" si="89"/>
        <v/>
      </c>
      <c r="L168" s="66" t="str">
        <f t="shared" ca="1" si="90"/>
        <v/>
      </c>
      <c r="M168" s="66" t="str">
        <f t="shared" ca="1" si="91"/>
        <v/>
      </c>
    </row>
    <row r="169" spans="1:13" outlineLevel="1">
      <c r="A169" s="66" t="str">
        <f t="shared" ca="1" si="87"/>
        <v/>
      </c>
      <c r="B169" s="285" t="str">
        <f t="shared" ca="1" si="88"/>
        <v/>
      </c>
      <c r="C169" s="285" t="str">
        <f t="shared" ca="1" si="88"/>
        <v/>
      </c>
      <c r="D169" s="285" t="str">
        <f t="shared" ca="1" si="88"/>
        <v/>
      </c>
      <c r="E169" s="285" t="str">
        <f t="shared" ca="1" si="88"/>
        <v/>
      </c>
      <c r="F169" s="285" t="str">
        <f t="shared" ca="1" si="88"/>
        <v/>
      </c>
      <c r="G169" s="285" t="str">
        <f t="shared" ca="1" si="88"/>
        <v/>
      </c>
      <c r="H169" s="285" t="str">
        <f t="shared" ca="1" si="88"/>
        <v/>
      </c>
      <c r="I169" s="285" t="str">
        <f t="shared" ca="1" si="88"/>
        <v/>
      </c>
      <c r="J169" s="378" t="str">
        <f t="shared" si="92"/>
        <v/>
      </c>
      <c r="K169" s="66" t="str">
        <f t="shared" ca="1" si="89"/>
        <v/>
      </c>
      <c r="L169" s="66" t="str">
        <f t="shared" ca="1" si="90"/>
        <v/>
      </c>
      <c r="M169" s="66" t="str">
        <f t="shared" ca="1" si="91"/>
        <v/>
      </c>
    </row>
    <row r="170" spans="1:13">
      <c r="A170" s="129" t="s">
        <v>150</v>
      </c>
      <c r="B170" s="296">
        <f ca="1">SUM(B160:B169)</f>
        <v>0</v>
      </c>
      <c r="C170" s="296">
        <f t="shared" ref="C170:I170" ca="1" si="93">SUM(C160:C169)</f>
        <v>0</v>
      </c>
      <c r="D170" s="296">
        <f t="shared" ca="1" si="93"/>
        <v>9.6736987014919812E-2</v>
      </c>
      <c r="E170" s="296">
        <f t="shared" ca="1" si="93"/>
        <v>0.15</v>
      </c>
      <c r="F170" s="296">
        <f t="shared" ca="1" si="93"/>
        <v>0.2</v>
      </c>
      <c r="G170" s="296">
        <f t="shared" ca="1" si="93"/>
        <v>0.25</v>
      </c>
      <c r="H170" s="296">
        <f t="shared" ca="1" si="93"/>
        <v>0.3</v>
      </c>
      <c r="I170" s="296">
        <f t="shared" ca="1" si="93"/>
        <v>0.35</v>
      </c>
    </row>
    <row r="171" spans="1:13">
      <c r="A171" s="67"/>
      <c r="B171" s="55"/>
      <c r="C171" s="55"/>
      <c r="D171" s="55"/>
      <c r="E171" s="55"/>
      <c r="F171" s="55"/>
      <c r="G171" s="55"/>
      <c r="H171" s="55"/>
      <c r="I171" s="66"/>
    </row>
    <row r="172" spans="1:13" ht="18">
      <c r="A172" s="206" t="s">
        <v>76</v>
      </c>
      <c r="B172" s="202"/>
      <c r="C172" s="202"/>
      <c r="D172" s="202"/>
      <c r="E172" s="202"/>
      <c r="F172" s="202"/>
      <c r="G172" s="202"/>
      <c r="H172" s="202"/>
      <c r="I172" s="203"/>
      <c r="J172" s="42"/>
    </row>
    <row r="173" spans="1:13" outlineLevel="1">
      <c r="A173" s="215" t="s">
        <v>151</v>
      </c>
      <c r="B173" s="216"/>
      <c r="C173" s="216"/>
      <c r="D173" s="216"/>
      <c r="E173" s="216"/>
      <c r="F173" s="216"/>
      <c r="G173" s="216"/>
      <c r="H173" s="216"/>
      <c r="I173" s="217"/>
      <c r="J173" s="42"/>
    </row>
    <row r="174" spans="1:13" outlineLevel="1">
      <c r="A174" s="215" t="s">
        <v>152</v>
      </c>
      <c r="B174" s="216"/>
      <c r="C174" s="216"/>
      <c r="D174" s="216"/>
      <c r="E174" s="216"/>
      <c r="F174" s="216"/>
      <c r="G174" s="216"/>
      <c r="H174" s="216"/>
      <c r="I174" s="217"/>
      <c r="J174" s="42"/>
    </row>
    <row r="175" spans="1:13" ht="13.5" outlineLevel="1" thickBot="1">
      <c r="A175" s="212" t="s">
        <v>554</v>
      </c>
      <c r="B175" s="219"/>
      <c r="C175" s="219"/>
      <c r="D175" s="219"/>
      <c r="E175" s="219"/>
      <c r="F175" s="219"/>
      <c r="G175" s="219"/>
      <c r="H175" s="219"/>
      <c r="I175" s="219"/>
      <c r="J175" s="42"/>
    </row>
    <row r="176" spans="1:13" outlineLevel="1">
      <c r="A176" s="215"/>
      <c r="B176" s="216"/>
      <c r="C176" s="216"/>
      <c r="D176" s="216"/>
      <c r="E176" s="216"/>
      <c r="F176" s="216"/>
      <c r="G176" s="216"/>
      <c r="H176" s="216"/>
      <c r="I176" s="217"/>
      <c r="J176" s="42"/>
    </row>
    <row r="177" spans="1:12" outlineLevel="1">
      <c r="A177" s="215"/>
      <c r="B177" s="216"/>
      <c r="C177" s="216"/>
      <c r="D177" s="216"/>
      <c r="E177" s="216"/>
      <c r="F177" s="216"/>
      <c r="G177" s="216"/>
      <c r="H177" s="216"/>
      <c r="I177" s="217"/>
      <c r="J177" s="379" t="s">
        <v>328</v>
      </c>
    </row>
    <row r="178" spans="1:12" outlineLevel="1">
      <c r="A178" s="46" t="s">
        <v>153</v>
      </c>
      <c r="B178" s="47" t="s">
        <v>677</v>
      </c>
      <c r="C178" s="783"/>
      <c r="D178" s="48"/>
      <c r="E178" s="49"/>
      <c r="F178" s="42"/>
      <c r="G178" s="42"/>
      <c r="H178" s="42"/>
      <c r="I178" s="783"/>
      <c r="J178" s="377">
        <v>1</v>
      </c>
    </row>
    <row r="179" spans="1:12" ht="20.25" customHeight="1" outlineLevel="1">
      <c r="A179" s="46" t="s">
        <v>117</v>
      </c>
      <c r="B179" s="47" t="s">
        <v>679</v>
      </c>
      <c r="C179" s="783"/>
      <c r="D179" s="783"/>
      <c r="E179" s="783"/>
      <c r="F179" s="783"/>
      <c r="G179" s="783"/>
      <c r="H179" s="783"/>
      <c r="I179" s="783"/>
      <c r="J179" s="42"/>
    </row>
    <row r="180" spans="1:12" ht="16.5" customHeight="1" outlineLevel="1">
      <c r="A180" s="50" t="s">
        <v>259</v>
      </c>
      <c r="B180" s="47" t="s">
        <v>680</v>
      </c>
      <c r="C180" s="51"/>
      <c r="D180" s="783"/>
      <c r="E180" s="783"/>
      <c r="F180" s="783"/>
      <c r="G180" s="783"/>
      <c r="H180" s="783"/>
      <c r="I180" s="783"/>
      <c r="J180" s="42"/>
    </row>
    <row r="181" spans="1:12" outlineLevel="1">
      <c r="A181" s="54" t="s">
        <v>111</v>
      </c>
      <c r="B181" s="42" t="s">
        <v>678</v>
      </c>
      <c r="C181" s="783"/>
      <c r="D181" s="783"/>
      <c r="E181" s="783"/>
      <c r="F181" s="783"/>
      <c r="G181" s="783"/>
      <c r="H181" s="783"/>
      <c r="I181" s="783"/>
      <c r="J181" s="42"/>
    </row>
    <row r="182" spans="1:12" ht="13.5" outlineLevel="1" thickBot="1">
      <c r="A182" s="215"/>
      <c r="B182" s="209"/>
      <c r="C182" s="209"/>
      <c r="D182" s="209"/>
      <c r="E182" s="209"/>
      <c r="F182" s="209"/>
      <c r="G182" s="209"/>
      <c r="H182" s="209"/>
      <c r="I182" s="210"/>
      <c r="J182" s="42"/>
    </row>
    <row r="183" spans="1:12" outlineLevel="1">
      <c r="A183" s="56"/>
      <c r="B183" s="57" t="str">
        <f t="array" ref="B183:I183">LU_TemplateYearHeader</f>
        <v>2012/13</v>
      </c>
      <c r="C183" s="57" t="str">
        <v>2013/14</v>
      </c>
      <c r="D183" s="57" t="str">
        <v>2014/15</v>
      </c>
      <c r="E183" s="57" t="str">
        <v>2015/16</v>
      </c>
      <c r="F183" s="57" t="str">
        <v>2016/17</v>
      </c>
      <c r="G183" s="57" t="str">
        <v>2017/18</v>
      </c>
      <c r="H183" s="57" t="str">
        <v>2018/19</v>
      </c>
      <c r="I183" s="57" t="str">
        <v>2019/20</v>
      </c>
      <c r="J183" s="42"/>
      <c r="K183" s="21"/>
      <c r="L183" s="21"/>
    </row>
    <row r="184" spans="1:12" s="2" customFormat="1" outlineLevel="1">
      <c r="A184" s="58" t="s">
        <v>126</v>
      </c>
      <c r="B184" s="59"/>
      <c r="C184" s="59"/>
      <c r="D184" s="59"/>
      <c r="E184" s="59"/>
      <c r="F184" s="59"/>
      <c r="G184" s="59"/>
      <c r="H184" s="59"/>
      <c r="I184" s="59"/>
      <c r="J184" s="60"/>
      <c r="K184" s="60"/>
      <c r="L184" s="60"/>
    </row>
    <row r="185" spans="1:12" s="64" customFormat="1" ht="14.25" outlineLevel="1">
      <c r="A185" s="61" t="s">
        <v>68</v>
      </c>
      <c r="B185" s="62"/>
      <c r="C185" s="285"/>
      <c r="D185" s="285"/>
      <c r="E185" s="285">
        <f t="array" ref="E185:I190">'[3]TOTAL (SEM)'!$O$160:$S$165</f>
        <v>0</v>
      </c>
      <c r="F185" s="285">
        <v>0</v>
      </c>
      <c r="G185" s="285">
        <v>0</v>
      </c>
      <c r="H185" s="285">
        <v>0</v>
      </c>
      <c r="I185" s="285">
        <v>0</v>
      </c>
      <c r="J185" s="63"/>
      <c r="K185" s="63"/>
      <c r="L185" s="63"/>
    </row>
    <row r="186" spans="1:12" outlineLevel="1">
      <c r="A186" s="61" t="s">
        <v>69</v>
      </c>
      <c r="B186" s="65"/>
      <c r="C186" s="285"/>
      <c r="D186" s="285"/>
      <c r="E186" s="285">
        <v>0</v>
      </c>
      <c r="F186" s="285">
        <v>0</v>
      </c>
      <c r="G186" s="285">
        <v>0</v>
      </c>
      <c r="H186" s="285">
        <v>0</v>
      </c>
      <c r="I186" s="285">
        <v>0</v>
      </c>
      <c r="J186" s="42"/>
      <c r="K186" s="21"/>
      <c r="L186" s="21"/>
    </row>
    <row r="187" spans="1:12" s="759" customFormat="1" outlineLevel="1">
      <c r="A187" s="61" t="s">
        <v>646</v>
      </c>
      <c r="B187" s="65"/>
      <c r="C187" s="285"/>
      <c r="D187" s="285"/>
      <c r="E187" s="285">
        <v>0</v>
      </c>
      <c r="F187" s="285">
        <v>0</v>
      </c>
      <c r="G187" s="285">
        <v>0</v>
      </c>
      <c r="H187" s="285">
        <v>0</v>
      </c>
      <c r="I187" s="285">
        <v>0</v>
      </c>
      <c r="J187" s="42"/>
      <c r="K187" s="732"/>
      <c r="L187" s="732"/>
    </row>
    <row r="188" spans="1:12" outlineLevel="1">
      <c r="A188" s="61" t="s">
        <v>647</v>
      </c>
      <c r="B188" s="65"/>
      <c r="C188" s="285"/>
      <c r="D188" s="285">
        <v>9.6736987014919812E-2</v>
      </c>
      <c r="E188" s="285">
        <v>0.15</v>
      </c>
      <c r="F188" s="285">
        <v>0.2</v>
      </c>
      <c r="G188" s="285">
        <v>0.25</v>
      </c>
      <c r="H188" s="285">
        <v>0.3</v>
      </c>
      <c r="I188" s="285">
        <v>0.35</v>
      </c>
      <c r="J188" s="42"/>
      <c r="K188" s="21"/>
      <c r="L188" s="21"/>
    </row>
    <row r="189" spans="1:12" s="759" customFormat="1" outlineLevel="1">
      <c r="A189" s="61" t="s">
        <v>575</v>
      </c>
      <c r="B189" s="65"/>
      <c r="C189" s="285"/>
      <c r="D189" s="285"/>
      <c r="E189" s="285">
        <v>0</v>
      </c>
      <c r="F189" s="285">
        <v>0</v>
      </c>
      <c r="G189" s="285">
        <v>0</v>
      </c>
      <c r="H189" s="285">
        <v>0</v>
      </c>
      <c r="I189" s="285">
        <v>0</v>
      </c>
      <c r="J189" s="42"/>
      <c r="K189" s="732"/>
      <c r="L189" s="732"/>
    </row>
    <row r="190" spans="1:12" outlineLevel="1">
      <c r="A190" s="83" t="s">
        <v>70</v>
      </c>
      <c r="B190" s="65"/>
      <c r="C190" s="285"/>
      <c r="D190" s="285"/>
      <c r="E190" s="285">
        <v>0</v>
      </c>
      <c r="F190" s="285">
        <v>0</v>
      </c>
      <c r="G190" s="285">
        <v>0</v>
      </c>
      <c r="H190" s="285">
        <v>0</v>
      </c>
      <c r="I190" s="285">
        <v>0</v>
      </c>
      <c r="J190" s="42"/>
      <c r="K190" s="21"/>
      <c r="L190" s="21"/>
    </row>
    <row r="191" spans="1:12" outlineLevel="1">
      <c r="A191" s="129" t="s">
        <v>154</v>
      </c>
      <c r="B191" s="132"/>
      <c r="C191" s="296">
        <f t="shared" ref="C191:I191" si="94">SUM(C185:C190)</f>
        <v>0</v>
      </c>
      <c r="D191" s="296">
        <f t="shared" si="94"/>
        <v>9.6736987014919812E-2</v>
      </c>
      <c r="E191" s="296">
        <f t="shared" si="94"/>
        <v>0.15</v>
      </c>
      <c r="F191" s="296">
        <f t="shared" si="94"/>
        <v>0.2</v>
      </c>
      <c r="G191" s="296">
        <f t="shared" si="94"/>
        <v>0.25</v>
      </c>
      <c r="H191" s="296">
        <f t="shared" si="94"/>
        <v>0.3</v>
      </c>
      <c r="I191" s="296">
        <f t="shared" si="94"/>
        <v>0.35</v>
      </c>
      <c r="J191" s="133"/>
      <c r="K191" s="47"/>
      <c r="L191" s="47"/>
    </row>
    <row r="192" spans="1:12" outlineLevel="1">
      <c r="A192" s="134"/>
      <c r="B192" s="68"/>
      <c r="C192" s="68"/>
      <c r="D192" s="68"/>
      <c r="E192" s="68"/>
      <c r="F192" s="68"/>
      <c r="G192" s="68"/>
      <c r="H192" s="68"/>
      <c r="I192" s="69"/>
    </row>
    <row r="193" spans="1:9" outlineLevel="1"/>
    <row r="194" spans="1:9" outlineLevel="1"/>
    <row r="195" spans="1:9" outlineLevel="1">
      <c r="A195" s="231" t="s">
        <v>260</v>
      </c>
      <c r="B195" s="232"/>
      <c r="C195" s="232"/>
      <c r="D195" s="232"/>
      <c r="E195" s="232"/>
      <c r="F195" s="232"/>
      <c r="G195" s="232"/>
      <c r="H195" s="232"/>
      <c r="I195" s="233"/>
    </row>
    <row r="196" spans="1:9" outlineLevel="1">
      <c r="A196" s="234"/>
      <c r="B196" s="42"/>
      <c r="C196" s="42"/>
      <c r="D196" s="42"/>
      <c r="E196" s="42"/>
      <c r="F196" s="42"/>
      <c r="G196" s="42"/>
      <c r="H196" s="42"/>
      <c r="I196" s="78"/>
    </row>
    <row r="197" spans="1:9">
      <c r="B197" s="55"/>
      <c r="C197" s="55"/>
      <c r="D197" s="55"/>
      <c r="E197" s="55"/>
      <c r="F197" s="55"/>
      <c r="G197" s="55"/>
      <c r="H197" s="55"/>
      <c r="I197" s="66"/>
    </row>
    <row r="198" spans="1:9">
      <c r="B198" s="68"/>
      <c r="C198" s="68"/>
      <c r="D198" s="68"/>
      <c r="E198" s="68"/>
      <c r="F198" s="68"/>
      <c r="G198" s="68"/>
      <c r="H198" s="68"/>
      <c r="I198" s="69"/>
    </row>
    <row r="199" spans="1:9">
      <c r="B199" s="55"/>
      <c r="C199" s="55"/>
      <c r="D199" s="55"/>
      <c r="E199" s="55"/>
      <c r="F199" s="55"/>
      <c r="G199" s="55"/>
      <c r="H199" s="55"/>
      <c r="I199" s="55"/>
    </row>
    <row r="200" spans="1:9" ht="18">
      <c r="A200" s="206" t="s">
        <v>155</v>
      </c>
      <c r="B200" s="211"/>
      <c r="C200" s="211"/>
      <c r="D200" s="211"/>
      <c r="E200" s="211"/>
      <c r="F200" s="211"/>
      <c r="G200" s="211"/>
      <c r="H200" s="211"/>
      <c r="I200" s="211"/>
    </row>
    <row r="201" spans="1:9" ht="6" customHeight="1" thickBot="1">
      <c r="A201" s="238"/>
      <c r="B201" s="238"/>
      <c r="C201" s="238"/>
      <c r="D201" s="238"/>
      <c r="E201" s="238"/>
      <c r="F201" s="238"/>
      <c r="G201" s="238"/>
      <c r="H201" s="238"/>
      <c r="I201" s="238"/>
    </row>
    <row r="202" spans="1:9" outlineLevel="1">
      <c r="A202" s="2" t="s">
        <v>261</v>
      </c>
      <c r="B202" s="135" t="str">
        <f t="array" ref="B202:H202">LU_TemplateYearHeader3</f>
        <v>2005/06</v>
      </c>
      <c r="C202" s="135" t="str">
        <v>2006/07</v>
      </c>
      <c r="D202" s="135" t="str">
        <v>2007/08</v>
      </c>
      <c r="E202" s="135" t="str">
        <v>2008/09</v>
      </c>
      <c r="F202" s="135" t="str">
        <v>2009/10</v>
      </c>
      <c r="G202" s="135" t="str">
        <v>2010/11</v>
      </c>
      <c r="H202" s="135" t="str">
        <v>2011/12</v>
      </c>
      <c r="I202" s="634"/>
    </row>
    <row r="203" spans="1:9" ht="13.5" outlineLevel="1" thickBot="1">
      <c r="A203" s="238" t="s">
        <v>263</v>
      </c>
      <c r="B203" s="82">
        <f ca="1">OFFSET(List_NWOpexStart,MATCH($K$1,'I-4 History'!$A$7:$A$224)+8,+'I-4 History'!E$5)</f>
        <v>0</v>
      </c>
      <c r="C203" s="82">
        <f ca="1">OFFSET(List_NWOpexStart,MATCH($K$1,'I-4 History'!$A$7:$A$224)+8,+'I-4 History'!F$5)</f>
        <v>0</v>
      </c>
      <c r="D203" s="82">
        <f ca="1">OFFSET(List_NWOpexStart,MATCH($K$1,'I-4 History'!$A$7:$A$224)+8,+'I-4 History'!G$5)</f>
        <v>0</v>
      </c>
      <c r="E203" s="82">
        <f ca="1">OFFSET(List_NWOpexStart,MATCH($K$1,'I-4 History'!$A$7:$A$224)+8,+'I-4 History'!H$5)</f>
        <v>0</v>
      </c>
      <c r="F203" s="82">
        <f ca="1">OFFSET(List_NWOpexStart,MATCH($K$1,'I-4 History'!$A$7:$A$224)+8,+'I-4 History'!I$5)</f>
        <v>0</v>
      </c>
      <c r="G203" s="82">
        <f ca="1">OFFSET(List_NWOpexStart,MATCH($K$1,'I-4 History'!$A$7:$A$224)+8,+'I-4 History'!J$5)</f>
        <v>0</v>
      </c>
      <c r="H203" s="82">
        <f ca="1">OFFSET(List_NWOpexStart,MATCH($K$1,'I-4 History'!$A$7:$A$224)+8,+'I-4 History'!K$5)</f>
        <v>0</v>
      </c>
      <c r="I203" s="634"/>
    </row>
    <row r="204" spans="1:9" outlineLevel="1">
      <c r="A204" s="2" t="s">
        <v>264</v>
      </c>
      <c r="B204" s="653" t="str">
        <f t="array" ref="B204:I204">LU_TemplateYearHeader</f>
        <v>2012/13</v>
      </c>
      <c r="C204" s="653" t="str">
        <v>2013/14</v>
      </c>
      <c r="D204" s="653" t="str">
        <v>2014/15</v>
      </c>
      <c r="E204" s="653" t="str">
        <v>2015/16</v>
      </c>
      <c r="F204" s="653" t="str">
        <v>2016/17</v>
      </c>
      <c r="G204" s="653" t="str">
        <v>2017/18</v>
      </c>
      <c r="H204" s="653" t="str">
        <v>2018/19</v>
      </c>
      <c r="I204" s="653" t="str">
        <v>2019/20</v>
      </c>
    </row>
    <row r="205" spans="1:9" outlineLevel="1">
      <c r="A205" t="s">
        <v>71</v>
      </c>
      <c r="B205" s="82">
        <f t="shared" ref="B205:I205" ca="1" si="95">+B14</f>
        <v>0</v>
      </c>
      <c r="C205" s="82">
        <f t="shared" ca="1" si="95"/>
        <v>0</v>
      </c>
      <c r="D205" s="82">
        <f t="shared" ca="1" si="95"/>
        <v>0</v>
      </c>
      <c r="E205" s="82">
        <f t="shared" ca="1" si="95"/>
        <v>0</v>
      </c>
      <c r="F205" s="82">
        <f t="shared" ca="1" si="95"/>
        <v>0</v>
      </c>
      <c r="G205" s="82">
        <f t="shared" ca="1" si="95"/>
        <v>0</v>
      </c>
      <c r="H205" s="82">
        <f t="shared" ca="1" si="95"/>
        <v>0</v>
      </c>
      <c r="I205" s="82">
        <f t="shared" ca="1" si="95"/>
        <v>0</v>
      </c>
    </row>
    <row r="206" spans="1:9" outlineLevel="1">
      <c r="A206" t="s">
        <v>156</v>
      </c>
      <c r="B206" s="82">
        <f t="shared" ref="B206:I206" ca="1" si="96">+B36</f>
        <v>0</v>
      </c>
      <c r="C206" s="82">
        <f t="shared" ca="1" si="96"/>
        <v>0</v>
      </c>
      <c r="D206" s="82">
        <f t="shared" ca="1" si="96"/>
        <v>9.6736987014919812E-2</v>
      </c>
      <c r="E206" s="82">
        <f t="shared" ca="1" si="96"/>
        <v>0.15</v>
      </c>
      <c r="F206" s="82">
        <f t="shared" ca="1" si="96"/>
        <v>0.2</v>
      </c>
      <c r="G206" s="82">
        <f t="shared" ca="1" si="96"/>
        <v>0.25</v>
      </c>
      <c r="H206" s="82">
        <f t="shared" ca="1" si="96"/>
        <v>0.3</v>
      </c>
      <c r="I206" s="82">
        <f t="shared" ca="1" si="96"/>
        <v>0.35</v>
      </c>
    </row>
    <row r="207" spans="1:9" outlineLevel="1">
      <c r="A207" t="s">
        <v>157</v>
      </c>
      <c r="B207" s="82">
        <f t="shared" ref="B207:I207" ca="1" si="97">+B36+B48</f>
        <v>0</v>
      </c>
      <c r="C207" s="82">
        <f t="shared" ca="1" si="97"/>
        <v>0</v>
      </c>
      <c r="D207" s="82">
        <f t="shared" ca="1" si="97"/>
        <v>9.6736987014919812E-2</v>
      </c>
      <c r="E207" s="82">
        <f t="shared" ca="1" si="97"/>
        <v>0.15</v>
      </c>
      <c r="F207" s="82">
        <f t="shared" ca="1" si="97"/>
        <v>0.2</v>
      </c>
      <c r="G207" s="82">
        <f t="shared" ca="1" si="97"/>
        <v>0.25</v>
      </c>
      <c r="H207" s="82">
        <f t="shared" ca="1" si="97"/>
        <v>0.3</v>
      </c>
      <c r="I207" s="82">
        <f t="shared" ca="1" si="97"/>
        <v>0.35</v>
      </c>
    </row>
    <row r="208" spans="1:9" outlineLevel="1">
      <c r="A208" t="s">
        <v>158</v>
      </c>
      <c r="B208" s="82">
        <f t="shared" ref="B208:I208" ca="1" si="98">+B70</f>
        <v>0</v>
      </c>
      <c r="C208" s="82">
        <f t="shared" ca="1" si="98"/>
        <v>0</v>
      </c>
      <c r="D208" s="82">
        <f t="shared" ca="1" si="98"/>
        <v>9.6736987014919812E-2</v>
      </c>
      <c r="E208" s="82">
        <f t="shared" ca="1" si="98"/>
        <v>0.15</v>
      </c>
      <c r="F208" s="82">
        <f t="shared" ca="1" si="98"/>
        <v>0.2</v>
      </c>
      <c r="G208" s="82">
        <f t="shared" ca="1" si="98"/>
        <v>0.25</v>
      </c>
      <c r="H208" s="82">
        <f t="shared" ca="1" si="98"/>
        <v>0.3</v>
      </c>
      <c r="I208" s="82">
        <f t="shared" ca="1" si="98"/>
        <v>0.35</v>
      </c>
    </row>
    <row r="209" outlineLevel="1"/>
    <row r="210" outlineLevel="1"/>
    <row r="211" outlineLevel="1"/>
    <row r="212" outlineLevel="1"/>
    <row r="213" outlineLevel="1"/>
    <row r="214" outlineLevel="1"/>
    <row r="215" outlineLevel="1"/>
    <row r="216" outlineLevel="1"/>
    <row r="217" outlineLevel="1"/>
    <row r="218" outlineLevel="1"/>
    <row r="219" outlineLevel="1"/>
    <row r="220" outlineLevel="1"/>
    <row r="221" outlineLevel="1"/>
    <row r="222" outlineLevel="1"/>
    <row r="223" outlineLevel="1"/>
    <row r="224" outlineLevel="1"/>
    <row r="225" outlineLevel="1"/>
    <row r="226" outlineLevel="1"/>
    <row r="227" outlineLevel="1"/>
    <row r="228" outlineLevel="1"/>
    <row r="229" outlineLevel="1"/>
    <row r="230" outlineLevel="1"/>
    <row r="231" outlineLevel="1"/>
    <row r="232" outlineLevel="1"/>
    <row r="233" outlineLevel="1"/>
    <row r="234" outlineLevel="1"/>
    <row r="235" outlineLevel="1"/>
    <row r="236" outlineLevel="1"/>
    <row r="237" outlineLevel="1"/>
    <row r="238" outlineLevel="1"/>
    <row r="239" outlineLevel="1"/>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B130:I130 B94:I94">
    <cfRule type="cellIs" dxfId="58" priority="1" stopIfTrue="1" operator="notEqual">
      <formula>0</formula>
    </cfRule>
  </conditionalFormatting>
  <conditionalFormatting sqref="J130 J94 J70 J59 J48 J36:J37 J14 J25">
    <cfRule type="cellIs" dxfId="57" priority="2" stopIfTrue="1" operator="equal">
      <formula>"OK"</formula>
    </cfRule>
    <cfRule type="cellIs" dxfId="56" priority="3" stopIfTrue="1" operator="equal">
      <formula>"Warning Check Escalations"</formula>
    </cfRule>
  </conditionalFormatting>
  <conditionalFormatting sqref="N120:T120 N84:T84">
    <cfRule type="cellIs" dxfId="55" priority="4" stopIfTrue="1" operator="notEqual">
      <formula>0</formula>
    </cfRule>
    <cfRule type="cellIs" dxfId="54" priority="5" stopIfTrue="1" operator="equal">
      <formula>0</formula>
    </cfRule>
  </conditionalFormatting>
  <dataValidations count="5">
    <dataValidation type="list" showInputMessage="1" showErrorMessage="1" sqref="B112">
      <formula1>"Labour, Materials, Services"</formula1>
    </dataValidation>
    <dataValidation type="list" allowBlank="1" showInputMessage="1" showErrorMessage="1" sqref="A77:A82">
      <formula1>EscalationDescription_Input_Cost</formula1>
    </dataValidation>
    <dataValidation type="list" showInputMessage="1" showErrorMessage="1" sqref="A113:A118">
      <formula1>EscalationDescription_General</formula1>
    </dataValidation>
    <dataValidation type="list" allowBlank="1" showInputMessage="1" showErrorMessage="1" sqref="D5">
      <formula1>"2008/09 Regulatory Accounts, Bottom Up"</formula1>
    </dataValidation>
    <dataValidation type="list" showInputMessage="1" showErrorMessage="1" sqref="B113:B118 B77:B82">
      <formula1>LU_CostCategory</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rowBreaks count="3" manualBreakCount="3">
    <brk id="71" max="8" man="1"/>
    <brk id="143" max="8" man="1"/>
    <brk id="198" max="8" man="1"/>
  </rowBreaks>
  <drawing r:id="rId7"/>
  <legacyDrawing r:id="rId8"/>
</worksheet>
</file>

<file path=xl/worksheets/sheet79.xml><?xml version="1.0" encoding="utf-8"?>
<worksheet xmlns="http://schemas.openxmlformats.org/spreadsheetml/2006/main" xmlns:r="http://schemas.openxmlformats.org/officeDocument/2006/relationships">
  <sheetPr codeName="Sheet30" enableFormatConditionsCalculation="0">
    <tabColor indexed="58"/>
    <pageSetUpPr autoPageBreaks="0"/>
  </sheetPr>
  <dimension ref="A1:F20"/>
  <sheetViews>
    <sheetView showGridLines="0" zoomScaleNormal="100" workbookViewId="0">
      <selection activeCell="C10" sqref="C10:D10"/>
    </sheetView>
  </sheetViews>
  <sheetFormatPr defaultRowHeight="12.75"/>
  <cols>
    <col min="3" max="3" width="10.140625" customWidth="1"/>
    <col min="4" max="4" width="8.7109375" customWidth="1"/>
  </cols>
  <sheetData>
    <row r="1" spans="1:6">
      <c r="A1" s="143"/>
    </row>
    <row r="9" spans="1:6" ht="18">
      <c r="C9" s="144" t="s">
        <v>10</v>
      </c>
    </row>
    <row r="10" spans="1:6" ht="16.5">
      <c r="C10" s="176" t="s">
        <v>4</v>
      </c>
      <c r="D10" s="730">
        <v>5</v>
      </c>
    </row>
    <row r="11" spans="1:6" ht="15.75">
      <c r="C11" s="177" t="s">
        <v>496</v>
      </c>
    </row>
    <row r="12" spans="1:6">
      <c r="C12" s="882"/>
      <c r="D12" s="882"/>
      <c r="E12" s="882"/>
      <c r="F12" s="882"/>
    </row>
    <row r="13" spans="1:6">
      <c r="C13" s="182"/>
      <c r="D13" s="182"/>
    </row>
    <row r="17" spans="3:3">
      <c r="C17" s="147" t="s">
        <v>22</v>
      </c>
    </row>
    <row r="18" spans="3:3">
      <c r="C18" s="148" t="s">
        <v>26</v>
      </c>
    </row>
    <row r="19" spans="3:3">
      <c r="C19" s="148"/>
    </row>
    <row r="20" spans="3:3">
      <c r="C20" s="148"/>
    </row>
  </sheetData>
  <sheetProtection formatColumns="0" formatRows="0"/>
  <mergeCells count="1">
    <mergeCell ref="C12:F12"/>
  </mergeCells>
  <phoneticPr fontId="3" type="noConversion"/>
  <pageMargins left="0.39370078740157483" right="0.39370078740157483" top="0.59055118110236227" bottom="0.98425196850393704" header="0" footer="0.31496062992125984"/>
  <pageSetup paperSize="9" orientation="landscape" r:id="rId1"/>
  <headerFooter alignWithMargins="0">
    <oddFooter>&amp;L&amp;8&amp;F
&amp;A
Printed: &amp;T on &amp;D&amp;C&amp;"Arial,Bold"&amp;P of &amp;N</oddFooter>
  </headerFooter>
</worksheet>
</file>

<file path=xl/worksheets/sheet8.xml><?xml version="1.0" encoding="utf-8"?>
<worksheet xmlns="http://schemas.openxmlformats.org/spreadsheetml/2006/main" xmlns:r="http://schemas.openxmlformats.org/officeDocument/2006/relationships">
  <sheetPr codeName="Sheet23">
    <pageSetUpPr fitToPage="1"/>
  </sheetPr>
  <dimension ref="A1:P627"/>
  <sheetViews>
    <sheetView showGridLines="0" zoomScale="75" zoomScaleNormal="75" workbookViewId="0">
      <pane xSplit="2" ySplit="4" topLeftCell="C5" activePane="bottomRight" state="frozen"/>
      <selection activeCell="C373" sqref="C373:C378"/>
      <selection pane="topRight" activeCell="C373" sqref="C373:C378"/>
      <selection pane="bottomLeft" activeCell="C373" sqref="C373:C378"/>
      <selection pane="bottomRight" activeCell="F5" sqref="F5"/>
    </sheetView>
  </sheetViews>
  <sheetFormatPr defaultRowHeight="12.75"/>
  <cols>
    <col min="2" max="2" width="9.85546875" customWidth="1"/>
    <col min="3" max="3" width="41.85546875" customWidth="1"/>
    <col min="4" max="4" width="12" customWidth="1"/>
    <col min="5" max="5" width="11.7109375" customWidth="1"/>
    <col min="6" max="6" width="12.7109375" customWidth="1"/>
    <col min="7" max="7" width="13.140625" bestFit="1" customWidth="1"/>
    <col min="8" max="8" width="13.42578125" bestFit="1" customWidth="1"/>
    <col min="9" max="10" width="13.28515625" bestFit="1" customWidth="1"/>
    <col min="11" max="11" width="13.140625" bestFit="1" customWidth="1"/>
    <col min="12" max="12" width="14" bestFit="1" customWidth="1"/>
    <col min="13" max="13" width="15.7109375" customWidth="1"/>
    <col min="14" max="14" width="13.85546875" customWidth="1"/>
  </cols>
  <sheetData>
    <row r="1" spans="1:16" ht="20.25">
      <c r="A1" s="406" t="s">
        <v>343</v>
      </c>
      <c r="B1" s="335" t="s">
        <v>316</v>
      </c>
      <c r="C1" s="3"/>
      <c r="D1" s="3"/>
      <c r="E1" s="351"/>
      <c r="F1" s="351"/>
      <c r="G1" s="351"/>
      <c r="H1" s="351"/>
      <c r="I1" s="351"/>
      <c r="J1" s="351"/>
      <c r="K1" s="351"/>
      <c r="L1" s="351"/>
      <c r="M1" s="3"/>
      <c r="N1" s="3"/>
    </row>
    <row r="2" spans="1:16" ht="13.5" thickBot="1">
      <c r="A2" s="3"/>
      <c r="B2" s="3"/>
      <c r="C2" s="3"/>
      <c r="D2" s="3"/>
      <c r="E2" s="351"/>
      <c r="F2" s="3"/>
      <c r="G2" s="3"/>
      <c r="H2" s="3"/>
      <c r="I2" s="3"/>
      <c r="J2" s="3"/>
      <c r="K2" s="3"/>
      <c r="L2" s="3"/>
      <c r="M2" s="3"/>
      <c r="N2" s="3"/>
    </row>
    <row r="3" spans="1:16" ht="13.5" thickBot="1">
      <c r="A3" s="3"/>
      <c r="B3" s="3"/>
      <c r="C3" s="3"/>
      <c r="D3" s="336" t="s">
        <v>269</v>
      </c>
      <c r="E3" s="337"/>
      <c r="F3" s="337"/>
      <c r="G3" s="337"/>
      <c r="H3" s="337"/>
      <c r="I3" s="337"/>
      <c r="J3" s="337"/>
      <c r="K3" s="337"/>
      <c r="L3" s="338"/>
      <c r="M3" s="338"/>
      <c r="N3" s="338"/>
    </row>
    <row r="4" spans="1:16" ht="13.5" thickBot="1">
      <c r="A4" s="253" t="s">
        <v>276</v>
      </c>
      <c r="B4" s="253" t="s">
        <v>265</v>
      </c>
      <c r="C4" s="10"/>
      <c r="D4" s="246"/>
      <c r="E4" s="246" t="str">
        <f>+'Ref-1'!G39</f>
        <v>2005/06</v>
      </c>
      <c r="F4" s="246" t="str">
        <f>+'Ref-1'!H39</f>
        <v>2006/07</v>
      </c>
      <c r="G4" s="246" t="str">
        <f>+'Ref-1'!I39</f>
        <v>2007/08</v>
      </c>
      <c r="H4" s="246" t="str">
        <f>+'Ref-1'!J39</f>
        <v>2008/09</v>
      </c>
      <c r="I4" s="246" t="str">
        <f>+'Ref-1'!K39</f>
        <v>2009/10</v>
      </c>
      <c r="J4" s="246" t="str">
        <f>+'Ref-1'!L39</f>
        <v>2010/11</v>
      </c>
      <c r="K4" s="246" t="str">
        <f>+'Ref-1'!M39</f>
        <v>2011/12</v>
      </c>
      <c r="L4" s="246" t="str">
        <f>+'Ref-1'!N39</f>
        <v>2012/13</v>
      </c>
      <c r="M4" s="246"/>
      <c r="N4" s="246"/>
    </row>
    <row r="5" spans="1:16" ht="18">
      <c r="A5" s="188"/>
      <c r="B5" s="259"/>
      <c r="C5" s="260" t="s">
        <v>266</v>
      </c>
      <c r="D5" s="261"/>
      <c r="E5" s="302" t="str">
        <f t="array" ref="E5:L5">Array_ColOffset_Header</f>
        <v>-7</v>
      </c>
      <c r="F5" s="302" t="str">
        <v>-6</v>
      </c>
      <c r="G5" s="302" t="str">
        <v>-5</v>
      </c>
      <c r="H5" s="302" t="str">
        <v>-4</v>
      </c>
      <c r="I5" s="302" t="str">
        <v>-3</v>
      </c>
      <c r="J5" s="302" t="str">
        <v>-2</v>
      </c>
      <c r="K5" s="302" t="str">
        <v>-1</v>
      </c>
      <c r="L5" s="302" t="str">
        <v>0</v>
      </c>
      <c r="M5" s="245"/>
      <c r="N5" s="245"/>
    </row>
    <row r="6" spans="1:16" ht="18">
      <c r="A6" s="188"/>
      <c r="B6" s="252"/>
      <c r="C6" s="248" t="s">
        <v>95</v>
      </c>
      <c r="D6" s="244"/>
      <c r="E6" s="244"/>
      <c r="F6" s="244"/>
      <c r="G6" s="244"/>
      <c r="H6" s="244"/>
      <c r="I6" s="244"/>
      <c r="J6" s="244"/>
      <c r="K6" s="244"/>
      <c r="L6" s="244"/>
    </row>
    <row r="7" spans="1:16">
      <c r="A7" s="339">
        <v>1</v>
      </c>
      <c r="B7" s="252" t="str">
        <f ca="1">OFFSET(List_DAOpexStart,A7,0)</f>
        <v>DA-1</v>
      </c>
      <c r="C7" s="340" t="str">
        <f ca="1">VLOOKUP(B7,List_DirectlyAttributedServices,2,FALSE)</f>
        <v>Distribution Licence Fee</v>
      </c>
      <c r="D7" s="361"/>
      <c r="E7" s="361"/>
      <c r="F7" s="361"/>
      <c r="G7" s="361"/>
      <c r="H7" s="361"/>
      <c r="I7" s="361"/>
      <c r="J7" s="361"/>
      <c r="K7" s="361"/>
      <c r="L7" s="361"/>
    </row>
    <row r="8" spans="1:16">
      <c r="A8" s="339"/>
      <c r="B8" s="252"/>
      <c r="C8" s="341" t="s">
        <v>68</v>
      </c>
      <c r="D8" s="333"/>
      <c r="E8" s="334"/>
      <c r="F8" s="334"/>
      <c r="G8" s="334"/>
      <c r="H8" s="334"/>
      <c r="I8" s="334"/>
      <c r="J8" s="334"/>
      <c r="K8" s="334"/>
      <c r="L8" s="333"/>
      <c r="M8" s="243"/>
      <c r="O8" s="21"/>
      <c r="P8" s="21"/>
    </row>
    <row r="9" spans="1:16">
      <c r="A9" s="339"/>
      <c r="B9" s="252"/>
      <c r="C9" s="341" t="s">
        <v>69</v>
      </c>
      <c r="D9" s="333"/>
      <c r="E9" s="334"/>
      <c r="F9" s="334"/>
      <c r="G9" s="334"/>
      <c r="H9" s="334"/>
      <c r="I9" s="334"/>
      <c r="J9" s="334"/>
      <c r="K9" s="334"/>
      <c r="L9" s="333"/>
      <c r="M9" s="243"/>
      <c r="N9" s="21"/>
      <c r="O9" s="21"/>
      <c r="P9" s="21"/>
    </row>
    <row r="10" spans="1:16" s="759" customFormat="1">
      <c r="A10" s="339"/>
      <c r="B10" s="252"/>
      <c r="C10" s="341" t="s">
        <v>646</v>
      </c>
      <c r="D10" s="333"/>
      <c r="E10" s="334"/>
      <c r="F10" s="334"/>
      <c r="G10" s="334"/>
      <c r="H10" s="334"/>
      <c r="I10" s="334"/>
      <c r="J10" s="334"/>
      <c r="K10" s="334"/>
      <c r="L10" s="333"/>
      <c r="M10" s="243"/>
      <c r="N10" s="732"/>
      <c r="O10" s="732"/>
      <c r="P10" s="732"/>
    </row>
    <row r="11" spans="1:16">
      <c r="A11" s="339"/>
      <c r="B11" s="252"/>
      <c r="C11" s="341" t="s">
        <v>647</v>
      </c>
      <c r="D11" s="333"/>
      <c r="E11" s="334"/>
      <c r="F11" s="334"/>
      <c r="G11" s="334"/>
      <c r="H11" s="334"/>
      <c r="I11" s="334"/>
      <c r="J11" s="334"/>
      <c r="K11" s="334"/>
      <c r="L11" s="450"/>
    </row>
    <row r="12" spans="1:16" s="759" customFormat="1">
      <c r="A12" s="339"/>
      <c r="B12" s="252"/>
      <c r="C12" s="341" t="s">
        <v>575</v>
      </c>
      <c r="D12" s="333"/>
      <c r="E12" s="334"/>
      <c r="F12" s="334"/>
      <c r="G12" s="334"/>
      <c r="H12" s="334"/>
      <c r="I12" s="334"/>
      <c r="J12" s="334"/>
      <c r="K12" s="334"/>
      <c r="L12" s="450"/>
    </row>
    <row r="13" spans="1:16">
      <c r="A13" s="339"/>
      <c r="B13" s="252"/>
      <c r="C13" s="341" t="s">
        <v>70</v>
      </c>
      <c r="D13" s="333"/>
      <c r="E13" s="334"/>
      <c r="F13" s="334"/>
      <c r="G13" s="334"/>
      <c r="H13" s="334"/>
      <c r="I13" s="334"/>
      <c r="J13" s="334"/>
      <c r="K13" s="334"/>
      <c r="L13" s="333"/>
    </row>
    <row r="14" spans="1:16">
      <c r="A14" s="339"/>
      <c r="B14" s="252"/>
      <c r="C14" s="342" t="s">
        <v>75</v>
      </c>
      <c r="D14" s="357">
        <f t="shared" ref="D14:L14" si="0">SUBTOTAL(9,D8:D13)</f>
        <v>0</v>
      </c>
      <c r="E14" s="357">
        <f t="shared" si="0"/>
        <v>0</v>
      </c>
      <c r="F14" s="357">
        <f t="shared" si="0"/>
        <v>0</v>
      </c>
      <c r="G14" s="357">
        <f t="shared" si="0"/>
        <v>0</v>
      </c>
      <c r="H14" s="357">
        <f t="shared" si="0"/>
        <v>0</v>
      </c>
      <c r="I14" s="357">
        <f t="shared" si="0"/>
        <v>0</v>
      </c>
      <c r="J14" s="357">
        <f t="shared" si="0"/>
        <v>0</v>
      </c>
      <c r="K14" s="357">
        <f t="shared" si="0"/>
        <v>0</v>
      </c>
      <c r="L14" s="357">
        <f t="shared" si="0"/>
        <v>0</v>
      </c>
      <c r="M14" s="55"/>
    </row>
    <row r="15" spans="1:16">
      <c r="A15" s="339"/>
      <c r="B15" s="252"/>
      <c r="C15" s="342"/>
      <c r="D15" s="329"/>
      <c r="E15" s="329"/>
      <c r="F15" s="329"/>
      <c r="G15" s="329"/>
      <c r="H15" s="329"/>
      <c r="I15" s="329"/>
      <c r="J15" s="329"/>
      <c r="K15" s="329"/>
      <c r="L15" s="329"/>
    </row>
    <row r="16" spans="1:16">
      <c r="A16" s="339">
        <f>+A7+1</f>
        <v>2</v>
      </c>
      <c r="B16" s="252" t="str">
        <f ca="1">OFFSET(List_DAOpexStart,A16,0)</f>
        <v>DA-2</v>
      </c>
      <c r="C16" s="343" t="str">
        <f ca="1">VLOOKUP(B16,List_DirectlyAttributedServices,2,FALSE)</f>
        <v>Network Access, Monitoring and Control</v>
      </c>
      <c r="D16" s="329"/>
      <c r="E16" s="329"/>
      <c r="F16" s="329"/>
      <c r="G16" s="329"/>
      <c r="H16" s="329"/>
      <c r="I16" s="329"/>
      <c r="J16" s="329"/>
      <c r="K16" s="329"/>
      <c r="L16" s="329"/>
    </row>
    <row r="17" spans="1:12">
      <c r="A17" s="339"/>
      <c r="B17" s="252"/>
      <c r="C17" s="341" t="s">
        <v>68</v>
      </c>
      <c r="D17" s="333"/>
      <c r="E17" s="334"/>
      <c r="F17" s="334"/>
      <c r="G17" s="334"/>
      <c r="H17" s="334"/>
      <c r="I17" s="334"/>
      <c r="J17" s="334"/>
      <c r="K17" s="334"/>
      <c r="L17" s="333"/>
    </row>
    <row r="18" spans="1:12">
      <c r="A18" s="339"/>
      <c r="B18" s="252"/>
      <c r="C18" s="341" t="s">
        <v>69</v>
      </c>
      <c r="D18" s="333"/>
      <c r="E18" s="334"/>
      <c r="F18" s="334"/>
      <c r="G18" s="334"/>
      <c r="H18" s="334"/>
      <c r="I18" s="334"/>
      <c r="J18" s="334"/>
      <c r="K18" s="334"/>
      <c r="L18" s="333"/>
    </row>
    <row r="19" spans="1:12" s="759" customFormat="1">
      <c r="A19" s="339"/>
      <c r="B19" s="252"/>
      <c r="C19" s="341" t="s">
        <v>646</v>
      </c>
      <c r="D19" s="333"/>
      <c r="E19" s="334"/>
      <c r="F19" s="334"/>
      <c r="G19" s="334"/>
      <c r="H19" s="334"/>
      <c r="I19" s="334"/>
      <c r="J19" s="334"/>
      <c r="K19" s="334"/>
      <c r="L19" s="333"/>
    </row>
    <row r="20" spans="1:12">
      <c r="A20" s="339"/>
      <c r="B20" s="252"/>
      <c r="C20" s="341" t="s">
        <v>647</v>
      </c>
      <c r="D20" s="333"/>
      <c r="E20" s="334"/>
      <c r="F20" s="334"/>
      <c r="G20" s="334"/>
      <c r="H20" s="334"/>
      <c r="I20" s="334"/>
      <c r="J20" s="334"/>
      <c r="K20" s="334"/>
      <c r="L20" s="333"/>
    </row>
    <row r="21" spans="1:12" s="759" customFormat="1">
      <c r="A21" s="339"/>
      <c r="B21" s="252"/>
      <c r="C21" s="341" t="s">
        <v>575</v>
      </c>
      <c r="D21" s="333"/>
      <c r="E21" s="334"/>
      <c r="F21" s="334"/>
      <c r="G21" s="334"/>
      <c r="H21" s="334"/>
      <c r="I21" s="334"/>
      <c r="J21" s="334"/>
      <c r="K21" s="334"/>
      <c r="L21" s="333"/>
    </row>
    <row r="22" spans="1:12">
      <c r="A22" s="339"/>
      <c r="B22" s="252"/>
      <c r="C22" s="341" t="s">
        <v>70</v>
      </c>
      <c r="D22" s="333"/>
      <c r="E22" s="334"/>
      <c r="F22" s="334"/>
      <c r="G22" s="334"/>
      <c r="H22" s="334"/>
      <c r="I22" s="334"/>
      <c r="J22" s="334"/>
      <c r="K22" s="334"/>
      <c r="L22" s="333"/>
    </row>
    <row r="23" spans="1:12">
      <c r="A23" s="339"/>
      <c r="B23" s="252"/>
      <c r="C23" s="342" t="s">
        <v>75</v>
      </c>
      <c r="D23" s="357">
        <f t="shared" ref="D23:K23" si="1">SUBTOTAL(9,D17:D22)</f>
        <v>0</v>
      </c>
      <c r="E23" s="357">
        <f t="shared" si="1"/>
        <v>0</v>
      </c>
      <c r="F23" s="357">
        <f t="shared" si="1"/>
        <v>0</v>
      </c>
      <c r="G23" s="357">
        <f t="shared" si="1"/>
        <v>0</v>
      </c>
      <c r="H23" s="357">
        <f t="shared" si="1"/>
        <v>0</v>
      </c>
      <c r="I23" s="357">
        <f t="shared" si="1"/>
        <v>0</v>
      </c>
      <c r="J23" s="357">
        <f t="shared" si="1"/>
        <v>0</v>
      </c>
      <c r="K23" s="357">
        <f t="shared" si="1"/>
        <v>0</v>
      </c>
      <c r="L23" s="357">
        <f>SUBTOTAL(9,L17:L22)</f>
        <v>0</v>
      </c>
    </row>
    <row r="24" spans="1:12">
      <c r="A24" s="339"/>
      <c r="B24" s="252"/>
      <c r="C24" s="342"/>
      <c r="D24" s="329"/>
      <c r="E24" s="329"/>
      <c r="F24" s="329"/>
      <c r="G24" s="329"/>
      <c r="H24" s="329"/>
      <c r="I24" s="329"/>
      <c r="J24" s="329"/>
      <c r="K24" s="329"/>
      <c r="L24" s="329"/>
    </row>
    <row r="25" spans="1:12">
      <c r="A25" s="339">
        <f>+A16+1</f>
        <v>3</v>
      </c>
      <c r="B25" s="252" t="str">
        <f ca="1">OFFSET(List_DAOpexStart,A25,0)</f>
        <v>DA-3</v>
      </c>
      <c r="C25" s="340" t="str">
        <f ca="1">VLOOKUP(B25,List_DirectlyAttributedServices,2,FALSE)</f>
        <v>Customer Service</v>
      </c>
      <c r="D25" s="329"/>
      <c r="E25" s="329"/>
      <c r="F25" s="329"/>
      <c r="G25" s="329"/>
      <c r="H25" s="329"/>
      <c r="I25" s="329"/>
      <c r="J25" s="329"/>
      <c r="K25" s="329"/>
      <c r="L25" s="329"/>
    </row>
    <row r="26" spans="1:12">
      <c r="A26" s="339"/>
      <c r="B26" s="252"/>
      <c r="C26" s="341" t="s">
        <v>68</v>
      </c>
      <c r="D26" s="333"/>
      <c r="E26" s="334"/>
      <c r="F26" s="334"/>
      <c r="G26" s="334"/>
      <c r="H26" s="334"/>
      <c r="I26" s="334"/>
      <c r="J26" s="334"/>
      <c r="K26" s="334"/>
      <c r="L26" s="333"/>
    </row>
    <row r="27" spans="1:12">
      <c r="A27" s="339"/>
      <c r="B27" s="252"/>
      <c r="C27" s="341" t="s">
        <v>69</v>
      </c>
      <c r="D27" s="333"/>
      <c r="E27" s="334"/>
      <c r="F27" s="334"/>
      <c r="G27" s="334"/>
      <c r="H27" s="334"/>
      <c r="I27" s="334"/>
      <c r="J27" s="334"/>
      <c r="K27" s="334"/>
      <c r="L27" s="333"/>
    </row>
    <row r="28" spans="1:12" s="759" customFormat="1">
      <c r="A28" s="339"/>
      <c r="B28" s="252"/>
      <c r="C28" s="341" t="s">
        <v>646</v>
      </c>
      <c r="D28" s="333"/>
      <c r="E28" s="334"/>
      <c r="F28" s="334"/>
      <c r="G28" s="334"/>
      <c r="H28" s="334"/>
      <c r="I28" s="334"/>
      <c r="J28" s="334"/>
      <c r="K28" s="334"/>
      <c r="L28" s="333"/>
    </row>
    <row r="29" spans="1:12">
      <c r="A29" s="339"/>
      <c r="B29" s="252"/>
      <c r="C29" s="341" t="s">
        <v>647</v>
      </c>
      <c r="D29" s="333"/>
      <c r="E29" s="334"/>
      <c r="F29" s="334"/>
      <c r="G29" s="334"/>
      <c r="H29" s="334"/>
      <c r="I29" s="334"/>
      <c r="J29" s="334"/>
      <c r="K29" s="334"/>
      <c r="L29" s="333"/>
    </row>
    <row r="30" spans="1:12" s="759" customFormat="1">
      <c r="A30" s="339"/>
      <c r="B30" s="252"/>
      <c r="C30" s="341" t="s">
        <v>575</v>
      </c>
      <c r="D30" s="333"/>
      <c r="E30" s="334"/>
      <c r="F30" s="334"/>
      <c r="G30" s="334"/>
      <c r="H30" s="334"/>
      <c r="I30" s="334"/>
      <c r="J30" s="334"/>
      <c r="K30" s="334"/>
      <c r="L30" s="333"/>
    </row>
    <row r="31" spans="1:12">
      <c r="A31" s="339"/>
      <c r="B31" s="252"/>
      <c r="C31" s="341" t="s">
        <v>70</v>
      </c>
      <c r="D31" s="333"/>
      <c r="E31" s="334"/>
      <c r="F31" s="334"/>
      <c r="G31" s="334"/>
      <c r="H31" s="334"/>
      <c r="I31" s="334"/>
      <c r="J31" s="334"/>
      <c r="K31" s="334"/>
      <c r="L31" s="333"/>
    </row>
    <row r="32" spans="1:12">
      <c r="A32" s="339"/>
      <c r="B32" s="252"/>
      <c r="C32" s="342" t="s">
        <v>75</v>
      </c>
      <c r="D32" s="357">
        <f t="shared" ref="D32:K32" si="2">SUBTOTAL(9,D26:D31)</f>
        <v>0</v>
      </c>
      <c r="E32" s="357">
        <f t="shared" si="2"/>
        <v>0</v>
      </c>
      <c r="F32" s="357">
        <f t="shared" si="2"/>
        <v>0</v>
      </c>
      <c r="G32" s="357">
        <f t="shared" si="2"/>
        <v>0</v>
      </c>
      <c r="H32" s="357">
        <f t="shared" si="2"/>
        <v>0</v>
      </c>
      <c r="I32" s="357">
        <f t="shared" si="2"/>
        <v>0</v>
      </c>
      <c r="J32" s="357">
        <f t="shared" si="2"/>
        <v>0</v>
      </c>
      <c r="K32" s="357">
        <f t="shared" si="2"/>
        <v>0</v>
      </c>
      <c r="L32" s="357">
        <f>SUBTOTAL(9,L26:L31)</f>
        <v>0</v>
      </c>
    </row>
    <row r="33" spans="1:12">
      <c r="A33" s="339"/>
      <c r="B33" s="252"/>
      <c r="C33" s="342"/>
      <c r="D33" s="329"/>
      <c r="E33" s="329"/>
      <c r="F33" s="329"/>
      <c r="G33" s="329"/>
      <c r="H33" s="329"/>
      <c r="I33" s="329"/>
      <c r="J33" s="329"/>
      <c r="K33" s="329"/>
      <c r="L33" s="329"/>
    </row>
    <row r="34" spans="1:12">
      <c r="A34" s="339">
        <f>+A25+1</f>
        <v>4</v>
      </c>
      <c r="B34" s="252" t="str">
        <f ca="1">OFFSET(List_DAOpexStart,A34,0)</f>
        <v>DA-4</v>
      </c>
      <c r="C34" s="343" t="str">
        <f ca="1">VLOOKUP(B34,List_DirectlyAttributedServices,2,FALSE)</f>
        <v>Standards Development and Maintenance</v>
      </c>
      <c r="D34" s="329"/>
      <c r="E34" s="329"/>
      <c r="F34" s="329"/>
      <c r="G34" s="329"/>
      <c r="H34" s="329"/>
      <c r="I34" s="329"/>
      <c r="J34" s="329"/>
      <c r="K34" s="329"/>
      <c r="L34" s="329"/>
    </row>
    <row r="35" spans="1:12">
      <c r="A35" s="339"/>
      <c r="B35" s="252"/>
      <c r="C35" s="341" t="s">
        <v>68</v>
      </c>
      <c r="D35" s="333"/>
      <c r="E35" s="334"/>
      <c r="F35" s="334"/>
      <c r="G35" s="334"/>
      <c r="H35" s="334"/>
      <c r="I35" s="334"/>
      <c r="J35" s="334"/>
      <c r="K35" s="334"/>
      <c r="L35" s="333"/>
    </row>
    <row r="36" spans="1:12">
      <c r="A36" s="339"/>
      <c r="B36" s="252"/>
      <c r="C36" s="341" t="s">
        <v>69</v>
      </c>
      <c r="D36" s="333"/>
      <c r="E36" s="334"/>
      <c r="F36" s="334"/>
      <c r="G36" s="334"/>
      <c r="H36" s="334"/>
      <c r="I36" s="334"/>
      <c r="J36" s="334"/>
      <c r="K36" s="334"/>
      <c r="L36" s="333"/>
    </row>
    <row r="37" spans="1:12" s="759" customFormat="1">
      <c r="A37" s="339"/>
      <c r="B37" s="252"/>
      <c r="C37" s="341" t="s">
        <v>646</v>
      </c>
      <c r="D37" s="333"/>
      <c r="E37" s="334"/>
      <c r="F37" s="334"/>
      <c r="G37" s="334"/>
      <c r="H37" s="334"/>
      <c r="I37" s="334"/>
      <c r="J37" s="334"/>
      <c r="K37" s="334"/>
      <c r="L37" s="333"/>
    </row>
    <row r="38" spans="1:12">
      <c r="A38" s="339"/>
      <c r="B38" s="252"/>
      <c r="C38" s="341" t="s">
        <v>647</v>
      </c>
      <c r="D38" s="333"/>
      <c r="E38" s="334"/>
      <c r="F38" s="334"/>
      <c r="G38" s="334"/>
      <c r="H38" s="334"/>
      <c r="I38" s="334"/>
      <c r="J38" s="334"/>
      <c r="K38" s="334"/>
      <c r="L38" s="333"/>
    </row>
    <row r="39" spans="1:12" s="759" customFormat="1">
      <c r="A39" s="339"/>
      <c r="B39" s="252"/>
      <c r="C39" s="341" t="s">
        <v>575</v>
      </c>
      <c r="D39" s="333"/>
      <c r="E39" s="334"/>
      <c r="F39" s="334"/>
      <c r="G39" s="334"/>
      <c r="H39" s="334"/>
      <c r="I39" s="334"/>
      <c r="J39" s="334"/>
      <c r="K39" s="334"/>
      <c r="L39" s="333"/>
    </row>
    <row r="40" spans="1:12">
      <c r="A40" s="339"/>
      <c r="B40" s="252"/>
      <c r="C40" s="341" t="s">
        <v>70</v>
      </c>
      <c r="D40" s="333"/>
      <c r="E40" s="334"/>
      <c r="F40" s="334"/>
      <c r="G40" s="334"/>
      <c r="H40" s="334"/>
      <c r="I40" s="334"/>
      <c r="J40" s="334"/>
      <c r="K40" s="334"/>
      <c r="L40" s="333"/>
    </row>
    <row r="41" spans="1:12">
      <c r="A41" s="339"/>
      <c r="B41" s="252"/>
      <c r="C41" s="342" t="s">
        <v>75</v>
      </c>
      <c r="D41" s="357">
        <f t="shared" ref="D41:K41" si="3">SUBTOTAL(9,D35:D40)</f>
        <v>0</v>
      </c>
      <c r="E41" s="357">
        <f t="shared" si="3"/>
        <v>0</v>
      </c>
      <c r="F41" s="357">
        <f t="shared" si="3"/>
        <v>0</v>
      </c>
      <c r="G41" s="357">
        <f t="shared" si="3"/>
        <v>0</v>
      </c>
      <c r="H41" s="357">
        <f t="shared" si="3"/>
        <v>0</v>
      </c>
      <c r="I41" s="357">
        <f t="shared" si="3"/>
        <v>0</v>
      </c>
      <c r="J41" s="357">
        <f t="shared" si="3"/>
        <v>0</v>
      </c>
      <c r="K41" s="357">
        <f t="shared" si="3"/>
        <v>0</v>
      </c>
      <c r="L41" s="357">
        <f>SUBTOTAL(9,L35:L40)</f>
        <v>0</v>
      </c>
    </row>
    <row r="42" spans="1:12">
      <c r="A42" s="339"/>
      <c r="B42" s="252"/>
      <c r="C42" s="342"/>
      <c r="D42" s="329"/>
      <c r="E42" s="329"/>
      <c r="F42" s="329"/>
      <c r="G42" s="329"/>
      <c r="H42" s="329"/>
      <c r="I42" s="329"/>
      <c r="J42" s="329"/>
      <c r="K42" s="329"/>
      <c r="L42" s="329"/>
    </row>
    <row r="43" spans="1:12">
      <c r="A43" s="339">
        <f>+A34+1</f>
        <v>5</v>
      </c>
      <c r="B43" s="252" t="str">
        <f ca="1">OFFSET(List_DAOpexStart,A43,0)</f>
        <v>DA-5</v>
      </c>
      <c r="C43" s="340" t="str">
        <f ca="1">VLOOKUP(B43,List_DirectlyAttributedServices,2,FALSE)</f>
        <v>Strategic Asset Management</v>
      </c>
      <c r="D43" s="329"/>
      <c r="E43" s="329"/>
      <c r="F43" s="329"/>
      <c r="G43" s="329"/>
      <c r="H43" s="329"/>
      <c r="I43" s="329"/>
      <c r="J43" s="329"/>
      <c r="K43" s="329"/>
      <c r="L43" s="329"/>
    </row>
    <row r="44" spans="1:12">
      <c r="A44" s="339"/>
      <c r="B44" s="252"/>
      <c r="C44" s="341" t="s">
        <v>68</v>
      </c>
      <c r="D44" s="333"/>
      <c r="E44" s="334"/>
      <c r="F44" s="334"/>
      <c r="G44" s="334"/>
      <c r="H44" s="334"/>
      <c r="I44" s="334"/>
      <c r="J44" s="334"/>
      <c r="K44" s="334"/>
      <c r="L44" s="333"/>
    </row>
    <row r="45" spans="1:12">
      <c r="A45" s="339"/>
      <c r="B45" s="252"/>
      <c r="C45" s="341" t="s">
        <v>69</v>
      </c>
      <c r="D45" s="333"/>
      <c r="E45" s="334"/>
      <c r="F45" s="334"/>
      <c r="G45" s="334"/>
      <c r="H45" s="334"/>
      <c r="I45" s="334"/>
      <c r="J45" s="334"/>
      <c r="K45" s="334"/>
      <c r="L45" s="333"/>
    </row>
    <row r="46" spans="1:12" s="759" customFormat="1">
      <c r="A46" s="339"/>
      <c r="B46" s="252"/>
      <c r="C46" s="341" t="s">
        <v>646</v>
      </c>
      <c r="D46" s="333"/>
      <c r="E46" s="334"/>
      <c r="F46" s="334"/>
      <c r="G46" s="334"/>
      <c r="H46" s="334"/>
      <c r="I46" s="334"/>
      <c r="J46" s="334"/>
      <c r="K46" s="334"/>
      <c r="L46" s="333"/>
    </row>
    <row r="47" spans="1:12">
      <c r="A47" s="339"/>
      <c r="B47" s="252"/>
      <c r="C47" s="341" t="s">
        <v>647</v>
      </c>
      <c r="D47" s="333"/>
      <c r="E47" s="334"/>
      <c r="F47" s="334"/>
      <c r="G47" s="334"/>
      <c r="H47" s="334"/>
      <c r="I47" s="334"/>
      <c r="J47" s="334"/>
      <c r="K47" s="334"/>
      <c r="L47" s="333"/>
    </row>
    <row r="48" spans="1:12" s="759" customFormat="1">
      <c r="A48" s="339"/>
      <c r="B48" s="252"/>
      <c r="C48" s="341" t="s">
        <v>575</v>
      </c>
      <c r="D48" s="333"/>
      <c r="E48" s="334"/>
      <c r="F48" s="334"/>
      <c r="G48" s="334"/>
      <c r="H48" s="334"/>
      <c r="I48" s="334"/>
      <c r="J48" s="334"/>
      <c r="K48" s="334"/>
      <c r="L48" s="333"/>
    </row>
    <row r="49" spans="1:12">
      <c r="A49" s="339"/>
      <c r="B49" s="252"/>
      <c r="C49" s="341" t="s">
        <v>70</v>
      </c>
      <c r="D49" s="333"/>
      <c r="E49" s="334"/>
      <c r="F49" s="334"/>
      <c r="G49" s="334"/>
      <c r="H49" s="334"/>
      <c r="I49" s="334"/>
      <c r="J49" s="334"/>
      <c r="K49" s="334"/>
      <c r="L49" s="333"/>
    </row>
    <row r="50" spans="1:12">
      <c r="A50" s="339"/>
      <c r="B50" s="252"/>
      <c r="C50" s="342" t="s">
        <v>75</v>
      </c>
      <c r="D50" s="357">
        <f t="shared" ref="D50:K50" si="4">SUBTOTAL(9,D44:D49)</f>
        <v>0</v>
      </c>
      <c r="E50" s="357">
        <f t="shared" si="4"/>
        <v>0</v>
      </c>
      <c r="F50" s="357">
        <f t="shared" si="4"/>
        <v>0</v>
      </c>
      <c r="G50" s="357">
        <f t="shared" si="4"/>
        <v>0</v>
      </c>
      <c r="H50" s="357">
        <f t="shared" si="4"/>
        <v>0</v>
      </c>
      <c r="I50" s="357">
        <f t="shared" si="4"/>
        <v>0</v>
      </c>
      <c r="J50" s="357">
        <f t="shared" si="4"/>
        <v>0</v>
      </c>
      <c r="K50" s="357">
        <f t="shared" si="4"/>
        <v>0</v>
      </c>
      <c r="L50" s="357">
        <f>SUBTOTAL(9,L44:L49)</f>
        <v>0</v>
      </c>
    </row>
    <row r="51" spans="1:12">
      <c r="A51" s="339"/>
      <c r="B51" s="252"/>
      <c r="C51" s="342"/>
      <c r="D51" s="329"/>
      <c r="E51" s="329"/>
      <c r="F51" s="329"/>
      <c r="G51" s="329"/>
      <c r="H51" s="329"/>
      <c r="I51" s="329"/>
      <c r="J51" s="329"/>
      <c r="K51" s="329"/>
      <c r="L51" s="329"/>
    </row>
    <row r="52" spans="1:12" ht="14.25" customHeight="1">
      <c r="A52" s="339">
        <f>+A43+1</f>
        <v>6</v>
      </c>
      <c r="B52" s="252" t="str">
        <f ca="1">OFFSET(List_DAOpexStart,A52,0)</f>
        <v>DA-6</v>
      </c>
      <c r="C52" s="340" t="str">
        <f ca="1">VLOOKUP(B52,List_DirectlyAttributedServices,2,FALSE)</f>
        <v>Operational Asset Management</v>
      </c>
      <c r="D52" s="329"/>
      <c r="E52" s="329"/>
      <c r="F52" s="329"/>
      <c r="G52" s="329"/>
      <c r="H52" s="329"/>
      <c r="I52" s="329"/>
      <c r="J52" s="329"/>
      <c r="K52" s="329"/>
      <c r="L52" s="329"/>
    </row>
    <row r="53" spans="1:12">
      <c r="A53" s="339"/>
      <c r="B53" s="252"/>
      <c r="C53" s="341" t="s">
        <v>68</v>
      </c>
      <c r="D53" s="333"/>
      <c r="E53" s="334"/>
      <c r="F53" s="334"/>
      <c r="G53" s="334"/>
      <c r="H53" s="334"/>
      <c r="I53" s="334"/>
      <c r="J53" s="334"/>
      <c r="K53" s="334"/>
      <c r="L53" s="333"/>
    </row>
    <row r="54" spans="1:12">
      <c r="A54" s="339"/>
      <c r="B54" s="252"/>
      <c r="C54" s="341" t="s">
        <v>69</v>
      </c>
      <c r="D54" s="333"/>
      <c r="E54" s="334"/>
      <c r="F54" s="334"/>
      <c r="G54" s="334"/>
      <c r="H54" s="334"/>
      <c r="I54" s="334"/>
      <c r="J54" s="334"/>
      <c r="K54" s="334"/>
      <c r="L54" s="333"/>
    </row>
    <row r="55" spans="1:12" s="759" customFormat="1">
      <c r="A55" s="339"/>
      <c r="B55" s="252"/>
      <c r="C55" s="341" t="s">
        <v>646</v>
      </c>
      <c r="D55" s="333"/>
      <c r="E55" s="334"/>
      <c r="F55" s="334"/>
      <c r="G55" s="334"/>
      <c r="H55" s="334"/>
      <c r="I55" s="334"/>
      <c r="J55" s="334"/>
      <c r="K55" s="334"/>
      <c r="L55" s="333"/>
    </row>
    <row r="56" spans="1:12">
      <c r="A56" s="339"/>
      <c r="B56" s="252"/>
      <c r="C56" s="341" t="s">
        <v>647</v>
      </c>
      <c r="D56" s="333"/>
      <c r="E56" s="334"/>
      <c r="F56" s="334"/>
      <c r="G56" s="334"/>
      <c r="H56" s="334"/>
      <c r="I56" s="334"/>
      <c r="J56" s="334"/>
      <c r="K56" s="334"/>
      <c r="L56" s="333"/>
    </row>
    <row r="57" spans="1:12" s="759" customFormat="1">
      <c r="A57" s="339"/>
      <c r="B57" s="252"/>
      <c r="C57" s="341" t="s">
        <v>575</v>
      </c>
      <c r="D57" s="333"/>
      <c r="E57" s="334"/>
      <c r="F57" s="334"/>
      <c r="G57" s="334"/>
      <c r="H57" s="334"/>
      <c r="I57" s="334"/>
      <c r="J57" s="334"/>
      <c r="K57" s="334"/>
      <c r="L57" s="333"/>
    </row>
    <row r="58" spans="1:12">
      <c r="A58" s="339"/>
      <c r="B58" s="252"/>
      <c r="C58" s="341" t="s">
        <v>70</v>
      </c>
      <c r="D58" s="333"/>
      <c r="E58" s="334"/>
      <c r="F58" s="334"/>
      <c r="G58" s="334"/>
      <c r="H58" s="334"/>
      <c r="I58" s="334"/>
      <c r="J58" s="334"/>
      <c r="K58" s="334"/>
      <c r="L58" s="333"/>
    </row>
    <row r="59" spans="1:12">
      <c r="A59" s="339"/>
      <c r="B59" s="252"/>
      <c r="C59" s="342" t="s">
        <v>75</v>
      </c>
      <c r="D59" s="357">
        <f t="shared" ref="D59:K59" si="5">SUBTOTAL(9,D53:D58)</f>
        <v>0</v>
      </c>
      <c r="E59" s="357">
        <f t="shared" si="5"/>
        <v>0</v>
      </c>
      <c r="F59" s="357">
        <f t="shared" si="5"/>
        <v>0</v>
      </c>
      <c r="G59" s="357">
        <f t="shared" si="5"/>
        <v>0</v>
      </c>
      <c r="H59" s="357">
        <f t="shared" si="5"/>
        <v>0</v>
      </c>
      <c r="I59" s="357">
        <f t="shared" si="5"/>
        <v>0</v>
      </c>
      <c r="J59" s="357">
        <f t="shared" si="5"/>
        <v>0</v>
      </c>
      <c r="K59" s="357">
        <f t="shared" si="5"/>
        <v>0</v>
      </c>
      <c r="L59" s="357">
        <f>SUBTOTAL(9,L53:L58)</f>
        <v>0</v>
      </c>
    </row>
    <row r="60" spans="1:12">
      <c r="A60" s="339"/>
      <c r="B60" s="252"/>
      <c r="C60" s="342"/>
      <c r="D60" s="329"/>
      <c r="E60" s="329"/>
      <c r="F60" s="329"/>
      <c r="G60" s="329"/>
      <c r="H60" s="329"/>
      <c r="I60" s="329"/>
      <c r="J60" s="329"/>
      <c r="K60" s="329"/>
      <c r="L60" s="329"/>
    </row>
    <row r="61" spans="1:12">
      <c r="A61" s="339">
        <f>+A52+1</f>
        <v>7</v>
      </c>
      <c r="B61" s="252" t="str">
        <f ca="1">OFFSET(List_DAOpexStart,A61,0)</f>
        <v>DA-7</v>
      </c>
      <c r="C61" s="340" t="str">
        <f ca="1">VLOOKUP(B61,List_DirectlyAttributedServices,2,FALSE)</f>
        <v>Maintenance of Asset Information</v>
      </c>
      <c r="D61" s="329"/>
      <c r="E61" s="329"/>
      <c r="F61" s="329"/>
      <c r="G61" s="329"/>
      <c r="H61" s="329"/>
      <c r="I61" s="329"/>
      <c r="J61" s="329"/>
      <c r="K61" s="329"/>
      <c r="L61" s="329"/>
    </row>
    <row r="62" spans="1:12">
      <c r="A62" s="339"/>
      <c r="B62" s="252"/>
      <c r="C62" s="341" t="s">
        <v>68</v>
      </c>
      <c r="D62" s="333"/>
      <c r="E62" s="334"/>
      <c r="F62" s="334"/>
      <c r="G62" s="334"/>
      <c r="H62" s="334"/>
      <c r="I62" s="334"/>
      <c r="J62" s="334"/>
      <c r="K62" s="334"/>
      <c r="L62" s="333"/>
    </row>
    <row r="63" spans="1:12">
      <c r="A63" s="339"/>
      <c r="B63" s="252"/>
      <c r="C63" s="341" t="s">
        <v>69</v>
      </c>
      <c r="D63" s="333"/>
      <c r="E63" s="334"/>
      <c r="F63" s="334"/>
      <c r="G63" s="334"/>
      <c r="H63" s="334"/>
      <c r="I63" s="334"/>
      <c r="J63" s="334"/>
      <c r="K63" s="334"/>
      <c r="L63" s="333"/>
    </row>
    <row r="64" spans="1:12" s="759" customFormat="1">
      <c r="A64" s="339"/>
      <c r="B64" s="252"/>
      <c r="C64" s="341" t="s">
        <v>646</v>
      </c>
      <c r="D64" s="333"/>
      <c r="E64" s="334"/>
      <c r="F64" s="334"/>
      <c r="G64" s="334"/>
      <c r="H64" s="334"/>
      <c r="I64" s="334"/>
      <c r="J64" s="334"/>
      <c r="K64" s="334"/>
      <c r="L64" s="333"/>
    </row>
    <row r="65" spans="1:12">
      <c r="A65" s="339"/>
      <c r="B65" s="252"/>
      <c r="C65" s="341" t="s">
        <v>647</v>
      </c>
      <c r="D65" s="333"/>
      <c r="E65" s="334"/>
      <c r="F65" s="334"/>
      <c r="G65" s="334"/>
      <c r="H65" s="334"/>
      <c r="I65" s="334"/>
      <c r="J65" s="334"/>
      <c r="K65" s="334"/>
      <c r="L65" s="333"/>
    </row>
    <row r="66" spans="1:12" s="759" customFormat="1">
      <c r="A66" s="339"/>
      <c r="B66" s="252"/>
      <c r="C66" s="341" t="s">
        <v>575</v>
      </c>
      <c r="D66" s="333"/>
      <c r="E66" s="334"/>
      <c r="F66" s="334"/>
      <c r="G66" s="334"/>
      <c r="H66" s="334"/>
      <c r="I66" s="334"/>
      <c r="J66" s="334"/>
      <c r="K66" s="334"/>
      <c r="L66" s="333"/>
    </row>
    <row r="67" spans="1:12">
      <c r="A67" s="339"/>
      <c r="B67" s="252"/>
      <c r="C67" s="341" t="s">
        <v>70</v>
      </c>
      <c r="D67" s="333"/>
      <c r="E67" s="334"/>
      <c r="F67" s="334"/>
      <c r="G67" s="334"/>
      <c r="H67" s="334"/>
      <c r="I67" s="334"/>
      <c r="J67" s="334"/>
      <c r="K67" s="334"/>
      <c r="L67" s="333"/>
    </row>
    <row r="68" spans="1:12">
      <c r="A68" s="339"/>
      <c r="B68" s="252"/>
      <c r="C68" s="342" t="s">
        <v>75</v>
      </c>
      <c r="D68" s="357">
        <f t="shared" ref="D68:K68" si="6">SUBTOTAL(9,D62:D67)</f>
        <v>0</v>
      </c>
      <c r="E68" s="357">
        <f t="shared" si="6"/>
        <v>0</v>
      </c>
      <c r="F68" s="357">
        <f t="shared" si="6"/>
        <v>0</v>
      </c>
      <c r="G68" s="357">
        <f t="shared" si="6"/>
        <v>0</v>
      </c>
      <c r="H68" s="357">
        <f t="shared" si="6"/>
        <v>0</v>
      </c>
      <c r="I68" s="357">
        <f t="shared" si="6"/>
        <v>0</v>
      </c>
      <c r="J68" s="357">
        <f t="shared" si="6"/>
        <v>0</v>
      </c>
      <c r="K68" s="357">
        <f t="shared" si="6"/>
        <v>0</v>
      </c>
      <c r="L68" s="357">
        <f>SUBTOTAL(9,L62:L67)</f>
        <v>0</v>
      </c>
    </row>
    <row r="69" spans="1:12">
      <c r="A69" s="339"/>
      <c r="B69" s="252"/>
      <c r="C69" s="342"/>
      <c r="D69" s="329"/>
      <c r="E69" s="329"/>
      <c r="F69" s="329"/>
      <c r="G69" s="329"/>
      <c r="H69" s="329"/>
      <c r="I69" s="329"/>
      <c r="J69" s="329"/>
      <c r="K69" s="329"/>
      <c r="L69" s="329"/>
    </row>
    <row r="70" spans="1:12">
      <c r="A70" s="339">
        <f>+A61+1</f>
        <v>8</v>
      </c>
      <c r="B70" s="252" t="str">
        <f ca="1">OFFSET(List_DAOpexStart,A70,0)</f>
        <v>DA-8</v>
      </c>
      <c r="C70" s="340" t="str">
        <f ca="1">VLOOKUP(B70,List_DirectlyAttributedServices,2,FALSE)</f>
        <v>Network Telephony</v>
      </c>
      <c r="D70" s="329"/>
      <c r="E70" s="329"/>
      <c r="F70" s="329"/>
      <c r="G70" s="329"/>
      <c r="H70" s="329"/>
      <c r="I70" s="329"/>
      <c r="J70" s="329"/>
      <c r="K70" s="329"/>
      <c r="L70" s="329"/>
    </row>
    <row r="71" spans="1:12">
      <c r="A71" s="339"/>
      <c r="B71" s="252"/>
      <c r="C71" s="341" t="s">
        <v>68</v>
      </c>
      <c r="D71" s="333"/>
      <c r="E71" s="334"/>
      <c r="F71" s="334"/>
      <c r="G71" s="334"/>
      <c r="H71" s="334"/>
      <c r="I71" s="334"/>
      <c r="J71" s="334"/>
      <c r="K71" s="334"/>
      <c r="L71" s="333"/>
    </row>
    <row r="72" spans="1:12">
      <c r="A72" s="339"/>
      <c r="B72" s="252"/>
      <c r="C72" s="341" t="s">
        <v>69</v>
      </c>
      <c r="D72" s="333"/>
      <c r="E72" s="334"/>
      <c r="F72" s="334"/>
      <c r="G72" s="334"/>
      <c r="H72" s="334"/>
      <c r="I72" s="334"/>
      <c r="J72" s="334"/>
      <c r="K72" s="334"/>
      <c r="L72" s="333"/>
    </row>
    <row r="73" spans="1:12" s="759" customFormat="1">
      <c r="A73" s="339"/>
      <c r="B73" s="252"/>
      <c r="C73" s="341" t="s">
        <v>646</v>
      </c>
      <c r="D73" s="333"/>
      <c r="E73" s="334"/>
      <c r="F73" s="334"/>
      <c r="G73" s="334"/>
      <c r="H73" s="334"/>
      <c r="I73" s="334"/>
      <c r="J73" s="334"/>
      <c r="K73" s="334"/>
      <c r="L73" s="333"/>
    </row>
    <row r="74" spans="1:12">
      <c r="A74" s="339"/>
      <c r="B74" s="252"/>
      <c r="C74" s="341" t="s">
        <v>647</v>
      </c>
      <c r="D74" s="333"/>
      <c r="E74" s="334"/>
      <c r="F74" s="334"/>
      <c r="G74" s="334"/>
      <c r="H74" s="334"/>
      <c r="I74" s="334"/>
      <c r="J74" s="334"/>
      <c r="K74" s="334"/>
      <c r="L74" s="333"/>
    </row>
    <row r="75" spans="1:12" s="759" customFormat="1">
      <c r="A75" s="339"/>
      <c r="B75" s="252"/>
      <c r="C75" s="341" t="s">
        <v>575</v>
      </c>
      <c r="D75" s="333"/>
      <c r="E75" s="334"/>
      <c r="F75" s="334"/>
      <c r="G75" s="334"/>
      <c r="H75" s="334"/>
      <c r="I75" s="334"/>
      <c r="J75" s="334"/>
      <c r="K75" s="334"/>
      <c r="L75" s="333"/>
    </row>
    <row r="76" spans="1:12">
      <c r="A76" s="339"/>
      <c r="B76" s="252"/>
      <c r="C76" s="341" t="s">
        <v>70</v>
      </c>
      <c r="D76" s="333"/>
      <c r="E76" s="334"/>
      <c r="F76" s="334"/>
      <c r="G76" s="334"/>
      <c r="H76" s="334"/>
      <c r="I76" s="334"/>
      <c r="J76" s="334"/>
      <c r="K76" s="334"/>
      <c r="L76" s="333"/>
    </row>
    <row r="77" spans="1:12">
      <c r="A77" s="339"/>
      <c r="B77" s="252"/>
      <c r="C77" s="342" t="s">
        <v>75</v>
      </c>
      <c r="D77" s="357">
        <f t="shared" ref="D77:K77" si="7">SUBTOTAL(9,D71:D76)</f>
        <v>0</v>
      </c>
      <c r="E77" s="357">
        <f t="shared" si="7"/>
        <v>0</v>
      </c>
      <c r="F77" s="357">
        <f t="shared" si="7"/>
        <v>0</v>
      </c>
      <c r="G77" s="357">
        <f t="shared" si="7"/>
        <v>0</v>
      </c>
      <c r="H77" s="357">
        <f t="shared" si="7"/>
        <v>0</v>
      </c>
      <c r="I77" s="357">
        <f t="shared" si="7"/>
        <v>0</v>
      </c>
      <c r="J77" s="357">
        <f t="shared" si="7"/>
        <v>0</v>
      </c>
      <c r="K77" s="357">
        <f t="shared" si="7"/>
        <v>0</v>
      </c>
      <c r="L77" s="357">
        <f>SUBTOTAL(9,L71:L76)</f>
        <v>0</v>
      </c>
    </row>
    <row r="78" spans="1:12">
      <c r="A78" s="339"/>
      <c r="B78" s="252"/>
      <c r="C78" s="342"/>
      <c r="D78" s="329"/>
      <c r="E78" s="329"/>
      <c r="F78" s="329"/>
      <c r="G78" s="329"/>
      <c r="H78" s="329"/>
      <c r="I78" s="329"/>
      <c r="J78" s="329"/>
      <c r="K78" s="329"/>
      <c r="L78" s="329"/>
    </row>
    <row r="79" spans="1:12">
      <c r="A79" s="339">
        <f>+A70+1</f>
        <v>9</v>
      </c>
      <c r="B79" s="252" t="str">
        <f ca="1">OFFSET(List_DAOpexStart,A79,0)</f>
        <v>DA-9</v>
      </c>
      <c r="C79" s="340" t="str">
        <f ca="1">VLOOKUP(B79,List_DirectlyAttributedServices,2,FALSE)</f>
        <v>Feed-in Tariffs</v>
      </c>
      <c r="D79" s="329"/>
      <c r="E79" s="329"/>
      <c r="F79" s="329"/>
      <c r="G79" s="329"/>
      <c r="H79" s="329"/>
      <c r="I79" s="329"/>
      <c r="J79" s="329"/>
      <c r="K79" s="329"/>
      <c r="L79" s="329"/>
    </row>
    <row r="80" spans="1:12">
      <c r="A80" s="339"/>
      <c r="B80" s="252"/>
      <c r="C80" s="341" t="s">
        <v>68</v>
      </c>
      <c r="D80" s="333"/>
      <c r="E80" s="334"/>
      <c r="F80" s="334"/>
      <c r="G80" s="334"/>
      <c r="H80" s="334"/>
      <c r="I80" s="334"/>
      <c r="J80" s="334"/>
      <c r="K80" s="334"/>
      <c r="L80" s="333"/>
    </row>
    <row r="81" spans="1:15">
      <c r="A81" s="339"/>
      <c r="B81" s="252"/>
      <c r="C81" s="341" t="s">
        <v>69</v>
      </c>
      <c r="D81" s="333"/>
      <c r="E81" s="334"/>
      <c r="F81" s="334"/>
      <c r="G81" s="334"/>
      <c r="H81" s="334"/>
      <c r="I81" s="334"/>
      <c r="J81" s="334"/>
      <c r="K81" s="334"/>
      <c r="L81" s="333"/>
    </row>
    <row r="82" spans="1:15" s="759" customFormat="1">
      <c r="A82" s="339"/>
      <c r="B82" s="252"/>
      <c r="C82" s="341" t="s">
        <v>646</v>
      </c>
      <c r="D82" s="333"/>
      <c r="E82" s="334"/>
      <c r="F82" s="334"/>
      <c r="G82" s="334"/>
      <c r="H82" s="334"/>
      <c r="I82" s="334"/>
      <c r="J82" s="334"/>
      <c r="K82" s="334"/>
      <c r="L82" s="333"/>
    </row>
    <row r="83" spans="1:15">
      <c r="A83" s="339"/>
      <c r="B83" s="252"/>
      <c r="C83" s="341" t="s">
        <v>647</v>
      </c>
      <c r="D83" s="333"/>
      <c r="E83" s="334"/>
      <c r="F83" s="334"/>
      <c r="G83" s="334"/>
      <c r="H83" s="334"/>
      <c r="I83" s="334"/>
      <c r="J83" s="334"/>
      <c r="K83" s="334"/>
      <c r="L83" s="333"/>
    </row>
    <row r="84" spans="1:15" s="759" customFormat="1">
      <c r="A84" s="339"/>
      <c r="B84" s="252"/>
      <c r="C84" s="341" t="s">
        <v>575</v>
      </c>
      <c r="D84" s="333"/>
      <c r="E84" s="334"/>
      <c r="F84" s="334"/>
      <c r="G84" s="334"/>
      <c r="H84" s="334"/>
      <c r="I84" s="334"/>
      <c r="J84" s="334"/>
      <c r="K84" s="334"/>
      <c r="L84" s="333"/>
    </row>
    <row r="85" spans="1:15">
      <c r="A85" s="339"/>
      <c r="B85" s="252"/>
      <c r="C85" s="341" t="s">
        <v>70</v>
      </c>
      <c r="D85" s="333"/>
      <c r="E85" s="334"/>
      <c r="F85" s="334"/>
      <c r="G85" s="334"/>
      <c r="H85" s="334"/>
      <c r="I85" s="334"/>
      <c r="J85" s="334"/>
      <c r="K85" s="334"/>
      <c r="L85" s="333"/>
    </row>
    <row r="86" spans="1:15">
      <c r="A86" s="339"/>
      <c r="B86" s="252"/>
      <c r="C86" s="342" t="s">
        <v>75</v>
      </c>
      <c r="D86" s="357">
        <f t="shared" ref="D86:K86" si="8">SUBTOTAL(9,D80:D85)</f>
        <v>0</v>
      </c>
      <c r="E86" s="357">
        <f t="shared" si="8"/>
        <v>0</v>
      </c>
      <c r="F86" s="357">
        <f t="shared" si="8"/>
        <v>0</v>
      </c>
      <c r="G86" s="357">
        <f t="shared" si="8"/>
        <v>0</v>
      </c>
      <c r="H86" s="357">
        <f t="shared" si="8"/>
        <v>0</v>
      </c>
      <c r="I86" s="357">
        <f t="shared" si="8"/>
        <v>0</v>
      </c>
      <c r="J86" s="357">
        <f t="shared" si="8"/>
        <v>0</v>
      </c>
      <c r="K86" s="357">
        <f t="shared" si="8"/>
        <v>0</v>
      </c>
      <c r="L86" s="357">
        <f>SUBTOTAL(9,L80:L85)</f>
        <v>0</v>
      </c>
    </row>
    <row r="87" spans="1:15">
      <c r="A87" s="339"/>
      <c r="B87" s="252"/>
      <c r="C87" s="342"/>
      <c r="D87" s="329"/>
      <c r="E87" s="329"/>
      <c r="F87" s="329"/>
      <c r="G87" s="329"/>
      <c r="H87" s="329"/>
      <c r="I87" s="329"/>
      <c r="J87" s="329"/>
      <c r="K87" s="329"/>
      <c r="L87" s="329"/>
    </row>
    <row r="88" spans="1:15">
      <c r="A88" s="339">
        <f>+A79+1</f>
        <v>10</v>
      </c>
      <c r="B88" s="252" t="str">
        <f ca="1">OFFSET(List_DAOpexStart,A88,0)</f>
        <v>DA-10</v>
      </c>
      <c r="C88" s="340" t="str">
        <f ca="1">VLOOKUP(B88,List_DirectlyAttributedServices,2,FALSE)</f>
        <v>Regulatory Compliance</v>
      </c>
      <c r="D88" s="329"/>
      <c r="E88" s="329"/>
      <c r="F88" s="329"/>
      <c r="G88" s="329"/>
      <c r="H88" s="329"/>
      <c r="I88" s="329"/>
      <c r="J88" s="329"/>
      <c r="K88" s="329"/>
      <c r="L88" s="329"/>
    </row>
    <row r="89" spans="1:15">
      <c r="A89" s="339"/>
      <c r="B89" s="252"/>
      <c r="C89" s="341" t="s">
        <v>68</v>
      </c>
      <c r="D89" s="333"/>
      <c r="E89" s="334"/>
      <c r="F89" s="334"/>
      <c r="G89" s="334"/>
      <c r="H89" s="334"/>
      <c r="I89" s="334"/>
      <c r="J89" s="334"/>
      <c r="K89" s="334"/>
      <c r="L89" s="333"/>
    </row>
    <row r="90" spans="1:15">
      <c r="A90" s="339"/>
      <c r="B90" s="252"/>
      <c r="C90" s="341" t="s">
        <v>69</v>
      </c>
      <c r="D90" s="333"/>
      <c r="E90" s="334"/>
      <c r="F90" s="334"/>
      <c r="G90" s="334"/>
      <c r="H90" s="334"/>
      <c r="I90" s="334"/>
      <c r="J90" s="334"/>
      <c r="K90" s="334"/>
      <c r="L90" s="333"/>
    </row>
    <row r="91" spans="1:15" s="759" customFormat="1">
      <c r="A91" s="339"/>
      <c r="B91" s="252"/>
      <c r="C91" s="341" t="s">
        <v>646</v>
      </c>
      <c r="D91" s="333"/>
      <c r="E91" s="334"/>
      <c r="F91" s="334"/>
      <c r="G91" s="334"/>
      <c r="H91" s="334"/>
      <c r="I91" s="334"/>
      <c r="J91" s="334"/>
      <c r="K91" s="334"/>
      <c r="L91" s="333"/>
    </row>
    <row r="92" spans="1:15">
      <c r="A92" s="339"/>
      <c r="B92" s="252"/>
      <c r="C92" s="341" t="s">
        <v>647</v>
      </c>
      <c r="D92" s="333"/>
      <c r="E92" s="334"/>
      <c r="F92" s="334"/>
      <c r="G92" s="334"/>
      <c r="H92" s="334"/>
      <c r="I92" s="334"/>
      <c r="J92" s="334"/>
      <c r="K92" s="334"/>
      <c r="L92" s="333"/>
    </row>
    <row r="93" spans="1:15" s="759" customFormat="1">
      <c r="A93" s="339"/>
      <c r="B93" s="252"/>
      <c r="C93" s="341" t="s">
        <v>575</v>
      </c>
      <c r="D93" s="333"/>
      <c r="E93" s="334"/>
      <c r="F93" s="334"/>
      <c r="G93" s="334"/>
      <c r="H93" s="334"/>
      <c r="I93" s="334"/>
      <c r="J93" s="334"/>
      <c r="K93" s="334"/>
      <c r="L93" s="333"/>
    </row>
    <row r="94" spans="1:15">
      <c r="A94" s="339"/>
      <c r="B94" s="252"/>
      <c r="C94" s="341" t="s">
        <v>70</v>
      </c>
      <c r="D94" s="333"/>
      <c r="E94" s="334"/>
      <c r="F94" s="334"/>
      <c r="G94" s="334"/>
      <c r="H94" s="334"/>
      <c r="I94" s="334"/>
      <c r="J94" s="334"/>
      <c r="K94" s="334"/>
      <c r="L94" s="333"/>
    </row>
    <row r="95" spans="1:15">
      <c r="A95" s="339"/>
      <c r="B95" s="252"/>
      <c r="C95" s="342" t="s">
        <v>75</v>
      </c>
      <c r="D95" s="357">
        <f t="shared" ref="D95:K95" si="9">SUBTOTAL(9,D89:D94)</f>
        <v>0</v>
      </c>
      <c r="E95" s="357">
        <f t="shared" si="9"/>
        <v>0</v>
      </c>
      <c r="F95" s="357">
        <f t="shared" si="9"/>
        <v>0</v>
      </c>
      <c r="G95" s="357">
        <f t="shared" si="9"/>
        <v>0</v>
      </c>
      <c r="H95" s="357">
        <f t="shared" si="9"/>
        <v>0</v>
      </c>
      <c r="I95" s="357">
        <f t="shared" si="9"/>
        <v>0</v>
      </c>
      <c r="J95" s="357">
        <f t="shared" si="9"/>
        <v>0</v>
      </c>
      <c r="K95" s="357">
        <f t="shared" si="9"/>
        <v>0</v>
      </c>
      <c r="L95" s="357">
        <f>SUBTOTAL(9,L89:L94)</f>
        <v>0</v>
      </c>
    </row>
    <row r="96" spans="1:15" ht="18">
      <c r="A96" s="339"/>
      <c r="B96" s="252"/>
      <c r="C96" s="297" t="s">
        <v>168</v>
      </c>
      <c r="D96" s="329"/>
      <c r="E96" s="329"/>
      <c r="F96" s="329"/>
      <c r="G96" s="329"/>
      <c r="H96" s="329"/>
      <c r="I96" s="329"/>
      <c r="J96" s="329"/>
      <c r="K96" s="329"/>
      <c r="L96" s="329"/>
      <c r="N96" s="67"/>
      <c r="O96" s="299"/>
    </row>
    <row r="97" spans="1:15">
      <c r="A97" s="339">
        <f>+A88+1</f>
        <v>11</v>
      </c>
      <c r="B97" s="252" t="str">
        <f ca="1">OFFSET(List_DAOpexStart,A97,0)</f>
        <v>DA-11</v>
      </c>
      <c r="C97" s="340" t="str">
        <f ca="1">VLOOKUP(B97,List_DirectlyAttributedServices,2,FALSE)</f>
        <v>Outage Management System</v>
      </c>
      <c r="D97" s="329"/>
      <c r="E97" s="329"/>
      <c r="F97" s="329"/>
      <c r="G97" s="329"/>
      <c r="H97" s="329"/>
      <c r="I97" s="329"/>
      <c r="J97" s="329"/>
      <c r="K97" s="329"/>
      <c r="L97" s="329"/>
      <c r="N97" s="67"/>
      <c r="O97" s="300"/>
    </row>
    <row r="98" spans="1:15">
      <c r="A98" s="339"/>
      <c r="B98" s="252"/>
      <c r="C98" s="341" t="s">
        <v>68</v>
      </c>
      <c r="D98" s="333"/>
      <c r="E98" s="334"/>
      <c r="F98" s="334"/>
      <c r="G98" s="334"/>
      <c r="H98" s="334"/>
      <c r="I98" s="334"/>
      <c r="J98" s="334"/>
      <c r="K98" s="334"/>
      <c r="L98" s="333"/>
      <c r="N98" s="67"/>
      <c r="O98" s="67"/>
    </row>
    <row r="99" spans="1:15">
      <c r="A99" s="3"/>
      <c r="B99" s="252"/>
      <c r="C99" s="341" t="s">
        <v>69</v>
      </c>
      <c r="D99" s="333"/>
      <c r="E99" s="334"/>
      <c r="F99" s="334"/>
      <c r="G99" s="334"/>
      <c r="H99" s="334"/>
      <c r="I99" s="334"/>
      <c r="J99" s="334"/>
      <c r="K99" s="334"/>
      <c r="L99" s="333"/>
    </row>
    <row r="100" spans="1:15" s="759" customFormat="1">
      <c r="A100" s="544"/>
      <c r="B100" s="252"/>
      <c r="C100" s="341" t="s">
        <v>646</v>
      </c>
      <c r="D100" s="333"/>
      <c r="E100" s="334"/>
      <c r="F100" s="334"/>
      <c r="G100" s="334"/>
      <c r="H100" s="334"/>
      <c r="I100" s="334"/>
      <c r="J100" s="334"/>
      <c r="K100" s="334"/>
      <c r="L100" s="333"/>
    </row>
    <row r="101" spans="1:15">
      <c r="A101" s="3"/>
      <c r="B101" s="252"/>
      <c r="C101" s="341" t="s">
        <v>647</v>
      </c>
      <c r="D101" s="333"/>
      <c r="E101" s="334"/>
      <c r="F101" s="334"/>
      <c r="G101" s="334"/>
      <c r="H101" s="334"/>
      <c r="I101" s="334"/>
      <c r="J101" s="334"/>
      <c r="K101" s="334"/>
      <c r="L101" s="333"/>
    </row>
    <row r="102" spans="1:15" s="759" customFormat="1">
      <c r="A102" s="544"/>
      <c r="B102" s="252"/>
      <c r="C102" s="341" t="s">
        <v>575</v>
      </c>
      <c r="D102" s="333"/>
      <c r="E102" s="334"/>
      <c r="F102" s="334"/>
      <c r="G102" s="334"/>
      <c r="H102" s="334"/>
      <c r="I102" s="334"/>
      <c r="J102" s="334"/>
      <c r="K102" s="334"/>
      <c r="L102" s="333"/>
    </row>
    <row r="103" spans="1:15">
      <c r="A103" s="3"/>
      <c r="B103" s="252"/>
      <c r="C103" s="341" t="s">
        <v>70</v>
      </c>
      <c r="D103" s="333"/>
      <c r="E103" s="334"/>
      <c r="F103" s="334"/>
      <c r="G103" s="334"/>
      <c r="H103" s="334"/>
      <c r="I103" s="334"/>
      <c r="J103" s="334"/>
      <c r="K103" s="334"/>
      <c r="L103" s="333"/>
    </row>
    <row r="104" spans="1:15">
      <c r="A104" s="3"/>
      <c r="B104" s="252"/>
      <c r="C104" s="342" t="s">
        <v>75</v>
      </c>
      <c r="D104" s="357">
        <f t="shared" ref="D104:K104" si="10">SUBTOTAL(9,D98:D103)</f>
        <v>0</v>
      </c>
      <c r="E104" s="357">
        <f t="shared" si="10"/>
        <v>0</v>
      </c>
      <c r="F104" s="357">
        <f t="shared" si="10"/>
        <v>0</v>
      </c>
      <c r="G104" s="357">
        <f t="shared" si="10"/>
        <v>0</v>
      </c>
      <c r="H104" s="357">
        <f t="shared" si="10"/>
        <v>0</v>
      </c>
      <c r="I104" s="357">
        <f t="shared" si="10"/>
        <v>0</v>
      </c>
      <c r="J104" s="357">
        <f t="shared" si="10"/>
        <v>0</v>
      </c>
      <c r="K104" s="357">
        <f t="shared" si="10"/>
        <v>0</v>
      </c>
      <c r="L104" s="357">
        <f>SUBTOTAL(9,L98:L103)</f>
        <v>0</v>
      </c>
    </row>
    <row r="105" spans="1:15">
      <c r="A105" s="3"/>
      <c r="B105" s="252"/>
      <c r="C105" s="342"/>
      <c r="D105" s="329"/>
      <c r="E105" s="329"/>
      <c r="F105" s="329"/>
      <c r="G105" s="329"/>
      <c r="H105" s="329"/>
      <c r="I105" s="329"/>
      <c r="J105" s="329"/>
      <c r="K105" s="329"/>
      <c r="L105" s="329"/>
    </row>
    <row r="106" spans="1:15">
      <c r="A106" s="339">
        <f>+A97+1</f>
        <v>12</v>
      </c>
      <c r="B106" s="252" t="str">
        <f ca="1">OFFSET(List_DAOpexStart,A106,0)</f>
        <v>DA-12</v>
      </c>
      <c r="C106" s="340" t="str">
        <f ca="1">VLOOKUP(B106,List_DirectlyAttributedServices,2,FALSE)</f>
        <v>Asset Assessment</v>
      </c>
      <c r="D106" s="329"/>
      <c r="E106" s="329"/>
      <c r="F106" s="329"/>
      <c r="G106" s="329"/>
      <c r="H106" s="329"/>
      <c r="I106" s="329"/>
      <c r="J106" s="329"/>
      <c r="K106" s="329"/>
      <c r="L106" s="329"/>
    </row>
    <row r="107" spans="1:15">
      <c r="A107" s="3"/>
      <c r="B107" s="252"/>
      <c r="C107" s="341" t="s">
        <v>68</v>
      </c>
      <c r="D107" s="333"/>
      <c r="E107" s="334"/>
      <c r="F107" s="334"/>
      <c r="G107" s="334"/>
      <c r="H107" s="334"/>
      <c r="I107" s="334"/>
      <c r="J107" s="334"/>
      <c r="K107" s="334"/>
      <c r="L107" s="333"/>
    </row>
    <row r="108" spans="1:15">
      <c r="A108" s="3"/>
      <c r="B108" s="252"/>
      <c r="C108" s="341" t="s">
        <v>69</v>
      </c>
      <c r="D108" s="333"/>
      <c r="E108" s="334"/>
      <c r="F108" s="334"/>
      <c r="G108" s="334"/>
      <c r="H108" s="334"/>
      <c r="I108" s="334"/>
      <c r="J108" s="334"/>
      <c r="K108" s="334"/>
      <c r="L108" s="333"/>
    </row>
    <row r="109" spans="1:15" s="759" customFormat="1">
      <c r="A109" s="544"/>
      <c r="B109" s="252"/>
      <c r="C109" s="341" t="s">
        <v>646</v>
      </c>
      <c r="D109" s="333"/>
      <c r="E109" s="334"/>
      <c r="F109" s="334"/>
      <c r="G109" s="334"/>
      <c r="H109" s="334"/>
      <c r="I109" s="334"/>
      <c r="J109" s="334"/>
      <c r="K109" s="334"/>
      <c r="L109" s="333"/>
    </row>
    <row r="110" spans="1:15">
      <c r="A110" s="3"/>
      <c r="B110" s="252"/>
      <c r="C110" s="341" t="s">
        <v>647</v>
      </c>
      <c r="D110" s="333"/>
      <c r="E110" s="334"/>
      <c r="F110" s="334"/>
      <c r="G110" s="334"/>
      <c r="H110" s="334"/>
      <c r="I110" s="334"/>
      <c r="J110" s="334"/>
      <c r="K110" s="334"/>
      <c r="L110" s="450"/>
    </row>
    <row r="111" spans="1:15" s="759" customFormat="1">
      <c r="A111" s="544"/>
      <c r="B111" s="252"/>
      <c r="C111" s="341" t="s">
        <v>575</v>
      </c>
      <c r="D111" s="333"/>
      <c r="E111" s="334"/>
      <c r="F111" s="334"/>
      <c r="G111" s="334"/>
      <c r="H111" s="334"/>
      <c r="I111" s="334"/>
      <c r="J111" s="334"/>
      <c r="K111" s="334"/>
      <c r="L111" s="450"/>
    </row>
    <row r="112" spans="1:15">
      <c r="A112" s="3"/>
      <c r="B112" s="252"/>
      <c r="C112" s="341" t="s">
        <v>70</v>
      </c>
      <c r="D112" s="333"/>
      <c r="E112" s="334"/>
      <c r="F112" s="334"/>
      <c r="G112" s="334"/>
      <c r="H112" s="334"/>
      <c r="I112" s="334"/>
      <c r="J112" s="334"/>
      <c r="K112" s="334"/>
      <c r="L112" s="333"/>
    </row>
    <row r="113" spans="1:12">
      <c r="A113" s="3"/>
      <c r="B113" s="252"/>
      <c r="C113" s="342" t="s">
        <v>75</v>
      </c>
      <c r="D113" s="357">
        <f t="shared" ref="D113:K113" si="11">SUBTOTAL(9,D107:D112)</f>
        <v>0</v>
      </c>
      <c r="E113" s="357">
        <f t="shared" si="11"/>
        <v>0</v>
      </c>
      <c r="F113" s="357">
        <f t="shared" si="11"/>
        <v>0</v>
      </c>
      <c r="G113" s="357">
        <f t="shared" si="11"/>
        <v>0</v>
      </c>
      <c r="H113" s="357">
        <f t="shared" si="11"/>
        <v>0</v>
      </c>
      <c r="I113" s="357">
        <f t="shared" si="11"/>
        <v>0</v>
      </c>
      <c r="J113" s="357">
        <f t="shared" si="11"/>
        <v>0</v>
      </c>
      <c r="K113" s="357">
        <f t="shared" si="11"/>
        <v>0</v>
      </c>
      <c r="L113" s="357">
        <f>SUBTOTAL(9,L107:L112)</f>
        <v>0</v>
      </c>
    </row>
    <row r="114" spans="1:12">
      <c r="A114" s="3"/>
      <c r="B114" s="252"/>
      <c r="C114" s="342"/>
      <c r="D114" s="329"/>
      <c r="E114" s="329"/>
      <c r="F114" s="329"/>
      <c r="G114" s="329"/>
      <c r="H114" s="329"/>
      <c r="I114" s="329"/>
      <c r="J114" s="329"/>
      <c r="K114" s="329"/>
      <c r="L114" s="329"/>
    </row>
    <row r="115" spans="1:12">
      <c r="A115" s="339">
        <f>+A106+1</f>
        <v>13</v>
      </c>
      <c r="B115" s="252" t="str">
        <f ca="1">OFFSET(List_DAOpexStart,A115,0)</f>
        <v>DA-13</v>
      </c>
      <c r="C115" s="340" t="str">
        <f ca="1">VLOOKUP(B115,List_DirectlyAttributedServices,2,FALSE)</f>
        <v>Asset Maintenance</v>
      </c>
      <c r="D115" s="329"/>
      <c r="E115" s="329"/>
      <c r="F115" s="329"/>
      <c r="G115" s="329"/>
      <c r="H115" s="329"/>
      <c r="I115" s="329"/>
      <c r="J115" s="329"/>
      <c r="K115" s="329"/>
      <c r="L115" s="329"/>
    </row>
    <row r="116" spans="1:12">
      <c r="A116" s="3"/>
      <c r="B116" s="252"/>
      <c r="C116" s="341" t="s">
        <v>68</v>
      </c>
      <c r="D116" s="333"/>
      <c r="E116" s="334"/>
      <c r="F116" s="334"/>
      <c r="G116" s="334"/>
      <c r="H116" s="334"/>
      <c r="I116" s="334"/>
      <c r="J116" s="334"/>
      <c r="K116" s="334"/>
      <c r="L116" s="333"/>
    </row>
    <row r="117" spans="1:12">
      <c r="A117" s="3"/>
      <c r="B117" s="252"/>
      <c r="C117" s="341" t="s">
        <v>69</v>
      </c>
      <c r="D117" s="333"/>
      <c r="E117" s="334"/>
      <c r="F117" s="334"/>
      <c r="G117" s="334"/>
      <c r="H117" s="334"/>
      <c r="I117" s="334"/>
      <c r="J117" s="334"/>
      <c r="K117" s="334"/>
      <c r="L117" s="333"/>
    </row>
    <row r="118" spans="1:12" s="759" customFormat="1">
      <c r="A118" s="544"/>
      <c r="B118" s="252"/>
      <c r="C118" s="341" t="s">
        <v>646</v>
      </c>
      <c r="D118" s="333"/>
      <c r="E118" s="334"/>
      <c r="F118" s="334"/>
      <c r="G118" s="334"/>
      <c r="H118" s="334"/>
      <c r="I118" s="334"/>
      <c r="J118" s="334"/>
      <c r="K118" s="334"/>
      <c r="L118" s="333"/>
    </row>
    <row r="119" spans="1:12">
      <c r="A119" s="3"/>
      <c r="B119" s="252"/>
      <c r="C119" s="341" t="s">
        <v>647</v>
      </c>
      <c r="D119" s="333"/>
      <c r="E119" s="334"/>
      <c r="F119" s="334"/>
      <c r="G119" s="334"/>
      <c r="H119" s="334"/>
      <c r="I119" s="334"/>
      <c r="J119" s="334"/>
      <c r="K119" s="334"/>
      <c r="L119" s="333"/>
    </row>
    <row r="120" spans="1:12" s="759" customFormat="1">
      <c r="A120" s="544"/>
      <c r="B120" s="252"/>
      <c r="C120" s="341" t="s">
        <v>575</v>
      </c>
      <c r="D120" s="333"/>
      <c r="E120" s="334"/>
      <c r="F120" s="334"/>
      <c r="G120" s="334"/>
      <c r="H120" s="334"/>
      <c r="I120" s="334"/>
      <c r="J120" s="334"/>
      <c r="K120" s="334"/>
      <c r="L120" s="333"/>
    </row>
    <row r="121" spans="1:12">
      <c r="A121" s="3"/>
      <c r="B121" s="252"/>
      <c r="C121" s="341" t="s">
        <v>70</v>
      </c>
      <c r="D121" s="333"/>
      <c r="E121" s="334"/>
      <c r="F121" s="334"/>
      <c r="G121" s="334"/>
      <c r="H121" s="334"/>
      <c r="I121" s="334"/>
      <c r="J121" s="334"/>
      <c r="K121" s="334"/>
      <c r="L121" s="333"/>
    </row>
    <row r="122" spans="1:12">
      <c r="A122" s="3"/>
      <c r="B122" s="252"/>
      <c r="C122" s="342" t="s">
        <v>75</v>
      </c>
      <c r="D122" s="357">
        <f t="shared" ref="D122:K122" si="12">SUBTOTAL(9,D116:D121)</f>
        <v>0</v>
      </c>
      <c r="E122" s="357">
        <f t="shared" si="12"/>
        <v>0</v>
      </c>
      <c r="F122" s="357">
        <f t="shared" si="12"/>
        <v>0</v>
      </c>
      <c r="G122" s="357">
        <f t="shared" si="12"/>
        <v>0</v>
      </c>
      <c r="H122" s="357">
        <f t="shared" si="12"/>
        <v>0</v>
      </c>
      <c r="I122" s="357">
        <f t="shared" si="12"/>
        <v>0</v>
      </c>
      <c r="J122" s="357">
        <f t="shared" si="12"/>
        <v>0</v>
      </c>
      <c r="K122" s="357">
        <f t="shared" si="12"/>
        <v>0</v>
      </c>
      <c r="L122" s="357">
        <f>SUBTOTAL(9,L116:L121)</f>
        <v>0</v>
      </c>
    </row>
    <row r="123" spans="1:12">
      <c r="A123" s="3"/>
      <c r="B123" s="252"/>
      <c r="C123" s="342"/>
      <c r="D123" s="329"/>
      <c r="E123" s="329"/>
      <c r="F123" s="329"/>
      <c r="G123" s="329"/>
      <c r="H123" s="329"/>
      <c r="I123" s="329"/>
      <c r="J123" s="329"/>
      <c r="K123" s="329"/>
      <c r="L123" s="329"/>
    </row>
    <row r="124" spans="1:12">
      <c r="A124" s="339">
        <f>+A115+1</f>
        <v>14</v>
      </c>
      <c r="B124" s="252" t="str">
        <f ca="1">OFFSET(List_DAOpexStart,A124,0)</f>
        <v>DA-14</v>
      </c>
      <c r="C124" s="340" t="str">
        <f ca="1">VLOOKUP(B124,List_DirectlyAttributedServices,2,FALSE)</f>
        <v>Vegetation Management</v>
      </c>
      <c r="D124" s="329"/>
      <c r="E124" s="329"/>
      <c r="F124" s="329"/>
      <c r="G124" s="329"/>
      <c r="H124" s="329"/>
      <c r="I124" s="329"/>
      <c r="J124" s="329"/>
      <c r="K124" s="329"/>
      <c r="L124" s="329"/>
    </row>
    <row r="125" spans="1:12">
      <c r="A125" s="339"/>
      <c r="B125" s="252"/>
      <c r="C125" s="341" t="s">
        <v>68</v>
      </c>
      <c r="D125" s="333"/>
      <c r="E125" s="334"/>
      <c r="F125" s="334"/>
      <c r="G125" s="334"/>
      <c r="H125" s="334"/>
      <c r="I125" s="334"/>
      <c r="J125" s="334"/>
      <c r="K125" s="334"/>
      <c r="L125" s="333"/>
    </row>
    <row r="126" spans="1:12">
      <c r="A126" s="339"/>
      <c r="B126" s="252"/>
      <c r="C126" s="341" t="s">
        <v>69</v>
      </c>
      <c r="D126" s="333"/>
      <c r="E126" s="334"/>
      <c r="F126" s="334"/>
      <c r="G126" s="334"/>
      <c r="H126" s="334"/>
      <c r="I126" s="334"/>
      <c r="J126" s="334"/>
      <c r="K126" s="334"/>
      <c r="L126" s="333"/>
    </row>
    <row r="127" spans="1:12" s="759" customFormat="1">
      <c r="A127" s="339"/>
      <c r="B127" s="252"/>
      <c r="C127" s="341" t="s">
        <v>646</v>
      </c>
      <c r="D127" s="333"/>
      <c r="E127" s="334"/>
      <c r="F127" s="334"/>
      <c r="G127" s="334"/>
      <c r="H127" s="334"/>
      <c r="I127" s="334"/>
      <c r="J127" s="334"/>
      <c r="K127" s="334"/>
      <c r="L127" s="333"/>
    </row>
    <row r="128" spans="1:12">
      <c r="A128" s="339"/>
      <c r="B128" s="252"/>
      <c r="C128" s="341" t="s">
        <v>647</v>
      </c>
      <c r="D128" s="333"/>
      <c r="E128" s="334"/>
      <c r="F128" s="334"/>
      <c r="G128" s="334"/>
      <c r="H128" s="334"/>
      <c r="I128" s="334"/>
      <c r="J128" s="334"/>
      <c r="K128" s="334"/>
      <c r="L128" s="333"/>
    </row>
    <row r="129" spans="1:12" s="759" customFormat="1">
      <c r="A129" s="339"/>
      <c r="B129" s="252"/>
      <c r="C129" s="341" t="s">
        <v>575</v>
      </c>
      <c r="D129" s="333"/>
      <c r="E129" s="334"/>
      <c r="F129" s="334"/>
      <c r="G129" s="334"/>
      <c r="H129" s="334"/>
      <c r="I129" s="334"/>
      <c r="J129" s="334"/>
      <c r="K129" s="334"/>
      <c r="L129" s="333"/>
    </row>
    <row r="130" spans="1:12">
      <c r="A130" s="339"/>
      <c r="B130" s="252"/>
      <c r="C130" s="341" t="s">
        <v>70</v>
      </c>
      <c r="D130" s="333"/>
      <c r="E130" s="334"/>
      <c r="F130" s="334"/>
      <c r="G130" s="334"/>
      <c r="H130" s="334"/>
      <c r="I130" s="334"/>
      <c r="J130" s="334"/>
      <c r="K130" s="334"/>
      <c r="L130" s="333"/>
    </row>
    <row r="131" spans="1:12">
      <c r="A131" s="339"/>
      <c r="B131" s="252"/>
      <c r="C131" s="342" t="s">
        <v>75</v>
      </c>
      <c r="D131" s="357">
        <f t="shared" ref="D131:K131" si="13">SUBTOTAL(9,D125:D130)</f>
        <v>0</v>
      </c>
      <c r="E131" s="357">
        <f t="shared" si="13"/>
        <v>0</v>
      </c>
      <c r="F131" s="357">
        <f t="shared" si="13"/>
        <v>0</v>
      </c>
      <c r="G131" s="357">
        <f t="shared" si="13"/>
        <v>0</v>
      </c>
      <c r="H131" s="357">
        <f t="shared" si="13"/>
        <v>0</v>
      </c>
      <c r="I131" s="357">
        <f t="shared" si="13"/>
        <v>0</v>
      </c>
      <c r="J131" s="357">
        <f t="shared" si="13"/>
        <v>0</v>
      </c>
      <c r="K131" s="357">
        <f t="shared" si="13"/>
        <v>0</v>
      </c>
      <c r="L131" s="357">
        <f>SUBTOTAL(9,L125:L130)</f>
        <v>0</v>
      </c>
    </row>
    <row r="132" spans="1:12">
      <c r="A132" s="339"/>
      <c r="B132" s="252"/>
      <c r="C132" s="342"/>
      <c r="D132" s="329"/>
      <c r="E132" s="329"/>
      <c r="F132" s="329"/>
      <c r="G132" s="329"/>
      <c r="H132" s="329"/>
      <c r="I132" s="329"/>
      <c r="J132" s="329"/>
      <c r="K132" s="329"/>
      <c r="L132" s="329"/>
    </row>
    <row r="133" spans="1:12">
      <c r="A133" s="339">
        <f>+A124+1</f>
        <v>15</v>
      </c>
      <c r="B133" s="252" t="str">
        <f ca="1">OFFSET(List_DAOpexStart,A133,0)</f>
        <v>DA-15</v>
      </c>
      <c r="C133" s="340" t="str">
        <f ca="1">VLOOKUP(B133,List_DirectlyAttributedServices,2,FALSE)</f>
        <v>Emergency Response</v>
      </c>
      <c r="D133" s="329"/>
      <c r="E133" s="329"/>
      <c r="F133" s="329"/>
      <c r="G133" s="329"/>
      <c r="H133" s="329"/>
      <c r="I133" s="329"/>
      <c r="J133" s="329"/>
      <c r="K133" s="329"/>
      <c r="L133" s="329"/>
    </row>
    <row r="134" spans="1:12">
      <c r="A134" s="339"/>
      <c r="B134" s="252"/>
      <c r="C134" s="341" t="s">
        <v>68</v>
      </c>
      <c r="D134" s="333"/>
      <c r="E134" s="334"/>
      <c r="F134" s="334"/>
      <c r="G134" s="334"/>
      <c r="H134" s="334"/>
      <c r="I134" s="334"/>
      <c r="J134" s="334"/>
      <c r="K134" s="334"/>
      <c r="L134" s="333"/>
    </row>
    <row r="135" spans="1:12">
      <c r="A135" s="339"/>
      <c r="B135" s="252"/>
      <c r="C135" s="341" t="s">
        <v>69</v>
      </c>
      <c r="D135" s="333"/>
      <c r="E135" s="334"/>
      <c r="F135" s="334"/>
      <c r="G135" s="334"/>
      <c r="H135" s="334"/>
      <c r="I135" s="334"/>
      <c r="J135" s="334"/>
      <c r="K135" s="334"/>
      <c r="L135" s="333"/>
    </row>
    <row r="136" spans="1:12" s="759" customFormat="1">
      <c r="A136" s="339"/>
      <c r="B136" s="252"/>
      <c r="C136" s="341" t="s">
        <v>646</v>
      </c>
      <c r="D136" s="333"/>
      <c r="E136" s="334"/>
      <c r="F136" s="334"/>
      <c r="G136" s="334"/>
      <c r="H136" s="334"/>
      <c r="I136" s="334"/>
      <c r="J136" s="334"/>
      <c r="K136" s="334"/>
      <c r="L136" s="333"/>
    </row>
    <row r="137" spans="1:12">
      <c r="A137" s="339"/>
      <c r="B137" s="252"/>
      <c r="C137" s="341" t="s">
        <v>647</v>
      </c>
      <c r="D137" s="333"/>
      <c r="E137" s="334"/>
      <c r="F137" s="334"/>
      <c r="G137" s="334"/>
      <c r="H137" s="334"/>
      <c r="I137" s="334"/>
      <c r="J137" s="334"/>
      <c r="K137" s="334"/>
      <c r="L137" s="450"/>
    </row>
    <row r="138" spans="1:12" s="759" customFormat="1">
      <c r="A138" s="339"/>
      <c r="B138" s="252"/>
      <c r="C138" s="341" t="s">
        <v>575</v>
      </c>
      <c r="D138" s="333"/>
      <c r="E138" s="334"/>
      <c r="F138" s="334"/>
      <c r="G138" s="334"/>
      <c r="H138" s="334"/>
      <c r="I138" s="334"/>
      <c r="J138" s="334"/>
      <c r="K138" s="334"/>
      <c r="L138" s="450"/>
    </row>
    <row r="139" spans="1:12">
      <c r="A139" s="339"/>
      <c r="B139" s="252"/>
      <c r="C139" s="341" t="s">
        <v>70</v>
      </c>
      <c r="D139" s="333"/>
      <c r="E139" s="334"/>
      <c r="F139" s="334"/>
      <c r="G139" s="334"/>
      <c r="H139" s="334"/>
      <c r="I139" s="334"/>
      <c r="J139" s="334"/>
      <c r="K139" s="334"/>
      <c r="L139" s="333"/>
    </row>
    <row r="140" spans="1:12">
      <c r="A140" s="339"/>
      <c r="B140" s="252"/>
      <c r="C140" s="342" t="s">
        <v>75</v>
      </c>
      <c r="D140" s="357">
        <f t="shared" ref="D140:K140" si="14">SUBTOTAL(9,D134:D139)</f>
        <v>0</v>
      </c>
      <c r="E140" s="357">
        <f t="shared" si="14"/>
        <v>0</v>
      </c>
      <c r="F140" s="357">
        <f t="shared" si="14"/>
        <v>0</v>
      </c>
      <c r="G140" s="357">
        <f t="shared" si="14"/>
        <v>0</v>
      </c>
      <c r="H140" s="357">
        <f t="shared" si="14"/>
        <v>0</v>
      </c>
      <c r="I140" s="357">
        <f t="shared" si="14"/>
        <v>0</v>
      </c>
      <c r="J140" s="357">
        <f t="shared" si="14"/>
        <v>0</v>
      </c>
      <c r="K140" s="357">
        <f t="shared" si="14"/>
        <v>0</v>
      </c>
      <c r="L140" s="357">
        <f>SUBTOTAL(9,L134:L139)</f>
        <v>0</v>
      </c>
    </row>
    <row r="141" spans="1:12">
      <c r="A141" s="339"/>
      <c r="B141" s="252"/>
      <c r="C141" s="342"/>
      <c r="D141" s="329"/>
      <c r="E141" s="329"/>
      <c r="F141" s="329"/>
      <c r="G141" s="329"/>
      <c r="H141" s="329"/>
      <c r="I141" s="329"/>
      <c r="J141" s="329"/>
      <c r="K141" s="329"/>
      <c r="L141" s="329"/>
    </row>
    <row r="142" spans="1:12">
      <c r="A142" s="339">
        <f>+A133+1</f>
        <v>16</v>
      </c>
      <c r="B142" s="252" t="str">
        <f ca="1">OFFSET(List_DAOpexStart,A142,0)</f>
        <v>DA-16</v>
      </c>
      <c r="C142" s="340" t="str">
        <f ca="1">VLOOKUP(B142,List_DirectlyAttributedServices,2,FALSE)</f>
        <v>Meter Reading Charges</v>
      </c>
      <c r="D142" s="329"/>
      <c r="E142" s="329"/>
      <c r="F142" s="329"/>
      <c r="G142" s="329"/>
      <c r="H142" s="329"/>
      <c r="I142" s="329"/>
      <c r="J142" s="329"/>
      <c r="K142" s="329"/>
      <c r="L142" s="329"/>
    </row>
    <row r="143" spans="1:12">
      <c r="A143" s="339"/>
      <c r="B143" s="252"/>
      <c r="C143" s="341" t="s">
        <v>68</v>
      </c>
      <c r="D143" s="333"/>
      <c r="E143" s="334"/>
      <c r="F143" s="334"/>
      <c r="G143" s="334"/>
      <c r="H143" s="334"/>
      <c r="I143" s="334"/>
      <c r="J143" s="334"/>
      <c r="K143" s="334"/>
      <c r="L143" s="333"/>
    </row>
    <row r="144" spans="1:12">
      <c r="A144" s="339"/>
      <c r="B144" s="252"/>
      <c r="C144" s="341" t="s">
        <v>69</v>
      </c>
      <c r="D144" s="333"/>
      <c r="E144" s="334"/>
      <c r="F144" s="334"/>
      <c r="G144" s="334"/>
      <c r="H144" s="334"/>
      <c r="I144" s="334"/>
      <c r="J144" s="334"/>
      <c r="K144" s="334"/>
      <c r="L144" s="333"/>
    </row>
    <row r="145" spans="1:12" s="759" customFormat="1">
      <c r="A145" s="339"/>
      <c r="B145" s="252"/>
      <c r="C145" s="341" t="s">
        <v>646</v>
      </c>
      <c r="D145" s="333"/>
      <c r="E145" s="334"/>
      <c r="F145" s="334"/>
      <c r="G145" s="334"/>
      <c r="H145" s="334"/>
      <c r="I145" s="334"/>
      <c r="J145" s="334"/>
      <c r="K145" s="334"/>
      <c r="L145" s="333"/>
    </row>
    <row r="146" spans="1:12">
      <c r="A146" s="339"/>
      <c r="B146" s="252"/>
      <c r="C146" s="341" t="s">
        <v>647</v>
      </c>
      <c r="D146" s="333"/>
      <c r="E146" s="334"/>
      <c r="F146" s="334"/>
      <c r="G146" s="334"/>
      <c r="H146" s="334"/>
      <c r="I146" s="334"/>
      <c r="J146" s="334"/>
      <c r="K146" s="334"/>
      <c r="L146" s="450"/>
    </row>
    <row r="147" spans="1:12" s="759" customFormat="1">
      <c r="A147" s="339"/>
      <c r="B147" s="252"/>
      <c r="C147" s="341" t="s">
        <v>575</v>
      </c>
      <c r="D147" s="333"/>
      <c r="E147" s="334"/>
      <c r="F147" s="334"/>
      <c r="G147" s="334"/>
      <c r="H147" s="334"/>
      <c r="I147" s="334"/>
      <c r="J147" s="334"/>
      <c r="K147" s="334"/>
      <c r="L147" s="450"/>
    </row>
    <row r="148" spans="1:12">
      <c r="A148" s="339"/>
      <c r="B148" s="252"/>
      <c r="C148" s="341" t="s">
        <v>70</v>
      </c>
      <c r="D148" s="333"/>
      <c r="E148" s="334"/>
      <c r="F148" s="334"/>
      <c r="G148" s="334"/>
      <c r="H148" s="334"/>
      <c r="I148" s="334"/>
      <c r="J148" s="334"/>
      <c r="K148" s="334"/>
      <c r="L148" s="333"/>
    </row>
    <row r="149" spans="1:12">
      <c r="A149" s="339"/>
      <c r="B149" s="252"/>
      <c r="C149" s="342" t="s">
        <v>75</v>
      </c>
      <c r="D149" s="357">
        <f t="shared" ref="D149:K149" si="15">SUBTOTAL(9,D143:D148)</f>
        <v>0</v>
      </c>
      <c r="E149" s="357">
        <f t="shared" si="15"/>
        <v>0</v>
      </c>
      <c r="F149" s="357">
        <f t="shared" si="15"/>
        <v>0</v>
      </c>
      <c r="G149" s="357">
        <f t="shared" si="15"/>
        <v>0</v>
      </c>
      <c r="H149" s="357">
        <f t="shared" si="15"/>
        <v>0</v>
      </c>
      <c r="I149" s="357">
        <f t="shared" si="15"/>
        <v>0</v>
      </c>
      <c r="J149" s="357">
        <f t="shared" si="15"/>
        <v>0</v>
      </c>
      <c r="K149" s="357">
        <f t="shared" si="15"/>
        <v>0</v>
      </c>
      <c r="L149" s="357">
        <f>SUBTOTAL(9,L143:L148)</f>
        <v>0</v>
      </c>
    </row>
    <row r="150" spans="1:12">
      <c r="A150" s="339"/>
      <c r="B150" s="252"/>
      <c r="C150" s="342"/>
      <c r="D150" s="329"/>
      <c r="E150" s="329"/>
      <c r="F150" s="329"/>
      <c r="G150" s="329"/>
      <c r="H150" s="329"/>
      <c r="I150" s="329"/>
      <c r="J150" s="329"/>
      <c r="K150" s="329"/>
      <c r="L150" s="329"/>
    </row>
    <row r="151" spans="1:12">
      <c r="A151" s="339">
        <f>+A142+1</f>
        <v>17</v>
      </c>
      <c r="B151" s="252" t="str">
        <f ca="1">OFFSET(List_DAOpexStart,A151,0)</f>
        <v>DA-17</v>
      </c>
      <c r="C151" s="340" t="str">
        <f ca="1">VLOOKUP(B151,List_DirectlyAttributedServices,2,FALSE)</f>
        <v>Call Centre Charges</v>
      </c>
      <c r="D151" s="329"/>
      <c r="E151" s="329"/>
      <c r="F151" s="329"/>
      <c r="G151" s="329"/>
      <c r="H151" s="329"/>
      <c r="I151" s="329"/>
      <c r="J151" s="329"/>
      <c r="K151" s="329"/>
      <c r="L151" s="329"/>
    </row>
    <row r="152" spans="1:12">
      <c r="A152" s="339"/>
      <c r="B152" s="252"/>
      <c r="C152" s="341" t="s">
        <v>68</v>
      </c>
      <c r="D152" s="333"/>
      <c r="E152" s="334"/>
      <c r="F152" s="334"/>
      <c r="G152" s="334"/>
      <c r="H152" s="334"/>
      <c r="I152" s="334"/>
      <c r="J152" s="334"/>
      <c r="K152" s="334"/>
      <c r="L152" s="333"/>
    </row>
    <row r="153" spans="1:12">
      <c r="A153" s="339"/>
      <c r="B153" s="252"/>
      <c r="C153" s="341" t="s">
        <v>69</v>
      </c>
      <c r="D153" s="333"/>
      <c r="E153" s="334"/>
      <c r="F153" s="334"/>
      <c r="G153" s="334"/>
      <c r="H153" s="334"/>
      <c r="I153" s="334"/>
      <c r="J153" s="334"/>
      <c r="K153" s="334"/>
      <c r="L153" s="333"/>
    </row>
    <row r="154" spans="1:12" s="759" customFormat="1">
      <c r="A154" s="339"/>
      <c r="B154" s="252"/>
      <c r="C154" s="341" t="s">
        <v>646</v>
      </c>
      <c r="D154" s="333"/>
      <c r="E154" s="334"/>
      <c r="F154" s="334"/>
      <c r="G154" s="334"/>
      <c r="H154" s="334"/>
      <c r="I154" s="334"/>
      <c r="J154" s="334"/>
      <c r="K154" s="334"/>
      <c r="L154" s="333"/>
    </row>
    <row r="155" spans="1:12">
      <c r="A155" s="339"/>
      <c r="B155" s="252"/>
      <c r="C155" s="341" t="s">
        <v>647</v>
      </c>
      <c r="D155" s="333"/>
      <c r="E155" s="334"/>
      <c r="F155" s="334"/>
      <c r="G155" s="334"/>
      <c r="H155" s="334"/>
      <c r="I155" s="334"/>
      <c r="J155" s="334"/>
      <c r="K155" s="334"/>
      <c r="L155" s="450"/>
    </row>
    <row r="156" spans="1:12" s="759" customFormat="1">
      <c r="A156" s="339"/>
      <c r="B156" s="252"/>
      <c r="C156" s="341" t="s">
        <v>575</v>
      </c>
      <c r="D156" s="333"/>
      <c r="E156" s="334"/>
      <c r="F156" s="334"/>
      <c r="G156" s="334"/>
      <c r="H156" s="334"/>
      <c r="I156" s="334"/>
      <c r="J156" s="334"/>
      <c r="K156" s="334"/>
      <c r="L156" s="450"/>
    </row>
    <row r="157" spans="1:12">
      <c r="A157" s="339"/>
      <c r="B157" s="252"/>
      <c r="C157" s="341" t="s">
        <v>70</v>
      </c>
      <c r="D157" s="333"/>
      <c r="E157" s="334"/>
      <c r="F157" s="334"/>
      <c r="G157" s="334"/>
      <c r="H157" s="334"/>
      <c r="I157" s="334"/>
      <c r="J157" s="334"/>
      <c r="K157" s="334"/>
      <c r="L157" s="333"/>
    </row>
    <row r="158" spans="1:12">
      <c r="A158" s="339"/>
      <c r="B158" s="252"/>
      <c r="C158" s="342" t="s">
        <v>75</v>
      </c>
      <c r="D158" s="357">
        <f t="shared" ref="D158:K158" si="16">SUBTOTAL(9,D152:D157)</f>
        <v>0</v>
      </c>
      <c r="E158" s="357">
        <f t="shared" si="16"/>
        <v>0</v>
      </c>
      <c r="F158" s="357">
        <f t="shared" si="16"/>
        <v>0</v>
      </c>
      <c r="G158" s="357">
        <f t="shared" si="16"/>
        <v>0</v>
      </c>
      <c r="H158" s="357">
        <f t="shared" si="16"/>
        <v>0</v>
      </c>
      <c r="I158" s="357">
        <f t="shared" si="16"/>
        <v>0</v>
      </c>
      <c r="J158" s="357">
        <f t="shared" si="16"/>
        <v>0</v>
      </c>
      <c r="K158" s="357">
        <f t="shared" si="16"/>
        <v>0</v>
      </c>
      <c r="L158" s="357">
        <f>SUBTOTAL(9,L152:L157)</f>
        <v>0</v>
      </c>
    </row>
    <row r="159" spans="1:12">
      <c r="A159" s="339"/>
      <c r="B159" s="252"/>
      <c r="C159" s="342"/>
      <c r="D159" s="329"/>
      <c r="E159" s="329"/>
      <c r="F159" s="329"/>
      <c r="G159" s="329"/>
      <c r="H159" s="329"/>
      <c r="I159" s="329"/>
      <c r="J159" s="329"/>
      <c r="K159" s="329"/>
      <c r="L159" s="329"/>
    </row>
    <row r="160" spans="1:12">
      <c r="A160" s="339">
        <f>+A151+1</f>
        <v>18</v>
      </c>
      <c r="B160" s="252" t="str">
        <f ca="1">OFFSET(List_DAOpexStart,A160,0)</f>
        <v>DA-18</v>
      </c>
      <c r="C160" s="340" t="str">
        <f ca="1">VLOOKUP(B160,List_DirectlyAttributedServices,2,FALSE)</f>
        <v>Demand Management</v>
      </c>
      <c r="D160" s="329"/>
      <c r="E160" s="329"/>
      <c r="F160" s="329"/>
      <c r="G160" s="329"/>
      <c r="H160" s="329"/>
      <c r="I160" s="329"/>
      <c r="J160" s="329"/>
      <c r="K160" s="329"/>
      <c r="L160" s="329"/>
    </row>
    <row r="161" spans="1:12">
      <c r="A161" s="3"/>
      <c r="B161" s="252"/>
      <c r="C161" s="341" t="s">
        <v>68</v>
      </c>
      <c r="D161" s="333"/>
      <c r="E161" s="334"/>
      <c r="F161" s="334"/>
      <c r="G161" s="334"/>
      <c r="H161" s="334"/>
      <c r="I161" s="334"/>
      <c r="J161" s="334"/>
      <c r="K161" s="334"/>
      <c r="L161" s="333"/>
    </row>
    <row r="162" spans="1:12">
      <c r="A162" s="3"/>
      <c r="B162" s="252"/>
      <c r="C162" s="341" t="s">
        <v>69</v>
      </c>
      <c r="D162" s="333"/>
      <c r="E162" s="334"/>
      <c r="F162" s="334"/>
      <c r="G162" s="334"/>
      <c r="H162" s="334"/>
      <c r="I162" s="334"/>
      <c r="J162" s="334"/>
      <c r="K162" s="334"/>
      <c r="L162" s="333"/>
    </row>
    <row r="163" spans="1:12" s="759" customFormat="1">
      <c r="A163" s="544"/>
      <c r="B163" s="252"/>
      <c r="C163" s="341" t="s">
        <v>646</v>
      </c>
      <c r="D163" s="333"/>
      <c r="E163" s="334"/>
      <c r="F163" s="334"/>
      <c r="G163" s="334"/>
      <c r="H163" s="334"/>
      <c r="I163" s="334"/>
      <c r="J163" s="334"/>
      <c r="K163" s="334"/>
      <c r="L163" s="333"/>
    </row>
    <row r="164" spans="1:12">
      <c r="A164" s="3"/>
      <c r="B164" s="252"/>
      <c r="C164" s="341" t="s">
        <v>647</v>
      </c>
      <c r="D164" s="333"/>
      <c r="E164" s="334"/>
      <c r="F164" s="334"/>
      <c r="G164" s="334"/>
      <c r="H164" s="334"/>
      <c r="I164" s="334"/>
      <c r="J164" s="334"/>
      <c r="K164" s="334"/>
      <c r="L164" s="450"/>
    </row>
    <row r="165" spans="1:12" s="759" customFormat="1">
      <c r="A165" s="544"/>
      <c r="B165" s="252"/>
      <c r="C165" s="341" t="s">
        <v>575</v>
      </c>
      <c r="D165" s="333"/>
      <c r="E165" s="334"/>
      <c r="F165" s="334"/>
      <c r="G165" s="334"/>
      <c r="H165" s="334"/>
      <c r="I165" s="334"/>
      <c r="J165" s="334"/>
      <c r="K165" s="334"/>
      <c r="L165" s="450"/>
    </row>
    <row r="166" spans="1:12">
      <c r="A166" s="3"/>
      <c r="B166" s="252"/>
      <c r="C166" s="341" t="s">
        <v>70</v>
      </c>
      <c r="D166" s="333"/>
      <c r="E166" s="334"/>
      <c r="F166" s="334"/>
      <c r="G166" s="334"/>
      <c r="H166" s="334"/>
      <c r="I166" s="334"/>
      <c r="J166" s="334"/>
      <c r="K166" s="334"/>
      <c r="L166" s="333"/>
    </row>
    <row r="167" spans="1:12">
      <c r="A167" s="3"/>
      <c r="B167" s="252"/>
      <c r="C167" s="342" t="s">
        <v>75</v>
      </c>
      <c r="D167" s="357">
        <f t="shared" ref="D167:K167" si="17">SUBTOTAL(9,D161:D166)</f>
        <v>0</v>
      </c>
      <c r="E167" s="357">
        <f t="shared" si="17"/>
        <v>0</v>
      </c>
      <c r="F167" s="357">
        <f t="shared" si="17"/>
        <v>0</v>
      </c>
      <c r="G167" s="357">
        <f t="shared" si="17"/>
        <v>0</v>
      </c>
      <c r="H167" s="357">
        <f t="shared" si="17"/>
        <v>0</v>
      </c>
      <c r="I167" s="357">
        <f t="shared" si="17"/>
        <v>0</v>
      </c>
      <c r="J167" s="357">
        <f t="shared" si="17"/>
        <v>0</v>
      </c>
      <c r="K167" s="357">
        <f t="shared" si="17"/>
        <v>0</v>
      </c>
      <c r="L167" s="357">
        <f>SUBTOTAL(9,L161:L166)</f>
        <v>0</v>
      </c>
    </row>
    <row r="168" spans="1:12">
      <c r="A168" s="3"/>
      <c r="B168" s="252"/>
      <c r="C168" s="342"/>
      <c r="D168" s="329"/>
      <c r="E168" s="329"/>
      <c r="F168" s="329"/>
      <c r="G168" s="329"/>
      <c r="H168" s="329"/>
      <c r="I168" s="329"/>
      <c r="J168" s="329"/>
      <c r="K168" s="329"/>
      <c r="L168" s="329"/>
    </row>
    <row r="169" spans="1:12">
      <c r="A169" s="339">
        <f>+A160+1</f>
        <v>19</v>
      </c>
      <c r="B169" s="252" t="str">
        <f ca="1">OFFSET(List_DAOpexStart,A169,0)</f>
        <v>DA-19</v>
      </c>
      <c r="C169" s="340" t="str">
        <f ca="1">VLOOKUP(B169,List_DirectlyAttributedServices,2,FALSE)</f>
        <v>Demand Management Innovation Fund</v>
      </c>
      <c r="D169" s="329"/>
      <c r="E169" s="329"/>
      <c r="F169" s="329"/>
      <c r="G169" s="329"/>
      <c r="H169" s="329"/>
      <c r="I169" s="329"/>
      <c r="J169" s="329"/>
      <c r="K169" s="329"/>
      <c r="L169" s="329"/>
    </row>
    <row r="170" spans="1:12">
      <c r="A170" s="339"/>
      <c r="B170" s="252"/>
      <c r="C170" s="341" t="s">
        <v>68</v>
      </c>
      <c r="D170" s="333"/>
      <c r="E170" s="334"/>
      <c r="F170" s="334"/>
      <c r="G170" s="334"/>
      <c r="H170" s="334"/>
      <c r="I170" s="334"/>
      <c r="J170" s="334"/>
      <c r="K170" s="334"/>
      <c r="L170" s="333"/>
    </row>
    <row r="171" spans="1:12">
      <c r="A171" s="339"/>
      <c r="B171" s="252"/>
      <c r="C171" s="341" t="s">
        <v>69</v>
      </c>
      <c r="D171" s="333"/>
      <c r="E171" s="334"/>
      <c r="F171" s="334"/>
      <c r="G171" s="334"/>
      <c r="H171" s="334"/>
      <c r="I171" s="334"/>
      <c r="J171" s="334"/>
      <c r="K171" s="334"/>
      <c r="L171" s="333"/>
    </row>
    <row r="172" spans="1:12" s="759" customFormat="1">
      <c r="A172" s="339"/>
      <c r="B172" s="252"/>
      <c r="C172" s="341" t="s">
        <v>646</v>
      </c>
      <c r="D172" s="333"/>
      <c r="E172" s="334"/>
      <c r="F172" s="334"/>
      <c r="G172" s="334"/>
      <c r="H172" s="334"/>
      <c r="I172" s="334"/>
      <c r="J172" s="334"/>
      <c r="K172" s="334"/>
      <c r="L172" s="333"/>
    </row>
    <row r="173" spans="1:12">
      <c r="A173" s="339"/>
      <c r="B173" s="252"/>
      <c r="C173" s="341" t="s">
        <v>647</v>
      </c>
      <c r="D173" s="333"/>
      <c r="E173" s="334"/>
      <c r="F173" s="334"/>
      <c r="G173" s="334"/>
      <c r="H173" s="334"/>
      <c r="I173" s="334"/>
      <c r="J173" s="334"/>
      <c r="K173" s="334"/>
      <c r="L173" s="450"/>
    </row>
    <row r="174" spans="1:12" s="759" customFormat="1">
      <c r="A174" s="339"/>
      <c r="B174" s="252"/>
      <c r="C174" s="341" t="s">
        <v>575</v>
      </c>
      <c r="D174" s="333"/>
      <c r="E174" s="334"/>
      <c r="F174" s="334"/>
      <c r="G174" s="334"/>
      <c r="H174" s="334"/>
      <c r="I174" s="334"/>
      <c r="J174" s="334"/>
      <c r="K174" s="334"/>
      <c r="L174" s="450"/>
    </row>
    <row r="175" spans="1:12">
      <c r="A175" s="339"/>
      <c r="B175" s="252"/>
      <c r="C175" s="341" t="s">
        <v>70</v>
      </c>
      <c r="D175" s="333"/>
      <c r="E175" s="334"/>
      <c r="F175" s="334"/>
      <c r="G175" s="334"/>
      <c r="H175" s="334"/>
      <c r="I175" s="334"/>
      <c r="J175" s="334"/>
      <c r="K175" s="334"/>
      <c r="L175" s="333"/>
    </row>
    <row r="176" spans="1:12">
      <c r="A176" s="339"/>
      <c r="B176" s="252"/>
      <c r="C176" s="342" t="s">
        <v>75</v>
      </c>
      <c r="D176" s="357">
        <f t="shared" ref="D176:K176" si="18">SUBTOTAL(9,D170:D175)</f>
        <v>0</v>
      </c>
      <c r="E176" s="357">
        <f t="shared" si="18"/>
        <v>0</v>
      </c>
      <c r="F176" s="357">
        <f t="shared" si="18"/>
        <v>0</v>
      </c>
      <c r="G176" s="357">
        <f t="shared" si="18"/>
        <v>0</v>
      </c>
      <c r="H176" s="357">
        <f t="shared" si="18"/>
        <v>0</v>
      </c>
      <c r="I176" s="357">
        <f t="shared" si="18"/>
        <v>0</v>
      </c>
      <c r="J176" s="357">
        <f t="shared" si="18"/>
        <v>0</v>
      </c>
      <c r="K176" s="357">
        <f t="shared" si="18"/>
        <v>0</v>
      </c>
      <c r="L176" s="357">
        <f>SUBTOTAL(9,L170:L175)</f>
        <v>0</v>
      </c>
    </row>
    <row r="177" spans="1:12">
      <c r="A177" s="339"/>
      <c r="B177" s="252"/>
      <c r="C177" s="342"/>
      <c r="D177" s="329"/>
      <c r="E177" s="329"/>
      <c r="F177" s="329"/>
      <c r="G177" s="329"/>
      <c r="H177" s="329"/>
      <c r="I177" s="329"/>
      <c r="J177" s="329"/>
      <c r="K177" s="329"/>
      <c r="L177" s="329"/>
    </row>
    <row r="178" spans="1:12">
      <c r="A178" s="339">
        <f>+A169+1</f>
        <v>20</v>
      </c>
      <c r="B178" s="252" t="str">
        <f ca="1">OFFSET(List_DAOpexStart,A178,0)</f>
        <v>DA-20</v>
      </c>
      <c r="C178" s="340" t="str">
        <f ca="1">VLOOKUP(B178,List_DirectlyAttributedServices,2,FALSE)</f>
        <v>Guaranteed Service Level Payments</v>
      </c>
      <c r="D178" s="329"/>
      <c r="E178" s="329"/>
      <c r="F178" s="329"/>
      <c r="G178" s="329"/>
      <c r="H178" s="329"/>
      <c r="I178" s="329"/>
      <c r="J178" s="329"/>
      <c r="K178" s="329"/>
      <c r="L178" s="329"/>
    </row>
    <row r="179" spans="1:12">
      <c r="A179" s="339"/>
      <c r="B179" s="252"/>
      <c r="C179" s="341" t="s">
        <v>68</v>
      </c>
      <c r="D179" s="333"/>
      <c r="E179" s="334"/>
      <c r="F179" s="334"/>
      <c r="G179" s="334"/>
      <c r="H179" s="334"/>
      <c r="I179" s="334"/>
      <c r="J179" s="334"/>
      <c r="K179" s="334"/>
      <c r="L179" s="333"/>
    </row>
    <row r="180" spans="1:12">
      <c r="A180" s="339"/>
      <c r="B180" s="252"/>
      <c r="C180" s="341" t="s">
        <v>69</v>
      </c>
      <c r="D180" s="333"/>
      <c r="E180" s="334"/>
      <c r="F180" s="334"/>
      <c r="G180" s="334"/>
      <c r="H180" s="334"/>
      <c r="I180" s="334"/>
      <c r="J180" s="334"/>
      <c r="K180" s="334"/>
      <c r="L180" s="333"/>
    </row>
    <row r="181" spans="1:12" s="759" customFormat="1">
      <c r="A181" s="339"/>
      <c r="B181" s="252"/>
      <c r="C181" s="341" t="s">
        <v>646</v>
      </c>
      <c r="D181" s="333"/>
      <c r="E181" s="334"/>
      <c r="F181" s="334"/>
      <c r="G181" s="334"/>
      <c r="H181" s="334"/>
      <c r="I181" s="334"/>
      <c r="J181" s="334"/>
      <c r="K181" s="334"/>
      <c r="L181" s="333"/>
    </row>
    <row r="182" spans="1:12">
      <c r="A182" s="339"/>
      <c r="B182" s="252"/>
      <c r="C182" s="341" t="s">
        <v>647</v>
      </c>
      <c r="D182" s="333"/>
      <c r="E182" s="334"/>
      <c r="F182" s="334"/>
      <c r="G182" s="334"/>
      <c r="H182" s="334"/>
      <c r="I182" s="334"/>
      <c r="J182" s="334"/>
      <c r="K182" s="334"/>
      <c r="L182" s="450"/>
    </row>
    <row r="183" spans="1:12" s="759" customFormat="1">
      <c r="A183" s="339"/>
      <c r="B183" s="252"/>
      <c r="C183" s="341" t="s">
        <v>575</v>
      </c>
      <c r="D183" s="333"/>
      <c r="E183" s="334"/>
      <c r="F183" s="334"/>
      <c r="G183" s="334"/>
      <c r="H183" s="334"/>
      <c r="I183" s="334"/>
      <c r="J183" s="334"/>
      <c r="K183" s="334"/>
      <c r="L183" s="450"/>
    </row>
    <row r="184" spans="1:12">
      <c r="A184" s="339"/>
      <c r="B184" s="252"/>
      <c r="C184" s="341" t="s">
        <v>70</v>
      </c>
      <c r="D184" s="333"/>
      <c r="E184" s="334"/>
      <c r="F184" s="334"/>
      <c r="G184" s="334"/>
      <c r="H184" s="334"/>
      <c r="I184" s="334"/>
      <c r="J184" s="334"/>
      <c r="K184" s="334"/>
      <c r="L184" s="333"/>
    </row>
    <row r="185" spans="1:12">
      <c r="A185" s="339"/>
      <c r="B185" s="252"/>
      <c r="C185" s="342" t="s">
        <v>75</v>
      </c>
      <c r="D185" s="357">
        <f t="shared" ref="D185:K185" si="19">SUBTOTAL(9,D179:D184)</f>
        <v>0</v>
      </c>
      <c r="E185" s="357">
        <f t="shared" si="19"/>
        <v>0</v>
      </c>
      <c r="F185" s="357">
        <f t="shared" si="19"/>
        <v>0</v>
      </c>
      <c r="G185" s="357">
        <f t="shared" si="19"/>
        <v>0</v>
      </c>
      <c r="H185" s="357">
        <f t="shared" si="19"/>
        <v>0</v>
      </c>
      <c r="I185" s="357">
        <f t="shared" si="19"/>
        <v>0</v>
      </c>
      <c r="J185" s="357">
        <f t="shared" si="19"/>
        <v>0</v>
      </c>
      <c r="K185" s="357">
        <f t="shared" si="19"/>
        <v>0</v>
      </c>
      <c r="L185" s="357">
        <f>SUBTOTAL(9,L179:L184)</f>
        <v>0</v>
      </c>
    </row>
    <row r="186" spans="1:12">
      <c r="A186" s="339"/>
      <c r="B186" s="252"/>
      <c r="C186" s="342"/>
      <c r="D186" s="329"/>
      <c r="E186" s="329"/>
      <c r="F186" s="329"/>
      <c r="G186" s="329"/>
      <c r="H186" s="329"/>
      <c r="I186" s="329"/>
      <c r="J186" s="329"/>
      <c r="K186" s="329"/>
      <c r="L186" s="329"/>
    </row>
    <row r="187" spans="1:12">
      <c r="A187" s="339">
        <f>+A178+1</f>
        <v>21</v>
      </c>
      <c r="B187" s="252" t="str">
        <f ca="1">OFFSET(List_DAOpexStart,A187,0)</f>
        <v>DA-21</v>
      </c>
      <c r="C187" s="340" t="str">
        <f ca="1">VLOOKUP(B187,List_DirectlyAttributedServices,2,FALSE)</f>
        <v>Property – Substation Sites</v>
      </c>
      <c r="D187" s="329"/>
      <c r="E187" s="329"/>
      <c r="F187" s="329"/>
      <c r="G187" s="329"/>
      <c r="H187" s="329"/>
      <c r="I187" s="329"/>
      <c r="J187" s="329"/>
      <c r="K187" s="329"/>
      <c r="L187" s="329"/>
    </row>
    <row r="188" spans="1:12">
      <c r="A188" s="339"/>
      <c r="B188" s="252"/>
      <c r="C188" s="341" t="s">
        <v>68</v>
      </c>
      <c r="D188" s="333"/>
      <c r="E188" s="334"/>
      <c r="F188" s="334"/>
      <c r="G188" s="334"/>
      <c r="H188" s="334"/>
      <c r="I188" s="334"/>
      <c r="J188" s="334"/>
      <c r="K188" s="334"/>
      <c r="L188" s="333"/>
    </row>
    <row r="189" spans="1:12" s="759" customFormat="1">
      <c r="A189" s="339"/>
      <c r="B189" s="252"/>
      <c r="C189" s="341" t="s">
        <v>69</v>
      </c>
      <c r="D189" s="333"/>
      <c r="E189" s="334"/>
      <c r="F189" s="334"/>
      <c r="G189" s="334"/>
      <c r="H189" s="334"/>
      <c r="I189" s="334"/>
      <c r="J189" s="334"/>
      <c r="K189" s="334"/>
      <c r="L189" s="333"/>
    </row>
    <row r="190" spans="1:12">
      <c r="A190" s="339"/>
      <c r="B190" s="252"/>
      <c r="C190" s="341" t="s">
        <v>646</v>
      </c>
      <c r="D190" s="333"/>
      <c r="E190" s="334"/>
      <c r="F190" s="334"/>
      <c r="G190" s="334"/>
      <c r="H190" s="334"/>
      <c r="I190" s="334"/>
      <c r="J190" s="334"/>
      <c r="K190" s="334"/>
      <c r="L190" s="333"/>
    </row>
    <row r="191" spans="1:12" s="759" customFormat="1">
      <c r="A191" s="339"/>
      <c r="B191" s="252"/>
      <c r="C191" s="341" t="s">
        <v>647</v>
      </c>
      <c r="D191" s="333"/>
      <c r="E191" s="334"/>
      <c r="F191" s="334"/>
      <c r="G191" s="334"/>
      <c r="H191" s="334"/>
      <c r="I191" s="334"/>
      <c r="J191" s="334"/>
      <c r="K191" s="334"/>
      <c r="L191" s="333"/>
    </row>
    <row r="192" spans="1:12">
      <c r="A192" s="339"/>
      <c r="B192" s="252"/>
      <c r="C192" s="341" t="s">
        <v>575</v>
      </c>
      <c r="D192" s="333"/>
      <c r="E192" s="334"/>
      <c r="F192" s="334"/>
      <c r="G192" s="334"/>
      <c r="H192" s="334"/>
      <c r="I192" s="334"/>
      <c r="J192" s="334"/>
      <c r="K192" s="334"/>
      <c r="L192" s="450"/>
    </row>
    <row r="193" spans="1:12">
      <c r="A193" s="339"/>
      <c r="B193" s="252"/>
      <c r="C193" s="341" t="s">
        <v>70</v>
      </c>
      <c r="D193" s="333"/>
      <c r="E193" s="334"/>
      <c r="F193" s="334"/>
      <c r="G193" s="334"/>
      <c r="H193" s="334"/>
      <c r="I193" s="334"/>
      <c r="J193" s="334"/>
      <c r="K193" s="334"/>
      <c r="L193" s="333"/>
    </row>
    <row r="194" spans="1:12">
      <c r="A194" s="339"/>
      <c r="B194" s="252"/>
      <c r="C194" s="342" t="s">
        <v>75</v>
      </c>
      <c r="D194" s="357">
        <f t="shared" ref="D194:K194" si="20">SUBTOTAL(9,D188:D193)</f>
        <v>0</v>
      </c>
      <c r="E194" s="357">
        <f t="shared" si="20"/>
        <v>0</v>
      </c>
      <c r="F194" s="357">
        <f t="shared" si="20"/>
        <v>0</v>
      </c>
      <c r="G194" s="357">
        <f t="shared" si="20"/>
        <v>0</v>
      </c>
      <c r="H194" s="357">
        <f t="shared" si="20"/>
        <v>0</v>
      </c>
      <c r="I194" s="357">
        <f t="shared" si="20"/>
        <v>0</v>
      </c>
      <c r="J194" s="357">
        <f t="shared" si="20"/>
        <v>0</v>
      </c>
      <c r="K194" s="357">
        <f t="shared" si="20"/>
        <v>0</v>
      </c>
      <c r="L194" s="357">
        <f>SUBTOTAL(9,L188:L193)</f>
        <v>0</v>
      </c>
    </row>
    <row r="195" spans="1:12">
      <c r="A195" s="339"/>
      <c r="B195" s="252"/>
      <c r="C195" s="342"/>
      <c r="D195" s="329"/>
      <c r="E195" s="329"/>
      <c r="F195" s="329"/>
      <c r="G195" s="329"/>
      <c r="H195" s="329"/>
      <c r="I195" s="329"/>
      <c r="J195" s="329"/>
      <c r="K195" s="329"/>
      <c r="L195" s="329"/>
    </row>
    <row r="196" spans="1:12">
      <c r="A196" s="339">
        <f>+A187+1</f>
        <v>22</v>
      </c>
      <c r="B196" s="252" t="str">
        <f ca="1">OFFSET(List_DAOpexStart,A196,0)</f>
        <v>DA-22</v>
      </c>
      <c r="C196" s="340" t="str">
        <f ca="1">VLOOKUP(B196,List_DirectlyAttributedServices,2,FALSE)</f>
        <v>Network Insurance</v>
      </c>
      <c r="D196" s="329"/>
      <c r="E196" s="329"/>
      <c r="F196" s="329"/>
      <c r="G196" s="329"/>
      <c r="H196" s="329"/>
      <c r="I196" s="329"/>
      <c r="J196" s="329"/>
      <c r="K196" s="329"/>
      <c r="L196" s="329"/>
    </row>
    <row r="197" spans="1:12">
      <c r="A197" s="339"/>
      <c r="B197" s="252"/>
      <c r="C197" s="341" t="s">
        <v>68</v>
      </c>
      <c r="D197" s="333"/>
      <c r="E197" s="334"/>
      <c r="F197" s="334"/>
      <c r="G197" s="334"/>
      <c r="H197" s="334"/>
      <c r="I197" s="334"/>
      <c r="J197" s="334"/>
      <c r="K197" s="334"/>
      <c r="L197" s="333"/>
    </row>
    <row r="198" spans="1:12">
      <c r="A198" s="339"/>
      <c r="B198" s="252"/>
      <c r="C198" s="341" t="s">
        <v>69</v>
      </c>
      <c r="D198" s="333"/>
      <c r="E198" s="334"/>
      <c r="F198" s="334"/>
      <c r="G198" s="334"/>
      <c r="H198" s="334"/>
      <c r="I198" s="334"/>
      <c r="J198" s="334"/>
      <c r="K198" s="334"/>
      <c r="L198" s="333"/>
    </row>
    <row r="199" spans="1:12" s="759" customFormat="1">
      <c r="A199" s="339"/>
      <c r="B199" s="252"/>
      <c r="C199" s="341" t="s">
        <v>646</v>
      </c>
      <c r="D199" s="333"/>
      <c r="E199" s="334"/>
      <c r="F199" s="334"/>
      <c r="G199" s="334"/>
      <c r="H199" s="334"/>
      <c r="I199" s="334"/>
      <c r="J199" s="334"/>
      <c r="K199" s="334"/>
      <c r="L199" s="333"/>
    </row>
    <row r="200" spans="1:12">
      <c r="A200" s="339"/>
      <c r="B200" s="252"/>
      <c r="C200" s="341" t="s">
        <v>647</v>
      </c>
      <c r="D200" s="333"/>
      <c r="E200" s="334"/>
      <c r="F200" s="334"/>
      <c r="G200" s="334"/>
      <c r="H200" s="334"/>
      <c r="I200" s="334"/>
      <c r="J200" s="334"/>
      <c r="K200" s="334"/>
      <c r="L200" s="450"/>
    </row>
    <row r="201" spans="1:12" s="759" customFormat="1">
      <c r="A201" s="339"/>
      <c r="B201" s="252"/>
      <c r="C201" s="341" t="s">
        <v>575</v>
      </c>
      <c r="D201" s="333"/>
      <c r="E201" s="334"/>
      <c r="F201" s="334"/>
      <c r="G201" s="334"/>
      <c r="H201" s="334"/>
      <c r="I201" s="334"/>
      <c r="J201" s="334"/>
      <c r="K201" s="334"/>
      <c r="L201" s="450"/>
    </row>
    <row r="202" spans="1:12">
      <c r="A202" s="339"/>
      <c r="B202" s="252"/>
      <c r="C202" s="341" t="s">
        <v>70</v>
      </c>
      <c r="D202" s="333"/>
      <c r="E202" s="334"/>
      <c r="F202" s="334"/>
      <c r="G202" s="334"/>
      <c r="H202" s="334"/>
      <c r="I202" s="334"/>
      <c r="J202" s="334"/>
      <c r="K202" s="334"/>
      <c r="L202" s="333"/>
    </row>
    <row r="203" spans="1:12">
      <c r="A203" s="339"/>
      <c r="B203" s="252"/>
      <c r="C203" s="342" t="s">
        <v>75</v>
      </c>
      <c r="D203" s="357">
        <f t="shared" ref="D203:K203" si="21">SUBTOTAL(9,D197:D202)</f>
        <v>0</v>
      </c>
      <c r="E203" s="357">
        <f t="shared" si="21"/>
        <v>0</v>
      </c>
      <c r="F203" s="357">
        <f t="shared" si="21"/>
        <v>0</v>
      </c>
      <c r="G203" s="357">
        <f t="shared" si="21"/>
        <v>0</v>
      </c>
      <c r="H203" s="357">
        <f t="shared" si="21"/>
        <v>0</v>
      </c>
      <c r="I203" s="357">
        <f t="shared" si="21"/>
        <v>0</v>
      </c>
      <c r="J203" s="357">
        <f t="shared" si="21"/>
        <v>0</v>
      </c>
      <c r="K203" s="357">
        <f t="shared" si="21"/>
        <v>0</v>
      </c>
      <c r="L203" s="357">
        <f>SUBTOTAL(9,L197:L202)</f>
        <v>0</v>
      </c>
    </row>
    <row r="204" spans="1:12">
      <c r="A204" s="339"/>
      <c r="B204" s="252"/>
      <c r="C204" s="342"/>
      <c r="D204" s="329"/>
      <c r="E204" s="329"/>
      <c r="F204" s="329"/>
      <c r="G204" s="329"/>
      <c r="H204" s="329"/>
      <c r="I204" s="329"/>
      <c r="J204" s="329"/>
      <c r="K204" s="329"/>
      <c r="L204" s="329"/>
    </row>
    <row r="205" spans="1:12">
      <c r="A205" s="339">
        <f>+A196+1</f>
        <v>23</v>
      </c>
      <c r="B205" s="252" t="str">
        <f ca="1">OFFSET(List_DAOpexStart,A205,0)</f>
        <v>DA-23</v>
      </c>
      <c r="C205" s="340" t="str">
        <f ca="1">VLOOKUP(B205,List_DirectlyAttributedServices,2,FALSE)</f>
        <v>Retail Contestability</v>
      </c>
      <c r="D205" s="329"/>
      <c r="E205" s="329"/>
      <c r="F205" s="329"/>
      <c r="G205" s="329"/>
      <c r="H205" s="329"/>
      <c r="I205" s="329"/>
      <c r="J205" s="329"/>
      <c r="K205" s="329"/>
      <c r="L205" s="329"/>
    </row>
    <row r="206" spans="1:12">
      <c r="A206" s="3"/>
      <c r="B206" s="252"/>
      <c r="C206" s="341" t="s">
        <v>68</v>
      </c>
      <c r="D206" s="333"/>
      <c r="E206" s="334"/>
      <c r="F206" s="334"/>
      <c r="G206" s="334"/>
      <c r="H206" s="334"/>
      <c r="I206" s="334"/>
      <c r="J206" s="334"/>
      <c r="K206" s="334"/>
      <c r="L206" s="333"/>
    </row>
    <row r="207" spans="1:12">
      <c r="A207" s="3"/>
      <c r="B207" s="252"/>
      <c r="C207" s="341" t="s">
        <v>69</v>
      </c>
      <c r="D207" s="333"/>
      <c r="E207" s="334"/>
      <c r="F207" s="334"/>
      <c r="G207" s="334"/>
      <c r="H207" s="334"/>
      <c r="I207" s="334"/>
      <c r="J207" s="334"/>
      <c r="K207" s="334"/>
      <c r="L207" s="333"/>
    </row>
    <row r="208" spans="1:12" s="759" customFormat="1">
      <c r="A208" s="544"/>
      <c r="B208" s="252"/>
      <c r="C208" s="341" t="s">
        <v>646</v>
      </c>
      <c r="D208" s="333"/>
      <c r="E208" s="334"/>
      <c r="F208" s="334"/>
      <c r="G208" s="334"/>
      <c r="H208" s="334"/>
      <c r="I208" s="334"/>
      <c r="J208" s="334"/>
      <c r="K208" s="334"/>
      <c r="L208" s="333"/>
    </row>
    <row r="209" spans="1:13">
      <c r="A209" s="3"/>
      <c r="B209" s="252"/>
      <c r="C209" s="341" t="s">
        <v>647</v>
      </c>
      <c r="D209" s="333"/>
      <c r="E209" s="334"/>
      <c r="F209" s="334"/>
      <c r="G209" s="334"/>
      <c r="H209" s="334"/>
      <c r="I209" s="334"/>
      <c r="J209" s="334"/>
      <c r="K209" s="334"/>
      <c r="L209" s="450"/>
    </row>
    <row r="210" spans="1:13" s="759" customFormat="1">
      <c r="A210" s="544"/>
      <c r="B210" s="252"/>
      <c r="C210" s="341" t="s">
        <v>575</v>
      </c>
      <c r="D210" s="333"/>
      <c r="E210" s="334"/>
      <c r="F210" s="334"/>
      <c r="G210" s="334"/>
      <c r="H210" s="334"/>
      <c r="I210" s="334"/>
      <c r="J210" s="334"/>
      <c r="K210" s="334"/>
      <c r="L210" s="450"/>
    </row>
    <row r="211" spans="1:13">
      <c r="A211" s="3"/>
      <c r="B211" s="252"/>
      <c r="C211" s="341" t="s">
        <v>70</v>
      </c>
      <c r="D211" s="333"/>
      <c r="E211" s="334"/>
      <c r="F211" s="334"/>
      <c r="G211" s="334"/>
      <c r="H211" s="334"/>
      <c r="I211" s="334"/>
      <c r="J211" s="334"/>
      <c r="K211" s="334"/>
      <c r="L211" s="333"/>
    </row>
    <row r="212" spans="1:13">
      <c r="A212" s="3"/>
      <c r="B212" s="252"/>
      <c r="C212" s="342" t="s">
        <v>75</v>
      </c>
      <c r="D212" s="357">
        <f t="shared" ref="D212:K212" si="22">SUBTOTAL(9,D206:D211)</f>
        <v>0</v>
      </c>
      <c r="E212" s="357">
        <f t="shared" si="22"/>
        <v>0</v>
      </c>
      <c r="F212" s="357">
        <f t="shared" si="22"/>
        <v>0</v>
      </c>
      <c r="G212" s="357">
        <f t="shared" si="22"/>
        <v>0</v>
      </c>
      <c r="H212" s="357">
        <f t="shared" si="22"/>
        <v>0</v>
      </c>
      <c r="I212" s="357">
        <f t="shared" si="22"/>
        <v>0</v>
      </c>
      <c r="J212" s="357">
        <f t="shared" si="22"/>
        <v>0</v>
      </c>
      <c r="K212" s="357">
        <f t="shared" si="22"/>
        <v>0</v>
      </c>
      <c r="L212" s="357">
        <f>SUBTOTAL(9,L206:L211)</f>
        <v>0</v>
      </c>
    </row>
    <row r="213" spans="1:13" ht="18">
      <c r="A213" s="3"/>
      <c r="B213" s="252"/>
      <c r="C213" s="297" t="s">
        <v>70</v>
      </c>
      <c r="D213" s="329"/>
      <c r="E213" s="329"/>
      <c r="F213" s="329"/>
      <c r="G213" s="329"/>
      <c r="H213" s="329"/>
      <c r="I213" s="329"/>
      <c r="J213" s="329"/>
      <c r="K213" s="329"/>
      <c r="L213" s="329"/>
    </row>
    <row r="214" spans="1:13">
      <c r="A214" s="339">
        <f>+A205+1</f>
        <v>24</v>
      </c>
      <c r="B214" s="252" t="str">
        <f ca="1">OFFSET(List_DAOpexStart,A214,0)</f>
        <v>DA-24</v>
      </c>
      <c r="C214" s="340" t="str">
        <f ca="1">VLOOKUP(B214,List_DirectlyAttributedServices,2,FALSE)</f>
        <v>Non Network Solutions</v>
      </c>
      <c r="D214" s="329"/>
      <c r="E214" s="329"/>
      <c r="F214" s="329"/>
      <c r="G214" s="329"/>
      <c r="H214" s="329"/>
      <c r="I214" s="329"/>
      <c r="J214" s="329"/>
      <c r="K214" s="329"/>
      <c r="L214" s="329"/>
    </row>
    <row r="215" spans="1:13">
      <c r="A215" s="3"/>
      <c r="B215" s="252"/>
      <c r="C215" s="341" t="s">
        <v>68</v>
      </c>
      <c r="D215" s="333"/>
      <c r="E215" s="334"/>
      <c r="F215" s="334"/>
      <c r="G215" s="334"/>
      <c r="H215" s="334"/>
      <c r="I215" s="334"/>
      <c r="J215" s="334"/>
      <c r="K215" s="334"/>
      <c r="L215" s="333"/>
    </row>
    <row r="216" spans="1:13">
      <c r="A216" s="3"/>
      <c r="B216" s="252"/>
      <c r="C216" s="341" t="s">
        <v>69</v>
      </c>
      <c r="D216" s="333"/>
      <c r="E216" s="334"/>
      <c r="F216" s="334"/>
      <c r="G216" s="334"/>
      <c r="H216" s="334"/>
      <c r="I216" s="334"/>
      <c r="J216" s="334"/>
      <c r="K216" s="334"/>
      <c r="L216" s="333"/>
    </row>
    <row r="217" spans="1:13" s="759" customFormat="1">
      <c r="A217" s="544"/>
      <c r="B217" s="252"/>
      <c r="C217" s="341" t="s">
        <v>646</v>
      </c>
      <c r="D217" s="333"/>
      <c r="E217" s="334"/>
      <c r="F217" s="334"/>
      <c r="G217" s="334"/>
      <c r="H217" s="334"/>
      <c r="I217" s="334"/>
      <c r="J217" s="334"/>
      <c r="K217" s="334"/>
      <c r="L217" s="333"/>
    </row>
    <row r="218" spans="1:13">
      <c r="A218" s="3"/>
      <c r="B218" s="252"/>
      <c r="C218" s="341" t="s">
        <v>647</v>
      </c>
      <c r="D218" s="333"/>
      <c r="E218" s="334"/>
      <c r="F218" s="334"/>
      <c r="G218" s="334"/>
      <c r="H218" s="334"/>
      <c r="I218" s="334"/>
      <c r="J218" s="334"/>
      <c r="K218" s="334"/>
      <c r="L218" s="450"/>
    </row>
    <row r="219" spans="1:13" s="759" customFormat="1">
      <c r="A219" s="544"/>
      <c r="B219" s="252"/>
      <c r="C219" s="341" t="s">
        <v>575</v>
      </c>
      <c r="D219" s="333"/>
      <c r="E219" s="334"/>
      <c r="F219" s="334"/>
      <c r="G219" s="334"/>
      <c r="H219" s="334"/>
      <c r="I219" s="334"/>
      <c r="J219" s="334"/>
      <c r="K219" s="334"/>
      <c r="L219" s="450"/>
    </row>
    <row r="220" spans="1:13">
      <c r="A220" s="3"/>
      <c r="B220" s="252"/>
      <c r="C220" s="341" t="s">
        <v>70</v>
      </c>
      <c r="D220" s="333"/>
      <c r="E220" s="334"/>
      <c r="F220" s="334"/>
      <c r="G220" s="334"/>
      <c r="H220" s="334"/>
      <c r="I220" s="334"/>
      <c r="J220" s="334"/>
      <c r="K220" s="334"/>
      <c r="L220" s="333"/>
    </row>
    <row r="221" spans="1:13">
      <c r="A221" s="3"/>
      <c r="B221" s="252"/>
      <c r="C221" s="342" t="s">
        <v>75</v>
      </c>
      <c r="D221" s="357">
        <f t="shared" ref="D221:K221" si="23">SUBTOTAL(9,D215:D220)</f>
        <v>0</v>
      </c>
      <c r="E221" s="357">
        <f t="shared" si="23"/>
        <v>0</v>
      </c>
      <c r="F221" s="357">
        <f t="shared" si="23"/>
        <v>0</v>
      </c>
      <c r="G221" s="357">
        <f t="shared" si="23"/>
        <v>0</v>
      </c>
      <c r="H221" s="357">
        <f t="shared" si="23"/>
        <v>0</v>
      </c>
      <c r="I221" s="357">
        <f t="shared" si="23"/>
        <v>0</v>
      </c>
      <c r="J221" s="357">
        <f t="shared" si="23"/>
        <v>0</v>
      </c>
      <c r="K221" s="357">
        <f t="shared" si="23"/>
        <v>0</v>
      </c>
      <c r="L221" s="357">
        <f>SUBTOTAL(9,L215:L220)</f>
        <v>0</v>
      </c>
    </row>
    <row r="222" spans="1:13">
      <c r="A222" s="3"/>
      <c r="B222" s="252"/>
      <c r="C222" s="341"/>
      <c r="D222" s="327"/>
      <c r="E222" s="327"/>
      <c r="F222" s="327"/>
      <c r="G222" s="327"/>
      <c r="H222" s="327"/>
      <c r="I222" s="327"/>
      <c r="J222" s="327"/>
      <c r="K222" s="327"/>
      <c r="L222" s="327"/>
    </row>
    <row r="223" spans="1:13" ht="26.25" thickBot="1">
      <c r="A223" s="3"/>
      <c r="B223" s="344"/>
      <c r="C223" s="440" t="s">
        <v>271</v>
      </c>
      <c r="D223" s="358">
        <f t="shared" ref="D223:K223" si="24">SUBTOTAL(9,D97:D222)</f>
        <v>0</v>
      </c>
      <c r="E223" s="358">
        <f t="shared" si="24"/>
        <v>0</v>
      </c>
      <c r="F223" s="358">
        <f t="shared" si="24"/>
        <v>0</v>
      </c>
      <c r="G223" s="358">
        <f t="shared" si="24"/>
        <v>0</v>
      </c>
      <c r="H223" s="358">
        <f t="shared" si="24"/>
        <v>0</v>
      </c>
      <c r="I223" s="358">
        <f t="shared" si="24"/>
        <v>0</v>
      </c>
      <c r="J223" s="358">
        <f t="shared" si="24"/>
        <v>0</v>
      </c>
      <c r="K223" s="358">
        <f t="shared" si="24"/>
        <v>0</v>
      </c>
      <c r="L223" s="358">
        <f>SUBTOTAL(9,L97:L222)</f>
        <v>0</v>
      </c>
      <c r="M223" s="268"/>
    </row>
    <row r="224" spans="1:13" ht="15.75">
      <c r="A224" s="3"/>
      <c r="B224" s="270"/>
      <c r="C224" s="750" t="s">
        <v>272</v>
      </c>
      <c r="D224" s="330">
        <f t="shared" ref="D224:L224" si="25">SUBTOTAL(9,D8:D223)</f>
        <v>0</v>
      </c>
      <c r="E224" s="330">
        <f t="shared" si="25"/>
        <v>0</v>
      </c>
      <c r="F224" s="330">
        <f t="shared" si="25"/>
        <v>0</v>
      </c>
      <c r="G224" s="330">
        <f t="shared" si="25"/>
        <v>0</v>
      </c>
      <c r="H224" s="330">
        <f t="shared" si="25"/>
        <v>0</v>
      </c>
      <c r="I224" s="330">
        <f t="shared" si="25"/>
        <v>0</v>
      </c>
      <c r="J224" s="330">
        <f t="shared" si="25"/>
        <v>0</v>
      </c>
      <c r="K224" s="330">
        <f t="shared" si="25"/>
        <v>0</v>
      </c>
      <c r="L224" s="330">
        <f t="shared" si="25"/>
        <v>0</v>
      </c>
      <c r="M224" s="268"/>
    </row>
    <row r="225" spans="1:13">
      <c r="A225" s="3"/>
      <c r="B225" s="347"/>
      <c r="C225" s="348"/>
      <c r="D225" s="753"/>
      <c r="E225" s="349"/>
      <c r="F225" s="349"/>
      <c r="G225" s="349"/>
      <c r="H225" s="349"/>
      <c r="I225" s="349"/>
      <c r="J225" s="349"/>
      <c r="K225" s="349"/>
      <c r="L225" s="349"/>
      <c r="M225" s="268"/>
    </row>
    <row r="226" spans="1:13" ht="18">
      <c r="A226" s="3"/>
      <c r="B226" s="270"/>
      <c r="C226" s="751" t="s">
        <v>268</v>
      </c>
      <c r="D226" s="331"/>
      <c r="E226" s="331"/>
      <c r="F226" s="331"/>
      <c r="G226" s="331"/>
      <c r="H226" s="331"/>
      <c r="I226" s="331"/>
      <c r="J226" s="331"/>
      <c r="K226" s="331"/>
      <c r="L226" s="331"/>
    </row>
    <row r="227" spans="1:13" ht="18">
      <c r="A227" s="3"/>
      <c r="B227" s="252"/>
      <c r="C227" s="297" t="str">
        <f>+'I-3 Allocated'!A5</f>
        <v>Office of the CEO</v>
      </c>
      <c r="D227" s="329"/>
      <c r="E227" s="329"/>
      <c r="F227" s="329"/>
      <c r="G227" s="329"/>
      <c r="H227" s="329"/>
      <c r="I227" s="329"/>
      <c r="J227" s="329"/>
      <c r="K227" s="329"/>
      <c r="L227" s="329"/>
    </row>
    <row r="228" spans="1:13">
      <c r="A228" s="339">
        <v>1</v>
      </c>
      <c r="B228" s="252" t="str">
        <f ca="1">OFFSET(List_AllocOpexListStart,A228,0)</f>
        <v>A-1</v>
      </c>
      <c r="C228" s="340" t="str">
        <f ca="1">VLOOKUP(B228,List_AllocatedCosts,2,FALSE)</f>
        <v>CEO</v>
      </c>
      <c r="D228" s="329"/>
      <c r="E228" s="329"/>
      <c r="F228" s="329"/>
      <c r="G228" s="329"/>
      <c r="H228" s="329"/>
      <c r="I228" s="329"/>
      <c r="J228" s="329"/>
      <c r="K228" s="329"/>
      <c r="L228" s="329"/>
    </row>
    <row r="229" spans="1:13">
      <c r="A229" s="339"/>
      <c r="B229" s="252"/>
      <c r="C229" s="341" t="s">
        <v>68</v>
      </c>
      <c r="D229" s="328"/>
      <c r="E229" s="328"/>
      <c r="F229" s="328"/>
      <c r="G229" s="328"/>
      <c r="H229" s="328"/>
      <c r="I229" s="328"/>
      <c r="J229" s="334"/>
      <c r="K229" s="334"/>
      <c r="L229" s="328"/>
    </row>
    <row r="230" spans="1:13" s="759" customFormat="1">
      <c r="A230" s="339"/>
      <c r="B230" s="252"/>
      <c r="C230" s="341" t="s">
        <v>69</v>
      </c>
      <c r="D230" s="328"/>
      <c r="E230" s="328"/>
      <c r="F230" s="328"/>
      <c r="G230" s="328"/>
      <c r="H230" s="328"/>
      <c r="I230" s="328"/>
      <c r="J230" s="334"/>
      <c r="K230" s="334"/>
      <c r="L230" s="328"/>
    </row>
    <row r="231" spans="1:13">
      <c r="A231" s="339"/>
      <c r="B231" s="252"/>
      <c r="C231" s="341" t="s">
        <v>646</v>
      </c>
      <c r="D231" s="328"/>
      <c r="E231" s="328"/>
      <c r="F231" s="328"/>
      <c r="G231" s="328"/>
      <c r="H231" s="328"/>
      <c r="I231" s="328"/>
      <c r="J231" s="334"/>
      <c r="K231" s="334"/>
      <c r="L231" s="328"/>
    </row>
    <row r="232" spans="1:13" s="759" customFormat="1">
      <c r="A232" s="339"/>
      <c r="B232" s="252"/>
      <c r="C232" s="341" t="s">
        <v>647</v>
      </c>
      <c r="D232" s="328"/>
      <c r="E232" s="328"/>
      <c r="F232" s="328"/>
      <c r="G232" s="328"/>
      <c r="H232" s="328"/>
      <c r="I232" s="328"/>
      <c r="J232" s="334"/>
      <c r="K232" s="334"/>
      <c r="L232" s="328"/>
    </row>
    <row r="233" spans="1:13">
      <c r="A233" s="339"/>
      <c r="B233" s="252"/>
      <c r="C233" s="341" t="s">
        <v>575</v>
      </c>
      <c r="D233" s="328"/>
      <c r="E233" s="328"/>
      <c r="F233" s="328"/>
      <c r="G233" s="328"/>
      <c r="H233" s="328"/>
      <c r="I233" s="328"/>
      <c r="J233" s="334"/>
      <c r="K233" s="334"/>
      <c r="L233" s="328"/>
    </row>
    <row r="234" spans="1:13">
      <c r="A234" s="339"/>
      <c r="B234" s="252"/>
      <c r="C234" s="341" t="s">
        <v>70</v>
      </c>
      <c r="D234" s="328"/>
      <c r="E234" s="328"/>
      <c r="F234" s="328"/>
      <c r="G234" s="328"/>
      <c r="H234" s="328"/>
      <c r="I234" s="328"/>
      <c r="J234" s="334"/>
      <c r="K234" s="334"/>
      <c r="L234" s="328"/>
    </row>
    <row r="235" spans="1:13">
      <c r="A235" s="339"/>
      <c r="B235" s="252"/>
      <c r="C235" s="342" t="s">
        <v>75</v>
      </c>
      <c r="D235" s="357">
        <f t="shared" ref="D235:K235" si="26">SUBTOTAL(9,D229:D234)</f>
        <v>0</v>
      </c>
      <c r="E235" s="357">
        <f t="shared" si="26"/>
        <v>0</v>
      </c>
      <c r="F235" s="357">
        <f t="shared" si="26"/>
        <v>0</v>
      </c>
      <c r="G235" s="357">
        <f t="shared" si="26"/>
        <v>0</v>
      </c>
      <c r="H235" s="357">
        <f t="shared" si="26"/>
        <v>0</v>
      </c>
      <c r="I235" s="357">
        <f t="shared" si="26"/>
        <v>0</v>
      </c>
      <c r="J235" s="357">
        <f t="shared" si="26"/>
        <v>0</v>
      </c>
      <c r="K235" s="357">
        <f t="shared" si="26"/>
        <v>0</v>
      </c>
      <c r="L235" s="357">
        <f>SUBTOTAL(9,L229:L234)</f>
        <v>0</v>
      </c>
    </row>
    <row r="236" spans="1:13">
      <c r="A236" s="339"/>
      <c r="B236" s="252"/>
      <c r="C236" s="342"/>
      <c r="D236" s="329"/>
      <c r="E236" s="329"/>
      <c r="F236" s="329"/>
      <c r="G236" s="329"/>
      <c r="H236" s="329"/>
      <c r="I236" s="329"/>
      <c r="J236" s="329"/>
      <c r="K236" s="329"/>
      <c r="L236" s="329"/>
    </row>
    <row r="237" spans="1:13">
      <c r="A237" s="339">
        <f>+A228+1</f>
        <v>2</v>
      </c>
      <c r="B237" s="252" t="str">
        <f ca="1">OFFSET(List_AllocOpexListStart,A237,0)</f>
        <v>A-2</v>
      </c>
      <c r="C237" s="340" t="str">
        <f ca="1">VLOOKUP(B237,List_AllocatedCosts,2,FALSE)</f>
        <v xml:space="preserve">Strategic Planning  </v>
      </c>
      <c r="D237" s="329"/>
      <c r="E237" s="329"/>
      <c r="F237" s="329"/>
      <c r="G237" s="329"/>
      <c r="H237" s="329"/>
      <c r="I237" s="329"/>
      <c r="J237" s="329"/>
      <c r="K237" s="329"/>
      <c r="L237" s="329"/>
    </row>
    <row r="238" spans="1:13">
      <c r="A238" s="339"/>
      <c r="B238" s="252"/>
      <c r="C238" s="341" t="s">
        <v>68</v>
      </c>
      <c r="D238" s="328"/>
      <c r="E238" s="328"/>
      <c r="F238" s="328"/>
      <c r="G238" s="328"/>
      <c r="H238" s="328"/>
      <c r="I238" s="328"/>
      <c r="J238" s="334"/>
      <c r="K238" s="334"/>
      <c r="L238" s="328"/>
    </row>
    <row r="239" spans="1:13">
      <c r="A239" s="339"/>
      <c r="B239" s="252"/>
      <c r="C239" s="341" t="s">
        <v>69</v>
      </c>
      <c r="D239" s="328"/>
      <c r="E239" s="328"/>
      <c r="F239" s="328"/>
      <c r="G239" s="328"/>
      <c r="H239" s="328"/>
      <c r="I239" s="328"/>
      <c r="J239" s="334"/>
      <c r="K239" s="334"/>
      <c r="L239" s="328"/>
    </row>
    <row r="240" spans="1:13" s="759" customFormat="1">
      <c r="A240" s="339"/>
      <c r="B240" s="252"/>
      <c r="C240" s="341" t="s">
        <v>646</v>
      </c>
      <c r="D240" s="328"/>
      <c r="E240" s="328"/>
      <c r="F240" s="328"/>
      <c r="G240" s="328"/>
      <c r="H240" s="328"/>
      <c r="I240" s="328"/>
      <c r="J240" s="334"/>
      <c r="K240" s="334"/>
      <c r="L240" s="328"/>
    </row>
    <row r="241" spans="1:12">
      <c r="A241" s="339"/>
      <c r="B241" s="252"/>
      <c r="C241" s="341" t="s">
        <v>647</v>
      </c>
      <c r="D241" s="328"/>
      <c r="E241" s="328"/>
      <c r="F241" s="328"/>
      <c r="G241" s="328"/>
      <c r="H241" s="328"/>
      <c r="I241" s="328"/>
      <c r="J241" s="334"/>
      <c r="K241" s="334"/>
      <c r="L241" s="328"/>
    </row>
    <row r="242" spans="1:12" s="759" customFormat="1">
      <c r="A242" s="339"/>
      <c r="B242" s="252"/>
      <c r="C242" s="341" t="s">
        <v>575</v>
      </c>
      <c r="D242" s="328"/>
      <c r="E242" s="328"/>
      <c r="F242" s="328"/>
      <c r="G242" s="328"/>
      <c r="H242" s="328"/>
      <c r="I242" s="328"/>
      <c r="J242" s="334"/>
      <c r="K242" s="334"/>
      <c r="L242" s="328"/>
    </row>
    <row r="243" spans="1:12">
      <c r="A243" s="339"/>
      <c r="B243" s="252"/>
      <c r="C243" s="341" t="s">
        <v>70</v>
      </c>
      <c r="D243" s="328"/>
      <c r="E243" s="328"/>
      <c r="F243" s="328"/>
      <c r="G243" s="328"/>
      <c r="H243" s="328"/>
      <c r="I243" s="328"/>
      <c r="J243" s="334"/>
      <c r="K243" s="334"/>
      <c r="L243" s="328"/>
    </row>
    <row r="244" spans="1:12">
      <c r="A244" s="339"/>
      <c r="B244" s="252"/>
      <c r="C244" s="342" t="s">
        <v>75</v>
      </c>
      <c r="D244" s="357">
        <f t="shared" ref="D244:K244" si="27">SUBTOTAL(9,D238:D243)</f>
        <v>0</v>
      </c>
      <c r="E244" s="357">
        <f t="shared" si="27"/>
        <v>0</v>
      </c>
      <c r="F244" s="357">
        <f t="shared" si="27"/>
        <v>0</v>
      </c>
      <c r="G244" s="357">
        <f t="shared" si="27"/>
        <v>0</v>
      </c>
      <c r="H244" s="357">
        <f t="shared" si="27"/>
        <v>0</v>
      </c>
      <c r="I244" s="357">
        <f t="shared" si="27"/>
        <v>0</v>
      </c>
      <c r="J244" s="357">
        <f t="shared" si="27"/>
        <v>0</v>
      </c>
      <c r="K244" s="357">
        <f t="shared" si="27"/>
        <v>0</v>
      </c>
      <c r="L244" s="357">
        <f>SUBTOTAL(9,L238:L243)</f>
        <v>0</v>
      </c>
    </row>
    <row r="245" spans="1:12">
      <c r="A245" s="339"/>
      <c r="B245" s="252"/>
      <c r="C245" s="342"/>
      <c r="D245" s="329"/>
      <c r="E245" s="329"/>
      <c r="F245" s="329"/>
      <c r="G245" s="329"/>
      <c r="H245" s="329"/>
      <c r="I245" s="329"/>
      <c r="J245" s="329"/>
      <c r="K245" s="329"/>
      <c r="L245" s="329"/>
    </row>
    <row r="246" spans="1:12">
      <c r="A246" s="339">
        <f>+A237+1</f>
        <v>3</v>
      </c>
      <c r="B246" s="252" t="str">
        <f ca="1">OFFSET(List_AllocOpexListStart,A246,0)</f>
        <v>A-3</v>
      </c>
      <c r="C246" s="340" t="str">
        <f ca="1">VLOOKUP(B246,List_AllocatedCosts,2,FALSE)</f>
        <v>Communications</v>
      </c>
      <c r="D246" s="329"/>
      <c r="E246" s="329"/>
      <c r="F246" s="329"/>
      <c r="G246" s="329"/>
      <c r="H246" s="329"/>
      <c r="I246" s="329"/>
      <c r="J246" s="329"/>
      <c r="K246" s="329"/>
      <c r="L246" s="329"/>
    </row>
    <row r="247" spans="1:12">
      <c r="A247" s="339"/>
      <c r="B247" s="252"/>
      <c r="C247" s="341" t="s">
        <v>68</v>
      </c>
      <c r="D247" s="328"/>
      <c r="E247" s="328"/>
      <c r="F247" s="328"/>
      <c r="G247" s="328"/>
      <c r="H247" s="328"/>
      <c r="I247" s="328"/>
      <c r="J247" s="334"/>
      <c r="K247" s="334"/>
      <c r="L247" s="328"/>
    </row>
    <row r="248" spans="1:12">
      <c r="A248" s="339"/>
      <c r="B248" s="252"/>
      <c r="C248" s="341" t="s">
        <v>69</v>
      </c>
      <c r="D248" s="328"/>
      <c r="E248" s="328"/>
      <c r="F248" s="328"/>
      <c r="G248" s="328"/>
      <c r="H248" s="328"/>
      <c r="I248" s="328"/>
      <c r="J248" s="334"/>
      <c r="K248" s="334"/>
      <c r="L248" s="328"/>
    </row>
    <row r="249" spans="1:12" s="759" customFormat="1">
      <c r="A249" s="339"/>
      <c r="B249" s="252"/>
      <c r="C249" s="341" t="s">
        <v>646</v>
      </c>
      <c r="D249" s="328"/>
      <c r="E249" s="328"/>
      <c r="F249" s="328"/>
      <c r="G249" s="328"/>
      <c r="H249" s="328"/>
      <c r="I249" s="328"/>
      <c r="J249" s="334"/>
      <c r="K249" s="334"/>
      <c r="L249" s="328"/>
    </row>
    <row r="250" spans="1:12">
      <c r="A250" s="339"/>
      <c r="B250" s="252"/>
      <c r="C250" s="341" t="s">
        <v>647</v>
      </c>
      <c r="D250" s="328"/>
      <c r="E250" s="328"/>
      <c r="F250" s="328"/>
      <c r="G250" s="328"/>
      <c r="H250" s="328"/>
      <c r="I250" s="328"/>
      <c r="J250" s="334"/>
      <c r="K250" s="334"/>
      <c r="L250" s="328"/>
    </row>
    <row r="251" spans="1:12" s="759" customFormat="1">
      <c r="A251" s="339"/>
      <c r="B251" s="252"/>
      <c r="C251" s="341" t="s">
        <v>575</v>
      </c>
      <c r="D251" s="328"/>
      <c r="E251" s="328"/>
      <c r="F251" s="328"/>
      <c r="G251" s="328"/>
      <c r="H251" s="328"/>
      <c r="I251" s="328"/>
      <c r="J251" s="334"/>
      <c r="K251" s="334"/>
      <c r="L251" s="328"/>
    </row>
    <row r="252" spans="1:12">
      <c r="A252" s="339"/>
      <c r="B252" s="252"/>
      <c r="C252" s="341" t="s">
        <v>70</v>
      </c>
      <c r="D252" s="328"/>
      <c r="E252" s="328"/>
      <c r="F252" s="328"/>
      <c r="G252" s="328"/>
      <c r="H252" s="328"/>
      <c r="I252" s="328"/>
      <c r="J252" s="334"/>
      <c r="K252" s="334"/>
      <c r="L252" s="328"/>
    </row>
    <row r="253" spans="1:12">
      <c r="A253" s="339"/>
      <c r="B253" s="252"/>
      <c r="C253" s="342" t="s">
        <v>75</v>
      </c>
      <c r="D253" s="357">
        <f t="shared" ref="D253:K253" si="28">SUBTOTAL(9,D247:D252)</f>
        <v>0</v>
      </c>
      <c r="E253" s="357">
        <f t="shared" si="28"/>
        <v>0</v>
      </c>
      <c r="F253" s="357">
        <f t="shared" si="28"/>
        <v>0</v>
      </c>
      <c r="G253" s="357">
        <f t="shared" si="28"/>
        <v>0</v>
      </c>
      <c r="H253" s="357">
        <f t="shared" si="28"/>
        <v>0</v>
      </c>
      <c r="I253" s="357">
        <f t="shared" si="28"/>
        <v>0</v>
      </c>
      <c r="J253" s="357">
        <f t="shared" si="28"/>
        <v>0</v>
      </c>
      <c r="K253" s="357">
        <f t="shared" si="28"/>
        <v>0</v>
      </c>
      <c r="L253" s="357">
        <f>SUBTOTAL(9,L247:L252)</f>
        <v>0</v>
      </c>
    </row>
    <row r="254" spans="1:12">
      <c r="A254" s="339"/>
      <c r="B254" s="252"/>
      <c r="C254" s="342"/>
      <c r="D254" s="329"/>
      <c r="E254" s="329"/>
      <c r="F254" s="329"/>
      <c r="G254" s="329"/>
      <c r="H254" s="329"/>
      <c r="I254" s="329"/>
      <c r="J254" s="329"/>
      <c r="K254" s="329"/>
      <c r="L254" s="329"/>
    </row>
    <row r="255" spans="1:12">
      <c r="A255" s="339">
        <f>+A246+1</f>
        <v>4</v>
      </c>
      <c r="B255" s="252" t="str">
        <f ca="1">OFFSET(List_AllocOpexListStart,A255,0)</f>
        <v>A-4</v>
      </c>
      <c r="C255" s="340" t="str">
        <f ca="1">VLOOKUP(B255,List_AllocatedCosts,2,FALSE)</f>
        <v>Audit Services</v>
      </c>
      <c r="D255" s="329"/>
      <c r="E255" s="329"/>
      <c r="F255" s="329"/>
      <c r="G255" s="329"/>
      <c r="H255" s="329"/>
      <c r="I255" s="329"/>
      <c r="J255" s="329"/>
      <c r="K255" s="329"/>
      <c r="L255" s="329"/>
    </row>
    <row r="256" spans="1:12">
      <c r="A256" s="339"/>
      <c r="B256" s="252"/>
      <c r="C256" s="341" t="s">
        <v>68</v>
      </c>
      <c r="D256" s="328"/>
      <c r="E256" s="328"/>
      <c r="F256" s="328"/>
      <c r="G256" s="328"/>
      <c r="H256" s="328"/>
      <c r="I256" s="328"/>
      <c r="J256" s="334"/>
      <c r="K256" s="334"/>
      <c r="L256" s="328"/>
    </row>
    <row r="257" spans="1:12">
      <c r="A257" s="339"/>
      <c r="B257" s="252"/>
      <c r="C257" s="341" t="s">
        <v>69</v>
      </c>
      <c r="D257" s="328"/>
      <c r="E257" s="328"/>
      <c r="F257" s="328"/>
      <c r="G257" s="328"/>
      <c r="H257" s="328"/>
      <c r="I257" s="328"/>
      <c r="J257" s="334"/>
      <c r="K257" s="334"/>
      <c r="L257" s="328"/>
    </row>
    <row r="258" spans="1:12" s="759" customFormat="1">
      <c r="A258" s="339"/>
      <c r="B258" s="252"/>
      <c r="C258" s="341" t="s">
        <v>646</v>
      </c>
      <c r="D258" s="328"/>
      <c r="E258" s="328"/>
      <c r="F258" s="328"/>
      <c r="G258" s="328"/>
      <c r="H258" s="328"/>
      <c r="I258" s="328"/>
      <c r="J258" s="334"/>
      <c r="K258" s="334"/>
      <c r="L258" s="328"/>
    </row>
    <row r="259" spans="1:12">
      <c r="A259" s="339"/>
      <c r="B259" s="252"/>
      <c r="C259" s="341" t="s">
        <v>647</v>
      </c>
      <c r="D259" s="328"/>
      <c r="E259" s="328"/>
      <c r="F259" s="328"/>
      <c r="G259" s="328"/>
      <c r="H259" s="328"/>
      <c r="I259" s="328"/>
      <c r="J259" s="334"/>
      <c r="K259" s="334"/>
      <c r="L259" s="328"/>
    </row>
    <row r="260" spans="1:12" s="759" customFormat="1">
      <c r="A260" s="339"/>
      <c r="B260" s="252"/>
      <c r="C260" s="341" t="s">
        <v>575</v>
      </c>
      <c r="D260" s="328"/>
      <c r="E260" s="328"/>
      <c r="F260" s="328"/>
      <c r="G260" s="328"/>
      <c r="H260" s="328"/>
      <c r="I260" s="328"/>
      <c r="J260" s="334"/>
      <c r="K260" s="334"/>
      <c r="L260" s="328"/>
    </row>
    <row r="261" spans="1:12">
      <c r="A261" s="339"/>
      <c r="B261" s="252"/>
      <c r="C261" s="341" t="s">
        <v>70</v>
      </c>
      <c r="D261" s="328"/>
      <c r="E261" s="328"/>
      <c r="F261" s="328"/>
      <c r="G261" s="328"/>
      <c r="H261" s="328"/>
      <c r="I261" s="328"/>
      <c r="J261" s="334"/>
      <c r="K261" s="334"/>
      <c r="L261" s="328"/>
    </row>
    <row r="262" spans="1:12" ht="13.5" thickBot="1">
      <c r="A262" s="339"/>
      <c r="B262" s="252"/>
      <c r="C262" s="342" t="s">
        <v>75</v>
      </c>
      <c r="D262" s="357">
        <f t="shared" ref="D262:L262" si="29">SUBTOTAL(9,D256:D261)</f>
        <v>0</v>
      </c>
      <c r="E262" s="357">
        <f t="shared" si="29"/>
        <v>0</v>
      </c>
      <c r="F262" s="357">
        <f t="shared" si="29"/>
        <v>0</v>
      </c>
      <c r="G262" s="357">
        <f t="shared" si="29"/>
        <v>0</v>
      </c>
      <c r="H262" s="357">
        <f t="shared" si="29"/>
        <v>0</v>
      </c>
      <c r="I262" s="357">
        <f t="shared" si="29"/>
        <v>0</v>
      </c>
      <c r="J262" s="357">
        <f t="shared" si="29"/>
        <v>0</v>
      </c>
      <c r="K262" s="357">
        <f t="shared" si="29"/>
        <v>0</v>
      </c>
      <c r="L262" s="357">
        <f t="shared" si="29"/>
        <v>0</v>
      </c>
    </row>
    <row r="263" spans="1:12" ht="18">
      <c r="A263" s="3"/>
      <c r="B263" s="251"/>
      <c r="C263" s="752" t="str">
        <f>+'I-3 Allocated'!A9</f>
        <v>Regulation and Company Secretary</v>
      </c>
      <c r="D263" s="332"/>
      <c r="E263" s="332"/>
      <c r="F263" s="332"/>
      <c r="G263" s="332"/>
      <c r="H263" s="332"/>
      <c r="I263" s="332"/>
      <c r="J263" s="332"/>
      <c r="K263" s="332"/>
      <c r="L263" s="332"/>
    </row>
    <row r="264" spans="1:12" ht="25.5">
      <c r="A264" s="339">
        <f>+A255+1</f>
        <v>5</v>
      </c>
      <c r="B264" s="252" t="str">
        <f ca="1">OFFSET(List_AllocOpexListStart,A264,0)</f>
        <v>A-5</v>
      </c>
      <c r="C264" s="340" t="str">
        <f ca="1">VLOOKUP(B264,List_AllocatedCosts,2,FALSE)</f>
        <v>General Manager Regulation &amp; Company Secretary</v>
      </c>
      <c r="D264" s="329"/>
      <c r="E264" s="329"/>
      <c r="F264" s="329"/>
      <c r="G264" s="329"/>
      <c r="H264" s="329"/>
      <c r="I264" s="329"/>
      <c r="J264" s="329"/>
      <c r="K264" s="329"/>
      <c r="L264" s="329"/>
    </row>
    <row r="265" spans="1:12">
      <c r="A265" s="339"/>
      <c r="B265" s="252"/>
      <c r="C265" s="341" t="s">
        <v>68</v>
      </c>
      <c r="D265" s="328"/>
      <c r="E265" s="328"/>
      <c r="F265" s="328"/>
      <c r="G265" s="328"/>
      <c r="H265" s="328"/>
      <c r="I265" s="328"/>
      <c r="J265" s="334"/>
      <c r="K265" s="334"/>
      <c r="L265" s="328"/>
    </row>
    <row r="266" spans="1:12">
      <c r="A266" s="339"/>
      <c r="B266" s="252"/>
      <c r="C266" s="341" t="s">
        <v>69</v>
      </c>
      <c r="D266" s="328"/>
      <c r="E266" s="328"/>
      <c r="F266" s="328"/>
      <c r="G266" s="328"/>
      <c r="H266" s="328"/>
      <c r="I266" s="328"/>
      <c r="J266" s="334"/>
      <c r="K266" s="334"/>
      <c r="L266" s="328"/>
    </row>
    <row r="267" spans="1:12" s="759" customFormat="1">
      <c r="A267" s="339"/>
      <c r="B267" s="252"/>
      <c r="C267" s="341" t="s">
        <v>646</v>
      </c>
      <c r="D267" s="328"/>
      <c r="E267" s="328"/>
      <c r="F267" s="328"/>
      <c r="G267" s="328"/>
      <c r="H267" s="328"/>
      <c r="I267" s="328"/>
      <c r="J267" s="334"/>
      <c r="K267" s="334"/>
      <c r="L267" s="328"/>
    </row>
    <row r="268" spans="1:12">
      <c r="A268" s="339"/>
      <c r="B268" s="252"/>
      <c r="C268" s="341" t="s">
        <v>647</v>
      </c>
      <c r="D268" s="328"/>
      <c r="E268" s="328"/>
      <c r="F268" s="328"/>
      <c r="G268" s="328"/>
      <c r="H268" s="328"/>
      <c r="I268" s="328"/>
      <c r="J268" s="334"/>
      <c r="K268" s="334"/>
      <c r="L268" s="328"/>
    </row>
    <row r="269" spans="1:12" s="759" customFormat="1">
      <c r="A269" s="339"/>
      <c r="B269" s="252"/>
      <c r="C269" s="341" t="s">
        <v>575</v>
      </c>
      <c r="D269" s="328"/>
      <c r="E269" s="328"/>
      <c r="F269" s="328"/>
      <c r="G269" s="328"/>
      <c r="H269" s="328"/>
      <c r="I269" s="328"/>
      <c r="J269" s="334"/>
      <c r="K269" s="334"/>
      <c r="L269" s="328"/>
    </row>
    <row r="270" spans="1:12">
      <c r="A270" s="339"/>
      <c r="B270" s="252"/>
      <c r="C270" s="341" t="s">
        <v>70</v>
      </c>
      <c r="D270" s="328"/>
      <c r="E270" s="328"/>
      <c r="F270" s="328"/>
      <c r="G270" s="328"/>
      <c r="H270" s="328"/>
      <c r="I270" s="328"/>
      <c r="J270" s="334"/>
      <c r="K270" s="334"/>
      <c r="L270" s="328"/>
    </row>
    <row r="271" spans="1:12">
      <c r="A271" s="339"/>
      <c r="B271" s="252"/>
      <c r="C271" s="342" t="s">
        <v>75</v>
      </c>
      <c r="D271" s="357">
        <f t="shared" ref="D271:K271" si="30">SUBTOTAL(9,D265:D270)</f>
        <v>0</v>
      </c>
      <c r="E271" s="357">
        <f t="shared" si="30"/>
        <v>0</v>
      </c>
      <c r="F271" s="357">
        <f t="shared" si="30"/>
        <v>0</v>
      </c>
      <c r="G271" s="357">
        <f t="shared" si="30"/>
        <v>0</v>
      </c>
      <c r="H271" s="357">
        <f t="shared" si="30"/>
        <v>0</v>
      </c>
      <c r="I271" s="357">
        <f t="shared" si="30"/>
        <v>0</v>
      </c>
      <c r="J271" s="357">
        <f t="shared" si="30"/>
        <v>0</v>
      </c>
      <c r="K271" s="357">
        <f t="shared" si="30"/>
        <v>0</v>
      </c>
      <c r="L271" s="357">
        <f>SUBTOTAL(9,L265:L270)</f>
        <v>0</v>
      </c>
    </row>
    <row r="272" spans="1:12">
      <c r="A272" s="339"/>
      <c r="B272" s="252"/>
      <c r="C272" s="340"/>
      <c r="D272" s="329"/>
      <c r="E272" s="329"/>
      <c r="F272" s="329"/>
      <c r="G272" s="329"/>
      <c r="H272" s="329"/>
      <c r="I272" s="329"/>
      <c r="J272" s="329"/>
      <c r="K272" s="329"/>
      <c r="L272" s="329"/>
    </row>
    <row r="273" spans="1:12">
      <c r="A273" s="339">
        <f>+A264+1</f>
        <v>6</v>
      </c>
      <c r="B273" s="252" t="str">
        <f ca="1">OFFSET(List_AllocOpexListStart,A273,0)</f>
        <v>A-6</v>
      </c>
      <c r="C273" s="340" t="str">
        <f ca="1">VLOOKUP(B273,List_AllocatedCosts,2,FALSE)</f>
        <v>Regulation</v>
      </c>
      <c r="D273" s="329"/>
      <c r="E273" s="329"/>
      <c r="F273" s="329"/>
      <c r="G273" s="329"/>
      <c r="H273" s="329"/>
      <c r="I273" s="329"/>
      <c r="J273" s="329"/>
      <c r="K273" s="329"/>
      <c r="L273" s="329"/>
    </row>
    <row r="274" spans="1:12">
      <c r="A274" s="339"/>
      <c r="B274" s="252"/>
      <c r="C274" s="341" t="s">
        <v>68</v>
      </c>
      <c r="D274" s="328"/>
      <c r="E274" s="328"/>
      <c r="F274" s="328"/>
      <c r="G274" s="328"/>
      <c r="H274" s="328"/>
      <c r="I274" s="328"/>
      <c r="J274" s="334"/>
      <c r="K274" s="334"/>
      <c r="L274" s="328"/>
    </row>
    <row r="275" spans="1:12">
      <c r="A275" s="339"/>
      <c r="B275" s="252"/>
      <c r="C275" s="341" t="s">
        <v>69</v>
      </c>
      <c r="D275" s="328"/>
      <c r="E275" s="328"/>
      <c r="F275" s="328"/>
      <c r="G275" s="328"/>
      <c r="H275" s="328"/>
      <c r="I275" s="328"/>
      <c r="J275" s="334"/>
      <c r="K275" s="334"/>
      <c r="L275" s="328"/>
    </row>
    <row r="276" spans="1:12" s="759" customFormat="1">
      <c r="A276" s="339"/>
      <c r="B276" s="252"/>
      <c r="C276" s="341" t="s">
        <v>646</v>
      </c>
      <c r="D276" s="328"/>
      <c r="E276" s="328"/>
      <c r="F276" s="328"/>
      <c r="G276" s="328"/>
      <c r="H276" s="328"/>
      <c r="I276" s="328"/>
      <c r="J276" s="334"/>
      <c r="K276" s="334"/>
      <c r="L276" s="328"/>
    </row>
    <row r="277" spans="1:12">
      <c r="A277" s="339"/>
      <c r="B277" s="252"/>
      <c r="C277" s="341" t="s">
        <v>647</v>
      </c>
      <c r="D277" s="328"/>
      <c r="E277" s="328"/>
      <c r="F277" s="328"/>
      <c r="G277" s="328"/>
      <c r="H277" s="328"/>
      <c r="I277" s="328"/>
      <c r="J277" s="334"/>
      <c r="K277" s="334"/>
      <c r="L277" s="328"/>
    </row>
    <row r="278" spans="1:12" s="759" customFormat="1">
      <c r="A278" s="339"/>
      <c r="B278" s="252"/>
      <c r="C278" s="341" t="s">
        <v>575</v>
      </c>
      <c r="D278" s="328"/>
      <c r="E278" s="328"/>
      <c r="F278" s="328"/>
      <c r="G278" s="328"/>
      <c r="H278" s="328"/>
      <c r="I278" s="328"/>
      <c r="J278" s="334"/>
      <c r="K278" s="334"/>
      <c r="L278" s="328"/>
    </row>
    <row r="279" spans="1:12">
      <c r="A279" s="339"/>
      <c r="B279" s="252"/>
      <c r="C279" s="341" t="s">
        <v>70</v>
      </c>
      <c r="D279" s="328"/>
      <c r="E279" s="328"/>
      <c r="F279" s="328"/>
      <c r="G279" s="328"/>
      <c r="H279" s="328"/>
      <c r="I279" s="328"/>
      <c r="J279" s="334"/>
      <c r="K279" s="334"/>
      <c r="L279" s="328"/>
    </row>
    <row r="280" spans="1:12" ht="13.5" thickBot="1">
      <c r="A280" s="339"/>
      <c r="B280" s="252"/>
      <c r="C280" s="342" t="s">
        <v>75</v>
      </c>
      <c r="D280" s="357">
        <f t="shared" ref="D280:K280" si="31">SUBTOTAL(9,D274:D279)</f>
        <v>0</v>
      </c>
      <c r="E280" s="357">
        <f t="shared" si="31"/>
        <v>0</v>
      </c>
      <c r="F280" s="357">
        <f t="shared" si="31"/>
        <v>0</v>
      </c>
      <c r="G280" s="357">
        <f t="shared" si="31"/>
        <v>0</v>
      </c>
      <c r="H280" s="357">
        <f t="shared" si="31"/>
        <v>0</v>
      </c>
      <c r="I280" s="357">
        <f t="shared" si="31"/>
        <v>0</v>
      </c>
      <c r="J280" s="357">
        <f t="shared" si="31"/>
        <v>0</v>
      </c>
      <c r="K280" s="357">
        <f t="shared" si="31"/>
        <v>0</v>
      </c>
      <c r="L280" s="357">
        <f>SUBTOTAL(9,L274:L279)</f>
        <v>0</v>
      </c>
    </row>
    <row r="281" spans="1:12" ht="18">
      <c r="A281" s="3"/>
      <c r="B281" s="251"/>
      <c r="C281" s="438" t="str">
        <f>+'I-3 Allocated'!A11</f>
        <v>Finance</v>
      </c>
      <c r="D281" s="332"/>
      <c r="E281" s="332"/>
      <c r="F281" s="332"/>
      <c r="G281" s="332"/>
      <c r="H281" s="332"/>
      <c r="I281" s="332"/>
      <c r="J281" s="332"/>
      <c r="K281" s="332"/>
      <c r="L281" s="332"/>
    </row>
    <row r="282" spans="1:12">
      <c r="A282" s="339">
        <f>+A273+1</f>
        <v>7</v>
      </c>
      <c r="B282" s="252" t="str">
        <f ca="1">OFFSET(List_AllocOpexListStart,A282,0)</f>
        <v>A-7</v>
      </c>
      <c r="C282" s="340" t="str">
        <f ca="1">VLOOKUP(B282,List_AllocatedCosts,2,FALSE)</f>
        <v>CFO</v>
      </c>
      <c r="D282" s="329"/>
      <c r="E282" s="329"/>
      <c r="F282" s="329"/>
      <c r="G282" s="329"/>
      <c r="H282" s="329"/>
      <c r="I282" s="329"/>
      <c r="J282" s="329"/>
      <c r="K282" s="329"/>
      <c r="L282" s="329"/>
    </row>
    <row r="283" spans="1:12">
      <c r="A283" s="339"/>
      <c r="B283" s="252"/>
      <c r="C283" s="341" t="s">
        <v>68</v>
      </c>
      <c r="D283" s="328"/>
      <c r="E283" s="328"/>
      <c r="F283" s="328"/>
      <c r="G283" s="328"/>
      <c r="H283" s="328"/>
      <c r="I283" s="328"/>
      <c r="J283" s="334"/>
      <c r="K283" s="334"/>
      <c r="L283" s="328"/>
    </row>
    <row r="284" spans="1:12">
      <c r="A284" s="339"/>
      <c r="B284" s="252"/>
      <c r="C284" s="341" t="s">
        <v>69</v>
      </c>
      <c r="D284" s="328"/>
      <c r="E284" s="328"/>
      <c r="F284" s="328"/>
      <c r="G284" s="328"/>
      <c r="H284" s="328"/>
      <c r="I284" s="328"/>
      <c r="J284" s="334"/>
      <c r="K284" s="334"/>
      <c r="L284" s="328"/>
    </row>
    <row r="285" spans="1:12" s="759" customFormat="1">
      <c r="A285" s="339"/>
      <c r="B285" s="252"/>
      <c r="C285" s="341" t="s">
        <v>646</v>
      </c>
      <c r="D285" s="328"/>
      <c r="E285" s="328"/>
      <c r="F285" s="328"/>
      <c r="G285" s="328"/>
      <c r="H285" s="328"/>
      <c r="I285" s="328"/>
      <c r="J285" s="334"/>
      <c r="K285" s="334"/>
      <c r="L285" s="328"/>
    </row>
    <row r="286" spans="1:12">
      <c r="A286" s="339"/>
      <c r="B286" s="252"/>
      <c r="C286" s="341" t="s">
        <v>647</v>
      </c>
      <c r="D286" s="328"/>
      <c r="E286" s="328"/>
      <c r="F286" s="328"/>
      <c r="G286" s="328"/>
      <c r="H286" s="328"/>
      <c r="I286" s="328"/>
      <c r="J286" s="334"/>
      <c r="K286" s="334"/>
      <c r="L286" s="328"/>
    </row>
    <row r="287" spans="1:12" s="759" customFormat="1">
      <c r="A287" s="339"/>
      <c r="B287" s="252"/>
      <c r="C287" s="341" t="s">
        <v>575</v>
      </c>
      <c r="D287" s="328"/>
      <c r="E287" s="328"/>
      <c r="F287" s="328"/>
      <c r="G287" s="328"/>
      <c r="H287" s="328"/>
      <c r="I287" s="328"/>
      <c r="J287" s="334"/>
      <c r="K287" s="334"/>
      <c r="L287" s="328"/>
    </row>
    <row r="288" spans="1:12">
      <c r="A288" s="339"/>
      <c r="B288" s="252"/>
      <c r="C288" s="341" t="s">
        <v>70</v>
      </c>
      <c r="D288" s="328"/>
      <c r="E288" s="328"/>
      <c r="F288" s="328"/>
      <c r="G288" s="328"/>
      <c r="H288" s="328"/>
      <c r="I288" s="328"/>
      <c r="J288" s="334"/>
      <c r="K288" s="334"/>
      <c r="L288" s="328"/>
    </row>
    <row r="289" spans="1:12">
      <c r="A289" s="339"/>
      <c r="B289" s="252"/>
      <c r="C289" s="342" t="s">
        <v>75</v>
      </c>
      <c r="D289" s="357">
        <f t="shared" ref="D289:K289" si="32">SUBTOTAL(9,D283:D288)</f>
        <v>0</v>
      </c>
      <c r="E289" s="357">
        <f t="shared" si="32"/>
        <v>0</v>
      </c>
      <c r="F289" s="357">
        <f t="shared" si="32"/>
        <v>0</v>
      </c>
      <c r="G289" s="357">
        <f t="shared" si="32"/>
        <v>0</v>
      </c>
      <c r="H289" s="357">
        <f t="shared" si="32"/>
        <v>0</v>
      </c>
      <c r="I289" s="357">
        <f t="shared" si="32"/>
        <v>0</v>
      </c>
      <c r="J289" s="357">
        <f t="shared" si="32"/>
        <v>0</v>
      </c>
      <c r="K289" s="357">
        <f t="shared" si="32"/>
        <v>0</v>
      </c>
      <c r="L289" s="357">
        <f>SUBTOTAL(9,L283:L288)</f>
        <v>0</v>
      </c>
    </row>
    <row r="290" spans="1:12">
      <c r="A290" s="339"/>
      <c r="B290" s="252"/>
      <c r="C290" s="342"/>
      <c r="D290" s="329"/>
      <c r="E290" s="329"/>
      <c r="F290" s="329"/>
      <c r="G290" s="329"/>
      <c r="H290" s="329"/>
      <c r="I290" s="329"/>
      <c r="J290" s="329"/>
      <c r="K290" s="329"/>
      <c r="L290" s="329"/>
    </row>
    <row r="291" spans="1:12">
      <c r="A291" s="339">
        <f>+A282+1</f>
        <v>8</v>
      </c>
      <c r="B291" s="252" t="str">
        <f ca="1">OFFSET(List_AllocOpexListStart,A291,0)</f>
        <v>A-8</v>
      </c>
      <c r="C291" s="340" t="str">
        <f ca="1">VLOOKUP(B291,List_AllocatedCosts,2,FALSE)</f>
        <v>Accounts Receivable – Asset Damage</v>
      </c>
      <c r="D291" s="329"/>
      <c r="E291" s="329"/>
      <c r="F291" s="329"/>
      <c r="G291" s="329"/>
      <c r="H291" s="329"/>
      <c r="I291" s="329"/>
      <c r="J291" s="329"/>
      <c r="K291" s="329"/>
      <c r="L291" s="329"/>
    </row>
    <row r="292" spans="1:12">
      <c r="A292" s="339"/>
      <c r="B292" s="252"/>
      <c r="C292" s="341" t="s">
        <v>68</v>
      </c>
      <c r="D292" s="328"/>
      <c r="E292" s="328"/>
      <c r="F292" s="328"/>
      <c r="G292" s="328"/>
      <c r="H292" s="328"/>
      <c r="I292" s="328"/>
      <c r="J292" s="334"/>
      <c r="K292" s="334"/>
      <c r="L292" s="328"/>
    </row>
    <row r="293" spans="1:12">
      <c r="A293" s="339"/>
      <c r="B293" s="252"/>
      <c r="C293" s="341" t="s">
        <v>69</v>
      </c>
      <c r="D293" s="328"/>
      <c r="E293" s="328"/>
      <c r="F293" s="328"/>
      <c r="G293" s="328"/>
      <c r="H293" s="328"/>
      <c r="I293" s="328"/>
      <c r="J293" s="334"/>
      <c r="K293" s="334"/>
      <c r="L293" s="328"/>
    </row>
    <row r="294" spans="1:12" s="759" customFormat="1">
      <c r="A294" s="339"/>
      <c r="B294" s="252"/>
      <c r="C294" s="341" t="s">
        <v>646</v>
      </c>
      <c r="D294" s="328"/>
      <c r="E294" s="328"/>
      <c r="F294" s="328"/>
      <c r="G294" s="328"/>
      <c r="H294" s="328"/>
      <c r="I294" s="328"/>
      <c r="J294" s="334"/>
      <c r="K294" s="334"/>
      <c r="L294" s="328"/>
    </row>
    <row r="295" spans="1:12">
      <c r="A295" s="339"/>
      <c r="B295" s="252"/>
      <c r="C295" s="341" t="s">
        <v>647</v>
      </c>
      <c r="D295" s="328"/>
      <c r="E295" s="328"/>
      <c r="F295" s="328"/>
      <c r="G295" s="328"/>
      <c r="H295" s="328"/>
      <c r="I295" s="328"/>
      <c r="J295" s="334"/>
      <c r="K295" s="334"/>
      <c r="L295" s="328"/>
    </row>
    <row r="296" spans="1:12" s="759" customFormat="1">
      <c r="A296" s="339"/>
      <c r="B296" s="252"/>
      <c r="C296" s="341" t="s">
        <v>575</v>
      </c>
      <c r="D296" s="328"/>
      <c r="E296" s="328"/>
      <c r="F296" s="328"/>
      <c r="G296" s="328"/>
      <c r="H296" s="328"/>
      <c r="I296" s="328"/>
      <c r="J296" s="334"/>
      <c r="K296" s="334"/>
      <c r="L296" s="328"/>
    </row>
    <row r="297" spans="1:12">
      <c r="A297" s="339"/>
      <c r="B297" s="252"/>
      <c r="C297" s="341" t="s">
        <v>70</v>
      </c>
      <c r="D297" s="328"/>
      <c r="E297" s="328"/>
      <c r="F297" s="328"/>
      <c r="G297" s="328"/>
      <c r="H297" s="328"/>
      <c r="I297" s="328"/>
      <c r="J297" s="334"/>
      <c r="K297" s="334"/>
      <c r="L297" s="328"/>
    </row>
    <row r="298" spans="1:12">
      <c r="A298" s="339"/>
      <c r="B298" s="252"/>
      <c r="C298" s="342" t="s">
        <v>75</v>
      </c>
      <c r="D298" s="357">
        <f t="shared" ref="D298:K298" si="33">SUBTOTAL(9,D292:D297)</f>
        <v>0</v>
      </c>
      <c r="E298" s="357">
        <f t="shared" si="33"/>
        <v>0</v>
      </c>
      <c r="F298" s="357">
        <f t="shared" si="33"/>
        <v>0</v>
      </c>
      <c r="G298" s="357">
        <f t="shared" si="33"/>
        <v>0</v>
      </c>
      <c r="H298" s="357">
        <f t="shared" si="33"/>
        <v>0</v>
      </c>
      <c r="I298" s="357">
        <f t="shared" si="33"/>
        <v>0</v>
      </c>
      <c r="J298" s="357">
        <f t="shared" si="33"/>
        <v>0</v>
      </c>
      <c r="K298" s="357">
        <f t="shared" si="33"/>
        <v>0</v>
      </c>
      <c r="L298" s="357">
        <f>SUBTOTAL(9,L292:L297)</f>
        <v>0</v>
      </c>
    </row>
    <row r="299" spans="1:12">
      <c r="A299" s="339"/>
      <c r="B299" s="252"/>
      <c r="C299" s="342"/>
      <c r="D299" s="329"/>
      <c r="E299" s="329"/>
      <c r="F299" s="329"/>
      <c r="G299" s="329"/>
      <c r="H299" s="329"/>
      <c r="I299" s="329"/>
      <c r="J299" s="329"/>
      <c r="K299" s="329"/>
      <c r="L299" s="329"/>
    </row>
    <row r="300" spans="1:12">
      <c r="A300" s="339">
        <f>+A291+1</f>
        <v>9</v>
      </c>
      <c r="B300" s="252" t="str">
        <f ca="1">OFFSET(List_AllocOpexListStart,A300,0)</f>
        <v>A-9</v>
      </c>
      <c r="C300" s="340" t="str">
        <f ca="1">VLOOKUP(B300,List_AllocatedCosts,2,FALSE)</f>
        <v>Taxation – Specific Allocation</v>
      </c>
      <c r="D300" s="329"/>
      <c r="E300" s="329"/>
      <c r="F300" s="329"/>
      <c r="G300" s="329"/>
      <c r="H300" s="329"/>
      <c r="I300" s="329"/>
      <c r="J300" s="329"/>
      <c r="K300" s="329"/>
      <c r="L300" s="329"/>
    </row>
    <row r="301" spans="1:12">
      <c r="A301" s="339"/>
      <c r="B301" s="252"/>
      <c r="C301" s="341" t="s">
        <v>68</v>
      </c>
      <c r="D301" s="328"/>
      <c r="E301" s="328"/>
      <c r="F301" s="328"/>
      <c r="G301" s="328"/>
      <c r="H301" s="328"/>
      <c r="I301" s="328"/>
      <c r="J301" s="334"/>
      <c r="K301" s="334"/>
      <c r="L301" s="328"/>
    </row>
    <row r="302" spans="1:12">
      <c r="A302" s="339"/>
      <c r="B302" s="252"/>
      <c r="C302" s="341" t="s">
        <v>69</v>
      </c>
      <c r="D302" s="328"/>
      <c r="E302" s="328"/>
      <c r="F302" s="328"/>
      <c r="G302" s="328"/>
      <c r="H302" s="328"/>
      <c r="I302" s="328"/>
      <c r="J302" s="334"/>
      <c r="K302" s="334"/>
      <c r="L302" s="328"/>
    </row>
    <row r="303" spans="1:12" s="759" customFormat="1">
      <c r="A303" s="339"/>
      <c r="B303" s="252"/>
      <c r="C303" s="341" t="s">
        <v>646</v>
      </c>
      <c r="D303" s="328"/>
      <c r="E303" s="328"/>
      <c r="F303" s="328"/>
      <c r="G303" s="328"/>
      <c r="H303" s="328"/>
      <c r="I303" s="328"/>
      <c r="J303" s="334"/>
      <c r="K303" s="334"/>
      <c r="L303" s="328"/>
    </row>
    <row r="304" spans="1:12">
      <c r="A304" s="339"/>
      <c r="B304" s="252"/>
      <c r="C304" s="341" t="s">
        <v>647</v>
      </c>
      <c r="D304" s="328"/>
      <c r="E304" s="328"/>
      <c r="F304" s="328"/>
      <c r="G304" s="328"/>
      <c r="H304" s="328"/>
      <c r="I304" s="328"/>
      <c r="J304" s="334"/>
      <c r="K304" s="334"/>
      <c r="L304" s="328"/>
    </row>
    <row r="305" spans="1:12" s="759" customFormat="1">
      <c r="A305" s="339"/>
      <c r="B305" s="252"/>
      <c r="C305" s="341" t="s">
        <v>575</v>
      </c>
      <c r="D305" s="328"/>
      <c r="E305" s="328"/>
      <c r="F305" s="328"/>
      <c r="G305" s="328"/>
      <c r="H305" s="328"/>
      <c r="I305" s="328"/>
      <c r="J305" s="334"/>
      <c r="K305" s="334"/>
      <c r="L305" s="328"/>
    </row>
    <row r="306" spans="1:12">
      <c r="A306" s="339"/>
      <c r="B306" s="252"/>
      <c r="C306" s="341" t="s">
        <v>70</v>
      </c>
      <c r="D306" s="328"/>
      <c r="E306" s="328"/>
      <c r="F306" s="328"/>
      <c r="G306" s="328"/>
      <c r="H306" s="328"/>
      <c r="I306" s="328"/>
      <c r="J306" s="334"/>
      <c r="K306" s="334"/>
      <c r="L306" s="328"/>
    </row>
    <row r="307" spans="1:12">
      <c r="A307" s="339"/>
      <c r="B307" s="252"/>
      <c r="C307" s="342" t="s">
        <v>75</v>
      </c>
      <c r="D307" s="357">
        <f t="shared" ref="D307:K307" si="34">SUBTOTAL(9,D301:D306)</f>
        <v>0</v>
      </c>
      <c r="E307" s="357">
        <f t="shared" si="34"/>
        <v>0</v>
      </c>
      <c r="F307" s="357">
        <f t="shared" si="34"/>
        <v>0</v>
      </c>
      <c r="G307" s="357">
        <f t="shared" si="34"/>
        <v>0</v>
      </c>
      <c r="H307" s="357">
        <f t="shared" si="34"/>
        <v>0</v>
      </c>
      <c r="I307" s="357">
        <f t="shared" si="34"/>
        <v>0</v>
      </c>
      <c r="J307" s="357">
        <f t="shared" si="34"/>
        <v>0</v>
      </c>
      <c r="K307" s="357">
        <f t="shared" si="34"/>
        <v>0</v>
      </c>
      <c r="L307" s="357">
        <f>SUBTOTAL(9,L301:L306)</f>
        <v>0</v>
      </c>
    </row>
    <row r="308" spans="1:12">
      <c r="A308" s="339"/>
      <c r="B308" s="252"/>
      <c r="C308" s="342"/>
      <c r="D308" s="329"/>
      <c r="E308" s="329"/>
      <c r="F308" s="329"/>
      <c r="G308" s="329"/>
      <c r="H308" s="329"/>
      <c r="I308" s="329"/>
      <c r="J308" s="329"/>
      <c r="K308" s="329"/>
      <c r="L308" s="329"/>
    </row>
    <row r="309" spans="1:12">
      <c r="A309" s="339">
        <f>+A300+1</f>
        <v>10</v>
      </c>
      <c r="B309" s="252" t="str">
        <f ca="1">OFFSET(List_AllocOpexListStart,A309,0)</f>
        <v>A-10</v>
      </c>
      <c r="C309" s="340" t="str">
        <f ca="1">VLOOKUP(B309,List_AllocatedCosts,2,FALSE)</f>
        <v>Corporate Finance</v>
      </c>
      <c r="D309" s="329"/>
      <c r="E309" s="329"/>
      <c r="F309" s="329"/>
      <c r="G309" s="329"/>
      <c r="H309" s="329"/>
      <c r="I309" s="329"/>
      <c r="J309" s="329"/>
      <c r="K309" s="329"/>
      <c r="L309" s="329"/>
    </row>
    <row r="310" spans="1:12">
      <c r="A310" s="3"/>
      <c r="B310" s="252"/>
      <c r="C310" s="341" t="s">
        <v>68</v>
      </c>
      <c r="D310" s="328"/>
      <c r="E310" s="328"/>
      <c r="F310" s="328"/>
      <c r="G310" s="328"/>
      <c r="H310" s="328"/>
      <c r="I310" s="328"/>
      <c r="J310" s="334"/>
      <c r="K310" s="334"/>
      <c r="L310" s="328"/>
    </row>
    <row r="311" spans="1:12">
      <c r="A311" s="3"/>
      <c r="B311" s="252"/>
      <c r="C311" s="341" t="s">
        <v>69</v>
      </c>
      <c r="D311" s="328"/>
      <c r="E311" s="328"/>
      <c r="F311" s="328"/>
      <c r="G311" s="328"/>
      <c r="H311" s="328"/>
      <c r="I311" s="328"/>
      <c r="J311" s="334"/>
      <c r="K311" s="334"/>
      <c r="L311" s="328"/>
    </row>
    <row r="312" spans="1:12" s="759" customFormat="1">
      <c r="A312" s="544"/>
      <c r="B312" s="252"/>
      <c r="C312" s="341" t="s">
        <v>646</v>
      </c>
      <c r="D312" s="328"/>
      <c r="E312" s="328"/>
      <c r="F312" s="328"/>
      <c r="G312" s="328"/>
      <c r="H312" s="328"/>
      <c r="I312" s="328"/>
      <c r="J312" s="334"/>
      <c r="K312" s="334"/>
      <c r="L312" s="328"/>
    </row>
    <row r="313" spans="1:12">
      <c r="A313" s="3"/>
      <c r="B313" s="252"/>
      <c r="C313" s="341" t="s">
        <v>647</v>
      </c>
      <c r="D313" s="328"/>
      <c r="E313" s="328"/>
      <c r="F313" s="328"/>
      <c r="G313" s="328"/>
      <c r="H313" s="328"/>
      <c r="I313" s="328"/>
      <c r="J313" s="334"/>
      <c r="K313" s="334"/>
      <c r="L313" s="328"/>
    </row>
    <row r="314" spans="1:12" s="759" customFormat="1">
      <c r="A314" s="544"/>
      <c r="B314" s="252"/>
      <c r="C314" s="341" t="s">
        <v>575</v>
      </c>
      <c r="D314" s="328"/>
      <c r="E314" s="328"/>
      <c r="F314" s="328"/>
      <c r="G314" s="328"/>
      <c r="H314" s="328"/>
      <c r="I314" s="328"/>
      <c r="J314" s="334"/>
      <c r="K314" s="334"/>
      <c r="L314" s="328"/>
    </row>
    <row r="315" spans="1:12">
      <c r="A315" s="3"/>
      <c r="B315" s="252"/>
      <c r="C315" s="341" t="s">
        <v>70</v>
      </c>
      <c r="D315" s="328"/>
      <c r="E315" s="328"/>
      <c r="F315" s="328"/>
      <c r="G315" s="328"/>
      <c r="H315" s="328"/>
      <c r="I315" s="328"/>
      <c r="J315" s="334"/>
      <c r="K315" s="334"/>
      <c r="L315" s="328"/>
    </row>
    <row r="316" spans="1:12">
      <c r="A316" s="3"/>
      <c r="B316" s="252"/>
      <c r="C316" s="342" t="s">
        <v>75</v>
      </c>
      <c r="D316" s="357">
        <f t="shared" ref="D316:K316" si="35">SUBTOTAL(9,D310:D315)</f>
        <v>0</v>
      </c>
      <c r="E316" s="357">
        <f t="shared" si="35"/>
        <v>0</v>
      </c>
      <c r="F316" s="357">
        <f t="shared" si="35"/>
        <v>0</v>
      </c>
      <c r="G316" s="357">
        <f t="shared" si="35"/>
        <v>0</v>
      </c>
      <c r="H316" s="357">
        <f t="shared" si="35"/>
        <v>0</v>
      </c>
      <c r="I316" s="357">
        <f t="shared" si="35"/>
        <v>0</v>
      </c>
      <c r="J316" s="357">
        <f t="shared" si="35"/>
        <v>0</v>
      </c>
      <c r="K316" s="357">
        <f t="shared" si="35"/>
        <v>0</v>
      </c>
      <c r="L316" s="357">
        <f>SUBTOTAL(9,L310:L315)</f>
        <v>0</v>
      </c>
    </row>
    <row r="317" spans="1:12">
      <c r="A317" s="3"/>
      <c r="B317" s="252"/>
      <c r="C317" s="350"/>
      <c r="D317" s="329"/>
      <c r="E317" s="329"/>
      <c r="F317" s="329"/>
      <c r="G317" s="329"/>
      <c r="H317" s="329"/>
      <c r="I317" s="329"/>
      <c r="J317" s="329"/>
      <c r="K317" s="329"/>
      <c r="L317" s="329"/>
    </row>
    <row r="318" spans="1:12">
      <c r="A318" s="339">
        <f>+A309+1</f>
        <v>11</v>
      </c>
      <c r="B318" s="252" t="str">
        <f ca="1">OFFSET(List_AllocOpexListStart,A318,0)</f>
        <v>A-11</v>
      </c>
      <c r="C318" s="340" t="str">
        <f ca="1">VLOOKUP(B318,List_AllocatedCosts,2,FALSE)</f>
        <v>Operational Finance</v>
      </c>
      <c r="D318" s="329"/>
      <c r="E318" s="329"/>
      <c r="F318" s="329"/>
      <c r="G318" s="329"/>
      <c r="H318" s="329"/>
      <c r="I318" s="329"/>
      <c r="J318" s="329"/>
      <c r="K318" s="329"/>
      <c r="L318" s="329"/>
    </row>
    <row r="319" spans="1:12">
      <c r="A319" s="339"/>
      <c r="B319" s="252"/>
      <c r="C319" s="341" t="s">
        <v>68</v>
      </c>
      <c r="D319" s="328"/>
      <c r="E319" s="328"/>
      <c r="F319" s="328"/>
      <c r="G319" s="328"/>
      <c r="H319" s="328"/>
      <c r="I319" s="328"/>
      <c r="J319" s="334"/>
      <c r="K319" s="334"/>
      <c r="L319" s="328"/>
    </row>
    <row r="320" spans="1:12">
      <c r="A320" s="339"/>
      <c r="B320" s="252"/>
      <c r="C320" s="341" t="s">
        <v>69</v>
      </c>
      <c r="D320" s="328"/>
      <c r="E320" s="328"/>
      <c r="F320" s="328"/>
      <c r="G320" s="328"/>
      <c r="H320" s="328"/>
      <c r="I320" s="328"/>
      <c r="J320" s="334"/>
      <c r="K320" s="334"/>
      <c r="L320" s="328"/>
    </row>
    <row r="321" spans="1:12" s="759" customFormat="1">
      <c r="A321" s="339"/>
      <c r="B321" s="252"/>
      <c r="C321" s="341" t="s">
        <v>646</v>
      </c>
      <c r="D321" s="328"/>
      <c r="E321" s="328"/>
      <c r="F321" s="328"/>
      <c r="G321" s="328"/>
      <c r="H321" s="328"/>
      <c r="I321" s="328"/>
      <c r="J321" s="334"/>
      <c r="K321" s="334"/>
      <c r="L321" s="328"/>
    </row>
    <row r="322" spans="1:12">
      <c r="A322" s="339"/>
      <c r="B322" s="252"/>
      <c r="C322" s="341" t="s">
        <v>647</v>
      </c>
      <c r="D322" s="328"/>
      <c r="E322" s="328"/>
      <c r="F322" s="328"/>
      <c r="G322" s="328"/>
      <c r="H322" s="328"/>
      <c r="I322" s="328"/>
      <c r="J322" s="334"/>
      <c r="K322" s="334"/>
      <c r="L322" s="328"/>
    </row>
    <row r="323" spans="1:12" s="759" customFormat="1">
      <c r="A323" s="339"/>
      <c r="B323" s="252"/>
      <c r="C323" s="341" t="s">
        <v>575</v>
      </c>
      <c r="D323" s="328"/>
      <c r="E323" s="328"/>
      <c r="F323" s="328"/>
      <c r="G323" s="328"/>
      <c r="H323" s="328"/>
      <c r="I323" s="328"/>
      <c r="J323" s="334"/>
      <c r="K323" s="334"/>
      <c r="L323" s="328"/>
    </row>
    <row r="324" spans="1:12">
      <c r="A324" s="339"/>
      <c r="B324" s="252"/>
      <c r="C324" s="341" t="s">
        <v>70</v>
      </c>
      <c r="D324" s="328"/>
      <c r="E324" s="328"/>
      <c r="F324" s="328"/>
      <c r="G324" s="328"/>
      <c r="H324" s="328"/>
      <c r="I324" s="328"/>
      <c r="J324" s="334"/>
      <c r="K324" s="334"/>
      <c r="L324" s="328"/>
    </row>
    <row r="325" spans="1:12">
      <c r="A325" s="339"/>
      <c r="B325" s="252"/>
      <c r="C325" s="342" t="s">
        <v>75</v>
      </c>
      <c r="D325" s="357">
        <f t="shared" ref="D325:K325" si="36">SUBTOTAL(9,D319:D324)</f>
        <v>0</v>
      </c>
      <c r="E325" s="357">
        <f t="shared" si="36"/>
        <v>0</v>
      </c>
      <c r="F325" s="357">
        <f t="shared" si="36"/>
        <v>0</v>
      </c>
      <c r="G325" s="357">
        <f t="shared" si="36"/>
        <v>0</v>
      </c>
      <c r="H325" s="357">
        <f t="shared" si="36"/>
        <v>0</v>
      </c>
      <c r="I325" s="357">
        <f t="shared" si="36"/>
        <v>0</v>
      </c>
      <c r="J325" s="357">
        <f t="shared" si="36"/>
        <v>0</v>
      </c>
      <c r="K325" s="357">
        <f t="shared" si="36"/>
        <v>0</v>
      </c>
      <c r="L325" s="357">
        <f>SUBTOTAL(9,L319:L324)</f>
        <v>0</v>
      </c>
    </row>
    <row r="326" spans="1:12">
      <c r="A326" s="339"/>
      <c r="B326" s="252"/>
      <c r="C326" s="342"/>
      <c r="D326" s="329"/>
      <c r="E326" s="329"/>
      <c r="F326" s="329"/>
      <c r="G326" s="329"/>
      <c r="H326" s="329"/>
      <c r="I326" s="329"/>
      <c r="J326" s="329"/>
      <c r="K326" s="329"/>
      <c r="L326" s="329"/>
    </row>
    <row r="327" spans="1:12">
      <c r="A327" s="339">
        <f>+A318+1</f>
        <v>12</v>
      </c>
      <c r="B327" s="252" t="str">
        <f ca="1">OFFSET(List_AllocOpexListStart,A327,0)</f>
        <v>A-12</v>
      </c>
      <c r="C327" s="340" t="str">
        <f ca="1">VLOOKUP(B327,List_AllocatedCosts,2,FALSE)</f>
        <v>Regulatory Finance</v>
      </c>
      <c r="D327" s="329"/>
      <c r="E327" s="329"/>
      <c r="F327" s="329"/>
      <c r="G327" s="329"/>
      <c r="H327" s="329"/>
      <c r="I327" s="329"/>
      <c r="J327" s="329"/>
      <c r="K327" s="329"/>
      <c r="L327" s="329"/>
    </row>
    <row r="328" spans="1:12">
      <c r="A328" s="339"/>
      <c r="B328" s="252"/>
      <c r="C328" s="341" t="s">
        <v>68</v>
      </c>
      <c r="D328" s="328"/>
      <c r="E328" s="328"/>
      <c r="F328" s="328"/>
      <c r="G328" s="328"/>
      <c r="H328" s="328"/>
      <c r="I328" s="328"/>
      <c r="J328" s="334"/>
      <c r="K328" s="334"/>
      <c r="L328" s="328"/>
    </row>
    <row r="329" spans="1:12">
      <c r="A329" s="339"/>
      <c r="B329" s="252"/>
      <c r="C329" s="341" t="s">
        <v>69</v>
      </c>
      <c r="D329" s="328"/>
      <c r="E329" s="328"/>
      <c r="F329" s="328"/>
      <c r="G329" s="328"/>
      <c r="H329" s="328"/>
      <c r="I329" s="328"/>
      <c r="J329" s="334"/>
      <c r="K329" s="334"/>
      <c r="L329" s="328"/>
    </row>
    <row r="330" spans="1:12" s="759" customFormat="1">
      <c r="A330" s="339"/>
      <c r="B330" s="252"/>
      <c r="C330" s="341" t="s">
        <v>646</v>
      </c>
      <c r="D330" s="328"/>
      <c r="E330" s="328"/>
      <c r="F330" s="328"/>
      <c r="G330" s="328"/>
      <c r="H330" s="328"/>
      <c r="I330" s="328"/>
      <c r="J330" s="334"/>
      <c r="K330" s="334"/>
      <c r="L330" s="328"/>
    </row>
    <row r="331" spans="1:12">
      <c r="A331" s="339"/>
      <c r="B331" s="252"/>
      <c r="C331" s="341" t="s">
        <v>647</v>
      </c>
      <c r="D331" s="328"/>
      <c r="E331" s="328"/>
      <c r="F331" s="328"/>
      <c r="G331" s="328"/>
      <c r="H331" s="328"/>
      <c r="I331" s="328"/>
      <c r="J331" s="334"/>
      <c r="K331" s="334"/>
      <c r="L331" s="328"/>
    </row>
    <row r="332" spans="1:12" s="759" customFormat="1">
      <c r="A332" s="339"/>
      <c r="B332" s="252"/>
      <c r="C332" s="341" t="s">
        <v>575</v>
      </c>
      <c r="D332" s="328"/>
      <c r="E332" s="328"/>
      <c r="F332" s="328"/>
      <c r="G332" s="328"/>
      <c r="H332" s="328"/>
      <c r="I332" s="328"/>
      <c r="J332" s="334"/>
      <c r="K332" s="334"/>
      <c r="L332" s="328"/>
    </row>
    <row r="333" spans="1:12">
      <c r="A333" s="339"/>
      <c r="B333" s="252"/>
      <c r="C333" s="341" t="s">
        <v>70</v>
      </c>
      <c r="D333" s="328"/>
      <c r="E333" s="328"/>
      <c r="F333" s="328"/>
      <c r="G333" s="328"/>
      <c r="H333" s="328"/>
      <c r="I333" s="328"/>
      <c r="J333" s="334"/>
      <c r="K333" s="334"/>
      <c r="L333" s="328"/>
    </row>
    <row r="334" spans="1:12">
      <c r="A334" s="339"/>
      <c r="B334" s="252"/>
      <c r="C334" s="342" t="s">
        <v>75</v>
      </c>
      <c r="D334" s="357">
        <f t="shared" ref="D334:K334" si="37">SUBTOTAL(9,D328:D333)</f>
        <v>0</v>
      </c>
      <c r="E334" s="357">
        <f t="shared" si="37"/>
        <v>0</v>
      </c>
      <c r="F334" s="357">
        <f t="shared" si="37"/>
        <v>0</v>
      </c>
      <c r="G334" s="357">
        <f t="shared" si="37"/>
        <v>0</v>
      </c>
      <c r="H334" s="357">
        <f t="shared" si="37"/>
        <v>0</v>
      </c>
      <c r="I334" s="357">
        <f t="shared" si="37"/>
        <v>0</v>
      </c>
      <c r="J334" s="357">
        <f t="shared" si="37"/>
        <v>0</v>
      </c>
      <c r="K334" s="357">
        <f t="shared" si="37"/>
        <v>0</v>
      </c>
      <c r="L334" s="357">
        <f>SUBTOTAL(9,L328:L333)</f>
        <v>0</v>
      </c>
    </row>
    <row r="335" spans="1:12">
      <c r="A335" s="339"/>
      <c r="B335" s="252"/>
      <c r="C335" s="342"/>
      <c r="D335" s="329"/>
      <c r="E335" s="329"/>
      <c r="F335" s="329"/>
      <c r="G335" s="329"/>
      <c r="H335" s="329"/>
      <c r="I335" s="329"/>
      <c r="J335" s="329"/>
      <c r="K335" s="329"/>
      <c r="L335" s="329"/>
    </row>
    <row r="336" spans="1:12">
      <c r="A336" s="339">
        <f>+A327+1</f>
        <v>13</v>
      </c>
      <c r="B336" s="252" t="str">
        <f ca="1">OFFSET(List_AllocOpexListStart,A336,0)</f>
        <v>A-13</v>
      </c>
      <c r="C336" s="340" t="str">
        <f ca="1">VLOOKUP(B336,List_AllocatedCosts,2,FALSE)</f>
        <v>Accounts Payable</v>
      </c>
      <c r="D336" s="329"/>
      <c r="E336" s="329"/>
      <c r="F336" s="329"/>
      <c r="G336" s="329"/>
      <c r="H336" s="329"/>
      <c r="I336" s="329"/>
      <c r="J336" s="329"/>
      <c r="K336" s="329"/>
      <c r="L336" s="329"/>
    </row>
    <row r="337" spans="1:12">
      <c r="A337" s="3"/>
      <c r="B337" s="252"/>
      <c r="C337" s="341" t="s">
        <v>68</v>
      </c>
      <c r="D337" s="328"/>
      <c r="E337" s="328"/>
      <c r="F337" s="328"/>
      <c r="G337" s="328"/>
      <c r="H337" s="328"/>
      <c r="I337" s="328"/>
      <c r="J337" s="334"/>
      <c r="K337" s="334"/>
      <c r="L337" s="328"/>
    </row>
    <row r="338" spans="1:12">
      <c r="A338" s="3"/>
      <c r="B338" s="252"/>
      <c r="C338" s="341" t="s">
        <v>69</v>
      </c>
      <c r="D338" s="328"/>
      <c r="E338" s="328"/>
      <c r="F338" s="328"/>
      <c r="G338" s="328"/>
      <c r="H338" s="328"/>
      <c r="I338" s="328"/>
      <c r="J338" s="334"/>
      <c r="K338" s="334"/>
      <c r="L338" s="328"/>
    </row>
    <row r="339" spans="1:12" s="759" customFormat="1">
      <c r="A339" s="544"/>
      <c r="B339" s="252"/>
      <c r="C339" s="341" t="s">
        <v>646</v>
      </c>
      <c r="D339" s="328"/>
      <c r="E339" s="328"/>
      <c r="F339" s="328"/>
      <c r="G339" s="328"/>
      <c r="H339" s="328"/>
      <c r="I339" s="328"/>
      <c r="J339" s="334"/>
      <c r="K339" s="334"/>
      <c r="L339" s="328"/>
    </row>
    <row r="340" spans="1:12">
      <c r="A340" s="3"/>
      <c r="B340" s="252"/>
      <c r="C340" s="341" t="s">
        <v>647</v>
      </c>
      <c r="D340" s="328"/>
      <c r="E340" s="328"/>
      <c r="F340" s="328"/>
      <c r="G340" s="328"/>
      <c r="H340" s="328"/>
      <c r="I340" s="328"/>
      <c r="J340" s="334"/>
      <c r="K340" s="334"/>
      <c r="L340" s="328"/>
    </row>
    <row r="341" spans="1:12" s="759" customFormat="1">
      <c r="A341" s="544"/>
      <c r="B341" s="252"/>
      <c r="C341" s="341" t="s">
        <v>575</v>
      </c>
      <c r="D341" s="328"/>
      <c r="E341" s="328"/>
      <c r="F341" s="328"/>
      <c r="G341" s="328"/>
      <c r="H341" s="328"/>
      <c r="I341" s="328"/>
      <c r="J341" s="334"/>
      <c r="K341" s="334"/>
      <c r="L341" s="328"/>
    </row>
    <row r="342" spans="1:12">
      <c r="A342" s="3"/>
      <c r="B342" s="252"/>
      <c r="C342" s="341" t="s">
        <v>70</v>
      </c>
      <c r="D342" s="328"/>
      <c r="E342" s="328"/>
      <c r="F342" s="328"/>
      <c r="G342" s="328"/>
      <c r="H342" s="328"/>
      <c r="I342" s="328"/>
      <c r="J342" s="334"/>
      <c r="K342" s="334"/>
      <c r="L342" s="328"/>
    </row>
    <row r="343" spans="1:12">
      <c r="A343" s="3"/>
      <c r="B343" s="252"/>
      <c r="C343" s="342" t="s">
        <v>75</v>
      </c>
      <c r="D343" s="357">
        <f t="shared" ref="D343:K343" si="38">SUBTOTAL(9,D337:D342)</f>
        <v>0</v>
      </c>
      <c r="E343" s="357">
        <f t="shared" si="38"/>
        <v>0</v>
      </c>
      <c r="F343" s="357">
        <f t="shared" si="38"/>
        <v>0</v>
      </c>
      <c r="G343" s="357">
        <f t="shared" si="38"/>
        <v>0</v>
      </c>
      <c r="H343" s="357">
        <f t="shared" si="38"/>
        <v>0</v>
      </c>
      <c r="I343" s="357">
        <f t="shared" si="38"/>
        <v>0</v>
      </c>
      <c r="J343" s="357">
        <f t="shared" si="38"/>
        <v>0</v>
      </c>
      <c r="K343" s="357">
        <f t="shared" si="38"/>
        <v>0</v>
      </c>
      <c r="L343" s="357">
        <f>SUBTOTAL(9,L337:L342)</f>
        <v>0</v>
      </c>
    </row>
    <row r="344" spans="1:12">
      <c r="A344" s="3"/>
      <c r="B344" s="252"/>
      <c r="C344" s="342"/>
      <c r="D344" s="329"/>
      <c r="E344" s="329"/>
      <c r="F344" s="329"/>
      <c r="G344" s="329"/>
      <c r="H344" s="329"/>
      <c r="I344" s="329"/>
      <c r="J344" s="329"/>
      <c r="K344" s="329"/>
      <c r="L344" s="329"/>
    </row>
    <row r="345" spans="1:12">
      <c r="A345" s="339">
        <f>+A336+1</f>
        <v>14</v>
      </c>
      <c r="B345" s="252" t="str">
        <f ca="1">OFFSET(List_AllocOpexListStart,A345,0)</f>
        <v>A-14</v>
      </c>
      <c r="C345" s="340" t="str">
        <f ca="1">VLOOKUP(B345,List_AllocatedCosts,2,FALSE)</f>
        <v>Payroll</v>
      </c>
      <c r="D345" s="329"/>
      <c r="E345" s="329"/>
      <c r="F345" s="329"/>
      <c r="G345" s="329"/>
      <c r="H345" s="329"/>
      <c r="I345" s="329"/>
      <c r="J345" s="329"/>
      <c r="K345" s="329"/>
      <c r="L345" s="329"/>
    </row>
    <row r="346" spans="1:12">
      <c r="A346" s="339"/>
      <c r="B346" s="252"/>
      <c r="C346" s="341" t="s">
        <v>68</v>
      </c>
      <c r="D346" s="328"/>
      <c r="E346" s="328"/>
      <c r="F346" s="328"/>
      <c r="G346" s="328"/>
      <c r="H346" s="328"/>
      <c r="I346" s="328"/>
      <c r="J346" s="334"/>
      <c r="K346" s="334"/>
      <c r="L346" s="328"/>
    </row>
    <row r="347" spans="1:12">
      <c r="A347" s="339"/>
      <c r="B347" s="252"/>
      <c r="C347" s="341" t="s">
        <v>69</v>
      </c>
      <c r="D347" s="328"/>
      <c r="E347" s="328"/>
      <c r="F347" s="328"/>
      <c r="G347" s="328"/>
      <c r="H347" s="328"/>
      <c r="I347" s="328"/>
      <c r="J347" s="334"/>
      <c r="K347" s="334"/>
      <c r="L347" s="328"/>
    </row>
    <row r="348" spans="1:12" s="759" customFormat="1">
      <c r="A348" s="339"/>
      <c r="B348" s="252"/>
      <c r="C348" s="341" t="s">
        <v>646</v>
      </c>
      <c r="D348" s="328"/>
      <c r="E348" s="328"/>
      <c r="F348" s="328"/>
      <c r="G348" s="328"/>
      <c r="H348" s="328"/>
      <c r="I348" s="328"/>
      <c r="J348" s="334"/>
      <c r="K348" s="334"/>
      <c r="L348" s="328"/>
    </row>
    <row r="349" spans="1:12">
      <c r="A349" s="339"/>
      <c r="B349" s="252"/>
      <c r="C349" s="341" t="s">
        <v>647</v>
      </c>
      <c r="D349" s="328"/>
      <c r="E349" s="328"/>
      <c r="F349" s="328"/>
      <c r="G349" s="328"/>
      <c r="H349" s="328"/>
      <c r="I349" s="328"/>
      <c r="J349" s="334"/>
      <c r="K349" s="334"/>
      <c r="L349" s="328"/>
    </row>
    <row r="350" spans="1:12" s="759" customFormat="1">
      <c r="A350" s="339"/>
      <c r="B350" s="252"/>
      <c r="C350" s="341" t="s">
        <v>575</v>
      </c>
      <c r="D350" s="328"/>
      <c r="E350" s="328"/>
      <c r="F350" s="328"/>
      <c r="G350" s="328"/>
      <c r="H350" s="328"/>
      <c r="I350" s="328"/>
      <c r="J350" s="334"/>
      <c r="K350" s="334"/>
      <c r="L350" s="328"/>
    </row>
    <row r="351" spans="1:12">
      <c r="A351" s="339"/>
      <c r="B351" s="252"/>
      <c r="C351" s="341" t="s">
        <v>70</v>
      </c>
      <c r="D351" s="328"/>
      <c r="E351" s="328"/>
      <c r="F351" s="328"/>
      <c r="G351" s="328"/>
      <c r="H351" s="328"/>
      <c r="I351" s="328"/>
      <c r="J351" s="334"/>
      <c r="K351" s="334"/>
      <c r="L351" s="328"/>
    </row>
    <row r="352" spans="1:12">
      <c r="A352" s="339"/>
      <c r="B352" s="252"/>
      <c r="C352" s="342" t="s">
        <v>75</v>
      </c>
      <c r="D352" s="357">
        <f t="shared" ref="D352:K352" si="39">SUBTOTAL(9,D346:D351)</f>
        <v>0</v>
      </c>
      <c r="E352" s="357">
        <f t="shared" si="39"/>
        <v>0</v>
      </c>
      <c r="F352" s="357">
        <f t="shared" si="39"/>
        <v>0</v>
      </c>
      <c r="G352" s="357">
        <f t="shared" si="39"/>
        <v>0</v>
      </c>
      <c r="H352" s="357">
        <f t="shared" si="39"/>
        <v>0</v>
      </c>
      <c r="I352" s="357">
        <f t="shared" si="39"/>
        <v>0</v>
      </c>
      <c r="J352" s="357">
        <f t="shared" si="39"/>
        <v>0</v>
      </c>
      <c r="K352" s="357">
        <f t="shared" si="39"/>
        <v>0</v>
      </c>
      <c r="L352" s="357">
        <f>SUBTOTAL(9,L346:L351)</f>
        <v>0</v>
      </c>
    </row>
    <row r="353" spans="1:12">
      <c r="A353" s="339"/>
      <c r="B353" s="252"/>
      <c r="C353" s="342"/>
      <c r="D353" s="329"/>
      <c r="E353" s="329"/>
      <c r="F353" s="329"/>
      <c r="G353" s="329"/>
      <c r="H353" s="329"/>
      <c r="I353" s="329"/>
      <c r="J353" s="329"/>
      <c r="K353" s="329"/>
      <c r="L353" s="329"/>
    </row>
    <row r="354" spans="1:12">
      <c r="A354" s="339">
        <f>+A345+1</f>
        <v>15</v>
      </c>
      <c r="B354" s="252" t="str">
        <f ca="1">OFFSET(List_AllocOpexListStart,A354,0)</f>
        <v>A-15</v>
      </c>
      <c r="C354" s="340" t="str">
        <f ca="1">VLOOKUP(B354,List_AllocatedCosts,2,FALSE)</f>
        <v>Purchasing and Contracts</v>
      </c>
      <c r="D354" s="329"/>
      <c r="E354" s="329"/>
      <c r="F354" s="329"/>
      <c r="G354" s="329"/>
      <c r="H354" s="329"/>
      <c r="I354" s="329"/>
      <c r="J354" s="329"/>
      <c r="K354" s="329"/>
      <c r="L354" s="329"/>
    </row>
    <row r="355" spans="1:12">
      <c r="A355" s="339"/>
      <c r="B355" s="252"/>
      <c r="C355" s="341" t="s">
        <v>68</v>
      </c>
      <c r="D355" s="328"/>
      <c r="E355" s="328"/>
      <c r="F355" s="328"/>
      <c r="G355" s="328"/>
      <c r="H355" s="328"/>
      <c r="I355" s="328"/>
      <c r="J355" s="334"/>
      <c r="K355" s="334"/>
      <c r="L355" s="328"/>
    </row>
    <row r="356" spans="1:12">
      <c r="A356" s="339"/>
      <c r="B356" s="252"/>
      <c r="C356" s="341" t="s">
        <v>69</v>
      </c>
      <c r="D356" s="328"/>
      <c r="E356" s="328"/>
      <c r="F356" s="328"/>
      <c r="G356" s="328"/>
      <c r="H356" s="328"/>
      <c r="I356" s="328"/>
      <c r="J356" s="334"/>
      <c r="K356" s="334"/>
      <c r="L356" s="328"/>
    </row>
    <row r="357" spans="1:12" s="759" customFormat="1">
      <c r="A357" s="339"/>
      <c r="B357" s="252"/>
      <c r="C357" s="341" t="s">
        <v>646</v>
      </c>
      <c r="D357" s="328"/>
      <c r="E357" s="328"/>
      <c r="F357" s="328"/>
      <c r="G357" s="328"/>
      <c r="H357" s="328"/>
      <c r="I357" s="328"/>
      <c r="J357" s="334"/>
      <c r="K357" s="334"/>
      <c r="L357" s="328"/>
    </row>
    <row r="358" spans="1:12">
      <c r="A358" s="339"/>
      <c r="B358" s="252"/>
      <c r="C358" s="341" t="s">
        <v>647</v>
      </c>
      <c r="D358" s="328"/>
      <c r="E358" s="328"/>
      <c r="F358" s="328"/>
      <c r="G358" s="328"/>
      <c r="H358" s="328"/>
      <c r="I358" s="328"/>
      <c r="J358" s="334"/>
      <c r="K358" s="334"/>
      <c r="L358" s="328"/>
    </row>
    <row r="359" spans="1:12" s="759" customFormat="1">
      <c r="A359" s="339"/>
      <c r="B359" s="252"/>
      <c r="C359" s="341" t="s">
        <v>575</v>
      </c>
      <c r="D359" s="328"/>
      <c r="E359" s="328"/>
      <c r="F359" s="328"/>
      <c r="G359" s="328"/>
      <c r="H359" s="328"/>
      <c r="I359" s="328"/>
      <c r="J359" s="334"/>
      <c r="K359" s="334"/>
      <c r="L359" s="328"/>
    </row>
    <row r="360" spans="1:12">
      <c r="A360" s="339"/>
      <c r="B360" s="252"/>
      <c r="C360" s="341" t="s">
        <v>70</v>
      </c>
      <c r="D360" s="328"/>
      <c r="E360" s="328"/>
      <c r="F360" s="328"/>
      <c r="G360" s="328"/>
      <c r="H360" s="328"/>
      <c r="I360" s="328"/>
      <c r="J360" s="334"/>
      <c r="K360" s="334"/>
      <c r="L360" s="328"/>
    </row>
    <row r="361" spans="1:12">
      <c r="A361" s="339"/>
      <c r="B361" s="252"/>
      <c r="C361" s="342" t="s">
        <v>75</v>
      </c>
      <c r="D361" s="357">
        <f t="shared" ref="D361:K361" si="40">SUBTOTAL(9,D355:D360)</f>
        <v>0</v>
      </c>
      <c r="E361" s="357">
        <f t="shared" si="40"/>
        <v>0</v>
      </c>
      <c r="F361" s="357">
        <f t="shared" si="40"/>
        <v>0</v>
      </c>
      <c r="G361" s="357">
        <f t="shared" si="40"/>
        <v>0</v>
      </c>
      <c r="H361" s="357">
        <f t="shared" si="40"/>
        <v>0</v>
      </c>
      <c r="I361" s="357">
        <f t="shared" si="40"/>
        <v>0</v>
      </c>
      <c r="J361" s="357">
        <f t="shared" si="40"/>
        <v>0</v>
      </c>
      <c r="K361" s="357">
        <f t="shared" si="40"/>
        <v>0</v>
      </c>
      <c r="L361" s="357">
        <f>SUBTOTAL(9,L355:L360)</f>
        <v>0</v>
      </c>
    </row>
    <row r="362" spans="1:12">
      <c r="A362" s="339"/>
      <c r="B362" s="252"/>
      <c r="C362" s="342"/>
      <c r="D362" s="329"/>
      <c r="E362" s="329"/>
      <c r="F362" s="329"/>
      <c r="G362" s="329"/>
      <c r="H362" s="329"/>
      <c r="I362" s="329"/>
      <c r="J362" s="329"/>
      <c r="K362" s="329"/>
      <c r="L362" s="329"/>
    </row>
    <row r="363" spans="1:12">
      <c r="A363" s="339">
        <f>+A354+1</f>
        <v>16</v>
      </c>
      <c r="B363" s="252" t="str">
        <f ca="1">OFFSET(List_AllocOpexListStart,A363,0)</f>
        <v>A-16</v>
      </c>
      <c r="C363" s="340" t="str">
        <f ca="1">VLOOKUP(B363,List_AllocatedCosts,2,FALSE)</f>
        <v>Finance - Adjustments</v>
      </c>
      <c r="D363" s="329"/>
      <c r="E363" s="329"/>
      <c r="F363" s="329"/>
      <c r="G363" s="329"/>
      <c r="H363" s="329"/>
      <c r="I363" s="329"/>
      <c r="J363" s="329"/>
      <c r="K363" s="329"/>
      <c r="L363" s="357"/>
    </row>
    <row r="364" spans="1:12">
      <c r="A364" s="3"/>
      <c r="B364" s="252"/>
      <c r="C364" s="341" t="s">
        <v>68</v>
      </c>
      <c r="D364" s="328"/>
      <c r="E364" s="328"/>
      <c r="F364" s="328"/>
      <c r="G364" s="328"/>
      <c r="H364" s="328"/>
      <c r="I364" s="328"/>
      <c r="J364" s="334"/>
      <c r="K364" s="334"/>
      <c r="L364" s="328"/>
    </row>
    <row r="365" spans="1:12">
      <c r="A365" s="3"/>
      <c r="B365" s="252"/>
      <c r="C365" s="341" t="s">
        <v>69</v>
      </c>
      <c r="D365" s="328"/>
      <c r="E365" s="328"/>
      <c r="F365" s="328"/>
      <c r="G365" s="328"/>
      <c r="H365" s="328"/>
      <c r="I365" s="328"/>
      <c r="J365" s="334"/>
      <c r="K365" s="334"/>
      <c r="L365" s="328"/>
    </row>
    <row r="366" spans="1:12" s="759" customFormat="1">
      <c r="A366" s="544"/>
      <c r="B366" s="252"/>
      <c r="C366" s="341" t="s">
        <v>646</v>
      </c>
      <c r="D366" s="328"/>
      <c r="E366" s="328"/>
      <c r="F366" s="328"/>
      <c r="G366" s="328"/>
      <c r="H366" s="328"/>
      <c r="I366" s="328"/>
      <c r="J366" s="334"/>
      <c r="K366" s="334"/>
      <c r="L366" s="328"/>
    </row>
    <row r="367" spans="1:12">
      <c r="A367" s="3"/>
      <c r="B367" s="252"/>
      <c r="C367" s="341" t="s">
        <v>647</v>
      </c>
      <c r="D367" s="328"/>
      <c r="E367" s="328"/>
      <c r="F367" s="328"/>
      <c r="G367" s="328"/>
      <c r="H367" s="328"/>
      <c r="I367" s="328"/>
      <c r="J367" s="334"/>
      <c r="K367" s="334"/>
      <c r="L367" s="328"/>
    </row>
    <row r="368" spans="1:12" s="759" customFormat="1">
      <c r="A368" s="544"/>
      <c r="B368" s="252"/>
      <c r="C368" s="341" t="s">
        <v>575</v>
      </c>
      <c r="D368" s="328"/>
      <c r="E368" s="328"/>
      <c r="F368" s="328"/>
      <c r="G368" s="328"/>
      <c r="H368" s="328"/>
      <c r="I368" s="328"/>
      <c r="J368" s="334"/>
      <c r="K368" s="334"/>
      <c r="L368" s="328"/>
    </row>
    <row r="369" spans="1:12">
      <c r="A369" s="3"/>
      <c r="B369" s="252"/>
      <c r="C369" s="341" t="s">
        <v>70</v>
      </c>
      <c r="D369" s="328"/>
      <c r="E369" s="328"/>
      <c r="F369" s="328"/>
      <c r="G369" s="328"/>
      <c r="H369" s="328"/>
      <c r="I369" s="328"/>
      <c r="J369" s="334"/>
      <c r="K369" s="334"/>
      <c r="L369" s="328"/>
    </row>
    <row r="370" spans="1:12" ht="13.5" thickBot="1">
      <c r="A370" s="3"/>
      <c r="B370" s="252"/>
      <c r="C370" s="342" t="s">
        <v>75</v>
      </c>
      <c r="D370" s="357">
        <f t="shared" ref="D370:L370" si="41">SUBTOTAL(9,D364:D369)</f>
        <v>0</v>
      </c>
      <c r="E370" s="357">
        <f t="shared" si="41"/>
        <v>0</v>
      </c>
      <c r="F370" s="357">
        <f t="shared" si="41"/>
        <v>0</v>
      </c>
      <c r="G370" s="357">
        <f t="shared" si="41"/>
        <v>0</v>
      </c>
      <c r="H370" s="357">
        <f t="shared" si="41"/>
        <v>0</v>
      </c>
      <c r="I370" s="357">
        <f t="shared" si="41"/>
        <v>0</v>
      </c>
      <c r="J370" s="357">
        <f t="shared" si="41"/>
        <v>0</v>
      </c>
      <c r="K370" s="357">
        <f t="shared" si="41"/>
        <v>0</v>
      </c>
      <c r="L370" s="357">
        <f t="shared" si="41"/>
        <v>0</v>
      </c>
    </row>
    <row r="371" spans="1:12" ht="18">
      <c r="A371" s="3"/>
      <c r="B371" s="251"/>
      <c r="C371" s="438" t="str">
        <f>+'I-3 Allocated'!A21</f>
        <v>Corporate Services</v>
      </c>
      <c r="D371" s="332"/>
      <c r="E371" s="332"/>
      <c r="F371" s="332"/>
      <c r="G371" s="332"/>
      <c r="H371" s="332"/>
      <c r="I371" s="332"/>
      <c r="J371" s="332"/>
      <c r="K371" s="332"/>
      <c r="L371" s="332"/>
    </row>
    <row r="372" spans="1:12">
      <c r="A372" s="339">
        <f>+A363+1</f>
        <v>17</v>
      </c>
      <c r="B372" s="252" t="str">
        <f ca="1">OFFSET(List_AllocOpexListStart,A372,0)</f>
        <v>A-17</v>
      </c>
      <c r="C372" s="340" t="str">
        <f ca="1">VLOOKUP(B372,List_AllocatedCosts,2,FALSE)</f>
        <v>General Manager Corporate Services</v>
      </c>
      <c r="D372" s="329"/>
      <c r="E372" s="329"/>
      <c r="F372" s="329"/>
      <c r="G372" s="329"/>
      <c r="H372" s="329"/>
      <c r="I372" s="329"/>
      <c r="J372" s="329"/>
      <c r="K372" s="329"/>
      <c r="L372" s="329"/>
    </row>
    <row r="373" spans="1:12">
      <c r="A373" s="339"/>
      <c r="B373" s="252"/>
      <c r="C373" s="341" t="s">
        <v>68</v>
      </c>
      <c r="D373" s="328"/>
      <c r="E373" s="328"/>
      <c r="F373" s="328"/>
      <c r="G373" s="328"/>
      <c r="H373" s="328"/>
      <c r="I373" s="328"/>
      <c r="J373" s="334"/>
      <c r="K373" s="334"/>
      <c r="L373" s="328"/>
    </row>
    <row r="374" spans="1:12">
      <c r="A374" s="339"/>
      <c r="B374" s="252"/>
      <c r="C374" s="341" t="s">
        <v>69</v>
      </c>
      <c r="D374" s="328"/>
      <c r="E374" s="328"/>
      <c r="F374" s="328"/>
      <c r="G374" s="328"/>
      <c r="H374" s="328"/>
      <c r="I374" s="328"/>
      <c r="J374" s="334"/>
      <c r="K374" s="334"/>
      <c r="L374" s="328"/>
    </row>
    <row r="375" spans="1:12" s="759" customFormat="1">
      <c r="A375" s="339"/>
      <c r="B375" s="252"/>
      <c r="C375" s="341" t="s">
        <v>646</v>
      </c>
      <c r="D375" s="328"/>
      <c r="E375" s="328"/>
      <c r="F375" s="328"/>
      <c r="G375" s="328"/>
      <c r="H375" s="328"/>
      <c r="I375" s="328"/>
      <c r="J375" s="334"/>
      <c r="K375" s="334"/>
      <c r="L375" s="328"/>
    </row>
    <row r="376" spans="1:12">
      <c r="A376" s="339"/>
      <c r="B376" s="252"/>
      <c r="C376" s="341" t="s">
        <v>647</v>
      </c>
      <c r="D376" s="328"/>
      <c r="E376" s="328"/>
      <c r="F376" s="328"/>
      <c r="G376" s="328"/>
      <c r="H376" s="328"/>
      <c r="I376" s="328"/>
      <c r="J376" s="334"/>
      <c r="K376" s="334"/>
      <c r="L376" s="328"/>
    </row>
    <row r="377" spans="1:12" s="759" customFormat="1">
      <c r="A377" s="339"/>
      <c r="B377" s="252"/>
      <c r="C377" s="341" t="s">
        <v>575</v>
      </c>
      <c r="D377" s="328"/>
      <c r="E377" s="328"/>
      <c r="F377" s="328"/>
      <c r="G377" s="328"/>
      <c r="H377" s="328"/>
      <c r="I377" s="328"/>
      <c r="J377" s="334"/>
      <c r="K377" s="334"/>
      <c r="L377" s="328"/>
    </row>
    <row r="378" spans="1:12">
      <c r="A378" s="339"/>
      <c r="B378" s="252"/>
      <c r="C378" s="341" t="s">
        <v>70</v>
      </c>
      <c r="D378" s="328"/>
      <c r="E378" s="328"/>
      <c r="F378" s="328"/>
      <c r="G378" s="328"/>
      <c r="H378" s="328"/>
      <c r="I378" s="328"/>
      <c r="J378" s="334"/>
      <c r="K378" s="334"/>
      <c r="L378" s="328"/>
    </row>
    <row r="379" spans="1:12">
      <c r="A379" s="339"/>
      <c r="B379" s="252"/>
      <c r="C379" s="342" t="s">
        <v>75</v>
      </c>
      <c r="D379" s="357">
        <f t="shared" ref="D379:K379" si="42">SUBTOTAL(9,D373:D378)</f>
        <v>0</v>
      </c>
      <c r="E379" s="357">
        <f t="shared" si="42"/>
        <v>0</v>
      </c>
      <c r="F379" s="357">
        <f t="shared" si="42"/>
        <v>0</v>
      </c>
      <c r="G379" s="357">
        <f t="shared" si="42"/>
        <v>0</v>
      </c>
      <c r="H379" s="357">
        <f t="shared" si="42"/>
        <v>0</v>
      </c>
      <c r="I379" s="357">
        <f t="shared" si="42"/>
        <v>0</v>
      </c>
      <c r="J379" s="357">
        <f t="shared" si="42"/>
        <v>0</v>
      </c>
      <c r="K379" s="357">
        <f t="shared" si="42"/>
        <v>0</v>
      </c>
      <c r="L379" s="357">
        <f>SUBTOTAL(9,L373:L378)</f>
        <v>0</v>
      </c>
    </row>
    <row r="380" spans="1:12">
      <c r="A380" s="339"/>
      <c r="B380" s="252"/>
      <c r="C380" s="342"/>
      <c r="D380" s="329"/>
      <c r="E380" s="329"/>
      <c r="F380" s="329"/>
      <c r="G380" s="329"/>
      <c r="H380" s="329"/>
      <c r="I380" s="329"/>
      <c r="J380" s="329"/>
      <c r="K380" s="329"/>
      <c r="L380" s="329"/>
    </row>
    <row r="381" spans="1:12">
      <c r="A381" s="339">
        <f>+A372+1</f>
        <v>18</v>
      </c>
      <c r="B381" s="252" t="str">
        <f ca="1">OFFSET(List_AllocOpexListStart,A381,0)</f>
        <v>A-18</v>
      </c>
      <c r="C381" s="340" t="str">
        <f ca="1">VLOOKUP(B381,List_AllocatedCosts,2,FALSE)</f>
        <v>Employee Relations</v>
      </c>
      <c r="D381" s="329"/>
      <c r="E381" s="329"/>
      <c r="F381" s="329"/>
      <c r="G381" s="329"/>
      <c r="H381" s="329"/>
      <c r="I381" s="329"/>
      <c r="J381" s="329"/>
      <c r="K381" s="329"/>
      <c r="L381" s="329"/>
    </row>
    <row r="382" spans="1:12">
      <c r="A382" s="339"/>
      <c r="B382" s="252"/>
      <c r="C382" s="341" t="s">
        <v>68</v>
      </c>
      <c r="D382" s="328"/>
      <c r="E382" s="328"/>
      <c r="F382" s="328"/>
      <c r="G382" s="328"/>
      <c r="H382" s="328"/>
      <c r="I382" s="328"/>
      <c r="J382" s="334"/>
      <c r="K382" s="334"/>
      <c r="L382" s="328"/>
    </row>
    <row r="383" spans="1:12">
      <c r="A383" s="339"/>
      <c r="B383" s="252"/>
      <c r="C383" s="341" t="s">
        <v>69</v>
      </c>
      <c r="D383" s="328"/>
      <c r="E383" s="328"/>
      <c r="F383" s="328"/>
      <c r="G383" s="328"/>
      <c r="H383" s="328"/>
      <c r="I383" s="328"/>
      <c r="J383" s="334"/>
      <c r="K383" s="334"/>
      <c r="L383" s="328"/>
    </row>
    <row r="384" spans="1:12" s="759" customFormat="1">
      <c r="A384" s="339"/>
      <c r="B384" s="252"/>
      <c r="C384" s="341" t="s">
        <v>646</v>
      </c>
      <c r="D384" s="328"/>
      <c r="E384" s="328"/>
      <c r="F384" s="328"/>
      <c r="G384" s="328"/>
      <c r="H384" s="328"/>
      <c r="I384" s="328"/>
      <c r="J384" s="334"/>
      <c r="K384" s="334"/>
      <c r="L384" s="328"/>
    </row>
    <row r="385" spans="1:12">
      <c r="A385" s="339"/>
      <c r="B385" s="252"/>
      <c r="C385" s="341" t="s">
        <v>647</v>
      </c>
      <c r="D385" s="328"/>
      <c r="E385" s="328"/>
      <c r="F385" s="328"/>
      <c r="G385" s="328"/>
      <c r="H385" s="328"/>
      <c r="I385" s="328"/>
      <c r="J385" s="334"/>
      <c r="K385" s="334"/>
      <c r="L385" s="328"/>
    </row>
    <row r="386" spans="1:12" s="759" customFormat="1">
      <c r="A386" s="339"/>
      <c r="B386" s="252"/>
      <c r="C386" s="341" t="s">
        <v>575</v>
      </c>
      <c r="D386" s="328"/>
      <c r="E386" s="328"/>
      <c r="F386" s="328"/>
      <c r="G386" s="328"/>
      <c r="H386" s="328"/>
      <c r="I386" s="328"/>
      <c r="J386" s="334"/>
      <c r="K386" s="334"/>
      <c r="L386" s="328"/>
    </row>
    <row r="387" spans="1:12">
      <c r="A387" s="339"/>
      <c r="B387" s="252"/>
      <c r="C387" s="341" t="s">
        <v>70</v>
      </c>
      <c r="D387" s="328"/>
      <c r="E387" s="328"/>
      <c r="F387" s="328"/>
      <c r="G387" s="328"/>
      <c r="H387" s="328"/>
      <c r="I387" s="328"/>
      <c r="J387" s="334"/>
      <c r="K387" s="334"/>
      <c r="L387" s="328"/>
    </row>
    <row r="388" spans="1:12">
      <c r="A388" s="339"/>
      <c r="B388" s="252"/>
      <c r="C388" s="342" t="s">
        <v>75</v>
      </c>
      <c r="D388" s="357">
        <f t="shared" ref="D388:K388" si="43">SUBTOTAL(9,D382:D387)</f>
        <v>0</v>
      </c>
      <c r="E388" s="357">
        <f t="shared" si="43"/>
        <v>0</v>
      </c>
      <c r="F388" s="357">
        <f t="shared" si="43"/>
        <v>0</v>
      </c>
      <c r="G388" s="357">
        <f t="shared" si="43"/>
        <v>0</v>
      </c>
      <c r="H388" s="357">
        <f t="shared" si="43"/>
        <v>0</v>
      </c>
      <c r="I388" s="357">
        <f t="shared" si="43"/>
        <v>0</v>
      </c>
      <c r="J388" s="357">
        <f t="shared" si="43"/>
        <v>0</v>
      </c>
      <c r="K388" s="357">
        <f t="shared" si="43"/>
        <v>0</v>
      </c>
      <c r="L388" s="357">
        <f>SUBTOTAL(9,L382:L387)</f>
        <v>0</v>
      </c>
    </row>
    <row r="389" spans="1:12">
      <c r="A389" s="339"/>
      <c r="B389" s="252"/>
      <c r="C389" s="342"/>
      <c r="D389" s="329"/>
      <c r="E389" s="329"/>
      <c r="F389" s="329"/>
      <c r="G389" s="329"/>
      <c r="H389" s="329"/>
      <c r="I389" s="329"/>
      <c r="J389" s="329"/>
      <c r="K389" s="329"/>
      <c r="L389" s="329"/>
    </row>
    <row r="390" spans="1:12">
      <c r="A390" s="339">
        <f>+A381+1</f>
        <v>19</v>
      </c>
      <c r="B390" s="252" t="str">
        <f ca="1">OFFSET(List_AllocOpexListStart,A390,0)</f>
        <v>A-19</v>
      </c>
      <c r="C390" s="340" t="str">
        <f ca="1">VLOOKUP(B390,List_AllocatedCosts,2,FALSE)</f>
        <v>Workforce Development</v>
      </c>
      <c r="D390" s="329"/>
      <c r="E390" s="329"/>
      <c r="F390" s="329"/>
      <c r="G390" s="329"/>
      <c r="H390" s="329"/>
      <c r="I390" s="329"/>
      <c r="J390" s="329"/>
      <c r="K390" s="329"/>
      <c r="L390" s="329"/>
    </row>
    <row r="391" spans="1:12">
      <c r="A391" s="3"/>
      <c r="B391" s="252"/>
      <c r="C391" s="341" t="s">
        <v>68</v>
      </c>
      <c r="D391" s="328"/>
      <c r="E391" s="328"/>
      <c r="F391" s="328"/>
      <c r="G391" s="328"/>
      <c r="H391" s="328"/>
      <c r="I391" s="328"/>
      <c r="J391" s="334"/>
      <c r="K391" s="334"/>
      <c r="L391" s="328"/>
    </row>
    <row r="392" spans="1:12">
      <c r="A392" s="3"/>
      <c r="B392" s="252"/>
      <c r="C392" s="341" t="s">
        <v>69</v>
      </c>
      <c r="D392" s="328"/>
      <c r="E392" s="328"/>
      <c r="F392" s="328"/>
      <c r="G392" s="328"/>
      <c r="H392" s="328"/>
      <c r="I392" s="328"/>
      <c r="J392" s="334"/>
      <c r="K392" s="334"/>
      <c r="L392" s="328"/>
    </row>
    <row r="393" spans="1:12" s="759" customFormat="1">
      <c r="A393" s="544"/>
      <c r="B393" s="252"/>
      <c r="C393" s="341" t="s">
        <v>646</v>
      </c>
      <c r="D393" s="328"/>
      <c r="E393" s="328"/>
      <c r="F393" s="328"/>
      <c r="G393" s="328"/>
      <c r="H393" s="328"/>
      <c r="I393" s="328"/>
      <c r="J393" s="334"/>
      <c r="K393" s="334"/>
      <c r="L393" s="328"/>
    </row>
    <row r="394" spans="1:12">
      <c r="A394" s="3"/>
      <c r="B394" s="252"/>
      <c r="C394" s="341" t="s">
        <v>647</v>
      </c>
      <c r="D394" s="328"/>
      <c r="E394" s="328"/>
      <c r="F394" s="328"/>
      <c r="G394" s="328"/>
      <c r="H394" s="328"/>
      <c r="I394" s="328"/>
      <c r="J394" s="334"/>
      <c r="K394" s="334"/>
      <c r="L394" s="328"/>
    </row>
    <row r="395" spans="1:12" s="759" customFormat="1">
      <c r="A395" s="544"/>
      <c r="B395" s="252"/>
      <c r="C395" s="341" t="s">
        <v>575</v>
      </c>
      <c r="D395" s="328"/>
      <c r="E395" s="328"/>
      <c r="F395" s="328"/>
      <c r="G395" s="328"/>
      <c r="H395" s="328"/>
      <c r="I395" s="328"/>
      <c r="J395" s="334"/>
      <c r="K395" s="334"/>
      <c r="L395" s="328"/>
    </row>
    <row r="396" spans="1:12">
      <c r="A396" s="3"/>
      <c r="B396" s="252"/>
      <c r="C396" s="341" t="s">
        <v>70</v>
      </c>
      <c r="D396" s="328"/>
      <c r="E396" s="328"/>
      <c r="F396" s="328"/>
      <c r="G396" s="328"/>
      <c r="H396" s="328"/>
      <c r="I396" s="328"/>
      <c r="J396" s="334"/>
      <c r="K396" s="334"/>
      <c r="L396" s="328"/>
    </row>
    <row r="397" spans="1:12">
      <c r="A397" s="3"/>
      <c r="B397" s="252"/>
      <c r="C397" s="342" t="s">
        <v>75</v>
      </c>
      <c r="D397" s="357">
        <f t="shared" ref="D397:K397" si="44">SUBTOTAL(9,D391:D396)</f>
        <v>0</v>
      </c>
      <c r="E397" s="357">
        <f t="shared" si="44"/>
        <v>0</v>
      </c>
      <c r="F397" s="357">
        <f t="shared" si="44"/>
        <v>0</v>
      </c>
      <c r="G397" s="357">
        <f t="shared" si="44"/>
        <v>0</v>
      </c>
      <c r="H397" s="357">
        <f t="shared" si="44"/>
        <v>0</v>
      </c>
      <c r="I397" s="357">
        <f t="shared" si="44"/>
        <v>0</v>
      </c>
      <c r="J397" s="357">
        <f t="shared" si="44"/>
        <v>0</v>
      </c>
      <c r="K397" s="357">
        <f t="shared" si="44"/>
        <v>0</v>
      </c>
      <c r="L397" s="357">
        <f>SUBTOTAL(9,L391:L396)</f>
        <v>0</v>
      </c>
    </row>
    <row r="398" spans="1:12">
      <c r="A398" s="3"/>
      <c r="B398" s="252"/>
      <c r="C398" s="342"/>
      <c r="D398" s="329"/>
      <c r="E398" s="329"/>
      <c r="F398" s="329"/>
      <c r="G398" s="329"/>
      <c r="H398" s="329"/>
      <c r="I398" s="329"/>
      <c r="J398" s="329"/>
      <c r="K398" s="329"/>
      <c r="L398" s="329"/>
    </row>
    <row r="399" spans="1:12">
      <c r="A399" s="339">
        <f>+A390+1</f>
        <v>20</v>
      </c>
      <c r="B399" s="252" t="str">
        <f ca="1">OFFSET(List_AllocOpexListStart,A399,0)</f>
        <v>A-20</v>
      </c>
      <c r="C399" s="340" t="str">
        <f ca="1">VLOOKUP(B399,List_AllocatedCosts,2,FALSE)</f>
        <v>Training Centre</v>
      </c>
      <c r="D399" s="329"/>
      <c r="E399" s="329"/>
      <c r="F399" s="329"/>
      <c r="G399" s="329"/>
      <c r="H399" s="329"/>
      <c r="I399" s="329"/>
      <c r="J399" s="329"/>
      <c r="K399" s="329"/>
      <c r="L399" s="329"/>
    </row>
    <row r="400" spans="1:12">
      <c r="A400" s="339"/>
      <c r="B400" s="252"/>
      <c r="C400" s="341" t="s">
        <v>68</v>
      </c>
      <c r="D400" s="328"/>
      <c r="E400" s="328"/>
      <c r="F400" s="328"/>
      <c r="G400" s="328"/>
      <c r="H400" s="328"/>
      <c r="I400" s="328"/>
      <c r="J400" s="334"/>
      <c r="K400" s="334"/>
      <c r="L400" s="328"/>
    </row>
    <row r="401" spans="1:12">
      <c r="A401" s="339"/>
      <c r="B401" s="252"/>
      <c r="C401" s="341" t="s">
        <v>69</v>
      </c>
      <c r="D401" s="328"/>
      <c r="E401" s="328"/>
      <c r="F401" s="328"/>
      <c r="G401" s="328"/>
      <c r="H401" s="328"/>
      <c r="I401" s="328"/>
      <c r="J401" s="334"/>
      <c r="K401" s="334"/>
      <c r="L401" s="328"/>
    </row>
    <row r="402" spans="1:12" s="759" customFormat="1">
      <c r="A402" s="339"/>
      <c r="B402" s="252"/>
      <c r="C402" s="341" t="s">
        <v>646</v>
      </c>
      <c r="D402" s="328"/>
      <c r="E402" s="328"/>
      <c r="F402" s="328"/>
      <c r="G402" s="328"/>
      <c r="H402" s="328"/>
      <c r="I402" s="328"/>
      <c r="J402" s="334"/>
      <c r="K402" s="334"/>
      <c r="L402" s="328"/>
    </row>
    <row r="403" spans="1:12">
      <c r="A403" s="339"/>
      <c r="B403" s="252"/>
      <c r="C403" s="341" t="s">
        <v>647</v>
      </c>
      <c r="D403" s="328"/>
      <c r="E403" s="328"/>
      <c r="F403" s="328"/>
      <c r="G403" s="328"/>
      <c r="H403" s="328"/>
      <c r="I403" s="328"/>
      <c r="J403" s="334"/>
      <c r="K403" s="334"/>
      <c r="L403" s="328"/>
    </row>
    <row r="404" spans="1:12" s="759" customFormat="1">
      <c r="A404" s="339"/>
      <c r="B404" s="252"/>
      <c r="C404" s="341" t="s">
        <v>575</v>
      </c>
      <c r="D404" s="328"/>
      <c r="E404" s="328"/>
      <c r="F404" s="328"/>
      <c r="G404" s="328"/>
      <c r="H404" s="328"/>
      <c r="I404" s="328"/>
      <c r="J404" s="334"/>
      <c r="K404" s="334"/>
      <c r="L404" s="328"/>
    </row>
    <row r="405" spans="1:12">
      <c r="A405" s="339"/>
      <c r="B405" s="252"/>
      <c r="C405" s="341" t="s">
        <v>70</v>
      </c>
      <c r="D405" s="328"/>
      <c r="E405" s="328"/>
      <c r="F405" s="328"/>
      <c r="G405" s="328"/>
      <c r="H405" s="328"/>
      <c r="I405" s="328"/>
      <c r="J405" s="334"/>
      <c r="K405" s="334"/>
      <c r="L405" s="328"/>
    </row>
    <row r="406" spans="1:12">
      <c r="A406" s="339"/>
      <c r="B406" s="252"/>
      <c r="C406" s="342" t="s">
        <v>75</v>
      </c>
      <c r="D406" s="357">
        <f t="shared" ref="D406:K406" si="45">SUBTOTAL(9,D400:D405)</f>
        <v>0</v>
      </c>
      <c r="E406" s="357">
        <f t="shared" si="45"/>
        <v>0</v>
      </c>
      <c r="F406" s="357">
        <f t="shared" si="45"/>
        <v>0</v>
      </c>
      <c r="G406" s="357">
        <f t="shared" si="45"/>
        <v>0</v>
      </c>
      <c r="H406" s="357">
        <f t="shared" si="45"/>
        <v>0</v>
      </c>
      <c r="I406" s="357">
        <f t="shared" si="45"/>
        <v>0</v>
      </c>
      <c r="J406" s="357">
        <f t="shared" si="45"/>
        <v>0</v>
      </c>
      <c r="K406" s="357">
        <f t="shared" si="45"/>
        <v>0</v>
      </c>
      <c r="L406" s="357">
        <f>SUBTOTAL(9,L400:L405)</f>
        <v>0</v>
      </c>
    </row>
    <row r="407" spans="1:12">
      <c r="A407" s="339"/>
      <c r="B407" s="252"/>
      <c r="C407" s="342"/>
      <c r="D407" s="329"/>
      <c r="E407" s="329"/>
      <c r="F407" s="329"/>
      <c r="G407" s="329"/>
      <c r="H407" s="329"/>
      <c r="I407" s="329"/>
      <c r="J407" s="329"/>
      <c r="K407" s="329"/>
      <c r="L407" s="329"/>
    </row>
    <row r="408" spans="1:12">
      <c r="A408" s="339">
        <f>+A399+1</f>
        <v>21</v>
      </c>
      <c r="B408" s="252" t="str">
        <f ca="1">OFFSET(List_AllocOpexListStart,A408,0)</f>
        <v>A-21</v>
      </c>
      <c r="C408" s="340" t="str">
        <f ca="1">VLOOKUP(B408,List_AllocatedCosts,2,FALSE)</f>
        <v>Apprentice Training</v>
      </c>
      <c r="D408" s="329"/>
      <c r="E408" s="329"/>
      <c r="F408" s="329"/>
      <c r="G408" s="329"/>
      <c r="H408" s="329"/>
      <c r="I408" s="329"/>
      <c r="J408" s="329"/>
      <c r="K408" s="329"/>
      <c r="L408" s="329"/>
    </row>
    <row r="409" spans="1:12">
      <c r="A409" s="3"/>
      <c r="B409" s="252"/>
      <c r="C409" s="341" t="s">
        <v>68</v>
      </c>
      <c r="D409" s="328"/>
      <c r="E409" s="328"/>
      <c r="F409" s="328"/>
      <c r="G409" s="328"/>
      <c r="H409" s="328"/>
      <c r="I409" s="328"/>
      <c r="J409" s="334"/>
      <c r="K409" s="334"/>
      <c r="L409" s="328"/>
    </row>
    <row r="410" spans="1:12">
      <c r="A410" s="3"/>
      <c r="B410" s="252"/>
      <c r="C410" s="341" t="s">
        <v>69</v>
      </c>
      <c r="D410" s="328"/>
      <c r="E410" s="328"/>
      <c r="F410" s="328"/>
      <c r="G410" s="328"/>
      <c r="H410" s="328"/>
      <c r="I410" s="328"/>
      <c r="J410" s="334"/>
      <c r="K410" s="334"/>
      <c r="L410" s="328"/>
    </row>
    <row r="411" spans="1:12" s="759" customFormat="1">
      <c r="A411" s="544"/>
      <c r="B411" s="252"/>
      <c r="C411" s="341" t="s">
        <v>646</v>
      </c>
      <c r="D411" s="328"/>
      <c r="E411" s="328"/>
      <c r="F411" s="328"/>
      <c r="G411" s="328"/>
      <c r="H411" s="328"/>
      <c r="I411" s="328"/>
      <c r="J411" s="334"/>
      <c r="K411" s="334"/>
      <c r="L411" s="328"/>
    </row>
    <row r="412" spans="1:12">
      <c r="A412" s="3"/>
      <c r="B412" s="252"/>
      <c r="C412" s="341" t="s">
        <v>647</v>
      </c>
      <c r="D412" s="328"/>
      <c r="E412" s="328"/>
      <c r="F412" s="328"/>
      <c r="G412" s="328"/>
      <c r="H412" s="328"/>
      <c r="I412" s="328"/>
      <c r="J412" s="334"/>
      <c r="K412" s="334"/>
      <c r="L412" s="328"/>
    </row>
    <row r="413" spans="1:12" s="759" customFormat="1">
      <c r="A413" s="544"/>
      <c r="B413" s="252"/>
      <c r="C413" s="341" t="s">
        <v>575</v>
      </c>
      <c r="D413" s="328"/>
      <c r="E413" s="328"/>
      <c r="F413" s="328"/>
      <c r="G413" s="328"/>
      <c r="H413" s="328"/>
      <c r="I413" s="328"/>
      <c r="J413" s="334"/>
      <c r="K413" s="334"/>
      <c r="L413" s="328"/>
    </row>
    <row r="414" spans="1:12">
      <c r="A414" s="3"/>
      <c r="B414" s="252"/>
      <c r="C414" s="341" t="s">
        <v>70</v>
      </c>
      <c r="D414" s="328"/>
      <c r="E414" s="328"/>
      <c r="F414" s="328"/>
      <c r="G414" s="328"/>
      <c r="H414" s="328"/>
      <c r="I414" s="328"/>
      <c r="J414" s="334"/>
      <c r="K414" s="334"/>
      <c r="L414" s="328"/>
    </row>
    <row r="415" spans="1:12">
      <c r="A415" s="3"/>
      <c r="B415" s="252"/>
      <c r="C415" s="342" t="s">
        <v>75</v>
      </c>
      <c r="D415" s="357">
        <f t="shared" ref="D415:K415" si="46">SUBTOTAL(9,D409:D414)</f>
        <v>0</v>
      </c>
      <c r="E415" s="357">
        <f t="shared" si="46"/>
        <v>0</v>
      </c>
      <c r="F415" s="357">
        <f t="shared" si="46"/>
        <v>0</v>
      </c>
      <c r="G415" s="357">
        <f t="shared" si="46"/>
        <v>0</v>
      </c>
      <c r="H415" s="357">
        <f t="shared" si="46"/>
        <v>0</v>
      </c>
      <c r="I415" s="357">
        <f t="shared" si="46"/>
        <v>0</v>
      </c>
      <c r="J415" s="357">
        <f t="shared" si="46"/>
        <v>0</v>
      </c>
      <c r="K415" s="357">
        <f t="shared" si="46"/>
        <v>0</v>
      </c>
      <c r="L415" s="357">
        <f>SUBTOTAL(9,L409:L414)</f>
        <v>0</v>
      </c>
    </row>
    <row r="416" spans="1:12">
      <c r="A416" s="3"/>
      <c r="B416" s="252"/>
      <c r="C416" s="350"/>
      <c r="D416" s="329"/>
      <c r="E416" s="329"/>
      <c r="F416" s="329"/>
      <c r="G416" s="329"/>
      <c r="H416" s="329"/>
      <c r="I416" s="329"/>
      <c r="J416" s="329"/>
      <c r="K416" s="329"/>
      <c r="L416" s="329"/>
    </row>
    <row r="417" spans="1:12">
      <c r="A417" s="339">
        <f>+A408+1</f>
        <v>22</v>
      </c>
      <c r="B417" s="252" t="str">
        <f ca="1">OFFSET(List_AllocOpexListStart,A417,0)</f>
        <v>A-22</v>
      </c>
      <c r="C417" s="340" t="str">
        <f ca="1">VLOOKUP(B417,List_AllocatedCosts,2,FALSE)</f>
        <v>Training Centre Management</v>
      </c>
      <c r="D417" s="329"/>
      <c r="E417" s="329"/>
      <c r="F417" s="329"/>
      <c r="G417" s="329"/>
      <c r="H417" s="329"/>
      <c r="I417" s="329"/>
      <c r="J417" s="329"/>
      <c r="K417" s="329"/>
      <c r="L417" s="329"/>
    </row>
    <row r="418" spans="1:12">
      <c r="A418" s="339"/>
      <c r="B418" s="252"/>
      <c r="C418" s="341" t="s">
        <v>68</v>
      </c>
      <c r="D418" s="328"/>
      <c r="E418" s="328"/>
      <c r="F418" s="328"/>
      <c r="G418" s="328"/>
      <c r="H418" s="328"/>
      <c r="I418" s="328"/>
      <c r="J418" s="334"/>
      <c r="K418" s="334"/>
      <c r="L418" s="328"/>
    </row>
    <row r="419" spans="1:12">
      <c r="A419" s="339"/>
      <c r="B419" s="252"/>
      <c r="C419" s="341" t="s">
        <v>69</v>
      </c>
      <c r="D419" s="328"/>
      <c r="E419" s="328"/>
      <c r="F419" s="328"/>
      <c r="G419" s="328"/>
      <c r="H419" s="328"/>
      <c r="I419" s="328"/>
      <c r="J419" s="334"/>
      <c r="K419" s="334"/>
      <c r="L419" s="328"/>
    </row>
    <row r="420" spans="1:12" s="759" customFormat="1">
      <c r="A420" s="339"/>
      <c r="B420" s="252"/>
      <c r="C420" s="341" t="s">
        <v>646</v>
      </c>
      <c r="D420" s="328"/>
      <c r="E420" s="328"/>
      <c r="F420" s="328"/>
      <c r="G420" s="328"/>
      <c r="H420" s="328"/>
      <c r="I420" s="328"/>
      <c r="J420" s="334"/>
      <c r="K420" s="334"/>
      <c r="L420" s="328"/>
    </row>
    <row r="421" spans="1:12">
      <c r="A421" s="339"/>
      <c r="B421" s="252"/>
      <c r="C421" s="341" t="s">
        <v>647</v>
      </c>
      <c r="D421" s="328"/>
      <c r="E421" s="328"/>
      <c r="F421" s="328"/>
      <c r="G421" s="328"/>
      <c r="H421" s="328"/>
      <c r="I421" s="328"/>
      <c r="J421" s="334"/>
      <c r="K421" s="334"/>
      <c r="L421" s="328"/>
    </row>
    <row r="422" spans="1:12" s="759" customFormat="1">
      <c r="A422" s="339"/>
      <c r="B422" s="252"/>
      <c r="C422" s="341" t="s">
        <v>575</v>
      </c>
      <c r="D422" s="328"/>
      <c r="E422" s="328"/>
      <c r="F422" s="328"/>
      <c r="G422" s="328"/>
      <c r="H422" s="328"/>
      <c r="I422" s="328"/>
      <c r="J422" s="334"/>
      <c r="K422" s="334"/>
      <c r="L422" s="328"/>
    </row>
    <row r="423" spans="1:12">
      <c r="A423" s="339"/>
      <c r="B423" s="252"/>
      <c r="C423" s="341" t="s">
        <v>70</v>
      </c>
      <c r="D423" s="328"/>
      <c r="E423" s="328"/>
      <c r="F423" s="328"/>
      <c r="G423" s="328"/>
      <c r="H423" s="328"/>
      <c r="I423" s="328"/>
      <c r="J423" s="334"/>
      <c r="K423" s="334"/>
      <c r="L423" s="328"/>
    </row>
    <row r="424" spans="1:12">
      <c r="A424" s="339"/>
      <c r="B424" s="252"/>
      <c r="C424" s="342" t="s">
        <v>75</v>
      </c>
      <c r="D424" s="357">
        <f t="shared" ref="D424:K424" si="47">SUBTOTAL(9,D418:D423)</f>
        <v>0</v>
      </c>
      <c r="E424" s="357">
        <f t="shared" si="47"/>
        <v>0</v>
      </c>
      <c r="F424" s="357">
        <f t="shared" si="47"/>
        <v>0</v>
      </c>
      <c r="G424" s="357">
        <f t="shared" si="47"/>
        <v>0</v>
      </c>
      <c r="H424" s="357">
        <f t="shared" si="47"/>
        <v>0</v>
      </c>
      <c r="I424" s="357">
        <f t="shared" si="47"/>
        <v>0</v>
      </c>
      <c r="J424" s="357">
        <f t="shared" si="47"/>
        <v>0</v>
      </c>
      <c r="K424" s="357">
        <f t="shared" si="47"/>
        <v>0</v>
      </c>
      <c r="L424" s="357">
        <f>SUBTOTAL(9,L418:L423)</f>
        <v>0</v>
      </c>
    </row>
    <row r="425" spans="1:12">
      <c r="A425" s="339"/>
      <c r="B425" s="252"/>
      <c r="C425" s="342"/>
      <c r="D425" s="329"/>
      <c r="E425" s="329"/>
      <c r="F425" s="329"/>
      <c r="G425" s="329"/>
      <c r="H425" s="329"/>
      <c r="I425" s="329"/>
      <c r="J425" s="329"/>
      <c r="K425" s="329"/>
      <c r="L425" s="329"/>
    </row>
    <row r="426" spans="1:12">
      <c r="A426" s="339">
        <f>+A417+1</f>
        <v>23</v>
      </c>
      <c r="B426" s="252" t="str">
        <f ca="1">OFFSET(List_AllocOpexListStart,A426,0)</f>
        <v>A-23</v>
      </c>
      <c r="C426" s="340" t="str">
        <f ca="1">VLOOKUP(B426,List_AllocatedCosts,2,FALSE)</f>
        <v>Information Technology</v>
      </c>
      <c r="D426" s="329"/>
      <c r="E426" s="329"/>
      <c r="F426" s="329"/>
      <c r="G426" s="329"/>
      <c r="H426" s="329"/>
      <c r="I426" s="329"/>
      <c r="J426" s="329"/>
      <c r="K426" s="329"/>
      <c r="L426" s="329"/>
    </row>
    <row r="427" spans="1:12">
      <c r="A427" s="339"/>
      <c r="B427" s="252"/>
      <c r="C427" s="341" t="s">
        <v>68</v>
      </c>
      <c r="D427" s="328"/>
      <c r="E427" s="328"/>
      <c r="F427" s="328"/>
      <c r="G427" s="328"/>
      <c r="H427" s="328"/>
      <c r="I427" s="328"/>
      <c r="J427" s="334"/>
      <c r="K427" s="334"/>
      <c r="L427" s="328"/>
    </row>
    <row r="428" spans="1:12">
      <c r="A428" s="339"/>
      <c r="B428" s="252"/>
      <c r="C428" s="341" t="s">
        <v>69</v>
      </c>
      <c r="D428" s="328"/>
      <c r="E428" s="328"/>
      <c r="F428" s="328"/>
      <c r="G428" s="328"/>
      <c r="H428" s="328"/>
      <c r="I428" s="328"/>
      <c r="J428" s="334"/>
      <c r="K428" s="334"/>
      <c r="L428" s="328"/>
    </row>
    <row r="429" spans="1:12" s="759" customFormat="1">
      <c r="A429" s="339"/>
      <c r="B429" s="252"/>
      <c r="C429" s="341" t="s">
        <v>646</v>
      </c>
      <c r="D429" s="328"/>
      <c r="E429" s="328"/>
      <c r="F429" s="328"/>
      <c r="G429" s="328"/>
      <c r="H429" s="328"/>
      <c r="I429" s="328"/>
      <c r="J429" s="334"/>
      <c r="K429" s="334"/>
      <c r="L429" s="328"/>
    </row>
    <row r="430" spans="1:12">
      <c r="A430" s="339"/>
      <c r="B430" s="252"/>
      <c r="C430" s="341" t="s">
        <v>647</v>
      </c>
      <c r="D430" s="328"/>
      <c r="E430" s="328"/>
      <c r="F430" s="328"/>
      <c r="G430" s="328"/>
      <c r="H430" s="328"/>
      <c r="I430" s="328"/>
      <c r="J430" s="334"/>
      <c r="K430" s="334"/>
      <c r="L430" s="328"/>
    </row>
    <row r="431" spans="1:12" s="759" customFormat="1">
      <c r="A431" s="339"/>
      <c r="B431" s="252"/>
      <c r="C431" s="341" t="s">
        <v>575</v>
      </c>
      <c r="D431" s="328"/>
      <c r="E431" s="328"/>
      <c r="F431" s="328"/>
      <c r="G431" s="328"/>
      <c r="H431" s="328"/>
      <c r="I431" s="328"/>
      <c r="J431" s="334"/>
      <c r="K431" s="334"/>
      <c r="L431" s="328"/>
    </row>
    <row r="432" spans="1:12">
      <c r="A432" s="339"/>
      <c r="B432" s="252"/>
      <c r="C432" s="341" t="s">
        <v>70</v>
      </c>
      <c r="D432" s="328"/>
      <c r="E432" s="328"/>
      <c r="F432" s="328"/>
      <c r="G432" s="328"/>
      <c r="H432" s="328"/>
      <c r="I432" s="328"/>
      <c r="J432" s="334"/>
      <c r="K432" s="334"/>
      <c r="L432" s="328"/>
    </row>
    <row r="433" spans="1:12">
      <c r="A433" s="339"/>
      <c r="B433" s="252"/>
      <c r="C433" s="342" t="s">
        <v>75</v>
      </c>
      <c r="D433" s="357">
        <f t="shared" ref="D433:K433" si="48">SUBTOTAL(9,D427:D432)</f>
        <v>0</v>
      </c>
      <c r="E433" s="357">
        <f t="shared" si="48"/>
        <v>0</v>
      </c>
      <c r="F433" s="357">
        <f t="shared" si="48"/>
        <v>0</v>
      </c>
      <c r="G433" s="357">
        <f t="shared" si="48"/>
        <v>0</v>
      </c>
      <c r="H433" s="357">
        <f t="shared" si="48"/>
        <v>0</v>
      </c>
      <c r="I433" s="357">
        <f t="shared" si="48"/>
        <v>0</v>
      </c>
      <c r="J433" s="357">
        <f t="shared" si="48"/>
        <v>0</v>
      </c>
      <c r="K433" s="357">
        <f t="shared" si="48"/>
        <v>0</v>
      </c>
      <c r="L433" s="357">
        <f>SUBTOTAL(9,L427:L432)</f>
        <v>0</v>
      </c>
    </row>
    <row r="434" spans="1:12">
      <c r="A434" s="339"/>
      <c r="B434" s="252"/>
      <c r="C434" s="342"/>
      <c r="D434" s="329"/>
      <c r="E434" s="329"/>
      <c r="F434" s="329"/>
      <c r="G434" s="329"/>
      <c r="H434" s="329"/>
      <c r="I434" s="329"/>
      <c r="J434" s="329"/>
      <c r="K434" s="329"/>
      <c r="L434" s="329"/>
    </row>
    <row r="435" spans="1:12">
      <c r="A435" s="339">
        <f>+A426+1</f>
        <v>24</v>
      </c>
      <c r="B435" s="252" t="str">
        <f ca="1">OFFSET(List_AllocOpexListStart,A435,0)</f>
        <v>A-24</v>
      </c>
      <c r="C435" s="340" t="str">
        <f ca="1">VLOOKUP(B435,List_AllocatedCosts,2,FALSE)</f>
        <v>Property – Offices and Depots</v>
      </c>
      <c r="D435" s="329"/>
      <c r="E435" s="329"/>
      <c r="F435" s="329"/>
      <c r="G435" s="329"/>
      <c r="H435" s="329"/>
      <c r="I435" s="329"/>
      <c r="J435" s="329"/>
      <c r="K435" s="329"/>
      <c r="L435" s="329"/>
    </row>
    <row r="436" spans="1:12">
      <c r="A436" s="3"/>
      <c r="B436" s="252"/>
      <c r="C436" s="341" t="s">
        <v>68</v>
      </c>
      <c r="D436" s="328"/>
      <c r="E436" s="328"/>
      <c r="F436" s="328"/>
      <c r="G436" s="328"/>
      <c r="H436" s="328"/>
      <c r="I436" s="328"/>
      <c r="J436" s="334"/>
      <c r="K436" s="334"/>
      <c r="L436" s="328"/>
    </row>
    <row r="437" spans="1:12">
      <c r="A437" s="3"/>
      <c r="B437" s="252"/>
      <c r="C437" s="341" t="s">
        <v>69</v>
      </c>
      <c r="D437" s="328"/>
      <c r="E437" s="328"/>
      <c r="F437" s="328"/>
      <c r="G437" s="328"/>
      <c r="H437" s="328"/>
      <c r="I437" s="328"/>
      <c r="J437" s="334"/>
      <c r="K437" s="334"/>
      <c r="L437" s="328"/>
    </row>
    <row r="438" spans="1:12" s="759" customFormat="1">
      <c r="A438" s="544"/>
      <c r="B438" s="252"/>
      <c r="C438" s="341" t="s">
        <v>646</v>
      </c>
      <c r="D438" s="328"/>
      <c r="E438" s="328"/>
      <c r="F438" s="328"/>
      <c r="G438" s="328"/>
      <c r="H438" s="328"/>
      <c r="I438" s="328"/>
      <c r="J438" s="334"/>
      <c r="K438" s="334"/>
      <c r="L438" s="328"/>
    </row>
    <row r="439" spans="1:12">
      <c r="A439" s="3"/>
      <c r="B439" s="252"/>
      <c r="C439" s="341" t="s">
        <v>647</v>
      </c>
      <c r="D439" s="328"/>
      <c r="E439" s="328"/>
      <c r="F439" s="328"/>
      <c r="G439" s="328"/>
      <c r="H439" s="328"/>
      <c r="I439" s="328"/>
      <c r="J439" s="334"/>
      <c r="K439" s="334"/>
      <c r="L439" s="328"/>
    </row>
    <row r="440" spans="1:12" s="759" customFormat="1">
      <c r="A440" s="544"/>
      <c r="B440" s="252"/>
      <c r="C440" s="341" t="s">
        <v>575</v>
      </c>
      <c r="D440" s="328"/>
      <c r="E440" s="328"/>
      <c r="F440" s="328"/>
      <c r="G440" s="328"/>
      <c r="H440" s="328"/>
      <c r="I440" s="328"/>
      <c r="J440" s="334"/>
      <c r="K440" s="334"/>
      <c r="L440" s="328"/>
    </row>
    <row r="441" spans="1:12">
      <c r="A441" s="3"/>
      <c r="B441" s="252"/>
      <c r="C441" s="341" t="s">
        <v>70</v>
      </c>
      <c r="D441" s="328"/>
      <c r="E441" s="328"/>
      <c r="F441" s="328"/>
      <c r="G441" s="328"/>
      <c r="H441" s="328"/>
      <c r="I441" s="328"/>
      <c r="J441" s="334"/>
      <c r="K441" s="334"/>
      <c r="L441" s="328"/>
    </row>
    <row r="442" spans="1:12">
      <c r="A442" s="3"/>
      <c r="B442" s="252"/>
      <c r="C442" s="342" t="s">
        <v>75</v>
      </c>
      <c r="D442" s="357">
        <f t="shared" ref="D442:K442" si="49">SUBTOTAL(9,D436:D441)</f>
        <v>0</v>
      </c>
      <c r="E442" s="357">
        <f t="shared" si="49"/>
        <v>0</v>
      </c>
      <c r="F442" s="357">
        <f t="shared" si="49"/>
        <v>0</v>
      </c>
      <c r="G442" s="357">
        <f t="shared" si="49"/>
        <v>0</v>
      </c>
      <c r="H442" s="357">
        <f t="shared" si="49"/>
        <v>0</v>
      </c>
      <c r="I442" s="357">
        <f t="shared" si="49"/>
        <v>0</v>
      </c>
      <c r="J442" s="357">
        <f t="shared" si="49"/>
        <v>0</v>
      </c>
      <c r="K442" s="357">
        <f t="shared" si="49"/>
        <v>0</v>
      </c>
      <c r="L442" s="357">
        <f>SUBTOTAL(9,L436:L441)</f>
        <v>0</v>
      </c>
    </row>
    <row r="443" spans="1:12">
      <c r="A443" s="3"/>
      <c r="B443" s="252"/>
      <c r="C443" s="342"/>
      <c r="D443" s="329"/>
      <c r="E443" s="329"/>
      <c r="F443" s="329"/>
      <c r="G443" s="329"/>
      <c r="H443" s="329"/>
      <c r="I443" s="329"/>
      <c r="J443" s="329"/>
      <c r="K443" s="329"/>
      <c r="L443" s="329"/>
    </row>
    <row r="444" spans="1:12">
      <c r="A444" s="339">
        <f>+A435+1</f>
        <v>25</v>
      </c>
      <c r="B444" s="252" t="str">
        <f ca="1">OFFSET(List_AllocOpexListStart,A444,0)</f>
        <v>A-25</v>
      </c>
      <c r="C444" s="340" t="str">
        <f ca="1">VLOOKUP(B444,List_AllocatedCosts,2,FALSE)</f>
        <v>Property – DLC Land Tax</v>
      </c>
      <c r="D444" s="329"/>
      <c r="E444" s="329"/>
      <c r="F444" s="329"/>
      <c r="G444" s="329"/>
      <c r="H444" s="329"/>
      <c r="I444" s="329"/>
      <c r="J444" s="329"/>
      <c r="K444" s="329"/>
      <c r="L444" s="329"/>
    </row>
    <row r="445" spans="1:12">
      <c r="A445" s="339"/>
      <c r="B445" s="252"/>
      <c r="C445" s="341" t="s">
        <v>68</v>
      </c>
      <c r="D445" s="328"/>
      <c r="E445" s="328"/>
      <c r="F445" s="328"/>
      <c r="G445" s="328"/>
      <c r="H445" s="328"/>
      <c r="I445" s="328"/>
      <c r="J445" s="334"/>
      <c r="K445" s="334"/>
      <c r="L445" s="328"/>
    </row>
    <row r="446" spans="1:12">
      <c r="A446" s="339"/>
      <c r="B446" s="252"/>
      <c r="C446" s="341" t="s">
        <v>69</v>
      </c>
      <c r="D446" s="328"/>
      <c r="E446" s="328"/>
      <c r="F446" s="328"/>
      <c r="G446" s="328"/>
      <c r="H446" s="328"/>
      <c r="I446" s="328"/>
      <c r="J446" s="334"/>
      <c r="K446" s="334"/>
      <c r="L446" s="328"/>
    </row>
    <row r="447" spans="1:12" s="759" customFormat="1">
      <c r="A447" s="339"/>
      <c r="B447" s="252"/>
      <c r="C447" s="341" t="s">
        <v>646</v>
      </c>
      <c r="D447" s="328"/>
      <c r="E447" s="328"/>
      <c r="F447" s="328"/>
      <c r="G447" s="328"/>
      <c r="H447" s="328"/>
      <c r="I447" s="328"/>
      <c r="J447" s="334"/>
      <c r="K447" s="334"/>
      <c r="L447" s="328"/>
    </row>
    <row r="448" spans="1:12">
      <c r="A448" s="339"/>
      <c r="B448" s="252"/>
      <c r="C448" s="341" t="s">
        <v>647</v>
      </c>
      <c r="D448" s="328"/>
      <c r="E448" s="328"/>
      <c r="F448" s="328"/>
      <c r="G448" s="328"/>
      <c r="H448" s="328"/>
      <c r="I448" s="328"/>
      <c r="J448" s="334"/>
      <c r="K448" s="334"/>
      <c r="L448" s="328"/>
    </row>
    <row r="449" spans="1:12" s="759" customFormat="1">
      <c r="A449" s="339"/>
      <c r="B449" s="252"/>
      <c r="C449" s="341" t="s">
        <v>575</v>
      </c>
      <c r="D449" s="328"/>
      <c r="E449" s="328"/>
      <c r="F449" s="328"/>
      <c r="G449" s="328"/>
      <c r="H449" s="328"/>
      <c r="I449" s="328"/>
      <c r="J449" s="334"/>
      <c r="K449" s="334"/>
      <c r="L449" s="328"/>
    </row>
    <row r="450" spans="1:12">
      <c r="A450" s="339"/>
      <c r="B450" s="252"/>
      <c r="C450" s="341" t="s">
        <v>70</v>
      </c>
      <c r="D450" s="328"/>
      <c r="E450" s="328"/>
      <c r="F450" s="328"/>
      <c r="G450" s="328"/>
      <c r="H450" s="328"/>
      <c r="I450" s="328"/>
      <c r="J450" s="334"/>
      <c r="K450" s="334"/>
      <c r="L450" s="328"/>
    </row>
    <row r="451" spans="1:12">
      <c r="A451" s="339"/>
      <c r="B451" s="252"/>
      <c r="C451" s="342" t="s">
        <v>75</v>
      </c>
      <c r="D451" s="357">
        <f t="shared" ref="D451:K451" si="50">SUBTOTAL(9,D445:D450)</f>
        <v>0</v>
      </c>
      <c r="E451" s="357">
        <f t="shared" si="50"/>
        <v>0</v>
      </c>
      <c r="F451" s="357">
        <f t="shared" si="50"/>
        <v>0</v>
      </c>
      <c r="G451" s="357">
        <f t="shared" si="50"/>
        <v>0</v>
      </c>
      <c r="H451" s="357">
        <f t="shared" si="50"/>
        <v>0</v>
      </c>
      <c r="I451" s="357">
        <f t="shared" si="50"/>
        <v>0</v>
      </c>
      <c r="J451" s="357">
        <f t="shared" si="50"/>
        <v>0</v>
      </c>
      <c r="K451" s="357">
        <f t="shared" si="50"/>
        <v>0</v>
      </c>
      <c r="L451" s="357">
        <f>SUBTOTAL(9,L445:L450)</f>
        <v>0</v>
      </c>
    </row>
    <row r="452" spans="1:12">
      <c r="A452" s="339"/>
      <c r="B452" s="252"/>
      <c r="C452" s="342"/>
      <c r="D452" s="329"/>
      <c r="E452" s="329"/>
      <c r="F452" s="329"/>
      <c r="G452" s="329"/>
      <c r="H452" s="329"/>
      <c r="I452" s="329"/>
      <c r="J452" s="329"/>
      <c r="K452" s="329"/>
      <c r="L452" s="329"/>
    </row>
    <row r="453" spans="1:12">
      <c r="A453" s="339">
        <f>+A444+1</f>
        <v>26</v>
      </c>
      <c r="B453" s="252" t="str">
        <f ca="1">OFFSET(List_AllocOpexListStart,A453,0)</f>
        <v>A-26</v>
      </c>
      <c r="C453" s="340" t="str">
        <f ca="1">VLOOKUP(B453,List_AllocatedCosts,2,FALSE)</f>
        <v>OHS</v>
      </c>
      <c r="D453" s="329"/>
      <c r="E453" s="329"/>
      <c r="F453" s="329"/>
      <c r="G453" s="329"/>
      <c r="H453" s="329"/>
      <c r="I453" s="329"/>
      <c r="J453" s="329"/>
      <c r="K453" s="329"/>
      <c r="L453" s="329"/>
    </row>
    <row r="454" spans="1:12">
      <c r="A454" s="3"/>
      <c r="B454" s="252"/>
      <c r="C454" s="341" t="s">
        <v>68</v>
      </c>
      <c r="D454" s="328"/>
      <c r="E454" s="328"/>
      <c r="F454" s="328"/>
      <c r="G454" s="328"/>
      <c r="H454" s="328"/>
      <c r="I454" s="328"/>
      <c r="J454" s="334"/>
      <c r="K454" s="334"/>
      <c r="L454" s="328"/>
    </row>
    <row r="455" spans="1:12">
      <c r="A455" s="3"/>
      <c r="B455" s="252"/>
      <c r="C455" s="341" t="s">
        <v>69</v>
      </c>
      <c r="D455" s="328"/>
      <c r="E455" s="328"/>
      <c r="F455" s="328"/>
      <c r="G455" s="328"/>
      <c r="H455" s="328"/>
      <c r="I455" s="328"/>
      <c r="J455" s="334"/>
      <c r="K455" s="334"/>
      <c r="L455" s="328"/>
    </row>
    <row r="456" spans="1:12" s="759" customFormat="1">
      <c r="A456" s="544"/>
      <c r="B456" s="252"/>
      <c r="C456" s="341" t="s">
        <v>646</v>
      </c>
      <c r="D456" s="328"/>
      <c r="E456" s="328"/>
      <c r="F456" s="328"/>
      <c r="G456" s="328"/>
      <c r="H456" s="328"/>
      <c r="I456" s="328"/>
      <c r="J456" s="334"/>
      <c r="K456" s="334"/>
      <c r="L456" s="328"/>
    </row>
    <row r="457" spans="1:12">
      <c r="A457" s="3"/>
      <c r="B457" s="252"/>
      <c r="C457" s="341" t="s">
        <v>647</v>
      </c>
      <c r="D457" s="328"/>
      <c r="E457" s="328"/>
      <c r="F457" s="328"/>
      <c r="G457" s="328"/>
      <c r="H457" s="328"/>
      <c r="I457" s="328"/>
      <c r="J457" s="334"/>
      <c r="K457" s="334"/>
      <c r="L457" s="328"/>
    </row>
    <row r="458" spans="1:12" s="759" customFormat="1">
      <c r="A458" s="544"/>
      <c r="B458" s="252"/>
      <c r="C458" s="341" t="s">
        <v>575</v>
      </c>
      <c r="D458" s="328"/>
      <c r="E458" s="328"/>
      <c r="F458" s="328"/>
      <c r="G458" s="328"/>
      <c r="H458" s="328"/>
      <c r="I458" s="328"/>
      <c r="J458" s="334"/>
      <c r="K458" s="334"/>
      <c r="L458" s="328"/>
    </row>
    <row r="459" spans="1:12">
      <c r="A459" s="3"/>
      <c r="B459" s="252"/>
      <c r="C459" s="341" t="s">
        <v>70</v>
      </c>
      <c r="D459" s="328"/>
      <c r="E459" s="328"/>
      <c r="F459" s="328"/>
      <c r="G459" s="328"/>
      <c r="H459" s="328"/>
      <c r="I459" s="328"/>
      <c r="J459" s="334"/>
      <c r="K459" s="334"/>
      <c r="L459" s="328"/>
    </row>
    <row r="460" spans="1:12">
      <c r="A460" s="3"/>
      <c r="B460" s="252"/>
      <c r="C460" s="342" t="s">
        <v>75</v>
      </c>
      <c r="D460" s="357">
        <f t="shared" ref="D460:K460" si="51">SUBTOTAL(9,D454:D459)</f>
        <v>0</v>
      </c>
      <c r="E460" s="357">
        <f t="shared" si="51"/>
        <v>0</v>
      </c>
      <c r="F460" s="357">
        <f t="shared" si="51"/>
        <v>0</v>
      </c>
      <c r="G460" s="357">
        <f t="shared" si="51"/>
        <v>0</v>
      </c>
      <c r="H460" s="357">
        <f t="shared" si="51"/>
        <v>0</v>
      </c>
      <c r="I460" s="357">
        <f t="shared" si="51"/>
        <v>0</v>
      </c>
      <c r="J460" s="357">
        <f t="shared" si="51"/>
        <v>0</v>
      </c>
      <c r="K460" s="357">
        <f t="shared" si="51"/>
        <v>0</v>
      </c>
      <c r="L460" s="357">
        <f>SUBTOTAL(9,L454:L459)</f>
        <v>0</v>
      </c>
    </row>
    <row r="461" spans="1:12">
      <c r="A461" s="3"/>
      <c r="B461" s="252"/>
      <c r="C461" s="341"/>
      <c r="D461" s="329"/>
      <c r="E461" s="329"/>
      <c r="F461" s="329"/>
      <c r="G461" s="329"/>
      <c r="H461" s="329"/>
      <c r="I461" s="329"/>
      <c r="J461" s="329"/>
      <c r="K461" s="329"/>
      <c r="L461" s="329"/>
    </row>
    <row r="462" spans="1:12">
      <c r="A462" s="339">
        <f>+A453+1</f>
        <v>27</v>
      </c>
      <c r="B462" s="252" t="str">
        <f ca="1">OFFSET(List_AllocOpexListStart,A462,0)</f>
        <v>A-27</v>
      </c>
      <c r="C462" s="340" t="str">
        <f ca="1">VLOOKUP(B462,List_AllocatedCosts,2,FALSE)</f>
        <v>Environment</v>
      </c>
      <c r="D462" s="329"/>
      <c r="E462" s="329"/>
      <c r="F462" s="329"/>
      <c r="G462" s="329"/>
      <c r="H462" s="329"/>
      <c r="I462" s="329"/>
      <c r="J462" s="329"/>
      <c r="K462" s="329"/>
      <c r="L462" s="329"/>
    </row>
    <row r="463" spans="1:12">
      <c r="A463" s="339"/>
      <c r="B463" s="252"/>
      <c r="C463" s="341" t="s">
        <v>68</v>
      </c>
      <c r="D463" s="328"/>
      <c r="E463" s="328"/>
      <c r="F463" s="328"/>
      <c r="G463" s="328"/>
      <c r="H463" s="328"/>
      <c r="I463" s="328"/>
      <c r="J463" s="334"/>
      <c r="K463" s="334"/>
      <c r="L463" s="328"/>
    </row>
    <row r="464" spans="1:12">
      <c r="A464" s="339"/>
      <c r="B464" s="252"/>
      <c r="C464" s="341" t="s">
        <v>69</v>
      </c>
      <c r="D464" s="328"/>
      <c r="E464" s="328"/>
      <c r="F464" s="328"/>
      <c r="G464" s="328"/>
      <c r="H464" s="328"/>
      <c r="I464" s="328"/>
      <c r="J464" s="334"/>
      <c r="K464" s="334"/>
      <c r="L464" s="328"/>
    </row>
    <row r="465" spans="1:12" s="759" customFormat="1">
      <c r="A465" s="339"/>
      <c r="B465" s="252"/>
      <c r="C465" s="341" t="s">
        <v>646</v>
      </c>
      <c r="D465" s="328"/>
      <c r="E465" s="328"/>
      <c r="F465" s="328"/>
      <c r="G465" s="328"/>
      <c r="H465" s="328"/>
      <c r="I465" s="328"/>
      <c r="J465" s="334"/>
      <c r="K465" s="334"/>
      <c r="L465" s="328"/>
    </row>
    <row r="466" spans="1:12">
      <c r="A466" s="339"/>
      <c r="B466" s="252"/>
      <c r="C466" s="341" t="s">
        <v>647</v>
      </c>
      <c r="D466" s="328"/>
      <c r="E466" s="328"/>
      <c r="F466" s="328"/>
      <c r="G466" s="328"/>
      <c r="H466" s="328"/>
      <c r="I466" s="328"/>
      <c r="J466" s="334"/>
      <c r="K466" s="334"/>
      <c r="L466" s="328"/>
    </row>
    <row r="467" spans="1:12" s="759" customFormat="1">
      <c r="A467" s="339"/>
      <c r="B467" s="252"/>
      <c r="C467" s="341" t="s">
        <v>575</v>
      </c>
      <c r="D467" s="328"/>
      <c r="E467" s="328"/>
      <c r="F467" s="328"/>
      <c r="G467" s="328"/>
      <c r="H467" s="328"/>
      <c r="I467" s="328"/>
      <c r="J467" s="334"/>
      <c r="K467" s="334"/>
      <c r="L467" s="328"/>
    </row>
    <row r="468" spans="1:12">
      <c r="A468" s="339"/>
      <c r="B468" s="252"/>
      <c r="C468" s="341" t="s">
        <v>70</v>
      </c>
      <c r="D468" s="328"/>
      <c r="E468" s="328"/>
      <c r="F468" s="328"/>
      <c r="G468" s="328"/>
      <c r="H468" s="328"/>
      <c r="I468" s="328"/>
      <c r="J468" s="334"/>
      <c r="K468" s="334"/>
      <c r="L468" s="328"/>
    </row>
    <row r="469" spans="1:12">
      <c r="A469" s="339"/>
      <c r="B469" s="252"/>
      <c r="C469" s="342" t="s">
        <v>75</v>
      </c>
      <c r="D469" s="357">
        <f t="shared" ref="D469:K469" si="52">SUBTOTAL(9,D463:D468)</f>
        <v>0</v>
      </c>
      <c r="E469" s="357">
        <f t="shared" si="52"/>
        <v>0</v>
      </c>
      <c r="F469" s="357">
        <f t="shared" si="52"/>
        <v>0</v>
      </c>
      <c r="G469" s="357">
        <f t="shared" si="52"/>
        <v>0</v>
      </c>
      <c r="H469" s="357">
        <f t="shared" si="52"/>
        <v>0</v>
      </c>
      <c r="I469" s="357">
        <f t="shared" si="52"/>
        <v>0</v>
      </c>
      <c r="J469" s="357">
        <f t="shared" si="52"/>
        <v>0</v>
      </c>
      <c r="K469" s="357">
        <f t="shared" si="52"/>
        <v>0</v>
      </c>
      <c r="L469" s="357">
        <f>SUBTOTAL(9,L463:L468)</f>
        <v>0</v>
      </c>
    </row>
    <row r="470" spans="1:12">
      <c r="A470" s="339"/>
      <c r="B470" s="252"/>
      <c r="C470" s="342"/>
      <c r="D470" s="329"/>
      <c r="E470" s="329"/>
      <c r="F470" s="329"/>
      <c r="G470" s="329"/>
      <c r="H470" s="329"/>
      <c r="I470" s="329"/>
      <c r="J470" s="329"/>
      <c r="K470" s="329"/>
      <c r="L470" s="329"/>
    </row>
    <row r="471" spans="1:12">
      <c r="A471" s="339">
        <f>+A462+1</f>
        <v>28</v>
      </c>
      <c r="B471" s="252" t="str">
        <f ca="1">OFFSET(List_AllocOpexListStart,A471,0)</f>
        <v>A-28</v>
      </c>
      <c r="C471" s="340" t="str">
        <f ca="1">VLOOKUP(B471,List_AllocatedCosts,2,FALSE)</f>
        <v xml:space="preserve">Printing </v>
      </c>
      <c r="D471" s="329"/>
      <c r="E471" s="329"/>
      <c r="F471" s="329"/>
      <c r="G471" s="329"/>
      <c r="H471" s="329"/>
      <c r="I471" s="329"/>
      <c r="J471" s="329"/>
      <c r="K471" s="329"/>
      <c r="L471" s="329"/>
    </row>
    <row r="472" spans="1:12">
      <c r="A472" s="339"/>
      <c r="B472" s="252"/>
      <c r="C472" s="341" t="s">
        <v>68</v>
      </c>
      <c r="D472" s="328"/>
      <c r="E472" s="328"/>
      <c r="F472" s="328"/>
      <c r="G472" s="328"/>
      <c r="H472" s="328"/>
      <c r="I472" s="328"/>
      <c r="J472" s="334"/>
      <c r="K472" s="334"/>
      <c r="L472" s="328"/>
    </row>
    <row r="473" spans="1:12">
      <c r="A473" s="339"/>
      <c r="B473" s="252"/>
      <c r="C473" s="341" t="s">
        <v>69</v>
      </c>
      <c r="D473" s="328"/>
      <c r="E473" s="328"/>
      <c r="F473" s="328"/>
      <c r="G473" s="328"/>
      <c r="H473" s="328"/>
      <c r="I473" s="328"/>
      <c r="J473" s="334"/>
      <c r="K473" s="334"/>
      <c r="L473" s="328"/>
    </row>
    <row r="474" spans="1:12" s="759" customFormat="1">
      <c r="A474" s="339"/>
      <c r="B474" s="252"/>
      <c r="C474" s="341" t="s">
        <v>646</v>
      </c>
      <c r="D474" s="328"/>
      <c r="E474" s="328"/>
      <c r="F474" s="328"/>
      <c r="G474" s="328"/>
      <c r="H474" s="328"/>
      <c r="I474" s="328"/>
      <c r="J474" s="334"/>
      <c r="K474" s="334"/>
      <c r="L474" s="328"/>
    </row>
    <row r="475" spans="1:12">
      <c r="A475" s="339"/>
      <c r="B475" s="252"/>
      <c r="C475" s="341" t="s">
        <v>647</v>
      </c>
      <c r="D475" s="328"/>
      <c r="E475" s="328"/>
      <c r="F475" s="328"/>
      <c r="G475" s="328"/>
      <c r="H475" s="328"/>
      <c r="I475" s="328"/>
      <c r="J475" s="334"/>
      <c r="K475" s="334"/>
      <c r="L475" s="328"/>
    </row>
    <row r="476" spans="1:12" s="759" customFormat="1">
      <c r="A476" s="339"/>
      <c r="B476" s="252"/>
      <c r="C476" s="341" t="s">
        <v>575</v>
      </c>
      <c r="D476" s="328"/>
      <c r="E476" s="328"/>
      <c r="F476" s="328"/>
      <c r="G476" s="328"/>
      <c r="H476" s="328"/>
      <c r="I476" s="328"/>
      <c r="J476" s="334"/>
      <c r="K476" s="334"/>
      <c r="L476" s="328"/>
    </row>
    <row r="477" spans="1:12">
      <c r="A477" s="339"/>
      <c r="B477" s="252"/>
      <c r="C477" s="341" t="s">
        <v>70</v>
      </c>
      <c r="D477" s="328"/>
      <c r="E477" s="328"/>
      <c r="F477" s="328"/>
      <c r="G477" s="328"/>
      <c r="H477" s="328"/>
      <c r="I477" s="328"/>
      <c r="J477" s="334"/>
      <c r="K477" s="334"/>
      <c r="L477" s="328"/>
    </row>
    <row r="478" spans="1:12">
      <c r="A478" s="339"/>
      <c r="B478" s="252"/>
      <c r="C478" s="342" t="s">
        <v>75</v>
      </c>
      <c r="D478" s="357">
        <f t="shared" ref="D478:K478" si="53">SUBTOTAL(9,D472:D477)</f>
        <v>0</v>
      </c>
      <c r="E478" s="357">
        <f t="shared" si="53"/>
        <v>0</v>
      </c>
      <c r="F478" s="357">
        <f t="shared" si="53"/>
        <v>0</v>
      </c>
      <c r="G478" s="357">
        <f t="shared" si="53"/>
        <v>0</v>
      </c>
      <c r="H478" s="357">
        <f t="shared" si="53"/>
        <v>0</v>
      </c>
      <c r="I478" s="357">
        <f t="shared" si="53"/>
        <v>0</v>
      </c>
      <c r="J478" s="357">
        <f t="shared" si="53"/>
        <v>0</v>
      </c>
      <c r="K478" s="357">
        <f t="shared" si="53"/>
        <v>0</v>
      </c>
      <c r="L478" s="357">
        <f>SUBTOTAL(9,L472:L477)</f>
        <v>0</v>
      </c>
    </row>
    <row r="479" spans="1:12">
      <c r="A479" s="339"/>
      <c r="B479" s="252"/>
      <c r="C479" s="350"/>
      <c r="D479" s="329"/>
      <c r="E479" s="329"/>
      <c r="F479" s="329"/>
      <c r="G479" s="329"/>
      <c r="H479" s="329"/>
      <c r="I479" s="329"/>
      <c r="J479" s="329"/>
      <c r="K479" s="329"/>
      <c r="L479" s="329"/>
    </row>
    <row r="480" spans="1:12" ht="25.5">
      <c r="A480" s="339">
        <f>+A471+1</f>
        <v>29</v>
      </c>
      <c r="B480" s="252" t="str">
        <f ca="1">OFFSET(List_AllocOpexListStart,A480,0)</f>
        <v>A-29</v>
      </c>
      <c r="C480" s="340" t="str">
        <f ca="1">VLOOKUP(B480,List_AllocatedCosts,2,FALSE)</f>
        <v xml:space="preserve">Risk &amp; Insurance – Shared Insurance Premiums </v>
      </c>
      <c r="D480" s="329"/>
      <c r="E480" s="329"/>
      <c r="F480" s="329"/>
      <c r="G480" s="329"/>
      <c r="H480" s="329"/>
      <c r="I480" s="329"/>
      <c r="J480" s="329"/>
      <c r="K480" s="329"/>
      <c r="L480" s="329"/>
    </row>
    <row r="481" spans="1:12">
      <c r="A481" s="3"/>
      <c r="B481" s="252"/>
      <c r="C481" s="341" t="s">
        <v>68</v>
      </c>
      <c r="D481" s="328"/>
      <c r="E481" s="328"/>
      <c r="F481" s="328"/>
      <c r="G481" s="328"/>
      <c r="H481" s="328"/>
      <c r="I481" s="328"/>
      <c r="J481" s="334"/>
      <c r="K481" s="334"/>
      <c r="L481" s="328"/>
    </row>
    <row r="482" spans="1:12">
      <c r="A482" s="3"/>
      <c r="B482" s="252"/>
      <c r="C482" s="341" t="s">
        <v>69</v>
      </c>
      <c r="D482" s="328"/>
      <c r="E482" s="328"/>
      <c r="F482" s="328"/>
      <c r="G482" s="328"/>
      <c r="H482" s="328"/>
      <c r="I482" s="328"/>
      <c r="J482" s="334"/>
      <c r="K482" s="334"/>
      <c r="L482" s="328"/>
    </row>
    <row r="483" spans="1:12" s="759" customFormat="1">
      <c r="A483" s="544"/>
      <c r="B483" s="252"/>
      <c r="C483" s="341" t="s">
        <v>646</v>
      </c>
      <c r="D483" s="328"/>
      <c r="E483" s="328"/>
      <c r="F483" s="328"/>
      <c r="G483" s="328"/>
      <c r="H483" s="328"/>
      <c r="I483" s="328"/>
      <c r="J483" s="334"/>
      <c r="K483" s="334"/>
      <c r="L483" s="328"/>
    </row>
    <row r="484" spans="1:12">
      <c r="A484" s="3"/>
      <c r="B484" s="252"/>
      <c r="C484" s="341" t="s">
        <v>647</v>
      </c>
      <c r="D484" s="328"/>
      <c r="E484" s="328"/>
      <c r="F484" s="328"/>
      <c r="G484" s="328"/>
      <c r="H484" s="328"/>
      <c r="I484" s="328"/>
      <c r="J484" s="334"/>
      <c r="K484" s="334"/>
      <c r="L484" s="328"/>
    </row>
    <row r="485" spans="1:12" s="759" customFormat="1">
      <c r="A485" s="544"/>
      <c r="B485" s="252"/>
      <c r="C485" s="341" t="s">
        <v>575</v>
      </c>
      <c r="D485" s="328"/>
      <c r="E485" s="328"/>
      <c r="F485" s="328"/>
      <c r="G485" s="328"/>
      <c r="H485" s="328"/>
      <c r="I485" s="328"/>
      <c r="J485" s="334"/>
      <c r="K485" s="334"/>
      <c r="L485" s="328"/>
    </row>
    <row r="486" spans="1:12">
      <c r="A486" s="3"/>
      <c r="B486" s="252"/>
      <c r="C486" s="341" t="s">
        <v>70</v>
      </c>
      <c r="D486" s="328"/>
      <c r="E486" s="328"/>
      <c r="F486" s="328"/>
      <c r="G486" s="328"/>
      <c r="H486" s="328"/>
      <c r="I486" s="328"/>
      <c r="J486" s="334"/>
      <c r="K486" s="334"/>
      <c r="L486" s="328"/>
    </row>
    <row r="487" spans="1:12">
      <c r="A487" s="3"/>
      <c r="B487" s="252"/>
      <c r="C487" s="342" t="s">
        <v>75</v>
      </c>
      <c r="D487" s="357">
        <f t="shared" ref="D487:K487" si="54">SUBTOTAL(9,D481:D486)</f>
        <v>0</v>
      </c>
      <c r="E487" s="357">
        <f t="shared" si="54"/>
        <v>0</v>
      </c>
      <c r="F487" s="357">
        <f t="shared" si="54"/>
        <v>0</v>
      </c>
      <c r="G487" s="357">
        <f t="shared" si="54"/>
        <v>0</v>
      </c>
      <c r="H487" s="357">
        <f t="shared" si="54"/>
        <v>0</v>
      </c>
      <c r="I487" s="357">
        <f t="shared" si="54"/>
        <v>0</v>
      </c>
      <c r="J487" s="357">
        <f t="shared" si="54"/>
        <v>0</v>
      </c>
      <c r="K487" s="357">
        <f t="shared" si="54"/>
        <v>0</v>
      </c>
      <c r="L487" s="357">
        <f>SUBTOTAL(9,L481:L486)</f>
        <v>0</v>
      </c>
    </row>
    <row r="488" spans="1:12">
      <c r="A488" s="3"/>
      <c r="B488" s="252"/>
      <c r="C488" s="342"/>
      <c r="D488" s="329"/>
      <c r="E488" s="329"/>
      <c r="F488" s="329"/>
      <c r="G488" s="329"/>
      <c r="H488" s="329"/>
      <c r="I488" s="329"/>
      <c r="J488" s="329"/>
      <c r="K488" s="329"/>
      <c r="L488" s="329"/>
    </row>
    <row r="489" spans="1:12">
      <c r="A489" s="339">
        <f>+A480+1</f>
        <v>30</v>
      </c>
      <c r="B489" s="252" t="str">
        <f ca="1">OFFSET(List_AllocOpexListStart,A489,0)</f>
        <v>A-30</v>
      </c>
      <c r="C489" s="340" t="str">
        <f ca="1">VLOOKUP(B489,List_AllocatedCosts,2,FALSE)</f>
        <v>Risk &amp; Insurance – Support Costs</v>
      </c>
      <c r="D489" s="329"/>
      <c r="E489" s="329"/>
      <c r="F489" s="329"/>
      <c r="G489" s="329"/>
      <c r="H489" s="329"/>
      <c r="I489" s="329"/>
      <c r="J489" s="329"/>
      <c r="K489" s="329"/>
      <c r="L489" s="329"/>
    </row>
    <row r="490" spans="1:12">
      <c r="A490" s="339"/>
      <c r="B490" s="252"/>
      <c r="C490" s="341" t="s">
        <v>68</v>
      </c>
      <c r="D490" s="328"/>
      <c r="E490" s="328"/>
      <c r="F490" s="328"/>
      <c r="G490" s="328"/>
      <c r="H490" s="328"/>
      <c r="I490" s="328"/>
      <c r="J490" s="334"/>
      <c r="K490" s="334"/>
      <c r="L490" s="328"/>
    </row>
    <row r="491" spans="1:12">
      <c r="A491" s="339"/>
      <c r="B491" s="252"/>
      <c r="C491" s="341" t="s">
        <v>69</v>
      </c>
      <c r="D491" s="328"/>
      <c r="E491" s="328"/>
      <c r="F491" s="328"/>
      <c r="G491" s="328"/>
      <c r="H491" s="328"/>
      <c r="I491" s="328"/>
      <c r="J491" s="334"/>
      <c r="K491" s="334"/>
      <c r="L491" s="328"/>
    </row>
    <row r="492" spans="1:12" s="759" customFormat="1">
      <c r="A492" s="339"/>
      <c r="B492" s="252"/>
      <c r="C492" s="341" t="s">
        <v>646</v>
      </c>
      <c r="D492" s="328"/>
      <c r="E492" s="328"/>
      <c r="F492" s="328"/>
      <c r="G492" s="328"/>
      <c r="H492" s="328"/>
      <c r="I492" s="328"/>
      <c r="J492" s="334"/>
      <c r="K492" s="334"/>
      <c r="L492" s="328"/>
    </row>
    <row r="493" spans="1:12">
      <c r="A493" s="339"/>
      <c r="B493" s="252"/>
      <c r="C493" s="341" t="s">
        <v>647</v>
      </c>
      <c r="D493" s="328"/>
      <c r="E493" s="328"/>
      <c r="F493" s="328"/>
      <c r="G493" s="328"/>
      <c r="H493" s="328"/>
      <c r="I493" s="328"/>
      <c r="J493" s="334"/>
      <c r="K493" s="334"/>
      <c r="L493" s="328"/>
    </row>
    <row r="494" spans="1:12" s="759" customFormat="1">
      <c r="A494" s="339"/>
      <c r="B494" s="252"/>
      <c r="C494" s="341" t="s">
        <v>575</v>
      </c>
      <c r="D494" s="328"/>
      <c r="E494" s="328"/>
      <c r="F494" s="328"/>
      <c r="G494" s="328"/>
      <c r="H494" s="328"/>
      <c r="I494" s="328"/>
      <c r="J494" s="334"/>
      <c r="K494" s="334"/>
      <c r="L494" s="328"/>
    </row>
    <row r="495" spans="1:12">
      <c r="A495" s="339"/>
      <c r="B495" s="252"/>
      <c r="C495" s="341" t="s">
        <v>70</v>
      </c>
      <c r="D495" s="328"/>
      <c r="E495" s="328"/>
      <c r="F495" s="328"/>
      <c r="G495" s="328"/>
      <c r="H495" s="328"/>
      <c r="I495" s="328"/>
      <c r="J495" s="334"/>
      <c r="K495" s="334"/>
      <c r="L495" s="328"/>
    </row>
    <row r="496" spans="1:12">
      <c r="A496" s="339"/>
      <c r="B496" s="252"/>
      <c r="C496" s="342" t="s">
        <v>75</v>
      </c>
      <c r="D496" s="357">
        <f t="shared" ref="D496:K496" si="55">SUBTOTAL(9,D490:D495)</f>
        <v>0</v>
      </c>
      <c r="E496" s="357">
        <f t="shared" si="55"/>
        <v>0</v>
      </c>
      <c r="F496" s="357">
        <f t="shared" si="55"/>
        <v>0</v>
      </c>
      <c r="G496" s="357">
        <f t="shared" si="55"/>
        <v>0</v>
      </c>
      <c r="H496" s="357">
        <f t="shared" si="55"/>
        <v>0</v>
      </c>
      <c r="I496" s="357">
        <f t="shared" si="55"/>
        <v>0</v>
      </c>
      <c r="J496" s="357">
        <f t="shared" si="55"/>
        <v>0</v>
      </c>
      <c r="K496" s="357">
        <f t="shared" si="55"/>
        <v>0</v>
      </c>
      <c r="L496" s="357">
        <f>SUBTOTAL(9,L490:L495)</f>
        <v>0</v>
      </c>
    </row>
    <row r="497" spans="1:12">
      <c r="A497" s="339"/>
      <c r="B497" s="252"/>
      <c r="C497" s="342"/>
      <c r="D497" s="329"/>
      <c r="E497" s="329"/>
      <c r="F497" s="329"/>
      <c r="G497" s="329"/>
      <c r="H497" s="329"/>
      <c r="I497" s="329"/>
      <c r="J497" s="329"/>
      <c r="K497" s="329"/>
      <c r="L497" s="329"/>
    </row>
    <row r="498" spans="1:12">
      <c r="A498" s="339">
        <f>+A489+1</f>
        <v>31</v>
      </c>
      <c r="B498" s="252" t="str">
        <f ca="1">OFFSET(List_AllocOpexListStart,A498,0)</f>
        <v>A-31</v>
      </c>
      <c r="C498" s="340" t="str">
        <f ca="1">VLOOKUP(B498,List_AllocatedCosts,2,FALSE)</f>
        <v>Legal Services</v>
      </c>
      <c r="D498" s="329"/>
      <c r="E498" s="329"/>
      <c r="F498" s="329"/>
      <c r="G498" s="329"/>
      <c r="H498" s="329"/>
      <c r="I498" s="329"/>
      <c r="J498" s="329"/>
      <c r="K498" s="329"/>
      <c r="L498" s="329"/>
    </row>
    <row r="499" spans="1:12">
      <c r="A499" s="3"/>
      <c r="B499" s="252"/>
      <c r="C499" s="341" t="s">
        <v>68</v>
      </c>
      <c r="D499" s="328"/>
      <c r="E499" s="328"/>
      <c r="F499" s="328"/>
      <c r="G499" s="328"/>
      <c r="H499" s="328"/>
      <c r="I499" s="328"/>
      <c r="J499" s="334"/>
      <c r="K499" s="334"/>
      <c r="L499" s="328"/>
    </row>
    <row r="500" spans="1:12">
      <c r="A500" s="3"/>
      <c r="B500" s="252"/>
      <c r="C500" s="341" t="s">
        <v>69</v>
      </c>
      <c r="D500" s="328"/>
      <c r="E500" s="328"/>
      <c r="F500" s="328"/>
      <c r="G500" s="328"/>
      <c r="H500" s="328"/>
      <c r="I500" s="328"/>
      <c r="J500" s="334"/>
      <c r="K500" s="334"/>
      <c r="L500" s="328"/>
    </row>
    <row r="501" spans="1:12" s="759" customFormat="1">
      <c r="A501" s="544"/>
      <c r="B501" s="252"/>
      <c r="C501" s="341" t="s">
        <v>646</v>
      </c>
      <c r="D501" s="328"/>
      <c r="E501" s="328"/>
      <c r="F501" s="328"/>
      <c r="G501" s="328"/>
      <c r="H501" s="328"/>
      <c r="I501" s="328"/>
      <c r="J501" s="334"/>
      <c r="K501" s="334"/>
      <c r="L501" s="328"/>
    </row>
    <row r="502" spans="1:12">
      <c r="A502" s="3"/>
      <c r="B502" s="252"/>
      <c r="C502" s="341" t="s">
        <v>647</v>
      </c>
      <c r="D502" s="328"/>
      <c r="E502" s="328"/>
      <c r="F502" s="328"/>
      <c r="G502" s="328"/>
      <c r="H502" s="328"/>
      <c r="I502" s="328"/>
      <c r="J502" s="334"/>
      <c r="K502" s="334"/>
      <c r="L502" s="328"/>
    </row>
    <row r="503" spans="1:12" s="759" customFormat="1">
      <c r="A503" s="544"/>
      <c r="B503" s="252"/>
      <c r="C503" s="341" t="s">
        <v>575</v>
      </c>
      <c r="D503" s="328"/>
      <c r="E503" s="328"/>
      <c r="F503" s="328"/>
      <c r="G503" s="328"/>
      <c r="H503" s="328"/>
      <c r="I503" s="328"/>
      <c r="J503" s="334"/>
      <c r="K503" s="334"/>
      <c r="L503" s="328"/>
    </row>
    <row r="504" spans="1:12">
      <c r="A504" s="3"/>
      <c r="B504" s="252"/>
      <c r="C504" s="341" t="s">
        <v>70</v>
      </c>
      <c r="D504" s="328"/>
      <c r="E504" s="328"/>
      <c r="F504" s="328"/>
      <c r="G504" s="328"/>
      <c r="H504" s="328"/>
      <c r="I504" s="328"/>
      <c r="J504" s="334"/>
      <c r="K504" s="334"/>
      <c r="L504" s="328"/>
    </row>
    <row r="505" spans="1:12" ht="13.5" thickBot="1">
      <c r="A505" s="3"/>
      <c r="B505" s="252"/>
      <c r="C505" s="342" t="s">
        <v>75</v>
      </c>
      <c r="D505" s="357">
        <f t="shared" ref="D505:L505" si="56">SUBTOTAL(9,D499:D504)</f>
        <v>0</v>
      </c>
      <c r="E505" s="357">
        <f t="shared" si="56"/>
        <v>0</v>
      </c>
      <c r="F505" s="357">
        <f t="shared" si="56"/>
        <v>0</v>
      </c>
      <c r="G505" s="357">
        <f t="shared" si="56"/>
        <v>0</v>
      </c>
      <c r="H505" s="357">
        <f t="shared" si="56"/>
        <v>0</v>
      </c>
      <c r="I505" s="357">
        <f t="shared" si="56"/>
        <v>0</v>
      </c>
      <c r="J505" s="357">
        <f t="shared" si="56"/>
        <v>0</v>
      </c>
      <c r="K505" s="357">
        <f t="shared" si="56"/>
        <v>0</v>
      </c>
      <c r="L505" s="357">
        <f t="shared" si="56"/>
        <v>0</v>
      </c>
    </row>
    <row r="506" spans="1:12" ht="18">
      <c r="A506" s="3"/>
      <c r="B506" s="251"/>
      <c r="C506" s="438" t="str">
        <f>+'I-3 Allocated'!A36</f>
        <v xml:space="preserve">Services </v>
      </c>
      <c r="D506" s="332"/>
      <c r="E506" s="332"/>
      <c r="F506" s="332"/>
      <c r="G506" s="332"/>
      <c r="H506" s="332"/>
      <c r="I506" s="332"/>
      <c r="J506" s="332"/>
      <c r="K506" s="332"/>
      <c r="L506" s="332"/>
    </row>
    <row r="507" spans="1:12">
      <c r="A507" s="339">
        <f>+A498+1</f>
        <v>32</v>
      </c>
      <c r="B507" s="252" t="str">
        <f ca="1">OFFSET(List_AllocOpexListStart,A507,0)</f>
        <v>A-32</v>
      </c>
      <c r="C507" s="340" t="str">
        <f ca="1">VLOOKUP(B507,List_AllocatedCosts,2,FALSE)</f>
        <v>General Manager Services</v>
      </c>
      <c r="D507" s="329"/>
      <c r="E507" s="329"/>
      <c r="F507" s="329"/>
      <c r="G507" s="329"/>
      <c r="H507" s="329"/>
      <c r="I507" s="329"/>
      <c r="J507" s="329"/>
      <c r="K507" s="329"/>
      <c r="L507" s="329"/>
    </row>
    <row r="508" spans="1:12">
      <c r="A508" s="339"/>
      <c r="B508" s="252"/>
      <c r="C508" s="341" t="s">
        <v>68</v>
      </c>
      <c r="D508" s="328"/>
      <c r="E508" s="328"/>
      <c r="F508" s="328"/>
      <c r="G508" s="328"/>
      <c r="H508" s="328"/>
      <c r="I508" s="328"/>
      <c r="J508" s="334"/>
      <c r="K508" s="334"/>
      <c r="L508" s="328"/>
    </row>
    <row r="509" spans="1:12">
      <c r="A509" s="339"/>
      <c r="B509" s="252"/>
      <c r="C509" s="341" t="s">
        <v>69</v>
      </c>
      <c r="D509" s="328"/>
      <c r="E509" s="328"/>
      <c r="F509" s="328"/>
      <c r="G509" s="328"/>
      <c r="H509" s="328"/>
      <c r="I509" s="328"/>
      <c r="J509" s="334"/>
      <c r="K509" s="334"/>
      <c r="L509" s="328"/>
    </row>
    <row r="510" spans="1:12" s="759" customFormat="1">
      <c r="A510" s="339"/>
      <c r="B510" s="252"/>
      <c r="C510" s="341" t="s">
        <v>646</v>
      </c>
      <c r="D510" s="328"/>
      <c r="E510" s="328"/>
      <c r="F510" s="328"/>
      <c r="G510" s="328"/>
      <c r="H510" s="328"/>
      <c r="I510" s="328"/>
      <c r="J510" s="334"/>
      <c r="K510" s="334"/>
      <c r="L510" s="328"/>
    </row>
    <row r="511" spans="1:12">
      <c r="A511" s="339"/>
      <c r="B511" s="252"/>
      <c r="C511" s="341" t="s">
        <v>647</v>
      </c>
      <c r="D511" s="328"/>
      <c r="E511" s="328"/>
      <c r="F511" s="328"/>
      <c r="G511" s="328"/>
      <c r="H511" s="328"/>
      <c r="I511" s="328"/>
      <c r="J511" s="334"/>
      <c r="K511" s="334"/>
      <c r="L511" s="328"/>
    </row>
    <row r="512" spans="1:12" s="759" customFormat="1">
      <c r="A512" s="339"/>
      <c r="B512" s="252"/>
      <c r="C512" s="341" t="s">
        <v>575</v>
      </c>
      <c r="D512" s="328"/>
      <c r="E512" s="328"/>
      <c r="F512" s="328"/>
      <c r="G512" s="328"/>
      <c r="H512" s="328"/>
      <c r="I512" s="328"/>
      <c r="J512" s="334"/>
      <c r="K512" s="334"/>
      <c r="L512" s="328"/>
    </row>
    <row r="513" spans="1:12">
      <c r="A513" s="339"/>
      <c r="B513" s="252"/>
      <c r="C513" s="341" t="s">
        <v>70</v>
      </c>
      <c r="D513" s="328"/>
      <c r="E513" s="328"/>
      <c r="F513" s="328"/>
      <c r="G513" s="328"/>
      <c r="H513" s="328"/>
      <c r="I513" s="328"/>
      <c r="J513" s="334"/>
      <c r="K513" s="334"/>
      <c r="L513" s="328"/>
    </row>
    <row r="514" spans="1:12">
      <c r="A514" s="339"/>
      <c r="B514" s="252"/>
      <c r="C514" s="342" t="s">
        <v>75</v>
      </c>
      <c r="D514" s="357">
        <f t="shared" ref="D514:K514" si="57">SUBTOTAL(9,D508:D513)</f>
        <v>0</v>
      </c>
      <c r="E514" s="357">
        <f t="shared" si="57"/>
        <v>0</v>
      </c>
      <c r="F514" s="357">
        <f t="shared" si="57"/>
        <v>0</v>
      </c>
      <c r="G514" s="357">
        <f t="shared" si="57"/>
        <v>0</v>
      </c>
      <c r="H514" s="357">
        <f t="shared" si="57"/>
        <v>0</v>
      </c>
      <c r="I514" s="357">
        <f t="shared" si="57"/>
        <v>0</v>
      </c>
      <c r="J514" s="357">
        <f t="shared" si="57"/>
        <v>0</v>
      </c>
      <c r="K514" s="357">
        <f t="shared" si="57"/>
        <v>0</v>
      </c>
      <c r="L514" s="357">
        <f>SUBTOTAL(9,L508:L513)</f>
        <v>0</v>
      </c>
    </row>
    <row r="515" spans="1:12" ht="6" customHeight="1">
      <c r="A515" s="339"/>
      <c r="B515" s="252"/>
      <c r="C515" s="342"/>
      <c r="D515" s="329"/>
      <c r="E515" s="329"/>
      <c r="F515" s="329"/>
      <c r="G515" s="329"/>
      <c r="H515" s="329"/>
      <c r="I515" s="329"/>
      <c r="J515" s="329"/>
      <c r="K515" s="329"/>
      <c r="L515" s="329"/>
    </row>
    <row r="516" spans="1:12" ht="25.5">
      <c r="A516" s="339">
        <f>+A507+1</f>
        <v>33</v>
      </c>
      <c r="B516" s="252" t="str">
        <f ca="1">OFFSET(List_AllocOpexListStart,A516,0)</f>
        <v>A-33</v>
      </c>
      <c r="C516" s="340" t="str">
        <f ca="1">VLOOKUP(B516,List_AllocatedCosts,2,FALSE)</f>
        <v>Customer Relations, excluding Call Centre</v>
      </c>
      <c r="D516" s="329"/>
      <c r="E516" s="329"/>
      <c r="F516" s="329"/>
      <c r="G516" s="329"/>
      <c r="H516" s="329"/>
      <c r="I516" s="329"/>
      <c r="J516" s="329"/>
      <c r="K516" s="329"/>
      <c r="L516" s="329"/>
    </row>
    <row r="517" spans="1:12">
      <c r="A517" s="3"/>
      <c r="B517" s="252"/>
      <c r="C517" s="341" t="s">
        <v>68</v>
      </c>
      <c r="D517" s="328"/>
      <c r="E517" s="328"/>
      <c r="F517" s="328"/>
      <c r="G517" s="328"/>
      <c r="H517" s="328"/>
      <c r="I517" s="328"/>
      <c r="J517" s="334"/>
      <c r="K517" s="334"/>
      <c r="L517" s="328"/>
    </row>
    <row r="518" spans="1:12">
      <c r="A518" s="3"/>
      <c r="B518" s="252"/>
      <c r="C518" s="341" t="s">
        <v>69</v>
      </c>
      <c r="D518" s="328"/>
      <c r="E518" s="328"/>
      <c r="F518" s="328"/>
      <c r="G518" s="328"/>
      <c r="H518" s="328"/>
      <c r="I518" s="328"/>
      <c r="J518" s="334"/>
      <c r="K518" s="334"/>
      <c r="L518" s="328"/>
    </row>
    <row r="519" spans="1:12" s="759" customFormat="1">
      <c r="A519" s="544"/>
      <c r="B519" s="252"/>
      <c r="C519" s="341" t="s">
        <v>646</v>
      </c>
      <c r="D519" s="328"/>
      <c r="E519" s="328"/>
      <c r="F519" s="328"/>
      <c r="G519" s="328"/>
      <c r="H519" s="328"/>
      <c r="I519" s="328"/>
      <c r="J519" s="334"/>
      <c r="K519" s="334"/>
      <c r="L519" s="328"/>
    </row>
    <row r="520" spans="1:12">
      <c r="A520" s="3"/>
      <c r="B520" s="252"/>
      <c r="C520" s="341" t="s">
        <v>647</v>
      </c>
      <c r="D520" s="328"/>
      <c r="E520" s="328"/>
      <c r="F520" s="328"/>
      <c r="G520" s="328"/>
      <c r="H520" s="328"/>
      <c r="I520" s="328"/>
      <c r="J520" s="334"/>
      <c r="K520" s="334"/>
      <c r="L520" s="328"/>
    </row>
    <row r="521" spans="1:12" s="759" customFormat="1">
      <c r="A521" s="544"/>
      <c r="B521" s="252"/>
      <c r="C521" s="341" t="s">
        <v>575</v>
      </c>
      <c r="D521" s="328"/>
      <c r="E521" s="328"/>
      <c r="F521" s="328"/>
      <c r="G521" s="328"/>
      <c r="H521" s="328"/>
      <c r="I521" s="328"/>
      <c r="J521" s="334"/>
      <c r="K521" s="334"/>
      <c r="L521" s="328"/>
    </row>
    <row r="522" spans="1:12">
      <c r="A522" s="3"/>
      <c r="B522" s="252"/>
      <c r="C522" s="341" t="s">
        <v>70</v>
      </c>
      <c r="D522" s="328"/>
      <c r="E522" s="328"/>
      <c r="F522" s="328"/>
      <c r="G522" s="328"/>
      <c r="H522" s="328"/>
      <c r="I522" s="328"/>
      <c r="J522" s="334"/>
      <c r="K522" s="334"/>
      <c r="L522" s="328"/>
    </row>
    <row r="523" spans="1:12">
      <c r="A523" s="3"/>
      <c r="B523" s="252"/>
      <c r="C523" s="342" t="s">
        <v>75</v>
      </c>
      <c r="D523" s="357">
        <f t="shared" ref="D523:K523" si="58">SUBTOTAL(9,D517:D522)</f>
        <v>0</v>
      </c>
      <c r="E523" s="357">
        <f t="shared" si="58"/>
        <v>0</v>
      </c>
      <c r="F523" s="357">
        <f t="shared" si="58"/>
        <v>0</v>
      </c>
      <c r="G523" s="357">
        <f t="shared" si="58"/>
        <v>0</v>
      </c>
      <c r="H523" s="357">
        <f t="shared" si="58"/>
        <v>0</v>
      </c>
      <c r="I523" s="357">
        <f t="shared" si="58"/>
        <v>0</v>
      </c>
      <c r="J523" s="357">
        <f t="shared" si="58"/>
        <v>0</v>
      </c>
      <c r="K523" s="357">
        <f t="shared" si="58"/>
        <v>0</v>
      </c>
      <c r="L523" s="357">
        <f>SUBTOTAL(9,L517:L522)</f>
        <v>0</v>
      </c>
    </row>
    <row r="524" spans="1:12" ht="4.5" customHeight="1">
      <c r="A524" s="3"/>
      <c r="B524" s="252"/>
      <c r="C524" s="342"/>
      <c r="D524" s="329"/>
      <c r="E524" s="329"/>
      <c r="F524" s="329"/>
      <c r="G524" s="329"/>
      <c r="H524" s="329"/>
      <c r="I524" s="329"/>
      <c r="J524" s="329"/>
      <c r="K524" s="329"/>
      <c r="L524" s="329"/>
    </row>
    <row r="525" spans="1:12">
      <c r="A525" s="339">
        <f>+A516+1</f>
        <v>34</v>
      </c>
      <c r="B525" s="252" t="str">
        <f ca="1">OFFSET(List_AllocOpexListStart,A525,0)</f>
        <v>A-34</v>
      </c>
      <c r="C525" s="340" t="str">
        <f ca="1">VLOOKUP(B525,List_AllocatedCosts,2,FALSE)</f>
        <v>Business Improvement and Planning</v>
      </c>
      <c r="D525" s="329"/>
      <c r="E525" s="329"/>
      <c r="F525" s="329"/>
      <c r="G525" s="329"/>
      <c r="H525" s="329"/>
      <c r="I525" s="329"/>
      <c r="J525" s="329"/>
      <c r="K525" s="329"/>
      <c r="L525" s="329"/>
    </row>
    <row r="526" spans="1:12">
      <c r="A526" s="339"/>
      <c r="B526" s="252"/>
      <c r="C526" s="341" t="s">
        <v>68</v>
      </c>
      <c r="D526" s="328"/>
      <c r="E526" s="328"/>
      <c r="F526" s="328"/>
      <c r="G526" s="328"/>
      <c r="H526" s="328"/>
      <c r="I526" s="328"/>
      <c r="J526" s="334"/>
      <c r="K526" s="334"/>
      <c r="L526" s="328"/>
    </row>
    <row r="527" spans="1:12">
      <c r="A527" s="339"/>
      <c r="B527" s="252"/>
      <c r="C527" s="341" t="s">
        <v>69</v>
      </c>
      <c r="D527" s="328"/>
      <c r="E527" s="328"/>
      <c r="F527" s="328"/>
      <c r="G527" s="328"/>
      <c r="H527" s="328"/>
      <c r="I527" s="328"/>
      <c r="J527" s="334"/>
      <c r="K527" s="334"/>
      <c r="L527" s="328"/>
    </row>
    <row r="528" spans="1:12" s="759" customFormat="1">
      <c r="A528" s="339"/>
      <c r="B528" s="252"/>
      <c r="C528" s="341" t="s">
        <v>646</v>
      </c>
      <c r="D528" s="328"/>
      <c r="E528" s="328"/>
      <c r="F528" s="328"/>
      <c r="G528" s="328"/>
      <c r="H528" s="328"/>
      <c r="I528" s="328"/>
      <c r="J528" s="334"/>
      <c r="K528" s="334"/>
      <c r="L528" s="328"/>
    </row>
    <row r="529" spans="1:12">
      <c r="A529" s="339"/>
      <c r="B529" s="252"/>
      <c r="C529" s="341" t="s">
        <v>647</v>
      </c>
      <c r="D529" s="328"/>
      <c r="E529" s="328"/>
      <c r="F529" s="328"/>
      <c r="G529" s="328"/>
      <c r="H529" s="328"/>
      <c r="I529" s="328"/>
      <c r="J529" s="334"/>
      <c r="K529" s="334"/>
      <c r="L529" s="328"/>
    </row>
    <row r="530" spans="1:12" s="759" customFormat="1">
      <c r="A530" s="339"/>
      <c r="B530" s="252"/>
      <c r="C530" s="341" t="s">
        <v>575</v>
      </c>
      <c r="D530" s="328"/>
      <c r="E530" s="328"/>
      <c r="F530" s="328"/>
      <c r="G530" s="328"/>
      <c r="H530" s="328"/>
      <c r="I530" s="328"/>
      <c r="J530" s="334"/>
      <c r="K530" s="334"/>
      <c r="L530" s="328"/>
    </row>
    <row r="531" spans="1:12">
      <c r="A531" s="339"/>
      <c r="B531" s="252"/>
      <c r="C531" s="341" t="s">
        <v>70</v>
      </c>
      <c r="D531" s="328"/>
      <c r="E531" s="328"/>
      <c r="F531" s="328"/>
      <c r="G531" s="328"/>
      <c r="H531" s="328"/>
      <c r="I531" s="328"/>
      <c r="J531" s="334"/>
      <c r="K531" s="334"/>
      <c r="L531" s="328"/>
    </row>
    <row r="532" spans="1:12">
      <c r="A532" s="339"/>
      <c r="B532" s="252"/>
      <c r="C532" s="342" t="s">
        <v>75</v>
      </c>
      <c r="D532" s="357">
        <f t="shared" ref="D532:K532" si="59">SUBTOTAL(9,D526:D531)</f>
        <v>0</v>
      </c>
      <c r="E532" s="357">
        <f t="shared" si="59"/>
        <v>0</v>
      </c>
      <c r="F532" s="357">
        <f t="shared" si="59"/>
        <v>0</v>
      </c>
      <c r="G532" s="357">
        <f t="shared" si="59"/>
        <v>0</v>
      </c>
      <c r="H532" s="357">
        <f t="shared" si="59"/>
        <v>0</v>
      </c>
      <c r="I532" s="357">
        <f t="shared" si="59"/>
        <v>0</v>
      </c>
      <c r="J532" s="357">
        <f t="shared" si="59"/>
        <v>0</v>
      </c>
      <c r="K532" s="357">
        <f t="shared" si="59"/>
        <v>0</v>
      </c>
      <c r="L532" s="357">
        <f>SUBTOTAL(9,L526:L531)</f>
        <v>0</v>
      </c>
    </row>
    <row r="533" spans="1:12">
      <c r="A533" s="339"/>
      <c r="B533" s="252"/>
      <c r="C533" s="342"/>
      <c r="D533" s="329"/>
      <c r="E533" s="329"/>
      <c r="F533" s="329"/>
      <c r="G533" s="329"/>
      <c r="H533" s="329"/>
      <c r="I533" s="329"/>
      <c r="J533" s="329"/>
      <c r="K533" s="329"/>
      <c r="L533" s="329"/>
    </row>
    <row r="534" spans="1:12">
      <c r="A534" s="339">
        <f>+A525+1</f>
        <v>35</v>
      </c>
      <c r="B534" s="252" t="str">
        <f ca="1">OFFSET(List_AllocOpexListStart,A534,0)</f>
        <v>A-35</v>
      </c>
      <c r="C534" s="340" t="str">
        <f ca="1">VLOOKUP(B534,List_AllocatedCosts,2,FALSE)</f>
        <v>Works Coordination</v>
      </c>
      <c r="D534" s="329"/>
      <c r="E534" s="329"/>
      <c r="F534" s="329"/>
      <c r="G534" s="329"/>
      <c r="H534" s="329"/>
      <c r="I534" s="329"/>
      <c r="J534" s="329"/>
      <c r="K534" s="329"/>
      <c r="L534" s="329"/>
    </row>
    <row r="535" spans="1:12">
      <c r="A535" s="339"/>
      <c r="B535" s="252"/>
      <c r="C535" s="341" t="s">
        <v>68</v>
      </c>
      <c r="D535" s="328"/>
      <c r="E535" s="328"/>
      <c r="F535" s="328"/>
      <c r="G535" s="328"/>
      <c r="H535" s="328"/>
      <c r="I535" s="328"/>
      <c r="J535" s="334"/>
      <c r="K535" s="334"/>
      <c r="L535" s="328"/>
    </row>
    <row r="536" spans="1:12">
      <c r="A536" s="339"/>
      <c r="B536" s="252"/>
      <c r="C536" s="341" t="s">
        <v>69</v>
      </c>
      <c r="D536" s="328"/>
      <c r="E536" s="328"/>
      <c r="F536" s="328"/>
      <c r="G536" s="328"/>
      <c r="H536" s="328"/>
      <c r="I536" s="328"/>
      <c r="J536" s="334"/>
      <c r="K536" s="334"/>
      <c r="L536" s="328"/>
    </row>
    <row r="537" spans="1:12" s="759" customFormat="1">
      <c r="A537" s="339"/>
      <c r="B537" s="252"/>
      <c r="C537" s="341" t="s">
        <v>646</v>
      </c>
      <c r="D537" s="328"/>
      <c r="E537" s="328"/>
      <c r="F537" s="328"/>
      <c r="G537" s="328"/>
      <c r="H537" s="328"/>
      <c r="I537" s="328"/>
      <c r="J537" s="334"/>
      <c r="K537" s="334"/>
      <c r="L537" s="328"/>
    </row>
    <row r="538" spans="1:12">
      <c r="A538" s="339"/>
      <c r="B538" s="252"/>
      <c r="C538" s="341" t="s">
        <v>647</v>
      </c>
      <c r="D538" s="328"/>
      <c r="E538" s="328"/>
      <c r="F538" s="328"/>
      <c r="G538" s="328"/>
      <c r="H538" s="328"/>
      <c r="I538" s="328"/>
      <c r="J538" s="334"/>
      <c r="K538" s="334"/>
      <c r="L538" s="328"/>
    </row>
    <row r="539" spans="1:12" s="759" customFormat="1">
      <c r="A539" s="339"/>
      <c r="B539" s="252"/>
      <c r="C539" s="341" t="s">
        <v>575</v>
      </c>
      <c r="D539" s="328"/>
      <c r="E539" s="328"/>
      <c r="F539" s="328"/>
      <c r="G539" s="328"/>
      <c r="H539" s="328"/>
      <c r="I539" s="328"/>
      <c r="J539" s="334"/>
      <c r="K539" s="334"/>
      <c r="L539" s="328"/>
    </row>
    <row r="540" spans="1:12">
      <c r="A540" s="339"/>
      <c r="B540" s="252"/>
      <c r="C540" s="341" t="s">
        <v>70</v>
      </c>
      <c r="D540" s="328"/>
      <c r="E540" s="328"/>
      <c r="F540" s="328"/>
      <c r="G540" s="328"/>
      <c r="H540" s="328"/>
      <c r="I540" s="328"/>
      <c r="J540" s="334"/>
      <c r="K540" s="334"/>
      <c r="L540" s="328"/>
    </row>
    <row r="541" spans="1:12">
      <c r="A541" s="339"/>
      <c r="B541" s="252"/>
      <c r="C541" s="342" t="s">
        <v>75</v>
      </c>
      <c r="D541" s="357">
        <f t="shared" ref="D541:L541" si="60">SUBTOTAL(9,D535:D540)</f>
        <v>0</v>
      </c>
      <c r="E541" s="357">
        <f t="shared" si="60"/>
        <v>0</v>
      </c>
      <c r="F541" s="357">
        <f t="shared" si="60"/>
        <v>0</v>
      </c>
      <c r="G541" s="357">
        <f t="shared" si="60"/>
        <v>0</v>
      </c>
      <c r="H541" s="357">
        <f t="shared" si="60"/>
        <v>0</v>
      </c>
      <c r="I541" s="357">
        <f t="shared" si="60"/>
        <v>0</v>
      </c>
      <c r="J541" s="357">
        <f t="shared" si="60"/>
        <v>0</v>
      </c>
      <c r="K541" s="357">
        <f t="shared" si="60"/>
        <v>0</v>
      </c>
      <c r="L541" s="357">
        <f t="shared" si="60"/>
        <v>0</v>
      </c>
    </row>
    <row r="542" spans="1:12" ht="13.5" thickBot="1">
      <c r="A542" s="339"/>
      <c r="B542" s="252"/>
      <c r="C542" s="342"/>
      <c r="D542" s="329"/>
      <c r="E542" s="329"/>
      <c r="F542" s="329"/>
      <c r="G542" s="329"/>
      <c r="H542" s="329"/>
      <c r="I542" s="329"/>
      <c r="J542" s="329"/>
      <c r="K542" s="329"/>
      <c r="L542" s="329"/>
    </row>
    <row r="543" spans="1:12" ht="18">
      <c r="A543" s="3"/>
      <c r="B543" s="251"/>
      <c r="C543" s="438" t="str">
        <f>+'I-3 Allocated'!A40</f>
        <v xml:space="preserve">Other </v>
      </c>
      <c r="D543" s="332"/>
      <c r="E543" s="332"/>
      <c r="F543" s="332"/>
      <c r="G543" s="332"/>
      <c r="H543" s="332"/>
      <c r="I543" s="332"/>
      <c r="J543" s="332"/>
      <c r="K543" s="332"/>
      <c r="L543" s="332"/>
    </row>
    <row r="544" spans="1:12">
      <c r="A544" s="339">
        <f>+A534+1</f>
        <v>36</v>
      </c>
      <c r="B544" s="252" t="str">
        <f ca="1">OFFSET(List_AllocOpexListStart,A544,0)</f>
        <v>A-36</v>
      </c>
      <c r="C544" s="340" t="str">
        <f ca="1">VLOOKUP(B544,List_AllocatedCosts,2,FALSE)</f>
        <v>Employee Bonuses</v>
      </c>
      <c r="D544" s="329"/>
      <c r="E544" s="329"/>
      <c r="F544" s="329"/>
      <c r="G544" s="329"/>
      <c r="H544" s="329"/>
      <c r="I544" s="329"/>
      <c r="J544" s="329"/>
      <c r="K544" s="329"/>
      <c r="L544" s="329"/>
    </row>
    <row r="545" spans="1:12">
      <c r="A545" s="3"/>
      <c r="B545" s="252"/>
      <c r="C545" s="341" t="s">
        <v>68</v>
      </c>
      <c r="D545" s="328"/>
      <c r="E545" s="328"/>
      <c r="F545" s="328"/>
      <c r="G545" s="328"/>
      <c r="H545" s="328"/>
      <c r="I545" s="328"/>
      <c r="J545" s="334"/>
      <c r="K545" s="334"/>
      <c r="L545" s="328"/>
    </row>
    <row r="546" spans="1:12">
      <c r="A546" s="3"/>
      <c r="B546" s="252"/>
      <c r="C546" s="341" t="s">
        <v>69</v>
      </c>
      <c r="D546" s="328"/>
      <c r="E546" s="328"/>
      <c r="F546" s="328"/>
      <c r="G546" s="328"/>
      <c r="H546" s="328"/>
      <c r="I546" s="328"/>
      <c r="J546" s="334"/>
      <c r="K546" s="334"/>
      <c r="L546" s="328"/>
    </row>
    <row r="547" spans="1:12" s="759" customFormat="1">
      <c r="A547" s="544"/>
      <c r="B547" s="252"/>
      <c r="C547" s="341" t="s">
        <v>646</v>
      </c>
      <c r="D547" s="328"/>
      <c r="E547" s="328"/>
      <c r="F547" s="328"/>
      <c r="G547" s="328"/>
      <c r="H547" s="328"/>
      <c r="I547" s="328"/>
      <c r="J547" s="334"/>
      <c r="K547" s="334"/>
      <c r="L547" s="328"/>
    </row>
    <row r="548" spans="1:12">
      <c r="A548" s="3"/>
      <c r="B548" s="252"/>
      <c r="C548" s="341" t="s">
        <v>647</v>
      </c>
      <c r="D548" s="328"/>
      <c r="E548" s="328"/>
      <c r="F548" s="328"/>
      <c r="G548" s="328"/>
      <c r="H548" s="328"/>
      <c r="I548" s="328"/>
      <c r="J548" s="334"/>
      <c r="K548" s="334"/>
      <c r="L548" s="328"/>
    </row>
    <row r="549" spans="1:12" s="759" customFormat="1">
      <c r="A549" s="544"/>
      <c r="B549" s="252"/>
      <c r="C549" s="341" t="s">
        <v>575</v>
      </c>
      <c r="D549" s="328"/>
      <c r="E549" s="328"/>
      <c r="F549" s="328"/>
      <c r="G549" s="328"/>
      <c r="H549" s="328"/>
      <c r="I549" s="328"/>
      <c r="J549" s="334"/>
      <c r="K549" s="334"/>
      <c r="L549" s="328"/>
    </row>
    <row r="550" spans="1:12">
      <c r="A550" s="3"/>
      <c r="B550" s="252"/>
      <c r="C550" s="341" t="s">
        <v>70</v>
      </c>
      <c r="D550" s="328"/>
      <c r="E550" s="328"/>
      <c r="F550" s="328"/>
      <c r="G550" s="328"/>
      <c r="H550" s="328"/>
      <c r="I550" s="328"/>
      <c r="J550" s="334"/>
      <c r="K550" s="334"/>
      <c r="L550" s="328"/>
    </row>
    <row r="551" spans="1:12">
      <c r="A551" s="3"/>
      <c r="B551" s="252"/>
      <c r="C551" s="342" t="s">
        <v>75</v>
      </c>
      <c r="D551" s="357">
        <f t="shared" ref="D551:K551" si="61">SUBTOTAL(9,D545:D550)</f>
        <v>0</v>
      </c>
      <c r="E551" s="357">
        <f t="shared" si="61"/>
        <v>0</v>
      </c>
      <c r="F551" s="357">
        <f t="shared" si="61"/>
        <v>0</v>
      </c>
      <c r="G551" s="357">
        <f t="shared" si="61"/>
        <v>0</v>
      </c>
      <c r="H551" s="357">
        <f t="shared" si="61"/>
        <v>0</v>
      </c>
      <c r="I551" s="357">
        <f t="shared" si="61"/>
        <v>0</v>
      </c>
      <c r="J551" s="357">
        <f t="shared" si="61"/>
        <v>0</v>
      </c>
      <c r="K551" s="357">
        <f t="shared" si="61"/>
        <v>0</v>
      </c>
      <c r="L551" s="357">
        <f>SUBTOTAL(9,L545:L550)</f>
        <v>0</v>
      </c>
    </row>
    <row r="552" spans="1:12">
      <c r="A552" s="3"/>
      <c r="B552" s="252"/>
      <c r="C552" s="342"/>
      <c r="D552" s="329"/>
      <c r="E552" s="329"/>
      <c r="F552" s="329"/>
      <c r="G552" s="329"/>
      <c r="H552" s="329"/>
      <c r="I552" s="329"/>
      <c r="J552" s="329"/>
      <c r="K552" s="329"/>
      <c r="L552" s="329"/>
    </row>
    <row r="553" spans="1:12">
      <c r="A553" s="339">
        <f>+A544+1</f>
        <v>37</v>
      </c>
      <c r="B553" s="252" t="str">
        <f ca="1">OFFSET(List_AllocOpexListStart,A553,0)</f>
        <v>A-37</v>
      </c>
      <c r="C553" s="340" t="str">
        <f ca="1">VLOOKUP(B553,List_AllocatedCosts,2,FALSE)</f>
        <v>Voluntary Separation Packages (VSP’s)</v>
      </c>
      <c r="D553" s="329"/>
      <c r="E553" s="329"/>
      <c r="F553" s="329"/>
      <c r="G553" s="329"/>
      <c r="H553" s="329"/>
      <c r="I553" s="329"/>
      <c r="J553" s="329"/>
      <c r="K553" s="329"/>
      <c r="L553" s="329"/>
    </row>
    <row r="554" spans="1:12">
      <c r="A554" s="339"/>
      <c r="B554" s="252"/>
      <c r="C554" s="341" t="s">
        <v>68</v>
      </c>
      <c r="D554" s="328"/>
      <c r="E554" s="328"/>
      <c r="F554" s="328"/>
      <c r="G554" s="328"/>
      <c r="H554" s="328"/>
      <c r="I554" s="328"/>
      <c r="J554" s="334"/>
      <c r="K554" s="334"/>
      <c r="L554" s="328"/>
    </row>
    <row r="555" spans="1:12">
      <c r="A555" s="339"/>
      <c r="B555" s="252"/>
      <c r="C555" s="341" t="s">
        <v>69</v>
      </c>
      <c r="D555" s="328"/>
      <c r="E555" s="328"/>
      <c r="F555" s="328"/>
      <c r="G555" s="328"/>
      <c r="H555" s="328"/>
      <c r="I555" s="328"/>
      <c r="J555" s="334"/>
      <c r="K555" s="334"/>
      <c r="L555" s="328"/>
    </row>
    <row r="556" spans="1:12" s="759" customFormat="1">
      <c r="A556" s="339"/>
      <c r="B556" s="252"/>
      <c r="C556" s="341" t="s">
        <v>646</v>
      </c>
      <c r="D556" s="328"/>
      <c r="E556" s="328"/>
      <c r="F556" s="328"/>
      <c r="G556" s="328"/>
      <c r="H556" s="328"/>
      <c r="I556" s="328"/>
      <c r="J556" s="334"/>
      <c r="K556" s="334"/>
      <c r="L556" s="328"/>
    </row>
    <row r="557" spans="1:12">
      <c r="A557" s="339"/>
      <c r="B557" s="252"/>
      <c r="C557" s="341" t="s">
        <v>647</v>
      </c>
      <c r="D557" s="328"/>
      <c r="E557" s="328"/>
      <c r="F557" s="328"/>
      <c r="G557" s="328"/>
      <c r="H557" s="328"/>
      <c r="I557" s="328"/>
      <c r="J557" s="334"/>
      <c r="K557" s="334"/>
      <c r="L557" s="328"/>
    </row>
    <row r="558" spans="1:12" s="759" customFormat="1">
      <c r="A558" s="339"/>
      <c r="B558" s="252"/>
      <c r="C558" s="341" t="s">
        <v>575</v>
      </c>
      <c r="D558" s="328"/>
      <c r="E558" s="328"/>
      <c r="F558" s="328"/>
      <c r="G558" s="328"/>
      <c r="H558" s="328"/>
      <c r="I558" s="328"/>
      <c r="J558" s="334"/>
      <c r="K558" s="334"/>
      <c r="L558" s="328"/>
    </row>
    <row r="559" spans="1:12">
      <c r="A559" s="339"/>
      <c r="B559" s="252"/>
      <c r="C559" s="341" t="s">
        <v>70</v>
      </c>
      <c r="D559" s="328"/>
      <c r="E559" s="328"/>
      <c r="F559" s="328"/>
      <c r="G559" s="328"/>
      <c r="H559" s="328"/>
      <c r="I559" s="328"/>
      <c r="J559" s="334"/>
      <c r="K559" s="334"/>
      <c r="L559" s="328"/>
    </row>
    <row r="560" spans="1:12">
      <c r="A560" s="339"/>
      <c r="B560" s="252"/>
      <c r="C560" s="342" t="s">
        <v>75</v>
      </c>
      <c r="D560" s="357">
        <f t="shared" ref="D560:K560" si="62">SUBTOTAL(9,D554:D559)</f>
        <v>0</v>
      </c>
      <c r="E560" s="357">
        <f t="shared" si="62"/>
        <v>0</v>
      </c>
      <c r="F560" s="357">
        <f t="shared" si="62"/>
        <v>0</v>
      </c>
      <c r="G560" s="357">
        <f t="shared" si="62"/>
        <v>0</v>
      </c>
      <c r="H560" s="357">
        <f t="shared" si="62"/>
        <v>0</v>
      </c>
      <c r="I560" s="357">
        <f t="shared" si="62"/>
        <v>0</v>
      </c>
      <c r="J560" s="357">
        <f t="shared" si="62"/>
        <v>0</v>
      </c>
      <c r="K560" s="357">
        <f t="shared" si="62"/>
        <v>0</v>
      </c>
      <c r="L560" s="357">
        <f>SUBTOTAL(9,L554:L559)</f>
        <v>0</v>
      </c>
    </row>
    <row r="561" spans="1:13">
      <c r="A561" s="339"/>
      <c r="B561" s="252"/>
      <c r="C561" s="342"/>
      <c r="D561" s="357"/>
      <c r="E561" s="357"/>
      <c r="F561" s="357"/>
      <c r="G561" s="357"/>
      <c r="H561" s="357"/>
      <c r="I561" s="357"/>
      <c r="J561" s="357"/>
      <c r="K561" s="357"/>
      <c r="L561" s="357"/>
    </row>
    <row r="562" spans="1:13">
      <c r="A562" s="339">
        <f>+A553+1</f>
        <v>38</v>
      </c>
      <c r="B562" s="252" t="str">
        <f ca="1">OFFSET(List_AllocOpexListStart,A562,0)</f>
        <v>A-38</v>
      </c>
      <c r="C562" s="340" t="str">
        <f ca="1">VLOOKUP(B562,List_AllocatedCosts,2,FALSE)</f>
        <v>Superannuation</v>
      </c>
      <c r="D562" s="329"/>
      <c r="E562" s="329"/>
      <c r="F562" s="329"/>
      <c r="G562" s="329"/>
      <c r="H562" s="329"/>
      <c r="I562" s="329"/>
      <c r="J562" s="329"/>
      <c r="K562" s="329"/>
      <c r="L562" s="329"/>
    </row>
    <row r="563" spans="1:13">
      <c r="A563" s="3"/>
      <c r="B563" s="252"/>
      <c r="C563" s="341" t="s">
        <v>68</v>
      </c>
      <c r="D563" s="328"/>
      <c r="E563" s="328"/>
      <c r="F563" s="328"/>
      <c r="G563" s="328"/>
      <c r="H563" s="328"/>
      <c r="I563" s="328"/>
      <c r="J563" s="334"/>
      <c r="K563" s="334"/>
      <c r="L563" s="328"/>
    </row>
    <row r="564" spans="1:13">
      <c r="A564" s="3"/>
      <c r="B564" s="252"/>
      <c r="C564" s="341" t="s">
        <v>69</v>
      </c>
      <c r="D564" s="328"/>
      <c r="E564" s="328"/>
      <c r="F564" s="328"/>
      <c r="G564" s="328"/>
      <c r="H564" s="328"/>
      <c r="I564" s="328"/>
      <c r="J564" s="334"/>
      <c r="K564" s="334"/>
      <c r="L564" s="328"/>
    </row>
    <row r="565" spans="1:13" s="759" customFormat="1">
      <c r="A565" s="544"/>
      <c r="B565" s="252"/>
      <c r="C565" s="341" t="s">
        <v>646</v>
      </c>
      <c r="D565" s="328"/>
      <c r="E565" s="328"/>
      <c r="F565" s="328"/>
      <c r="G565" s="328"/>
      <c r="H565" s="328"/>
      <c r="I565" s="328"/>
      <c r="J565" s="334"/>
      <c r="K565" s="334"/>
      <c r="L565" s="328"/>
    </row>
    <row r="566" spans="1:13">
      <c r="A566" s="3"/>
      <c r="B566" s="252"/>
      <c r="C566" s="341" t="s">
        <v>647</v>
      </c>
      <c r="D566" s="328"/>
      <c r="E566" s="328"/>
      <c r="F566" s="328"/>
      <c r="G566" s="328"/>
      <c r="H566" s="328"/>
      <c r="I566" s="328"/>
      <c r="J566" s="334"/>
      <c r="K566" s="334"/>
      <c r="L566" s="328"/>
    </row>
    <row r="567" spans="1:13" s="759" customFormat="1">
      <c r="A567" s="544"/>
      <c r="B567" s="252"/>
      <c r="C567" s="341" t="s">
        <v>575</v>
      </c>
      <c r="D567" s="328"/>
      <c r="E567" s="328"/>
      <c r="F567" s="328"/>
      <c r="G567" s="328"/>
      <c r="H567" s="328"/>
      <c r="I567" s="328"/>
      <c r="J567" s="334"/>
      <c r="K567" s="334"/>
      <c r="L567" s="328"/>
    </row>
    <row r="568" spans="1:13">
      <c r="A568" s="3"/>
      <c r="B568" s="252"/>
      <c r="C568" s="341" t="s">
        <v>70</v>
      </c>
      <c r="D568" s="328"/>
      <c r="E568" s="328"/>
      <c r="F568" s="328"/>
      <c r="G568" s="328"/>
      <c r="H568" s="328"/>
      <c r="I568" s="328"/>
      <c r="J568" s="334"/>
      <c r="K568" s="334"/>
      <c r="L568" s="328"/>
    </row>
    <row r="569" spans="1:13">
      <c r="A569" s="3"/>
      <c r="B569" s="252"/>
      <c r="C569" s="342" t="s">
        <v>75</v>
      </c>
      <c r="D569" s="357">
        <f t="shared" ref="D569:L569" si="63">SUBTOTAL(9,D563:D568)</f>
        <v>0</v>
      </c>
      <c r="E569" s="357">
        <f t="shared" si="63"/>
        <v>0</v>
      </c>
      <c r="F569" s="357">
        <f t="shared" si="63"/>
        <v>0</v>
      </c>
      <c r="G569" s="357">
        <f t="shared" si="63"/>
        <v>0</v>
      </c>
      <c r="H569" s="357">
        <f t="shared" si="63"/>
        <v>0</v>
      </c>
      <c r="I569" s="357">
        <f t="shared" si="63"/>
        <v>0</v>
      </c>
      <c r="J569" s="357">
        <f t="shared" si="63"/>
        <v>0</v>
      </c>
      <c r="K569" s="357">
        <f t="shared" si="63"/>
        <v>0</v>
      </c>
      <c r="L569" s="357">
        <f t="shared" si="63"/>
        <v>0</v>
      </c>
    </row>
    <row r="570" spans="1:13">
      <c r="A570" s="339"/>
      <c r="B570" s="252"/>
      <c r="C570" s="342"/>
      <c r="D570" s="357"/>
      <c r="E570" s="357"/>
      <c r="F570" s="357"/>
      <c r="G570" s="357"/>
      <c r="H570" s="357"/>
      <c r="I570" s="357"/>
      <c r="J570" s="357"/>
      <c r="K570" s="357"/>
      <c r="L570" s="357"/>
    </row>
    <row r="571" spans="1:13">
      <c r="A571" s="339">
        <f>+A562+1</f>
        <v>39</v>
      </c>
      <c r="B571" s="252" t="str">
        <f ca="1">OFFSET(List_AllocOpexListStart,A571,0)</f>
        <v>A-39</v>
      </c>
      <c r="C571" s="340" t="str">
        <f ca="1">VLOOKUP(B571,List_AllocatedCosts,2,FALSE)</f>
        <v>Self Insurance</v>
      </c>
      <c r="D571" s="329"/>
      <c r="E571" s="329"/>
      <c r="F571" s="329"/>
      <c r="G571" s="329"/>
      <c r="H571" s="329"/>
      <c r="I571" s="329"/>
      <c r="J571" s="329"/>
      <c r="K571" s="329"/>
      <c r="L571" s="329"/>
    </row>
    <row r="572" spans="1:13">
      <c r="A572" s="3"/>
      <c r="B572" s="252"/>
      <c r="C572" s="341" t="s">
        <v>68</v>
      </c>
      <c r="D572" s="328"/>
      <c r="E572" s="328"/>
      <c r="F572" s="328"/>
      <c r="G572" s="328"/>
      <c r="H572" s="328"/>
      <c r="I572" s="328"/>
      <c r="J572" s="334"/>
      <c r="K572" s="334"/>
      <c r="L572" s="328"/>
    </row>
    <row r="573" spans="1:13">
      <c r="A573" s="3"/>
      <c r="B573" s="252"/>
      <c r="C573" s="341" t="s">
        <v>69</v>
      </c>
      <c r="D573" s="328"/>
      <c r="E573" s="328"/>
      <c r="F573" s="328"/>
      <c r="G573" s="328"/>
      <c r="H573" s="328"/>
      <c r="I573" s="328"/>
      <c r="J573" s="334"/>
      <c r="K573" s="334"/>
      <c r="L573" s="328"/>
    </row>
    <row r="574" spans="1:13" s="759" customFormat="1">
      <c r="A574" s="544"/>
      <c r="B574" s="252"/>
      <c r="C574" s="341" t="s">
        <v>646</v>
      </c>
      <c r="D574" s="328"/>
      <c r="E574" s="328"/>
      <c r="F574" s="328"/>
      <c r="G574" s="328"/>
      <c r="H574" s="328"/>
      <c r="I574" s="328"/>
      <c r="J574" s="334"/>
      <c r="K574" s="334"/>
      <c r="L574" s="328"/>
    </row>
    <row r="575" spans="1:13">
      <c r="A575" s="3"/>
      <c r="B575" s="252"/>
      <c r="C575" s="341" t="s">
        <v>647</v>
      </c>
      <c r="D575" s="328"/>
      <c r="E575" s="328"/>
      <c r="F575" s="328"/>
      <c r="G575" s="328"/>
      <c r="H575" s="328"/>
      <c r="I575" s="328"/>
      <c r="J575" s="334"/>
      <c r="K575" s="334"/>
      <c r="L575" s="328"/>
      <c r="M575" s="489"/>
    </row>
    <row r="576" spans="1:13" s="759" customFormat="1">
      <c r="A576" s="544"/>
      <c r="B576" s="252"/>
      <c r="C576" s="341" t="s">
        <v>575</v>
      </c>
      <c r="D576" s="328"/>
      <c r="E576" s="328"/>
      <c r="F576" s="328"/>
      <c r="G576" s="328"/>
      <c r="H576" s="328"/>
      <c r="I576" s="328"/>
      <c r="J576" s="334"/>
      <c r="K576" s="334"/>
      <c r="L576" s="328"/>
      <c r="M576" s="489"/>
    </row>
    <row r="577" spans="1:12">
      <c r="A577" s="3"/>
      <c r="B577" s="252"/>
      <c r="C577" s="341" t="s">
        <v>70</v>
      </c>
      <c r="D577" s="328"/>
      <c r="E577" s="328"/>
      <c r="F577" s="328"/>
      <c r="G577" s="328"/>
      <c r="H577" s="328"/>
      <c r="I577" s="328"/>
      <c r="J577" s="334"/>
      <c r="K577" s="334"/>
      <c r="L577" s="328"/>
    </row>
    <row r="578" spans="1:12">
      <c r="A578" s="3"/>
      <c r="B578" s="252"/>
      <c r="C578" s="342" t="s">
        <v>75</v>
      </c>
      <c r="D578" s="357">
        <f t="shared" ref="D578:L578" si="64">SUBTOTAL(9,D572:D577)</f>
        <v>0</v>
      </c>
      <c r="E578" s="357">
        <f t="shared" si="64"/>
        <v>0</v>
      </c>
      <c r="F578" s="357">
        <f t="shared" si="64"/>
        <v>0</v>
      </c>
      <c r="G578" s="357">
        <f t="shared" si="64"/>
        <v>0</v>
      </c>
      <c r="H578" s="357">
        <f t="shared" si="64"/>
        <v>0</v>
      </c>
      <c r="I578" s="357">
        <f t="shared" si="64"/>
        <v>0</v>
      </c>
      <c r="J578" s="357">
        <f t="shared" si="64"/>
        <v>0</v>
      </c>
      <c r="K578" s="357">
        <f t="shared" si="64"/>
        <v>0</v>
      </c>
      <c r="L578" s="357">
        <f t="shared" si="64"/>
        <v>0</v>
      </c>
    </row>
    <row r="579" spans="1:12">
      <c r="A579" s="339"/>
      <c r="B579" s="252"/>
      <c r="C579" s="342"/>
      <c r="D579" s="357"/>
      <c r="E579" s="357"/>
      <c r="F579" s="357"/>
      <c r="G579" s="357"/>
      <c r="H579" s="357"/>
      <c r="I579" s="357"/>
      <c r="J579" s="357"/>
      <c r="K579" s="357"/>
      <c r="L579" s="357"/>
    </row>
    <row r="580" spans="1:12">
      <c r="A580" s="339">
        <f>+A571+1</f>
        <v>40</v>
      </c>
      <c r="B580" s="252" t="str">
        <f ca="1">OFFSET(List_AllocOpexListStart,A580,0)</f>
        <v>A-40</v>
      </c>
      <c r="C580" s="340" t="str">
        <f ca="1">VLOOKUP(B580,List_AllocatedCosts,2,FALSE)</f>
        <v>Debt Raising Costs</v>
      </c>
      <c r="D580" s="329"/>
      <c r="E580" s="329"/>
      <c r="F580" s="329"/>
      <c r="G580" s="329"/>
      <c r="H580" s="329"/>
      <c r="I580" s="329"/>
      <c r="J580" s="329"/>
      <c r="K580" s="329"/>
      <c r="L580" s="329"/>
    </row>
    <row r="581" spans="1:12">
      <c r="A581" s="3"/>
      <c r="B581" s="252"/>
      <c r="C581" s="341" t="s">
        <v>68</v>
      </c>
      <c r="D581" s="328"/>
      <c r="E581" s="328"/>
      <c r="F581" s="328"/>
      <c r="G581" s="328"/>
      <c r="H581" s="328"/>
      <c r="I581" s="328"/>
      <c r="J581" s="334"/>
      <c r="K581" s="334"/>
      <c r="L581" s="328"/>
    </row>
    <row r="582" spans="1:12">
      <c r="A582" s="3"/>
      <c r="B582" s="252"/>
      <c r="C582" s="341" t="s">
        <v>69</v>
      </c>
      <c r="D582" s="328"/>
      <c r="E582" s="328"/>
      <c r="F582" s="328"/>
      <c r="G582" s="328"/>
      <c r="H582" s="328"/>
      <c r="I582" s="328"/>
      <c r="J582" s="334"/>
      <c r="K582" s="334"/>
      <c r="L582" s="328"/>
    </row>
    <row r="583" spans="1:12" s="759" customFormat="1">
      <c r="A583" s="544"/>
      <c r="B583" s="252"/>
      <c r="C583" s="341" t="s">
        <v>646</v>
      </c>
      <c r="D583" s="328"/>
      <c r="E583" s="328"/>
      <c r="F583" s="328"/>
      <c r="G583" s="328"/>
      <c r="H583" s="328"/>
      <c r="I583" s="328"/>
      <c r="J583" s="334"/>
      <c r="K583" s="334"/>
      <c r="L583" s="328"/>
    </row>
    <row r="584" spans="1:12">
      <c r="A584" s="3"/>
      <c r="B584" s="252"/>
      <c r="C584" s="341" t="s">
        <v>647</v>
      </c>
      <c r="D584" s="328"/>
      <c r="E584" s="328"/>
      <c r="F584" s="328"/>
      <c r="G584" s="328"/>
      <c r="H584" s="328"/>
      <c r="I584" s="328"/>
      <c r="J584" s="334"/>
      <c r="K584" s="334"/>
      <c r="L584" s="328"/>
    </row>
    <row r="585" spans="1:12" s="759" customFormat="1">
      <c r="A585" s="544"/>
      <c r="B585" s="252"/>
      <c r="C585" s="341" t="s">
        <v>575</v>
      </c>
      <c r="D585" s="328"/>
      <c r="E585" s="328"/>
      <c r="F585" s="328"/>
      <c r="G585" s="328"/>
      <c r="H585" s="328"/>
      <c r="I585" s="328"/>
      <c r="J585" s="334"/>
      <c r="K585" s="334"/>
      <c r="L585" s="328"/>
    </row>
    <row r="586" spans="1:12">
      <c r="A586" s="3"/>
      <c r="B586" s="252"/>
      <c r="C586" s="341" t="s">
        <v>70</v>
      </c>
      <c r="D586" s="328"/>
      <c r="E586" s="328"/>
      <c r="F586" s="328"/>
      <c r="G586" s="328"/>
      <c r="H586" s="328"/>
      <c r="I586" s="328"/>
      <c r="J586" s="334"/>
      <c r="K586" s="334"/>
      <c r="L586" s="328"/>
    </row>
    <row r="587" spans="1:12">
      <c r="A587" s="3"/>
      <c r="B587" s="252"/>
      <c r="C587" s="342" t="s">
        <v>75</v>
      </c>
      <c r="D587" s="357">
        <f t="shared" ref="D587:L587" si="65">SUBTOTAL(9,D581:D586)</f>
        <v>0</v>
      </c>
      <c r="E587" s="357">
        <f t="shared" si="65"/>
        <v>0</v>
      </c>
      <c r="F587" s="357">
        <f t="shared" si="65"/>
        <v>0</v>
      </c>
      <c r="G587" s="357">
        <f t="shared" si="65"/>
        <v>0</v>
      </c>
      <c r="H587" s="357">
        <f t="shared" si="65"/>
        <v>0</v>
      </c>
      <c r="I587" s="357">
        <f t="shared" si="65"/>
        <v>0</v>
      </c>
      <c r="J587" s="357">
        <f t="shared" si="65"/>
        <v>0</v>
      </c>
      <c r="K587" s="357">
        <f t="shared" si="65"/>
        <v>0</v>
      </c>
      <c r="L587" s="357">
        <f t="shared" si="65"/>
        <v>0</v>
      </c>
    </row>
    <row r="588" spans="1:12">
      <c r="A588" s="339"/>
      <c r="B588" s="252"/>
      <c r="C588" s="342"/>
      <c r="D588" s="357"/>
      <c r="E588" s="357"/>
      <c r="F588" s="357"/>
      <c r="G588" s="357"/>
      <c r="H588" s="357"/>
      <c r="I588" s="357"/>
      <c r="J588" s="357"/>
      <c r="K588" s="357"/>
      <c r="L588" s="357"/>
    </row>
    <row r="589" spans="1:12">
      <c r="A589" s="339">
        <f>+A580+1</f>
        <v>41</v>
      </c>
      <c r="B589" s="252" t="str">
        <f ca="1">OFFSET(List_AllocOpexListStart,A589,0)</f>
        <v>A-41</v>
      </c>
      <c r="C589" s="340" t="str">
        <f ca="1">VLOOKUP(B589,List_AllocatedCosts,2,FALSE)</f>
        <v>Spare, not in use</v>
      </c>
      <c r="D589" s="329"/>
      <c r="E589" s="329"/>
      <c r="F589" s="329"/>
      <c r="G589" s="329"/>
      <c r="H589" s="329"/>
      <c r="I589" s="329"/>
      <c r="J589" s="329"/>
      <c r="K589" s="329"/>
      <c r="L589" s="329"/>
    </row>
    <row r="590" spans="1:12">
      <c r="A590" s="3"/>
      <c r="B590" s="252"/>
      <c r="C590" s="341" t="s">
        <v>68</v>
      </c>
      <c r="D590" s="328"/>
      <c r="E590" s="328"/>
      <c r="F590" s="328"/>
      <c r="G590" s="328"/>
      <c r="H590" s="328"/>
      <c r="I590" s="328"/>
      <c r="J590" s="334"/>
      <c r="K590" s="334"/>
      <c r="L590" s="328"/>
    </row>
    <row r="591" spans="1:12">
      <c r="A591" s="3"/>
      <c r="B591" s="252"/>
      <c r="C591" s="341" t="s">
        <v>69</v>
      </c>
      <c r="D591" s="328"/>
      <c r="E591" s="328"/>
      <c r="F591" s="328"/>
      <c r="G591" s="328"/>
      <c r="H591" s="328"/>
      <c r="I591" s="328"/>
      <c r="J591" s="334"/>
      <c r="K591" s="334"/>
      <c r="L591" s="328"/>
    </row>
    <row r="592" spans="1:12" s="759" customFormat="1">
      <c r="A592" s="544"/>
      <c r="B592" s="252"/>
      <c r="C592" s="341" t="s">
        <v>646</v>
      </c>
      <c r="D592" s="328"/>
      <c r="E592" s="328"/>
      <c r="F592" s="328"/>
      <c r="G592" s="328"/>
      <c r="H592" s="328"/>
      <c r="I592" s="328"/>
      <c r="J592" s="334"/>
      <c r="K592" s="334"/>
      <c r="L592" s="328"/>
    </row>
    <row r="593" spans="1:13">
      <c r="A593" s="3"/>
      <c r="B593" s="252"/>
      <c r="C593" s="341" t="s">
        <v>647</v>
      </c>
      <c r="D593" s="328"/>
      <c r="E593" s="328"/>
      <c r="F593" s="328"/>
      <c r="G593" s="328"/>
      <c r="H593" s="328"/>
      <c r="I593" s="328"/>
      <c r="J593" s="334"/>
      <c r="K593" s="334"/>
      <c r="L593" s="328"/>
    </row>
    <row r="594" spans="1:13" s="759" customFormat="1">
      <c r="A594" s="544"/>
      <c r="B594" s="252"/>
      <c r="C594" s="341" t="s">
        <v>575</v>
      </c>
      <c r="D594" s="328"/>
      <c r="E594" s="328"/>
      <c r="F594" s="328"/>
      <c r="G594" s="328"/>
      <c r="H594" s="328"/>
      <c r="I594" s="328"/>
      <c r="J594" s="334"/>
      <c r="K594" s="334"/>
      <c r="L594" s="328"/>
    </row>
    <row r="595" spans="1:13">
      <c r="A595" s="3"/>
      <c r="B595" s="252"/>
      <c r="C595" s="341" t="s">
        <v>70</v>
      </c>
      <c r="D595" s="328"/>
      <c r="E595" s="328"/>
      <c r="F595" s="328"/>
      <c r="G595" s="328"/>
      <c r="H595" s="328"/>
      <c r="I595" s="328"/>
      <c r="J595" s="334"/>
      <c r="K595" s="334"/>
      <c r="L595" s="328"/>
    </row>
    <row r="596" spans="1:13">
      <c r="A596" s="3"/>
      <c r="B596" s="252"/>
      <c r="C596" s="342" t="s">
        <v>75</v>
      </c>
      <c r="D596" s="357">
        <f t="shared" ref="D596:L596" si="66">SUBTOTAL(9,D590:D595)</f>
        <v>0</v>
      </c>
      <c r="E596" s="357">
        <f t="shared" si="66"/>
        <v>0</v>
      </c>
      <c r="F596" s="357">
        <f t="shared" si="66"/>
        <v>0</v>
      </c>
      <c r="G596" s="357">
        <f t="shared" si="66"/>
        <v>0</v>
      </c>
      <c r="H596" s="357">
        <f t="shared" si="66"/>
        <v>0</v>
      </c>
      <c r="I596" s="357">
        <f t="shared" si="66"/>
        <v>0</v>
      </c>
      <c r="J596" s="357">
        <f t="shared" si="66"/>
        <v>0</v>
      </c>
      <c r="K596" s="357">
        <f t="shared" si="66"/>
        <v>0</v>
      </c>
      <c r="L596" s="357">
        <f t="shared" si="66"/>
        <v>0</v>
      </c>
    </row>
    <row r="597" spans="1:13">
      <c r="A597" s="3"/>
      <c r="B597" s="252"/>
      <c r="C597" s="342"/>
      <c r="D597" s="329"/>
      <c r="E597" s="329"/>
      <c r="F597" s="329"/>
      <c r="G597" s="329"/>
      <c r="H597" s="329"/>
      <c r="I597" s="329"/>
      <c r="J597" s="329"/>
      <c r="K597" s="329"/>
      <c r="L597" s="329"/>
    </row>
    <row r="598" spans="1:13" ht="16.5" thickBot="1">
      <c r="A598" s="3"/>
      <c r="B598" s="366"/>
      <c r="C598" s="367" t="s">
        <v>273</v>
      </c>
      <c r="D598" s="368">
        <f t="shared" ref="D598:L598" si="67">SUBTOTAL(9,D229:D597)</f>
        <v>0</v>
      </c>
      <c r="E598" s="368">
        <f t="shared" si="67"/>
        <v>0</v>
      </c>
      <c r="F598" s="368">
        <f t="shared" si="67"/>
        <v>0</v>
      </c>
      <c r="G598" s="368">
        <f t="shared" si="67"/>
        <v>0</v>
      </c>
      <c r="H598" s="368">
        <f t="shared" si="67"/>
        <v>0</v>
      </c>
      <c r="I598" s="368">
        <f t="shared" si="67"/>
        <v>0</v>
      </c>
      <c r="J598" s="368">
        <f t="shared" si="67"/>
        <v>0</v>
      </c>
      <c r="K598" s="368">
        <f t="shared" si="67"/>
        <v>0</v>
      </c>
      <c r="L598" s="368">
        <f t="shared" si="67"/>
        <v>0</v>
      </c>
      <c r="M598" s="268"/>
    </row>
    <row r="599" spans="1:13">
      <c r="A599" s="3"/>
      <c r="B599" s="364"/>
      <c r="C599" s="365"/>
      <c r="D599" s="369"/>
      <c r="E599" s="369"/>
      <c r="F599" s="369"/>
      <c r="G599" s="369"/>
      <c r="H599" s="369"/>
      <c r="I599" s="369"/>
      <c r="J599" s="369"/>
      <c r="K599" s="369"/>
      <c r="L599" s="369"/>
      <c r="M599" s="3"/>
    </row>
    <row r="600" spans="1:13" ht="31.5">
      <c r="A600" s="3"/>
      <c r="B600" s="366"/>
      <c r="C600" s="367" t="s">
        <v>274</v>
      </c>
      <c r="D600" s="370">
        <f t="shared" ref="D600:L600" si="68">SUBTOTAL(9,D8:D597)</f>
        <v>0</v>
      </c>
      <c r="E600" s="370">
        <f t="shared" si="68"/>
        <v>0</v>
      </c>
      <c r="F600" s="370">
        <f t="shared" si="68"/>
        <v>0</v>
      </c>
      <c r="G600" s="370">
        <f t="shared" si="68"/>
        <v>0</v>
      </c>
      <c r="H600" s="370">
        <f t="shared" si="68"/>
        <v>0</v>
      </c>
      <c r="I600" s="370">
        <f t="shared" si="68"/>
        <v>0</v>
      </c>
      <c r="J600" s="370">
        <f t="shared" si="68"/>
        <v>0</v>
      </c>
      <c r="K600" s="370">
        <f t="shared" si="68"/>
        <v>0</v>
      </c>
      <c r="L600" s="370">
        <f t="shared" si="68"/>
        <v>0</v>
      </c>
      <c r="M600" s="352"/>
    </row>
    <row r="601" spans="1:13">
      <c r="A601" s="3"/>
      <c r="B601" s="371"/>
      <c r="C601" s="371"/>
      <c r="D601" s="372"/>
      <c r="E601" s="372"/>
      <c r="F601" s="372"/>
      <c r="G601" s="373"/>
      <c r="H601" s="372"/>
      <c r="I601" s="372"/>
      <c r="J601" s="374"/>
      <c r="K601" s="374"/>
      <c r="L601" s="372"/>
      <c r="M601" s="3"/>
    </row>
    <row r="602" spans="1:13">
      <c r="A602" s="3"/>
      <c r="B602" s="371"/>
      <c r="C602" s="371"/>
      <c r="D602" s="371"/>
      <c r="E602" s="371"/>
      <c r="F602" s="371"/>
      <c r="G602" s="371"/>
      <c r="H602" s="371"/>
      <c r="I602" s="371"/>
      <c r="J602" s="371"/>
      <c r="K602" s="371"/>
      <c r="L602" s="371"/>
      <c r="M602" s="3"/>
    </row>
    <row r="603" spans="1:13" ht="16.5" thickBot="1">
      <c r="A603" s="3"/>
      <c r="B603" s="366"/>
      <c r="C603" s="367" t="s">
        <v>267</v>
      </c>
      <c r="D603" s="375"/>
      <c r="E603" s="375"/>
      <c r="F603" s="375"/>
      <c r="G603" s="375"/>
      <c r="H603" s="375"/>
      <c r="I603" s="375"/>
      <c r="J603" s="375"/>
      <c r="K603" s="375"/>
      <c r="L603" s="375"/>
      <c r="M603" s="352"/>
    </row>
    <row r="604" spans="1:13" ht="13.5" thickBot="1">
      <c r="A604" s="3"/>
      <c r="B604" s="371"/>
      <c r="C604" s="371"/>
      <c r="D604" s="371"/>
      <c r="E604" s="371"/>
      <c r="F604" s="371"/>
      <c r="G604" s="371"/>
      <c r="H604" s="371"/>
      <c r="I604" s="371"/>
      <c r="J604" s="371"/>
      <c r="K604" s="371"/>
      <c r="L604" s="371"/>
      <c r="M604" s="3"/>
    </row>
    <row r="605" spans="1:13" ht="13.5" thickBot="1">
      <c r="A605" s="3"/>
      <c r="B605" s="3"/>
      <c r="C605" s="3"/>
      <c r="D605" s="353" t="s">
        <v>269</v>
      </c>
      <c r="E605" s="354"/>
      <c r="F605" s="354"/>
      <c r="G605" s="354"/>
      <c r="H605" s="354"/>
      <c r="I605" s="354"/>
      <c r="J605" s="354"/>
      <c r="K605" s="354"/>
      <c r="L605" s="355" t="s">
        <v>85</v>
      </c>
      <c r="M605" s="3"/>
    </row>
    <row r="606" spans="1:13" ht="13.5" thickBot="1">
      <c r="A606" s="3"/>
      <c r="B606" s="3"/>
      <c r="C606" s="10"/>
      <c r="D606" s="276" t="str">
        <f>'Ref-1'!M39</f>
        <v>2011/12</v>
      </c>
      <c r="E606" s="246" t="str">
        <f>'Ref-1'!N39</f>
        <v>2012/13</v>
      </c>
      <c r="F606" s="246" t="str">
        <f>'Ref-1'!O39</f>
        <v>2013/14</v>
      </c>
      <c r="G606" s="246" t="str">
        <f>'Ref-1'!P39</f>
        <v>2014/15</v>
      </c>
      <c r="H606" s="247" t="str">
        <f>'Ref-1'!Q39</f>
        <v>2015/16</v>
      </c>
      <c r="I606" s="246" t="str">
        <f>'Ref-1'!R39</f>
        <v>2016/17</v>
      </c>
      <c r="J606" s="246" t="str">
        <f>'Ref-1'!S39</f>
        <v>2017/18</v>
      </c>
      <c r="K606" s="246" t="str">
        <f>'Ref-1'!T39</f>
        <v>2018/19</v>
      </c>
      <c r="L606" s="258" t="str">
        <f>'Ref-1'!U39</f>
        <v>2019/20</v>
      </c>
      <c r="M606" s="3"/>
    </row>
    <row r="607" spans="1:13">
      <c r="A607" s="3"/>
      <c r="B607" s="3"/>
      <c r="C607" s="341" t="s">
        <v>68</v>
      </c>
      <c r="D607" s="359">
        <f t="shared" ref="D607:L612" ca="1" si="69">SUMIF($C$7:$C$597,$C607,D$7:D$597)</f>
        <v>0</v>
      </c>
      <c r="E607" s="360">
        <f t="shared" ca="1" si="69"/>
        <v>0</v>
      </c>
      <c r="F607" s="360">
        <f t="shared" ca="1" si="69"/>
        <v>0</v>
      </c>
      <c r="G607" s="360">
        <f t="shared" ca="1" si="69"/>
        <v>0</v>
      </c>
      <c r="H607" s="360">
        <f t="shared" ca="1" si="69"/>
        <v>0</v>
      </c>
      <c r="I607" s="360">
        <f t="shared" ca="1" si="69"/>
        <v>0</v>
      </c>
      <c r="J607" s="360">
        <f t="shared" ca="1" si="69"/>
        <v>0</v>
      </c>
      <c r="K607" s="360">
        <f t="shared" ca="1" si="69"/>
        <v>0</v>
      </c>
      <c r="L607" s="360">
        <f t="shared" ca="1" si="69"/>
        <v>0</v>
      </c>
      <c r="M607" s="3"/>
    </row>
    <row r="608" spans="1:13">
      <c r="A608" s="3"/>
      <c r="B608" s="3"/>
      <c r="C608" s="341" t="s">
        <v>69</v>
      </c>
      <c r="D608" s="359">
        <f t="shared" ca="1" si="69"/>
        <v>0</v>
      </c>
      <c r="E608" s="360">
        <f t="shared" ca="1" si="69"/>
        <v>0</v>
      </c>
      <c r="F608" s="360">
        <f t="shared" ca="1" si="69"/>
        <v>0</v>
      </c>
      <c r="G608" s="360">
        <f t="shared" ca="1" si="69"/>
        <v>0</v>
      </c>
      <c r="H608" s="360">
        <f t="shared" ca="1" si="69"/>
        <v>0</v>
      </c>
      <c r="I608" s="360">
        <f t="shared" ca="1" si="69"/>
        <v>0</v>
      </c>
      <c r="J608" s="360">
        <f t="shared" ca="1" si="69"/>
        <v>0</v>
      </c>
      <c r="K608" s="360">
        <f t="shared" ca="1" si="69"/>
        <v>0</v>
      </c>
      <c r="L608" s="360">
        <f t="shared" ca="1" si="69"/>
        <v>0</v>
      </c>
      <c r="M608" s="3"/>
    </row>
    <row r="609" spans="1:13" s="780" customFormat="1">
      <c r="A609" s="544"/>
      <c r="B609" s="544"/>
      <c r="C609" s="341" t="s">
        <v>646</v>
      </c>
      <c r="D609" s="359">
        <f t="shared" ca="1" si="69"/>
        <v>0</v>
      </c>
      <c r="E609" s="360">
        <f t="shared" ca="1" si="69"/>
        <v>0</v>
      </c>
      <c r="F609" s="360">
        <f t="shared" ca="1" si="69"/>
        <v>0</v>
      </c>
      <c r="G609" s="360">
        <f t="shared" ca="1" si="69"/>
        <v>0</v>
      </c>
      <c r="H609" s="360">
        <f t="shared" ca="1" si="69"/>
        <v>0</v>
      </c>
      <c r="I609" s="360">
        <f t="shared" ca="1" si="69"/>
        <v>0</v>
      </c>
      <c r="J609" s="360">
        <f t="shared" ca="1" si="69"/>
        <v>0</v>
      </c>
      <c r="K609" s="360">
        <f t="shared" ca="1" si="69"/>
        <v>0</v>
      </c>
      <c r="L609" s="360">
        <f t="shared" ca="1" si="69"/>
        <v>0</v>
      </c>
      <c r="M609" s="544"/>
    </row>
    <row r="610" spans="1:13">
      <c r="A610" s="3"/>
      <c r="B610" s="3"/>
      <c r="C610" s="341" t="s">
        <v>647</v>
      </c>
      <c r="D610" s="359">
        <f t="shared" ca="1" si="69"/>
        <v>0</v>
      </c>
      <c r="E610" s="360">
        <f t="shared" ca="1" si="69"/>
        <v>0</v>
      </c>
      <c r="F610" s="360">
        <f t="shared" ca="1" si="69"/>
        <v>0</v>
      </c>
      <c r="G610" s="360">
        <f t="shared" ca="1" si="69"/>
        <v>0</v>
      </c>
      <c r="H610" s="360">
        <f t="shared" ca="1" si="69"/>
        <v>0</v>
      </c>
      <c r="I610" s="360">
        <f t="shared" ca="1" si="69"/>
        <v>0</v>
      </c>
      <c r="J610" s="360">
        <f t="shared" ca="1" si="69"/>
        <v>0</v>
      </c>
      <c r="K610" s="360">
        <f t="shared" ca="1" si="69"/>
        <v>0</v>
      </c>
      <c r="L610" s="360">
        <f t="shared" ca="1" si="69"/>
        <v>0</v>
      </c>
      <c r="M610" s="3"/>
    </row>
    <row r="611" spans="1:13" s="780" customFormat="1">
      <c r="A611" s="544"/>
      <c r="B611" s="544"/>
      <c r="C611" s="341" t="s">
        <v>575</v>
      </c>
      <c r="D611" s="359">
        <f t="shared" ca="1" si="69"/>
        <v>0</v>
      </c>
      <c r="E611" s="360">
        <f t="shared" ca="1" si="69"/>
        <v>0</v>
      </c>
      <c r="F611" s="360">
        <f t="shared" ca="1" si="69"/>
        <v>0</v>
      </c>
      <c r="G611" s="360">
        <f t="shared" ca="1" si="69"/>
        <v>0</v>
      </c>
      <c r="H611" s="360">
        <f t="shared" ca="1" si="69"/>
        <v>0</v>
      </c>
      <c r="I611" s="360">
        <f t="shared" ca="1" si="69"/>
        <v>0</v>
      </c>
      <c r="J611" s="360">
        <f t="shared" ca="1" si="69"/>
        <v>0</v>
      </c>
      <c r="K611" s="360">
        <f t="shared" ca="1" si="69"/>
        <v>0</v>
      </c>
      <c r="L611" s="360">
        <f t="shared" ca="1" si="69"/>
        <v>0</v>
      </c>
      <c r="M611" s="544"/>
    </row>
    <row r="612" spans="1:13">
      <c r="A612" s="3"/>
      <c r="B612" s="3"/>
      <c r="C612" s="341" t="s">
        <v>70</v>
      </c>
      <c r="D612" s="359">
        <f t="shared" ca="1" si="69"/>
        <v>0</v>
      </c>
      <c r="E612" s="360">
        <f t="shared" ca="1" si="69"/>
        <v>0</v>
      </c>
      <c r="F612" s="360">
        <f t="shared" ca="1" si="69"/>
        <v>0</v>
      </c>
      <c r="G612" s="360">
        <f t="shared" ca="1" si="69"/>
        <v>0</v>
      </c>
      <c r="H612" s="360">
        <f t="shared" ca="1" si="69"/>
        <v>0</v>
      </c>
      <c r="I612" s="360">
        <f t="shared" ca="1" si="69"/>
        <v>0</v>
      </c>
      <c r="J612" s="360">
        <f t="shared" ca="1" si="69"/>
        <v>0</v>
      </c>
      <c r="K612" s="360">
        <f t="shared" ca="1" si="69"/>
        <v>0</v>
      </c>
      <c r="L612" s="360">
        <f t="shared" ca="1" si="69"/>
        <v>0</v>
      </c>
      <c r="M612" s="3"/>
    </row>
    <row r="613" spans="1:13" ht="13.5" thickBot="1">
      <c r="A613" s="3"/>
      <c r="B613" s="3"/>
      <c r="C613" s="356" t="s">
        <v>75</v>
      </c>
      <c r="D613" s="362">
        <f t="shared" ref="D613:L613" ca="1" si="70">SUM(D607:D612)</f>
        <v>0</v>
      </c>
      <c r="E613" s="362">
        <f t="shared" ca="1" si="70"/>
        <v>0</v>
      </c>
      <c r="F613" s="362">
        <f t="shared" ca="1" si="70"/>
        <v>0</v>
      </c>
      <c r="G613" s="362">
        <f t="shared" ca="1" si="70"/>
        <v>0</v>
      </c>
      <c r="H613" s="362">
        <f t="shared" ca="1" si="70"/>
        <v>0</v>
      </c>
      <c r="I613" s="362">
        <f t="shared" ca="1" si="70"/>
        <v>0</v>
      </c>
      <c r="J613" s="362">
        <f t="shared" ca="1" si="70"/>
        <v>0</v>
      </c>
      <c r="K613" s="362">
        <f t="shared" ca="1" si="70"/>
        <v>0</v>
      </c>
      <c r="L613" s="363">
        <f t="shared" ca="1" si="70"/>
        <v>0</v>
      </c>
      <c r="M613" s="3"/>
    </row>
    <row r="614" spans="1:13">
      <c r="A614" s="3"/>
      <c r="B614" s="3"/>
      <c r="C614" s="3"/>
      <c r="D614" s="3"/>
      <c r="E614" s="3"/>
      <c r="F614" s="3"/>
      <c r="G614" s="3"/>
      <c r="H614" s="3"/>
      <c r="I614" s="3"/>
      <c r="J614" s="3"/>
      <c r="K614" s="3"/>
      <c r="L614" s="3"/>
      <c r="M614" s="3"/>
    </row>
    <row r="615" spans="1:13">
      <c r="A615" s="3"/>
      <c r="B615" s="3"/>
      <c r="C615" s="3"/>
      <c r="D615" s="3"/>
      <c r="E615" s="3"/>
      <c r="F615" s="3"/>
      <c r="G615" s="3"/>
      <c r="H615" s="3"/>
      <c r="I615" s="3"/>
      <c r="J615" s="3"/>
      <c r="K615" s="3"/>
      <c r="L615" s="3"/>
      <c r="M615" s="3"/>
    </row>
    <row r="616" spans="1:13">
      <c r="A616" s="3"/>
      <c r="B616" s="3"/>
      <c r="C616" s="3"/>
      <c r="D616" s="3"/>
      <c r="E616" s="3"/>
      <c r="F616" s="3"/>
      <c r="G616" s="3"/>
      <c r="H616" s="3"/>
      <c r="I616" s="3"/>
      <c r="J616" s="3"/>
      <c r="K616" s="3"/>
      <c r="L616" s="3"/>
      <c r="M616" s="3"/>
    </row>
    <row r="618" spans="1:13">
      <c r="B618" s="2" t="s">
        <v>314</v>
      </c>
    </row>
    <row r="620" spans="1:13">
      <c r="B620" t="s">
        <v>315</v>
      </c>
    </row>
    <row r="621" spans="1:13">
      <c r="B621" s="2"/>
    </row>
    <row r="624" spans="1:13" ht="13.5" thickBot="1"/>
    <row r="625" spans="2:12">
      <c r="B625" s="326" t="s">
        <v>288</v>
      </c>
      <c r="C625" s="317"/>
      <c r="D625" s="317"/>
      <c r="E625" s="317"/>
      <c r="F625" s="317"/>
      <c r="G625" s="317"/>
      <c r="H625" s="317"/>
      <c r="I625" s="317"/>
      <c r="J625" s="317"/>
      <c r="K625" s="317"/>
      <c r="L625" s="318"/>
    </row>
    <row r="626" spans="2:12">
      <c r="B626" s="319" t="s">
        <v>311</v>
      </c>
      <c r="C626" s="67"/>
      <c r="D626" s="308">
        <f ca="1">+D613-D600</f>
        <v>0</v>
      </c>
      <c r="E626" s="308">
        <f t="shared" ref="E626:L626" ca="1" si="71">+E613-E600</f>
        <v>0</v>
      </c>
      <c r="F626" s="308">
        <f t="shared" ca="1" si="71"/>
        <v>0</v>
      </c>
      <c r="G626" s="308">
        <f ca="1">+G613-G600</f>
        <v>0</v>
      </c>
      <c r="H626" s="308">
        <f t="shared" ca="1" si="71"/>
        <v>0</v>
      </c>
      <c r="I626" s="308">
        <f ca="1">+I613-I600</f>
        <v>0</v>
      </c>
      <c r="J626" s="308">
        <f t="shared" ca="1" si="71"/>
        <v>0</v>
      </c>
      <c r="K626" s="308">
        <f t="shared" ca="1" si="71"/>
        <v>0</v>
      </c>
      <c r="L626" s="320">
        <f t="shared" ca="1" si="71"/>
        <v>0</v>
      </c>
    </row>
    <row r="627" spans="2:12" ht="13.5" thickBot="1">
      <c r="B627" s="322"/>
      <c r="C627" s="323"/>
      <c r="D627" s="323"/>
      <c r="E627" s="323"/>
      <c r="F627" s="323"/>
      <c r="G627" s="323"/>
      <c r="H627" s="323"/>
      <c r="I627" s="323"/>
      <c r="J627" s="323"/>
      <c r="K627" s="323"/>
      <c r="L627" s="324"/>
    </row>
  </sheetData>
  <sheetProtection formatColumns="0" formatRows="0"/>
  <protectedRanges>
    <protectedRange sqref="L7 L212:L214 D570:L571 L560:L562 L221:L228 L569 D578:L580 D572:K577 D587:L589 D581:K586 D596:L597 D590:K595 L370:L372 L262:L264 L505:L507 D7:K569 L541:L544" name="Range2"/>
  </protectedRanges>
  <phoneticPr fontId="0" type="noConversion"/>
  <conditionalFormatting sqref="D626:L626">
    <cfRule type="cellIs" dxfId="386" priority="1" stopIfTrue="1" operator="equal">
      <formula>0</formula>
    </cfRule>
    <cfRule type="cellIs" dxfId="385" priority="2" stopIfTrue="1" operator="notEqual">
      <formula>0</formula>
    </cfRule>
  </conditionalFormatting>
  <pageMargins left="0.46" right="0.47" top="0.64" bottom="0.64" header="0.24" footer="0.2"/>
  <pageSetup paperSize="9" scale="83" fitToHeight="0" orientation="landscape" r:id="rId1"/>
  <headerFooter alignWithMargins="0">
    <oddFooter>&amp;L&amp;8&amp;F
&amp;A
Printed: &amp;T on &amp;D&amp;C&amp;8Page &amp;P of &amp;N</oddFooter>
  </headerFooter>
  <rowBreaks count="12" manualBreakCount="12">
    <brk id="59" min="1" max="11" man="1"/>
    <brk id="95" min="1" max="11" man="1"/>
    <brk id="150" min="1" max="11" man="1"/>
    <brk id="204" min="1" max="11" man="1"/>
    <brk id="225" min="1" max="11" man="1"/>
    <brk id="262" min="1" max="11" man="1"/>
    <brk id="308" min="1" max="11" man="1"/>
    <brk id="362" min="1" max="11" man="1"/>
    <brk id="416" min="1" max="11" man="1"/>
    <brk id="470" min="1" max="11" man="1"/>
    <brk id="505" min="1" max="11" man="1"/>
    <brk id="542" min="1" max="11" man="1"/>
  </rowBreaks>
  <legacyDrawing r:id="rId2"/>
</worksheet>
</file>

<file path=xl/worksheets/sheet80.xml><?xml version="1.0" encoding="utf-8"?>
<worksheet xmlns="http://schemas.openxmlformats.org/spreadsheetml/2006/main" xmlns:r="http://schemas.openxmlformats.org/officeDocument/2006/relationships">
  <sheetPr codeName="Sheet95" enableFormatConditionsCalculation="0">
    <tabColor indexed="12"/>
    <pageSetUpPr fitToPage="1"/>
  </sheetPr>
  <dimension ref="A1:S647"/>
  <sheetViews>
    <sheetView showGridLines="0" topLeftCell="A571" zoomScale="75" zoomScaleNormal="75" workbookViewId="0">
      <selection activeCell="O595" sqref="O595"/>
    </sheetView>
  </sheetViews>
  <sheetFormatPr defaultRowHeight="12.75"/>
  <cols>
    <col min="1" max="1" width="6" customWidth="1"/>
    <col min="2" max="2" width="9.85546875" customWidth="1"/>
    <col min="3" max="3" width="41.85546875" customWidth="1"/>
    <col min="4" max="11" width="9.28515625" hidden="1" customWidth="1"/>
    <col min="12" max="12" width="11" hidden="1" customWidth="1"/>
    <col min="13" max="13" width="12" hidden="1" customWidth="1"/>
    <col min="14" max="19" width="12" customWidth="1"/>
  </cols>
  <sheetData>
    <row r="1" spans="1:19" ht="20.25">
      <c r="A1" s="7" t="s">
        <v>11</v>
      </c>
      <c r="B1" s="7" t="s">
        <v>308</v>
      </c>
    </row>
    <row r="2" spans="1:19" ht="13.5" thickBot="1"/>
    <row r="3" spans="1:19" ht="13.5" thickBot="1">
      <c r="D3" s="8" t="s">
        <v>269</v>
      </c>
      <c r="E3" s="9"/>
      <c r="F3" s="9"/>
      <c r="G3" s="9"/>
      <c r="H3" s="9"/>
      <c r="I3" s="9"/>
      <c r="J3" s="9"/>
      <c r="K3" s="9"/>
      <c r="L3" s="642" t="s">
        <v>533</v>
      </c>
      <c r="M3" s="71"/>
      <c r="N3" s="9"/>
      <c r="O3" s="9"/>
      <c r="P3" s="9"/>
      <c r="Q3" s="9"/>
      <c r="R3" s="9"/>
      <c r="S3" s="643" t="str">
        <f>+LU_BaseYearDollars</f>
        <v>($M) 2013/14 dollars</v>
      </c>
    </row>
    <row r="4" spans="1:19" ht="13.5" thickBot="1">
      <c r="B4" s="253" t="s">
        <v>265</v>
      </c>
      <c r="C4" s="436"/>
      <c r="D4" s="439" t="str">
        <f>+'Ref-1'!F39</f>
        <v>2004/05</v>
      </c>
      <c r="E4" s="439" t="str">
        <f>+'Ref-1'!G39</f>
        <v>2005/06</v>
      </c>
      <c r="F4" s="439" t="str">
        <f>+'Ref-1'!H39</f>
        <v>2006/07</v>
      </c>
      <c r="G4" s="439" t="str">
        <f>+'Ref-1'!I39</f>
        <v>2007/08</v>
      </c>
      <c r="H4" s="439" t="str">
        <f>+'Ref-1'!J39</f>
        <v>2008/09</v>
      </c>
      <c r="I4" s="439" t="str">
        <f>+'Ref-1'!K39</f>
        <v>2009/10</v>
      </c>
      <c r="J4" s="439" t="str">
        <f>+'Ref-1'!L39</f>
        <v>2010/11</v>
      </c>
      <c r="K4" s="439" t="str">
        <f>+'Ref-1'!M39</f>
        <v>2011/12</v>
      </c>
      <c r="L4" s="439" t="str">
        <f>+'Ref-1'!N39</f>
        <v>2012/13</v>
      </c>
      <c r="M4" s="439" t="str">
        <f>+'Ref-1'!O39</f>
        <v>2013/14</v>
      </c>
      <c r="N4" s="439" t="str">
        <f>+'Ref-1'!P39</f>
        <v>2014/15</v>
      </c>
      <c r="O4" s="439" t="str">
        <f>+'Ref-1'!Q39</f>
        <v>2015/16</v>
      </c>
      <c r="P4" s="439" t="str">
        <f>+'Ref-1'!R39</f>
        <v>2016/17</v>
      </c>
      <c r="Q4" s="439" t="str">
        <f>+'Ref-1'!S39</f>
        <v>2017/18</v>
      </c>
      <c r="R4" s="439" t="str">
        <f>+'Ref-1'!T39</f>
        <v>2018/19</v>
      </c>
      <c r="S4" s="439" t="str">
        <f>+'Ref-1'!U39</f>
        <v>2019/20</v>
      </c>
    </row>
    <row r="5" spans="1:19" ht="18">
      <c r="B5" s="259"/>
      <c r="C5" s="454" t="s">
        <v>266</v>
      </c>
      <c r="D5" s="261"/>
      <c r="E5" s="302"/>
      <c r="F5" s="302"/>
      <c r="G5" s="302"/>
      <c r="H5" s="302"/>
      <c r="I5" s="302"/>
      <c r="J5" s="302"/>
      <c r="K5" s="302"/>
      <c r="L5" s="302"/>
      <c r="M5" s="302"/>
      <c r="N5" s="302"/>
      <c r="O5" s="302"/>
      <c r="P5" s="302"/>
      <c r="Q5" s="302"/>
      <c r="R5" s="302"/>
      <c r="S5" s="302"/>
    </row>
    <row r="6" spans="1:19" ht="18">
      <c r="B6" s="252"/>
      <c r="C6" s="248" t="s">
        <v>95</v>
      </c>
      <c r="D6" s="244"/>
      <c r="E6" s="244"/>
      <c r="F6" s="244"/>
      <c r="G6" s="244"/>
      <c r="H6" s="244"/>
      <c r="I6" s="244"/>
      <c r="J6" s="244"/>
      <c r="K6" s="244"/>
      <c r="L6" s="244"/>
      <c r="M6" s="506"/>
      <c r="N6" s="244"/>
      <c r="O6" s="244"/>
      <c r="P6" s="244"/>
      <c r="Q6" s="244"/>
      <c r="R6" s="244"/>
      <c r="S6" s="244"/>
    </row>
    <row r="7" spans="1:19">
      <c r="A7" s="5"/>
      <c r="B7" s="249" t="str">
        <f ca="1">+'I-4 History'!B7</f>
        <v>DA-1</v>
      </c>
      <c r="C7" s="14" t="str">
        <f ca="1">+'I-4 History'!C7</f>
        <v>Distribution Licence Fee</v>
      </c>
      <c r="D7" s="11"/>
      <c r="E7" s="11"/>
      <c r="F7" s="11"/>
      <c r="G7" s="11"/>
      <c r="H7" s="11"/>
      <c r="I7" s="11"/>
      <c r="J7" s="11"/>
      <c r="K7" s="11"/>
      <c r="L7" s="11"/>
      <c r="M7" s="507"/>
      <c r="N7" s="11"/>
      <c r="O7" s="11"/>
      <c r="P7" s="11"/>
      <c r="Q7" s="11"/>
      <c r="R7" s="11"/>
      <c r="S7" s="11"/>
    </row>
    <row r="8" spans="1:19">
      <c r="A8" s="5"/>
      <c r="B8" s="249"/>
      <c r="C8" s="13" t="s">
        <v>68</v>
      </c>
      <c r="D8" s="312">
        <f>'I-4 History'!D8</f>
        <v>0</v>
      </c>
      <c r="E8" s="312">
        <f>'I-4 History'!E8</f>
        <v>0</v>
      </c>
      <c r="F8" s="312">
        <f>'I-4 History'!F8</f>
        <v>0</v>
      </c>
      <c r="G8" s="312">
        <f>'I-4 History'!G8</f>
        <v>0</v>
      </c>
      <c r="H8" s="312">
        <f>'I-4 History'!H8</f>
        <v>0</v>
      </c>
      <c r="I8" s="312">
        <f>'I-4 History'!I8</f>
        <v>0</v>
      </c>
      <c r="J8" s="312">
        <f>'I-4 History'!J8</f>
        <v>0</v>
      </c>
      <c r="K8" s="312">
        <f>'I-4 History'!K8</f>
        <v>0</v>
      </c>
      <c r="L8" s="310">
        <f ca="1">'DA-1'!B$64</f>
        <v>0</v>
      </c>
      <c r="M8" s="835">
        <f ca="1">'DA-1'!C$64</f>
        <v>0</v>
      </c>
      <c r="N8" s="312">
        <f ca="1">'DA-1'!D$64</f>
        <v>0</v>
      </c>
      <c r="O8" s="310">
        <f ca="1">'DA-1'!E$64</f>
        <v>0</v>
      </c>
      <c r="P8" s="310">
        <f ca="1">'DA-1'!F$64</f>
        <v>0</v>
      </c>
      <c r="Q8" s="310">
        <f ca="1">'DA-1'!G$64</f>
        <v>0</v>
      </c>
      <c r="R8" s="310">
        <f ca="1">'DA-1'!H$64</f>
        <v>0</v>
      </c>
      <c r="S8" s="310">
        <f ca="1">'DA-1'!I$64</f>
        <v>0</v>
      </c>
    </row>
    <row r="9" spans="1:19">
      <c r="A9" s="5"/>
      <c r="B9" s="249"/>
      <c r="C9" s="13" t="s">
        <v>69</v>
      </c>
      <c r="D9" s="312">
        <f>'I-4 History'!D9</f>
        <v>0</v>
      </c>
      <c r="E9" s="312">
        <f>'I-4 History'!E9</f>
        <v>0</v>
      </c>
      <c r="F9" s="312">
        <f>'I-4 History'!F9</f>
        <v>0</v>
      </c>
      <c r="G9" s="312">
        <f>'I-4 History'!G9</f>
        <v>0</v>
      </c>
      <c r="H9" s="312">
        <f>'I-4 History'!H9</f>
        <v>0</v>
      </c>
      <c r="I9" s="312">
        <f>'I-4 History'!I9</f>
        <v>0</v>
      </c>
      <c r="J9" s="312">
        <f>'I-4 History'!J9</f>
        <v>0</v>
      </c>
      <c r="K9" s="312">
        <f>'I-4 History'!K9</f>
        <v>0</v>
      </c>
      <c r="L9" s="310">
        <f ca="1">'DA-1'!B$65</f>
        <v>0</v>
      </c>
      <c r="M9" s="835">
        <f ca="1">'DA-1'!C$65</f>
        <v>0</v>
      </c>
      <c r="N9" s="312">
        <f ca="1">'DA-1'!D$65</f>
        <v>0</v>
      </c>
      <c r="O9" s="310">
        <f ca="1">'DA-1'!E$65</f>
        <v>0</v>
      </c>
      <c r="P9" s="310">
        <f ca="1">'DA-1'!F$65</f>
        <v>0</v>
      </c>
      <c r="Q9" s="310">
        <f ca="1">'DA-1'!G$65</f>
        <v>0</v>
      </c>
      <c r="R9" s="310">
        <f ca="1">'DA-1'!H$65</f>
        <v>0</v>
      </c>
      <c r="S9" s="310">
        <f ca="1">'DA-1'!I$65</f>
        <v>0</v>
      </c>
    </row>
    <row r="10" spans="1:19" s="759" customFormat="1">
      <c r="A10" s="5"/>
      <c r="B10" s="249"/>
      <c r="C10" s="13" t="s">
        <v>646</v>
      </c>
      <c r="D10" s="312">
        <f>'I-4 History'!D10</f>
        <v>0</v>
      </c>
      <c r="E10" s="312">
        <f>'I-4 History'!E10</f>
        <v>0</v>
      </c>
      <c r="F10" s="312">
        <f>'I-4 History'!F10</f>
        <v>0</v>
      </c>
      <c r="G10" s="312">
        <f>'I-4 History'!G10</f>
        <v>0</v>
      </c>
      <c r="H10" s="312">
        <f>'I-4 History'!H10</f>
        <v>0</v>
      </c>
      <c r="I10" s="312">
        <f>'I-4 History'!I10</f>
        <v>0</v>
      </c>
      <c r="J10" s="312">
        <f>'I-4 History'!J10</f>
        <v>0</v>
      </c>
      <c r="K10" s="312">
        <f>'I-4 History'!K10</f>
        <v>0</v>
      </c>
      <c r="L10" s="310">
        <f ca="1">'DA-1'!B$66</f>
        <v>0</v>
      </c>
      <c r="M10" s="835">
        <f ca="1">'DA-1'!C$66</f>
        <v>0</v>
      </c>
      <c r="N10" s="312">
        <f ca="1">'DA-1'!D$66</f>
        <v>0</v>
      </c>
      <c r="O10" s="310">
        <f ca="1">'DA-1'!E$66</f>
        <v>0</v>
      </c>
      <c r="P10" s="310">
        <f ca="1">'DA-1'!F$66</f>
        <v>0</v>
      </c>
      <c r="Q10" s="310">
        <f ca="1">'DA-1'!G$66</f>
        <v>0</v>
      </c>
      <c r="R10" s="310">
        <f ca="1">'DA-1'!H$66</f>
        <v>0</v>
      </c>
      <c r="S10" s="310">
        <f ca="1">'DA-1'!I$66</f>
        <v>0</v>
      </c>
    </row>
    <row r="11" spans="1:19">
      <c r="A11" s="5"/>
      <c r="B11" s="249"/>
      <c r="C11" s="13" t="s">
        <v>647</v>
      </c>
      <c r="D11" s="312">
        <f>'I-4 History'!D11</f>
        <v>0</v>
      </c>
      <c r="E11" s="312">
        <f>'I-4 History'!E11</f>
        <v>0</v>
      </c>
      <c r="F11" s="312">
        <f>'I-4 History'!F11</f>
        <v>0</v>
      </c>
      <c r="G11" s="312">
        <f>'I-4 History'!G11</f>
        <v>0</v>
      </c>
      <c r="H11" s="312">
        <f>'I-4 History'!H11</f>
        <v>0</v>
      </c>
      <c r="I11" s="312">
        <f>'I-4 History'!I11</f>
        <v>0</v>
      </c>
      <c r="J11" s="312">
        <f>'I-4 History'!J11</f>
        <v>0</v>
      </c>
      <c r="K11" s="312">
        <f>'I-4 History'!K11</f>
        <v>0</v>
      </c>
      <c r="L11" s="310">
        <f ca="1">'DA-1'!B$67</f>
        <v>0</v>
      </c>
      <c r="M11" s="835">
        <f ca="1">'DA-1'!C$67</f>
        <v>0</v>
      </c>
      <c r="N11" s="312">
        <f ca="1">'DA-1'!D$67</f>
        <v>0</v>
      </c>
      <c r="O11" s="310">
        <f ca="1">'DA-1'!E$67</f>
        <v>-0.74099999999999999</v>
      </c>
      <c r="P11" s="310">
        <f ca="1">'DA-1'!F$67</f>
        <v>-1.028</v>
      </c>
      <c r="Q11" s="310">
        <f ca="1">'DA-1'!G$67</f>
        <v>-1.028</v>
      </c>
      <c r="R11" s="310">
        <f ca="1">'DA-1'!H$67</f>
        <v>-1.028</v>
      </c>
      <c r="S11" s="310">
        <f ca="1">'DA-1'!I$67</f>
        <v>-1.028</v>
      </c>
    </row>
    <row r="12" spans="1:19" s="759" customFormat="1">
      <c r="A12" s="5"/>
      <c r="B12" s="249"/>
      <c r="C12" s="13" t="s">
        <v>575</v>
      </c>
      <c r="D12" s="312">
        <f>'I-4 History'!D12</f>
        <v>0</v>
      </c>
      <c r="E12" s="312">
        <f>'I-4 History'!E12</f>
        <v>0</v>
      </c>
      <c r="F12" s="312">
        <f>'I-4 History'!F12</f>
        <v>0</v>
      </c>
      <c r="G12" s="312">
        <f>'I-4 History'!G12</f>
        <v>0</v>
      </c>
      <c r="H12" s="312">
        <f>'I-4 History'!H12</f>
        <v>0</v>
      </c>
      <c r="I12" s="312">
        <f>'I-4 History'!I12</f>
        <v>0</v>
      </c>
      <c r="J12" s="312">
        <f>'I-4 History'!J12</f>
        <v>0</v>
      </c>
      <c r="K12" s="312">
        <f>'I-4 History'!K12</f>
        <v>0</v>
      </c>
      <c r="L12" s="310">
        <f ca="1">'DA-1'!B$68</f>
        <v>0</v>
      </c>
      <c r="M12" s="835">
        <f ca="1">'DA-1'!C$68</f>
        <v>0</v>
      </c>
      <c r="N12" s="312">
        <f ca="1">'DA-1'!D$68</f>
        <v>0</v>
      </c>
      <c r="O12" s="310">
        <f ca="1">'DA-1'!E$68</f>
        <v>0</v>
      </c>
      <c r="P12" s="310">
        <f ca="1">'DA-1'!F$68</f>
        <v>0</v>
      </c>
      <c r="Q12" s="310">
        <f ca="1">'DA-1'!G$68</f>
        <v>0</v>
      </c>
      <c r="R12" s="310">
        <f ca="1">'DA-1'!H$68</f>
        <v>0</v>
      </c>
      <c r="S12" s="310">
        <f ca="1">'DA-1'!I$68</f>
        <v>0</v>
      </c>
    </row>
    <row r="13" spans="1:19">
      <c r="A13" s="5"/>
      <c r="B13" s="249"/>
      <c r="C13" s="13" t="s">
        <v>70</v>
      </c>
      <c r="D13" s="312">
        <f>'I-4 History'!D13</f>
        <v>0</v>
      </c>
      <c r="E13" s="312">
        <f>'I-4 History'!E13</f>
        <v>0</v>
      </c>
      <c r="F13" s="312">
        <f>'I-4 History'!F13</f>
        <v>0</v>
      </c>
      <c r="G13" s="312">
        <f>'I-4 History'!G13</f>
        <v>0</v>
      </c>
      <c r="H13" s="312">
        <f>'I-4 History'!H13</f>
        <v>0</v>
      </c>
      <c r="I13" s="312">
        <f>'I-4 History'!I13</f>
        <v>0</v>
      </c>
      <c r="J13" s="312">
        <f>'I-4 History'!J13</f>
        <v>0</v>
      </c>
      <c r="K13" s="312">
        <f>'I-4 History'!K13</f>
        <v>0</v>
      </c>
      <c r="L13" s="310">
        <f ca="1">'DA-1'!B$69</f>
        <v>0</v>
      </c>
      <c r="M13" s="835">
        <f ca="1">'DA-1'!C$69</f>
        <v>0</v>
      </c>
      <c r="N13" s="312">
        <f ca="1">'DA-1'!D$69</f>
        <v>3.3239999999999998</v>
      </c>
      <c r="O13" s="310">
        <f ca="1">'DA-1'!E$69</f>
        <v>3.3592675013268254</v>
      </c>
      <c r="P13" s="310">
        <f ca="1">'DA-1'!F$69</f>
        <v>3.3919458677908851</v>
      </c>
      <c r="Q13" s="310">
        <f ca="1">'DA-1'!G$69</f>
        <v>3.4242480701725313</v>
      </c>
      <c r="R13" s="310">
        <f ca="1">'DA-1'!H$69</f>
        <v>3.4592933653886133</v>
      </c>
      <c r="S13" s="310">
        <f ca="1">'DA-1'!I$69</f>
        <v>3.4913951180866563</v>
      </c>
    </row>
    <row r="14" spans="1:19">
      <c r="A14" s="5"/>
      <c r="B14" s="249"/>
      <c r="C14" s="12" t="s">
        <v>75</v>
      </c>
      <c r="D14" s="313">
        <f t="shared" ref="D14:L14" si="0">SUBTOTAL(9,D8:D13)</f>
        <v>0</v>
      </c>
      <c r="E14" s="311">
        <f t="shared" si="0"/>
        <v>0</v>
      </c>
      <c r="F14" s="311">
        <f t="shared" si="0"/>
        <v>0</v>
      </c>
      <c r="G14" s="311">
        <f t="shared" si="0"/>
        <v>0</v>
      </c>
      <c r="H14" s="311">
        <f t="shared" si="0"/>
        <v>0</v>
      </c>
      <c r="I14" s="311">
        <f t="shared" si="0"/>
        <v>0</v>
      </c>
      <c r="J14" s="311">
        <f t="shared" si="0"/>
        <v>0</v>
      </c>
      <c r="K14" s="311">
        <f t="shared" si="0"/>
        <v>0</v>
      </c>
      <c r="L14" s="311">
        <f t="shared" ca="1" si="0"/>
        <v>0</v>
      </c>
      <c r="M14" s="513">
        <f t="shared" ref="M14:S14" ca="1" si="1">SUBTOTAL(9,M8:M13)</f>
        <v>0</v>
      </c>
      <c r="N14" s="313">
        <f t="shared" ca="1" si="1"/>
        <v>3.3239999999999998</v>
      </c>
      <c r="O14" s="311">
        <f t="shared" ca="1" si="1"/>
        <v>2.6182675013268253</v>
      </c>
      <c r="P14" s="311">
        <f t="shared" ca="1" si="1"/>
        <v>2.3639458677908851</v>
      </c>
      <c r="Q14" s="311">
        <f t="shared" ca="1" si="1"/>
        <v>2.3962480701725313</v>
      </c>
      <c r="R14" s="311">
        <f t="shared" ca="1" si="1"/>
        <v>2.4312933653886133</v>
      </c>
      <c r="S14" s="311">
        <f t="shared" ca="1" si="1"/>
        <v>2.4633951180866562</v>
      </c>
    </row>
    <row r="15" spans="1:19">
      <c r="A15" s="5"/>
      <c r="B15" s="249"/>
      <c r="C15" s="12"/>
      <c r="D15" s="263"/>
      <c r="E15" s="263"/>
      <c r="F15" s="263"/>
      <c r="G15" s="263"/>
      <c r="H15" s="263"/>
      <c r="I15" s="263"/>
      <c r="J15" s="263"/>
      <c r="K15" s="263"/>
      <c r="L15" s="263"/>
      <c r="M15" s="836"/>
      <c r="N15" s="263"/>
      <c r="O15" s="263"/>
      <c r="P15" s="263"/>
      <c r="Q15" s="263"/>
      <c r="R15" s="263"/>
      <c r="S15" s="263"/>
    </row>
    <row r="16" spans="1:19">
      <c r="A16" s="5"/>
      <c r="B16" s="249" t="str">
        <f ca="1">+'I-4 History'!B16</f>
        <v>DA-2</v>
      </c>
      <c r="C16" s="14" t="str">
        <f ca="1">+'I-4 History'!C16</f>
        <v>Network Access, Monitoring and Control</v>
      </c>
      <c r="D16" s="11"/>
      <c r="E16" s="11"/>
      <c r="F16" s="11"/>
      <c r="G16" s="11"/>
      <c r="H16" s="11"/>
      <c r="I16" s="11"/>
      <c r="J16" s="11"/>
      <c r="K16" s="11"/>
      <c r="L16" s="11"/>
      <c r="M16" s="507"/>
      <c r="N16" s="11"/>
      <c r="O16" s="11"/>
      <c r="P16" s="11"/>
      <c r="Q16" s="11"/>
      <c r="R16" s="11"/>
      <c r="S16" s="11"/>
    </row>
    <row r="17" spans="1:19">
      <c r="A17" s="5"/>
      <c r="B17" s="249"/>
      <c r="C17" s="13" t="s">
        <v>68</v>
      </c>
      <c r="D17" s="312">
        <f>'I-4 History'!D17</f>
        <v>0</v>
      </c>
      <c r="E17" s="312">
        <f>'I-4 History'!E17</f>
        <v>0</v>
      </c>
      <c r="F17" s="312">
        <f>'I-4 History'!F17</f>
        <v>0</v>
      </c>
      <c r="G17" s="312">
        <f>'I-4 History'!G17</f>
        <v>0</v>
      </c>
      <c r="H17" s="312">
        <f>'I-4 History'!H17</f>
        <v>0</v>
      </c>
      <c r="I17" s="312">
        <f>'I-4 History'!I17</f>
        <v>0</v>
      </c>
      <c r="J17" s="312">
        <f>'I-4 History'!J17</f>
        <v>0</v>
      </c>
      <c r="K17" s="312">
        <f>'I-4 History'!K17</f>
        <v>0</v>
      </c>
      <c r="L17" s="310">
        <f ca="1">'DA-2'!B$64</f>
        <v>0</v>
      </c>
      <c r="M17" s="835">
        <f ca="1">'DA-2'!C$64</f>
        <v>0</v>
      </c>
      <c r="N17" s="312">
        <f ca="1">'DA-2'!D$64</f>
        <v>7.9273640371501743</v>
      </c>
      <c r="O17" s="310">
        <f ca="1">'DA-2'!E$64</f>
        <v>8.1833829541605354</v>
      </c>
      <c r="P17" s="310">
        <f ca="1">'DA-2'!F$64</f>
        <v>8.4402964179833138</v>
      </c>
      <c r="Q17" s="310">
        <f ca="1">'DA-2'!G$64</f>
        <v>8.7135298936697545</v>
      </c>
      <c r="R17" s="310">
        <f ca="1">'DA-2'!H$64</f>
        <v>9.0019463272474773</v>
      </c>
      <c r="S17" s="310">
        <f ca="1">'DA-2'!I$64</f>
        <v>9.2911216214698413</v>
      </c>
    </row>
    <row r="18" spans="1:19">
      <c r="A18" s="5"/>
      <c r="B18" s="249"/>
      <c r="C18" s="13" t="s">
        <v>69</v>
      </c>
      <c r="D18" s="312">
        <f>'I-4 History'!D18</f>
        <v>0</v>
      </c>
      <c r="E18" s="312">
        <f>'I-4 History'!E18</f>
        <v>0</v>
      </c>
      <c r="F18" s="312">
        <f>'I-4 History'!F18</f>
        <v>0</v>
      </c>
      <c r="G18" s="312">
        <f>'I-4 History'!G18</f>
        <v>0</v>
      </c>
      <c r="H18" s="312">
        <f>'I-4 History'!H18</f>
        <v>0</v>
      </c>
      <c r="I18" s="312">
        <f>'I-4 History'!I18</f>
        <v>0</v>
      </c>
      <c r="J18" s="312">
        <f>'I-4 History'!J18</f>
        <v>0</v>
      </c>
      <c r="K18" s="312">
        <f>'I-4 History'!K18</f>
        <v>0</v>
      </c>
      <c r="L18" s="310">
        <f ca="1">'DA-2'!B$65</f>
        <v>0</v>
      </c>
      <c r="M18" s="835">
        <f ca="1">'DA-2'!C$65</f>
        <v>0</v>
      </c>
      <c r="N18" s="312">
        <f ca="1">'DA-2'!D$65</f>
        <v>-3.2452065224647268E-2</v>
      </c>
      <c r="O18" s="310">
        <f ca="1">'DA-2'!E$65</f>
        <v>-3.2796380282820697E-2</v>
      </c>
      <c r="P18" s="310">
        <f ca="1">'DA-2'!F$65</f>
        <v>-3.3115417731655411E-2</v>
      </c>
      <c r="Q18" s="310">
        <f ca="1">'DA-2'!G$65</f>
        <v>-3.3430782707163514E-2</v>
      </c>
      <c r="R18" s="310">
        <f ca="1">'DA-2'!H$65</f>
        <v>-3.3772928376889541E-2</v>
      </c>
      <c r="S18" s="310">
        <f ca="1">'DA-2'!I$65</f>
        <v>-3.4086336370987735E-2</v>
      </c>
    </row>
    <row r="19" spans="1:19" s="759" customFormat="1">
      <c r="A19" s="5"/>
      <c r="B19" s="249"/>
      <c r="C19" s="13" t="s">
        <v>646</v>
      </c>
      <c r="D19" s="312">
        <f>'I-4 History'!D19</f>
        <v>0</v>
      </c>
      <c r="E19" s="312">
        <f>'I-4 History'!E19</f>
        <v>0</v>
      </c>
      <c r="F19" s="312">
        <f>'I-4 History'!F19</f>
        <v>0</v>
      </c>
      <c r="G19" s="312">
        <f>'I-4 History'!G19</f>
        <v>0</v>
      </c>
      <c r="H19" s="312">
        <f>'I-4 History'!H19</f>
        <v>0</v>
      </c>
      <c r="I19" s="312">
        <f>'I-4 History'!I19</f>
        <v>0</v>
      </c>
      <c r="J19" s="312">
        <f>'I-4 History'!J19</f>
        <v>0</v>
      </c>
      <c r="K19" s="312">
        <f>'I-4 History'!K19</f>
        <v>0</v>
      </c>
      <c r="L19" s="310">
        <f ca="1">'DA-2'!B$66</f>
        <v>0</v>
      </c>
      <c r="M19" s="835">
        <f ca="1">'DA-2'!C$66</f>
        <v>0</v>
      </c>
      <c r="N19" s="312">
        <f ca="1">'DA-2'!D$66</f>
        <v>-1.4202113196987609E-2</v>
      </c>
      <c r="O19" s="310">
        <f ca="1">'DA-2'!E$66</f>
        <v>-1.442456101064059E-2</v>
      </c>
      <c r="P19" s="310">
        <f ca="1">'DA-2'!F$66</f>
        <v>-1.4637705019291222E-2</v>
      </c>
      <c r="Q19" s="310">
        <f ca="1">'DA-2'!G$66</f>
        <v>-1.4910096839333529E-2</v>
      </c>
      <c r="R19" s="310">
        <f ca="1">'DA-2'!H$66</f>
        <v>-1.5220851759509066E-2</v>
      </c>
      <c r="S19" s="310">
        <f ca="1">'DA-2'!I$66</f>
        <v>-1.5554125347881413E-2</v>
      </c>
    </row>
    <row r="20" spans="1:19">
      <c r="A20" s="5"/>
      <c r="B20" s="249"/>
      <c r="C20" s="13" t="s">
        <v>647</v>
      </c>
      <c r="D20" s="312">
        <f>'I-4 History'!D20</f>
        <v>0</v>
      </c>
      <c r="E20" s="312">
        <f>'I-4 History'!E20</f>
        <v>0</v>
      </c>
      <c r="F20" s="312">
        <f>'I-4 History'!F20</f>
        <v>0</v>
      </c>
      <c r="G20" s="312">
        <f>'I-4 History'!G20</f>
        <v>0</v>
      </c>
      <c r="H20" s="312">
        <f>'I-4 History'!H20</f>
        <v>0</v>
      </c>
      <c r="I20" s="312">
        <f>'I-4 History'!I20</f>
        <v>0</v>
      </c>
      <c r="J20" s="312">
        <f>'I-4 History'!J20</f>
        <v>0</v>
      </c>
      <c r="K20" s="312">
        <f>'I-4 History'!K20</f>
        <v>0</v>
      </c>
      <c r="L20" s="310">
        <f ca="1">'DA-2'!B$67</f>
        <v>0</v>
      </c>
      <c r="M20" s="835">
        <f ca="1">'DA-2'!C$67</f>
        <v>0</v>
      </c>
      <c r="N20" s="312">
        <f ca="1">'DA-2'!D$67</f>
        <v>0.74529014127146032</v>
      </c>
      <c r="O20" s="310">
        <f ca="1">'DA-2'!E$67</f>
        <v>0.7569636267706551</v>
      </c>
      <c r="P20" s="310">
        <f ca="1">'DA-2'!F$67</f>
        <v>0.76814887266434995</v>
      </c>
      <c r="Q20" s="310">
        <f ca="1">'DA-2'!G$67</f>
        <v>0.78244329034886606</v>
      </c>
      <c r="R20" s="310">
        <f ca="1">'DA-2'!H$67</f>
        <v>0.7987509042332247</v>
      </c>
      <c r="S20" s="310">
        <f ca="1">'DA-2'!I$67</f>
        <v>0.81624023953951974</v>
      </c>
    </row>
    <row r="21" spans="1:19" s="759" customFormat="1">
      <c r="A21" s="5"/>
      <c r="B21" s="249"/>
      <c r="C21" s="13" t="s">
        <v>575</v>
      </c>
      <c r="D21" s="312">
        <f>'I-4 History'!D21</f>
        <v>0</v>
      </c>
      <c r="E21" s="312">
        <f>'I-4 History'!E21</f>
        <v>0</v>
      </c>
      <c r="F21" s="312">
        <f>'I-4 History'!F21</f>
        <v>0</v>
      </c>
      <c r="G21" s="312">
        <f>'I-4 History'!G21</f>
        <v>0</v>
      </c>
      <c r="H21" s="312">
        <f>'I-4 History'!H21</f>
        <v>0</v>
      </c>
      <c r="I21" s="312">
        <f>'I-4 History'!I21</f>
        <v>0</v>
      </c>
      <c r="J21" s="312">
        <f>'I-4 History'!J21</f>
        <v>0</v>
      </c>
      <c r="K21" s="312">
        <f>'I-4 History'!K21</f>
        <v>0</v>
      </c>
      <c r="L21" s="310">
        <f ca="1">'DA-2'!B$68</f>
        <v>0</v>
      </c>
      <c r="M21" s="835">
        <f ca="1">'DA-2'!C$68</f>
        <v>0</v>
      </c>
      <c r="N21" s="312">
        <f ca="1">'DA-2'!D$68</f>
        <v>0.57899999999999996</v>
      </c>
      <c r="O21" s="310">
        <f ca="1">'DA-2'!E$68</f>
        <v>0.597699147945562</v>
      </c>
      <c r="P21" s="310">
        <f ca="1">'DA-2'!F$68</f>
        <v>0.61646363193497955</v>
      </c>
      <c r="Q21" s="310">
        <f ca="1">'DA-2'!G$68</f>
        <v>0.63642009939138278</v>
      </c>
      <c r="R21" s="310">
        <f ca="1">'DA-2'!H$68</f>
        <v>0.65748550199670253</v>
      </c>
      <c r="S21" s="310">
        <f ca="1">'DA-2'!I$68</f>
        <v>0.67860633037926532</v>
      </c>
    </row>
    <row r="22" spans="1:19">
      <c r="A22" s="5"/>
      <c r="B22" s="249"/>
      <c r="C22" s="13" t="s">
        <v>70</v>
      </c>
      <c r="D22" s="312">
        <f>'I-4 History'!D22</f>
        <v>0</v>
      </c>
      <c r="E22" s="312">
        <f>'I-4 History'!E22</f>
        <v>0</v>
      </c>
      <c r="F22" s="312">
        <f>'I-4 History'!F22</f>
        <v>0</v>
      </c>
      <c r="G22" s="312">
        <f>'I-4 History'!G22</f>
        <v>0</v>
      </c>
      <c r="H22" s="312">
        <f>'I-4 History'!H22</f>
        <v>0</v>
      </c>
      <c r="I22" s="312">
        <f>'I-4 History'!I22</f>
        <v>0</v>
      </c>
      <c r="J22" s="312">
        <f>'I-4 History'!J22</f>
        <v>0</v>
      </c>
      <c r="K22" s="312">
        <f>'I-4 History'!K22</f>
        <v>0</v>
      </c>
      <c r="L22" s="310">
        <f ca="1">'DA-2'!B$69</f>
        <v>0</v>
      </c>
      <c r="M22" s="835">
        <f ca="1">'DA-2'!C$69</f>
        <v>0</v>
      </c>
      <c r="N22" s="312">
        <f ca="1">'DA-2'!D$69</f>
        <v>0</v>
      </c>
      <c r="O22" s="310">
        <f ca="1">'DA-2'!E$69</f>
        <v>0</v>
      </c>
      <c r="P22" s="310">
        <f ca="1">'DA-2'!F$69</f>
        <v>0</v>
      </c>
      <c r="Q22" s="310">
        <f ca="1">'DA-2'!G$69</f>
        <v>0</v>
      </c>
      <c r="R22" s="310">
        <f ca="1">'DA-2'!H$69</f>
        <v>0</v>
      </c>
      <c r="S22" s="310">
        <f ca="1">'DA-2'!I$69</f>
        <v>0</v>
      </c>
    </row>
    <row r="23" spans="1:19">
      <c r="A23" s="5"/>
      <c r="B23" s="249"/>
      <c r="C23" s="12" t="s">
        <v>75</v>
      </c>
      <c r="D23" s="313">
        <f t="shared" ref="D23:L23" si="2">SUBTOTAL(9,D17:D22)</f>
        <v>0</v>
      </c>
      <c r="E23" s="311">
        <f t="shared" si="2"/>
        <v>0</v>
      </c>
      <c r="F23" s="311">
        <f t="shared" si="2"/>
        <v>0</v>
      </c>
      <c r="G23" s="311">
        <f t="shared" si="2"/>
        <v>0</v>
      </c>
      <c r="H23" s="311">
        <f t="shared" si="2"/>
        <v>0</v>
      </c>
      <c r="I23" s="311">
        <f t="shared" si="2"/>
        <v>0</v>
      </c>
      <c r="J23" s="311">
        <f t="shared" si="2"/>
        <v>0</v>
      </c>
      <c r="K23" s="311">
        <f t="shared" si="2"/>
        <v>0</v>
      </c>
      <c r="L23" s="311">
        <f t="shared" ca="1" si="2"/>
        <v>0</v>
      </c>
      <c r="M23" s="513">
        <f t="shared" ref="M23:S23" ca="1" si="3">SUBTOTAL(9,M17:M22)</f>
        <v>0</v>
      </c>
      <c r="N23" s="313">
        <f t="shared" ca="1" si="3"/>
        <v>9.2050000000000001</v>
      </c>
      <c r="O23" s="311">
        <f t="shared" ca="1" si="3"/>
        <v>9.490824787583291</v>
      </c>
      <c r="P23" s="311">
        <f t="shared" ca="1" si="3"/>
        <v>9.7771557998316965</v>
      </c>
      <c r="Q23" s="311">
        <f t="shared" ca="1" si="3"/>
        <v>10.084052403863506</v>
      </c>
      <c r="R23" s="311">
        <f t="shared" ca="1" si="3"/>
        <v>10.409188953341008</v>
      </c>
      <c r="S23" s="311">
        <f t="shared" ca="1" si="3"/>
        <v>10.736327729669757</v>
      </c>
    </row>
    <row r="24" spans="1:19">
      <c r="A24" s="5"/>
      <c r="B24" s="249"/>
      <c r="C24" s="12"/>
      <c r="D24" s="263"/>
      <c r="E24" s="263"/>
      <c r="F24" s="263"/>
      <c r="G24" s="263"/>
      <c r="H24" s="263"/>
      <c r="I24" s="263"/>
      <c r="J24" s="263"/>
      <c r="K24" s="263"/>
      <c r="L24" s="263"/>
      <c r="M24" s="836"/>
      <c r="N24" s="263"/>
      <c r="O24" s="263"/>
      <c r="P24" s="263"/>
      <c r="Q24" s="263"/>
      <c r="R24" s="263"/>
      <c r="S24" s="263"/>
    </row>
    <row r="25" spans="1:19">
      <c r="A25" s="5"/>
      <c r="B25" s="249" t="str">
        <f ca="1">+'I-4 History'!B25</f>
        <v>DA-3</v>
      </c>
      <c r="C25" s="14" t="str">
        <f ca="1">+'I-4 History'!C25</f>
        <v>Customer Service</v>
      </c>
      <c r="D25" s="11"/>
      <c r="E25" s="11"/>
      <c r="F25" s="11"/>
      <c r="G25" s="11"/>
      <c r="H25" s="11"/>
      <c r="I25" s="11"/>
      <c r="J25" s="11"/>
      <c r="K25" s="11"/>
      <c r="L25" s="11"/>
      <c r="M25" s="507"/>
      <c r="N25" s="11"/>
      <c r="O25" s="11"/>
      <c r="P25" s="11"/>
      <c r="Q25" s="11"/>
      <c r="R25" s="11"/>
      <c r="S25" s="11"/>
    </row>
    <row r="26" spans="1:19">
      <c r="A26" s="5"/>
      <c r="B26" s="249"/>
      <c r="C26" s="13" t="s">
        <v>68</v>
      </c>
      <c r="D26" s="312">
        <f>'I-4 History'!D26</f>
        <v>0</v>
      </c>
      <c r="E26" s="312">
        <f>'I-4 History'!E26</f>
        <v>0</v>
      </c>
      <c r="F26" s="312">
        <f>'I-4 History'!F26</f>
        <v>0</v>
      </c>
      <c r="G26" s="312">
        <f>'I-4 History'!G26</f>
        <v>0</v>
      </c>
      <c r="H26" s="312">
        <f>'I-4 History'!H26</f>
        <v>0</v>
      </c>
      <c r="I26" s="312">
        <f>'I-4 History'!I26</f>
        <v>0</v>
      </c>
      <c r="J26" s="312">
        <f>'I-4 History'!J26</f>
        <v>0</v>
      </c>
      <c r="K26" s="312">
        <f>'I-4 History'!K26</f>
        <v>0</v>
      </c>
      <c r="L26" s="310">
        <f ca="1">'DA-3'!B$64</f>
        <v>0</v>
      </c>
      <c r="M26" s="835">
        <f ca="1">'DA-3'!C$64</f>
        <v>0</v>
      </c>
      <c r="N26" s="312">
        <f ca="1">'DA-3'!D$64</f>
        <v>2.6938790415596983</v>
      </c>
      <c r="O26" s="310">
        <f ca="1">'DA-3'!E$64</f>
        <v>2.9659697033588497</v>
      </c>
      <c r="P26" s="310">
        <f ca="1">'DA-3'!F$64</f>
        <v>3.0512362964092081</v>
      </c>
      <c r="Q26" s="310">
        <f ca="1">'DA-3'!G$64</f>
        <v>3.1419193117421904</v>
      </c>
      <c r="R26" s="310">
        <f ca="1">'DA-3'!H$64</f>
        <v>3.2376413743580734</v>
      </c>
      <c r="S26" s="310">
        <f ca="1">'DA-3'!I$64</f>
        <v>3.3336152940031907</v>
      </c>
    </row>
    <row r="27" spans="1:19">
      <c r="A27" s="5"/>
      <c r="B27" s="249"/>
      <c r="C27" s="13" t="s">
        <v>69</v>
      </c>
      <c r="D27" s="312">
        <f>'I-4 History'!D27</f>
        <v>0</v>
      </c>
      <c r="E27" s="312">
        <f>'I-4 History'!E27</f>
        <v>0</v>
      </c>
      <c r="F27" s="312">
        <f>'I-4 History'!F27</f>
        <v>0</v>
      </c>
      <c r="G27" s="312">
        <f>'I-4 History'!G27</f>
        <v>0</v>
      </c>
      <c r="H27" s="312">
        <f>'I-4 History'!H27</f>
        <v>0</v>
      </c>
      <c r="I27" s="312">
        <f>'I-4 History'!I27</f>
        <v>0</v>
      </c>
      <c r="J27" s="312">
        <f>'I-4 History'!J27</f>
        <v>0</v>
      </c>
      <c r="K27" s="312">
        <f>'I-4 History'!K27</f>
        <v>0</v>
      </c>
      <c r="L27" s="310">
        <f ca="1">'DA-3'!B$65</f>
        <v>0</v>
      </c>
      <c r="M27" s="835">
        <f ca="1">'DA-3'!C$65</f>
        <v>0</v>
      </c>
      <c r="N27" s="312">
        <f ca="1">'DA-3'!D$65</f>
        <v>-3.4000000000000002E-2</v>
      </c>
      <c r="O27" s="310">
        <f ca="1">'DA-3'!E$65</f>
        <v>-3.4360738581561995E-2</v>
      </c>
      <c r="P27" s="310">
        <f ca="1">'DA-3'!F$65</f>
        <v>-3.4694993834202804E-2</v>
      </c>
      <c r="Q27" s="310">
        <f ca="1">'DA-3'!G$65</f>
        <v>-3.5025401439791243E-2</v>
      </c>
      <c r="R27" s="310">
        <f ca="1">'DA-3'!H$65</f>
        <v>-3.5383867154997854E-2</v>
      </c>
      <c r="S27" s="310">
        <f ca="1">'DA-3'!I$65</f>
        <v>-3.5712224432896011E-2</v>
      </c>
    </row>
    <row r="28" spans="1:19" s="759" customFormat="1">
      <c r="A28" s="5"/>
      <c r="B28" s="249"/>
      <c r="C28" s="13" t="s">
        <v>646</v>
      </c>
      <c r="D28" s="312">
        <f>'I-4 History'!D28</f>
        <v>0</v>
      </c>
      <c r="E28" s="312">
        <f>'I-4 History'!E28</f>
        <v>0</v>
      </c>
      <c r="F28" s="312">
        <f>'I-4 History'!F28</f>
        <v>0</v>
      </c>
      <c r="G28" s="312">
        <f>'I-4 History'!G28</f>
        <v>0</v>
      </c>
      <c r="H28" s="312">
        <f>'I-4 History'!H28</f>
        <v>0</v>
      </c>
      <c r="I28" s="312">
        <f>'I-4 History'!I28</f>
        <v>0</v>
      </c>
      <c r="J28" s="312">
        <f>'I-4 History'!J28</f>
        <v>0</v>
      </c>
      <c r="K28" s="312">
        <f>'I-4 History'!K28</f>
        <v>0</v>
      </c>
      <c r="L28" s="310">
        <f ca="1">'DA-3'!B$66</f>
        <v>0</v>
      </c>
      <c r="M28" s="835">
        <f ca="1">'DA-3'!C$66</f>
        <v>0</v>
      </c>
      <c r="N28" s="312">
        <f ca="1">'DA-3'!D$66</f>
        <v>0</v>
      </c>
      <c r="O28" s="310">
        <f ca="1">'DA-3'!E$66</f>
        <v>0</v>
      </c>
      <c r="P28" s="310">
        <f ca="1">'DA-3'!F$66</f>
        <v>0</v>
      </c>
      <c r="Q28" s="310">
        <f ca="1">'DA-3'!G$66</f>
        <v>0</v>
      </c>
      <c r="R28" s="310">
        <f ca="1">'DA-3'!H$66</f>
        <v>0</v>
      </c>
      <c r="S28" s="310">
        <f ca="1">'DA-3'!I$66</f>
        <v>0</v>
      </c>
    </row>
    <row r="29" spans="1:19">
      <c r="A29" s="5"/>
      <c r="B29" s="249"/>
      <c r="C29" s="13" t="s">
        <v>647</v>
      </c>
      <c r="D29" s="312">
        <f>'I-4 History'!D29</f>
        <v>0</v>
      </c>
      <c r="E29" s="312">
        <f>'I-4 History'!E29</f>
        <v>0</v>
      </c>
      <c r="F29" s="312">
        <f>'I-4 History'!F29</f>
        <v>0</v>
      </c>
      <c r="G29" s="312">
        <f>'I-4 History'!G29</f>
        <v>0</v>
      </c>
      <c r="H29" s="312">
        <f>'I-4 History'!H29</f>
        <v>0</v>
      </c>
      <c r="I29" s="312">
        <f>'I-4 History'!I29</f>
        <v>0</v>
      </c>
      <c r="J29" s="312">
        <f>'I-4 History'!J29</f>
        <v>0</v>
      </c>
      <c r="K29" s="312">
        <f>'I-4 History'!K29</f>
        <v>0</v>
      </c>
      <c r="L29" s="310">
        <f ca="1">'DA-3'!B$67</f>
        <v>0</v>
      </c>
      <c r="M29" s="835">
        <f ca="1">'DA-3'!C$67</f>
        <v>0</v>
      </c>
      <c r="N29" s="312">
        <f ca="1">'DA-3'!D$67</f>
        <v>6.4000000000000001E-2</v>
      </c>
      <c r="O29" s="310">
        <f ca="1">'DA-3'!E$67</f>
        <v>6.5002432516649042E-2</v>
      </c>
      <c r="P29" s="310">
        <f ca="1">'DA-3'!F$67</f>
        <v>6.5962938630382453E-2</v>
      </c>
      <c r="Q29" s="310">
        <f ca="1">'DA-3'!G$67</f>
        <v>6.7190437400523592E-2</v>
      </c>
      <c r="R29" s="310">
        <f ca="1">'DA-3'!H$67</f>
        <v>6.85908145567522E-2</v>
      </c>
      <c r="S29" s="310">
        <f ca="1">'DA-3'!I$67</f>
        <v>7.0092669200493132E-2</v>
      </c>
    </row>
    <row r="30" spans="1:19" s="759" customFormat="1">
      <c r="A30" s="5"/>
      <c r="B30" s="249"/>
      <c r="C30" s="13" t="s">
        <v>575</v>
      </c>
      <c r="D30" s="312">
        <f>'I-4 History'!D30</f>
        <v>0</v>
      </c>
      <c r="E30" s="312">
        <f>'I-4 History'!E30</f>
        <v>0</v>
      </c>
      <c r="F30" s="312">
        <f>'I-4 History'!F30</f>
        <v>0</v>
      </c>
      <c r="G30" s="312">
        <f>'I-4 History'!G30</f>
        <v>0</v>
      </c>
      <c r="H30" s="312">
        <f>'I-4 History'!H30</f>
        <v>0</v>
      </c>
      <c r="I30" s="312">
        <f>'I-4 History'!I30</f>
        <v>0</v>
      </c>
      <c r="J30" s="312">
        <f>'I-4 History'!J30</f>
        <v>0</v>
      </c>
      <c r="K30" s="312">
        <f>'I-4 History'!K30</f>
        <v>0</v>
      </c>
      <c r="L30" s="310">
        <f ca="1">'DA-3'!B$68</f>
        <v>0</v>
      </c>
      <c r="M30" s="835">
        <f ca="1">'DA-3'!C$68</f>
        <v>0</v>
      </c>
      <c r="N30" s="312">
        <f ca="1">'DA-3'!D$68</f>
        <v>0.26</v>
      </c>
      <c r="O30" s="310">
        <f ca="1">'DA-3'!E$68</f>
        <v>0.26839685399973423</v>
      </c>
      <c r="P30" s="310">
        <f ca="1">'DA-3'!F$68</f>
        <v>0.27682304715560396</v>
      </c>
      <c r="Q30" s="310">
        <f ca="1">'DA-3'!G$68</f>
        <v>0.28578450059025823</v>
      </c>
      <c r="R30" s="310">
        <f ca="1">'DA-3'!H$68</f>
        <v>0.29524392144929651</v>
      </c>
      <c r="S30" s="310">
        <f ca="1">'DA-3'!I$68</f>
        <v>0.30472823125839205</v>
      </c>
    </row>
    <row r="31" spans="1:19">
      <c r="A31" s="5"/>
      <c r="B31" s="249"/>
      <c r="C31" s="13" t="s">
        <v>70</v>
      </c>
      <c r="D31" s="312">
        <f>'I-4 History'!D31</f>
        <v>0</v>
      </c>
      <c r="E31" s="312">
        <f>'I-4 History'!E31</f>
        <v>0</v>
      </c>
      <c r="F31" s="312">
        <f>'I-4 History'!F31</f>
        <v>0</v>
      </c>
      <c r="G31" s="312">
        <f>'I-4 History'!G31</f>
        <v>0</v>
      </c>
      <c r="H31" s="312">
        <f>'I-4 History'!H31</f>
        <v>0</v>
      </c>
      <c r="I31" s="312">
        <f>'I-4 History'!I31</f>
        <v>0</v>
      </c>
      <c r="J31" s="312">
        <f>'I-4 History'!J31</f>
        <v>0</v>
      </c>
      <c r="K31" s="312">
        <f>'I-4 History'!K31</f>
        <v>0</v>
      </c>
      <c r="L31" s="310">
        <f ca="1">'DA-3'!B$69</f>
        <v>0</v>
      </c>
      <c r="M31" s="835">
        <f ca="1">'DA-3'!C$69</f>
        <v>0</v>
      </c>
      <c r="N31" s="312">
        <f ca="1">'DA-3'!D$69</f>
        <v>0</v>
      </c>
      <c r="O31" s="310">
        <f ca="1">'DA-3'!E$69</f>
        <v>0</v>
      </c>
      <c r="P31" s="310">
        <f ca="1">'DA-3'!F$69</f>
        <v>0</v>
      </c>
      <c r="Q31" s="310">
        <f ca="1">'DA-3'!G$69</f>
        <v>0</v>
      </c>
      <c r="R31" s="310">
        <f ca="1">'DA-3'!H$69</f>
        <v>0</v>
      </c>
      <c r="S31" s="310">
        <f ca="1">'DA-3'!I$69</f>
        <v>0</v>
      </c>
    </row>
    <row r="32" spans="1:19">
      <c r="A32" s="5"/>
      <c r="B32" s="249"/>
      <c r="C32" s="12" t="s">
        <v>75</v>
      </c>
      <c r="D32" s="313">
        <f t="shared" ref="D32:L32" si="4">SUBTOTAL(9,D26:D31)</f>
        <v>0</v>
      </c>
      <c r="E32" s="311">
        <f t="shared" si="4"/>
        <v>0</v>
      </c>
      <c r="F32" s="311">
        <f t="shared" si="4"/>
        <v>0</v>
      </c>
      <c r="G32" s="311">
        <f t="shared" si="4"/>
        <v>0</v>
      </c>
      <c r="H32" s="311">
        <f t="shared" si="4"/>
        <v>0</v>
      </c>
      <c r="I32" s="311">
        <f t="shared" si="4"/>
        <v>0</v>
      </c>
      <c r="J32" s="311">
        <f t="shared" si="4"/>
        <v>0</v>
      </c>
      <c r="K32" s="311">
        <f t="shared" si="4"/>
        <v>0</v>
      </c>
      <c r="L32" s="311">
        <f t="shared" ca="1" si="4"/>
        <v>0</v>
      </c>
      <c r="M32" s="513">
        <f t="shared" ref="M32:S32" ca="1" si="5">SUBTOTAL(9,M26:M31)</f>
        <v>0</v>
      </c>
      <c r="N32" s="313">
        <f t="shared" ca="1" si="5"/>
        <v>2.9838790415596987</v>
      </c>
      <c r="O32" s="311">
        <f t="shared" ca="1" si="5"/>
        <v>3.2650082512936707</v>
      </c>
      <c r="P32" s="311">
        <f t="shared" ca="1" si="5"/>
        <v>3.3593272883609919</v>
      </c>
      <c r="Q32" s="311">
        <f t="shared" ca="1" si="5"/>
        <v>3.4598688482931808</v>
      </c>
      <c r="R32" s="311">
        <f t="shared" ca="1" si="5"/>
        <v>3.5660922432091242</v>
      </c>
      <c r="S32" s="311">
        <f t="shared" ca="1" si="5"/>
        <v>3.6727239700291796</v>
      </c>
    </row>
    <row r="33" spans="1:19">
      <c r="A33" s="5"/>
      <c r="B33" s="249"/>
      <c r="C33" s="12"/>
      <c r="D33" s="263"/>
      <c r="E33" s="263"/>
      <c r="F33" s="263"/>
      <c r="G33" s="263"/>
      <c r="H33" s="263"/>
      <c r="I33" s="263"/>
      <c r="J33" s="263"/>
      <c r="K33" s="263"/>
      <c r="L33" s="263"/>
      <c r="M33" s="836"/>
      <c r="N33" s="263"/>
      <c r="O33" s="263"/>
      <c r="P33" s="263"/>
      <c r="Q33" s="263"/>
      <c r="R33" s="263"/>
      <c r="S33" s="263"/>
    </row>
    <row r="34" spans="1:19">
      <c r="A34" s="5"/>
      <c r="B34" s="249" t="str">
        <f ca="1">+'I-4 History'!B34</f>
        <v>DA-4</v>
      </c>
      <c r="C34" s="14" t="str">
        <f ca="1">+'I-4 History'!C34</f>
        <v>Standards Development and Maintenance</v>
      </c>
      <c r="D34" s="11"/>
      <c r="E34" s="11"/>
      <c r="F34" s="11"/>
      <c r="G34" s="11"/>
      <c r="H34" s="11"/>
      <c r="I34" s="11"/>
      <c r="J34" s="11"/>
      <c r="K34" s="11"/>
      <c r="L34" s="11"/>
      <c r="M34" s="507"/>
      <c r="N34" s="11"/>
      <c r="O34" s="11"/>
      <c r="P34" s="11"/>
      <c r="Q34" s="11"/>
      <c r="R34" s="11"/>
      <c r="S34" s="11"/>
    </row>
    <row r="35" spans="1:19">
      <c r="A35" s="5"/>
      <c r="B35" s="249"/>
      <c r="C35" s="13" t="s">
        <v>68</v>
      </c>
      <c r="D35" s="312">
        <f>'I-4 History'!D35</f>
        <v>0</v>
      </c>
      <c r="E35" s="312">
        <f>'I-4 History'!E35</f>
        <v>0</v>
      </c>
      <c r="F35" s="312">
        <f>'I-4 History'!F35</f>
        <v>0</v>
      </c>
      <c r="G35" s="312">
        <f>'I-4 History'!G35</f>
        <v>0</v>
      </c>
      <c r="H35" s="312">
        <f>'I-4 History'!H35</f>
        <v>0</v>
      </c>
      <c r="I35" s="312">
        <f>'I-4 History'!I35</f>
        <v>0</v>
      </c>
      <c r="J35" s="312">
        <f>'I-4 History'!J35</f>
        <v>0</v>
      </c>
      <c r="K35" s="312">
        <f>'I-4 History'!K35</f>
        <v>0</v>
      </c>
      <c r="L35" s="310">
        <f ca="1">'DA-4'!B$64</f>
        <v>0</v>
      </c>
      <c r="M35" s="835">
        <f ca="1">'DA-4'!C$64</f>
        <v>0</v>
      </c>
      <c r="N35" s="312">
        <f ca="1">'DA-4'!D$64</f>
        <v>0.64500000000000002</v>
      </c>
      <c r="O35" s="310">
        <f ca="1">'DA-4'!E$64</f>
        <v>0.66583065703780231</v>
      </c>
      <c r="P35" s="310">
        <f ca="1">'DA-4'!F$64</f>
        <v>0.68673409775140215</v>
      </c>
      <c r="Q35" s="310">
        <f ca="1">'DA-4'!G$64</f>
        <v>0.70896539569506367</v>
      </c>
      <c r="R35" s="310">
        <f ca="1">'DA-4'!H$64</f>
        <v>0.73243203590306249</v>
      </c>
      <c r="S35" s="310">
        <f ca="1">'DA-4'!I$64</f>
        <v>0.75596041985254958</v>
      </c>
    </row>
    <row r="36" spans="1:19">
      <c r="A36" s="5"/>
      <c r="B36" s="249"/>
      <c r="C36" s="13" t="s">
        <v>69</v>
      </c>
      <c r="D36" s="312">
        <f>'I-4 History'!D36</f>
        <v>0</v>
      </c>
      <c r="E36" s="312">
        <f>'I-4 History'!E36</f>
        <v>0</v>
      </c>
      <c r="F36" s="312">
        <f>'I-4 History'!F36</f>
        <v>0</v>
      </c>
      <c r="G36" s="312">
        <f>'I-4 History'!G36</f>
        <v>0</v>
      </c>
      <c r="H36" s="312">
        <f>'I-4 History'!H36</f>
        <v>0</v>
      </c>
      <c r="I36" s="312">
        <f>'I-4 History'!I36</f>
        <v>0</v>
      </c>
      <c r="J36" s="312">
        <f>'I-4 History'!J36</f>
        <v>0</v>
      </c>
      <c r="K36" s="312">
        <f>'I-4 History'!K36</f>
        <v>0</v>
      </c>
      <c r="L36" s="310">
        <f ca="1">'DA-4'!B$65</f>
        <v>0</v>
      </c>
      <c r="M36" s="835">
        <f ca="1">'DA-4'!C$65</f>
        <v>0</v>
      </c>
      <c r="N36" s="312">
        <f ca="1">'DA-4'!D$65</f>
        <v>1.7999999999999999E-2</v>
      </c>
      <c r="O36" s="310">
        <f ca="1">'DA-4'!E$65</f>
        <v>1.8190979249062232E-2</v>
      </c>
      <c r="P36" s="310">
        <f ca="1">'DA-4'!F$65</f>
        <v>1.8367937912225012E-2</v>
      </c>
      <c r="Q36" s="310">
        <f ca="1">'DA-4'!G$65</f>
        <v>1.8542859585771829E-2</v>
      </c>
      <c r="R36" s="310">
        <f ca="1">'DA-4'!H$65</f>
        <v>1.873263555264592E-2</v>
      </c>
      <c r="S36" s="310">
        <f ca="1">'DA-4'!I$65</f>
        <v>1.8906471758592003E-2</v>
      </c>
    </row>
    <row r="37" spans="1:19" s="759" customFormat="1">
      <c r="A37" s="5"/>
      <c r="B37" s="249"/>
      <c r="C37" s="13" t="s">
        <v>646</v>
      </c>
      <c r="D37" s="312">
        <f>'I-4 History'!D37</f>
        <v>0</v>
      </c>
      <c r="E37" s="312">
        <f>'I-4 History'!E37</f>
        <v>0</v>
      </c>
      <c r="F37" s="312">
        <f>'I-4 History'!F37</f>
        <v>0</v>
      </c>
      <c r="G37" s="312">
        <f>'I-4 History'!G37</f>
        <v>0</v>
      </c>
      <c r="H37" s="312">
        <f>'I-4 History'!H37</f>
        <v>0</v>
      </c>
      <c r="I37" s="312">
        <f>'I-4 History'!I37</f>
        <v>0</v>
      </c>
      <c r="J37" s="312">
        <f>'I-4 History'!J37</f>
        <v>0</v>
      </c>
      <c r="K37" s="312">
        <f>'I-4 History'!K37</f>
        <v>0</v>
      </c>
      <c r="L37" s="310">
        <f ca="1">'DA-4'!B$66</f>
        <v>0</v>
      </c>
      <c r="M37" s="835">
        <f ca="1">'DA-4'!C$66</f>
        <v>0</v>
      </c>
      <c r="N37" s="312">
        <f ca="1">'DA-4'!D$66</f>
        <v>0</v>
      </c>
      <c r="O37" s="310">
        <f ca="1">'DA-4'!E$66</f>
        <v>0</v>
      </c>
      <c r="P37" s="310">
        <f ca="1">'DA-4'!F$66</f>
        <v>0</v>
      </c>
      <c r="Q37" s="310">
        <f ca="1">'DA-4'!G$66</f>
        <v>0</v>
      </c>
      <c r="R37" s="310">
        <f ca="1">'DA-4'!H$66</f>
        <v>0</v>
      </c>
      <c r="S37" s="310">
        <f ca="1">'DA-4'!I$66</f>
        <v>0</v>
      </c>
    </row>
    <row r="38" spans="1:19">
      <c r="A38" s="5"/>
      <c r="B38" s="249"/>
      <c r="C38" s="13" t="s">
        <v>647</v>
      </c>
      <c r="D38" s="312">
        <f>'I-4 History'!D38</f>
        <v>0</v>
      </c>
      <c r="E38" s="312">
        <f>'I-4 History'!E38</f>
        <v>0</v>
      </c>
      <c r="F38" s="312">
        <f>'I-4 History'!F38</f>
        <v>0</v>
      </c>
      <c r="G38" s="312">
        <f>'I-4 History'!G38</f>
        <v>0</v>
      </c>
      <c r="H38" s="312">
        <f>'I-4 History'!H38</f>
        <v>0</v>
      </c>
      <c r="I38" s="312">
        <f>'I-4 History'!I38</f>
        <v>0</v>
      </c>
      <c r="J38" s="312">
        <f>'I-4 History'!J38</f>
        <v>0</v>
      </c>
      <c r="K38" s="312">
        <f>'I-4 History'!K38</f>
        <v>0</v>
      </c>
      <c r="L38" s="310">
        <f ca="1">'DA-4'!B$67</f>
        <v>0</v>
      </c>
      <c r="M38" s="835">
        <f ca="1">'DA-4'!C$67</f>
        <v>0</v>
      </c>
      <c r="N38" s="312">
        <f ca="1">'DA-4'!D$67</f>
        <v>3.1E-2</v>
      </c>
      <c r="O38" s="310">
        <f ca="1">'DA-4'!E$67</f>
        <v>3.1485553250251881E-2</v>
      </c>
      <c r="P38" s="310">
        <f ca="1">'DA-4'!F$67</f>
        <v>3.1950798399091498E-2</v>
      </c>
      <c r="Q38" s="310">
        <f ca="1">'DA-4'!G$67</f>
        <v>3.254536811587861E-2</v>
      </c>
      <c r="R38" s="310">
        <f ca="1">'DA-4'!H$67</f>
        <v>3.3223675800926847E-2</v>
      </c>
      <c r="S38" s="310">
        <f ca="1">'DA-4'!I$67</f>
        <v>3.3951136643988862E-2</v>
      </c>
    </row>
    <row r="39" spans="1:19" s="759" customFormat="1">
      <c r="A39" s="5"/>
      <c r="B39" s="249"/>
      <c r="C39" s="13" t="s">
        <v>575</v>
      </c>
      <c r="D39" s="312">
        <f>'I-4 History'!D39</f>
        <v>0</v>
      </c>
      <c r="E39" s="312">
        <f>'I-4 History'!E39</f>
        <v>0</v>
      </c>
      <c r="F39" s="312">
        <f>'I-4 History'!F39</f>
        <v>0</v>
      </c>
      <c r="G39" s="312">
        <f>'I-4 History'!G39</f>
        <v>0</v>
      </c>
      <c r="H39" s="312">
        <f>'I-4 History'!H39</f>
        <v>0</v>
      </c>
      <c r="I39" s="312">
        <f>'I-4 History'!I39</f>
        <v>0</v>
      </c>
      <c r="J39" s="312">
        <f>'I-4 History'!J39</f>
        <v>0</v>
      </c>
      <c r="K39" s="312">
        <f>'I-4 History'!K39</f>
        <v>0</v>
      </c>
      <c r="L39" s="310">
        <f ca="1">'DA-4'!B$68</f>
        <v>0</v>
      </c>
      <c r="M39" s="835">
        <f ca="1">'DA-4'!C$68</f>
        <v>0</v>
      </c>
      <c r="N39" s="312">
        <f ca="1">'DA-4'!D$68</f>
        <v>6.5000000000000002E-2</v>
      </c>
      <c r="O39" s="310">
        <f ca="1">'DA-4'!E$68</f>
        <v>6.7099213499933558E-2</v>
      </c>
      <c r="P39" s="310">
        <f ca="1">'DA-4'!F$68</f>
        <v>6.9205761788900991E-2</v>
      </c>
      <c r="Q39" s="310">
        <f ca="1">'DA-4'!G$68</f>
        <v>7.1446125147564557E-2</v>
      </c>
      <c r="R39" s="310">
        <f ca="1">'DA-4'!H$68</f>
        <v>7.3810980362324127E-2</v>
      </c>
      <c r="S39" s="310">
        <f ca="1">'DA-4'!I$68</f>
        <v>7.6182057814598012E-2</v>
      </c>
    </row>
    <row r="40" spans="1:19">
      <c r="A40" s="5"/>
      <c r="B40" s="249"/>
      <c r="C40" s="13" t="s">
        <v>70</v>
      </c>
      <c r="D40" s="312">
        <f>'I-4 History'!D40</f>
        <v>0</v>
      </c>
      <c r="E40" s="312">
        <f>'I-4 History'!E40</f>
        <v>0</v>
      </c>
      <c r="F40" s="312">
        <f>'I-4 History'!F40</f>
        <v>0</v>
      </c>
      <c r="G40" s="312">
        <f>'I-4 History'!G40</f>
        <v>0</v>
      </c>
      <c r="H40" s="312">
        <f>'I-4 History'!H40</f>
        <v>0</v>
      </c>
      <c r="I40" s="312">
        <f>'I-4 History'!I40</f>
        <v>0</v>
      </c>
      <c r="J40" s="312">
        <f>'I-4 History'!J40</f>
        <v>0</v>
      </c>
      <c r="K40" s="312">
        <f>'I-4 History'!K40</f>
        <v>0</v>
      </c>
      <c r="L40" s="310">
        <f ca="1">'DA-4'!B$69</f>
        <v>0</v>
      </c>
      <c r="M40" s="835">
        <f ca="1">'DA-4'!C$69</f>
        <v>0</v>
      </c>
      <c r="N40" s="312">
        <f ca="1">'DA-4'!D$69</f>
        <v>0</v>
      </c>
      <c r="O40" s="310">
        <f ca="1">'DA-4'!E$69</f>
        <v>0</v>
      </c>
      <c r="P40" s="310">
        <f ca="1">'DA-4'!F$69</f>
        <v>0</v>
      </c>
      <c r="Q40" s="310">
        <f ca="1">'DA-4'!G$69</f>
        <v>0</v>
      </c>
      <c r="R40" s="310">
        <f ca="1">'DA-4'!H$69</f>
        <v>0</v>
      </c>
      <c r="S40" s="310">
        <f ca="1">'DA-4'!I$69</f>
        <v>0</v>
      </c>
    </row>
    <row r="41" spans="1:19">
      <c r="A41" s="5"/>
      <c r="B41" s="249"/>
      <c r="C41" s="12" t="s">
        <v>75</v>
      </c>
      <c r="D41" s="313">
        <f t="shared" ref="D41:L41" si="6">SUBTOTAL(9,D35:D40)</f>
        <v>0</v>
      </c>
      <c r="E41" s="311">
        <f t="shared" si="6"/>
        <v>0</v>
      </c>
      <c r="F41" s="311">
        <f t="shared" si="6"/>
        <v>0</v>
      </c>
      <c r="G41" s="311">
        <f t="shared" si="6"/>
        <v>0</v>
      </c>
      <c r="H41" s="311">
        <f t="shared" si="6"/>
        <v>0</v>
      </c>
      <c r="I41" s="311">
        <f t="shared" si="6"/>
        <v>0</v>
      </c>
      <c r="J41" s="311">
        <f t="shared" si="6"/>
        <v>0</v>
      </c>
      <c r="K41" s="311">
        <f t="shared" si="6"/>
        <v>0</v>
      </c>
      <c r="L41" s="311">
        <f t="shared" ca="1" si="6"/>
        <v>0</v>
      </c>
      <c r="M41" s="513">
        <f t="shared" ref="M41:S41" ca="1" si="7">SUBTOTAL(9,M35:M40)</f>
        <v>0</v>
      </c>
      <c r="N41" s="313">
        <f t="shared" ca="1" si="7"/>
        <v>0.75900000000000012</v>
      </c>
      <c r="O41" s="311">
        <f t="shared" ca="1" si="7"/>
        <v>0.78260640303704998</v>
      </c>
      <c r="P41" s="311">
        <f t="shared" ca="1" si="7"/>
        <v>0.80625859585161974</v>
      </c>
      <c r="Q41" s="311">
        <f t="shared" ca="1" si="7"/>
        <v>0.83149974854427866</v>
      </c>
      <c r="R41" s="311">
        <f t="shared" ca="1" si="7"/>
        <v>0.85819932761895945</v>
      </c>
      <c r="S41" s="311">
        <f t="shared" ca="1" si="7"/>
        <v>0.88500008606972846</v>
      </c>
    </row>
    <row r="42" spans="1:19">
      <c r="A42" s="5"/>
      <c r="B42" s="249"/>
      <c r="C42" s="12"/>
      <c r="D42" s="263"/>
      <c r="E42" s="263"/>
      <c r="F42" s="263"/>
      <c r="G42" s="263"/>
      <c r="H42" s="263"/>
      <c r="I42" s="263"/>
      <c r="J42" s="263"/>
      <c r="K42" s="263"/>
      <c r="L42" s="263"/>
      <c r="M42" s="836"/>
      <c r="N42" s="263"/>
      <c r="O42" s="263"/>
      <c r="P42" s="263"/>
      <c r="Q42" s="263"/>
      <c r="R42" s="263"/>
      <c r="S42" s="263"/>
    </row>
    <row r="43" spans="1:19">
      <c r="A43" s="5"/>
      <c r="B43" s="249" t="str">
        <f ca="1">+'I-4 History'!B43</f>
        <v>DA-5</v>
      </c>
      <c r="C43" s="14" t="str">
        <f ca="1">+'I-4 History'!C43</f>
        <v>Strategic Asset Management</v>
      </c>
      <c r="D43" s="11"/>
      <c r="E43" s="11"/>
      <c r="F43" s="11"/>
      <c r="G43" s="11"/>
      <c r="H43" s="11"/>
      <c r="I43" s="11"/>
      <c r="J43" s="11"/>
      <c r="K43" s="11"/>
      <c r="L43" s="11"/>
      <c r="M43" s="507"/>
      <c r="N43" s="11"/>
      <c r="O43" s="11"/>
      <c r="P43" s="11"/>
      <c r="Q43" s="11"/>
      <c r="R43" s="11"/>
      <c r="S43" s="11"/>
    </row>
    <row r="44" spans="1:19">
      <c r="A44" s="5"/>
      <c r="B44" s="249"/>
      <c r="C44" s="13" t="s">
        <v>68</v>
      </c>
      <c r="D44" s="312">
        <f>'I-4 History'!D44</f>
        <v>0</v>
      </c>
      <c r="E44" s="312">
        <f>'I-4 History'!E44</f>
        <v>0</v>
      </c>
      <c r="F44" s="312">
        <f>'I-4 History'!F44</f>
        <v>0</v>
      </c>
      <c r="G44" s="312">
        <f>'I-4 History'!G44</f>
        <v>0</v>
      </c>
      <c r="H44" s="312">
        <f>'I-4 History'!H44</f>
        <v>0</v>
      </c>
      <c r="I44" s="312">
        <f>'I-4 History'!I44</f>
        <v>0</v>
      </c>
      <c r="J44" s="312">
        <f>'I-4 History'!J44</f>
        <v>0</v>
      </c>
      <c r="K44" s="312">
        <f>'I-4 History'!K44</f>
        <v>0</v>
      </c>
      <c r="L44" s="310">
        <f ca="1">'DA-5'!B$64</f>
        <v>0</v>
      </c>
      <c r="M44" s="835">
        <f ca="1">'DA-5'!C$64</f>
        <v>0</v>
      </c>
      <c r="N44" s="312">
        <f ca="1">'DA-5'!D$64</f>
        <v>1.1779999999999999</v>
      </c>
      <c r="O44" s="310">
        <f ca="1">'DA-5'!E$64</f>
        <v>1.2160442077372573</v>
      </c>
      <c r="P44" s="310">
        <f ca="1">'DA-5'!F$64</f>
        <v>1.2542213444203902</v>
      </c>
      <c r="Q44" s="310">
        <f ca="1">'DA-5'!G$64</f>
        <v>1.294823621905093</v>
      </c>
      <c r="R44" s="310">
        <f ca="1">'DA-5'!H$64</f>
        <v>1.3376820748741203</v>
      </c>
      <c r="S44" s="310">
        <f ca="1">'DA-5'!I$64</f>
        <v>1.3806532939322531</v>
      </c>
    </row>
    <row r="45" spans="1:19">
      <c r="A45" s="5"/>
      <c r="B45" s="249"/>
      <c r="C45" s="13" t="s">
        <v>69</v>
      </c>
      <c r="D45" s="312">
        <f>'I-4 History'!D45</f>
        <v>0</v>
      </c>
      <c r="E45" s="312">
        <f>'I-4 History'!E45</f>
        <v>0</v>
      </c>
      <c r="F45" s="312">
        <f>'I-4 History'!F45</f>
        <v>0</v>
      </c>
      <c r="G45" s="312">
        <f>'I-4 History'!G45</f>
        <v>0</v>
      </c>
      <c r="H45" s="312">
        <f>'I-4 History'!H45</f>
        <v>0</v>
      </c>
      <c r="I45" s="312">
        <f>'I-4 History'!I45</f>
        <v>0</v>
      </c>
      <c r="J45" s="312">
        <f>'I-4 History'!J45</f>
        <v>0</v>
      </c>
      <c r="K45" s="312">
        <f>'I-4 History'!K45</f>
        <v>0</v>
      </c>
      <c r="L45" s="310">
        <f ca="1">'DA-5'!B$65</f>
        <v>0</v>
      </c>
      <c r="M45" s="835">
        <f ca="1">'DA-5'!C$65</f>
        <v>0</v>
      </c>
      <c r="N45" s="312">
        <f ca="1">'DA-5'!D$65</f>
        <v>1E-3</v>
      </c>
      <c r="O45" s="310">
        <f ca="1">'DA-5'!E$65</f>
        <v>1.0106099582812352E-3</v>
      </c>
      <c r="P45" s="310">
        <f ca="1">'DA-5'!F$65</f>
        <v>1.0204409951236118E-3</v>
      </c>
      <c r="Q45" s="310">
        <f ca="1">'DA-5'!G$65</f>
        <v>1.0301588658762129E-3</v>
      </c>
      <c r="R45" s="310">
        <f ca="1">'DA-5'!H$65</f>
        <v>1.0407019751469957E-3</v>
      </c>
      <c r="S45" s="310">
        <f ca="1">'DA-5'!I$65</f>
        <v>1.0503595421440001E-3</v>
      </c>
    </row>
    <row r="46" spans="1:19" s="759" customFormat="1">
      <c r="A46" s="5"/>
      <c r="B46" s="249"/>
      <c r="C46" s="13" t="s">
        <v>646</v>
      </c>
      <c r="D46" s="312">
        <f>'I-4 History'!D46</f>
        <v>0</v>
      </c>
      <c r="E46" s="312">
        <f>'I-4 History'!E46</f>
        <v>0</v>
      </c>
      <c r="F46" s="312">
        <f>'I-4 History'!F46</f>
        <v>0</v>
      </c>
      <c r="G46" s="312">
        <f>'I-4 History'!G46</f>
        <v>0</v>
      </c>
      <c r="H46" s="312">
        <f>'I-4 History'!H46</f>
        <v>0</v>
      </c>
      <c r="I46" s="312">
        <f>'I-4 History'!I46</f>
        <v>0</v>
      </c>
      <c r="J46" s="312">
        <f>'I-4 History'!J46</f>
        <v>0</v>
      </c>
      <c r="K46" s="312">
        <f>'I-4 History'!K46</f>
        <v>0</v>
      </c>
      <c r="L46" s="310">
        <f ca="1">'DA-5'!B$66</f>
        <v>0</v>
      </c>
      <c r="M46" s="835">
        <f ca="1">'DA-5'!C$66</f>
        <v>0</v>
      </c>
      <c r="N46" s="312">
        <f ca="1">'DA-5'!D$66</f>
        <v>0.27400000000000002</v>
      </c>
      <c r="O46" s="310">
        <f ca="1">'DA-5'!E$66</f>
        <v>0.27829166421190371</v>
      </c>
      <c r="P46" s="310">
        <f ca="1">'DA-5'!F$66</f>
        <v>0.28240383101132488</v>
      </c>
      <c r="Q46" s="310">
        <f ca="1">'DA-5'!G$66</f>
        <v>0.28765906012099163</v>
      </c>
      <c r="R46" s="310">
        <f ca="1">'DA-5'!H$66</f>
        <v>0.29365442482109538</v>
      </c>
      <c r="S46" s="310">
        <f ca="1">'DA-5'!I$66</f>
        <v>0.30008424001461126</v>
      </c>
    </row>
    <row r="47" spans="1:19">
      <c r="A47" s="5"/>
      <c r="B47" s="249"/>
      <c r="C47" s="13" t="s">
        <v>647</v>
      </c>
      <c r="D47" s="312">
        <f>'I-4 History'!D47</f>
        <v>0</v>
      </c>
      <c r="E47" s="312">
        <f>'I-4 History'!E47</f>
        <v>0</v>
      </c>
      <c r="F47" s="312">
        <f>'I-4 History'!F47</f>
        <v>0</v>
      </c>
      <c r="G47" s="312">
        <f>'I-4 History'!G47</f>
        <v>0</v>
      </c>
      <c r="H47" s="312">
        <f>'I-4 History'!H47</f>
        <v>0</v>
      </c>
      <c r="I47" s="312">
        <f>'I-4 History'!I47</f>
        <v>0</v>
      </c>
      <c r="J47" s="312">
        <f>'I-4 History'!J47</f>
        <v>0</v>
      </c>
      <c r="K47" s="312">
        <f>'I-4 History'!K47</f>
        <v>0</v>
      </c>
      <c r="L47" s="310">
        <f ca="1">'DA-5'!B$67</f>
        <v>0</v>
      </c>
      <c r="M47" s="835">
        <f ca="1">'DA-5'!C$67</f>
        <v>0</v>
      </c>
      <c r="N47" s="312">
        <f ca="1">'DA-5'!D$67</f>
        <v>0.24299999999999999</v>
      </c>
      <c r="O47" s="310">
        <f ca="1">'DA-5'!E$67</f>
        <v>0.24680611096165181</v>
      </c>
      <c r="P47" s="310">
        <f ca="1">'DA-5'!F$67</f>
        <v>0.25045303261223334</v>
      </c>
      <c r="Q47" s="310">
        <f ca="1">'DA-5'!G$67</f>
        <v>0.25511369200511297</v>
      </c>
      <c r="R47" s="310">
        <f ca="1">'DA-5'!H$67</f>
        <v>0.26043074902016849</v>
      </c>
      <c r="S47" s="310">
        <f ca="1">'DA-5'!I$67</f>
        <v>0.26613310337062235</v>
      </c>
    </row>
    <row r="48" spans="1:19" s="759" customFormat="1">
      <c r="A48" s="5"/>
      <c r="B48" s="249"/>
      <c r="C48" s="13" t="s">
        <v>575</v>
      </c>
      <c r="D48" s="312">
        <f>'I-4 History'!D48</f>
        <v>0</v>
      </c>
      <c r="E48" s="312">
        <f>'I-4 History'!E48</f>
        <v>0</v>
      </c>
      <c r="F48" s="312">
        <f>'I-4 History'!F48</f>
        <v>0</v>
      </c>
      <c r="G48" s="312">
        <f>'I-4 History'!G48</f>
        <v>0</v>
      </c>
      <c r="H48" s="312">
        <f>'I-4 History'!H48</f>
        <v>0</v>
      </c>
      <c r="I48" s="312">
        <f>'I-4 History'!I48</f>
        <v>0</v>
      </c>
      <c r="J48" s="312">
        <f>'I-4 History'!J48</f>
        <v>0</v>
      </c>
      <c r="K48" s="312">
        <f>'I-4 History'!K48</f>
        <v>0</v>
      </c>
      <c r="L48" s="310">
        <f ca="1">'DA-5'!B$68</f>
        <v>0</v>
      </c>
      <c r="M48" s="835">
        <f ca="1">'DA-5'!C$68</f>
        <v>0</v>
      </c>
      <c r="N48" s="312">
        <f ca="1">'DA-5'!D$68</f>
        <v>0.17100000000000001</v>
      </c>
      <c r="O48" s="310">
        <f ca="1">'DA-5'!E$68</f>
        <v>0.17652254628444064</v>
      </c>
      <c r="P48" s="310">
        <f ca="1">'DA-5'!F$68</f>
        <v>0.18206438870618571</v>
      </c>
      <c r="Q48" s="310">
        <f ca="1">'DA-5'!G$68</f>
        <v>0.18795826769590065</v>
      </c>
      <c r="R48" s="310">
        <f ca="1">'DA-5'!H$68</f>
        <v>0.19417965603011425</v>
      </c>
      <c r="S48" s="310">
        <f ca="1">'DA-5'!I$68</f>
        <v>0.20041741363532711</v>
      </c>
    </row>
    <row r="49" spans="1:19">
      <c r="A49" s="5"/>
      <c r="B49" s="249"/>
      <c r="C49" s="13" t="s">
        <v>70</v>
      </c>
      <c r="D49" s="312">
        <f>'I-4 History'!D49</f>
        <v>0</v>
      </c>
      <c r="E49" s="312">
        <f>'I-4 History'!E49</f>
        <v>0</v>
      </c>
      <c r="F49" s="312">
        <f>'I-4 History'!F49</f>
        <v>0</v>
      </c>
      <c r="G49" s="312">
        <f>'I-4 History'!G49</f>
        <v>0</v>
      </c>
      <c r="H49" s="312">
        <f>'I-4 History'!H49</f>
        <v>0</v>
      </c>
      <c r="I49" s="312">
        <f>'I-4 History'!I49</f>
        <v>0</v>
      </c>
      <c r="J49" s="312">
        <f>'I-4 History'!J49</f>
        <v>0</v>
      </c>
      <c r="K49" s="312">
        <f>'I-4 History'!K49</f>
        <v>0</v>
      </c>
      <c r="L49" s="310">
        <f ca="1">'DA-5'!B$69</f>
        <v>0</v>
      </c>
      <c r="M49" s="835">
        <f ca="1">'DA-5'!C$69</f>
        <v>0</v>
      </c>
      <c r="N49" s="312">
        <f ca="1">'DA-5'!D$69</f>
        <v>0</v>
      </c>
      <c r="O49" s="310">
        <f ca="1">'DA-5'!E$69</f>
        <v>0</v>
      </c>
      <c r="P49" s="310">
        <f ca="1">'DA-5'!F$69</f>
        <v>0</v>
      </c>
      <c r="Q49" s="310">
        <f ca="1">'DA-5'!G$69</f>
        <v>0</v>
      </c>
      <c r="R49" s="310">
        <f ca="1">'DA-5'!H$69</f>
        <v>0</v>
      </c>
      <c r="S49" s="310">
        <f ca="1">'DA-5'!I$69</f>
        <v>0</v>
      </c>
    </row>
    <row r="50" spans="1:19">
      <c r="A50" s="5"/>
      <c r="B50" s="249"/>
      <c r="C50" s="12" t="s">
        <v>75</v>
      </c>
      <c r="D50" s="313">
        <f t="shared" ref="D50:L50" si="8">SUBTOTAL(9,D44:D49)</f>
        <v>0</v>
      </c>
      <c r="E50" s="311">
        <f t="shared" si="8"/>
        <v>0</v>
      </c>
      <c r="F50" s="311">
        <f t="shared" si="8"/>
        <v>0</v>
      </c>
      <c r="G50" s="311">
        <f t="shared" si="8"/>
        <v>0</v>
      </c>
      <c r="H50" s="311">
        <f t="shared" si="8"/>
        <v>0</v>
      </c>
      <c r="I50" s="311">
        <f t="shared" si="8"/>
        <v>0</v>
      </c>
      <c r="J50" s="311">
        <f t="shared" si="8"/>
        <v>0</v>
      </c>
      <c r="K50" s="311">
        <f t="shared" si="8"/>
        <v>0</v>
      </c>
      <c r="L50" s="311">
        <f t="shared" ca="1" si="8"/>
        <v>0</v>
      </c>
      <c r="M50" s="513">
        <f t="shared" ref="M50:S50" ca="1" si="9">SUBTOTAL(9,M44:M49)</f>
        <v>0</v>
      </c>
      <c r="N50" s="313">
        <f t="shared" ca="1" si="9"/>
        <v>1.8669999999999998</v>
      </c>
      <c r="O50" s="311">
        <f t="shared" ca="1" si="9"/>
        <v>1.9186751391535346</v>
      </c>
      <c r="P50" s="311">
        <f t="shared" ca="1" si="9"/>
        <v>1.9701630377452577</v>
      </c>
      <c r="Q50" s="311">
        <f t="shared" ca="1" si="9"/>
        <v>2.0265848005929747</v>
      </c>
      <c r="R50" s="311">
        <f t="shared" ca="1" si="9"/>
        <v>2.0869876067206454</v>
      </c>
      <c r="S50" s="311">
        <f t="shared" ca="1" si="9"/>
        <v>2.1483384104949579</v>
      </c>
    </row>
    <row r="51" spans="1:19">
      <c r="A51" s="5"/>
      <c r="B51" s="249"/>
      <c r="C51" s="12"/>
      <c r="D51" s="263"/>
      <c r="E51" s="263"/>
      <c r="F51" s="263"/>
      <c r="G51" s="263"/>
      <c r="H51" s="263"/>
      <c r="I51" s="263"/>
      <c r="J51" s="263"/>
      <c r="K51" s="263"/>
      <c r="L51" s="263"/>
      <c r="M51" s="836"/>
      <c r="N51" s="263"/>
      <c r="O51" s="263"/>
      <c r="P51" s="263"/>
      <c r="Q51" s="263"/>
      <c r="R51" s="263"/>
      <c r="S51" s="263"/>
    </row>
    <row r="52" spans="1:19" ht="14.25" customHeight="1">
      <c r="A52" s="5"/>
      <c r="B52" s="249" t="str">
        <f ca="1">+'I-4 History'!B52</f>
        <v>DA-6</v>
      </c>
      <c r="C52" s="14" t="str">
        <f ca="1">+'I-4 History'!C52</f>
        <v>Operational Asset Management</v>
      </c>
      <c r="D52" s="11"/>
      <c r="E52" s="11"/>
      <c r="F52" s="11"/>
      <c r="G52" s="11"/>
      <c r="H52" s="11"/>
      <c r="I52" s="11"/>
      <c r="J52" s="11"/>
      <c r="K52" s="11"/>
      <c r="L52" s="11"/>
      <c r="M52" s="507"/>
      <c r="N52" s="11"/>
      <c r="O52" s="11"/>
      <c r="P52" s="11"/>
      <c r="Q52" s="11"/>
      <c r="R52" s="11"/>
      <c r="S52" s="11"/>
    </row>
    <row r="53" spans="1:19">
      <c r="A53" s="5"/>
      <c r="B53" s="249"/>
      <c r="C53" s="13" t="s">
        <v>68</v>
      </c>
      <c r="D53" s="312">
        <f>'I-4 History'!D53</f>
        <v>0</v>
      </c>
      <c r="E53" s="312">
        <f>'I-4 History'!E53</f>
        <v>0</v>
      </c>
      <c r="F53" s="312">
        <f>'I-4 History'!F53</f>
        <v>0</v>
      </c>
      <c r="G53" s="312">
        <f>'I-4 History'!G53</f>
        <v>0</v>
      </c>
      <c r="H53" s="312">
        <f>'I-4 History'!H53</f>
        <v>0</v>
      </c>
      <c r="I53" s="312">
        <f>'I-4 History'!I53</f>
        <v>0</v>
      </c>
      <c r="J53" s="312">
        <f>'I-4 History'!J53</f>
        <v>0</v>
      </c>
      <c r="K53" s="312">
        <f>'I-4 History'!K53</f>
        <v>0</v>
      </c>
      <c r="L53" s="310">
        <f ca="1">'DA-6'!B$64</f>
        <v>0</v>
      </c>
      <c r="M53" s="835">
        <f ca="1">'DA-6'!C$64</f>
        <v>0</v>
      </c>
      <c r="N53" s="312">
        <f ca="1">'DA-6'!D$64</f>
        <v>0.184</v>
      </c>
      <c r="O53" s="310">
        <f ca="1">'DA-6'!E$64</f>
        <v>0.18994238898442731</v>
      </c>
      <c r="P53" s="310">
        <f ca="1">'DA-6'!F$64</f>
        <v>0.19590554106396588</v>
      </c>
      <c r="Q53" s="310">
        <f ca="1">'DA-6'!G$64</f>
        <v>0.20224749272541354</v>
      </c>
      <c r="R53" s="310">
        <f ca="1">'DA-6'!H$64</f>
        <v>0.20894185210257904</v>
      </c>
      <c r="S53" s="310">
        <f ca="1">'DA-6'!I$64</f>
        <v>0.21565382519824666</v>
      </c>
    </row>
    <row r="54" spans="1:19">
      <c r="A54" s="5"/>
      <c r="B54" s="249"/>
      <c r="C54" s="13" t="s">
        <v>69</v>
      </c>
      <c r="D54" s="312">
        <f>'I-4 History'!D54</f>
        <v>0</v>
      </c>
      <c r="E54" s="312">
        <f>'I-4 History'!E54</f>
        <v>0</v>
      </c>
      <c r="F54" s="312">
        <f>'I-4 History'!F54</f>
        <v>0</v>
      </c>
      <c r="G54" s="312">
        <f>'I-4 History'!G54</f>
        <v>0</v>
      </c>
      <c r="H54" s="312">
        <f>'I-4 History'!H54</f>
        <v>0</v>
      </c>
      <c r="I54" s="312">
        <f>'I-4 History'!I54</f>
        <v>0</v>
      </c>
      <c r="J54" s="312">
        <f>'I-4 History'!J54</f>
        <v>0</v>
      </c>
      <c r="K54" s="312">
        <f>'I-4 History'!K54</f>
        <v>0</v>
      </c>
      <c r="L54" s="310">
        <f ca="1">'DA-6'!B$65</f>
        <v>0</v>
      </c>
      <c r="M54" s="835">
        <f ca="1">'DA-6'!C$65</f>
        <v>0</v>
      </c>
      <c r="N54" s="312">
        <f ca="1">'DA-6'!D$65</f>
        <v>0</v>
      </c>
      <c r="O54" s="310">
        <f ca="1">'DA-6'!E$65</f>
        <v>0</v>
      </c>
      <c r="P54" s="310">
        <f ca="1">'DA-6'!F$65</f>
        <v>0</v>
      </c>
      <c r="Q54" s="310">
        <f ca="1">'DA-6'!G$65</f>
        <v>0</v>
      </c>
      <c r="R54" s="310">
        <f ca="1">'DA-6'!H$65</f>
        <v>0</v>
      </c>
      <c r="S54" s="310">
        <f ca="1">'DA-6'!I$65</f>
        <v>0</v>
      </c>
    </row>
    <row r="55" spans="1:19" s="759" customFormat="1">
      <c r="A55" s="5"/>
      <c r="B55" s="249"/>
      <c r="C55" s="13" t="s">
        <v>646</v>
      </c>
      <c r="D55" s="312">
        <f>'I-4 History'!D55</f>
        <v>0</v>
      </c>
      <c r="E55" s="312">
        <f>'I-4 History'!E55</f>
        <v>0</v>
      </c>
      <c r="F55" s="312">
        <f>'I-4 History'!F55</f>
        <v>0</v>
      </c>
      <c r="G55" s="312">
        <f>'I-4 History'!G55</f>
        <v>0</v>
      </c>
      <c r="H55" s="312">
        <f>'I-4 History'!H55</f>
        <v>0</v>
      </c>
      <c r="I55" s="312">
        <f>'I-4 History'!I55</f>
        <v>0</v>
      </c>
      <c r="J55" s="312">
        <f>'I-4 History'!J55</f>
        <v>0</v>
      </c>
      <c r="K55" s="312">
        <f>'I-4 History'!K55</f>
        <v>0</v>
      </c>
      <c r="L55" s="310">
        <f ca="1">'DA-6'!B$66</f>
        <v>0</v>
      </c>
      <c r="M55" s="835">
        <f ca="1">'DA-6'!C$66</f>
        <v>0</v>
      </c>
      <c r="N55" s="312">
        <f ca="1">'DA-6'!D$66</f>
        <v>0</v>
      </c>
      <c r="O55" s="310">
        <f ca="1">'DA-6'!E$66</f>
        <v>0</v>
      </c>
      <c r="P55" s="310">
        <f ca="1">'DA-6'!F$66</f>
        <v>0</v>
      </c>
      <c r="Q55" s="310">
        <f ca="1">'DA-6'!G$66</f>
        <v>0</v>
      </c>
      <c r="R55" s="310">
        <f ca="1">'DA-6'!H$66</f>
        <v>0</v>
      </c>
      <c r="S55" s="310">
        <f ca="1">'DA-6'!I$66</f>
        <v>0</v>
      </c>
    </row>
    <row r="56" spans="1:19">
      <c r="A56" s="5"/>
      <c r="B56" s="249"/>
      <c r="C56" s="13" t="s">
        <v>647</v>
      </c>
      <c r="D56" s="312">
        <f>'I-4 History'!D56</f>
        <v>0</v>
      </c>
      <c r="E56" s="312">
        <f>'I-4 History'!E56</f>
        <v>0</v>
      </c>
      <c r="F56" s="312">
        <f>'I-4 History'!F56</f>
        <v>0</v>
      </c>
      <c r="G56" s="312">
        <f>'I-4 History'!G56</f>
        <v>0</v>
      </c>
      <c r="H56" s="312">
        <f>'I-4 History'!H56</f>
        <v>0</v>
      </c>
      <c r="I56" s="312">
        <f>'I-4 History'!I56</f>
        <v>0</v>
      </c>
      <c r="J56" s="312">
        <f>'I-4 History'!J56</f>
        <v>0</v>
      </c>
      <c r="K56" s="312">
        <f>'I-4 History'!K56</f>
        <v>0</v>
      </c>
      <c r="L56" s="310">
        <f ca="1">'DA-6'!B$67</f>
        <v>0</v>
      </c>
      <c r="M56" s="835">
        <f ca="1">'DA-6'!C$67</f>
        <v>0</v>
      </c>
      <c r="N56" s="312">
        <f ca="1">'DA-6'!D$67</f>
        <v>0</v>
      </c>
      <c r="O56" s="310">
        <f ca="1">'DA-6'!E$67</f>
        <v>0</v>
      </c>
      <c r="P56" s="310">
        <f ca="1">'DA-6'!F$67</f>
        <v>0</v>
      </c>
      <c r="Q56" s="310">
        <f ca="1">'DA-6'!G$67</f>
        <v>0</v>
      </c>
      <c r="R56" s="310">
        <f ca="1">'DA-6'!H$67</f>
        <v>0</v>
      </c>
      <c r="S56" s="310">
        <f ca="1">'DA-6'!I$67</f>
        <v>0</v>
      </c>
    </row>
    <row r="57" spans="1:19" s="759" customFormat="1">
      <c r="A57" s="5"/>
      <c r="B57" s="249"/>
      <c r="C57" s="13" t="s">
        <v>575</v>
      </c>
      <c r="D57" s="312">
        <f>'I-4 History'!D57</f>
        <v>0</v>
      </c>
      <c r="E57" s="312">
        <f>'I-4 History'!E57</f>
        <v>0</v>
      </c>
      <c r="F57" s="312">
        <f>'I-4 History'!F57</f>
        <v>0</v>
      </c>
      <c r="G57" s="312">
        <f>'I-4 History'!G57</f>
        <v>0</v>
      </c>
      <c r="H57" s="312">
        <f>'I-4 History'!H57</f>
        <v>0</v>
      </c>
      <c r="I57" s="312">
        <f>'I-4 History'!I57</f>
        <v>0</v>
      </c>
      <c r="J57" s="312">
        <f>'I-4 History'!J57</f>
        <v>0</v>
      </c>
      <c r="K57" s="312">
        <f>'I-4 History'!K57</f>
        <v>0</v>
      </c>
      <c r="L57" s="310">
        <f ca="1">'DA-6'!B$68</f>
        <v>0</v>
      </c>
      <c r="M57" s="835">
        <f ca="1">'DA-6'!C$68</f>
        <v>0</v>
      </c>
      <c r="N57" s="312">
        <f ca="1">'DA-6'!D$68</f>
        <v>1.6E-2</v>
      </c>
      <c r="O57" s="310">
        <f ca="1">'DA-6'!E$68</f>
        <v>1.6516729476906723E-2</v>
      </c>
      <c r="P57" s="310">
        <f ca="1">'DA-6'!F$68</f>
        <v>1.7035264440344863E-2</v>
      </c>
      <c r="Q57" s="310">
        <f ca="1">'DA-6'!G$68</f>
        <v>1.7586738497862048E-2</v>
      </c>
      <c r="R57" s="310">
        <f ca="1">'DA-6'!H$68</f>
        <v>1.8168856704572092E-2</v>
      </c>
      <c r="S57" s="310">
        <f ca="1">'DA-6'!I$68</f>
        <v>1.8752506538977969E-2</v>
      </c>
    </row>
    <row r="58" spans="1:19">
      <c r="A58" s="5"/>
      <c r="B58" s="249"/>
      <c r="C58" s="13" t="s">
        <v>70</v>
      </c>
      <c r="D58" s="312">
        <f>'I-4 History'!D58</f>
        <v>0</v>
      </c>
      <c r="E58" s="312">
        <f>'I-4 History'!E58</f>
        <v>0</v>
      </c>
      <c r="F58" s="312">
        <f>'I-4 History'!F58</f>
        <v>0</v>
      </c>
      <c r="G58" s="312">
        <f>'I-4 History'!G58</f>
        <v>0</v>
      </c>
      <c r="H58" s="312">
        <f>'I-4 History'!H58</f>
        <v>0</v>
      </c>
      <c r="I58" s="312">
        <f>'I-4 History'!I58</f>
        <v>0</v>
      </c>
      <c r="J58" s="312">
        <f>'I-4 History'!J58</f>
        <v>0</v>
      </c>
      <c r="K58" s="312">
        <f>'I-4 History'!K58</f>
        <v>0</v>
      </c>
      <c r="L58" s="310">
        <f ca="1">'DA-6'!B$69</f>
        <v>0</v>
      </c>
      <c r="M58" s="835">
        <f ca="1">'DA-6'!C$69</f>
        <v>0</v>
      </c>
      <c r="N58" s="312">
        <f ca="1">'DA-6'!D$69</f>
        <v>0</v>
      </c>
      <c r="O58" s="310">
        <f ca="1">'DA-6'!E$69</f>
        <v>0</v>
      </c>
      <c r="P58" s="310">
        <f ca="1">'DA-6'!F$69</f>
        <v>0</v>
      </c>
      <c r="Q58" s="310">
        <f ca="1">'DA-6'!G$69</f>
        <v>0</v>
      </c>
      <c r="R58" s="310">
        <f ca="1">'DA-6'!H$69</f>
        <v>0</v>
      </c>
      <c r="S58" s="310">
        <f ca="1">'DA-6'!I$69</f>
        <v>0</v>
      </c>
    </row>
    <row r="59" spans="1:19">
      <c r="A59" s="5"/>
      <c r="B59" s="249"/>
      <c r="C59" s="12" t="s">
        <v>75</v>
      </c>
      <c r="D59" s="313">
        <f t="shared" ref="D59:L59" si="10">SUBTOTAL(9,D53:D58)</f>
        <v>0</v>
      </c>
      <c r="E59" s="311">
        <f t="shared" si="10"/>
        <v>0</v>
      </c>
      <c r="F59" s="311">
        <f t="shared" si="10"/>
        <v>0</v>
      </c>
      <c r="G59" s="311">
        <f t="shared" si="10"/>
        <v>0</v>
      </c>
      <c r="H59" s="311">
        <f t="shared" si="10"/>
        <v>0</v>
      </c>
      <c r="I59" s="311">
        <f t="shared" si="10"/>
        <v>0</v>
      </c>
      <c r="J59" s="311">
        <f t="shared" si="10"/>
        <v>0</v>
      </c>
      <c r="K59" s="311">
        <f t="shared" si="10"/>
        <v>0</v>
      </c>
      <c r="L59" s="311">
        <f t="shared" ca="1" si="10"/>
        <v>0</v>
      </c>
      <c r="M59" s="513">
        <f t="shared" ref="M59:S59" ca="1" si="11">SUBTOTAL(9,M53:M58)</f>
        <v>0</v>
      </c>
      <c r="N59" s="313">
        <f t="shared" ca="1" si="11"/>
        <v>0.2</v>
      </c>
      <c r="O59" s="311">
        <f t="shared" ca="1" si="11"/>
        <v>0.20645911846133402</v>
      </c>
      <c r="P59" s="311">
        <f t="shared" ca="1" si="11"/>
        <v>0.21294080550431074</v>
      </c>
      <c r="Q59" s="311">
        <f t="shared" ca="1" si="11"/>
        <v>0.21983423122327558</v>
      </c>
      <c r="R59" s="311">
        <f t="shared" ca="1" si="11"/>
        <v>0.22711070880715112</v>
      </c>
      <c r="S59" s="311">
        <f t="shared" ca="1" si="11"/>
        <v>0.23440633173722464</v>
      </c>
    </row>
    <row r="60" spans="1:19">
      <c r="A60" s="5"/>
      <c r="B60" s="249"/>
      <c r="C60" s="12"/>
      <c r="D60" s="263"/>
      <c r="E60" s="263"/>
      <c r="F60" s="263"/>
      <c r="G60" s="263"/>
      <c r="H60" s="263"/>
      <c r="I60" s="263"/>
      <c r="J60" s="263"/>
      <c r="K60" s="263"/>
      <c r="L60" s="263"/>
      <c r="M60" s="836"/>
      <c r="N60" s="263"/>
      <c r="O60" s="263"/>
      <c r="P60" s="263"/>
      <c r="Q60" s="263"/>
      <c r="R60" s="263"/>
      <c r="S60" s="263"/>
    </row>
    <row r="61" spans="1:19">
      <c r="A61" s="5"/>
      <c r="B61" s="249" t="str">
        <f ca="1">+'I-4 History'!B61</f>
        <v>DA-7</v>
      </c>
      <c r="C61" s="14" t="str">
        <f ca="1">+'I-4 History'!C61</f>
        <v>Maintenance of Asset Information</v>
      </c>
      <c r="D61" s="11"/>
      <c r="E61" s="11"/>
      <c r="F61" s="11"/>
      <c r="G61" s="11"/>
      <c r="H61" s="11"/>
      <c r="I61" s="11"/>
      <c r="J61" s="11"/>
      <c r="K61" s="11"/>
      <c r="L61" s="11"/>
      <c r="M61" s="507"/>
      <c r="N61" s="11"/>
      <c r="O61" s="11"/>
      <c r="P61" s="11"/>
      <c r="Q61" s="11"/>
      <c r="R61" s="11"/>
      <c r="S61" s="11"/>
    </row>
    <row r="62" spans="1:19">
      <c r="A62" s="5"/>
      <c r="B62" s="249"/>
      <c r="C62" s="13" t="s">
        <v>68</v>
      </c>
      <c r="D62" s="312">
        <f>'I-4 History'!D62</f>
        <v>0</v>
      </c>
      <c r="E62" s="312">
        <f>'I-4 History'!E62</f>
        <v>0</v>
      </c>
      <c r="F62" s="312">
        <f>'I-4 History'!F62</f>
        <v>0</v>
      </c>
      <c r="G62" s="312">
        <f>'I-4 History'!G62</f>
        <v>0</v>
      </c>
      <c r="H62" s="312">
        <f>'I-4 History'!H62</f>
        <v>0</v>
      </c>
      <c r="I62" s="312">
        <f>'I-4 History'!I62</f>
        <v>0</v>
      </c>
      <c r="J62" s="312">
        <f>'I-4 History'!J62</f>
        <v>0</v>
      </c>
      <c r="K62" s="312">
        <f>'I-4 History'!K62</f>
        <v>0</v>
      </c>
      <c r="L62" s="310">
        <f ca="1">'DA-7'!B$64</f>
        <v>0</v>
      </c>
      <c r="M62" s="835">
        <f ca="1">'DA-7'!C$64</f>
        <v>0</v>
      </c>
      <c r="N62" s="312">
        <f ca="1">'DA-7'!D$64</f>
        <v>2.0640000000000001</v>
      </c>
      <c r="O62" s="310">
        <f ca="1">'DA-7'!E$64</f>
        <v>2.1306581025209672</v>
      </c>
      <c r="P62" s="310">
        <f ca="1">'DA-7'!F$64</f>
        <v>2.1975491128044871</v>
      </c>
      <c r="Q62" s="310">
        <f ca="1">'DA-7'!G$64</f>
        <v>2.2686892662242042</v>
      </c>
      <c r="R62" s="310">
        <f ca="1">'DA-7'!H$64</f>
        <v>2.3437825148898002</v>
      </c>
      <c r="S62" s="310">
        <f ca="1">'DA-7'!I$64</f>
        <v>2.4190733435281588</v>
      </c>
    </row>
    <row r="63" spans="1:19">
      <c r="A63" s="5"/>
      <c r="B63" s="249"/>
      <c r="C63" s="13" t="s">
        <v>69</v>
      </c>
      <c r="D63" s="312">
        <f>'I-4 History'!D63</f>
        <v>0</v>
      </c>
      <c r="E63" s="312">
        <f>'I-4 History'!E63</f>
        <v>0</v>
      </c>
      <c r="F63" s="312">
        <f>'I-4 History'!F63</f>
        <v>0</v>
      </c>
      <c r="G63" s="312">
        <f>'I-4 History'!G63</f>
        <v>0</v>
      </c>
      <c r="H63" s="312">
        <f>'I-4 History'!H63</f>
        <v>0</v>
      </c>
      <c r="I63" s="312">
        <f>'I-4 History'!I63</f>
        <v>0</v>
      </c>
      <c r="J63" s="312">
        <f>'I-4 History'!J63</f>
        <v>0</v>
      </c>
      <c r="K63" s="312">
        <f>'I-4 History'!K63</f>
        <v>0</v>
      </c>
      <c r="L63" s="310">
        <f ca="1">'DA-7'!B$65</f>
        <v>0</v>
      </c>
      <c r="M63" s="835">
        <f ca="1">'DA-7'!C$65</f>
        <v>0</v>
      </c>
      <c r="N63" s="312">
        <f ca="1">'DA-7'!D$65</f>
        <v>6.0000000000000001E-3</v>
      </c>
      <c r="O63" s="310">
        <f ca="1">'DA-7'!E$65</f>
        <v>6.063659749687411E-3</v>
      </c>
      <c r="P63" s="310">
        <f ca="1">'DA-7'!F$65</f>
        <v>6.1226459707416706E-3</v>
      </c>
      <c r="Q63" s="310">
        <f ca="1">'DA-7'!G$65</f>
        <v>6.1809531952572777E-3</v>
      </c>
      <c r="R63" s="310">
        <f ca="1">'DA-7'!H$65</f>
        <v>6.2442118508819746E-3</v>
      </c>
      <c r="S63" s="310">
        <f ca="1">'DA-7'!I$65</f>
        <v>6.3021572528640015E-3</v>
      </c>
    </row>
    <row r="64" spans="1:19" s="759" customFormat="1">
      <c r="A64" s="5"/>
      <c r="B64" s="249"/>
      <c r="C64" s="13" t="s">
        <v>646</v>
      </c>
      <c r="D64" s="312">
        <f>'I-4 History'!D64</f>
        <v>0</v>
      </c>
      <c r="E64" s="312">
        <f>'I-4 History'!E64</f>
        <v>0</v>
      </c>
      <c r="F64" s="312">
        <f>'I-4 History'!F64</f>
        <v>0</v>
      </c>
      <c r="G64" s="312">
        <f>'I-4 History'!G64</f>
        <v>0</v>
      </c>
      <c r="H64" s="312">
        <f>'I-4 History'!H64</f>
        <v>0</v>
      </c>
      <c r="I64" s="312">
        <f>'I-4 History'!I64</f>
        <v>0</v>
      </c>
      <c r="J64" s="312">
        <f>'I-4 History'!J64</f>
        <v>0</v>
      </c>
      <c r="K64" s="312">
        <f>'I-4 History'!K64</f>
        <v>0</v>
      </c>
      <c r="L64" s="310">
        <f ca="1">'DA-7'!B$66</f>
        <v>0</v>
      </c>
      <c r="M64" s="835">
        <f ca="1">'DA-7'!C$66</f>
        <v>0</v>
      </c>
      <c r="N64" s="312">
        <f ca="1">'DA-7'!D$66</f>
        <v>0</v>
      </c>
      <c r="O64" s="310">
        <f ca="1">'DA-7'!E$66</f>
        <v>0</v>
      </c>
      <c r="P64" s="310">
        <f ca="1">'DA-7'!F$66</f>
        <v>0</v>
      </c>
      <c r="Q64" s="310">
        <f ca="1">'DA-7'!G$66</f>
        <v>0</v>
      </c>
      <c r="R64" s="310">
        <f ca="1">'DA-7'!H$66</f>
        <v>0</v>
      </c>
      <c r="S64" s="310">
        <f ca="1">'DA-7'!I$66</f>
        <v>0</v>
      </c>
    </row>
    <row r="65" spans="1:19">
      <c r="A65" s="5"/>
      <c r="B65" s="249"/>
      <c r="C65" s="13" t="s">
        <v>647</v>
      </c>
      <c r="D65" s="312">
        <f>'I-4 History'!D65</f>
        <v>0</v>
      </c>
      <c r="E65" s="312">
        <f>'I-4 History'!E65</f>
        <v>0</v>
      </c>
      <c r="F65" s="312">
        <f>'I-4 History'!F65</f>
        <v>0</v>
      </c>
      <c r="G65" s="312">
        <f>'I-4 History'!G65</f>
        <v>0</v>
      </c>
      <c r="H65" s="312">
        <f>'I-4 History'!H65</f>
        <v>0</v>
      </c>
      <c r="I65" s="312">
        <f>'I-4 History'!I65</f>
        <v>0</v>
      </c>
      <c r="J65" s="312">
        <f>'I-4 History'!J65</f>
        <v>0</v>
      </c>
      <c r="K65" s="312">
        <f>'I-4 History'!K65</f>
        <v>0</v>
      </c>
      <c r="L65" s="310">
        <f ca="1">'DA-7'!B$67</f>
        <v>0</v>
      </c>
      <c r="M65" s="835">
        <f ca="1">'DA-7'!C$67</f>
        <v>0</v>
      </c>
      <c r="N65" s="312">
        <f ca="1">'DA-7'!D$67</f>
        <v>0.13100000000000001</v>
      </c>
      <c r="O65" s="310">
        <f ca="1">'DA-7'!E$67</f>
        <v>0.13305185405751602</v>
      </c>
      <c r="P65" s="310">
        <f ca="1">'DA-7'!F$67</f>
        <v>0.13501789000906406</v>
      </c>
      <c r="Q65" s="310">
        <f ca="1">'DA-7'!G$67</f>
        <v>0.1375304265541967</v>
      </c>
      <c r="R65" s="310">
        <f ca="1">'DA-7'!H$67</f>
        <v>0.14039682354585217</v>
      </c>
      <c r="S65" s="310">
        <f ca="1">'DA-7'!I$67</f>
        <v>0.1434709322697594</v>
      </c>
    </row>
    <row r="66" spans="1:19" s="759" customFormat="1">
      <c r="A66" s="5"/>
      <c r="B66" s="249"/>
      <c r="C66" s="13" t="s">
        <v>575</v>
      </c>
      <c r="D66" s="312">
        <f>'I-4 History'!D66</f>
        <v>0</v>
      </c>
      <c r="E66" s="312">
        <f>'I-4 History'!E66</f>
        <v>0</v>
      </c>
      <c r="F66" s="312">
        <f>'I-4 History'!F66</f>
        <v>0</v>
      </c>
      <c r="G66" s="312">
        <f>'I-4 History'!G66</f>
        <v>0</v>
      </c>
      <c r="H66" s="312">
        <f>'I-4 History'!H66</f>
        <v>0</v>
      </c>
      <c r="I66" s="312">
        <f>'I-4 History'!I66</f>
        <v>0</v>
      </c>
      <c r="J66" s="312">
        <f>'I-4 History'!J66</f>
        <v>0</v>
      </c>
      <c r="K66" s="312">
        <f>'I-4 History'!K66</f>
        <v>0</v>
      </c>
      <c r="L66" s="310">
        <f ca="1">'DA-7'!B$68</f>
        <v>0</v>
      </c>
      <c r="M66" s="835">
        <f ca="1">'DA-7'!C$68</f>
        <v>0</v>
      </c>
      <c r="N66" s="312">
        <f ca="1">'DA-7'!D$68</f>
        <v>0.14399999999999999</v>
      </c>
      <c r="O66" s="310">
        <f ca="1">'DA-7'!E$68</f>
        <v>0.1486505652921605</v>
      </c>
      <c r="P66" s="310">
        <f ca="1">'DA-7'!F$68</f>
        <v>0.15331737996310374</v>
      </c>
      <c r="Q66" s="310">
        <f ca="1">'DA-7'!G$68</f>
        <v>0.1582806464807584</v>
      </c>
      <c r="R66" s="310">
        <f ca="1">'DA-7'!H$68</f>
        <v>0.16351971034114882</v>
      </c>
      <c r="S66" s="310">
        <f ca="1">'DA-7'!I$68</f>
        <v>0.16877255885080175</v>
      </c>
    </row>
    <row r="67" spans="1:19">
      <c r="A67" s="5"/>
      <c r="B67" s="249"/>
      <c r="C67" s="13" t="s">
        <v>70</v>
      </c>
      <c r="D67" s="312">
        <f>'I-4 History'!D67</f>
        <v>0</v>
      </c>
      <c r="E67" s="312">
        <f>'I-4 History'!E67</f>
        <v>0</v>
      </c>
      <c r="F67" s="312">
        <f>'I-4 History'!F67</f>
        <v>0</v>
      </c>
      <c r="G67" s="312">
        <f>'I-4 History'!G67</f>
        <v>0</v>
      </c>
      <c r="H67" s="312">
        <f>'I-4 History'!H67</f>
        <v>0</v>
      </c>
      <c r="I67" s="312">
        <f>'I-4 History'!I67</f>
        <v>0</v>
      </c>
      <c r="J67" s="312">
        <f>'I-4 History'!J67</f>
        <v>0</v>
      </c>
      <c r="K67" s="312">
        <f>'I-4 History'!K67</f>
        <v>0</v>
      </c>
      <c r="L67" s="310">
        <f ca="1">'DA-7'!B$69</f>
        <v>0</v>
      </c>
      <c r="M67" s="835">
        <f ca="1">'DA-7'!C$69</f>
        <v>0</v>
      </c>
      <c r="N67" s="312">
        <f ca="1">'DA-7'!D$69</f>
        <v>0</v>
      </c>
      <c r="O67" s="310">
        <f ca="1">'DA-7'!E$69</f>
        <v>0</v>
      </c>
      <c r="P67" s="310">
        <f ca="1">'DA-7'!F$69</f>
        <v>0</v>
      </c>
      <c r="Q67" s="310">
        <f ca="1">'DA-7'!G$69</f>
        <v>0</v>
      </c>
      <c r="R67" s="310">
        <f ca="1">'DA-7'!H$69</f>
        <v>0</v>
      </c>
      <c r="S67" s="310">
        <f ca="1">'DA-7'!I$69</f>
        <v>0</v>
      </c>
    </row>
    <row r="68" spans="1:19">
      <c r="A68" s="5"/>
      <c r="B68" s="249"/>
      <c r="C68" s="12" t="s">
        <v>75</v>
      </c>
      <c r="D68" s="313">
        <f t="shared" ref="D68:L68" si="12">SUBTOTAL(9,D62:D67)</f>
        <v>0</v>
      </c>
      <c r="E68" s="311">
        <f t="shared" si="12"/>
        <v>0</v>
      </c>
      <c r="F68" s="311">
        <f t="shared" si="12"/>
        <v>0</v>
      </c>
      <c r="G68" s="311">
        <f t="shared" si="12"/>
        <v>0</v>
      </c>
      <c r="H68" s="311">
        <f t="shared" si="12"/>
        <v>0</v>
      </c>
      <c r="I68" s="311">
        <f t="shared" si="12"/>
        <v>0</v>
      </c>
      <c r="J68" s="311">
        <f t="shared" si="12"/>
        <v>0</v>
      </c>
      <c r="K68" s="311">
        <f t="shared" si="12"/>
        <v>0</v>
      </c>
      <c r="L68" s="311">
        <f t="shared" ca="1" si="12"/>
        <v>0</v>
      </c>
      <c r="M68" s="513">
        <f t="shared" ref="M68:S68" ca="1" si="13">SUBTOTAL(9,M62:M67)</f>
        <v>0</v>
      </c>
      <c r="N68" s="313">
        <f t="shared" ca="1" si="13"/>
        <v>2.3449999999999998</v>
      </c>
      <c r="O68" s="311">
        <f t="shared" ca="1" si="13"/>
        <v>2.4184241816203311</v>
      </c>
      <c r="P68" s="311">
        <f t="shared" ca="1" si="13"/>
        <v>2.4920070287473965</v>
      </c>
      <c r="Q68" s="311">
        <f t="shared" ca="1" si="13"/>
        <v>2.5706812924544167</v>
      </c>
      <c r="R68" s="311">
        <f t="shared" ca="1" si="13"/>
        <v>2.6539432606276834</v>
      </c>
      <c r="S68" s="311">
        <f t="shared" ca="1" si="13"/>
        <v>2.7376189919015839</v>
      </c>
    </row>
    <row r="69" spans="1:19">
      <c r="A69" s="5"/>
      <c r="B69" s="249"/>
      <c r="C69" s="12"/>
      <c r="D69" s="263"/>
      <c r="E69" s="263"/>
      <c r="F69" s="263"/>
      <c r="G69" s="263"/>
      <c r="H69" s="263"/>
      <c r="I69" s="263"/>
      <c r="J69" s="263"/>
      <c r="K69" s="263"/>
      <c r="L69" s="263"/>
      <c r="M69" s="836"/>
      <c r="N69" s="263"/>
      <c r="O69" s="263"/>
      <c r="P69" s="263"/>
      <c r="Q69" s="263"/>
      <c r="R69" s="263"/>
      <c r="S69" s="263"/>
    </row>
    <row r="70" spans="1:19">
      <c r="A70" s="5"/>
      <c r="B70" s="249" t="str">
        <f ca="1">+'I-4 History'!B70</f>
        <v>DA-8</v>
      </c>
      <c r="C70" s="14" t="str">
        <f ca="1">+'I-4 History'!C70</f>
        <v>Network Telephony</v>
      </c>
      <c r="D70" s="11"/>
      <c r="E70" s="11"/>
      <c r="F70" s="11"/>
      <c r="G70" s="11"/>
      <c r="H70" s="11"/>
      <c r="I70" s="11"/>
      <c r="J70" s="11"/>
      <c r="K70" s="11"/>
      <c r="L70" s="11"/>
      <c r="M70" s="507"/>
      <c r="N70" s="11"/>
      <c r="O70" s="11"/>
      <c r="P70" s="11"/>
      <c r="Q70" s="11"/>
      <c r="R70" s="11"/>
      <c r="S70" s="11"/>
    </row>
    <row r="71" spans="1:19">
      <c r="A71" s="5"/>
      <c r="B71" s="249"/>
      <c r="C71" s="13" t="s">
        <v>68</v>
      </c>
      <c r="D71" s="312">
        <f>'I-4 History'!D71</f>
        <v>0</v>
      </c>
      <c r="E71" s="312">
        <f>'I-4 History'!E71</f>
        <v>0</v>
      </c>
      <c r="F71" s="312">
        <f>'I-4 History'!F71</f>
        <v>0</v>
      </c>
      <c r="G71" s="312">
        <f>'I-4 History'!G71</f>
        <v>0</v>
      </c>
      <c r="H71" s="312">
        <f>'I-4 History'!H71</f>
        <v>0</v>
      </c>
      <c r="I71" s="312">
        <f>'I-4 History'!I71</f>
        <v>0</v>
      </c>
      <c r="J71" s="312">
        <f>'I-4 History'!J71</f>
        <v>0</v>
      </c>
      <c r="K71" s="312">
        <f>'I-4 History'!K71</f>
        <v>0</v>
      </c>
      <c r="L71" s="310">
        <f ca="1">'DA-8'!B$64</f>
        <v>0</v>
      </c>
      <c r="M71" s="835">
        <f ca="1">'DA-8'!C$64</f>
        <v>0</v>
      </c>
      <c r="N71" s="312">
        <f ca="1">'DA-8'!D$64</f>
        <v>1.8640000000000003</v>
      </c>
      <c r="O71" s="310">
        <f ca="1">'DA-8'!E$64</f>
        <v>2.0731989840596334</v>
      </c>
      <c r="P71" s="310">
        <f ca="1">'DA-8'!F$64</f>
        <v>2.5156083073001767</v>
      </c>
      <c r="Q71" s="310">
        <f ca="1">'DA-8'!G$64</f>
        <v>2.664855035000929</v>
      </c>
      <c r="R71" s="310">
        <f ca="1">'DA-8'!H$64</f>
        <v>2.6276718060826494</v>
      </c>
      <c r="S71" s="310">
        <f ca="1">'DA-8'!I$64</f>
        <v>2.7296670117909341</v>
      </c>
    </row>
    <row r="72" spans="1:19">
      <c r="A72" s="5"/>
      <c r="B72" s="249"/>
      <c r="C72" s="13" t="s">
        <v>69</v>
      </c>
      <c r="D72" s="312">
        <f>'I-4 History'!D72</f>
        <v>0</v>
      </c>
      <c r="E72" s="312">
        <f>'I-4 History'!E72</f>
        <v>0</v>
      </c>
      <c r="F72" s="312">
        <f>'I-4 History'!F72</f>
        <v>0</v>
      </c>
      <c r="G72" s="312">
        <f>'I-4 History'!G72</f>
        <v>0</v>
      </c>
      <c r="H72" s="312">
        <f>'I-4 History'!H72</f>
        <v>0</v>
      </c>
      <c r="I72" s="312">
        <f>'I-4 History'!I72</f>
        <v>0</v>
      </c>
      <c r="J72" s="312">
        <f>'I-4 History'!J72</f>
        <v>0</v>
      </c>
      <c r="K72" s="312">
        <f>'I-4 History'!K72</f>
        <v>0</v>
      </c>
      <c r="L72" s="310">
        <f ca="1">'DA-8'!B$65</f>
        <v>0</v>
      </c>
      <c r="M72" s="835">
        <f ca="1">'DA-8'!C$65</f>
        <v>0</v>
      </c>
      <c r="N72" s="312">
        <f ca="1">'DA-8'!D$65</f>
        <v>0.11199999999999999</v>
      </c>
      <c r="O72" s="310">
        <f ca="1">'DA-8'!E$65</f>
        <v>0.11318831532749832</v>
      </c>
      <c r="P72" s="310">
        <f ca="1">'DA-8'!F$65</f>
        <v>0.1382893914538445</v>
      </c>
      <c r="Q72" s="310">
        <f ca="1">'DA-8'!G$65</f>
        <v>0.14037779297813582</v>
      </c>
      <c r="R72" s="310">
        <f ca="1">'DA-8'!H$65</f>
        <v>0.15255862121646352</v>
      </c>
      <c r="S72" s="310">
        <f ca="1">'DA-8'!I$65</f>
        <v>0.146640268720128</v>
      </c>
    </row>
    <row r="73" spans="1:19" s="759" customFormat="1">
      <c r="A73" s="5"/>
      <c r="B73" s="249"/>
      <c r="C73" s="13" t="s">
        <v>646</v>
      </c>
      <c r="D73" s="312">
        <f>'I-4 History'!D73</f>
        <v>0</v>
      </c>
      <c r="E73" s="312">
        <f>'I-4 History'!E73</f>
        <v>0</v>
      </c>
      <c r="F73" s="312">
        <f>'I-4 History'!F73</f>
        <v>0</v>
      </c>
      <c r="G73" s="312">
        <f>'I-4 History'!G73</f>
        <v>0</v>
      </c>
      <c r="H73" s="312">
        <f>'I-4 History'!H73</f>
        <v>0</v>
      </c>
      <c r="I73" s="312">
        <f>'I-4 History'!I73</f>
        <v>0</v>
      </c>
      <c r="J73" s="312">
        <f>'I-4 History'!J73</f>
        <v>0</v>
      </c>
      <c r="K73" s="312">
        <f>'I-4 History'!K73</f>
        <v>0</v>
      </c>
      <c r="L73" s="310">
        <f ca="1">'DA-8'!B$66</f>
        <v>0</v>
      </c>
      <c r="M73" s="835">
        <f ca="1">'DA-8'!C$66</f>
        <v>0</v>
      </c>
      <c r="N73" s="312">
        <f ca="1">'DA-8'!D$66</f>
        <v>3.375</v>
      </c>
      <c r="O73" s="310">
        <f ca="1">'DA-8'!E$66</f>
        <v>3.4278626522451643</v>
      </c>
      <c r="P73" s="310">
        <f ca="1">'DA-8'!F$66</f>
        <v>3.4785143418365743</v>
      </c>
      <c r="Q73" s="310">
        <f ca="1">'DA-8'!G$66</f>
        <v>3.5432457222932356</v>
      </c>
      <c r="R73" s="310">
        <f ca="1">'DA-8'!H$66</f>
        <v>3.617093736391229</v>
      </c>
      <c r="S73" s="310">
        <f ca="1">'DA-8'!I$66</f>
        <v>3.6962931023697552</v>
      </c>
    </row>
    <row r="74" spans="1:19">
      <c r="A74" s="5"/>
      <c r="B74" s="249"/>
      <c r="C74" s="13" t="s">
        <v>647</v>
      </c>
      <c r="D74" s="312">
        <f>'I-4 History'!D74</f>
        <v>0</v>
      </c>
      <c r="E74" s="312">
        <f>'I-4 History'!E74</f>
        <v>0</v>
      </c>
      <c r="F74" s="312">
        <f>'I-4 History'!F74</f>
        <v>0</v>
      </c>
      <c r="G74" s="312">
        <f>'I-4 History'!G74</f>
        <v>0</v>
      </c>
      <c r="H74" s="312">
        <f>'I-4 History'!H74</f>
        <v>0</v>
      </c>
      <c r="I74" s="312">
        <f>'I-4 History'!I74</f>
        <v>0</v>
      </c>
      <c r="J74" s="312">
        <f>'I-4 History'!J74</f>
        <v>0</v>
      </c>
      <c r="K74" s="312">
        <f>'I-4 History'!K74</f>
        <v>0</v>
      </c>
      <c r="L74" s="310">
        <f ca="1">'DA-8'!B$67</f>
        <v>0</v>
      </c>
      <c r="M74" s="835">
        <f ca="1">'DA-8'!C$67</f>
        <v>0</v>
      </c>
      <c r="N74" s="312">
        <f ca="1">'DA-8'!D$67</f>
        <v>0.36700000000000005</v>
      </c>
      <c r="O74" s="310">
        <f ca="1">'DA-8'!E$67</f>
        <v>0.39474832396265935</v>
      </c>
      <c r="P74" s="310">
        <f ca="1">'DA-8'!F$67</f>
        <v>7.1732562262085988</v>
      </c>
      <c r="Q74" s="310">
        <f ca="1">'DA-8'!G$67</f>
        <v>2.3472951644686275</v>
      </c>
      <c r="R74" s="310">
        <f ca="1">'DA-8'!H$67</f>
        <v>2.4493254522238761</v>
      </c>
      <c r="S74" s="310">
        <f ca="1">'DA-8'!I$67</f>
        <v>2.4319376499465775</v>
      </c>
    </row>
    <row r="75" spans="1:19" s="759" customFormat="1">
      <c r="A75" s="5"/>
      <c r="B75" s="249"/>
      <c r="C75" s="13" t="s">
        <v>575</v>
      </c>
      <c r="D75" s="312">
        <f>'I-4 History'!D75</f>
        <v>0</v>
      </c>
      <c r="E75" s="312">
        <f>'I-4 History'!E75</f>
        <v>0</v>
      </c>
      <c r="F75" s="312">
        <f>'I-4 History'!F75</f>
        <v>0</v>
      </c>
      <c r="G75" s="312">
        <f>'I-4 History'!G75</f>
        <v>0</v>
      </c>
      <c r="H75" s="312">
        <f>'I-4 History'!H75</f>
        <v>0</v>
      </c>
      <c r="I75" s="312">
        <f>'I-4 History'!I75</f>
        <v>0</v>
      </c>
      <c r="J75" s="312">
        <f>'I-4 History'!J75</f>
        <v>0</v>
      </c>
      <c r="K75" s="312">
        <f>'I-4 History'!K75</f>
        <v>0</v>
      </c>
      <c r="L75" s="310">
        <f ca="1">'DA-8'!B$68</f>
        <v>0</v>
      </c>
      <c r="M75" s="835">
        <f ca="1">'DA-8'!C$68</f>
        <v>0</v>
      </c>
      <c r="N75" s="312">
        <f ca="1">'DA-8'!D$68</f>
        <v>0.442</v>
      </c>
      <c r="O75" s="310">
        <f ca="1">'DA-8'!E$68</f>
        <v>0.45627465179954818</v>
      </c>
      <c r="P75" s="310">
        <f ca="1">'DA-8'!F$68</f>
        <v>0.47059918016452673</v>
      </c>
      <c r="Q75" s="310">
        <f ca="1">'DA-8'!G$68</f>
        <v>0.485833651003439</v>
      </c>
      <c r="R75" s="310">
        <f ca="1">'DA-8'!H$68</f>
        <v>0.501914666463804</v>
      </c>
      <c r="S75" s="310">
        <f ca="1">'DA-8'!I$68</f>
        <v>0.51803799313926646</v>
      </c>
    </row>
    <row r="76" spans="1:19">
      <c r="A76" s="5"/>
      <c r="B76" s="249"/>
      <c r="C76" s="13" t="s">
        <v>70</v>
      </c>
      <c r="D76" s="312">
        <f>'I-4 History'!D76</f>
        <v>0</v>
      </c>
      <c r="E76" s="312">
        <f>'I-4 History'!E76</f>
        <v>0</v>
      </c>
      <c r="F76" s="312">
        <f>'I-4 History'!F76</f>
        <v>0</v>
      </c>
      <c r="G76" s="312">
        <f>'I-4 History'!G76</f>
        <v>0</v>
      </c>
      <c r="H76" s="312">
        <f>'I-4 History'!H76</f>
        <v>0</v>
      </c>
      <c r="I76" s="312">
        <f>'I-4 History'!I76</f>
        <v>0</v>
      </c>
      <c r="J76" s="312">
        <f>'I-4 History'!J76</f>
        <v>0</v>
      </c>
      <c r="K76" s="312">
        <f>'I-4 History'!K76</f>
        <v>0</v>
      </c>
      <c r="L76" s="310">
        <f ca="1">'DA-8'!B$69</f>
        <v>0</v>
      </c>
      <c r="M76" s="835">
        <f ca="1">'DA-8'!C$69</f>
        <v>0</v>
      </c>
      <c r="N76" s="312">
        <f ca="1">'DA-8'!D$69</f>
        <v>0</v>
      </c>
      <c r="O76" s="310">
        <f ca="1">'DA-8'!E$69</f>
        <v>0</v>
      </c>
      <c r="P76" s="310">
        <f ca="1">'DA-8'!F$69</f>
        <v>0</v>
      </c>
      <c r="Q76" s="310">
        <f ca="1">'DA-8'!G$69</f>
        <v>0</v>
      </c>
      <c r="R76" s="310">
        <f ca="1">'DA-8'!H$69</f>
        <v>0</v>
      </c>
      <c r="S76" s="310">
        <f ca="1">'DA-8'!I$69</f>
        <v>0</v>
      </c>
    </row>
    <row r="77" spans="1:19">
      <c r="A77" s="5"/>
      <c r="B77" s="249"/>
      <c r="C77" s="12" t="s">
        <v>75</v>
      </c>
      <c r="D77" s="313">
        <f t="shared" ref="D77:L77" si="14">SUBTOTAL(9,D71:D76)</f>
        <v>0</v>
      </c>
      <c r="E77" s="311">
        <f t="shared" si="14"/>
        <v>0</v>
      </c>
      <c r="F77" s="311">
        <f t="shared" si="14"/>
        <v>0</v>
      </c>
      <c r="G77" s="311">
        <f t="shared" si="14"/>
        <v>0</v>
      </c>
      <c r="H77" s="311">
        <f t="shared" si="14"/>
        <v>0</v>
      </c>
      <c r="I77" s="311">
        <f t="shared" si="14"/>
        <v>0</v>
      </c>
      <c r="J77" s="311">
        <f t="shared" si="14"/>
        <v>0</v>
      </c>
      <c r="K77" s="311">
        <f t="shared" si="14"/>
        <v>0</v>
      </c>
      <c r="L77" s="311">
        <f t="shared" ca="1" si="14"/>
        <v>0</v>
      </c>
      <c r="M77" s="513">
        <f t="shared" ref="M77:S77" ca="1" si="15">SUBTOTAL(9,M71:M76)</f>
        <v>0</v>
      </c>
      <c r="N77" s="313">
        <f t="shared" ca="1" si="15"/>
        <v>6.160000000000001</v>
      </c>
      <c r="O77" s="311">
        <f t="shared" ca="1" si="15"/>
        <v>6.4652729273945031</v>
      </c>
      <c r="P77" s="311">
        <f t="shared" ca="1" si="15"/>
        <v>13.776267446963722</v>
      </c>
      <c r="Q77" s="311">
        <f t="shared" ca="1" si="15"/>
        <v>9.1816073657443678</v>
      </c>
      <c r="R77" s="311">
        <f t="shared" ca="1" si="15"/>
        <v>9.3485642823780228</v>
      </c>
      <c r="S77" s="311">
        <f t="shared" ca="1" si="15"/>
        <v>9.5225760259666608</v>
      </c>
    </row>
    <row r="78" spans="1:19">
      <c r="A78" s="5"/>
      <c r="B78" s="249"/>
      <c r="C78" s="12"/>
      <c r="D78" s="263"/>
      <c r="E78" s="263"/>
      <c r="F78" s="263"/>
      <c r="G78" s="263"/>
      <c r="H78" s="263"/>
      <c r="I78" s="263"/>
      <c r="J78" s="263"/>
      <c r="K78" s="263"/>
      <c r="L78" s="263"/>
      <c r="M78" s="836"/>
      <c r="N78" s="263"/>
      <c r="O78" s="263"/>
      <c r="P78" s="263"/>
      <c r="Q78" s="263"/>
      <c r="R78" s="263"/>
      <c r="S78" s="263"/>
    </row>
    <row r="79" spans="1:19">
      <c r="A79" s="5"/>
      <c r="B79" s="249" t="str">
        <f ca="1">+'I-4 History'!B79</f>
        <v>DA-9</v>
      </c>
      <c r="C79" s="14" t="str">
        <f ca="1">+'I-4 History'!C79</f>
        <v>Feed-in Tariffs</v>
      </c>
      <c r="D79" s="11"/>
      <c r="E79" s="11"/>
      <c r="F79" s="11"/>
      <c r="G79" s="11"/>
      <c r="H79" s="11"/>
      <c r="I79" s="11"/>
      <c r="J79" s="11"/>
      <c r="K79" s="11"/>
      <c r="L79" s="11"/>
      <c r="M79" s="507"/>
      <c r="N79" s="11"/>
      <c r="O79" s="11"/>
      <c r="P79" s="11"/>
      <c r="Q79" s="11"/>
      <c r="R79" s="11"/>
      <c r="S79" s="11"/>
    </row>
    <row r="80" spans="1:19">
      <c r="A80" s="5"/>
      <c r="B80" s="249"/>
      <c r="C80" s="13" t="s">
        <v>68</v>
      </c>
      <c r="D80" s="312">
        <f>'I-4 History'!D80</f>
        <v>0</v>
      </c>
      <c r="E80" s="312">
        <f>'I-4 History'!E80</f>
        <v>0</v>
      </c>
      <c r="F80" s="312">
        <f>'I-4 History'!F80</f>
        <v>0</v>
      </c>
      <c r="G80" s="312">
        <f>'I-4 History'!G80</f>
        <v>0</v>
      </c>
      <c r="H80" s="312">
        <f>'I-4 History'!H80</f>
        <v>0</v>
      </c>
      <c r="I80" s="312">
        <f>'I-4 History'!I80</f>
        <v>0</v>
      </c>
      <c r="J80" s="312">
        <f>'I-4 History'!J80</f>
        <v>0</v>
      </c>
      <c r="K80" s="312">
        <f>'I-4 History'!K80</f>
        <v>0</v>
      </c>
      <c r="L80" s="310">
        <f ca="1">'DA-9'!B$64</f>
        <v>0</v>
      </c>
      <c r="M80" s="835">
        <f ca="1">'DA-9'!C$64</f>
        <v>0</v>
      </c>
      <c r="N80" s="312">
        <f ca="1">'DA-9'!D$64</f>
        <v>0</v>
      </c>
      <c r="O80" s="310">
        <f ca="1">'DA-9'!E$64</f>
        <v>0</v>
      </c>
      <c r="P80" s="310">
        <f ca="1">'DA-9'!F$64</f>
        <v>0</v>
      </c>
      <c r="Q80" s="310">
        <f ca="1">'DA-9'!G$64</f>
        <v>0</v>
      </c>
      <c r="R80" s="310">
        <f ca="1">'DA-9'!H$64</f>
        <v>0</v>
      </c>
      <c r="S80" s="310">
        <f ca="1">'DA-9'!I$64</f>
        <v>0</v>
      </c>
    </row>
    <row r="81" spans="1:19">
      <c r="A81" s="5"/>
      <c r="B81" s="249"/>
      <c r="C81" s="13" t="s">
        <v>69</v>
      </c>
      <c r="D81" s="312">
        <f>'I-4 History'!D81</f>
        <v>0</v>
      </c>
      <c r="E81" s="312">
        <f>'I-4 History'!E81</f>
        <v>0</v>
      </c>
      <c r="F81" s="312">
        <f>'I-4 History'!F81</f>
        <v>0</v>
      </c>
      <c r="G81" s="312">
        <f>'I-4 History'!G81</f>
        <v>0</v>
      </c>
      <c r="H81" s="312">
        <f>'I-4 History'!H81</f>
        <v>0</v>
      </c>
      <c r="I81" s="312">
        <f>'I-4 History'!I81</f>
        <v>0</v>
      </c>
      <c r="J81" s="312">
        <f>'I-4 History'!J81</f>
        <v>0</v>
      </c>
      <c r="K81" s="312">
        <f>'I-4 History'!K81</f>
        <v>0</v>
      </c>
      <c r="L81" s="310">
        <f ca="1">'DA-9'!B$65</f>
        <v>0</v>
      </c>
      <c r="M81" s="835">
        <f ca="1">'DA-9'!C$65</f>
        <v>0</v>
      </c>
      <c r="N81" s="312">
        <f ca="1">'DA-9'!D$65</f>
        <v>0</v>
      </c>
      <c r="O81" s="310">
        <f ca="1">'DA-9'!E$65</f>
        <v>0</v>
      </c>
      <c r="P81" s="310">
        <f ca="1">'DA-9'!F$65</f>
        <v>0</v>
      </c>
      <c r="Q81" s="310">
        <f ca="1">'DA-9'!G$65</f>
        <v>0</v>
      </c>
      <c r="R81" s="310">
        <f ca="1">'DA-9'!H$65</f>
        <v>0</v>
      </c>
      <c r="S81" s="310">
        <f ca="1">'DA-9'!I$65</f>
        <v>0</v>
      </c>
    </row>
    <row r="82" spans="1:19" s="759" customFormat="1">
      <c r="A82" s="5"/>
      <c r="B82" s="249"/>
      <c r="C82" s="13" t="s">
        <v>646</v>
      </c>
      <c r="D82" s="312">
        <f>'I-4 History'!D82</f>
        <v>0</v>
      </c>
      <c r="E82" s="312">
        <f>'I-4 History'!E82</f>
        <v>0</v>
      </c>
      <c r="F82" s="312">
        <f>'I-4 History'!F82</f>
        <v>0</v>
      </c>
      <c r="G82" s="312">
        <f>'I-4 History'!G82</f>
        <v>0</v>
      </c>
      <c r="H82" s="312">
        <f>'I-4 History'!H82</f>
        <v>0</v>
      </c>
      <c r="I82" s="312">
        <f>'I-4 History'!I82</f>
        <v>0</v>
      </c>
      <c r="J82" s="312">
        <f>'I-4 History'!J82</f>
        <v>0</v>
      </c>
      <c r="K82" s="312">
        <f>'I-4 History'!K82</f>
        <v>0</v>
      </c>
      <c r="L82" s="310">
        <f ca="1">'DA-9'!B$66</f>
        <v>0</v>
      </c>
      <c r="M82" s="835">
        <f ca="1">'DA-9'!C$66</f>
        <v>0</v>
      </c>
      <c r="N82" s="312">
        <f ca="1">'DA-9'!D$66</f>
        <v>0</v>
      </c>
      <c r="O82" s="310">
        <f ca="1">'DA-9'!E$66</f>
        <v>0</v>
      </c>
      <c r="P82" s="310">
        <f ca="1">'DA-9'!F$66</f>
        <v>0</v>
      </c>
      <c r="Q82" s="310">
        <f ca="1">'DA-9'!G$66</f>
        <v>0</v>
      </c>
      <c r="R82" s="310">
        <f ca="1">'DA-9'!H$66</f>
        <v>0</v>
      </c>
      <c r="S82" s="310">
        <f ca="1">'DA-9'!I$66</f>
        <v>0</v>
      </c>
    </row>
    <row r="83" spans="1:19">
      <c r="A83" s="5"/>
      <c r="B83" s="249"/>
      <c r="C83" s="13" t="s">
        <v>647</v>
      </c>
      <c r="D83" s="312">
        <f>'I-4 History'!D83</f>
        <v>0</v>
      </c>
      <c r="E83" s="312">
        <f>'I-4 History'!E83</f>
        <v>0</v>
      </c>
      <c r="F83" s="312">
        <f>'I-4 History'!F83</f>
        <v>0</v>
      </c>
      <c r="G83" s="312">
        <f>'I-4 History'!G83</f>
        <v>0</v>
      </c>
      <c r="H83" s="312">
        <f>'I-4 History'!H83</f>
        <v>0</v>
      </c>
      <c r="I83" s="312">
        <f>'I-4 History'!I83</f>
        <v>0</v>
      </c>
      <c r="J83" s="312">
        <f>'I-4 History'!J83</f>
        <v>0</v>
      </c>
      <c r="K83" s="312">
        <f>'I-4 History'!K83</f>
        <v>0</v>
      </c>
      <c r="L83" s="310">
        <f ca="1">'DA-9'!B$67</f>
        <v>0</v>
      </c>
      <c r="M83" s="835">
        <f ca="1">'DA-9'!C$67</f>
        <v>0</v>
      </c>
      <c r="N83" s="312">
        <f ca="1">'DA-9'!D$67</f>
        <v>0</v>
      </c>
      <c r="O83" s="310">
        <f ca="1">'DA-9'!E$67</f>
        <v>0</v>
      </c>
      <c r="P83" s="310">
        <f ca="1">'DA-9'!F$67</f>
        <v>0</v>
      </c>
      <c r="Q83" s="310">
        <f ca="1">'DA-9'!G$67</f>
        <v>0</v>
      </c>
      <c r="R83" s="310">
        <f ca="1">'DA-9'!H$67</f>
        <v>0</v>
      </c>
      <c r="S83" s="310">
        <f ca="1">'DA-9'!I$67</f>
        <v>0</v>
      </c>
    </row>
    <row r="84" spans="1:19" s="759" customFormat="1">
      <c r="A84" s="5"/>
      <c r="B84" s="249"/>
      <c r="C84" s="13" t="s">
        <v>575</v>
      </c>
      <c r="D84" s="312">
        <f>'I-4 History'!D84</f>
        <v>0</v>
      </c>
      <c r="E84" s="312">
        <f>'I-4 History'!E84</f>
        <v>0</v>
      </c>
      <c r="F84" s="312">
        <f>'I-4 History'!F84</f>
        <v>0</v>
      </c>
      <c r="G84" s="312">
        <f>'I-4 History'!G84</f>
        <v>0</v>
      </c>
      <c r="H84" s="312">
        <f>'I-4 History'!H84</f>
        <v>0</v>
      </c>
      <c r="I84" s="312">
        <f>'I-4 History'!I84</f>
        <v>0</v>
      </c>
      <c r="J84" s="312">
        <f>'I-4 History'!J84</f>
        <v>0</v>
      </c>
      <c r="K84" s="312">
        <f>'I-4 History'!K84</f>
        <v>0</v>
      </c>
      <c r="L84" s="310">
        <f ca="1">'DA-9'!B$68</f>
        <v>0</v>
      </c>
      <c r="M84" s="835">
        <f ca="1">'DA-9'!C$68</f>
        <v>0</v>
      </c>
      <c r="N84" s="312">
        <f ca="1">'DA-9'!D$68</f>
        <v>0</v>
      </c>
      <c r="O84" s="310">
        <f ca="1">'DA-9'!E$68</f>
        <v>0</v>
      </c>
      <c r="P84" s="310">
        <f ca="1">'DA-9'!F$68</f>
        <v>0</v>
      </c>
      <c r="Q84" s="310">
        <f ca="1">'DA-9'!G$68</f>
        <v>0</v>
      </c>
      <c r="R84" s="310">
        <f ca="1">'DA-9'!H$68</f>
        <v>0</v>
      </c>
      <c r="S84" s="310">
        <f ca="1">'DA-9'!I$68</f>
        <v>0</v>
      </c>
    </row>
    <row r="85" spans="1:19">
      <c r="A85" s="5"/>
      <c r="B85" s="249"/>
      <c r="C85" s="13" t="s">
        <v>70</v>
      </c>
      <c r="D85" s="312">
        <f>'I-4 History'!D85</f>
        <v>0</v>
      </c>
      <c r="E85" s="312">
        <f>'I-4 History'!E85</f>
        <v>0</v>
      </c>
      <c r="F85" s="312">
        <f>'I-4 History'!F85</f>
        <v>0</v>
      </c>
      <c r="G85" s="312">
        <f>'I-4 History'!G85</f>
        <v>0</v>
      </c>
      <c r="H85" s="312">
        <f>'I-4 History'!H85</f>
        <v>0</v>
      </c>
      <c r="I85" s="312">
        <f>'I-4 History'!I85</f>
        <v>0</v>
      </c>
      <c r="J85" s="312">
        <f>'I-4 History'!J85</f>
        <v>0</v>
      </c>
      <c r="K85" s="312">
        <f>'I-4 History'!K85</f>
        <v>0</v>
      </c>
      <c r="L85" s="310">
        <f ca="1">'DA-9'!B$69</f>
        <v>0</v>
      </c>
      <c r="M85" s="835">
        <f ca="1">'DA-9'!C$69</f>
        <v>0</v>
      </c>
      <c r="N85" s="312">
        <f ca="1">'DA-9'!D$69</f>
        <v>0</v>
      </c>
      <c r="O85" s="310">
        <f ca="1">'DA-9'!E$69</f>
        <v>0</v>
      </c>
      <c r="P85" s="310">
        <f ca="1">'DA-9'!F$69</f>
        <v>0</v>
      </c>
      <c r="Q85" s="310">
        <f ca="1">'DA-9'!G$69</f>
        <v>0</v>
      </c>
      <c r="R85" s="310">
        <f ca="1">'DA-9'!H$69</f>
        <v>0</v>
      </c>
      <c r="S85" s="310">
        <f ca="1">'DA-9'!I$69</f>
        <v>0</v>
      </c>
    </row>
    <row r="86" spans="1:19">
      <c r="A86" s="5"/>
      <c r="B86" s="249"/>
      <c r="C86" s="12" t="s">
        <v>75</v>
      </c>
      <c r="D86" s="313">
        <f t="shared" ref="D86:L86" si="16">SUBTOTAL(9,D80:D85)</f>
        <v>0</v>
      </c>
      <c r="E86" s="311">
        <f t="shared" si="16"/>
        <v>0</v>
      </c>
      <c r="F86" s="311">
        <f t="shared" si="16"/>
        <v>0</v>
      </c>
      <c r="G86" s="311">
        <f t="shared" si="16"/>
        <v>0</v>
      </c>
      <c r="H86" s="311">
        <f t="shared" si="16"/>
        <v>0</v>
      </c>
      <c r="I86" s="311">
        <f t="shared" si="16"/>
        <v>0</v>
      </c>
      <c r="J86" s="311">
        <f t="shared" si="16"/>
        <v>0</v>
      </c>
      <c r="K86" s="311">
        <f t="shared" si="16"/>
        <v>0</v>
      </c>
      <c r="L86" s="311">
        <f t="shared" ca="1" si="16"/>
        <v>0</v>
      </c>
      <c r="M86" s="513">
        <f t="shared" ref="M86:S86" ca="1" si="17">SUBTOTAL(9,M80:M85)</f>
        <v>0</v>
      </c>
      <c r="N86" s="313">
        <f t="shared" ca="1" si="17"/>
        <v>0</v>
      </c>
      <c r="O86" s="311">
        <f t="shared" ca="1" si="17"/>
        <v>0</v>
      </c>
      <c r="P86" s="311">
        <f t="shared" ca="1" si="17"/>
        <v>0</v>
      </c>
      <c r="Q86" s="311">
        <f t="shared" ca="1" si="17"/>
        <v>0</v>
      </c>
      <c r="R86" s="311">
        <f t="shared" ca="1" si="17"/>
        <v>0</v>
      </c>
      <c r="S86" s="311">
        <f t="shared" ca="1" si="17"/>
        <v>0</v>
      </c>
    </row>
    <row r="87" spans="1:19">
      <c r="A87" s="5"/>
      <c r="B87" s="249"/>
      <c r="C87" s="12"/>
      <c r="D87" s="263"/>
      <c r="E87" s="263"/>
      <c r="F87" s="263"/>
      <c r="G87" s="263"/>
      <c r="H87" s="263"/>
      <c r="I87" s="263"/>
      <c r="J87" s="263"/>
      <c r="K87" s="263"/>
      <c r="L87" s="263"/>
      <c r="M87" s="836"/>
      <c r="N87" s="263"/>
      <c r="O87" s="263"/>
      <c r="P87" s="263"/>
      <c r="Q87" s="263"/>
      <c r="R87" s="263"/>
      <c r="S87" s="263"/>
    </row>
    <row r="88" spans="1:19">
      <c r="A88" s="5"/>
      <c r="B88" s="249" t="str">
        <f ca="1">+'I-4 History'!B88</f>
        <v>DA-10</v>
      </c>
      <c r="C88" s="14" t="str">
        <f ca="1">+'I-4 History'!C88</f>
        <v>Regulatory Compliance</v>
      </c>
      <c r="D88" s="11"/>
      <c r="E88" s="11"/>
      <c r="F88" s="11"/>
      <c r="G88" s="11"/>
      <c r="H88" s="11"/>
      <c r="I88" s="11"/>
      <c r="J88" s="11"/>
      <c r="K88" s="11"/>
      <c r="L88" s="11"/>
      <c r="M88" s="507"/>
      <c r="N88" s="11"/>
      <c r="O88" s="11"/>
      <c r="P88" s="11"/>
      <c r="Q88" s="11"/>
      <c r="R88" s="11"/>
      <c r="S88" s="11"/>
    </row>
    <row r="89" spans="1:19">
      <c r="A89" s="5"/>
      <c r="B89" s="249"/>
      <c r="C89" s="13" t="s">
        <v>68</v>
      </c>
      <c r="D89" s="312">
        <f>'I-4 History'!D89</f>
        <v>0</v>
      </c>
      <c r="E89" s="312">
        <f>'I-4 History'!E89</f>
        <v>0</v>
      </c>
      <c r="F89" s="312">
        <f>'I-4 History'!F89</f>
        <v>0</v>
      </c>
      <c r="G89" s="312">
        <f>'I-4 History'!G89</f>
        <v>0</v>
      </c>
      <c r="H89" s="312">
        <f>'I-4 History'!H89</f>
        <v>0</v>
      </c>
      <c r="I89" s="312">
        <f>'I-4 History'!I89</f>
        <v>0</v>
      </c>
      <c r="J89" s="312">
        <f>'I-4 History'!J89</f>
        <v>0</v>
      </c>
      <c r="K89" s="312">
        <f>'I-4 History'!K89</f>
        <v>0</v>
      </c>
      <c r="L89" s="310">
        <f ca="1">'DA-10'!B$64</f>
        <v>0</v>
      </c>
      <c r="M89" s="835">
        <f ca="1">'DA-10'!C$64</f>
        <v>0</v>
      </c>
      <c r="N89" s="312">
        <f ca="1">'DA-10'!D$64</f>
        <v>3.0390000000000001</v>
      </c>
      <c r="O89" s="310">
        <f ca="1">'DA-10'!E$64</f>
        <v>3.1371463050199706</v>
      </c>
      <c r="P89" s="310">
        <f ca="1">'DA-10'!F$64</f>
        <v>3.2356355396380021</v>
      </c>
      <c r="Q89" s="310">
        <f ca="1">'DA-10'!G$64</f>
        <v>3.3403811434376727</v>
      </c>
      <c r="R89" s="310">
        <f ca="1">'DA-10'!H$64</f>
        <v>3.4509472203246618</v>
      </c>
      <c r="S89" s="310">
        <f ca="1">'DA-10'!I$64</f>
        <v>3.5618042107471286</v>
      </c>
    </row>
    <row r="90" spans="1:19">
      <c r="A90" s="5"/>
      <c r="B90" s="249"/>
      <c r="C90" s="13" t="s">
        <v>69</v>
      </c>
      <c r="D90" s="312">
        <f>'I-4 History'!D90</f>
        <v>0</v>
      </c>
      <c r="E90" s="312">
        <f>'I-4 History'!E90</f>
        <v>0</v>
      </c>
      <c r="F90" s="312">
        <f>'I-4 History'!F90</f>
        <v>0</v>
      </c>
      <c r="G90" s="312">
        <f>'I-4 History'!G90</f>
        <v>0</v>
      </c>
      <c r="H90" s="312">
        <f>'I-4 History'!H90</f>
        <v>0</v>
      </c>
      <c r="I90" s="312">
        <f>'I-4 History'!I90</f>
        <v>0</v>
      </c>
      <c r="J90" s="312">
        <f>'I-4 History'!J90</f>
        <v>0</v>
      </c>
      <c r="K90" s="312">
        <f>'I-4 History'!K90</f>
        <v>0</v>
      </c>
      <c r="L90" s="310">
        <f ca="1">'DA-10'!B$65</f>
        <v>0</v>
      </c>
      <c r="M90" s="835">
        <f ca="1">'DA-10'!C$65</f>
        <v>0</v>
      </c>
      <c r="N90" s="312">
        <f ca="1">'DA-10'!D$65</f>
        <v>5.1999999999999998E-2</v>
      </c>
      <c r="O90" s="310">
        <f ca="1">'DA-10'!E$65</f>
        <v>5.2551717830624227E-2</v>
      </c>
      <c r="P90" s="310">
        <f ca="1">'DA-10'!F$65</f>
        <v>5.3062931746427809E-2</v>
      </c>
      <c r="Q90" s="310">
        <f ca="1">'DA-10'!G$65</f>
        <v>5.3568261025563065E-2</v>
      </c>
      <c r="R90" s="310">
        <f ca="1">'DA-10'!H$65</f>
        <v>5.4116502707643774E-2</v>
      </c>
      <c r="S90" s="310">
        <f ca="1">'DA-10'!I$65</f>
        <v>5.4618696191488007E-2</v>
      </c>
    </row>
    <row r="91" spans="1:19" s="759" customFormat="1">
      <c r="A91" s="5"/>
      <c r="B91" s="249"/>
      <c r="C91" s="13" t="s">
        <v>646</v>
      </c>
      <c r="D91" s="312">
        <f>'I-4 History'!D91</f>
        <v>0</v>
      </c>
      <c r="E91" s="312">
        <f>'I-4 History'!E91</f>
        <v>0</v>
      </c>
      <c r="F91" s="312">
        <f>'I-4 History'!F91</f>
        <v>0</v>
      </c>
      <c r="G91" s="312">
        <f>'I-4 History'!G91</f>
        <v>0</v>
      </c>
      <c r="H91" s="312">
        <f>'I-4 History'!H91</f>
        <v>0</v>
      </c>
      <c r="I91" s="312">
        <f>'I-4 History'!I91</f>
        <v>0</v>
      </c>
      <c r="J91" s="312">
        <f>'I-4 History'!J91</f>
        <v>0</v>
      </c>
      <c r="K91" s="312">
        <f>'I-4 History'!K91</f>
        <v>0</v>
      </c>
      <c r="L91" s="310">
        <f ca="1">'DA-10'!B$66</f>
        <v>0</v>
      </c>
      <c r="M91" s="835">
        <f ca="1">'DA-10'!C$66</f>
        <v>0</v>
      </c>
      <c r="N91" s="312">
        <f ca="1">'DA-10'!D$66</f>
        <v>1E-3</v>
      </c>
      <c r="O91" s="310">
        <f ca="1">'DA-10'!E$66</f>
        <v>1.0156630080726413E-3</v>
      </c>
      <c r="P91" s="310">
        <f ca="1">'DA-10'!F$66</f>
        <v>1.0306709160997258E-3</v>
      </c>
      <c r="Q91" s="310">
        <f ca="1">'DA-10'!G$66</f>
        <v>1.0498505843831811E-3</v>
      </c>
      <c r="R91" s="310">
        <f ca="1">'DA-10'!H$66</f>
        <v>1.0717314774492531E-3</v>
      </c>
      <c r="S91" s="310">
        <f ca="1">'DA-10'!I$66</f>
        <v>1.0951979562577052E-3</v>
      </c>
    </row>
    <row r="92" spans="1:19">
      <c r="A92" s="5"/>
      <c r="B92" s="249"/>
      <c r="C92" s="13" t="s">
        <v>647</v>
      </c>
      <c r="D92" s="312">
        <f>'I-4 History'!D92</f>
        <v>0</v>
      </c>
      <c r="E92" s="312">
        <f>'I-4 History'!E92</f>
        <v>0</v>
      </c>
      <c r="F92" s="312">
        <f>'I-4 History'!F92</f>
        <v>0</v>
      </c>
      <c r="G92" s="312">
        <f>'I-4 History'!G92</f>
        <v>0</v>
      </c>
      <c r="H92" s="312">
        <f>'I-4 History'!H92</f>
        <v>0</v>
      </c>
      <c r="I92" s="312">
        <f>'I-4 History'!I92</f>
        <v>0</v>
      </c>
      <c r="J92" s="312">
        <f>'I-4 History'!J92</f>
        <v>0</v>
      </c>
      <c r="K92" s="312">
        <f>'I-4 History'!K92</f>
        <v>0</v>
      </c>
      <c r="L92" s="310">
        <f ca="1">'DA-10'!B$67</f>
        <v>0</v>
      </c>
      <c r="M92" s="835">
        <f ca="1">'DA-10'!C$67</f>
        <v>0</v>
      </c>
      <c r="N92" s="312">
        <f ca="1">'DA-10'!D$67</f>
        <v>0.34400000000000003</v>
      </c>
      <c r="O92" s="310">
        <f ca="1">'DA-10'!E$67</f>
        <v>0.34938807477698858</v>
      </c>
      <c r="P92" s="310">
        <f ca="1">'DA-10'!F$67</f>
        <v>0.35455079513830567</v>
      </c>
      <c r="Q92" s="310">
        <f ca="1">'DA-10'!G$67</f>
        <v>0.36114860102781432</v>
      </c>
      <c r="R92" s="310">
        <f ca="1">'DA-10'!H$67</f>
        <v>0.36867562824254313</v>
      </c>
      <c r="S92" s="310">
        <f ca="1">'DA-10'!I$67</f>
        <v>0.37674809695265066</v>
      </c>
    </row>
    <row r="93" spans="1:19" s="759" customFormat="1">
      <c r="A93" s="5"/>
      <c r="B93" s="249"/>
      <c r="C93" s="13" t="s">
        <v>575</v>
      </c>
      <c r="D93" s="312">
        <f>'I-4 History'!D93</f>
        <v>0</v>
      </c>
      <c r="E93" s="312">
        <f>'I-4 History'!E93</f>
        <v>0</v>
      </c>
      <c r="F93" s="312">
        <f>'I-4 History'!F93</f>
        <v>0</v>
      </c>
      <c r="G93" s="312">
        <f>'I-4 History'!G93</f>
        <v>0</v>
      </c>
      <c r="H93" s="312">
        <f>'I-4 History'!H93</f>
        <v>0</v>
      </c>
      <c r="I93" s="312">
        <f>'I-4 History'!I93</f>
        <v>0</v>
      </c>
      <c r="J93" s="312">
        <f>'I-4 History'!J93</f>
        <v>0</v>
      </c>
      <c r="K93" s="312">
        <f>'I-4 History'!K93</f>
        <v>0</v>
      </c>
      <c r="L93" s="310">
        <f ca="1">'DA-10'!B$68</f>
        <v>0</v>
      </c>
      <c r="M93" s="835">
        <f ca="1">'DA-10'!C$68</f>
        <v>0</v>
      </c>
      <c r="N93" s="312">
        <f ca="1">'DA-10'!D$68</f>
        <v>0.24099999999999999</v>
      </c>
      <c r="O93" s="310">
        <f ca="1">'DA-10'!E$68</f>
        <v>0.24878323774590749</v>
      </c>
      <c r="P93" s="310">
        <f ca="1">'DA-10'!F$68</f>
        <v>0.25659367063269445</v>
      </c>
      <c r="Q93" s="310">
        <f ca="1">'DA-10'!G$68</f>
        <v>0.26490024862404704</v>
      </c>
      <c r="R93" s="310">
        <f ca="1">'DA-10'!H$68</f>
        <v>0.27366840411261717</v>
      </c>
      <c r="S93" s="310">
        <f ca="1">'DA-10'!I$68</f>
        <v>0.28245962974335564</v>
      </c>
    </row>
    <row r="94" spans="1:19">
      <c r="A94" s="5"/>
      <c r="B94" s="249"/>
      <c r="C94" s="13" t="s">
        <v>70</v>
      </c>
      <c r="D94" s="312">
        <f>'I-4 History'!D94</f>
        <v>0</v>
      </c>
      <c r="E94" s="312">
        <f>'I-4 History'!E94</f>
        <v>0</v>
      </c>
      <c r="F94" s="312">
        <f>'I-4 History'!F94</f>
        <v>0</v>
      </c>
      <c r="G94" s="312">
        <f>'I-4 History'!G94</f>
        <v>0</v>
      </c>
      <c r="H94" s="312">
        <f>'I-4 History'!H94</f>
        <v>0</v>
      </c>
      <c r="I94" s="312">
        <f>'I-4 History'!I94</f>
        <v>0</v>
      </c>
      <c r="J94" s="312">
        <f>'I-4 History'!J94</f>
        <v>0</v>
      </c>
      <c r="K94" s="312">
        <f>'I-4 History'!K94</f>
        <v>0</v>
      </c>
      <c r="L94" s="310">
        <f ca="1">'DA-10'!B$69</f>
        <v>0</v>
      </c>
      <c r="M94" s="835">
        <f ca="1">'DA-10'!C$69</f>
        <v>0</v>
      </c>
      <c r="N94" s="312">
        <f ca="1">'DA-10'!D$69</f>
        <v>0</v>
      </c>
      <c r="O94" s="310">
        <f ca="1">'DA-10'!E$69</f>
        <v>0</v>
      </c>
      <c r="P94" s="310">
        <f ca="1">'DA-10'!F$69</f>
        <v>0</v>
      </c>
      <c r="Q94" s="310">
        <f ca="1">'DA-10'!G$69</f>
        <v>0</v>
      </c>
      <c r="R94" s="310">
        <f ca="1">'DA-10'!H$69</f>
        <v>0</v>
      </c>
      <c r="S94" s="310">
        <f ca="1">'DA-10'!I$69</f>
        <v>0</v>
      </c>
    </row>
    <row r="95" spans="1:19">
      <c r="A95" s="5"/>
      <c r="B95" s="249"/>
      <c r="C95" s="12" t="s">
        <v>75</v>
      </c>
      <c r="D95" s="313">
        <f t="shared" ref="D95:L95" si="18">SUBTOTAL(9,D89:D94)</f>
        <v>0</v>
      </c>
      <c r="E95" s="311">
        <f t="shared" si="18"/>
        <v>0</v>
      </c>
      <c r="F95" s="311">
        <f t="shared" si="18"/>
        <v>0</v>
      </c>
      <c r="G95" s="311">
        <f t="shared" si="18"/>
        <v>0</v>
      </c>
      <c r="H95" s="311">
        <f t="shared" si="18"/>
        <v>0</v>
      </c>
      <c r="I95" s="311">
        <f t="shared" si="18"/>
        <v>0</v>
      </c>
      <c r="J95" s="311">
        <f t="shared" si="18"/>
        <v>0</v>
      </c>
      <c r="K95" s="311">
        <f t="shared" si="18"/>
        <v>0</v>
      </c>
      <c r="L95" s="311">
        <f t="shared" ca="1" si="18"/>
        <v>0</v>
      </c>
      <c r="M95" s="513">
        <f t="shared" ref="M95:S95" ca="1" si="19">SUBTOTAL(9,M89:M94)</f>
        <v>0</v>
      </c>
      <c r="N95" s="313">
        <f t="shared" ca="1" si="19"/>
        <v>3.677</v>
      </c>
      <c r="O95" s="311">
        <f t="shared" ca="1" si="19"/>
        <v>3.7888849983815631</v>
      </c>
      <c r="P95" s="311">
        <f t="shared" ca="1" si="19"/>
        <v>3.9008736080715294</v>
      </c>
      <c r="Q95" s="311">
        <f t="shared" ca="1" si="19"/>
        <v>4.0210481046994797</v>
      </c>
      <c r="R95" s="311">
        <f t="shared" ca="1" si="19"/>
        <v>4.1484794868649146</v>
      </c>
      <c r="S95" s="311">
        <f t="shared" ca="1" si="19"/>
        <v>4.2767258315908805</v>
      </c>
    </row>
    <row r="96" spans="1:19">
      <c r="A96" s="5"/>
      <c r="B96" s="249"/>
      <c r="C96" s="12"/>
      <c r="D96" s="264"/>
      <c r="E96" s="264"/>
      <c r="F96" s="264"/>
      <c r="G96" s="264"/>
      <c r="H96" s="264"/>
      <c r="I96" s="264"/>
      <c r="J96" s="264"/>
      <c r="K96" s="264"/>
      <c r="L96" s="264"/>
      <c r="M96" s="837"/>
      <c r="N96" s="264"/>
      <c r="O96" s="264"/>
      <c r="P96" s="264"/>
      <c r="Q96" s="264"/>
      <c r="R96" s="264"/>
      <c r="S96" s="264"/>
    </row>
    <row r="97" spans="1:19" ht="13.5" thickBot="1">
      <c r="A97" s="5"/>
      <c r="B97" s="250"/>
      <c r="C97" s="269" t="s">
        <v>270</v>
      </c>
      <c r="D97" s="267">
        <f t="shared" ref="D97:S97" si="20">SUBTOTAL(9,D7:D95)</f>
        <v>0</v>
      </c>
      <c r="E97" s="267">
        <f t="shared" si="20"/>
        <v>0</v>
      </c>
      <c r="F97" s="267">
        <f t="shared" si="20"/>
        <v>0</v>
      </c>
      <c r="G97" s="267">
        <f t="shared" si="20"/>
        <v>0</v>
      </c>
      <c r="H97" s="267">
        <f t="shared" si="20"/>
        <v>0</v>
      </c>
      <c r="I97" s="267">
        <f t="shared" si="20"/>
        <v>0</v>
      </c>
      <c r="J97" s="267">
        <f t="shared" si="20"/>
        <v>0</v>
      </c>
      <c r="K97" s="267">
        <f t="shared" si="20"/>
        <v>0</v>
      </c>
      <c r="L97" s="267">
        <f t="shared" ca="1" si="20"/>
        <v>0</v>
      </c>
      <c r="M97" s="838">
        <f t="shared" ca="1" si="20"/>
        <v>0</v>
      </c>
      <c r="N97" s="267">
        <f t="shared" ca="1" si="20"/>
        <v>30.520879041559702</v>
      </c>
      <c r="O97" s="267">
        <f t="shared" ca="1" si="20"/>
        <v>30.954423308252114</v>
      </c>
      <c r="P97" s="267">
        <f t="shared" ca="1" si="20"/>
        <v>38.658939478867417</v>
      </c>
      <c r="Q97" s="267">
        <f t="shared" ca="1" si="20"/>
        <v>34.791424865587999</v>
      </c>
      <c r="R97" s="267">
        <f t="shared" ca="1" si="20"/>
        <v>35.72985923495613</v>
      </c>
      <c r="S97" s="267">
        <f t="shared" ca="1" si="20"/>
        <v>36.677112495546631</v>
      </c>
    </row>
    <row r="98" spans="1:19" ht="18">
      <c r="A98" s="5"/>
      <c r="B98" s="252"/>
      <c r="C98" s="248" t="s">
        <v>168</v>
      </c>
      <c r="D98" s="265"/>
      <c r="E98" s="265"/>
      <c r="F98" s="265"/>
      <c r="G98" s="265"/>
      <c r="H98" s="265"/>
      <c r="I98" s="265"/>
      <c r="J98" s="265"/>
      <c r="K98" s="265"/>
      <c r="L98" s="265"/>
      <c r="M98" s="839"/>
      <c r="N98" s="265"/>
      <c r="O98" s="265"/>
      <c r="P98" s="265"/>
      <c r="Q98" s="265"/>
      <c r="R98" s="265"/>
      <c r="S98" s="265"/>
    </row>
    <row r="99" spans="1:19">
      <c r="A99" s="5"/>
      <c r="B99" s="249" t="str">
        <f ca="1">+'I-4 History'!B97</f>
        <v>DA-11</v>
      </c>
      <c r="C99" s="14" t="str">
        <f ca="1">+'I-4 History'!C97</f>
        <v>Outage Management System</v>
      </c>
      <c r="D99" s="11"/>
      <c r="E99" s="11"/>
      <c r="F99" s="11"/>
      <c r="G99" s="11"/>
      <c r="H99" s="11"/>
      <c r="I99" s="11"/>
      <c r="J99" s="11"/>
      <c r="K99" s="11"/>
      <c r="L99" s="11"/>
      <c r="M99" s="507"/>
      <c r="N99" s="11"/>
      <c r="O99" s="11"/>
      <c r="P99" s="11"/>
      <c r="Q99" s="11"/>
      <c r="R99" s="11"/>
      <c r="S99" s="11"/>
    </row>
    <row r="100" spans="1:19">
      <c r="A100" s="5"/>
      <c r="B100" s="249"/>
      <c r="C100" s="13" t="s">
        <v>68</v>
      </c>
      <c r="D100" s="312">
        <f>'I-4 History'!D98</f>
        <v>0</v>
      </c>
      <c r="E100" s="312">
        <f>'I-4 History'!E98</f>
        <v>0</v>
      </c>
      <c r="F100" s="312">
        <f>'I-4 History'!F98</f>
        <v>0</v>
      </c>
      <c r="G100" s="312">
        <f>'I-4 History'!G98</f>
        <v>0</v>
      </c>
      <c r="H100" s="312">
        <f>'I-4 History'!H98</f>
        <v>0</v>
      </c>
      <c r="I100" s="312">
        <f>'I-4 History'!I98</f>
        <v>0</v>
      </c>
      <c r="J100" s="312">
        <f>'I-4 History'!J98</f>
        <v>0</v>
      </c>
      <c r="K100" s="312">
        <f>'I-4 History'!K98</f>
        <v>0</v>
      </c>
      <c r="L100" s="310">
        <f ca="1">'DA-11'!B$64</f>
        <v>0</v>
      </c>
      <c r="M100" s="835">
        <f ca="1">'DA-11'!C$64</f>
        <v>0</v>
      </c>
      <c r="N100" s="312">
        <f ca="1">'DA-11'!D$64</f>
        <v>0.29499999999999998</v>
      </c>
      <c r="O100" s="310">
        <f ca="1">'DA-11'!E$64</f>
        <v>0.30452719973046771</v>
      </c>
      <c r="P100" s="310">
        <f ca="1">'DA-11'!F$64</f>
        <v>0.31408768811885829</v>
      </c>
      <c r="Q100" s="310">
        <f ca="1">'DA-11'!G$64</f>
        <v>0.32425549105433144</v>
      </c>
      <c r="R100" s="310">
        <f ca="1">'DA-11'!H$64</f>
        <v>0.33498829549054798</v>
      </c>
      <c r="S100" s="310">
        <f ca="1">'DA-11'!I$64</f>
        <v>0.34574933931240631</v>
      </c>
    </row>
    <row r="101" spans="1:19">
      <c r="B101" s="249"/>
      <c r="C101" s="13" t="s">
        <v>69</v>
      </c>
      <c r="D101" s="312">
        <f>'I-4 History'!D99</f>
        <v>0</v>
      </c>
      <c r="E101" s="312">
        <f>'I-4 History'!E99</f>
        <v>0</v>
      </c>
      <c r="F101" s="312">
        <f>'I-4 History'!F99</f>
        <v>0</v>
      </c>
      <c r="G101" s="312">
        <f>'I-4 History'!G99</f>
        <v>0</v>
      </c>
      <c r="H101" s="312">
        <f>'I-4 History'!H99</f>
        <v>0</v>
      </c>
      <c r="I101" s="312">
        <f>'I-4 History'!I99</f>
        <v>0</v>
      </c>
      <c r="J101" s="312">
        <f>'I-4 History'!J99</f>
        <v>0</v>
      </c>
      <c r="K101" s="312">
        <f>'I-4 History'!K99</f>
        <v>0</v>
      </c>
      <c r="L101" s="310">
        <f ca="1">'DA-11'!B$65</f>
        <v>0</v>
      </c>
      <c r="M101" s="835">
        <f ca="1">'DA-11'!C$65</f>
        <v>0</v>
      </c>
      <c r="N101" s="312">
        <f ca="1">'DA-11'!D$65</f>
        <v>0</v>
      </c>
      <c r="O101" s="310">
        <f ca="1">'DA-11'!E$65</f>
        <v>0</v>
      </c>
      <c r="P101" s="310">
        <f ca="1">'DA-11'!F$65</f>
        <v>0</v>
      </c>
      <c r="Q101" s="310">
        <f ca="1">'DA-11'!G$65</f>
        <v>0</v>
      </c>
      <c r="R101" s="310">
        <f ca="1">'DA-11'!H$65</f>
        <v>0</v>
      </c>
      <c r="S101" s="310">
        <f ca="1">'DA-11'!I$65</f>
        <v>0</v>
      </c>
    </row>
    <row r="102" spans="1:19" s="759" customFormat="1">
      <c r="B102" s="249"/>
      <c r="C102" s="13" t="s">
        <v>646</v>
      </c>
      <c r="D102" s="312">
        <f>'I-4 History'!D100</f>
        <v>0</v>
      </c>
      <c r="E102" s="312">
        <f>'I-4 History'!E100</f>
        <v>0</v>
      </c>
      <c r="F102" s="312">
        <f>'I-4 History'!F100</f>
        <v>0</v>
      </c>
      <c r="G102" s="312">
        <f>'I-4 History'!G100</f>
        <v>0</v>
      </c>
      <c r="H102" s="312">
        <f>'I-4 History'!H100</f>
        <v>0</v>
      </c>
      <c r="I102" s="312">
        <f>'I-4 History'!I100</f>
        <v>0</v>
      </c>
      <c r="J102" s="312">
        <f>'I-4 History'!J100</f>
        <v>0</v>
      </c>
      <c r="K102" s="312">
        <f>'I-4 History'!K100</f>
        <v>0</v>
      </c>
      <c r="L102" s="310">
        <f ca="1">'DA-11'!B$66</f>
        <v>0</v>
      </c>
      <c r="M102" s="835">
        <f ca="1">'DA-11'!C$66</f>
        <v>0</v>
      </c>
      <c r="N102" s="312">
        <f ca="1">'DA-11'!D$66</f>
        <v>0</v>
      </c>
      <c r="O102" s="310">
        <f ca="1">'DA-11'!E$66</f>
        <v>0</v>
      </c>
      <c r="P102" s="310">
        <f ca="1">'DA-11'!F$66</f>
        <v>0</v>
      </c>
      <c r="Q102" s="310">
        <f ca="1">'DA-11'!G$66</f>
        <v>0</v>
      </c>
      <c r="R102" s="310">
        <f ca="1">'DA-11'!H$66</f>
        <v>0</v>
      </c>
      <c r="S102" s="310">
        <f ca="1">'DA-11'!I$66</f>
        <v>0</v>
      </c>
    </row>
    <row r="103" spans="1:19">
      <c r="B103" s="249"/>
      <c r="C103" s="13" t="s">
        <v>647</v>
      </c>
      <c r="D103" s="312">
        <f>'I-4 History'!D101</f>
        <v>0</v>
      </c>
      <c r="E103" s="312">
        <f>'I-4 History'!E101</f>
        <v>0</v>
      </c>
      <c r="F103" s="312">
        <f>'I-4 History'!F101</f>
        <v>0</v>
      </c>
      <c r="G103" s="312">
        <f>'I-4 History'!G101</f>
        <v>0</v>
      </c>
      <c r="H103" s="312">
        <f>'I-4 History'!H101</f>
        <v>0</v>
      </c>
      <c r="I103" s="312">
        <f>'I-4 History'!I101</f>
        <v>0</v>
      </c>
      <c r="J103" s="312">
        <f>'I-4 History'!J101</f>
        <v>0</v>
      </c>
      <c r="K103" s="312">
        <f>'I-4 History'!K101</f>
        <v>0</v>
      </c>
      <c r="L103" s="310">
        <f ca="1">'DA-11'!B$67</f>
        <v>0</v>
      </c>
      <c r="M103" s="835">
        <f ca="1">'DA-11'!C$67</f>
        <v>0</v>
      </c>
      <c r="N103" s="312">
        <f ca="1">'DA-11'!D$67</f>
        <v>0.69799999999999995</v>
      </c>
      <c r="O103" s="310">
        <f ca="1">'DA-11'!E$67</f>
        <v>0.70893277963470358</v>
      </c>
      <c r="P103" s="310">
        <f ca="1">'DA-11'!F$67</f>
        <v>0.71940829943760853</v>
      </c>
      <c r="Q103" s="310">
        <f ca="1">'DA-11'!G$67</f>
        <v>0.73279570789946025</v>
      </c>
      <c r="R103" s="310">
        <f ca="1">'DA-11'!H$67</f>
        <v>0.7480685712595786</v>
      </c>
      <c r="S103" s="310">
        <f ca="1">'DA-11'!I$67</f>
        <v>0.76444817346787819</v>
      </c>
    </row>
    <row r="104" spans="1:19" s="759" customFormat="1">
      <c r="B104" s="249"/>
      <c r="C104" s="13" t="s">
        <v>575</v>
      </c>
      <c r="D104" s="312">
        <f>'I-4 History'!D102</f>
        <v>0</v>
      </c>
      <c r="E104" s="312">
        <f>'I-4 History'!E102</f>
        <v>0</v>
      </c>
      <c r="F104" s="312">
        <f>'I-4 History'!F102</f>
        <v>0</v>
      </c>
      <c r="G104" s="312">
        <f>'I-4 History'!G102</f>
        <v>0</v>
      </c>
      <c r="H104" s="312">
        <f>'I-4 History'!H102</f>
        <v>0</v>
      </c>
      <c r="I104" s="312">
        <f>'I-4 History'!I102</f>
        <v>0</v>
      </c>
      <c r="J104" s="312">
        <f>'I-4 History'!J102</f>
        <v>0</v>
      </c>
      <c r="K104" s="312">
        <f>'I-4 History'!K102</f>
        <v>0</v>
      </c>
      <c r="L104" s="310">
        <f ca="1">'DA-11'!B$68</f>
        <v>0</v>
      </c>
      <c r="M104" s="835">
        <f ca="1">'DA-11'!C$68</f>
        <v>0</v>
      </c>
      <c r="N104" s="312">
        <f ca="1">'DA-11'!D$68</f>
        <v>3.3000000000000002E-2</v>
      </c>
      <c r="O104" s="310">
        <f ca="1">'DA-11'!E$68</f>
        <v>3.4065754546120118E-2</v>
      </c>
      <c r="P104" s="310">
        <f ca="1">'DA-11'!F$68</f>
        <v>3.5135232908211279E-2</v>
      </c>
      <c r="Q104" s="310">
        <f ca="1">'DA-11'!G$68</f>
        <v>3.6272648151840475E-2</v>
      </c>
      <c r="R104" s="310">
        <f ca="1">'DA-11'!H$68</f>
        <v>3.7473266953179943E-2</v>
      </c>
      <c r="S104" s="310">
        <f ca="1">'DA-11'!I$68</f>
        <v>3.8677044736642067E-2</v>
      </c>
    </row>
    <row r="105" spans="1:19">
      <c r="B105" s="249"/>
      <c r="C105" s="13" t="s">
        <v>70</v>
      </c>
      <c r="D105" s="312">
        <f>'I-4 History'!D103</f>
        <v>0</v>
      </c>
      <c r="E105" s="312">
        <f>'I-4 History'!E103</f>
        <v>0</v>
      </c>
      <c r="F105" s="312">
        <f>'I-4 History'!F103</f>
        <v>0</v>
      </c>
      <c r="G105" s="312">
        <f>'I-4 History'!G103</f>
        <v>0</v>
      </c>
      <c r="H105" s="312">
        <f>'I-4 History'!H103</f>
        <v>0</v>
      </c>
      <c r="I105" s="312">
        <f>'I-4 History'!I103</f>
        <v>0</v>
      </c>
      <c r="J105" s="312">
        <f>'I-4 History'!J103</f>
        <v>0</v>
      </c>
      <c r="K105" s="312">
        <f>'I-4 History'!K103</f>
        <v>0</v>
      </c>
      <c r="L105" s="310">
        <f ca="1">'DA-11'!B$69</f>
        <v>0</v>
      </c>
      <c r="M105" s="835">
        <f ca="1">'DA-11'!C$69</f>
        <v>0</v>
      </c>
      <c r="N105" s="312">
        <f ca="1">'DA-11'!D$69</f>
        <v>0</v>
      </c>
      <c r="O105" s="310">
        <f ca="1">'DA-11'!E$69</f>
        <v>0</v>
      </c>
      <c r="P105" s="310">
        <f ca="1">'DA-11'!F$69</f>
        <v>0</v>
      </c>
      <c r="Q105" s="310">
        <f ca="1">'DA-11'!G$69</f>
        <v>0</v>
      </c>
      <c r="R105" s="310">
        <f ca="1">'DA-11'!H$69</f>
        <v>0</v>
      </c>
      <c r="S105" s="310">
        <f ca="1">'DA-11'!I$69</f>
        <v>0</v>
      </c>
    </row>
    <row r="106" spans="1:19">
      <c r="B106" s="249"/>
      <c r="C106" s="12" t="s">
        <v>75</v>
      </c>
      <c r="D106" s="313">
        <f t="shared" ref="D106:K106" si="21">SUBTOTAL(9,D100:D105)</f>
        <v>0</v>
      </c>
      <c r="E106" s="311">
        <f t="shared" si="21"/>
        <v>0</v>
      </c>
      <c r="F106" s="311">
        <f t="shared" si="21"/>
        <v>0</v>
      </c>
      <c r="G106" s="311">
        <f t="shared" si="21"/>
        <v>0</v>
      </c>
      <c r="H106" s="311">
        <f t="shared" si="21"/>
        <v>0</v>
      </c>
      <c r="I106" s="311">
        <f t="shared" si="21"/>
        <v>0</v>
      </c>
      <c r="J106" s="311">
        <f t="shared" si="21"/>
        <v>0</v>
      </c>
      <c r="K106" s="311">
        <f t="shared" si="21"/>
        <v>0</v>
      </c>
      <c r="L106" s="311">
        <f t="shared" ref="L106:S106" ca="1" si="22">SUBTOTAL(9,L100:L105)</f>
        <v>0</v>
      </c>
      <c r="M106" s="513">
        <f t="shared" ca="1" si="22"/>
        <v>0</v>
      </c>
      <c r="N106" s="313">
        <f t="shared" ca="1" si="22"/>
        <v>1.0259999999999998</v>
      </c>
      <c r="O106" s="311">
        <f t="shared" ca="1" si="22"/>
        <v>1.0475257339112913</v>
      </c>
      <c r="P106" s="311">
        <f t="shared" ca="1" si="22"/>
        <v>1.0686312204646782</v>
      </c>
      <c r="Q106" s="311">
        <f t="shared" ca="1" si="22"/>
        <v>1.0933238471056321</v>
      </c>
      <c r="R106" s="311">
        <f t="shared" ca="1" si="22"/>
        <v>1.1205301337033065</v>
      </c>
      <c r="S106" s="311">
        <f t="shared" ca="1" si="22"/>
        <v>1.1488745575169266</v>
      </c>
    </row>
    <row r="107" spans="1:19">
      <c r="B107" s="249"/>
      <c r="C107" s="12"/>
      <c r="D107" s="263"/>
      <c r="E107" s="263"/>
      <c r="F107" s="263"/>
      <c r="G107" s="263"/>
      <c r="H107" s="263"/>
      <c r="I107" s="263"/>
      <c r="J107" s="263"/>
      <c r="K107" s="263"/>
      <c r="L107" s="263"/>
      <c r="M107" s="836"/>
      <c r="N107" s="263"/>
      <c r="O107" s="263"/>
      <c r="P107" s="263"/>
      <c r="Q107" s="263"/>
      <c r="R107" s="263"/>
      <c r="S107" s="263"/>
    </row>
    <row r="108" spans="1:19">
      <c r="A108" s="5"/>
      <c r="B108" s="249" t="str">
        <f ca="1">+'I-4 History'!B106</f>
        <v>DA-12</v>
      </c>
      <c r="C108" s="14" t="str">
        <f ca="1">+'I-4 History'!C106</f>
        <v>Asset Assessment</v>
      </c>
      <c r="D108" s="11"/>
      <c r="E108" s="11"/>
      <c r="F108" s="11"/>
      <c r="G108" s="11"/>
      <c r="H108" s="11"/>
      <c r="I108" s="11"/>
      <c r="J108" s="11"/>
      <c r="K108" s="11"/>
      <c r="L108" s="11"/>
      <c r="M108" s="507"/>
      <c r="N108" s="11"/>
      <c r="O108" s="11"/>
      <c r="P108" s="11"/>
      <c r="Q108" s="11"/>
      <c r="R108" s="11"/>
      <c r="S108" s="11"/>
    </row>
    <row r="109" spans="1:19">
      <c r="B109" s="249"/>
      <c r="C109" s="13" t="s">
        <v>68</v>
      </c>
      <c r="D109" s="312">
        <f>'I-4 History'!D107</f>
        <v>0</v>
      </c>
      <c r="E109" s="312">
        <f>'I-4 History'!E107</f>
        <v>0</v>
      </c>
      <c r="F109" s="312">
        <f>'I-4 History'!F107</f>
        <v>0</v>
      </c>
      <c r="G109" s="312">
        <f>'I-4 History'!G107</f>
        <v>0</v>
      </c>
      <c r="H109" s="312">
        <f>'I-4 History'!H107</f>
        <v>0</v>
      </c>
      <c r="I109" s="312">
        <f>'I-4 History'!I107</f>
        <v>0</v>
      </c>
      <c r="J109" s="312">
        <f>'I-4 History'!J107</f>
        <v>0</v>
      </c>
      <c r="K109" s="312">
        <f>'I-4 History'!K107</f>
        <v>0</v>
      </c>
      <c r="L109" s="310">
        <f ca="1">'DA-12'!B$64</f>
        <v>0</v>
      </c>
      <c r="M109" s="835">
        <f ca="1">'DA-12'!C$64</f>
        <v>0</v>
      </c>
      <c r="N109" s="312">
        <f ca="1">'DA-12'!D$64</f>
        <v>2.4209999999999998</v>
      </c>
      <c r="O109" s="310">
        <f ca="1">'DA-12'!E$64</f>
        <v>2.6041876289744481</v>
      </c>
      <c r="P109" s="310">
        <f ca="1">'DA-12'!F$64</f>
        <v>2.6956484506296814</v>
      </c>
      <c r="Q109" s="310">
        <f ca="1">'DA-12'!G$64</f>
        <v>2.7830933689577506</v>
      </c>
      <c r="R109" s="310">
        <f ca="1">'DA-12'!H$64</f>
        <v>2.8721751301105645</v>
      </c>
      <c r="S109" s="310">
        <f ca="1">'DA-12'!I$64</f>
        <v>2.958488645679104</v>
      </c>
    </row>
    <row r="110" spans="1:19">
      <c r="B110" s="249"/>
      <c r="C110" s="13" t="s">
        <v>69</v>
      </c>
      <c r="D110" s="312">
        <f>'I-4 History'!D108</f>
        <v>0</v>
      </c>
      <c r="E110" s="312">
        <f>'I-4 History'!E108</f>
        <v>0</v>
      </c>
      <c r="F110" s="312">
        <f>'I-4 History'!F108</f>
        <v>0</v>
      </c>
      <c r="G110" s="312">
        <f>'I-4 History'!G108</f>
        <v>0</v>
      </c>
      <c r="H110" s="312">
        <f>'I-4 History'!H108</f>
        <v>0</v>
      </c>
      <c r="I110" s="312">
        <f>'I-4 History'!I108</f>
        <v>0</v>
      </c>
      <c r="J110" s="312">
        <f>'I-4 History'!J108</f>
        <v>0</v>
      </c>
      <c r="K110" s="312">
        <f>'I-4 History'!K108</f>
        <v>0</v>
      </c>
      <c r="L110" s="310">
        <f ca="1">'DA-12'!B$65</f>
        <v>0</v>
      </c>
      <c r="M110" s="835">
        <f ca="1">'DA-12'!C$65</f>
        <v>0</v>
      </c>
      <c r="N110" s="312">
        <f ca="1">'DA-12'!D$65</f>
        <v>5.8000000000000003E-2</v>
      </c>
      <c r="O110" s="310">
        <f ca="1">'DA-12'!E$65</f>
        <v>5.8615377580311642E-2</v>
      </c>
      <c r="P110" s="310">
        <f ca="1">'DA-12'!F$65</f>
        <v>5.9185577717169487E-2</v>
      </c>
      <c r="Q110" s="310">
        <f ca="1">'DA-12'!G$65</f>
        <v>5.974921422082035E-2</v>
      </c>
      <c r="R110" s="310">
        <f ca="1">'DA-12'!H$65</f>
        <v>6.0360714558525756E-2</v>
      </c>
      <c r="S110" s="310">
        <f ca="1">'DA-12'!I$65</f>
        <v>6.0920853444352011E-2</v>
      </c>
    </row>
    <row r="111" spans="1:19" s="759" customFormat="1">
      <c r="B111" s="249"/>
      <c r="C111" s="13" t="s">
        <v>646</v>
      </c>
      <c r="D111" s="312">
        <f>'I-4 History'!D109</f>
        <v>0</v>
      </c>
      <c r="E111" s="312">
        <f>'I-4 History'!E109</f>
        <v>0</v>
      </c>
      <c r="F111" s="312">
        <f>'I-4 History'!F109</f>
        <v>0</v>
      </c>
      <c r="G111" s="312">
        <f>'I-4 History'!G109</f>
        <v>0</v>
      </c>
      <c r="H111" s="312">
        <f>'I-4 History'!H109</f>
        <v>0</v>
      </c>
      <c r="I111" s="312">
        <f>'I-4 History'!I109</f>
        <v>0</v>
      </c>
      <c r="J111" s="312">
        <f>'I-4 History'!J109</f>
        <v>0</v>
      </c>
      <c r="K111" s="312">
        <f>'I-4 History'!K109</f>
        <v>0</v>
      </c>
      <c r="L111" s="310">
        <f ca="1">'DA-12'!B$66</f>
        <v>0</v>
      </c>
      <c r="M111" s="835">
        <f ca="1">'DA-12'!C$66</f>
        <v>0</v>
      </c>
      <c r="N111" s="312">
        <f ca="1">'DA-12'!D$66</f>
        <v>10.315</v>
      </c>
      <c r="O111" s="310">
        <f ca="1">'DA-12'!E$66</f>
        <v>15.529825808880824</v>
      </c>
      <c r="P111" s="310">
        <f ca="1">'DA-12'!F$66</f>
        <v>15.909305346289859</v>
      </c>
      <c r="Q111" s="310">
        <f ca="1">'DA-12'!G$66</f>
        <v>16.131830619151138</v>
      </c>
      <c r="R111" s="310">
        <f ca="1">'DA-12'!H$66</f>
        <v>16.340400587463357</v>
      </c>
      <c r="S111" s="310">
        <f ca="1">'DA-12'!I$66</f>
        <v>14.722910521019132</v>
      </c>
    </row>
    <row r="112" spans="1:19">
      <c r="B112" s="249"/>
      <c r="C112" s="13" t="s">
        <v>647</v>
      </c>
      <c r="D112" s="312">
        <f>'I-4 History'!D110</f>
        <v>0</v>
      </c>
      <c r="E112" s="312">
        <f>'I-4 History'!E110</f>
        <v>0</v>
      </c>
      <c r="F112" s="312">
        <f>'I-4 History'!F110</f>
        <v>0</v>
      </c>
      <c r="G112" s="312">
        <f>'I-4 History'!G110</f>
        <v>0</v>
      </c>
      <c r="H112" s="312">
        <f>'I-4 History'!H110</f>
        <v>0</v>
      </c>
      <c r="I112" s="312">
        <f>'I-4 History'!I110</f>
        <v>0</v>
      </c>
      <c r="J112" s="312">
        <f>'I-4 History'!J110</f>
        <v>0</v>
      </c>
      <c r="K112" s="312">
        <f>'I-4 History'!K110</f>
        <v>0</v>
      </c>
      <c r="L112" s="310">
        <f ca="1">'DA-12'!B$67</f>
        <v>0</v>
      </c>
      <c r="M112" s="835">
        <f ca="1">'DA-12'!C$67</f>
        <v>0</v>
      </c>
      <c r="N112" s="312">
        <f ca="1">'DA-12'!D$67</f>
        <v>0.30399999999999999</v>
      </c>
      <c r="O112" s="310">
        <f ca="1">'DA-12'!E$67</f>
        <v>0.33376155445408295</v>
      </c>
      <c r="P112" s="310">
        <f ca="1">'DA-12'!F$67</f>
        <v>0.33832395849431657</v>
      </c>
      <c r="Q112" s="310">
        <f ca="1">'DA-12'!G$67</f>
        <v>0.34415457765248703</v>
      </c>
      <c r="R112" s="310">
        <f ca="1">'DA-12'!H$67</f>
        <v>0.35080636914457297</v>
      </c>
      <c r="S112" s="310">
        <f ca="1">'DA-12'!I$67</f>
        <v>0.3579401787023424</v>
      </c>
    </row>
    <row r="113" spans="1:19" s="759" customFormat="1">
      <c r="B113" s="249"/>
      <c r="C113" s="13" t="s">
        <v>575</v>
      </c>
      <c r="D113" s="312">
        <f>'I-4 History'!D111</f>
        <v>0</v>
      </c>
      <c r="E113" s="312">
        <f>'I-4 History'!E111</f>
        <v>0</v>
      </c>
      <c r="F113" s="312">
        <f>'I-4 History'!F111</f>
        <v>0</v>
      </c>
      <c r="G113" s="312">
        <f>'I-4 History'!G111</f>
        <v>0</v>
      </c>
      <c r="H113" s="312">
        <f>'I-4 History'!H111</f>
        <v>0</v>
      </c>
      <c r="I113" s="312">
        <f>'I-4 History'!I111</f>
        <v>0</v>
      </c>
      <c r="J113" s="312">
        <f>'I-4 History'!J111</f>
        <v>0</v>
      </c>
      <c r="K113" s="312">
        <f>'I-4 History'!K111</f>
        <v>0</v>
      </c>
      <c r="L113" s="310">
        <f ca="1">'DA-12'!B$68</f>
        <v>0</v>
      </c>
      <c r="M113" s="835">
        <f ca="1">'DA-12'!C$68</f>
        <v>0</v>
      </c>
      <c r="N113" s="312">
        <f ca="1">'DA-12'!D$68</f>
        <v>1.026</v>
      </c>
      <c r="O113" s="310">
        <f ca="1">'DA-12'!E$68</f>
        <v>1.0591352777066436</v>
      </c>
      <c r="P113" s="310">
        <f ca="1">'DA-12'!F$68</f>
        <v>1.0923863322371141</v>
      </c>
      <c r="Q113" s="310">
        <f ca="1">'DA-12'!G$68</f>
        <v>1.1277496061754038</v>
      </c>
      <c r="R113" s="310">
        <f ca="1">'DA-12'!H$68</f>
        <v>1.1650779361806856</v>
      </c>
      <c r="S113" s="310">
        <f ca="1">'DA-12'!I$68</f>
        <v>1.2025044818119626</v>
      </c>
    </row>
    <row r="114" spans="1:19">
      <c r="B114" s="249"/>
      <c r="C114" s="13" t="s">
        <v>70</v>
      </c>
      <c r="D114" s="312">
        <f>'I-4 History'!D112</f>
        <v>0</v>
      </c>
      <c r="E114" s="312">
        <f>'I-4 History'!E112</f>
        <v>0</v>
      </c>
      <c r="F114" s="312">
        <f>'I-4 History'!F112</f>
        <v>0</v>
      </c>
      <c r="G114" s="312">
        <f>'I-4 History'!G112</f>
        <v>0</v>
      </c>
      <c r="H114" s="312">
        <f>'I-4 History'!H112</f>
        <v>0</v>
      </c>
      <c r="I114" s="312">
        <f>'I-4 History'!I112</f>
        <v>0</v>
      </c>
      <c r="J114" s="312">
        <f>'I-4 History'!J112</f>
        <v>0</v>
      </c>
      <c r="K114" s="312">
        <f>'I-4 History'!K112</f>
        <v>0</v>
      </c>
      <c r="L114" s="310">
        <f ca="1">'DA-12'!B$69</f>
        <v>0</v>
      </c>
      <c r="M114" s="835">
        <f ca="1">'DA-12'!C$69</f>
        <v>0</v>
      </c>
      <c r="N114" s="312">
        <f ca="1">'DA-12'!D$69</f>
        <v>0</v>
      </c>
      <c r="O114" s="310">
        <f ca="1">'DA-12'!E$69</f>
        <v>0</v>
      </c>
      <c r="P114" s="310">
        <f ca="1">'DA-12'!F$69</f>
        <v>0</v>
      </c>
      <c r="Q114" s="310">
        <f ca="1">'DA-12'!G$69</f>
        <v>0</v>
      </c>
      <c r="R114" s="310">
        <f ca="1">'DA-12'!H$69</f>
        <v>0</v>
      </c>
      <c r="S114" s="310">
        <f ca="1">'DA-12'!I$69</f>
        <v>0</v>
      </c>
    </row>
    <row r="115" spans="1:19">
      <c r="B115" s="249"/>
      <c r="C115" s="12" t="s">
        <v>75</v>
      </c>
      <c r="D115" s="313">
        <f t="shared" ref="D115:K115" si="23">SUBTOTAL(9,D109:D114)</f>
        <v>0</v>
      </c>
      <c r="E115" s="311">
        <f t="shared" si="23"/>
        <v>0</v>
      </c>
      <c r="F115" s="311">
        <f t="shared" si="23"/>
        <v>0</v>
      </c>
      <c r="G115" s="311">
        <f t="shared" si="23"/>
        <v>0</v>
      </c>
      <c r="H115" s="311">
        <f t="shared" si="23"/>
        <v>0</v>
      </c>
      <c r="I115" s="311">
        <f t="shared" si="23"/>
        <v>0</v>
      </c>
      <c r="J115" s="311">
        <f t="shared" si="23"/>
        <v>0</v>
      </c>
      <c r="K115" s="311">
        <f t="shared" si="23"/>
        <v>0</v>
      </c>
      <c r="L115" s="311">
        <f t="shared" ref="L115:S115" ca="1" si="24">SUBTOTAL(9,L109:L114)</f>
        <v>0</v>
      </c>
      <c r="M115" s="513">
        <f t="shared" ca="1" si="24"/>
        <v>0</v>
      </c>
      <c r="N115" s="313">
        <f t="shared" ca="1" si="24"/>
        <v>14.123999999999999</v>
      </c>
      <c r="O115" s="311">
        <f t="shared" ca="1" si="24"/>
        <v>19.58552564759631</v>
      </c>
      <c r="P115" s="311">
        <f t="shared" ca="1" si="24"/>
        <v>20.094849665368145</v>
      </c>
      <c r="Q115" s="311">
        <f t="shared" ca="1" si="24"/>
        <v>20.446577386157596</v>
      </c>
      <c r="R115" s="311">
        <f t="shared" ca="1" si="24"/>
        <v>20.788820737457705</v>
      </c>
      <c r="S115" s="311">
        <f t="shared" ca="1" si="24"/>
        <v>19.302764680656896</v>
      </c>
    </row>
    <row r="116" spans="1:19">
      <c r="B116" s="249"/>
      <c r="C116" s="12"/>
      <c r="D116" s="263"/>
      <c r="E116" s="263"/>
      <c r="F116" s="263"/>
      <c r="G116" s="263"/>
      <c r="H116" s="263"/>
      <c r="I116" s="263"/>
      <c r="J116" s="263"/>
      <c r="K116" s="263"/>
      <c r="L116" s="263"/>
      <c r="M116" s="836"/>
      <c r="N116" s="263"/>
      <c r="O116" s="263"/>
      <c r="P116" s="263"/>
      <c r="Q116" s="263"/>
      <c r="R116" s="263"/>
      <c r="S116" s="263"/>
    </row>
    <row r="117" spans="1:19">
      <c r="A117" s="5"/>
      <c r="B117" s="249" t="str">
        <f ca="1">+'I-4 History'!B115</f>
        <v>DA-13</v>
      </c>
      <c r="C117" s="14" t="str">
        <f ca="1">+'I-4 History'!C115</f>
        <v>Asset Maintenance</v>
      </c>
      <c r="D117" s="11"/>
      <c r="E117" s="11"/>
      <c r="F117" s="11"/>
      <c r="G117" s="11"/>
      <c r="H117" s="11"/>
      <c r="I117" s="11"/>
      <c r="J117" s="11"/>
      <c r="K117" s="11"/>
      <c r="L117" s="11"/>
      <c r="M117" s="507"/>
      <c r="N117" s="11"/>
      <c r="O117" s="11"/>
      <c r="P117" s="11"/>
      <c r="Q117" s="11"/>
      <c r="R117" s="11"/>
      <c r="S117" s="11"/>
    </row>
    <row r="118" spans="1:19">
      <c r="B118" s="249"/>
      <c r="C118" s="13" t="s">
        <v>68</v>
      </c>
      <c r="D118" s="312">
        <f>'I-4 History'!D116</f>
        <v>0</v>
      </c>
      <c r="E118" s="312">
        <f>'I-4 History'!E116</f>
        <v>0</v>
      </c>
      <c r="F118" s="312">
        <f>'I-4 History'!F116</f>
        <v>0</v>
      </c>
      <c r="G118" s="312">
        <f>'I-4 History'!G116</f>
        <v>0</v>
      </c>
      <c r="H118" s="312">
        <f>'I-4 History'!H116</f>
        <v>0</v>
      </c>
      <c r="I118" s="312">
        <f>'I-4 History'!I116</f>
        <v>0</v>
      </c>
      <c r="J118" s="312">
        <f>'I-4 History'!J116</f>
        <v>0</v>
      </c>
      <c r="K118" s="312">
        <f>'I-4 History'!K116</f>
        <v>0</v>
      </c>
      <c r="L118" s="310">
        <f ca="1">'DA-13'!B$64</f>
        <v>0</v>
      </c>
      <c r="M118" s="835">
        <f ca="1">'DA-13'!C$64</f>
        <v>0</v>
      </c>
      <c r="N118" s="312">
        <f ca="1">'DA-13'!D$64</f>
        <v>8.3899999999999988</v>
      </c>
      <c r="O118" s="310">
        <f ca="1">'DA-13'!E$64</f>
        <v>8.6609600194529612</v>
      </c>
      <c r="P118" s="310">
        <f ca="1">'DA-13'!F$64</f>
        <v>8.9328667909058357</v>
      </c>
      <c r="Q118" s="310">
        <f ca="1">'DA-13'!G$64</f>
        <v>9.2220459998164088</v>
      </c>
      <c r="R118" s="310">
        <f ca="1">'DA-13'!H$64</f>
        <v>9.5272942344599905</v>
      </c>
      <c r="S118" s="310">
        <f ca="1">'DA-13'!I$64</f>
        <v>9.8333456163765725</v>
      </c>
    </row>
    <row r="119" spans="1:19">
      <c r="B119" s="249"/>
      <c r="C119" s="13" t="s">
        <v>69</v>
      </c>
      <c r="D119" s="312">
        <f>'I-4 History'!D117</f>
        <v>0</v>
      </c>
      <c r="E119" s="312">
        <f>'I-4 History'!E117</f>
        <v>0</v>
      </c>
      <c r="F119" s="312">
        <f>'I-4 History'!F117</f>
        <v>0</v>
      </c>
      <c r="G119" s="312">
        <f>'I-4 History'!G117</f>
        <v>0</v>
      </c>
      <c r="H119" s="312">
        <f>'I-4 History'!H117</f>
        <v>0</v>
      </c>
      <c r="I119" s="312">
        <f>'I-4 History'!I117</f>
        <v>0</v>
      </c>
      <c r="J119" s="312">
        <f>'I-4 History'!J117</f>
        <v>0</v>
      </c>
      <c r="K119" s="312">
        <f>'I-4 History'!K117</f>
        <v>0</v>
      </c>
      <c r="L119" s="310">
        <f ca="1">'DA-13'!B$65</f>
        <v>0</v>
      </c>
      <c r="M119" s="835">
        <f ca="1">'DA-13'!C$65</f>
        <v>0</v>
      </c>
      <c r="N119" s="312">
        <f ca="1">'DA-13'!D$65</f>
        <v>1.1950000000000001</v>
      </c>
      <c r="O119" s="310">
        <f ca="1">'DA-13'!E$65</f>
        <v>1.2076789001460759</v>
      </c>
      <c r="P119" s="310">
        <f ca="1">'DA-13'!F$65</f>
        <v>1.2194269891727161</v>
      </c>
      <c r="Q119" s="310">
        <f ca="1">'DA-13'!G$65</f>
        <v>1.2310398447220745</v>
      </c>
      <c r="R119" s="310">
        <f ca="1">'DA-13'!H$65</f>
        <v>1.2436388603006598</v>
      </c>
      <c r="S119" s="310">
        <f ca="1">'DA-13'!I$65</f>
        <v>1.2551796528620802</v>
      </c>
    </row>
    <row r="120" spans="1:19" s="759" customFormat="1">
      <c r="B120" s="249"/>
      <c r="C120" s="13" t="s">
        <v>646</v>
      </c>
      <c r="D120" s="312">
        <f>'I-4 History'!D118</f>
        <v>0</v>
      </c>
      <c r="E120" s="312">
        <f>'I-4 History'!E118</f>
        <v>0</v>
      </c>
      <c r="F120" s="312">
        <f>'I-4 History'!F118</f>
        <v>0</v>
      </c>
      <c r="G120" s="312">
        <f>'I-4 History'!G118</f>
        <v>0</v>
      </c>
      <c r="H120" s="312">
        <f>'I-4 History'!H118</f>
        <v>0</v>
      </c>
      <c r="I120" s="312">
        <f>'I-4 History'!I118</f>
        <v>0</v>
      </c>
      <c r="J120" s="312">
        <f>'I-4 History'!J118</f>
        <v>0</v>
      </c>
      <c r="K120" s="312">
        <f>'I-4 History'!K118</f>
        <v>0</v>
      </c>
      <c r="L120" s="310">
        <f ca="1">'DA-13'!B$66</f>
        <v>0</v>
      </c>
      <c r="M120" s="835">
        <f ca="1">'DA-13'!C$66</f>
        <v>0</v>
      </c>
      <c r="N120" s="312">
        <f ca="1">'DA-13'!D$66</f>
        <v>0.13700000000000001</v>
      </c>
      <c r="O120" s="310">
        <f ca="1">'DA-13'!E$66</f>
        <v>0.13914583210595186</v>
      </c>
      <c r="P120" s="310">
        <f ca="1">'DA-13'!F$66</f>
        <v>0.14120191550566244</v>
      </c>
      <c r="Q120" s="310">
        <f ca="1">'DA-13'!G$66</f>
        <v>0.14382953006049581</v>
      </c>
      <c r="R120" s="310">
        <f ca="1">'DA-13'!H$66</f>
        <v>0.14682721241054769</v>
      </c>
      <c r="S120" s="310">
        <f ca="1">'DA-13'!I$66</f>
        <v>0.15004212000730563</v>
      </c>
    </row>
    <row r="121" spans="1:19">
      <c r="B121" s="249"/>
      <c r="C121" s="13" t="s">
        <v>647</v>
      </c>
      <c r="D121" s="312">
        <f>'I-4 History'!D119</f>
        <v>0</v>
      </c>
      <c r="E121" s="312">
        <f>'I-4 History'!E119</f>
        <v>0</v>
      </c>
      <c r="F121" s="312">
        <f>'I-4 History'!F119</f>
        <v>0</v>
      </c>
      <c r="G121" s="312">
        <f>'I-4 History'!G119</f>
        <v>0</v>
      </c>
      <c r="H121" s="312">
        <f>'I-4 History'!H119</f>
        <v>0</v>
      </c>
      <c r="I121" s="312">
        <f>'I-4 History'!I119</f>
        <v>0</v>
      </c>
      <c r="J121" s="312">
        <f>'I-4 History'!J119</f>
        <v>0</v>
      </c>
      <c r="K121" s="312">
        <f>'I-4 History'!K119</f>
        <v>0</v>
      </c>
      <c r="L121" s="310">
        <f ca="1">'DA-13'!B$67</f>
        <v>0</v>
      </c>
      <c r="M121" s="835">
        <f ca="1">'DA-13'!C$67</f>
        <v>0</v>
      </c>
      <c r="N121" s="312">
        <f ca="1">'DA-13'!D$67</f>
        <v>3.4049999999999998</v>
      </c>
      <c r="O121" s="310">
        <f ca="1">'DA-13'!E$67</f>
        <v>3.458332542487343</v>
      </c>
      <c r="P121" s="310">
        <f ca="1">'DA-13'!F$67</f>
        <v>3.5094344693195656</v>
      </c>
      <c r="Q121" s="310">
        <f ca="1">'DA-13'!G$67</f>
        <v>3.5747412398247307</v>
      </c>
      <c r="R121" s="310">
        <f ca="1">'DA-13'!H$67</f>
        <v>3.6492456807147069</v>
      </c>
      <c r="S121" s="310">
        <f ca="1">'DA-13'!I$67</f>
        <v>3.7291490410574859</v>
      </c>
    </row>
    <row r="122" spans="1:19" s="759" customFormat="1">
      <c r="B122" s="249"/>
      <c r="C122" s="13" t="s">
        <v>575</v>
      </c>
      <c r="D122" s="312">
        <f>'I-4 History'!D120</f>
        <v>0</v>
      </c>
      <c r="E122" s="312">
        <f>'I-4 History'!E120</f>
        <v>0</v>
      </c>
      <c r="F122" s="312">
        <f>'I-4 History'!F120</f>
        <v>0</v>
      </c>
      <c r="G122" s="312">
        <f>'I-4 History'!G120</f>
        <v>0</v>
      </c>
      <c r="H122" s="312">
        <f>'I-4 History'!H120</f>
        <v>0</v>
      </c>
      <c r="I122" s="312">
        <f>'I-4 History'!I120</f>
        <v>0</v>
      </c>
      <c r="J122" s="312">
        <f>'I-4 History'!J120</f>
        <v>0</v>
      </c>
      <c r="K122" s="312">
        <f>'I-4 History'!K120</f>
        <v>0</v>
      </c>
      <c r="L122" s="310">
        <f ca="1">'DA-13'!B$68</f>
        <v>0</v>
      </c>
      <c r="M122" s="835">
        <f ca="1">'DA-13'!C$68</f>
        <v>0</v>
      </c>
      <c r="N122" s="312">
        <f ca="1">'DA-13'!D$68</f>
        <v>0.85799999999999998</v>
      </c>
      <c r="O122" s="310">
        <f ca="1">'DA-13'!E$68</f>
        <v>0.88570961819912297</v>
      </c>
      <c r="P122" s="310">
        <f ca="1">'DA-13'!F$68</f>
        <v>0.91351605561349303</v>
      </c>
      <c r="Q122" s="310">
        <f ca="1">'DA-13'!G$68</f>
        <v>0.94308885194785219</v>
      </c>
      <c r="R122" s="310">
        <f ca="1">'DA-13'!H$68</f>
        <v>0.97430494078267849</v>
      </c>
      <c r="S122" s="310">
        <f ca="1">'DA-13'!I$68</f>
        <v>1.0056031631526938</v>
      </c>
    </row>
    <row r="123" spans="1:19">
      <c r="B123" s="249"/>
      <c r="C123" s="13" t="s">
        <v>70</v>
      </c>
      <c r="D123" s="312">
        <f>'I-4 History'!D121</f>
        <v>0</v>
      </c>
      <c r="E123" s="312">
        <f>'I-4 History'!E121</f>
        <v>0</v>
      </c>
      <c r="F123" s="312">
        <f>'I-4 History'!F121</f>
        <v>0</v>
      </c>
      <c r="G123" s="312">
        <f>'I-4 History'!G121</f>
        <v>0</v>
      </c>
      <c r="H123" s="312">
        <f>'I-4 History'!H121</f>
        <v>0</v>
      </c>
      <c r="I123" s="312">
        <f>'I-4 History'!I121</f>
        <v>0</v>
      </c>
      <c r="J123" s="312">
        <f>'I-4 History'!J121</f>
        <v>0</v>
      </c>
      <c r="K123" s="312">
        <f>'I-4 History'!K121</f>
        <v>0</v>
      </c>
      <c r="L123" s="310">
        <f ca="1">'DA-13'!B$69</f>
        <v>0</v>
      </c>
      <c r="M123" s="835">
        <f ca="1">'DA-13'!C$69</f>
        <v>0</v>
      </c>
      <c r="N123" s="312">
        <f ca="1">'DA-13'!D$69</f>
        <v>0</v>
      </c>
      <c r="O123" s="310">
        <f ca="1">'DA-13'!E$69</f>
        <v>0</v>
      </c>
      <c r="P123" s="310">
        <f ca="1">'DA-13'!F$69</f>
        <v>0</v>
      </c>
      <c r="Q123" s="310">
        <f ca="1">'DA-13'!G$69</f>
        <v>0</v>
      </c>
      <c r="R123" s="310">
        <f ca="1">'DA-13'!H$69</f>
        <v>0</v>
      </c>
      <c r="S123" s="310">
        <f ca="1">'DA-13'!I$69</f>
        <v>0</v>
      </c>
    </row>
    <row r="124" spans="1:19">
      <c r="B124" s="249"/>
      <c r="C124" s="12" t="s">
        <v>75</v>
      </c>
      <c r="D124" s="313">
        <f t="shared" ref="D124:K124" si="25">SUBTOTAL(9,D118:D123)</f>
        <v>0</v>
      </c>
      <c r="E124" s="311">
        <f t="shared" si="25"/>
        <v>0</v>
      </c>
      <c r="F124" s="311">
        <f t="shared" si="25"/>
        <v>0</v>
      </c>
      <c r="G124" s="311">
        <f t="shared" si="25"/>
        <v>0</v>
      </c>
      <c r="H124" s="311">
        <f t="shared" si="25"/>
        <v>0</v>
      </c>
      <c r="I124" s="311">
        <f t="shared" si="25"/>
        <v>0</v>
      </c>
      <c r="J124" s="311">
        <f t="shared" si="25"/>
        <v>0</v>
      </c>
      <c r="K124" s="311">
        <f t="shared" si="25"/>
        <v>0</v>
      </c>
      <c r="L124" s="311">
        <f t="shared" ref="L124:S124" ca="1" si="26">SUBTOTAL(9,L118:L123)</f>
        <v>0</v>
      </c>
      <c r="M124" s="513">
        <f t="shared" ca="1" si="26"/>
        <v>0</v>
      </c>
      <c r="N124" s="313">
        <f t="shared" ca="1" si="26"/>
        <v>13.984999999999999</v>
      </c>
      <c r="O124" s="311">
        <f t="shared" ca="1" si="26"/>
        <v>14.351826912391454</v>
      </c>
      <c r="P124" s="311">
        <f t="shared" ca="1" si="26"/>
        <v>14.716446220517273</v>
      </c>
      <c r="Q124" s="311">
        <f t="shared" ca="1" si="26"/>
        <v>15.114745466371561</v>
      </c>
      <c r="R124" s="311">
        <f t="shared" ca="1" si="26"/>
        <v>15.541310928668583</v>
      </c>
      <c r="S124" s="311">
        <f t="shared" ca="1" si="26"/>
        <v>15.973319593456139</v>
      </c>
    </row>
    <row r="125" spans="1:19">
      <c r="B125" s="249"/>
      <c r="C125" s="12"/>
      <c r="D125" s="263"/>
      <c r="E125" s="263"/>
      <c r="F125" s="263"/>
      <c r="G125" s="263"/>
      <c r="H125" s="263"/>
      <c r="I125" s="263"/>
      <c r="J125" s="263"/>
      <c r="K125" s="263"/>
      <c r="L125" s="263"/>
      <c r="M125" s="836"/>
      <c r="N125" s="263"/>
      <c r="O125" s="263"/>
      <c r="P125" s="263"/>
      <c r="Q125" s="263"/>
      <c r="R125" s="263"/>
      <c r="S125" s="263"/>
    </row>
    <row r="126" spans="1:19">
      <c r="A126" s="5"/>
      <c r="B126" s="249" t="str">
        <f ca="1">+'I-4 History'!B124</f>
        <v>DA-14</v>
      </c>
      <c r="C126" s="14" t="str">
        <f ca="1">+'I-4 History'!C124</f>
        <v>Vegetation Management</v>
      </c>
      <c r="D126" s="11"/>
      <c r="E126" s="11"/>
      <c r="F126" s="11"/>
      <c r="G126" s="11"/>
      <c r="H126" s="11"/>
      <c r="I126" s="11"/>
      <c r="J126" s="11"/>
      <c r="K126" s="11"/>
      <c r="L126" s="11"/>
      <c r="M126" s="507"/>
      <c r="N126" s="11"/>
      <c r="O126" s="11"/>
      <c r="P126" s="11"/>
      <c r="Q126" s="11"/>
      <c r="R126" s="11"/>
      <c r="S126" s="11"/>
    </row>
    <row r="127" spans="1:19">
      <c r="A127" s="5"/>
      <c r="B127" s="249"/>
      <c r="C127" s="13" t="s">
        <v>68</v>
      </c>
      <c r="D127" s="312">
        <f>'I-4 History'!D125</f>
        <v>0</v>
      </c>
      <c r="E127" s="312">
        <f>'I-4 History'!E125</f>
        <v>0</v>
      </c>
      <c r="F127" s="312">
        <f>'I-4 History'!F125</f>
        <v>0</v>
      </c>
      <c r="G127" s="312">
        <f>'I-4 History'!G125</f>
        <v>0</v>
      </c>
      <c r="H127" s="312">
        <f>'I-4 History'!H125</f>
        <v>0</v>
      </c>
      <c r="I127" s="312">
        <f>'I-4 History'!I125</f>
        <v>0</v>
      </c>
      <c r="J127" s="312">
        <f>'I-4 History'!J125</f>
        <v>0</v>
      </c>
      <c r="K127" s="312">
        <f>'I-4 History'!K125</f>
        <v>0</v>
      </c>
      <c r="L127" s="310">
        <f ca="1">'DA-14'!B$64</f>
        <v>0</v>
      </c>
      <c r="M127" s="835">
        <f ca="1">'DA-14'!C$64</f>
        <v>0</v>
      </c>
      <c r="N127" s="312">
        <f ca="1">'DA-14'!D$64</f>
        <v>1.6990000000000001</v>
      </c>
      <c r="O127" s="310">
        <f ca="1">'DA-14'!E$64</f>
        <v>2.1138702113290329</v>
      </c>
      <c r="P127" s="310">
        <f ca="1">'DA-14'!F$64</f>
        <v>2.1689321427591199</v>
      </c>
      <c r="Q127" s="310">
        <f ca="1">'DA-14'!G$64</f>
        <v>2.2274917942417263</v>
      </c>
      <c r="R127" s="310">
        <f ca="1">'DA-14'!H$64</f>
        <v>2.2893054713167489</v>
      </c>
      <c r="S127" s="310">
        <f ca="1">'DA-14'!I$64</f>
        <v>2.3512817881077237</v>
      </c>
    </row>
    <row r="128" spans="1:19">
      <c r="A128" s="5"/>
      <c r="B128" s="249"/>
      <c r="C128" s="13" t="s">
        <v>69</v>
      </c>
      <c r="D128" s="312">
        <f>'I-4 History'!D126</f>
        <v>0</v>
      </c>
      <c r="E128" s="312">
        <f>'I-4 History'!E126</f>
        <v>0</v>
      </c>
      <c r="F128" s="312">
        <f>'I-4 History'!F126</f>
        <v>0</v>
      </c>
      <c r="G128" s="312">
        <f>'I-4 History'!G126</f>
        <v>0</v>
      </c>
      <c r="H128" s="312">
        <f>'I-4 History'!H126</f>
        <v>0</v>
      </c>
      <c r="I128" s="312">
        <f>'I-4 History'!I126</f>
        <v>0</v>
      </c>
      <c r="J128" s="312">
        <f>'I-4 History'!J126</f>
        <v>0</v>
      </c>
      <c r="K128" s="312">
        <f>'I-4 History'!K126</f>
        <v>0</v>
      </c>
      <c r="L128" s="310">
        <f ca="1">'DA-14'!B$65</f>
        <v>0</v>
      </c>
      <c r="M128" s="835">
        <f ca="1">'DA-14'!C$65</f>
        <v>0</v>
      </c>
      <c r="N128" s="312">
        <f ca="1">'DA-14'!D$65</f>
        <v>4.0000000000000001E-3</v>
      </c>
      <c r="O128" s="310">
        <f ca="1">'DA-14'!E$65</f>
        <v>4.0424398331249407E-3</v>
      </c>
      <c r="P128" s="310">
        <f ca="1">'DA-14'!F$65</f>
        <v>4.0817639804944473E-3</v>
      </c>
      <c r="Q128" s="310">
        <f ca="1">'DA-14'!G$65</f>
        <v>4.1206354635048518E-3</v>
      </c>
      <c r="R128" s="310">
        <f ca="1">'DA-14'!H$65</f>
        <v>4.1628079005879828E-3</v>
      </c>
      <c r="S128" s="310">
        <f ca="1">'DA-14'!I$65</f>
        <v>4.2014381685760004E-3</v>
      </c>
    </row>
    <row r="129" spans="1:19" s="759" customFormat="1">
      <c r="A129" s="5"/>
      <c r="B129" s="249"/>
      <c r="C129" s="13" t="s">
        <v>646</v>
      </c>
      <c r="D129" s="312">
        <f>'I-4 History'!D127</f>
        <v>0</v>
      </c>
      <c r="E129" s="312">
        <f>'I-4 History'!E127</f>
        <v>0</v>
      </c>
      <c r="F129" s="312">
        <f>'I-4 History'!F127</f>
        <v>0</v>
      </c>
      <c r="G129" s="312">
        <f>'I-4 History'!G127</f>
        <v>0</v>
      </c>
      <c r="H129" s="312">
        <f>'I-4 History'!H127</f>
        <v>0</v>
      </c>
      <c r="I129" s="312">
        <f>'I-4 History'!I127</f>
        <v>0</v>
      </c>
      <c r="J129" s="312">
        <f>'I-4 History'!J127</f>
        <v>0</v>
      </c>
      <c r="K129" s="312">
        <f>'I-4 History'!K127</f>
        <v>0</v>
      </c>
      <c r="L129" s="310">
        <f ca="1">'DA-14'!B$66</f>
        <v>0</v>
      </c>
      <c r="M129" s="835">
        <f ca="1">'DA-14'!C$66</f>
        <v>0</v>
      </c>
      <c r="N129" s="312">
        <f ca="1">'DA-14'!D$66</f>
        <v>32.176000000000002</v>
      </c>
      <c r="O129" s="310">
        <f ca="1">'DA-14'!E$66</f>
        <v>35.987184042207495</v>
      </c>
      <c r="P129" s="310">
        <f ca="1">'DA-14'!F$66</f>
        <v>34.397037392270704</v>
      </c>
      <c r="Q129" s="310">
        <f ca="1">'DA-14'!G$66</f>
        <v>34.753991043978907</v>
      </c>
      <c r="R129" s="310">
        <f ca="1">'DA-14'!H$66</f>
        <v>35.191652436572561</v>
      </c>
      <c r="S129" s="310">
        <f ca="1">'DA-14'!I$66</f>
        <v>35.675101293252361</v>
      </c>
    </row>
    <row r="130" spans="1:19">
      <c r="A130" s="5"/>
      <c r="B130" s="249"/>
      <c r="C130" s="13" t="s">
        <v>647</v>
      </c>
      <c r="D130" s="312">
        <f>'I-4 History'!D128</f>
        <v>0</v>
      </c>
      <c r="E130" s="312">
        <f>'I-4 History'!E128</f>
        <v>0</v>
      </c>
      <c r="F130" s="312">
        <f>'I-4 History'!F128</f>
        <v>0</v>
      </c>
      <c r="G130" s="312">
        <f>'I-4 History'!G128</f>
        <v>0</v>
      </c>
      <c r="H130" s="312">
        <f>'I-4 History'!H128</f>
        <v>0</v>
      </c>
      <c r="I130" s="312">
        <f>'I-4 History'!I128</f>
        <v>0</v>
      </c>
      <c r="J130" s="312">
        <f>'I-4 History'!J128</f>
        <v>0</v>
      </c>
      <c r="K130" s="312">
        <f>'I-4 History'!K128</f>
        <v>0</v>
      </c>
      <c r="L130" s="310">
        <f ca="1">'DA-14'!B$67</f>
        <v>0</v>
      </c>
      <c r="M130" s="835">
        <f ca="1">'DA-14'!C$67</f>
        <v>0</v>
      </c>
      <c r="N130" s="312">
        <f ca="1">'DA-14'!D$67</f>
        <v>0.35299999999999998</v>
      </c>
      <c r="O130" s="310">
        <f ca="1">'DA-14'!E$67</f>
        <v>3.3295290418496419</v>
      </c>
      <c r="P130" s="310">
        <f ca="1">'DA-14'!F$67</f>
        <v>2.8648268333832032</v>
      </c>
      <c r="Q130" s="310">
        <f ca="1">'DA-14'!G$67</f>
        <v>2.4025972562872626</v>
      </c>
      <c r="R130" s="310">
        <f ca="1">'DA-14'!H$67</f>
        <v>1.9413212115395861</v>
      </c>
      <c r="S130" s="310">
        <f ca="1">'DA-14'!I$67</f>
        <v>1.4796048785589699</v>
      </c>
    </row>
    <row r="131" spans="1:19" s="759" customFormat="1">
      <c r="A131" s="5"/>
      <c r="B131" s="249"/>
      <c r="C131" s="13" t="s">
        <v>575</v>
      </c>
      <c r="D131" s="312">
        <f>'I-4 History'!D129</f>
        <v>0</v>
      </c>
      <c r="E131" s="312">
        <f>'I-4 History'!E129</f>
        <v>0</v>
      </c>
      <c r="F131" s="312">
        <f>'I-4 History'!F129</f>
        <v>0</v>
      </c>
      <c r="G131" s="312">
        <f>'I-4 History'!G129</f>
        <v>0</v>
      </c>
      <c r="H131" s="312">
        <f>'I-4 History'!H129</f>
        <v>0</v>
      </c>
      <c r="I131" s="312">
        <f>'I-4 History'!I129</f>
        <v>0</v>
      </c>
      <c r="J131" s="312">
        <f>'I-4 History'!J129</f>
        <v>0</v>
      </c>
      <c r="K131" s="312">
        <f>'I-4 History'!K129</f>
        <v>0</v>
      </c>
      <c r="L131" s="310">
        <f ca="1">'DA-14'!B$68</f>
        <v>0</v>
      </c>
      <c r="M131" s="835">
        <f ca="1">'DA-14'!C$68</f>
        <v>0</v>
      </c>
      <c r="N131" s="312">
        <f ca="1">'DA-14'!D$68</f>
        <v>1.873</v>
      </c>
      <c r="O131" s="310">
        <f ca="1">'DA-14'!E$68</f>
        <v>1.9334896443903933</v>
      </c>
      <c r="P131" s="310">
        <f ca="1">'DA-14'!F$68</f>
        <v>1.9941906435478702</v>
      </c>
      <c r="Q131" s="310">
        <f ca="1">'DA-14'!G$68</f>
        <v>2.0587475754059756</v>
      </c>
      <c r="R131" s="310">
        <f ca="1">'DA-14'!H$68</f>
        <v>2.1268917879789706</v>
      </c>
      <c r="S131" s="310">
        <f ca="1">'DA-14'!I$68</f>
        <v>2.195215296719109</v>
      </c>
    </row>
    <row r="132" spans="1:19">
      <c r="A132" s="5"/>
      <c r="B132" s="249"/>
      <c r="C132" s="13" t="s">
        <v>70</v>
      </c>
      <c r="D132" s="312">
        <f>'I-4 History'!D130</f>
        <v>0</v>
      </c>
      <c r="E132" s="312">
        <f>'I-4 History'!E130</f>
        <v>0</v>
      </c>
      <c r="F132" s="312">
        <f>'I-4 History'!F130</f>
        <v>0</v>
      </c>
      <c r="G132" s="312">
        <f>'I-4 History'!G130</f>
        <v>0</v>
      </c>
      <c r="H132" s="312">
        <f>'I-4 History'!H130</f>
        <v>0</v>
      </c>
      <c r="I132" s="312">
        <f>'I-4 History'!I130</f>
        <v>0</v>
      </c>
      <c r="J132" s="312">
        <f>'I-4 History'!J130</f>
        <v>0</v>
      </c>
      <c r="K132" s="312">
        <f>'I-4 History'!K130</f>
        <v>0</v>
      </c>
      <c r="L132" s="310">
        <f ca="1">'DA-14'!B$69</f>
        <v>0</v>
      </c>
      <c r="M132" s="835">
        <f ca="1">'DA-14'!C$69</f>
        <v>0</v>
      </c>
      <c r="N132" s="312">
        <f ca="1">'DA-14'!D$69</f>
        <v>0</v>
      </c>
      <c r="O132" s="310">
        <f ca="1">'DA-14'!E$69</f>
        <v>0</v>
      </c>
      <c r="P132" s="310">
        <f ca="1">'DA-14'!F$69</f>
        <v>0</v>
      </c>
      <c r="Q132" s="310">
        <f ca="1">'DA-14'!G$69</f>
        <v>0</v>
      </c>
      <c r="R132" s="310">
        <f ca="1">'DA-14'!H$69</f>
        <v>0</v>
      </c>
      <c r="S132" s="310">
        <f ca="1">'DA-14'!I$69</f>
        <v>0</v>
      </c>
    </row>
    <row r="133" spans="1:19">
      <c r="A133" s="5"/>
      <c r="B133" s="249"/>
      <c r="C133" s="12" t="s">
        <v>75</v>
      </c>
      <c r="D133" s="313">
        <f t="shared" ref="D133:K133" si="27">SUBTOTAL(9,D127:D132)</f>
        <v>0</v>
      </c>
      <c r="E133" s="311">
        <f t="shared" si="27"/>
        <v>0</v>
      </c>
      <c r="F133" s="311">
        <f t="shared" si="27"/>
        <v>0</v>
      </c>
      <c r="G133" s="311">
        <f t="shared" si="27"/>
        <v>0</v>
      </c>
      <c r="H133" s="311">
        <f t="shared" si="27"/>
        <v>0</v>
      </c>
      <c r="I133" s="311">
        <f t="shared" si="27"/>
        <v>0</v>
      </c>
      <c r="J133" s="311">
        <f t="shared" si="27"/>
        <v>0</v>
      </c>
      <c r="K133" s="311">
        <f t="shared" si="27"/>
        <v>0</v>
      </c>
      <c r="L133" s="311">
        <f t="shared" ref="L133:S133" ca="1" si="28">SUBTOTAL(9,L127:L132)</f>
        <v>0</v>
      </c>
      <c r="M133" s="513">
        <f t="shared" ca="1" si="28"/>
        <v>0</v>
      </c>
      <c r="N133" s="313">
        <f t="shared" ca="1" si="28"/>
        <v>36.105000000000004</v>
      </c>
      <c r="O133" s="311">
        <f t="shared" ca="1" si="28"/>
        <v>43.368115379609684</v>
      </c>
      <c r="P133" s="311">
        <f t="shared" ca="1" si="28"/>
        <v>41.429068775941388</v>
      </c>
      <c r="Q133" s="311">
        <f t="shared" ca="1" si="28"/>
        <v>41.446948305377376</v>
      </c>
      <c r="R133" s="311">
        <f t="shared" ca="1" si="28"/>
        <v>41.553333715308455</v>
      </c>
      <c r="S133" s="311">
        <f t="shared" ca="1" si="28"/>
        <v>41.705404694806745</v>
      </c>
    </row>
    <row r="134" spans="1:19">
      <c r="A134" s="5"/>
      <c r="B134" s="249"/>
      <c r="C134" s="12"/>
      <c r="D134" s="263"/>
      <c r="E134" s="263"/>
      <c r="F134" s="263"/>
      <c r="G134" s="263"/>
      <c r="H134" s="263"/>
      <c r="I134" s="263"/>
      <c r="J134" s="263"/>
      <c r="K134" s="263"/>
      <c r="L134" s="263"/>
      <c r="M134" s="836"/>
      <c r="N134" s="263"/>
      <c r="O134" s="263"/>
      <c r="P134" s="263"/>
      <c r="Q134" s="263"/>
      <c r="R134" s="263"/>
      <c r="S134" s="263"/>
    </row>
    <row r="135" spans="1:19">
      <c r="A135" s="5"/>
      <c r="B135" s="249" t="str">
        <f ca="1">+'I-4 History'!B133</f>
        <v>DA-15</v>
      </c>
      <c r="C135" s="14" t="str">
        <f ca="1">+'I-4 History'!C133</f>
        <v>Emergency Response</v>
      </c>
      <c r="D135" s="11"/>
      <c r="E135" s="11"/>
      <c r="F135" s="11"/>
      <c r="G135" s="11"/>
      <c r="H135" s="11"/>
      <c r="I135" s="11"/>
      <c r="J135" s="11"/>
      <c r="K135" s="11"/>
      <c r="L135" s="11"/>
      <c r="M135" s="507"/>
      <c r="N135" s="11"/>
      <c r="O135" s="11"/>
      <c r="P135" s="11"/>
      <c r="Q135" s="11"/>
      <c r="R135" s="11"/>
      <c r="S135" s="11"/>
    </row>
    <row r="136" spans="1:19">
      <c r="A136" s="5"/>
      <c r="B136" s="249"/>
      <c r="C136" s="13" t="s">
        <v>68</v>
      </c>
      <c r="D136" s="312">
        <f>'I-4 History'!D134</f>
        <v>0</v>
      </c>
      <c r="E136" s="312">
        <f>'I-4 History'!E134</f>
        <v>0</v>
      </c>
      <c r="F136" s="312">
        <f>'I-4 History'!F134</f>
        <v>0</v>
      </c>
      <c r="G136" s="312">
        <f>'I-4 History'!G134</f>
        <v>0</v>
      </c>
      <c r="H136" s="312">
        <f>'I-4 History'!H134</f>
        <v>0</v>
      </c>
      <c r="I136" s="312">
        <f>'I-4 History'!I134</f>
        <v>0</v>
      </c>
      <c r="J136" s="312">
        <f>'I-4 History'!J134</f>
        <v>0</v>
      </c>
      <c r="K136" s="312">
        <f>'I-4 History'!K134</f>
        <v>0</v>
      </c>
      <c r="L136" s="310">
        <f ca="1">'DA-15'!B$64</f>
        <v>0</v>
      </c>
      <c r="M136" s="835">
        <f ca="1">'DA-15'!C$64</f>
        <v>0</v>
      </c>
      <c r="N136" s="312">
        <f ca="1">'DA-15'!D$64</f>
        <v>21.924000000000003</v>
      </c>
      <c r="O136" s="310">
        <f ca="1">'DA-15'!E$64</f>
        <v>22.632048565731441</v>
      </c>
      <c r="P136" s="310">
        <f ca="1">'DA-15'!F$64</f>
        <v>23.342571099382546</v>
      </c>
      <c r="Q136" s="310">
        <f ca="1">'DA-15'!G$64</f>
        <v>24.098228426695471</v>
      </c>
      <c r="R136" s="310">
        <f ca="1">'DA-15'!H$64</f>
        <v>24.895875899439915</v>
      </c>
      <c r="S136" s="310">
        <f ca="1">'DA-15'!I$64</f>
        <v>25.695622085034572</v>
      </c>
    </row>
    <row r="137" spans="1:19">
      <c r="A137" s="5"/>
      <c r="B137" s="249"/>
      <c r="C137" s="13" t="s">
        <v>69</v>
      </c>
      <c r="D137" s="312">
        <f>'I-4 History'!D135</f>
        <v>0</v>
      </c>
      <c r="E137" s="312">
        <f>'I-4 History'!E135</f>
        <v>0</v>
      </c>
      <c r="F137" s="312">
        <f>'I-4 History'!F135</f>
        <v>0</v>
      </c>
      <c r="G137" s="312">
        <f>'I-4 History'!G135</f>
        <v>0</v>
      </c>
      <c r="H137" s="312">
        <f>'I-4 History'!H135</f>
        <v>0</v>
      </c>
      <c r="I137" s="312">
        <f>'I-4 History'!I135</f>
        <v>0</v>
      </c>
      <c r="J137" s="312">
        <f>'I-4 History'!J135</f>
        <v>0</v>
      </c>
      <c r="K137" s="312">
        <f>'I-4 History'!K135</f>
        <v>0</v>
      </c>
      <c r="L137" s="310">
        <f ca="1">'DA-15'!B$65</f>
        <v>0</v>
      </c>
      <c r="M137" s="835">
        <f ca="1">'DA-15'!C$65</f>
        <v>0</v>
      </c>
      <c r="N137" s="312">
        <f ca="1">'DA-15'!D$65</f>
        <v>-1.512</v>
      </c>
      <c r="O137" s="310">
        <f ca="1">'DA-15'!E$65</f>
        <v>-1.5280422569212275</v>
      </c>
      <c r="P137" s="310">
        <f ca="1">'DA-15'!F$65</f>
        <v>-1.5429067846269009</v>
      </c>
      <c r="Q137" s="310">
        <f ca="1">'DA-15'!G$65</f>
        <v>-1.5576002052048339</v>
      </c>
      <c r="R137" s="310">
        <f ca="1">'DA-15'!H$65</f>
        <v>-1.5735413864222576</v>
      </c>
      <c r="S137" s="310">
        <f ca="1">'DA-15'!I$65</f>
        <v>-1.5881436277217282</v>
      </c>
    </row>
    <row r="138" spans="1:19" s="759" customFormat="1">
      <c r="A138" s="5"/>
      <c r="B138" s="249"/>
      <c r="C138" s="13" t="s">
        <v>646</v>
      </c>
      <c r="D138" s="312">
        <f>'I-4 History'!D136</f>
        <v>0</v>
      </c>
      <c r="E138" s="312">
        <f>'I-4 History'!E136</f>
        <v>0</v>
      </c>
      <c r="F138" s="312">
        <f>'I-4 History'!F136</f>
        <v>0</v>
      </c>
      <c r="G138" s="312">
        <f>'I-4 History'!G136</f>
        <v>0</v>
      </c>
      <c r="H138" s="312">
        <f>'I-4 History'!H136</f>
        <v>0</v>
      </c>
      <c r="I138" s="312">
        <f>'I-4 History'!I136</f>
        <v>0</v>
      </c>
      <c r="J138" s="312">
        <f>'I-4 History'!J136</f>
        <v>0</v>
      </c>
      <c r="K138" s="312">
        <f>'I-4 History'!K136</f>
        <v>0</v>
      </c>
      <c r="L138" s="310">
        <f ca="1">'DA-15'!B$66</f>
        <v>0</v>
      </c>
      <c r="M138" s="835">
        <f ca="1">'DA-15'!C$66</f>
        <v>0</v>
      </c>
      <c r="N138" s="312">
        <f ca="1">'DA-15'!D$66</f>
        <v>1.4139999999999999</v>
      </c>
      <c r="O138" s="310">
        <f ca="1">'DA-15'!E$66</f>
        <v>1.4361474934147147</v>
      </c>
      <c r="P138" s="310">
        <f ca="1">'DA-15'!F$66</f>
        <v>1.4573686753650121</v>
      </c>
      <c r="Q138" s="310">
        <f ca="1">'DA-15'!G$66</f>
        <v>1.4844887263178179</v>
      </c>
      <c r="R138" s="310">
        <f ca="1">'DA-15'!H$66</f>
        <v>1.5154283091132439</v>
      </c>
      <c r="S138" s="310">
        <f ca="1">'DA-15'!I$66</f>
        <v>1.548609910148395</v>
      </c>
    </row>
    <row r="139" spans="1:19">
      <c r="A139" s="5"/>
      <c r="B139" s="249"/>
      <c r="C139" s="13" t="s">
        <v>647</v>
      </c>
      <c r="D139" s="312">
        <f>'I-4 History'!D137</f>
        <v>0</v>
      </c>
      <c r="E139" s="312">
        <f>'I-4 History'!E137</f>
        <v>0</v>
      </c>
      <c r="F139" s="312">
        <f>'I-4 History'!F137</f>
        <v>0</v>
      </c>
      <c r="G139" s="312">
        <f>'I-4 History'!G137</f>
        <v>0</v>
      </c>
      <c r="H139" s="312">
        <f>'I-4 History'!H137</f>
        <v>0</v>
      </c>
      <c r="I139" s="312">
        <f>'I-4 History'!I137</f>
        <v>0</v>
      </c>
      <c r="J139" s="312">
        <f>'I-4 History'!J137</f>
        <v>0</v>
      </c>
      <c r="K139" s="312">
        <f>'I-4 History'!K137</f>
        <v>0</v>
      </c>
      <c r="L139" s="310">
        <f ca="1">'DA-15'!B$67</f>
        <v>0</v>
      </c>
      <c r="M139" s="835">
        <f ca="1">'DA-15'!C$67</f>
        <v>0</v>
      </c>
      <c r="N139" s="312">
        <f ca="1">'DA-15'!D$67</f>
        <v>7.2669999999999995</v>
      </c>
      <c r="O139" s="310">
        <f ca="1">'DA-15'!E$67</f>
        <v>7.380823079663883</v>
      </c>
      <c r="P139" s="310">
        <f ca="1">'DA-15'!F$67</f>
        <v>7.4898855472967059</v>
      </c>
      <c r="Q139" s="310">
        <f ca="1">'DA-15'!G$67</f>
        <v>7.6292641967125752</v>
      </c>
      <c r="R139" s="310">
        <f ca="1">'DA-15'!H$67</f>
        <v>7.7882726466237218</v>
      </c>
      <c r="S139" s="310">
        <f ca="1">'DA-15'!I$67</f>
        <v>7.9588035481247426</v>
      </c>
    </row>
    <row r="140" spans="1:19" s="759" customFormat="1">
      <c r="A140" s="5"/>
      <c r="B140" s="249"/>
      <c r="C140" s="13" t="s">
        <v>575</v>
      </c>
      <c r="D140" s="312">
        <f>'I-4 History'!D138</f>
        <v>0</v>
      </c>
      <c r="E140" s="312">
        <f>'I-4 History'!E138</f>
        <v>0</v>
      </c>
      <c r="F140" s="312">
        <f>'I-4 History'!F138</f>
        <v>0</v>
      </c>
      <c r="G140" s="312">
        <f>'I-4 History'!G138</f>
        <v>0</v>
      </c>
      <c r="H140" s="312">
        <f>'I-4 History'!H138</f>
        <v>0</v>
      </c>
      <c r="I140" s="312">
        <f>'I-4 History'!I138</f>
        <v>0</v>
      </c>
      <c r="J140" s="312">
        <f>'I-4 History'!J138</f>
        <v>0</v>
      </c>
      <c r="K140" s="312">
        <f>'I-4 History'!K138</f>
        <v>0</v>
      </c>
      <c r="L140" s="310">
        <f ca="1">'DA-15'!B$68</f>
        <v>0</v>
      </c>
      <c r="M140" s="835">
        <f ca="1">'DA-15'!C$68</f>
        <v>0</v>
      </c>
      <c r="N140" s="312">
        <f ca="1">'DA-15'!D$68</f>
        <v>4.3010000000000002</v>
      </c>
      <c r="O140" s="310">
        <f ca="1">'DA-15'!E$68</f>
        <v>4.4399033425109886</v>
      </c>
      <c r="P140" s="310">
        <f ca="1">'DA-15'!F$68</f>
        <v>4.5792920223702032</v>
      </c>
      <c r="Q140" s="310">
        <f ca="1">'DA-15'!G$68</f>
        <v>4.7275351424565422</v>
      </c>
      <c r="R140" s="310">
        <f ca="1">'DA-15'!H$68</f>
        <v>4.8840157928977854</v>
      </c>
      <c r="S140" s="310">
        <f ca="1">'DA-15'!I$68</f>
        <v>5.0409081640090161</v>
      </c>
    </row>
    <row r="141" spans="1:19">
      <c r="A141" s="5"/>
      <c r="B141" s="249"/>
      <c r="C141" s="13" t="s">
        <v>70</v>
      </c>
      <c r="D141" s="312">
        <f>'I-4 History'!D139</f>
        <v>0</v>
      </c>
      <c r="E141" s="312">
        <f>'I-4 History'!E139</f>
        <v>0</v>
      </c>
      <c r="F141" s="312">
        <f>'I-4 History'!F139</f>
        <v>0</v>
      </c>
      <c r="G141" s="312">
        <f>'I-4 History'!G139</f>
        <v>0</v>
      </c>
      <c r="H141" s="312">
        <f>'I-4 History'!H139</f>
        <v>0</v>
      </c>
      <c r="I141" s="312">
        <f>'I-4 History'!I139</f>
        <v>0</v>
      </c>
      <c r="J141" s="312">
        <f>'I-4 History'!J139</f>
        <v>0</v>
      </c>
      <c r="K141" s="312">
        <f>'I-4 History'!K139</f>
        <v>0</v>
      </c>
      <c r="L141" s="310">
        <f ca="1">'DA-15'!B$69</f>
        <v>0</v>
      </c>
      <c r="M141" s="835">
        <f ca="1">'DA-15'!C$69</f>
        <v>0</v>
      </c>
      <c r="N141" s="312">
        <f ca="1">'DA-15'!D$69</f>
        <v>0</v>
      </c>
      <c r="O141" s="310">
        <f ca="1">'DA-15'!E$69</f>
        <v>0</v>
      </c>
      <c r="P141" s="310">
        <f ca="1">'DA-15'!F$69</f>
        <v>0</v>
      </c>
      <c r="Q141" s="310">
        <f ca="1">'DA-15'!G$69</f>
        <v>0</v>
      </c>
      <c r="R141" s="310">
        <f ca="1">'DA-15'!H$69</f>
        <v>0</v>
      </c>
      <c r="S141" s="310">
        <f ca="1">'DA-15'!I$69</f>
        <v>0</v>
      </c>
    </row>
    <row r="142" spans="1:19">
      <c r="A142" s="5"/>
      <c r="B142" s="249"/>
      <c r="C142" s="12" t="s">
        <v>75</v>
      </c>
      <c r="D142" s="313">
        <f t="shared" ref="D142:K142" si="29">SUBTOTAL(9,D136:D141)</f>
        <v>0</v>
      </c>
      <c r="E142" s="311">
        <f t="shared" si="29"/>
        <v>0</v>
      </c>
      <c r="F142" s="311">
        <f t="shared" si="29"/>
        <v>0</v>
      </c>
      <c r="G142" s="311">
        <f t="shared" si="29"/>
        <v>0</v>
      </c>
      <c r="H142" s="311">
        <f t="shared" si="29"/>
        <v>0</v>
      </c>
      <c r="I142" s="311">
        <f t="shared" si="29"/>
        <v>0</v>
      </c>
      <c r="J142" s="311">
        <f t="shared" si="29"/>
        <v>0</v>
      </c>
      <c r="K142" s="311">
        <f t="shared" si="29"/>
        <v>0</v>
      </c>
      <c r="L142" s="311">
        <f t="shared" ref="L142:S142" ca="1" si="30">SUBTOTAL(9,L136:L141)</f>
        <v>0</v>
      </c>
      <c r="M142" s="513">
        <f t="shared" ca="1" si="30"/>
        <v>0</v>
      </c>
      <c r="N142" s="313">
        <f t="shared" ca="1" si="30"/>
        <v>33.394000000000005</v>
      </c>
      <c r="O142" s="311">
        <f t="shared" ca="1" si="30"/>
        <v>34.3608802243998</v>
      </c>
      <c r="P142" s="311">
        <f t="shared" ca="1" si="30"/>
        <v>35.326210559787562</v>
      </c>
      <c r="Q142" s="311">
        <f t="shared" ca="1" si="30"/>
        <v>36.381916286977571</v>
      </c>
      <c r="R142" s="311">
        <f t="shared" ca="1" si="30"/>
        <v>37.510051261652407</v>
      </c>
      <c r="S142" s="311">
        <f t="shared" ca="1" si="30"/>
        <v>38.655800079595004</v>
      </c>
    </row>
    <row r="143" spans="1:19">
      <c r="A143" s="5"/>
      <c r="B143" s="249"/>
      <c r="C143" s="12"/>
      <c r="D143" s="263"/>
      <c r="E143" s="263"/>
      <c r="F143" s="263"/>
      <c r="G143" s="263"/>
      <c r="H143" s="263"/>
      <c r="I143" s="263"/>
      <c r="J143" s="263"/>
      <c r="K143" s="263"/>
      <c r="L143" s="263"/>
      <c r="M143" s="836"/>
      <c r="N143" s="263"/>
      <c r="O143" s="263"/>
      <c r="P143" s="263"/>
      <c r="Q143" s="263"/>
      <c r="R143" s="263"/>
      <c r="S143" s="263"/>
    </row>
    <row r="144" spans="1:19">
      <c r="A144" s="5"/>
      <c r="B144" s="249" t="str">
        <f ca="1">+'I-4 History'!B142</f>
        <v>DA-16</v>
      </c>
      <c r="C144" s="14" t="str">
        <f ca="1">+'I-4 History'!C142</f>
        <v>Meter Reading Charges</v>
      </c>
      <c r="D144" s="11"/>
      <c r="E144" s="11"/>
      <c r="F144" s="11"/>
      <c r="G144" s="11"/>
      <c r="H144" s="11"/>
      <c r="I144" s="11"/>
      <c r="J144" s="11"/>
      <c r="K144" s="11"/>
      <c r="L144" s="11"/>
      <c r="M144" s="507"/>
      <c r="N144" s="11"/>
      <c r="O144" s="11"/>
      <c r="P144" s="11"/>
      <c r="Q144" s="11"/>
      <c r="R144" s="11"/>
      <c r="S144" s="11"/>
    </row>
    <row r="145" spans="1:19">
      <c r="A145" s="5"/>
      <c r="B145" s="249"/>
      <c r="C145" s="13" t="s">
        <v>68</v>
      </c>
      <c r="D145" s="312">
        <f>'I-4 History'!D143</f>
        <v>0</v>
      </c>
      <c r="E145" s="312">
        <f>'I-4 History'!E143</f>
        <v>0</v>
      </c>
      <c r="F145" s="312">
        <f>'I-4 History'!F143</f>
        <v>0</v>
      </c>
      <c r="G145" s="312">
        <f>'I-4 History'!G143</f>
        <v>0</v>
      </c>
      <c r="H145" s="312">
        <f>'I-4 History'!H143</f>
        <v>0</v>
      </c>
      <c r="I145" s="312">
        <f>'I-4 History'!I143</f>
        <v>0</v>
      </c>
      <c r="J145" s="312">
        <f>'I-4 History'!J143</f>
        <v>0</v>
      </c>
      <c r="K145" s="312">
        <f>'I-4 History'!K143</f>
        <v>0</v>
      </c>
      <c r="L145" s="310">
        <f ca="1">'DA-16'!B$64</f>
        <v>0</v>
      </c>
      <c r="M145" s="835">
        <f ca="1">'DA-16'!C$64</f>
        <v>0</v>
      </c>
      <c r="N145" s="312">
        <f ca="1">'DA-16'!D$64</f>
        <v>0</v>
      </c>
      <c r="O145" s="310">
        <f ca="1">'DA-16'!E$64</f>
        <v>0</v>
      </c>
      <c r="P145" s="310">
        <f ca="1">'DA-16'!F$64</f>
        <v>0</v>
      </c>
      <c r="Q145" s="310">
        <f ca="1">'DA-16'!G$64</f>
        <v>0</v>
      </c>
      <c r="R145" s="310">
        <f ca="1">'DA-16'!H$64</f>
        <v>0</v>
      </c>
      <c r="S145" s="310">
        <f ca="1">'DA-16'!I$64</f>
        <v>0</v>
      </c>
    </row>
    <row r="146" spans="1:19">
      <c r="A146" s="5"/>
      <c r="B146" s="249"/>
      <c r="C146" s="13" t="s">
        <v>69</v>
      </c>
      <c r="D146" s="312">
        <f>'I-4 History'!D144</f>
        <v>0</v>
      </c>
      <c r="E146" s="312">
        <f>'I-4 History'!E144</f>
        <v>0</v>
      </c>
      <c r="F146" s="312">
        <f>'I-4 History'!F144</f>
        <v>0</v>
      </c>
      <c r="G146" s="312">
        <f>'I-4 History'!G144</f>
        <v>0</v>
      </c>
      <c r="H146" s="312">
        <f>'I-4 History'!H144</f>
        <v>0</v>
      </c>
      <c r="I146" s="312">
        <f>'I-4 History'!I144</f>
        <v>0</v>
      </c>
      <c r="J146" s="312">
        <f>'I-4 History'!J144</f>
        <v>0</v>
      </c>
      <c r="K146" s="312">
        <f>'I-4 History'!K144</f>
        <v>0</v>
      </c>
      <c r="L146" s="310">
        <f ca="1">'DA-16'!B$65</f>
        <v>0</v>
      </c>
      <c r="M146" s="835">
        <f ca="1">'DA-16'!C$65</f>
        <v>0</v>
      </c>
      <c r="N146" s="312">
        <f ca="1">'DA-16'!D$65</f>
        <v>0</v>
      </c>
      <c r="O146" s="310">
        <f ca="1">'DA-16'!E$65</f>
        <v>0</v>
      </c>
      <c r="P146" s="310">
        <f ca="1">'DA-16'!F$65</f>
        <v>0</v>
      </c>
      <c r="Q146" s="310">
        <f ca="1">'DA-16'!G$65</f>
        <v>0</v>
      </c>
      <c r="R146" s="310">
        <f ca="1">'DA-16'!H$65</f>
        <v>0</v>
      </c>
      <c r="S146" s="310">
        <f ca="1">'DA-16'!I$65</f>
        <v>0</v>
      </c>
    </row>
    <row r="147" spans="1:19" s="759" customFormat="1">
      <c r="A147" s="5"/>
      <c r="B147" s="249"/>
      <c r="C147" s="13" t="s">
        <v>646</v>
      </c>
      <c r="D147" s="312">
        <f>'I-4 History'!D145</f>
        <v>0</v>
      </c>
      <c r="E147" s="312">
        <f>'I-4 History'!E145</f>
        <v>0</v>
      </c>
      <c r="F147" s="312">
        <f>'I-4 History'!F145</f>
        <v>0</v>
      </c>
      <c r="G147" s="312">
        <f>'I-4 History'!G145</f>
        <v>0</v>
      </c>
      <c r="H147" s="312">
        <f>'I-4 History'!H145</f>
        <v>0</v>
      </c>
      <c r="I147" s="312">
        <f>'I-4 History'!I145</f>
        <v>0</v>
      </c>
      <c r="J147" s="312">
        <f>'I-4 History'!J145</f>
        <v>0</v>
      </c>
      <c r="K147" s="312">
        <f>'I-4 History'!K145</f>
        <v>0</v>
      </c>
      <c r="L147" s="310">
        <f ca="1">'DA-16'!B$66</f>
        <v>0</v>
      </c>
      <c r="M147" s="835">
        <f ca="1">'DA-16'!C$66</f>
        <v>0</v>
      </c>
      <c r="N147" s="312">
        <f ca="1">'DA-16'!D$66</f>
        <v>0</v>
      </c>
      <c r="O147" s="310">
        <f ca="1">'DA-16'!E$66</f>
        <v>0</v>
      </c>
      <c r="P147" s="310">
        <f ca="1">'DA-16'!F$66</f>
        <v>0</v>
      </c>
      <c r="Q147" s="310">
        <f ca="1">'DA-16'!G$66</f>
        <v>0</v>
      </c>
      <c r="R147" s="310">
        <f ca="1">'DA-16'!H$66</f>
        <v>0</v>
      </c>
      <c r="S147" s="310">
        <f ca="1">'DA-16'!I$66</f>
        <v>0</v>
      </c>
    </row>
    <row r="148" spans="1:19">
      <c r="A148" s="5"/>
      <c r="B148" s="249"/>
      <c r="C148" s="13" t="s">
        <v>647</v>
      </c>
      <c r="D148" s="312">
        <f>'I-4 History'!D146</f>
        <v>0</v>
      </c>
      <c r="E148" s="312">
        <f>'I-4 History'!E146</f>
        <v>0</v>
      </c>
      <c r="F148" s="312">
        <f>'I-4 History'!F146</f>
        <v>0</v>
      </c>
      <c r="G148" s="312">
        <f>'I-4 History'!G146</f>
        <v>0</v>
      </c>
      <c r="H148" s="312">
        <f>'I-4 History'!H146</f>
        <v>0</v>
      </c>
      <c r="I148" s="312">
        <f>'I-4 History'!I146</f>
        <v>0</v>
      </c>
      <c r="J148" s="312">
        <f>'I-4 History'!J146</f>
        <v>0</v>
      </c>
      <c r="K148" s="312">
        <f>'I-4 History'!K146</f>
        <v>0</v>
      </c>
      <c r="L148" s="310">
        <f ca="1">'DA-16'!B$67</f>
        <v>0</v>
      </c>
      <c r="M148" s="835">
        <f ca="1">'DA-16'!C$67</f>
        <v>0</v>
      </c>
      <c r="N148" s="312">
        <f ca="1">'DA-16'!D$67</f>
        <v>0</v>
      </c>
      <c r="O148" s="310">
        <f ca="1">'DA-16'!E$67</f>
        <v>0</v>
      </c>
      <c r="P148" s="310">
        <f ca="1">'DA-16'!F$67</f>
        <v>0</v>
      </c>
      <c r="Q148" s="310">
        <f ca="1">'DA-16'!G$67</f>
        <v>0</v>
      </c>
      <c r="R148" s="310">
        <f ca="1">'DA-16'!H$67</f>
        <v>0</v>
      </c>
      <c r="S148" s="310">
        <f ca="1">'DA-16'!I$67</f>
        <v>0</v>
      </c>
    </row>
    <row r="149" spans="1:19" s="759" customFormat="1">
      <c r="A149" s="5"/>
      <c r="B149" s="249"/>
      <c r="C149" s="13" t="s">
        <v>575</v>
      </c>
      <c r="D149" s="312">
        <f>'I-4 History'!D147</f>
        <v>0</v>
      </c>
      <c r="E149" s="312">
        <f>'I-4 History'!E147</f>
        <v>0</v>
      </c>
      <c r="F149" s="312">
        <f>'I-4 History'!F147</f>
        <v>0</v>
      </c>
      <c r="G149" s="312">
        <f>'I-4 History'!G147</f>
        <v>0</v>
      </c>
      <c r="H149" s="312">
        <f>'I-4 History'!H147</f>
        <v>0</v>
      </c>
      <c r="I149" s="312">
        <f>'I-4 History'!I147</f>
        <v>0</v>
      </c>
      <c r="J149" s="312">
        <f>'I-4 History'!J147</f>
        <v>0</v>
      </c>
      <c r="K149" s="312">
        <f>'I-4 History'!K147</f>
        <v>0</v>
      </c>
      <c r="L149" s="310">
        <f ca="1">'DA-16'!B$68</f>
        <v>0</v>
      </c>
      <c r="M149" s="835">
        <f ca="1">'DA-16'!C$68</f>
        <v>0</v>
      </c>
      <c r="N149" s="312">
        <f ca="1">'DA-16'!D$68</f>
        <v>0</v>
      </c>
      <c r="O149" s="310">
        <f ca="1">'DA-16'!E$68</f>
        <v>0</v>
      </c>
      <c r="P149" s="310">
        <f ca="1">'DA-16'!F$68</f>
        <v>0</v>
      </c>
      <c r="Q149" s="310">
        <f ca="1">'DA-16'!G$68</f>
        <v>0</v>
      </c>
      <c r="R149" s="310">
        <f ca="1">'DA-16'!H$68</f>
        <v>0</v>
      </c>
      <c r="S149" s="310">
        <f ca="1">'DA-16'!I$68</f>
        <v>0</v>
      </c>
    </row>
    <row r="150" spans="1:19">
      <c r="A150" s="5"/>
      <c r="B150" s="249"/>
      <c r="C150" s="13" t="s">
        <v>70</v>
      </c>
      <c r="D150" s="312">
        <f>'I-4 History'!D148</f>
        <v>0</v>
      </c>
      <c r="E150" s="312">
        <f>'I-4 History'!E148</f>
        <v>0</v>
      </c>
      <c r="F150" s="312">
        <f>'I-4 History'!F148</f>
        <v>0</v>
      </c>
      <c r="G150" s="312">
        <f>'I-4 History'!G148</f>
        <v>0</v>
      </c>
      <c r="H150" s="312">
        <f>'I-4 History'!H148</f>
        <v>0</v>
      </c>
      <c r="I150" s="312">
        <f>'I-4 History'!I148</f>
        <v>0</v>
      </c>
      <c r="J150" s="312">
        <f>'I-4 History'!J148</f>
        <v>0</v>
      </c>
      <c r="K150" s="312">
        <f>'I-4 History'!K148</f>
        <v>0</v>
      </c>
      <c r="L150" s="310">
        <f ca="1">'DA-16'!B$69</f>
        <v>0</v>
      </c>
      <c r="M150" s="835">
        <f ca="1">'DA-16'!C$69</f>
        <v>0</v>
      </c>
      <c r="N150" s="312">
        <f ca="1">'DA-16'!D$69</f>
        <v>0</v>
      </c>
      <c r="O150" s="310">
        <f ca="1">'DA-16'!E$69</f>
        <v>0</v>
      </c>
      <c r="P150" s="310">
        <f ca="1">'DA-16'!F$69</f>
        <v>0</v>
      </c>
      <c r="Q150" s="310">
        <f ca="1">'DA-16'!G$69</f>
        <v>0</v>
      </c>
      <c r="R150" s="310">
        <f ca="1">'DA-16'!H$69</f>
        <v>0</v>
      </c>
      <c r="S150" s="310">
        <f ca="1">'DA-16'!I$69</f>
        <v>0</v>
      </c>
    </row>
    <row r="151" spans="1:19">
      <c r="A151" s="5"/>
      <c r="B151" s="249"/>
      <c r="C151" s="12" t="s">
        <v>75</v>
      </c>
      <c r="D151" s="313">
        <f t="shared" ref="D151:K151" si="31">SUBTOTAL(9,D145:D150)</f>
        <v>0</v>
      </c>
      <c r="E151" s="311">
        <f t="shared" si="31"/>
        <v>0</v>
      </c>
      <c r="F151" s="311">
        <f t="shared" si="31"/>
        <v>0</v>
      </c>
      <c r="G151" s="311">
        <f t="shared" si="31"/>
        <v>0</v>
      </c>
      <c r="H151" s="311">
        <f t="shared" si="31"/>
        <v>0</v>
      </c>
      <c r="I151" s="311">
        <f t="shared" si="31"/>
        <v>0</v>
      </c>
      <c r="J151" s="311">
        <f t="shared" si="31"/>
        <v>0</v>
      </c>
      <c r="K151" s="311">
        <f t="shared" si="31"/>
        <v>0</v>
      </c>
      <c r="L151" s="311">
        <f t="shared" ref="L151:S151" ca="1" si="32">SUBTOTAL(9,L145:L150)</f>
        <v>0</v>
      </c>
      <c r="M151" s="513">
        <f t="shared" ca="1" si="32"/>
        <v>0</v>
      </c>
      <c r="N151" s="313">
        <f t="shared" ca="1" si="32"/>
        <v>0</v>
      </c>
      <c r="O151" s="311">
        <f t="shared" ca="1" si="32"/>
        <v>0</v>
      </c>
      <c r="P151" s="311">
        <f t="shared" ca="1" si="32"/>
        <v>0</v>
      </c>
      <c r="Q151" s="311">
        <f t="shared" ca="1" si="32"/>
        <v>0</v>
      </c>
      <c r="R151" s="311">
        <f t="shared" ca="1" si="32"/>
        <v>0</v>
      </c>
      <c r="S151" s="311">
        <f t="shared" ca="1" si="32"/>
        <v>0</v>
      </c>
    </row>
    <row r="152" spans="1:19">
      <c r="A152" s="5"/>
      <c r="B152" s="249"/>
      <c r="C152" s="12"/>
      <c r="D152" s="263"/>
      <c r="E152" s="263"/>
      <c r="F152" s="263"/>
      <c r="G152" s="263"/>
      <c r="H152" s="263"/>
      <c r="I152" s="263"/>
      <c r="J152" s="263"/>
      <c r="K152" s="263"/>
      <c r="L152" s="263"/>
      <c r="M152" s="836"/>
      <c r="N152" s="263"/>
      <c r="O152" s="263"/>
      <c r="P152" s="263"/>
      <c r="Q152" s="263"/>
      <c r="R152" s="263"/>
      <c r="S152" s="263"/>
    </row>
    <row r="153" spans="1:19">
      <c r="A153" s="5"/>
      <c r="B153" s="249" t="str">
        <f ca="1">+'I-4 History'!B151</f>
        <v>DA-17</v>
      </c>
      <c r="C153" s="14" t="str">
        <f ca="1">+'I-4 History'!C151</f>
        <v>Call Centre Charges</v>
      </c>
      <c r="D153" s="11"/>
      <c r="E153" s="11"/>
      <c r="F153" s="11"/>
      <c r="G153" s="11"/>
      <c r="H153" s="11"/>
      <c r="I153" s="11"/>
      <c r="J153" s="11"/>
      <c r="K153" s="11"/>
      <c r="L153" s="11"/>
      <c r="M153" s="507"/>
      <c r="N153" s="11"/>
      <c r="O153" s="11"/>
      <c r="P153" s="11"/>
      <c r="Q153" s="11"/>
      <c r="R153" s="11"/>
      <c r="S153" s="11"/>
    </row>
    <row r="154" spans="1:19">
      <c r="A154" s="5"/>
      <c r="B154" s="249"/>
      <c r="C154" s="13" t="s">
        <v>68</v>
      </c>
      <c r="D154" s="312">
        <f>'I-4 History'!D152</f>
        <v>0</v>
      </c>
      <c r="E154" s="312">
        <f>'I-4 History'!E152</f>
        <v>0</v>
      </c>
      <c r="F154" s="312">
        <f>'I-4 History'!F152</f>
        <v>0</v>
      </c>
      <c r="G154" s="312">
        <f>'I-4 History'!G152</f>
        <v>0</v>
      </c>
      <c r="H154" s="312">
        <f>'I-4 History'!H152</f>
        <v>0</v>
      </c>
      <c r="I154" s="312">
        <f>'I-4 History'!I152</f>
        <v>0</v>
      </c>
      <c r="J154" s="312">
        <f>'I-4 History'!J152</f>
        <v>0</v>
      </c>
      <c r="K154" s="312">
        <f>'I-4 History'!K152</f>
        <v>0</v>
      </c>
      <c r="L154" s="310">
        <f ca="1">'DA-17'!B$64</f>
        <v>0</v>
      </c>
      <c r="M154" s="835">
        <f ca="1">'DA-17'!C$64</f>
        <v>0</v>
      </c>
      <c r="N154" s="312">
        <f ca="1">'DA-17'!D$64</f>
        <v>0</v>
      </c>
      <c r="O154" s="310">
        <f ca="1">'DA-17'!E$64</f>
        <v>0</v>
      </c>
      <c r="P154" s="310">
        <f ca="1">'DA-17'!F$64</f>
        <v>0</v>
      </c>
      <c r="Q154" s="310">
        <f ca="1">'DA-17'!G$64</f>
        <v>0</v>
      </c>
      <c r="R154" s="310">
        <f ca="1">'DA-17'!H$64</f>
        <v>0</v>
      </c>
      <c r="S154" s="310">
        <f ca="1">'DA-17'!I$64</f>
        <v>0</v>
      </c>
    </row>
    <row r="155" spans="1:19">
      <c r="A155" s="5"/>
      <c r="B155" s="249"/>
      <c r="C155" s="13" t="s">
        <v>69</v>
      </c>
      <c r="D155" s="312">
        <f>'I-4 History'!D153</f>
        <v>0</v>
      </c>
      <c r="E155" s="312">
        <f>'I-4 History'!E153</f>
        <v>0</v>
      </c>
      <c r="F155" s="312">
        <f>'I-4 History'!F153</f>
        <v>0</v>
      </c>
      <c r="G155" s="312">
        <f>'I-4 History'!G153</f>
        <v>0</v>
      </c>
      <c r="H155" s="312">
        <f>'I-4 History'!H153</f>
        <v>0</v>
      </c>
      <c r="I155" s="312">
        <f>'I-4 History'!I153</f>
        <v>0</v>
      </c>
      <c r="J155" s="312">
        <f>'I-4 History'!J153</f>
        <v>0</v>
      </c>
      <c r="K155" s="312">
        <f>'I-4 History'!K153</f>
        <v>0</v>
      </c>
      <c r="L155" s="310">
        <f ca="1">'DA-17'!B$65</f>
        <v>0</v>
      </c>
      <c r="M155" s="835">
        <f ca="1">'DA-17'!C$65</f>
        <v>0</v>
      </c>
      <c r="N155" s="312">
        <f ca="1">'DA-17'!D$65</f>
        <v>0</v>
      </c>
      <c r="O155" s="310">
        <f ca="1">'DA-17'!E$65</f>
        <v>0</v>
      </c>
      <c r="P155" s="310">
        <f ca="1">'DA-17'!F$65</f>
        <v>0</v>
      </c>
      <c r="Q155" s="310">
        <f ca="1">'DA-17'!G$65</f>
        <v>0</v>
      </c>
      <c r="R155" s="310">
        <f ca="1">'DA-17'!H$65</f>
        <v>0</v>
      </c>
      <c r="S155" s="310">
        <f ca="1">'DA-17'!I$65</f>
        <v>0</v>
      </c>
    </row>
    <row r="156" spans="1:19" s="759" customFormat="1">
      <c r="A156" s="5"/>
      <c r="B156" s="249"/>
      <c r="C156" s="13" t="s">
        <v>646</v>
      </c>
      <c r="D156" s="312">
        <f>'I-4 History'!D154</f>
        <v>0</v>
      </c>
      <c r="E156" s="312">
        <f>'I-4 History'!E154</f>
        <v>0</v>
      </c>
      <c r="F156" s="312">
        <f>'I-4 History'!F154</f>
        <v>0</v>
      </c>
      <c r="G156" s="312">
        <f>'I-4 History'!G154</f>
        <v>0</v>
      </c>
      <c r="H156" s="312">
        <f>'I-4 History'!H154</f>
        <v>0</v>
      </c>
      <c r="I156" s="312">
        <f>'I-4 History'!I154</f>
        <v>0</v>
      </c>
      <c r="J156" s="312">
        <f>'I-4 History'!J154</f>
        <v>0</v>
      </c>
      <c r="K156" s="312">
        <f>'I-4 History'!K154</f>
        <v>0</v>
      </c>
      <c r="L156" s="310">
        <f ca="1">'DA-17'!B$66</f>
        <v>0</v>
      </c>
      <c r="M156" s="835">
        <f ca="1">'DA-17'!C$66</f>
        <v>0</v>
      </c>
      <c r="N156" s="312">
        <f ca="1">'DA-17'!D$66</f>
        <v>0</v>
      </c>
      <c r="O156" s="310">
        <f ca="1">'DA-17'!E$66</f>
        <v>0</v>
      </c>
      <c r="P156" s="310">
        <f ca="1">'DA-17'!F$66</f>
        <v>0</v>
      </c>
      <c r="Q156" s="310">
        <f ca="1">'DA-17'!G$66</f>
        <v>0</v>
      </c>
      <c r="R156" s="310">
        <f ca="1">'DA-17'!H$66</f>
        <v>0</v>
      </c>
      <c r="S156" s="310">
        <f ca="1">'DA-17'!I$66</f>
        <v>0</v>
      </c>
    </row>
    <row r="157" spans="1:19">
      <c r="A157" s="5"/>
      <c r="B157" s="249"/>
      <c r="C157" s="13" t="s">
        <v>647</v>
      </c>
      <c r="D157" s="312">
        <f>'I-4 History'!D155</f>
        <v>0</v>
      </c>
      <c r="E157" s="312">
        <f>'I-4 History'!E155</f>
        <v>0</v>
      </c>
      <c r="F157" s="312">
        <f>'I-4 History'!F155</f>
        <v>0</v>
      </c>
      <c r="G157" s="312">
        <f>'I-4 History'!G155</f>
        <v>0</v>
      </c>
      <c r="H157" s="312">
        <f>'I-4 History'!H155</f>
        <v>0</v>
      </c>
      <c r="I157" s="312">
        <f>'I-4 History'!I155</f>
        <v>0</v>
      </c>
      <c r="J157" s="312">
        <f>'I-4 History'!J155</f>
        <v>0</v>
      </c>
      <c r="K157" s="312">
        <f>'I-4 History'!K155</f>
        <v>0</v>
      </c>
      <c r="L157" s="310">
        <f ca="1">'DA-17'!B$67</f>
        <v>0</v>
      </c>
      <c r="M157" s="835">
        <f ca="1">'DA-17'!C$67</f>
        <v>0</v>
      </c>
      <c r="N157" s="312">
        <f ca="1">'DA-17'!D$67</f>
        <v>2.9550000000000001</v>
      </c>
      <c r="O157" s="310">
        <f ca="1">'DA-17'!E$67</f>
        <v>3.0012841888546546</v>
      </c>
      <c r="P157" s="310">
        <f ca="1">'DA-17'!F$67</f>
        <v>3.0456325570746894</v>
      </c>
      <c r="Q157" s="310">
        <f ca="1">'DA-17'!G$67</f>
        <v>3.1023084768523002</v>
      </c>
      <c r="R157" s="310">
        <f ca="1">'DA-17'!H$67</f>
        <v>3.1669665158625429</v>
      </c>
      <c r="S157" s="310">
        <f ca="1">'DA-17'!I$67</f>
        <v>3.2363099607415191</v>
      </c>
    </row>
    <row r="158" spans="1:19" s="759" customFormat="1">
      <c r="A158" s="5"/>
      <c r="B158" s="249"/>
      <c r="C158" s="13" t="s">
        <v>575</v>
      </c>
      <c r="D158" s="312">
        <f>'I-4 History'!D156</f>
        <v>0</v>
      </c>
      <c r="E158" s="312">
        <f>'I-4 History'!E156</f>
        <v>0</v>
      </c>
      <c r="F158" s="312">
        <f>'I-4 History'!F156</f>
        <v>0</v>
      </c>
      <c r="G158" s="312">
        <f>'I-4 History'!G156</f>
        <v>0</v>
      </c>
      <c r="H158" s="312">
        <f>'I-4 History'!H156</f>
        <v>0</v>
      </c>
      <c r="I158" s="312">
        <f>'I-4 History'!I156</f>
        <v>0</v>
      </c>
      <c r="J158" s="312">
        <f>'I-4 History'!J156</f>
        <v>0</v>
      </c>
      <c r="K158" s="312">
        <f>'I-4 History'!K156</f>
        <v>0</v>
      </c>
      <c r="L158" s="310">
        <f ca="1">'DA-17'!B$68</f>
        <v>0</v>
      </c>
      <c r="M158" s="835">
        <f ca="1">'DA-17'!C$68</f>
        <v>0</v>
      </c>
      <c r="N158" s="312">
        <f ca="1">'DA-17'!D$68</f>
        <v>0</v>
      </c>
      <c r="O158" s="310">
        <f ca="1">'DA-17'!E$68</f>
        <v>0</v>
      </c>
      <c r="P158" s="310">
        <f ca="1">'DA-17'!F$68</f>
        <v>0</v>
      </c>
      <c r="Q158" s="310">
        <f ca="1">'DA-17'!G$68</f>
        <v>0</v>
      </c>
      <c r="R158" s="310">
        <f ca="1">'DA-17'!H$68</f>
        <v>0</v>
      </c>
      <c r="S158" s="310">
        <f ca="1">'DA-17'!I$68</f>
        <v>0</v>
      </c>
    </row>
    <row r="159" spans="1:19">
      <c r="A159" s="5"/>
      <c r="B159" s="249"/>
      <c r="C159" s="13" t="s">
        <v>70</v>
      </c>
      <c r="D159" s="312">
        <f>'I-4 History'!D157</f>
        <v>0</v>
      </c>
      <c r="E159" s="312">
        <f>'I-4 History'!E157</f>
        <v>0</v>
      </c>
      <c r="F159" s="312">
        <f>'I-4 History'!F157</f>
        <v>0</v>
      </c>
      <c r="G159" s="312">
        <f>'I-4 History'!G157</f>
        <v>0</v>
      </c>
      <c r="H159" s="312">
        <f>'I-4 History'!H157</f>
        <v>0</v>
      </c>
      <c r="I159" s="312">
        <f>'I-4 History'!I157</f>
        <v>0</v>
      </c>
      <c r="J159" s="312">
        <f>'I-4 History'!J157</f>
        <v>0</v>
      </c>
      <c r="K159" s="312">
        <f>'I-4 History'!K157</f>
        <v>0</v>
      </c>
      <c r="L159" s="310">
        <f ca="1">'DA-17'!B$69</f>
        <v>0</v>
      </c>
      <c r="M159" s="835">
        <f ca="1">'DA-17'!C$69</f>
        <v>0</v>
      </c>
      <c r="N159" s="312">
        <f ca="1">'DA-17'!D$69</f>
        <v>0</v>
      </c>
      <c r="O159" s="310">
        <f ca="1">'DA-17'!E$69</f>
        <v>0</v>
      </c>
      <c r="P159" s="310">
        <f ca="1">'DA-17'!F$69</f>
        <v>0</v>
      </c>
      <c r="Q159" s="310">
        <f ca="1">'DA-17'!G$69</f>
        <v>0</v>
      </c>
      <c r="R159" s="310">
        <f ca="1">'DA-17'!H$69</f>
        <v>0</v>
      </c>
      <c r="S159" s="310">
        <f ca="1">'DA-17'!I$69</f>
        <v>0</v>
      </c>
    </row>
    <row r="160" spans="1:19">
      <c r="A160" s="5"/>
      <c r="B160" s="249"/>
      <c r="C160" s="12" t="s">
        <v>75</v>
      </c>
      <c r="D160" s="313">
        <f t="shared" ref="D160:K160" si="33">SUBTOTAL(9,D154:D159)</f>
        <v>0</v>
      </c>
      <c r="E160" s="311">
        <f t="shared" si="33"/>
        <v>0</v>
      </c>
      <c r="F160" s="311">
        <f t="shared" si="33"/>
        <v>0</v>
      </c>
      <c r="G160" s="311">
        <f t="shared" si="33"/>
        <v>0</v>
      </c>
      <c r="H160" s="311">
        <f t="shared" si="33"/>
        <v>0</v>
      </c>
      <c r="I160" s="311">
        <f t="shared" si="33"/>
        <v>0</v>
      </c>
      <c r="J160" s="311">
        <f t="shared" si="33"/>
        <v>0</v>
      </c>
      <c r="K160" s="311">
        <f t="shared" si="33"/>
        <v>0</v>
      </c>
      <c r="L160" s="311">
        <f t="shared" ref="L160:S160" ca="1" si="34">SUBTOTAL(9,L154:L159)</f>
        <v>0</v>
      </c>
      <c r="M160" s="513">
        <f t="shared" ca="1" si="34"/>
        <v>0</v>
      </c>
      <c r="N160" s="313">
        <f t="shared" ca="1" si="34"/>
        <v>2.9550000000000001</v>
      </c>
      <c r="O160" s="311">
        <f t="shared" ca="1" si="34"/>
        <v>3.0012841888546546</v>
      </c>
      <c r="P160" s="311">
        <f t="shared" ca="1" si="34"/>
        <v>3.0456325570746894</v>
      </c>
      <c r="Q160" s="311">
        <f t="shared" ca="1" si="34"/>
        <v>3.1023084768523002</v>
      </c>
      <c r="R160" s="311">
        <f t="shared" ca="1" si="34"/>
        <v>3.1669665158625429</v>
      </c>
      <c r="S160" s="311">
        <f t="shared" ca="1" si="34"/>
        <v>3.2363099607415191</v>
      </c>
    </row>
    <row r="161" spans="1:19">
      <c r="A161" s="5"/>
      <c r="B161" s="249"/>
      <c r="C161" s="12"/>
      <c r="D161" s="263"/>
      <c r="E161" s="263"/>
      <c r="F161" s="263"/>
      <c r="G161" s="263"/>
      <c r="H161" s="263"/>
      <c r="I161" s="263"/>
      <c r="J161" s="263"/>
      <c r="K161" s="263"/>
      <c r="L161" s="263"/>
      <c r="M161" s="836"/>
      <c r="N161" s="263"/>
      <c r="O161" s="263"/>
      <c r="P161" s="263"/>
      <c r="Q161" s="263"/>
      <c r="R161" s="263"/>
      <c r="S161" s="263"/>
    </row>
    <row r="162" spans="1:19">
      <c r="A162" s="5"/>
      <c r="B162" s="249" t="str">
        <f ca="1">+'I-4 History'!B160</f>
        <v>DA-18</v>
      </c>
      <c r="C162" s="14" t="str">
        <f ca="1">+'I-4 History'!C160</f>
        <v>Demand Management</v>
      </c>
      <c r="D162" s="11"/>
      <c r="E162" s="11"/>
      <c r="F162" s="11"/>
      <c r="G162" s="11"/>
      <c r="H162" s="11"/>
      <c r="I162" s="11"/>
      <c r="J162" s="11"/>
      <c r="K162" s="11"/>
      <c r="L162" s="11"/>
      <c r="M162" s="507"/>
      <c r="N162" s="11"/>
      <c r="O162" s="11"/>
      <c r="P162" s="11"/>
      <c r="Q162" s="11"/>
      <c r="R162" s="11"/>
      <c r="S162" s="11"/>
    </row>
    <row r="163" spans="1:19">
      <c r="B163" s="249"/>
      <c r="C163" s="13" t="s">
        <v>68</v>
      </c>
      <c r="D163" s="312">
        <f>'I-4 History'!D161</f>
        <v>0</v>
      </c>
      <c r="E163" s="312">
        <f>'I-4 History'!E161</f>
        <v>0</v>
      </c>
      <c r="F163" s="312">
        <f>'I-4 History'!F161</f>
        <v>0</v>
      </c>
      <c r="G163" s="312">
        <f>'I-4 History'!G161</f>
        <v>0</v>
      </c>
      <c r="H163" s="312">
        <f>'I-4 History'!H161</f>
        <v>0</v>
      </c>
      <c r="I163" s="312">
        <f>'I-4 History'!I161</f>
        <v>0</v>
      </c>
      <c r="J163" s="312">
        <f>'I-4 History'!J161</f>
        <v>0</v>
      </c>
      <c r="K163" s="312">
        <f>'I-4 History'!K161</f>
        <v>0</v>
      </c>
      <c r="L163" s="310">
        <f ca="1">'DA-18'!B$64</f>
        <v>0</v>
      </c>
      <c r="M163" s="835">
        <f ca="1">'DA-18'!C$64</f>
        <v>0</v>
      </c>
      <c r="N163" s="312">
        <f ca="1">'DA-18'!D$64</f>
        <v>0.71</v>
      </c>
      <c r="O163" s="310">
        <f ca="1">'DA-18'!E$64</f>
        <v>0.73292987053773584</v>
      </c>
      <c r="P163" s="310">
        <f ca="1">'DA-18'!F$64</f>
        <v>0.75593985954030318</v>
      </c>
      <c r="Q163" s="310">
        <f ca="1">'DA-18'!G$64</f>
        <v>0.78041152084262821</v>
      </c>
      <c r="R163" s="310">
        <f ca="1">'DA-18'!H$64</f>
        <v>0.80624301626538653</v>
      </c>
      <c r="S163" s="310">
        <f ca="1">'DA-18'!I$64</f>
        <v>0.83214247766714755</v>
      </c>
    </row>
    <row r="164" spans="1:19">
      <c r="B164" s="249"/>
      <c r="C164" s="13" t="s">
        <v>69</v>
      </c>
      <c r="D164" s="312">
        <f>'I-4 History'!D162</f>
        <v>0</v>
      </c>
      <c r="E164" s="312">
        <f>'I-4 History'!E162</f>
        <v>0</v>
      </c>
      <c r="F164" s="312">
        <f>'I-4 History'!F162</f>
        <v>0</v>
      </c>
      <c r="G164" s="312">
        <f>'I-4 History'!G162</f>
        <v>0</v>
      </c>
      <c r="H164" s="312">
        <f>'I-4 History'!H162</f>
        <v>0</v>
      </c>
      <c r="I164" s="312">
        <f>'I-4 History'!I162</f>
        <v>0</v>
      </c>
      <c r="J164" s="312">
        <f>'I-4 History'!J162</f>
        <v>0</v>
      </c>
      <c r="K164" s="312">
        <f>'I-4 History'!K162</f>
        <v>0</v>
      </c>
      <c r="L164" s="310">
        <f ca="1">'DA-18'!B$65</f>
        <v>0</v>
      </c>
      <c r="M164" s="835">
        <f ca="1">'DA-18'!C$65</f>
        <v>0</v>
      </c>
      <c r="N164" s="312">
        <f ca="1">'DA-18'!D$65</f>
        <v>0.20899999999999999</v>
      </c>
      <c r="O164" s="310">
        <f ca="1">'DA-18'!E$65</f>
        <v>0.21121748128077814</v>
      </c>
      <c r="P164" s="310">
        <f ca="1">'DA-18'!F$65</f>
        <v>0.21327216798083484</v>
      </c>
      <c r="Q164" s="310">
        <f ca="1">'DA-18'!G$65</f>
        <v>0.21530320296812847</v>
      </c>
      <c r="R164" s="310">
        <f ca="1">'DA-18'!H$65</f>
        <v>0.21750671280572209</v>
      </c>
      <c r="S164" s="310">
        <f ca="1">'DA-18'!I$65</f>
        <v>0.21952514430809603</v>
      </c>
    </row>
    <row r="165" spans="1:19" s="759" customFormat="1">
      <c r="B165" s="249"/>
      <c r="C165" s="13" t="s">
        <v>646</v>
      </c>
      <c r="D165" s="312">
        <f>'I-4 History'!D163</f>
        <v>0</v>
      </c>
      <c r="E165" s="312">
        <f>'I-4 History'!E163</f>
        <v>0</v>
      </c>
      <c r="F165" s="312">
        <f>'I-4 History'!F163</f>
        <v>0</v>
      </c>
      <c r="G165" s="312">
        <f>'I-4 History'!G163</f>
        <v>0</v>
      </c>
      <c r="H165" s="312">
        <f>'I-4 History'!H163</f>
        <v>0</v>
      </c>
      <c r="I165" s="312">
        <f>'I-4 History'!I163</f>
        <v>0</v>
      </c>
      <c r="J165" s="312">
        <f>'I-4 History'!J163</f>
        <v>0</v>
      </c>
      <c r="K165" s="312">
        <f>'I-4 History'!K163</f>
        <v>0</v>
      </c>
      <c r="L165" s="310">
        <f ca="1">'DA-18'!B$66</f>
        <v>0</v>
      </c>
      <c r="M165" s="835">
        <f ca="1">'DA-18'!C$66</f>
        <v>0</v>
      </c>
      <c r="N165" s="312">
        <f ca="1">'DA-18'!D$66</f>
        <v>7.4999999999999997E-2</v>
      </c>
      <c r="O165" s="310">
        <f ca="1">'DA-18'!E$66</f>
        <v>7.6174725605448079E-2</v>
      </c>
      <c r="P165" s="310">
        <f ca="1">'DA-18'!F$66</f>
        <v>7.7300318707479429E-2</v>
      </c>
      <c r="Q165" s="310">
        <f ca="1">'DA-18'!G$66</f>
        <v>7.8738793828738579E-2</v>
      </c>
      <c r="R165" s="310">
        <f ca="1">'DA-18'!H$66</f>
        <v>8.0379860808693984E-2</v>
      </c>
      <c r="S165" s="310">
        <f ca="1">'DA-18'!I$66</f>
        <v>8.2139846719327891E-2</v>
      </c>
    </row>
    <row r="166" spans="1:19">
      <c r="B166" s="249"/>
      <c r="C166" s="13" t="s">
        <v>647</v>
      </c>
      <c r="D166" s="312">
        <f>'I-4 History'!D164</f>
        <v>0</v>
      </c>
      <c r="E166" s="312">
        <f>'I-4 History'!E164</f>
        <v>0</v>
      </c>
      <c r="F166" s="312">
        <f>'I-4 History'!F164</f>
        <v>0</v>
      </c>
      <c r="G166" s="312">
        <f>'I-4 History'!G164</f>
        <v>0</v>
      </c>
      <c r="H166" s="312">
        <f>'I-4 History'!H164</f>
        <v>0</v>
      </c>
      <c r="I166" s="312">
        <f>'I-4 History'!I164</f>
        <v>0</v>
      </c>
      <c r="J166" s="312">
        <f>'I-4 History'!J164</f>
        <v>0</v>
      </c>
      <c r="K166" s="312">
        <f>'I-4 History'!K164</f>
        <v>0</v>
      </c>
      <c r="L166" s="310">
        <f ca="1">'DA-18'!B$67</f>
        <v>0</v>
      </c>
      <c r="M166" s="835">
        <f ca="1">'DA-18'!C$67</f>
        <v>0</v>
      </c>
      <c r="N166" s="312">
        <f ca="1">'DA-18'!D$67</f>
        <v>0.32400000000000001</v>
      </c>
      <c r="O166" s="310">
        <f ca="1">'DA-18'!E$67</f>
        <v>0.32907481461553578</v>
      </c>
      <c r="P166" s="310">
        <f ca="1">'DA-18'!F$67</f>
        <v>0.33393737681631114</v>
      </c>
      <c r="Q166" s="310">
        <f ca="1">'DA-18'!G$67</f>
        <v>0.34015158934015066</v>
      </c>
      <c r="R166" s="310">
        <f ca="1">'DA-18'!H$67</f>
        <v>0.34724099869355807</v>
      </c>
      <c r="S166" s="310">
        <f ca="1">'DA-18'!I$67</f>
        <v>0.35484413782749646</v>
      </c>
    </row>
    <row r="167" spans="1:19" s="759" customFormat="1">
      <c r="B167" s="249"/>
      <c r="C167" s="13" t="s">
        <v>575</v>
      </c>
      <c r="D167" s="312">
        <f>'I-4 History'!D165</f>
        <v>0</v>
      </c>
      <c r="E167" s="312">
        <f>'I-4 History'!E165</f>
        <v>0</v>
      </c>
      <c r="F167" s="312">
        <f>'I-4 History'!F165</f>
        <v>0</v>
      </c>
      <c r="G167" s="312">
        <f>'I-4 History'!G165</f>
        <v>0</v>
      </c>
      <c r="H167" s="312">
        <f>'I-4 History'!H165</f>
        <v>0</v>
      </c>
      <c r="I167" s="312">
        <f>'I-4 History'!I165</f>
        <v>0</v>
      </c>
      <c r="J167" s="312">
        <f>'I-4 History'!J165</f>
        <v>0</v>
      </c>
      <c r="K167" s="312">
        <f>'I-4 History'!K165</f>
        <v>0</v>
      </c>
      <c r="L167" s="310">
        <f ca="1">'DA-18'!B$68</f>
        <v>0</v>
      </c>
      <c r="M167" s="835">
        <f ca="1">'DA-18'!C$68</f>
        <v>0</v>
      </c>
      <c r="N167" s="312">
        <f ca="1">'DA-18'!D$68</f>
        <v>-0.122</v>
      </c>
      <c r="O167" s="310">
        <f ca="1">'DA-18'!E$68</f>
        <v>-0.12594006226141377</v>
      </c>
      <c r="P167" s="310">
        <f ca="1">'DA-18'!F$68</f>
        <v>-0.12989389135762955</v>
      </c>
      <c r="Q167" s="310">
        <f ca="1">'DA-18'!G$68</f>
        <v>-0.1340988810461981</v>
      </c>
      <c r="R167" s="310">
        <f ca="1">'DA-18'!H$68</f>
        <v>-0.13853753237236222</v>
      </c>
      <c r="S167" s="310">
        <f ca="1">'DA-18'!I$68</f>
        <v>-0.14298786235970704</v>
      </c>
    </row>
    <row r="168" spans="1:19">
      <c r="B168" s="249"/>
      <c r="C168" s="13" t="s">
        <v>70</v>
      </c>
      <c r="D168" s="312">
        <f>'I-4 History'!D166</f>
        <v>0</v>
      </c>
      <c r="E168" s="312">
        <f>'I-4 History'!E166</f>
        <v>0</v>
      </c>
      <c r="F168" s="312">
        <f>'I-4 History'!F166</f>
        <v>0</v>
      </c>
      <c r="G168" s="312">
        <f>'I-4 History'!G166</f>
        <v>0</v>
      </c>
      <c r="H168" s="312">
        <f>'I-4 History'!H166</f>
        <v>0</v>
      </c>
      <c r="I168" s="312">
        <f>'I-4 History'!I166</f>
        <v>0</v>
      </c>
      <c r="J168" s="312">
        <f>'I-4 History'!J166</f>
        <v>0</v>
      </c>
      <c r="K168" s="312">
        <f>'I-4 History'!K166</f>
        <v>0</v>
      </c>
      <c r="L168" s="310">
        <f ca="1">'DA-18'!B$69</f>
        <v>0</v>
      </c>
      <c r="M168" s="835">
        <f ca="1">'DA-18'!C$69</f>
        <v>0</v>
      </c>
      <c r="N168" s="312">
        <f ca="1">'DA-18'!D$69</f>
        <v>0</v>
      </c>
      <c r="O168" s="310">
        <f ca="1">'DA-18'!E$69</f>
        <v>0</v>
      </c>
      <c r="P168" s="310">
        <f ca="1">'DA-18'!F$69</f>
        <v>0</v>
      </c>
      <c r="Q168" s="310">
        <f ca="1">'DA-18'!G$69</f>
        <v>0</v>
      </c>
      <c r="R168" s="310">
        <f ca="1">'DA-18'!H$69</f>
        <v>0</v>
      </c>
      <c r="S168" s="310">
        <f ca="1">'DA-18'!I$69</f>
        <v>0</v>
      </c>
    </row>
    <row r="169" spans="1:19">
      <c r="B169" s="249"/>
      <c r="C169" s="12" t="s">
        <v>75</v>
      </c>
      <c r="D169" s="313">
        <f t="shared" ref="D169:K169" si="35">SUBTOTAL(9,D163:D168)</f>
        <v>0</v>
      </c>
      <c r="E169" s="311">
        <f t="shared" si="35"/>
        <v>0</v>
      </c>
      <c r="F169" s="311">
        <f t="shared" si="35"/>
        <v>0</v>
      </c>
      <c r="G169" s="311">
        <f t="shared" si="35"/>
        <v>0</v>
      </c>
      <c r="H169" s="311">
        <f t="shared" si="35"/>
        <v>0</v>
      </c>
      <c r="I169" s="311">
        <f t="shared" si="35"/>
        <v>0</v>
      </c>
      <c r="J169" s="311">
        <f t="shared" si="35"/>
        <v>0</v>
      </c>
      <c r="K169" s="311">
        <f t="shared" si="35"/>
        <v>0</v>
      </c>
      <c r="L169" s="311">
        <f t="shared" ref="L169:S169" ca="1" si="36">SUBTOTAL(9,L163:L168)</f>
        <v>0</v>
      </c>
      <c r="M169" s="513">
        <f t="shared" ca="1" si="36"/>
        <v>0</v>
      </c>
      <c r="N169" s="313">
        <f t="shared" ca="1" si="36"/>
        <v>1.1959999999999997</v>
      </c>
      <c r="O169" s="311">
        <f t="shared" ca="1" si="36"/>
        <v>1.2234568297780841</v>
      </c>
      <c r="P169" s="311">
        <f t="shared" ca="1" si="36"/>
        <v>1.2505558316872991</v>
      </c>
      <c r="Q169" s="311">
        <f t="shared" ca="1" si="36"/>
        <v>1.2805062259334479</v>
      </c>
      <c r="R169" s="311">
        <f t="shared" ca="1" si="36"/>
        <v>1.3128330562009984</v>
      </c>
      <c r="S169" s="311">
        <f t="shared" ca="1" si="36"/>
        <v>1.3456637441623611</v>
      </c>
    </row>
    <row r="170" spans="1:19">
      <c r="B170" s="249"/>
      <c r="C170" s="12"/>
      <c r="D170" s="263"/>
      <c r="E170" s="263"/>
      <c r="F170" s="263"/>
      <c r="G170" s="263"/>
      <c r="H170" s="263"/>
      <c r="I170" s="263"/>
      <c r="J170" s="263"/>
      <c r="K170" s="263"/>
      <c r="L170" s="263"/>
      <c r="M170" s="836"/>
      <c r="N170" s="263"/>
      <c r="O170" s="263"/>
      <c r="P170" s="263"/>
      <c r="Q170" s="263"/>
      <c r="R170" s="263"/>
      <c r="S170" s="263"/>
    </row>
    <row r="171" spans="1:19">
      <c r="A171" s="5"/>
      <c r="B171" s="249" t="str">
        <f ca="1">+'I-4 History'!B169</f>
        <v>DA-19</v>
      </c>
      <c r="C171" s="14" t="str">
        <f ca="1">+'I-4 History'!C169</f>
        <v>Demand Management Innovation Fund</v>
      </c>
      <c r="D171" s="11"/>
      <c r="E171" s="11"/>
      <c r="F171" s="11"/>
      <c r="G171" s="11"/>
      <c r="H171" s="11"/>
      <c r="I171" s="11"/>
      <c r="J171" s="11"/>
      <c r="K171" s="11"/>
      <c r="L171" s="11"/>
      <c r="M171" s="507"/>
      <c r="N171" s="11"/>
      <c r="O171" s="11"/>
      <c r="P171" s="11"/>
      <c r="Q171" s="11"/>
      <c r="R171" s="11"/>
      <c r="S171" s="11"/>
    </row>
    <row r="172" spans="1:19">
      <c r="A172" s="5"/>
      <c r="B172" s="249"/>
      <c r="C172" s="13" t="s">
        <v>68</v>
      </c>
      <c r="D172" s="312">
        <f>'I-4 History'!D170</f>
        <v>0</v>
      </c>
      <c r="E172" s="312">
        <f>'I-4 History'!E170</f>
        <v>0</v>
      </c>
      <c r="F172" s="312">
        <f>'I-4 History'!F170</f>
        <v>0</v>
      </c>
      <c r="G172" s="312">
        <f>'I-4 History'!G170</f>
        <v>0</v>
      </c>
      <c r="H172" s="312">
        <f>'I-4 History'!H170</f>
        <v>0</v>
      </c>
      <c r="I172" s="312">
        <f>'I-4 History'!I170</f>
        <v>0</v>
      </c>
      <c r="J172" s="312">
        <f>'I-4 History'!J170</f>
        <v>0</v>
      </c>
      <c r="K172" s="312">
        <f>'I-4 History'!K170</f>
        <v>0</v>
      </c>
      <c r="L172" s="310">
        <f ca="1">'DA-19'!B$64</f>
        <v>0</v>
      </c>
      <c r="M172" s="835">
        <f ca="1">'DA-19'!C$64</f>
        <v>0</v>
      </c>
      <c r="N172" s="312">
        <f ca="1">'DA-19'!D$64</f>
        <v>0</v>
      </c>
      <c r="O172" s="310">
        <f ca="1">'DA-19'!E$64</f>
        <v>0</v>
      </c>
      <c r="P172" s="310">
        <f ca="1">'DA-19'!F$64</f>
        <v>0</v>
      </c>
      <c r="Q172" s="310">
        <f ca="1">'DA-19'!G$64</f>
        <v>0</v>
      </c>
      <c r="R172" s="310">
        <f ca="1">'DA-19'!H$64</f>
        <v>0</v>
      </c>
      <c r="S172" s="310">
        <f ca="1">'DA-19'!I$64</f>
        <v>0</v>
      </c>
    </row>
    <row r="173" spans="1:19">
      <c r="A173" s="5"/>
      <c r="B173" s="249"/>
      <c r="C173" s="13" t="s">
        <v>69</v>
      </c>
      <c r="D173" s="312">
        <f>'I-4 History'!D171</f>
        <v>0</v>
      </c>
      <c r="E173" s="312">
        <f>'I-4 History'!E171</f>
        <v>0</v>
      </c>
      <c r="F173" s="312">
        <f>'I-4 History'!F171</f>
        <v>0</v>
      </c>
      <c r="G173" s="312">
        <f>'I-4 History'!G171</f>
        <v>0</v>
      </c>
      <c r="H173" s="312">
        <f>'I-4 History'!H171</f>
        <v>0</v>
      </c>
      <c r="I173" s="312">
        <f>'I-4 History'!I171</f>
        <v>0</v>
      </c>
      <c r="J173" s="312">
        <f>'I-4 History'!J171</f>
        <v>0</v>
      </c>
      <c r="K173" s="312">
        <f>'I-4 History'!K171</f>
        <v>0</v>
      </c>
      <c r="L173" s="310">
        <f ca="1">'DA-19'!B$65</f>
        <v>0</v>
      </c>
      <c r="M173" s="835">
        <f ca="1">'DA-19'!C$65</f>
        <v>0</v>
      </c>
      <c r="N173" s="312">
        <f ca="1">'DA-19'!D$65</f>
        <v>0</v>
      </c>
      <c r="O173" s="310">
        <f ca="1">'DA-19'!E$65</f>
        <v>0</v>
      </c>
      <c r="P173" s="310">
        <f ca="1">'DA-19'!F$65</f>
        <v>0</v>
      </c>
      <c r="Q173" s="310">
        <f ca="1">'DA-19'!G$65</f>
        <v>0</v>
      </c>
      <c r="R173" s="310">
        <f ca="1">'DA-19'!H$65</f>
        <v>0</v>
      </c>
      <c r="S173" s="310">
        <f ca="1">'DA-19'!I$65</f>
        <v>0</v>
      </c>
    </row>
    <row r="174" spans="1:19" s="759" customFormat="1">
      <c r="A174" s="5"/>
      <c r="B174" s="249"/>
      <c r="C174" s="13" t="s">
        <v>646</v>
      </c>
      <c r="D174" s="312">
        <f>'I-4 History'!D172</f>
        <v>0</v>
      </c>
      <c r="E174" s="312">
        <f>'I-4 History'!E172</f>
        <v>0</v>
      </c>
      <c r="F174" s="312">
        <f>'I-4 History'!F172</f>
        <v>0</v>
      </c>
      <c r="G174" s="312">
        <f>'I-4 History'!G172</f>
        <v>0</v>
      </c>
      <c r="H174" s="312">
        <f>'I-4 History'!H172</f>
        <v>0</v>
      </c>
      <c r="I174" s="312">
        <f>'I-4 History'!I172</f>
        <v>0</v>
      </c>
      <c r="J174" s="312">
        <f>'I-4 History'!J172</f>
        <v>0</v>
      </c>
      <c r="K174" s="312">
        <f>'I-4 History'!K172</f>
        <v>0</v>
      </c>
      <c r="L174" s="310">
        <f ca="1">'DA-19'!B$66</f>
        <v>0</v>
      </c>
      <c r="M174" s="835">
        <f ca="1">'DA-19'!C$66</f>
        <v>0</v>
      </c>
      <c r="N174" s="312">
        <f ca="1">'DA-19'!D$66</f>
        <v>0</v>
      </c>
      <c r="O174" s="310">
        <f ca="1">'DA-19'!E$66</f>
        <v>0</v>
      </c>
      <c r="P174" s="310">
        <f ca="1">'DA-19'!F$66</f>
        <v>0</v>
      </c>
      <c r="Q174" s="310">
        <f ca="1">'DA-19'!G$66</f>
        <v>0</v>
      </c>
      <c r="R174" s="310">
        <f ca="1">'DA-19'!H$66</f>
        <v>0</v>
      </c>
      <c r="S174" s="310">
        <f ca="1">'DA-19'!I$66</f>
        <v>0</v>
      </c>
    </row>
    <row r="175" spans="1:19">
      <c r="A175" s="5"/>
      <c r="B175" s="249"/>
      <c r="C175" s="13" t="s">
        <v>647</v>
      </c>
      <c r="D175" s="312">
        <f>'I-4 History'!D173</f>
        <v>0</v>
      </c>
      <c r="E175" s="312">
        <f>'I-4 History'!E173</f>
        <v>0</v>
      </c>
      <c r="F175" s="312">
        <f>'I-4 History'!F173</f>
        <v>0</v>
      </c>
      <c r="G175" s="312">
        <f>'I-4 History'!G173</f>
        <v>0</v>
      </c>
      <c r="H175" s="312">
        <f>'I-4 History'!H173</f>
        <v>0</v>
      </c>
      <c r="I175" s="312">
        <f>'I-4 History'!I173</f>
        <v>0</v>
      </c>
      <c r="J175" s="312">
        <f>'I-4 History'!J173</f>
        <v>0</v>
      </c>
      <c r="K175" s="312">
        <f>'I-4 History'!K173</f>
        <v>0</v>
      </c>
      <c r="L175" s="310">
        <f ca="1">'DA-19'!B$67</f>
        <v>0</v>
      </c>
      <c r="M175" s="835">
        <f ca="1">'DA-19'!C$67</f>
        <v>0</v>
      </c>
      <c r="N175" s="312">
        <f ca="1">'DA-19'!D$67</f>
        <v>0</v>
      </c>
      <c r="O175" s="310">
        <f ca="1">'DA-19'!E$67</f>
        <v>0</v>
      </c>
      <c r="P175" s="310">
        <f ca="1">'DA-19'!F$67</f>
        <v>0</v>
      </c>
      <c r="Q175" s="310">
        <f ca="1">'DA-19'!G$67</f>
        <v>0</v>
      </c>
      <c r="R175" s="310">
        <f ca="1">'DA-19'!H$67</f>
        <v>0</v>
      </c>
      <c r="S175" s="310">
        <f ca="1">'DA-19'!I$67</f>
        <v>0</v>
      </c>
    </row>
    <row r="176" spans="1:19" s="759" customFormat="1">
      <c r="A176" s="5"/>
      <c r="B176" s="249"/>
      <c r="C176" s="13" t="s">
        <v>575</v>
      </c>
      <c r="D176" s="312">
        <f>'I-4 History'!D174</f>
        <v>0</v>
      </c>
      <c r="E176" s="312">
        <f>'I-4 History'!E174</f>
        <v>0</v>
      </c>
      <c r="F176" s="312">
        <f>'I-4 History'!F174</f>
        <v>0</v>
      </c>
      <c r="G176" s="312">
        <f>'I-4 History'!G174</f>
        <v>0</v>
      </c>
      <c r="H176" s="312">
        <f>'I-4 History'!H174</f>
        <v>0</v>
      </c>
      <c r="I176" s="312">
        <f>'I-4 History'!I174</f>
        <v>0</v>
      </c>
      <c r="J176" s="312">
        <f>'I-4 History'!J174</f>
        <v>0</v>
      </c>
      <c r="K176" s="312">
        <f>'I-4 History'!K174</f>
        <v>0</v>
      </c>
      <c r="L176" s="310">
        <f ca="1">'DA-19'!B$68</f>
        <v>0</v>
      </c>
      <c r="M176" s="835">
        <f ca="1">'DA-19'!C$68</f>
        <v>0</v>
      </c>
      <c r="N176" s="312">
        <f ca="1">'DA-19'!D$68</f>
        <v>0</v>
      </c>
      <c r="O176" s="310">
        <f ca="1">'DA-19'!E$68</f>
        <v>0</v>
      </c>
      <c r="P176" s="310">
        <f ca="1">'DA-19'!F$68</f>
        <v>0</v>
      </c>
      <c r="Q176" s="310">
        <f ca="1">'DA-19'!G$68</f>
        <v>0</v>
      </c>
      <c r="R176" s="310">
        <f ca="1">'DA-19'!H$68</f>
        <v>0</v>
      </c>
      <c r="S176" s="310">
        <f ca="1">'DA-19'!I$68</f>
        <v>0</v>
      </c>
    </row>
    <row r="177" spans="1:19">
      <c r="A177" s="5"/>
      <c r="B177" s="249"/>
      <c r="C177" s="13" t="s">
        <v>70</v>
      </c>
      <c r="D177" s="312">
        <f>'I-4 History'!D175</f>
        <v>0</v>
      </c>
      <c r="E177" s="312">
        <f>'I-4 History'!E175</f>
        <v>0</v>
      </c>
      <c r="F177" s="312">
        <f>'I-4 History'!F175</f>
        <v>0</v>
      </c>
      <c r="G177" s="312">
        <f>'I-4 History'!G175</f>
        <v>0</v>
      </c>
      <c r="H177" s="312">
        <f>'I-4 History'!H175</f>
        <v>0</v>
      </c>
      <c r="I177" s="312">
        <f>'I-4 History'!I175</f>
        <v>0</v>
      </c>
      <c r="J177" s="312">
        <f>'I-4 History'!J175</f>
        <v>0</v>
      </c>
      <c r="K177" s="312">
        <f>'I-4 History'!K175</f>
        <v>0</v>
      </c>
      <c r="L177" s="310">
        <f ca="1">'DA-19'!B$69</f>
        <v>0</v>
      </c>
      <c r="M177" s="835">
        <f ca="1">'DA-19'!C$69</f>
        <v>0</v>
      </c>
      <c r="N177" s="312">
        <f ca="1">'DA-19'!D$69</f>
        <v>0</v>
      </c>
      <c r="O177" s="310">
        <f ca="1">'DA-19'!E$69</f>
        <v>0</v>
      </c>
      <c r="P177" s="310">
        <f ca="1">'DA-19'!F$69</f>
        <v>0</v>
      </c>
      <c r="Q177" s="310">
        <f ca="1">'DA-19'!G$69</f>
        <v>0</v>
      </c>
      <c r="R177" s="310">
        <f ca="1">'DA-19'!H$69</f>
        <v>0</v>
      </c>
      <c r="S177" s="310">
        <f ca="1">'DA-19'!I$69</f>
        <v>0</v>
      </c>
    </row>
    <row r="178" spans="1:19">
      <c r="A178" s="5"/>
      <c r="B178" s="249"/>
      <c r="C178" s="12" t="s">
        <v>75</v>
      </c>
      <c r="D178" s="313">
        <f t="shared" ref="D178:K178" si="37">SUBTOTAL(9,D172:D177)</f>
        <v>0</v>
      </c>
      <c r="E178" s="311">
        <f t="shared" si="37"/>
        <v>0</v>
      </c>
      <c r="F178" s="311">
        <f t="shared" si="37"/>
        <v>0</v>
      </c>
      <c r="G178" s="311">
        <f t="shared" si="37"/>
        <v>0</v>
      </c>
      <c r="H178" s="311">
        <f t="shared" si="37"/>
        <v>0</v>
      </c>
      <c r="I178" s="311">
        <f t="shared" si="37"/>
        <v>0</v>
      </c>
      <c r="J178" s="311">
        <f t="shared" si="37"/>
        <v>0</v>
      </c>
      <c r="K178" s="311">
        <f t="shared" si="37"/>
        <v>0</v>
      </c>
      <c r="L178" s="311">
        <f t="shared" ref="L178:S178" ca="1" si="38">SUBTOTAL(9,L172:L177)</f>
        <v>0</v>
      </c>
      <c r="M178" s="513">
        <f t="shared" ca="1" si="38"/>
        <v>0</v>
      </c>
      <c r="N178" s="313">
        <f t="shared" ca="1" si="38"/>
        <v>0</v>
      </c>
      <c r="O178" s="311">
        <f t="shared" ca="1" si="38"/>
        <v>0</v>
      </c>
      <c r="P178" s="311">
        <f t="shared" ca="1" si="38"/>
        <v>0</v>
      </c>
      <c r="Q178" s="311">
        <f t="shared" ca="1" si="38"/>
        <v>0</v>
      </c>
      <c r="R178" s="311">
        <f t="shared" ca="1" si="38"/>
        <v>0</v>
      </c>
      <c r="S178" s="311">
        <f t="shared" ca="1" si="38"/>
        <v>0</v>
      </c>
    </row>
    <row r="179" spans="1:19">
      <c r="A179" s="5"/>
      <c r="B179" s="249"/>
      <c r="C179" s="12"/>
      <c r="D179" s="263"/>
      <c r="E179" s="263"/>
      <c r="F179" s="263"/>
      <c r="G179" s="263"/>
      <c r="H179" s="263"/>
      <c r="I179" s="263"/>
      <c r="J179" s="263"/>
      <c r="K179" s="263"/>
      <c r="L179" s="263"/>
      <c r="M179" s="836"/>
      <c r="N179" s="263"/>
      <c r="O179" s="263"/>
      <c r="P179" s="263"/>
      <c r="Q179" s="263"/>
      <c r="R179" s="263"/>
      <c r="S179" s="263"/>
    </row>
    <row r="180" spans="1:19">
      <c r="A180" s="5"/>
      <c r="B180" s="249" t="str">
        <f ca="1">+'I-4 History'!B178</f>
        <v>DA-20</v>
      </c>
      <c r="C180" s="14" t="str">
        <f ca="1">+'I-4 History'!C178</f>
        <v>Guaranteed Service Level Payments</v>
      </c>
      <c r="D180" s="11"/>
      <c r="E180" s="11"/>
      <c r="F180" s="11"/>
      <c r="G180" s="11"/>
      <c r="H180" s="11"/>
      <c r="I180" s="11"/>
      <c r="J180" s="11"/>
      <c r="K180" s="11"/>
      <c r="L180" s="11"/>
      <c r="M180" s="507"/>
      <c r="N180" s="11"/>
      <c r="O180" s="11"/>
      <c r="P180" s="11"/>
      <c r="Q180" s="11"/>
      <c r="R180" s="11"/>
      <c r="S180" s="11"/>
    </row>
    <row r="181" spans="1:19">
      <c r="A181" s="5"/>
      <c r="B181" s="249"/>
      <c r="C181" s="13" t="s">
        <v>68</v>
      </c>
      <c r="D181" s="312">
        <f>'I-4 History'!D179</f>
        <v>0</v>
      </c>
      <c r="E181" s="312">
        <f>'I-4 History'!E179</f>
        <v>0</v>
      </c>
      <c r="F181" s="312">
        <f>'I-4 History'!F179</f>
        <v>0</v>
      </c>
      <c r="G181" s="312">
        <f>'I-4 History'!G179</f>
        <v>0</v>
      </c>
      <c r="H181" s="312">
        <f>'I-4 History'!H179</f>
        <v>0</v>
      </c>
      <c r="I181" s="312">
        <f>'I-4 History'!I179</f>
        <v>0</v>
      </c>
      <c r="J181" s="312">
        <f>'I-4 History'!J179</f>
        <v>0</v>
      </c>
      <c r="K181" s="312">
        <f>'I-4 History'!K179</f>
        <v>0</v>
      </c>
      <c r="L181" s="310">
        <f ca="1">'DA-20'!B$64</f>
        <v>0</v>
      </c>
      <c r="M181" s="835">
        <f ca="1">'DA-20'!C$64</f>
        <v>0</v>
      </c>
      <c r="N181" s="312">
        <f ca="1">'DA-20'!D$64</f>
        <v>0</v>
      </c>
      <c r="O181" s="310">
        <f ca="1">'DA-20'!E$64</f>
        <v>0</v>
      </c>
      <c r="P181" s="310">
        <f ca="1">'DA-20'!F$64</f>
        <v>0</v>
      </c>
      <c r="Q181" s="310">
        <f ca="1">'DA-20'!G$64</f>
        <v>0</v>
      </c>
      <c r="R181" s="310">
        <f ca="1">'DA-20'!H$64</f>
        <v>0</v>
      </c>
      <c r="S181" s="310">
        <f ca="1">'DA-20'!I$64</f>
        <v>0</v>
      </c>
    </row>
    <row r="182" spans="1:19">
      <c r="A182" s="5"/>
      <c r="B182" s="249"/>
      <c r="C182" s="13" t="s">
        <v>69</v>
      </c>
      <c r="D182" s="312">
        <f>'I-4 History'!D180</f>
        <v>0</v>
      </c>
      <c r="E182" s="312">
        <f>'I-4 History'!E180</f>
        <v>0</v>
      </c>
      <c r="F182" s="312">
        <f>'I-4 History'!F180</f>
        <v>0</v>
      </c>
      <c r="G182" s="312">
        <f>'I-4 History'!G180</f>
        <v>0</v>
      </c>
      <c r="H182" s="312">
        <f>'I-4 History'!H180</f>
        <v>0</v>
      </c>
      <c r="I182" s="312">
        <f>'I-4 History'!I180</f>
        <v>0</v>
      </c>
      <c r="J182" s="312">
        <f>'I-4 History'!J180</f>
        <v>0</v>
      </c>
      <c r="K182" s="312">
        <f>'I-4 History'!K180</f>
        <v>0</v>
      </c>
      <c r="L182" s="310">
        <f ca="1">'DA-20'!B$65</f>
        <v>0</v>
      </c>
      <c r="M182" s="835">
        <f ca="1">'DA-20'!C$65</f>
        <v>0</v>
      </c>
      <c r="N182" s="312">
        <f ca="1">'DA-20'!D$65</f>
        <v>0</v>
      </c>
      <c r="O182" s="310">
        <f ca="1">'DA-20'!E$65</f>
        <v>0</v>
      </c>
      <c r="P182" s="310">
        <f ca="1">'DA-20'!F$65</f>
        <v>0</v>
      </c>
      <c r="Q182" s="310">
        <f ca="1">'DA-20'!G$65</f>
        <v>0</v>
      </c>
      <c r="R182" s="310">
        <f ca="1">'DA-20'!H$65</f>
        <v>0</v>
      </c>
      <c r="S182" s="310">
        <f ca="1">'DA-20'!I$65</f>
        <v>0</v>
      </c>
    </row>
    <row r="183" spans="1:19" s="759" customFormat="1">
      <c r="A183" s="5"/>
      <c r="B183" s="249"/>
      <c r="C183" s="13" t="s">
        <v>646</v>
      </c>
      <c r="D183" s="312">
        <f>'I-4 History'!D181</f>
        <v>0</v>
      </c>
      <c r="E183" s="312">
        <f>'I-4 History'!E181</f>
        <v>0</v>
      </c>
      <c r="F183" s="312">
        <f>'I-4 History'!F181</f>
        <v>0</v>
      </c>
      <c r="G183" s="312">
        <f>'I-4 History'!G181</f>
        <v>0</v>
      </c>
      <c r="H183" s="312">
        <f>'I-4 History'!H181</f>
        <v>0</v>
      </c>
      <c r="I183" s="312">
        <f>'I-4 History'!I181</f>
        <v>0</v>
      </c>
      <c r="J183" s="312">
        <f>'I-4 History'!J181</f>
        <v>0</v>
      </c>
      <c r="K183" s="312">
        <f>'I-4 History'!K181</f>
        <v>0</v>
      </c>
      <c r="L183" s="310">
        <f ca="1">'DA-20'!B$66</f>
        <v>0</v>
      </c>
      <c r="M183" s="835">
        <f ca="1">'DA-20'!C$66</f>
        <v>0</v>
      </c>
      <c r="N183" s="312">
        <f ca="1">'DA-20'!D$66</f>
        <v>0</v>
      </c>
      <c r="O183" s="310">
        <f ca="1">'DA-20'!E$66</f>
        <v>0</v>
      </c>
      <c r="P183" s="310">
        <f ca="1">'DA-20'!F$66</f>
        <v>0</v>
      </c>
      <c r="Q183" s="310">
        <f ca="1">'DA-20'!G$66</f>
        <v>0</v>
      </c>
      <c r="R183" s="310">
        <f ca="1">'DA-20'!H$66</f>
        <v>0</v>
      </c>
      <c r="S183" s="310">
        <f ca="1">'DA-20'!I$66</f>
        <v>0</v>
      </c>
    </row>
    <row r="184" spans="1:19">
      <c r="A184" s="5"/>
      <c r="B184" s="249"/>
      <c r="C184" s="13" t="s">
        <v>647</v>
      </c>
      <c r="D184" s="312">
        <f>'I-4 History'!D182</f>
        <v>0</v>
      </c>
      <c r="E184" s="312">
        <f>'I-4 History'!E182</f>
        <v>0</v>
      </c>
      <c r="F184" s="312">
        <f>'I-4 History'!F182</f>
        <v>0</v>
      </c>
      <c r="G184" s="312">
        <f>'I-4 History'!G182</f>
        <v>0</v>
      </c>
      <c r="H184" s="312">
        <f>'I-4 History'!H182</f>
        <v>0</v>
      </c>
      <c r="I184" s="312">
        <f>'I-4 History'!I182</f>
        <v>0</v>
      </c>
      <c r="J184" s="312">
        <f>'I-4 History'!J182</f>
        <v>0</v>
      </c>
      <c r="K184" s="312">
        <f>'I-4 History'!K182</f>
        <v>0</v>
      </c>
      <c r="L184" s="310">
        <f ca="1">'DA-20'!B$67</f>
        <v>0</v>
      </c>
      <c r="M184" s="835">
        <f ca="1">'DA-20'!C$67</f>
        <v>0</v>
      </c>
      <c r="N184" s="312">
        <f ca="1">'DA-20'!D$67</f>
        <v>0</v>
      </c>
      <c r="O184" s="310">
        <f ca="1">'DA-20'!E$67</f>
        <v>0</v>
      </c>
      <c r="P184" s="310">
        <f ca="1">'DA-20'!F$67</f>
        <v>0</v>
      </c>
      <c r="Q184" s="310">
        <f ca="1">'DA-20'!G$67</f>
        <v>0</v>
      </c>
      <c r="R184" s="310">
        <f ca="1">'DA-20'!H$67</f>
        <v>0</v>
      </c>
      <c r="S184" s="310">
        <f ca="1">'DA-20'!I$67</f>
        <v>0</v>
      </c>
    </row>
    <row r="185" spans="1:19" s="759" customFormat="1">
      <c r="A185" s="5"/>
      <c r="B185" s="249"/>
      <c r="C185" s="13" t="s">
        <v>575</v>
      </c>
      <c r="D185" s="312">
        <f>'I-4 History'!D183</f>
        <v>0</v>
      </c>
      <c r="E185" s="312">
        <f>'I-4 History'!E183</f>
        <v>0</v>
      </c>
      <c r="F185" s="312">
        <f>'I-4 History'!F183</f>
        <v>0</v>
      </c>
      <c r="G185" s="312">
        <f>'I-4 History'!G183</f>
        <v>0</v>
      </c>
      <c r="H185" s="312">
        <f>'I-4 History'!H183</f>
        <v>0</v>
      </c>
      <c r="I185" s="312">
        <f>'I-4 History'!I183</f>
        <v>0</v>
      </c>
      <c r="J185" s="312">
        <f>'I-4 History'!J183</f>
        <v>0</v>
      </c>
      <c r="K185" s="312">
        <f>'I-4 History'!K183</f>
        <v>0</v>
      </c>
      <c r="L185" s="310">
        <f ca="1">'DA-20'!B$68</f>
        <v>0</v>
      </c>
      <c r="M185" s="835">
        <f ca="1">'DA-20'!C$68</f>
        <v>0</v>
      </c>
      <c r="N185" s="312">
        <f ca="1">'DA-20'!D$68</f>
        <v>0</v>
      </c>
      <c r="O185" s="310">
        <f ca="1">'DA-20'!E$68</f>
        <v>0</v>
      </c>
      <c r="P185" s="310">
        <f ca="1">'DA-20'!F$68</f>
        <v>0</v>
      </c>
      <c r="Q185" s="310">
        <f ca="1">'DA-20'!G$68</f>
        <v>0</v>
      </c>
      <c r="R185" s="310">
        <f ca="1">'DA-20'!H$68</f>
        <v>0</v>
      </c>
      <c r="S185" s="310">
        <f ca="1">'DA-20'!I$68</f>
        <v>0</v>
      </c>
    </row>
    <row r="186" spans="1:19">
      <c r="A186" s="5"/>
      <c r="B186" s="249"/>
      <c r="C186" s="13" t="s">
        <v>70</v>
      </c>
      <c r="D186" s="312">
        <f>'I-4 History'!D184</f>
        <v>0</v>
      </c>
      <c r="E186" s="312">
        <f>'I-4 History'!E184</f>
        <v>0</v>
      </c>
      <c r="F186" s="312">
        <f>'I-4 History'!F184</f>
        <v>0</v>
      </c>
      <c r="G186" s="312">
        <f>'I-4 History'!G184</f>
        <v>0</v>
      </c>
      <c r="H186" s="312">
        <f>'I-4 History'!H184</f>
        <v>0</v>
      </c>
      <c r="I186" s="312">
        <f>'I-4 History'!I184</f>
        <v>0</v>
      </c>
      <c r="J186" s="312">
        <f>'I-4 History'!J184</f>
        <v>0</v>
      </c>
      <c r="K186" s="312">
        <f>'I-4 History'!K184</f>
        <v>0</v>
      </c>
      <c r="L186" s="310">
        <f ca="1">'DA-20'!B$69</f>
        <v>0</v>
      </c>
      <c r="M186" s="835">
        <f ca="1">'DA-20'!C$69</f>
        <v>0</v>
      </c>
      <c r="N186" s="312">
        <f ca="1">'DA-20'!D$69</f>
        <v>9.9329999999999998</v>
      </c>
      <c r="O186" s="310">
        <f ca="1">'DA-20'!E$69</f>
        <v>10.038388715607509</v>
      </c>
      <c r="P186" s="310">
        <f ca="1">'DA-20'!F$69</f>
        <v>10.136040404562836</v>
      </c>
      <c r="Q186" s="310">
        <f ca="1">'DA-20'!G$69</f>
        <v>10.232568014748422</v>
      </c>
      <c r="R186" s="310">
        <f ca="1">'DA-20'!H$69</f>
        <v>10.337292719135108</v>
      </c>
      <c r="S186" s="310">
        <f ca="1">'DA-20'!I$69</f>
        <v>10.433221332116354</v>
      </c>
    </row>
    <row r="187" spans="1:19">
      <c r="A187" s="5"/>
      <c r="B187" s="249"/>
      <c r="C187" s="12" t="s">
        <v>75</v>
      </c>
      <c r="D187" s="313">
        <f t="shared" ref="D187:K187" si="39">SUBTOTAL(9,D181:D186)</f>
        <v>0</v>
      </c>
      <c r="E187" s="311">
        <f t="shared" si="39"/>
        <v>0</v>
      </c>
      <c r="F187" s="311">
        <f t="shared" si="39"/>
        <v>0</v>
      </c>
      <c r="G187" s="311">
        <f t="shared" si="39"/>
        <v>0</v>
      </c>
      <c r="H187" s="311">
        <f t="shared" si="39"/>
        <v>0</v>
      </c>
      <c r="I187" s="311">
        <f t="shared" si="39"/>
        <v>0</v>
      </c>
      <c r="J187" s="311">
        <f t="shared" si="39"/>
        <v>0</v>
      </c>
      <c r="K187" s="311">
        <f t="shared" si="39"/>
        <v>0</v>
      </c>
      <c r="L187" s="311">
        <f t="shared" ref="L187:S187" ca="1" si="40">SUBTOTAL(9,L181:L186)</f>
        <v>0</v>
      </c>
      <c r="M187" s="513">
        <f t="shared" ca="1" si="40"/>
        <v>0</v>
      </c>
      <c r="N187" s="313">
        <f t="shared" ca="1" si="40"/>
        <v>9.9329999999999998</v>
      </c>
      <c r="O187" s="311">
        <f t="shared" ca="1" si="40"/>
        <v>10.038388715607509</v>
      </c>
      <c r="P187" s="311">
        <f t="shared" ca="1" si="40"/>
        <v>10.136040404562836</v>
      </c>
      <c r="Q187" s="311">
        <f t="shared" ca="1" si="40"/>
        <v>10.232568014748422</v>
      </c>
      <c r="R187" s="311">
        <f t="shared" ca="1" si="40"/>
        <v>10.337292719135108</v>
      </c>
      <c r="S187" s="311">
        <f t="shared" ca="1" si="40"/>
        <v>10.433221332116354</v>
      </c>
    </row>
    <row r="188" spans="1:19">
      <c r="A188" s="5"/>
      <c r="B188" s="249"/>
      <c r="C188" s="12"/>
      <c r="D188" s="263"/>
      <c r="E188" s="263"/>
      <c r="F188" s="263"/>
      <c r="G188" s="263"/>
      <c r="H188" s="263"/>
      <c r="I188" s="263"/>
      <c r="J188" s="263"/>
      <c r="K188" s="263"/>
      <c r="L188" s="263"/>
      <c r="M188" s="836"/>
      <c r="N188" s="263"/>
      <c r="O188" s="263"/>
      <c r="P188" s="263"/>
      <c r="Q188" s="263"/>
      <c r="R188" s="263"/>
      <c r="S188" s="263"/>
    </row>
    <row r="189" spans="1:19">
      <c r="A189" s="5"/>
      <c r="B189" s="249" t="str">
        <f ca="1">+'I-4 History'!B187</f>
        <v>DA-21</v>
      </c>
      <c r="C189" s="14" t="str">
        <f ca="1">+'I-4 History'!C187</f>
        <v>Property – Substation Sites</v>
      </c>
      <c r="D189" s="11"/>
      <c r="E189" s="11"/>
      <c r="F189" s="11"/>
      <c r="G189" s="11"/>
      <c r="H189" s="11"/>
      <c r="I189" s="11"/>
      <c r="J189" s="11"/>
      <c r="K189" s="11"/>
      <c r="L189" s="11"/>
      <c r="M189" s="507"/>
      <c r="N189" s="11"/>
      <c r="O189" s="11"/>
      <c r="P189" s="11"/>
      <c r="Q189" s="11"/>
      <c r="R189" s="11"/>
      <c r="S189" s="11"/>
    </row>
    <row r="190" spans="1:19">
      <c r="A190" s="5"/>
      <c r="B190" s="249"/>
      <c r="C190" s="13" t="s">
        <v>68</v>
      </c>
      <c r="D190" s="312">
        <f>'I-4 History'!D188</f>
        <v>0</v>
      </c>
      <c r="E190" s="312">
        <f>'I-4 History'!E188</f>
        <v>0</v>
      </c>
      <c r="F190" s="312">
        <f>'I-4 History'!F188</f>
        <v>0</v>
      </c>
      <c r="G190" s="312">
        <f>'I-4 History'!G188</f>
        <v>0</v>
      </c>
      <c r="H190" s="312">
        <f>'I-4 History'!H188</f>
        <v>0</v>
      </c>
      <c r="I190" s="312">
        <f>'I-4 History'!I188</f>
        <v>0</v>
      </c>
      <c r="J190" s="312">
        <f>'I-4 History'!J188</f>
        <v>0</v>
      </c>
      <c r="K190" s="312">
        <f>'I-4 History'!K188</f>
        <v>0</v>
      </c>
      <c r="L190" s="310">
        <f ca="1">'DA-21'!B$64</f>
        <v>0</v>
      </c>
      <c r="M190" s="835">
        <f ca="1">'DA-21'!C$64</f>
        <v>0</v>
      </c>
      <c r="N190" s="312">
        <f ca="1">'DA-21'!D$64</f>
        <v>0.64</v>
      </c>
      <c r="O190" s="310">
        <f ca="1">'DA-21'!E$64</f>
        <v>0.66066917907626888</v>
      </c>
      <c r="P190" s="310">
        <f ca="1">'DA-21'!F$64</f>
        <v>0.68141057761379431</v>
      </c>
      <c r="Q190" s="310">
        <f ca="1">'DA-21'!G$64</f>
        <v>0.7034695399144818</v>
      </c>
      <c r="R190" s="310">
        <f ca="1">'DA-21'!H$64</f>
        <v>0.7267542681828838</v>
      </c>
      <c r="S190" s="310">
        <f ca="1">'DA-21'!I$64</f>
        <v>0.75010026155911891</v>
      </c>
    </row>
    <row r="191" spans="1:19">
      <c r="A191" s="5"/>
      <c r="B191" s="249"/>
      <c r="C191" s="13" t="s">
        <v>69</v>
      </c>
      <c r="D191" s="312">
        <f>'I-4 History'!D189</f>
        <v>0</v>
      </c>
      <c r="E191" s="312">
        <f>'I-4 History'!E189</f>
        <v>0</v>
      </c>
      <c r="F191" s="312">
        <f>'I-4 History'!F189</f>
        <v>0</v>
      </c>
      <c r="G191" s="312">
        <f>'I-4 History'!G189</f>
        <v>0</v>
      </c>
      <c r="H191" s="312">
        <f>'I-4 History'!H189</f>
        <v>0</v>
      </c>
      <c r="I191" s="312">
        <f>'I-4 History'!I189</f>
        <v>0</v>
      </c>
      <c r="J191" s="312">
        <f>'I-4 History'!J189</f>
        <v>0</v>
      </c>
      <c r="K191" s="312">
        <f>'I-4 History'!K189</f>
        <v>0</v>
      </c>
      <c r="L191" s="310">
        <f ca="1">'DA-21'!B$65</f>
        <v>0</v>
      </c>
      <c r="M191" s="835">
        <f ca="1">'DA-21'!C$65</f>
        <v>0</v>
      </c>
      <c r="N191" s="312">
        <f ca="1">'DA-21'!D$65</f>
        <v>0.14899999999999999</v>
      </c>
      <c r="O191" s="310">
        <f ca="1">'DA-21'!E$65</f>
        <v>0.15058088378390402</v>
      </c>
      <c r="P191" s="310">
        <f ca="1">'DA-21'!F$65</f>
        <v>0.15204570827341815</v>
      </c>
      <c r="Q191" s="310">
        <f ca="1">'DA-21'!G$65</f>
        <v>0.15349367101555572</v>
      </c>
      <c r="R191" s="310">
        <f ca="1">'DA-21'!H$65</f>
        <v>0.15506459429690236</v>
      </c>
      <c r="S191" s="310">
        <f ca="1">'DA-21'!I$65</f>
        <v>0.15650357177945601</v>
      </c>
    </row>
    <row r="192" spans="1:19" s="759" customFormat="1">
      <c r="A192" s="5"/>
      <c r="B192" s="249"/>
      <c r="C192" s="13" t="s">
        <v>646</v>
      </c>
      <c r="D192" s="312">
        <f>'I-4 History'!D190</f>
        <v>0</v>
      </c>
      <c r="E192" s="312">
        <f>'I-4 History'!E190</f>
        <v>0</v>
      </c>
      <c r="F192" s="312">
        <f>'I-4 History'!F190</f>
        <v>0</v>
      </c>
      <c r="G192" s="312">
        <f>'I-4 History'!G190</f>
        <v>0</v>
      </c>
      <c r="H192" s="312">
        <f>'I-4 History'!H190</f>
        <v>0</v>
      </c>
      <c r="I192" s="312">
        <f>'I-4 History'!I190</f>
        <v>0</v>
      </c>
      <c r="J192" s="312">
        <f>'I-4 History'!J190</f>
        <v>0</v>
      </c>
      <c r="K192" s="312">
        <f>'I-4 History'!K190</f>
        <v>0</v>
      </c>
      <c r="L192" s="310">
        <f ca="1">'DA-21'!B$66</f>
        <v>0</v>
      </c>
      <c r="M192" s="835">
        <f ca="1">'DA-21'!C$66</f>
        <v>0</v>
      </c>
      <c r="N192" s="312">
        <f ca="1">'DA-21'!D$66</f>
        <v>5.0000000000000001E-3</v>
      </c>
      <c r="O192" s="310">
        <f ca="1">'DA-21'!E$66</f>
        <v>5.0783150403632057E-3</v>
      </c>
      <c r="P192" s="310">
        <f ca="1">'DA-21'!F$66</f>
        <v>5.1533545804986281E-3</v>
      </c>
      <c r="Q192" s="310">
        <f ca="1">'DA-21'!G$66</f>
        <v>5.249252921915905E-3</v>
      </c>
      <c r="R192" s="310">
        <f ca="1">'DA-21'!H$66</f>
        <v>5.3586573872462656E-3</v>
      </c>
      <c r="S192" s="310">
        <f ca="1">'DA-21'!I$66</f>
        <v>5.4759897812885257E-3</v>
      </c>
    </row>
    <row r="193" spans="1:19">
      <c r="A193" s="5"/>
      <c r="B193" s="249"/>
      <c r="C193" s="13" t="s">
        <v>647</v>
      </c>
      <c r="D193" s="312">
        <f>'I-4 History'!D191</f>
        <v>0</v>
      </c>
      <c r="E193" s="312">
        <f>'I-4 History'!E191</f>
        <v>0</v>
      </c>
      <c r="F193" s="312">
        <f>'I-4 History'!F191</f>
        <v>0</v>
      </c>
      <c r="G193" s="312">
        <f>'I-4 History'!G191</f>
        <v>0</v>
      </c>
      <c r="H193" s="312">
        <f>'I-4 History'!H191</f>
        <v>0</v>
      </c>
      <c r="I193" s="312">
        <f>'I-4 History'!I191</f>
        <v>0</v>
      </c>
      <c r="J193" s="312">
        <f>'I-4 History'!J191</f>
        <v>0</v>
      </c>
      <c r="K193" s="312">
        <f>'I-4 History'!K191</f>
        <v>0</v>
      </c>
      <c r="L193" s="310">
        <f ca="1">'DA-21'!B$67</f>
        <v>0</v>
      </c>
      <c r="M193" s="835">
        <f ca="1">'DA-21'!C$67</f>
        <v>0</v>
      </c>
      <c r="N193" s="312">
        <f ca="1">'DA-21'!D$67</f>
        <v>4.3969999999999994</v>
      </c>
      <c r="O193" s="310">
        <f ca="1">'DA-21'!E$67</f>
        <v>4.4658702464954025</v>
      </c>
      <c r="P193" s="310">
        <f ca="1">'DA-21'!F$67</f>
        <v>4.5318600180904935</v>
      </c>
      <c r="Q193" s="310">
        <f ca="1">'DA-21'!G$67</f>
        <v>4.6161930195328456</v>
      </c>
      <c r="R193" s="310">
        <f ca="1">'DA-21'!H$67</f>
        <v>4.7124033063443651</v>
      </c>
      <c r="S193" s="310">
        <f ca="1">'DA-21'!I$67</f>
        <v>4.8155854136651293</v>
      </c>
    </row>
    <row r="194" spans="1:19" s="759" customFormat="1">
      <c r="A194" s="5"/>
      <c r="B194" s="249"/>
      <c r="C194" s="13" t="s">
        <v>575</v>
      </c>
      <c r="D194" s="312">
        <f>'I-4 History'!D192</f>
        <v>0</v>
      </c>
      <c r="E194" s="312">
        <f>'I-4 History'!E192</f>
        <v>0</v>
      </c>
      <c r="F194" s="312">
        <f>'I-4 History'!F192</f>
        <v>0</v>
      </c>
      <c r="G194" s="312">
        <f>'I-4 History'!G192</f>
        <v>0</v>
      </c>
      <c r="H194" s="312">
        <f>'I-4 History'!H192</f>
        <v>0</v>
      </c>
      <c r="I194" s="312">
        <f>'I-4 History'!I192</f>
        <v>0</v>
      </c>
      <c r="J194" s="312">
        <f>'I-4 History'!J192</f>
        <v>0</v>
      </c>
      <c r="K194" s="312">
        <f>'I-4 History'!K192</f>
        <v>0</v>
      </c>
      <c r="L194" s="310">
        <f ca="1">'DA-21'!B$68</f>
        <v>0</v>
      </c>
      <c r="M194" s="835">
        <f ca="1">'DA-21'!C$68</f>
        <v>0</v>
      </c>
      <c r="N194" s="312">
        <f ca="1">'DA-21'!D$68</f>
        <v>0</v>
      </c>
      <c r="O194" s="310">
        <f ca="1">'DA-21'!E$68</f>
        <v>0</v>
      </c>
      <c r="P194" s="310">
        <f ca="1">'DA-21'!F$68</f>
        <v>0</v>
      </c>
      <c r="Q194" s="310">
        <f ca="1">'DA-21'!G$68</f>
        <v>0</v>
      </c>
      <c r="R194" s="310">
        <f ca="1">'DA-21'!H$68</f>
        <v>0</v>
      </c>
      <c r="S194" s="310">
        <f ca="1">'DA-21'!I$68</f>
        <v>0</v>
      </c>
    </row>
    <row r="195" spans="1:19">
      <c r="A195" s="5"/>
      <c r="B195" s="249"/>
      <c r="C195" s="13" t="s">
        <v>70</v>
      </c>
      <c r="D195" s="312">
        <f>'I-4 History'!D193</f>
        <v>0</v>
      </c>
      <c r="E195" s="312">
        <f>'I-4 History'!E193</f>
        <v>0</v>
      </c>
      <c r="F195" s="312">
        <f>'I-4 History'!F193</f>
        <v>0</v>
      </c>
      <c r="G195" s="312">
        <f>'I-4 History'!G193</f>
        <v>0</v>
      </c>
      <c r="H195" s="312">
        <f>'I-4 History'!H193</f>
        <v>0</v>
      </c>
      <c r="I195" s="312">
        <f>'I-4 History'!I193</f>
        <v>0</v>
      </c>
      <c r="J195" s="312">
        <f>'I-4 History'!J193</f>
        <v>0</v>
      </c>
      <c r="K195" s="312">
        <f>'I-4 History'!K193</f>
        <v>0</v>
      </c>
      <c r="L195" s="310">
        <f ca="1">'DA-21'!B$69</f>
        <v>0</v>
      </c>
      <c r="M195" s="835">
        <f ca="1">'DA-21'!C$69</f>
        <v>0</v>
      </c>
      <c r="N195" s="312">
        <f ca="1">'DA-21'!D$69</f>
        <v>1.546</v>
      </c>
      <c r="O195" s="310">
        <f ca="1">'DA-21'!E$69</f>
        <v>1.5624029955027896</v>
      </c>
      <c r="P195" s="310">
        <f ca="1">'DA-21'!F$69</f>
        <v>1.5776017784611038</v>
      </c>
      <c r="Q195" s="310">
        <f ca="1">'DA-21'!G$69</f>
        <v>1.5926256066446252</v>
      </c>
      <c r="R195" s="310">
        <f ca="1">'DA-21'!H$69</f>
        <v>1.6089252535772554</v>
      </c>
      <c r="S195" s="310">
        <f ca="1">'DA-21'!I$69</f>
        <v>1.6238558521546242</v>
      </c>
    </row>
    <row r="196" spans="1:19">
      <c r="A196" s="5"/>
      <c r="B196" s="249"/>
      <c r="C196" s="12" t="s">
        <v>75</v>
      </c>
      <c r="D196" s="313">
        <f t="shared" ref="D196:K196" si="41">SUBTOTAL(9,D190:D195)</f>
        <v>0</v>
      </c>
      <c r="E196" s="311">
        <f t="shared" si="41"/>
        <v>0</v>
      </c>
      <c r="F196" s="311">
        <f t="shared" si="41"/>
        <v>0</v>
      </c>
      <c r="G196" s="311">
        <f t="shared" si="41"/>
        <v>0</v>
      </c>
      <c r="H196" s="311">
        <f t="shared" si="41"/>
        <v>0</v>
      </c>
      <c r="I196" s="311">
        <f t="shared" si="41"/>
        <v>0</v>
      </c>
      <c r="J196" s="311">
        <f t="shared" si="41"/>
        <v>0</v>
      </c>
      <c r="K196" s="311">
        <f t="shared" si="41"/>
        <v>0</v>
      </c>
      <c r="L196" s="311">
        <f t="shared" ref="L196:S196" ca="1" si="42">SUBTOTAL(9,L190:L195)</f>
        <v>0</v>
      </c>
      <c r="M196" s="513">
        <f t="shared" ca="1" si="42"/>
        <v>0</v>
      </c>
      <c r="N196" s="313">
        <f t="shared" ca="1" si="42"/>
        <v>6.7369999999999992</v>
      </c>
      <c r="O196" s="311">
        <f t="shared" ca="1" si="42"/>
        <v>6.8446016198987287</v>
      </c>
      <c r="P196" s="311">
        <f t="shared" ca="1" si="42"/>
        <v>6.9480714370193084</v>
      </c>
      <c r="Q196" s="311">
        <f t="shared" ca="1" si="42"/>
        <v>7.0710310900294244</v>
      </c>
      <c r="R196" s="311">
        <f t="shared" ca="1" si="42"/>
        <v>7.2085060797886529</v>
      </c>
      <c r="S196" s="311">
        <f t="shared" ca="1" si="42"/>
        <v>7.3515210889396165</v>
      </c>
    </row>
    <row r="197" spans="1:19">
      <c r="A197" s="5"/>
      <c r="B197" s="249"/>
      <c r="C197" s="12"/>
      <c r="D197" s="263"/>
      <c r="E197" s="263"/>
      <c r="F197" s="263"/>
      <c r="G197" s="263"/>
      <c r="H197" s="263"/>
      <c r="I197" s="263"/>
      <c r="J197" s="263"/>
      <c r="K197" s="263"/>
      <c r="L197" s="263"/>
      <c r="M197" s="836"/>
      <c r="N197" s="263"/>
      <c r="O197" s="263"/>
      <c r="P197" s="263"/>
      <c r="Q197" s="263"/>
      <c r="R197" s="263"/>
      <c r="S197" s="263"/>
    </row>
    <row r="198" spans="1:19">
      <c r="A198" s="5"/>
      <c r="B198" s="249" t="str">
        <f ca="1">+'I-4 History'!B196</f>
        <v>DA-22</v>
      </c>
      <c r="C198" s="14" t="str">
        <f ca="1">+'I-4 History'!C196</f>
        <v>Network Insurance</v>
      </c>
      <c r="D198" s="11"/>
      <c r="E198" s="11"/>
      <c r="F198" s="11"/>
      <c r="G198" s="11"/>
      <c r="H198" s="11"/>
      <c r="I198" s="11"/>
      <c r="J198" s="11"/>
      <c r="K198" s="11"/>
      <c r="L198" s="11"/>
      <c r="M198" s="507"/>
      <c r="N198" s="11"/>
      <c r="O198" s="11"/>
      <c r="P198" s="11"/>
      <c r="Q198" s="11"/>
      <c r="R198" s="11"/>
      <c r="S198" s="11"/>
    </row>
    <row r="199" spans="1:19">
      <c r="A199" s="5"/>
      <c r="B199" s="249"/>
      <c r="C199" s="13" t="s">
        <v>68</v>
      </c>
      <c r="D199" s="312">
        <f>'I-4 History'!D197</f>
        <v>0</v>
      </c>
      <c r="E199" s="312">
        <f>'I-4 History'!E197</f>
        <v>0</v>
      </c>
      <c r="F199" s="312">
        <f>'I-4 History'!F197</f>
        <v>0</v>
      </c>
      <c r="G199" s="312">
        <f>'I-4 History'!G197</f>
        <v>0</v>
      </c>
      <c r="H199" s="312">
        <f>'I-4 History'!H197</f>
        <v>0</v>
      </c>
      <c r="I199" s="312">
        <f>'I-4 History'!I197</f>
        <v>0</v>
      </c>
      <c r="J199" s="312">
        <f>'I-4 History'!J197</f>
        <v>0</v>
      </c>
      <c r="K199" s="312">
        <f>'I-4 History'!K197</f>
        <v>0</v>
      </c>
      <c r="L199" s="310">
        <f ca="1">'DA-22'!B$64</f>
        <v>0</v>
      </c>
      <c r="M199" s="835">
        <f ca="1">'DA-22'!C$64</f>
        <v>0</v>
      </c>
      <c r="N199" s="312">
        <f ca="1">'DA-22'!D$64</f>
        <v>0.4594860449285228</v>
      </c>
      <c r="O199" s="310">
        <f ca="1">'DA-22'!E$64</f>
        <v>0.47432541890613872</v>
      </c>
      <c r="P199" s="310">
        <f ca="1">'DA-22'!F$64</f>
        <v>0.48921664262534781</v>
      </c>
      <c r="Q199" s="310">
        <f ca="1">'DA-22'!G$64</f>
        <v>0.50505380722342641</v>
      </c>
      <c r="R199" s="310">
        <f ca="1">'DA-22'!H$64</f>
        <v>0.52177100675355659</v>
      </c>
      <c r="S199" s="310">
        <f ca="1">'DA-22'!I$64</f>
        <v>0.53853219138070307</v>
      </c>
    </row>
    <row r="200" spans="1:19">
      <c r="A200" s="5"/>
      <c r="B200" s="249"/>
      <c r="C200" s="13" t="s">
        <v>69</v>
      </c>
      <c r="D200" s="312">
        <f>'I-4 History'!D198</f>
        <v>0</v>
      </c>
      <c r="E200" s="312">
        <f>'I-4 History'!E198</f>
        <v>0</v>
      </c>
      <c r="F200" s="312">
        <f>'I-4 History'!F198</f>
        <v>0</v>
      </c>
      <c r="G200" s="312">
        <f>'I-4 History'!G198</f>
        <v>0</v>
      </c>
      <c r="H200" s="312">
        <f>'I-4 History'!H198</f>
        <v>0</v>
      </c>
      <c r="I200" s="312">
        <f>'I-4 History'!I198</f>
        <v>0</v>
      </c>
      <c r="J200" s="312">
        <f>'I-4 History'!J198</f>
        <v>0</v>
      </c>
      <c r="K200" s="312">
        <f>'I-4 History'!K198</f>
        <v>0</v>
      </c>
      <c r="L200" s="310">
        <f ca="1">'DA-22'!B$65</f>
        <v>0</v>
      </c>
      <c r="M200" s="835">
        <f ca="1">'DA-22'!C$65</f>
        <v>0</v>
      </c>
      <c r="N200" s="312">
        <f ca="1">'DA-22'!D$65</f>
        <v>0</v>
      </c>
      <c r="O200" s="310">
        <f ca="1">'DA-22'!E$65</f>
        <v>0</v>
      </c>
      <c r="P200" s="310">
        <f ca="1">'DA-22'!F$65</f>
        <v>0</v>
      </c>
      <c r="Q200" s="310">
        <f ca="1">'DA-22'!G$65</f>
        <v>0</v>
      </c>
      <c r="R200" s="310">
        <f ca="1">'DA-22'!H$65</f>
        <v>0</v>
      </c>
      <c r="S200" s="310">
        <f ca="1">'DA-22'!I$65</f>
        <v>0</v>
      </c>
    </row>
    <row r="201" spans="1:19" s="759" customFormat="1">
      <c r="A201" s="5"/>
      <c r="B201" s="249"/>
      <c r="C201" s="13" t="s">
        <v>646</v>
      </c>
      <c r="D201" s="312">
        <f>'I-4 History'!D199</f>
        <v>0</v>
      </c>
      <c r="E201" s="312">
        <f>'I-4 History'!E199</f>
        <v>0</v>
      </c>
      <c r="F201" s="312">
        <f>'I-4 History'!F199</f>
        <v>0</v>
      </c>
      <c r="G201" s="312">
        <f>'I-4 History'!G199</f>
        <v>0</v>
      </c>
      <c r="H201" s="312">
        <f>'I-4 History'!H199</f>
        <v>0</v>
      </c>
      <c r="I201" s="312">
        <f>'I-4 History'!I199</f>
        <v>0</v>
      </c>
      <c r="J201" s="312">
        <f>'I-4 History'!J199</f>
        <v>0</v>
      </c>
      <c r="K201" s="312">
        <f>'I-4 History'!K199</f>
        <v>0</v>
      </c>
      <c r="L201" s="310">
        <f ca="1">'DA-22'!B$66</f>
        <v>0</v>
      </c>
      <c r="M201" s="835">
        <f ca="1">'DA-22'!C$66</f>
        <v>0</v>
      </c>
      <c r="N201" s="312">
        <f ca="1">'DA-22'!D$66</f>
        <v>6.9142273655547993E-3</v>
      </c>
      <c r="O201" s="310">
        <f ca="1">'DA-22'!E$66</f>
        <v>7.0225249645975612E-3</v>
      </c>
      <c r="P201" s="310">
        <f ca="1">'DA-22'!F$66</f>
        <v>7.126293052978158E-3</v>
      </c>
      <c r="Q201" s="310">
        <f ca="1">'DA-22'!G$66</f>
        <v>7.2589056402858881E-3</v>
      </c>
      <c r="R201" s="310">
        <f ca="1">'DA-22'!H$66</f>
        <v>7.4101951099061021E-3</v>
      </c>
      <c r="S201" s="310">
        <f ca="1">'DA-22'!I$66</f>
        <v>7.5724476798567138E-3</v>
      </c>
    </row>
    <row r="202" spans="1:19">
      <c r="A202" s="5"/>
      <c r="B202" s="249"/>
      <c r="C202" s="13" t="s">
        <v>647</v>
      </c>
      <c r="D202" s="312">
        <f>'I-4 History'!D200</f>
        <v>0</v>
      </c>
      <c r="E202" s="312">
        <f>'I-4 History'!E200</f>
        <v>0</v>
      </c>
      <c r="F202" s="312">
        <f>'I-4 History'!F200</f>
        <v>0</v>
      </c>
      <c r="G202" s="312">
        <f>'I-4 History'!G200</f>
        <v>0</v>
      </c>
      <c r="H202" s="312">
        <f>'I-4 History'!H200</f>
        <v>0</v>
      </c>
      <c r="I202" s="312">
        <f>'I-4 History'!I200</f>
        <v>0</v>
      </c>
      <c r="J202" s="312">
        <f>'I-4 History'!J200</f>
        <v>0</v>
      </c>
      <c r="K202" s="312">
        <f>'I-4 History'!K200</f>
        <v>0</v>
      </c>
      <c r="L202" s="310">
        <f ca="1">'DA-22'!B$67</f>
        <v>0</v>
      </c>
      <c r="M202" s="835">
        <f ca="1">'DA-22'!C$67</f>
        <v>0</v>
      </c>
      <c r="N202" s="312">
        <f ca="1">'DA-22'!D$67</f>
        <v>0</v>
      </c>
      <c r="O202" s="310">
        <f ca="1">'DA-22'!E$67</f>
        <v>0</v>
      </c>
      <c r="P202" s="310">
        <f ca="1">'DA-22'!F$67</f>
        <v>0</v>
      </c>
      <c r="Q202" s="310">
        <f ca="1">'DA-22'!G$67</f>
        <v>0</v>
      </c>
      <c r="R202" s="310">
        <f ca="1">'DA-22'!H$67</f>
        <v>0</v>
      </c>
      <c r="S202" s="310">
        <f ca="1">'DA-22'!I$67</f>
        <v>0</v>
      </c>
    </row>
    <row r="203" spans="1:19" s="759" customFormat="1">
      <c r="A203" s="5"/>
      <c r="B203" s="249"/>
      <c r="C203" s="13" t="s">
        <v>575</v>
      </c>
      <c r="D203" s="312">
        <f>'I-4 History'!D201</f>
        <v>0</v>
      </c>
      <c r="E203" s="312">
        <f>'I-4 History'!E201</f>
        <v>0</v>
      </c>
      <c r="F203" s="312">
        <f>'I-4 History'!F201</f>
        <v>0</v>
      </c>
      <c r="G203" s="312">
        <f>'I-4 History'!G201</f>
        <v>0</v>
      </c>
      <c r="H203" s="312">
        <f>'I-4 History'!H201</f>
        <v>0</v>
      </c>
      <c r="I203" s="312">
        <f>'I-4 History'!I201</f>
        <v>0</v>
      </c>
      <c r="J203" s="312">
        <f>'I-4 History'!J201</f>
        <v>0</v>
      </c>
      <c r="K203" s="312">
        <f>'I-4 History'!K201</f>
        <v>0</v>
      </c>
      <c r="L203" s="310">
        <f ca="1">'DA-22'!B$68</f>
        <v>0</v>
      </c>
      <c r="M203" s="835">
        <f ca="1">'DA-22'!C$68</f>
        <v>0</v>
      </c>
      <c r="N203" s="312">
        <f ca="1">'DA-22'!D$68</f>
        <v>0</v>
      </c>
      <c r="O203" s="310">
        <f ca="1">'DA-22'!E$68</f>
        <v>0</v>
      </c>
      <c r="P203" s="310">
        <f ca="1">'DA-22'!F$68</f>
        <v>0</v>
      </c>
      <c r="Q203" s="310">
        <f ca="1">'DA-22'!G$68</f>
        <v>0</v>
      </c>
      <c r="R203" s="310">
        <f ca="1">'DA-22'!H$68</f>
        <v>0</v>
      </c>
      <c r="S203" s="310">
        <f ca="1">'DA-22'!I$68</f>
        <v>0</v>
      </c>
    </row>
    <row r="204" spans="1:19">
      <c r="A204" s="5"/>
      <c r="B204" s="249"/>
      <c r="C204" s="13" t="s">
        <v>70</v>
      </c>
      <c r="D204" s="312">
        <f>'I-4 History'!D202</f>
        <v>0</v>
      </c>
      <c r="E204" s="312">
        <f>'I-4 History'!E202</f>
        <v>0</v>
      </c>
      <c r="F204" s="312">
        <f>'I-4 History'!F202</f>
        <v>0</v>
      </c>
      <c r="G204" s="312">
        <f>'I-4 History'!G202</f>
        <v>0</v>
      </c>
      <c r="H204" s="312">
        <f>'I-4 History'!H202</f>
        <v>0</v>
      </c>
      <c r="I204" s="312">
        <f>'I-4 History'!I202</f>
        <v>0</v>
      </c>
      <c r="J204" s="312">
        <f>'I-4 History'!J202</f>
        <v>0</v>
      </c>
      <c r="K204" s="312">
        <f>'I-4 History'!K202</f>
        <v>0</v>
      </c>
      <c r="L204" s="310">
        <f ca="1">'DA-22'!B$69</f>
        <v>0</v>
      </c>
      <c r="M204" s="835">
        <f ca="1">'DA-22'!C$69</f>
        <v>0</v>
      </c>
      <c r="N204" s="312">
        <f ca="1">'DA-22'!D$69</f>
        <v>2.536599727705922</v>
      </c>
      <c r="O204" s="310">
        <f ca="1">'DA-22'!E$69</f>
        <v>2.5635129449930742</v>
      </c>
      <c r="P204" s="310">
        <f ca="1">'DA-22'!F$69</f>
        <v>2.5884503503705139</v>
      </c>
      <c r="Q204" s="310">
        <f ca="1">'DA-22'!G$69</f>
        <v>2.613100698675443</v>
      </c>
      <c r="R204" s="310">
        <f ca="1">'DA-22'!H$69</f>
        <v>2.6398443467808845</v>
      </c>
      <c r="S204" s="310">
        <f ca="1">'DA-22'!I$69</f>
        <v>2.6643417285957876</v>
      </c>
    </row>
    <row r="205" spans="1:19">
      <c r="A205" s="5"/>
      <c r="B205" s="249"/>
      <c r="C205" s="12" t="s">
        <v>75</v>
      </c>
      <c r="D205" s="313">
        <f t="shared" ref="D205:K205" si="43">SUBTOTAL(9,D199:D204)</f>
        <v>0</v>
      </c>
      <c r="E205" s="311">
        <f t="shared" si="43"/>
        <v>0</v>
      </c>
      <c r="F205" s="311">
        <f t="shared" si="43"/>
        <v>0</v>
      </c>
      <c r="G205" s="311">
        <f t="shared" si="43"/>
        <v>0</v>
      </c>
      <c r="H205" s="311">
        <f t="shared" si="43"/>
        <v>0</v>
      </c>
      <c r="I205" s="311">
        <f t="shared" si="43"/>
        <v>0</v>
      </c>
      <c r="J205" s="311">
        <f t="shared" si="43"/>
        <v>0</v>
      </c>
      <c r="K205" s="311">
        <f t="shared" si="43"/>
        <v>0</v>
      </c>
      <c r="L205" s="311">
        <f t="shared" ref="L205:S205" ca="1" si="44">SUBTOTAL(9,L199:L204)</f>
        <v>0</v>
      </c>
      <c r="M205" s="513">
        <f t="shared" ca="1" si="44"/>
        <v>0</v>
      </c>
      <c r="N205" s="313">
        <f t="shared" ca="1" si="44"/>
        <v>3.0029999999999997</v>
      </c>
      <c r="O205" s="311">
        <f t="shared" ca="1" si="44"/>
        <v>3.0448608888638105</v>
      </c>
      <c r="P205" s="311">
        <f t="shared" ca="1" si="44"/>
        <v>3.0847932860488401</v>
      </c>
      <c r="Q205" s="311">
        <f t="shared" ca="1" si="44"/>
        <v>3.1254134115391552</v>
      </c>
      <c r="R205" s="311">
        <f t="shared" ca="1" si="44"/>
        <v>3.1690255486443473</v>
      </c>
      <c r="S205" s="311">
        <f t="shared" ca="1" si="44"/>
        <v>3.2104463676563473</v>
      </c>
    </row>
    <row r="206" spans="1:19">
      <c r="A206" s="5"/>
      <c r="B206" s="249"/>
      <c r="C206" s="12"/>
      <c r="D206" s="263"/>
      <c r="E206" s="263"/>
      <c r="F206" s="263"/>
      <c r="G206" s="263"/>
      <c r="H206" s="263"/>
      <c r="I206" s="263"/>
      <c r="J206" s="263"/>
      <c r="K206" s="263"/>
      <c r="L206" s="263"/>
      <c r="M206" s="836"/>
      <c r="N206" s="263"/>
      <c r="O206" s="263"/>
      <c r="P206" s="263"/>
      <c r="Q206" s="263"/>
      <c r="R206" s="263"/>
      <c r="S206" s="263"/>
    </row>
    <row r="207" spans="1:19">
      <c r="A207" s="5"/>
      <c r="B207" s="249" t="str">
        <f ca="1">+'I-4 History'!B205</f>
        <v>DA-23</v>
      </c>
      <c r="C207" s="14" t="str">
        <f ca="1">+'I-4 History'!C205</f>
        <v>Retail Contestability</v>
      </c>
      <c r="D207" s="11"/>
      <c r="E207" s="11"/>
      <c r="F207" s="11"/>
      <c r="G207" s="11"/>
      <c r="H207" s="11"/>
      <c r="I207" s="11"/>
      <c r="J207" s="11"/>
      <c r="K207" s="11"/>
      <c r="L207" s="11"/>
      <c r="M207" s="507"/>
      <c r="N207" s="11"/>
      <c r="O207" s="11"/>
      <c r="P207" s="11"/>
      <c r="Q207" s="11"/>
      <c r="R207" s="11"/>
      <c r="S207" s="11"/>
    </row>
    <row r="208" spans="1:19">
      <c r="B208" s="249"/>
      <c r="C208" s="13" t="s">
        <v>68</v>
      </c>
      <c r="D208" s="312">
        <f>'I-4 History'!D206</f>
        <v>0</v>
      </c>
      <c r="E208" s="312">
        <f>'I-4 History'!E206</f>
        <v>0</v>
      </c>
      <c r="F208" s="312">
        <f>'I-4 History'!F206</f>
        <v>0</v>
      </c>
      <c r="G208" s="312">
        <f>'I-4 History'!G206</f>
        <v>0</v>
      </c>
      <c r="H208" s="312">
        <f>'I-4 History'!H206</f>
        <v>0</v>
      </c>
      <c r="I208" s="312">
        <f>'I-4 History'!I206</f>
        <v>0</v>
      </c>
      <c r="J208" s="312">
        <f>'I-4 History'!J206</f>
        <v>0</v>
      </c>
      <c r="K208" s="312">
        <f>'I-4 History'!K206</f>
        <v>0</v>
      </c>
      <c r="L208" s="310">
        <f ca="1">'DA-23'!B$64</f>
        <v>0</v>
      </c>
      <c r="M208" s="835">
        <f ca="1">'DA-23'!C$64</f>
        <v>0</v>
      </c>
      <c r="N208" s="312">
        <f ca="1">'DA-23'!D$64</f>
        <v>4.1499999999999995</v>
      </c>
      <c r="O208" s="310">
        <f ca="1">'DA-23'!E$64</f>
        <v>5.2960267080726799</v>
      </c>
      <c r="P208" s="310">
        <f ca="1">'DA-23'!F$64</f>
        <v>5.7835217142144479</v>
      </c>
      <c r="Q208" s="310">
        <f ca="1">'DA-23'!G$64</f>
        <v>6.2135602978829674</v>
      </c>
      <c r="R208" s="310">
        <f ca="1">'DA-23'!H$64</f>
        <v>6.3565472077483864</v>
      </c>
      <c r="S208" s="310">
        <f ca="1">'DA-23'!I$64</f>
        <v>6.6099313835474103</v>
      </c>
    </row>
    <row r="209" spans="1:19">
      <c r="B209" s="249"/>
      <c r="C209" s="13" t="s">
        <v>69</v>
      </c>
      <c r="D209" s="312">
        <f>'I-4 History'!D207</f>
        <v>0</v>
      </c>
      <c r="E209" s="312">
        <f>'I-4 History'!E207</f>
        <v>0</v>
      </c>
      <c r="F209" s="312">
        <f>'I-4 History'!F207</f>
        <v>0</v>
      </c>
      <c r="G209" s="312">
        <f>'I-4 History'!G207</f>
        <v>0</v>
      </c>
      <c r="H209" s="312">
        <f>'I-4 History'!H207</f>
        <v>0</v>
      </c>
      <c r="I209" s="312">
        <f>'I-4 History'!I207</f>
        <v>0</v>
      </c>
      <c r="J209" s="312">
        <f>'I-4 History'!J207</f>
        <v>0</v>
      </c>
      <c r="K209" s="312">
        <f>'I-4 History'!K207</f>
        <v>0</v>
      </c>
      <c r="L209" s="310">
        <f ca="1">'DA-23'!B$65</f>
        <v>0</v>
      </c>
      <c r="M209" s="835">
        <f ca="1">'DA-23'!C$65</f>
        <v>0</v>
      </c>
      <c r="N209" s="312">
        <f ca="1">'DA-23'!D$65</f>
        <v>5.2999999999999999E-2</v>
      </c>
      <c r="O209" s="310">
        <f ca="1">'DA-23'!E$65</f>
        <v>5.3562327788905462E-2</v>
      </c>
      <c r="P209" s="310">
        <f ca="1">'DA-23'!F$65</f>
        <v>5.4083372741551422E-2</v>
      </c>
      <c r="Q209" s="310">
        <f ca="1">'DA-23'!G$65</f>
        <v>6.0598419891439277E-2</v>
      </c>
      <c r="R209" s="310">
        <f ca="1">'DA-23'!H$65</f>
        <v>6.5157204682790779E-2</v>
      </c>
      <c r="S209" s="310">
        <f ca="1">'DA-23'!I$65</f>
        <v>6.8669055733632009E-2</v>
      </c>
    </row>
    <row r="210" spans="1:19" s="759" customFormat="1">
      <c r="B210" s="249"/>
      <c r="C210" s="13" t="s">
        <v>646</v>
      </c>
      <c r="D210" s="312">
        <f>'I-4 History'!D208</f>
        <v>0</v>
      </c>
      <c r="E210" s="312">
        <f>'I-4 History'!E208</f>
        <v>0</v>
      </c>
      <c r="F210" s="312">
        <f>'I-4 History'!F208</f>
        <v>0</v>
      </c>
      <c r="G210" s="312">
        <f>'I-4 History'!G208</f>
        <v>0</v>
      </c>
      <c r="H210" s="312">
        <f>'I-4 History'!H208</f>
        <v>0</v>
      </c>
      <c r="I210" s="312">
        <f>'I-4 History'!I208</f>
        <v>0</v>
      </c>
      <c r="J210" s="312">
        <f>'I-4 History'!J208</f>
        <v>0</v>
      </c>
      <c r="K210" s="312">
        <f>'I-4 History'!K208</f>
        <v>0</v>
      </c>
      <c r="L210" s="310">
        <f ca="1">'DA-23'!B$66</f>
        <v>0</v>
      </c>
      <c r="M210" s="835">
        <f ca="1">'DA-23'!C$66</f>
        <v>0</v>
      </c>
      <c r="N210" s="312">
        <f ca="1">'DA-23'!D$66</f>
        <v>11.552</v>
      </c>
      <c r="O210" s="310">
        <f ca="1">'DA-23'!E$66</f>
        <v>11.732939069255149</v>
      </c>
      <c r="P210" s="310">
        <f ca="1">'DA-23'!F$66</f>
        <v>11.90631042278403</v>
      </c>
      <c r="Q210" s="310">
        <f ca="1">'DA-23'!G$66</f>
        <v>12.127873950794507</v>
      </c>
      <c r="R210" s="310">
        <f ca="1">'DA-23'!H$66</f>
        <v>12.380642027493771</v>
      </c>
      <c r="S210" s="310">
        <f ca="1">'DA-23'!I$66</f>
        <v>12.651726790689009</v>
      </c>
    </row>
    <row r="211" spans="1:19">
      <c r="B211" s="249"/>
      <c r="C211" s="13" t="s">
        <v>647</v>
      </c>
      <c r="D211" s="312">
        <f>'I-4 History'!D209</f>
        <v>0</v>
      </c>
      <c r="E211" s="312">
        <f>'I-4 History'!E209</f>
        <v>0</v>
      </c>
      <c r="F211" s="312">
        <f>'I-4 History'!F209</f>
        <v>0</v>
      </c>
      <c r="G211" s="312">
        <f>'I-4 History'!G209</f>
        <v>0</v>
      </c>
      <c r="H211" s="312">
        <f>'I-4 History'!H209</f>
        <v>0</v>
      </c>
      <c r="I211" s="312">
        <f>'I-4 History'!I209</f>
        <v>0</v>
      </c>
      <c r="J211" s="312">
        <f>'I-4 History'!J209</f>
        <v>0</v>
      </c>
      <c r="K211" s="312">
        <f>'I-4 History'!K209</f>
        <v>0</v>
      </c>
      <c r="L211" s="310">
        <f ca="1">'DA-23'!B$67</f>
        <v>0</v>
      </c>
      <c r="M211" s="835">
        <f ca="1">'DA-23'!C$67</f>
        <v>0</v>
      </c>
      <c r="N211" s="312">
        <f ca="1">'DA-23'!D$67</f>
        <v>-0.81600000000000006</v>
      </c>
      <c r="O211" s="310">
        <f ca="1">'DA-23'!E$67</f>
        <v>-0.62678101458727531</v>
      </c>
      <c r="P211" s="310">
        <f ca="1">'DA-23'!F$67</f>
        <v>-0.64902746753737628</v>
      </c>
      <c r="Q211" s="310">
        <f ca="1">'DA-23'!G$67</f>
        <v>-0.55767807685667581</v>
      </c>
      <c r="R211" s="310">
        <f ca="1">'DA-23'!H$67</f>
        <v>-0.57853288559859062</v>
      </c>
      <c r="S211" s="310">
        <f ca="1">'DA-23'!I$67</f>
        <v>-0.59268153230628751</v>
      </c>
    </row>
    <row r="212" spans="1:19" s="759" customFormat="1">
      <c r="B212" s="249"/>
      <c r="C212" s="13" t="s">
        <v>575</v>
      </c>
      <c r="D212" s="312">
        <f>'I-4 History'!D210</f>
        <v>0</v>
      </c>
      <c r="E212" s="312">
        <f>'I-4 History'!E210</f>
        <v>0</v>
      </c>
      <c r="F212" s="312">
        <f>'I-4 History'!F210</f>
        <v>0</v>
      </c>
      <c r="G212" s="312">
        <f>'I-4 History'!G210</f>
        <v>0</v>
      </c>
      <c r="H212" s="312">
        <f>'I-4 History'!H210</f>
        <v>0</v>
      </c>
      <c r="I212" s="312">
        <f>'I-4 History'!I210</f>
        <v>0</v>
      </c>
      <c r="J212" s="312">
        <f>'I-4 History'!J210</f>
        <v>0</v>
      </c>
      <c r="K212" s="312">
        <f>'I-4 History'!K210</f>
        <v>0</v>
      </c>
      <c r="L212" s="310">
        <f ca="1">'DA-23'!B$68</f>
        <v>0</v>
      </c>
      <c r="M212" s="835">
        <f ca="1">'DA-23'!C$68</f>
        <v>0</v>
      </c>
      <c r="N212" s="312">
        <f ca="1">'DA-23'!D$68</f>
        <v>-7.3999999999999996E-2</v>
      </c>
      <c r="O212" s="310">
        <f ca="1">'DA-23'!E$68</f>
        <v>-7.6389873830693594E-2</v>
      </c>
      <c r="P212" s="310">
        <f ca="1">'DA-23'!F$68</f>
        <v>-7.8788098036594978E-2</v>
      </c>
      <c r="Q212" s="310">
        <f ca="1">'DA-23'!G$68</f>
        <v>-8.1338665552611961E-2</v>
      </c>
      <c r="R212" s="310">
        <f ca="1">'DA-23'!H$68</f>
        <v>-8.4030962258645925E-2</v>
      </c>
      <c r="S212" s="310">
        <f ca="1">'DA-23'!I$68</f>
        <v>-8.6730342742773109E-2</v>
      </c>
    </row>
    <row r="213" spans="1:19">
      <c r="B213" s="249"/>
      <c r="C213" s="13" t="s">
        <v>70</v>
      </c>
      <c r="D213" s="312">
        <f>'I-4 History'!D211</f>
        <v>0</v>
      </c>
      <c r="E213" s="312">
        <f>'I-4 History'!E211</f>
        <v>0</v>
      </c>
      <c r="F213" s="312">
        <f>'I-4 History'!F211</f>
        <v>0</v>
      </c>
      <c r="G213" s="312">
        <f>'I-4 History'!G211</f>
        <v>0</v>
      </c>
      <c r="H213" s="312">
        <f>'I-4 History'!H211</f>
        <v>0</v>
      </c>
      <c r="I213" s="312">
        <f>'I-4 History'!I211</f>
        <v>0</v>
      </c>
      <c r="J213" s="312">
        <f>'I-4 History'!J211</f>
        <v>0</v>
      </c>
      <c r="K213" s="312">
        <f>'I-4 History'!K211</f>
        <v>0</v>
      </c>
      <c r="L213" s="310">
        <f ca="1">'DA-23'!B$69</f>
        <v>0</v>
      </c>
      <c r="M213" s="835">
        <f ca="1">'DA-23'!C$69</f>
        <v>0</v>
      </c>
      <c r="N213" s="312">
        <f ca="1">'DA-23'!D$69</f>
        <v>0</v>
      </c>
      <c r="O213" s="310">
        <f ca="1">'DA-23'!E$69</f>
        <v>0</v>
      </c>
      <c r="P213" s="310">
        <f ca="1">'DA-23'!F$69</f>
        <v>0</v>
      </c>
      <c r="Q213" s="310">
        <f ca="1">'DA-23'!G$69</f>
        <v>0</v>
      </c>
      <c r="R213" s="310">
        <f ca="1">'DA-23'!H$69</f>
        <v>0</v>
      </c>
      <c r="S213" s="310">
        <f ca="1">'DA-23'!I$69</f>
        <v>0</v>
      </c>
    </row>
    <row r="214" spans="1:19">
      <c r="B214" s="249"/>
      <c r="C214" s="301" t="s">
        <v>75</v>
      </c>
      <c r="D214" s="313">
        <f t="shared" ref="D214:K214" si="45">SUBTOTAL(9,D208:D213)</f>
        <v>0</v>
      </c>
      <c r="E214" s="311">
        <f t="shared" si="45"/>
        <v>0</v>
      </c>
      <c r="F214" s="311">
        <f t="shared" si="45"/>
        <v>0</v>
      </c>
      <c r="G214" s="311">
        <f t="shared" si="45"/>
        <v>0</v>
      </c>
      <c r="H214" s="311">
        <f t="shared" si="45"/>
        <v>0</v>
      </c>
      <c r="I214" s="311">
        <f t="shared" si="45"/>
        <v>0</v>
      </c>
      <c r="J214" s="311">
        <f t="shared" si="45"/>
        <v>0</v>
      </c>
      <c r="K214" s="311">
        <f t="shared" si="45"/>
        <v>0</v>
      </c>
      <c r="L214" s="311">
        <f t="shared" ref="L214:S214" ca="1" si="46">SUBTOTAL(9,L208:L213)</f>
        <v>0</v>
      </c>
      <c r="M214" s="513">
        <f t="shared" ca="1" si="46"/>
        <v>0</v>
      </c>
      <c r="N214" s="313">
        <f t="shared" ca="1" si="46"/>
        <v>14.864999999999998</v>
      </c>
      <c r="O214" s="311">
        <f t="shared" ca="1" si="46"/>
        <v>16.379357216698768</v>
      </c>
      <c r="P214" s="311">
        <f t="shared" ca="1" si="46"/>
        <v>17.016099944166058</v>
      </c>
      <c r="Q214" s="311">
        <f t="shared" ca="1" si="46"/>
        <v>17.763015926159628</v>
      </c>
      <c r="R214" s="311">
        <f t="shared" ca="1" si="46"/>
        <v>18.139782592067711</v>
      </c>
      <c r="S214" s="311">
        <f t="shared" ca="1" si="46"/>
        <v>18.650915354920993</v>
      </c>
    </row>
    <row r="215" spans="1:19" ht="18">
      <c r="B215" s="252"/>
      <c r="C215" s="297" t="s">
        <v>70</v>
      </c>
      <c r="D215" s="265"/>
      <c r="E215" s="265"/>
      <c r="F215" s="265"/>
      <c r="G215" s="265"/>
      <c r="H215" s="265"/>
      <c r="I215" s="265"/>
      <c r="J215" s="265"/>
      <c r="K215" s="265"/>
      <c r="L215" s="265"/>
      <c r="M215" s="839"/>
      <c r="N215" s="265"/>
      <c r="O215" s="265"/>
      <c r="P215" s="265"/>
      <c r="Q215" s="265"/>
      <c r="R215" s="265"/>
      <c r="S215" s="265"/>
    </row>
    <row r="216" spans="1:19">
      <c r="A216" s="5"/>
      <c r="B216" s="249" t="str">
        <f ca="1">+'I-4 History'!B214</f>
        <v>DA-24</v>
      </c>
      <c r="C216" s="14" t="str">
        <f ca="1">+'I-4 History'!C214</f>
        <v>Non Network Solutions</v>
      </c>
      <c r="D216" s="11"/>
      <c r="E216" s="11"/>
      <c r="F216" s="11"/>
      <c r="G216" s="11"/>
      <c r="H216" s="11"/>
      <c r="I216" s="11"/>
      <c r="J216" s="11"/>
      <c r="K216" s="11"/>
      <c r="L216" s="11"/>
      <c r="M216" s="507"/>
      <c r="N216" s="11"/>
      <c r="O216" s="11"/>
      <c r="P216" s="11"/>
      <c r="Q216" s="11"/>
      <c r="R216" s="11"/>
      <c r="S216" s="11"/>
    </row>
    <row r="217" spans="1:19">
      <c r="B217" s="249"/>
      <c r="C217" s="13" t="s">
        <v>68</v>
      </c>
      <c r="D217" s="312">
        <f>'I-4 History'!D215</f>
        <v>0</v>
      </c>
      <c r="E217" s="312">
        <f>'I-4 History'!E215</f>
        <v>0</v>
      </c>
      <c r="F217" s="312">
        <f>'I-4 History'!F215</f>
        <v>0</v>
      </c>
      <c r="G217" s="312">
        <f>'I-4 History'!G215</f>
        <v>0</v>
      </c>
      <c r="H217" s="312">
        <f>'I-4 History'!H215</f>
        <v>0</v>
      </c>
      <c r="I217" s="312">
        <f>'I-4 History'!I215</f>
        <v>0</v>
      </c>
      <c r="J217" s="312">
        <f>'I-4 History'!J215</f>
        <v>0</v>
      </c>
      <c r="K217" s="312">
        <f>'I-4 History'!K215</f>
        <v>0</v>
      </c>
      <c r="L217" s="310">
        <f ca="1">'DA-24'!B$64</f>
        <v>0</v>
      </c>
      <c r="M217" s="835">
        <f ca="1">'DA-24'!C$64</f>
        <v>0</v>
      </c>
      <c r="N217" s="312">
        <f ca="1">'DA-24'!D$64</f>
        <v>0</v>
      </c>
      <c r="O217" s="310">
        <f ca="1">'DA-24'!E$64</f>
        <v>0</v>
      </c>
      <c r="P217" s="310">
        <f ca="1">'DA-24'!F$64</f>
        <v>0</v>
      </c>
      <c r="Q217" s="310">
        <f ca="1">'DA-24'!G$64</f>
        <v>0</v>
      </c>
      <c r="R217" s="310">
        <f ca="1">'DA-24'!H$64</f>
        <v>0</v>
      </c>
      <c r="S217" s="310">
        <f ca="1">'DA-24'!I$64</f>
        <v>0</v>
      </c>
    </row>
    <row r="218" spans="1:19">
      <c r="B218" s="249"/>
      <c r="C218" s="13" t="s">
        <v>69</v>
      </c>
      <c r="D218" s="312">
        <f>'I-4 History'!D216</f>
        <v>0</v>
      </c>
      <c r="E218" s="312">
        <f>'I-4 History'!E216</f>
        <v>0</v>
      </c>
      <c r="F218" s="312">
        <f>'I-4 History'!F216</f>
        <v>0</v>
      </c>
      <c r="G218" s="312">
        <f>'I-4 History'!G216</f>
        <v>0</v>
      </c>
      <c r="H218" s="312">
        <f>'I-4 History'!H216</f>
        <v>0</v>
      </c>
      <c r="I218" s="312">
        <f>'I-4 History'!I216</f>
        <v>0</v>
      </c>
      <c r="J218" s="312">
        <f>'I-4 History'!J216</f>
        <v>0</v>
      </c>
      <c r="K218" s="312">
        <f>'I-4 History'!K216</f>
        <v>0</v>
      </c>
      <c r="L218" s="310">
        <f ca="1">'DA-24'!B$65</f>
        <v>0</v>
      </c>
      <c r="M218" s="835">
        <f ca="1">'DA-24'!C$65</f>
        <v>0</v>
      </c>
      <c r="N218" s="312">
        <f ca="1">'DA-24'!D$65</f>
        <v>0</v>
      </c>
      <c r="O218" s="310">
        <f ca="1">'DA-24'!E$65</f>
        <v>0</v>
      </c>
      <c r="P218" s="310">
        <f ca="1">'DA-24'!F$65</f>
        <v>0</v>
      </c>
      <c r="Q218" s="310">
        <f ca="1">'DA-24'!G$65</f>
        <v>0</v>
      </c>
      <c r="R218" s="310">
        <f ca="1">'DA-24'!H$65</f>
        <v>0</v>
      </c>
      <c r="S218" s="310">
        <f ca="1">'DA-24'!I$65</f>
        <v>0</v>
      </c>
    </row>
    <row r="219" spans="1:19" s="759" customFormat="1">
      <c r="B219" s="249"/>
      <c r="C219" s="13" t="s">
        <v>646</v>
      </c>
      <c r="D219" s="312">
        <f>'I-4 History'!D217</f>
        <v>0</v>
      </c>
      <c r="E219" s="312">
        <f>'I-4 History'!E217</f>
        <v>0</v>
      </c>
      <c r="F219" s="312">
        <f>'I-4 History'!F217</f>
        <v>0</v>
      </c>
      <c r="G219" s="312">
        <f>'I-4 History'!G217</f>
        <v>0</v>
      </c>
      <c r="H219" s="312">
        <f>'I-4 History'!H217</f>
        <v>0</v>
      </c>
      <c r="I219" s="312">
        <f>'I-4 History'!I217</f>
        <v>0</v>
      </c>
      <c r="J219" s="312">
        <f>'I-4 History'!J217</f>
        <v>0</v>
      </c>
      <c r="K219" s="312">
        <f>'I-4 History'!K217</f>
        <v>0</v>
      </c>
      <c r="L219" s="310">
        <f ca="1">'DA-24'!B$66</f>
        <v>0</v>
      </c>
      <c r="M219" s="835">
        <f ca="1">'DA-24'!C$66</f>
        <v>0</v>
      </c>
      <c r="N219" s="312">
        <f ca="1">'DA-24'!D$66</f>
        <v>0</v>
      </c>
      <c r="O219" s="310">
        <f ca="1">'DA-24'!E$66</f>
        <v>0</v>
      </c>
      <c r="P219" s="310">
        <f ca="1">'DA-24'!F$66</f>
        <v>0</v>
      </c>
      <c r="Q219" s="310">
        <f ca="1">'DA-24'!G$66</f>
        <v>0</v>
      </c>
      <c r="R219" s="310">
        <f ca="1">'DA-24'!H$66</f>
        <v>0</v>
      </c>
      <c r="S219" s="310">
        <f ca="1">'DA-24'!I$66</f>
        <v>0</v>
      </c>
    </row>
    <row r="220" spans="1:19">
      <c r="B220" s="249"/>
      <c r="C220" s="13" t="s">
        <v>647</v>
      </c>
      <c r="D220" s="312">
        <f>'I-4 History'!D218</f>
        <v>0</v>
      </c>
      <c r="E220" s="312">
        <f>'I-4 History'!E218</f>
        <v>0</v>
      </c>
      <c r="F220" s="312">
        <f>'I-4 History'!F218</f>
        <v>0</v>
      </c>
      <c r="G220" s="312">
        <f>'I-4 History'!G218</f>
        <v>0</v>
      </c>
      <c r="H220" s="312">
        <f>'I-4 History'!H218</f>
        <v>0</v>
      </c>
      <c r="I220" s="312">
        <f>'I-4 History'!I218</f>
        <v>0</v>
      </c>
      <c r="J220" s="312">
        <f>'I-4 History'!J218</f>
        <v>0</v>
      </c>
      <c r="K220" s="312">
        <f>'I-4 History'!K218</f>
        <v>0</v>
      </c>
      <c r="L220" s="310">
        <f ca="1">'DA-24'!B$67</f>
        <v>0</v>
      </c>
      <c r="M220" s="835">
        <f ca="1">'DA-24'!C$67</f>
        <v>0</v>
      </c>
      <c r="N220" s="312">
        <f ca="1">'DA-24'!D$67</f>
        <v>9.6736987014919812E-2</v>
      </c>
      <c r="O220" s="310">
        <f ca="1">'DA-24'!E$67</f>
        <v>0.15</v>
      </c>
      <c r="P220" s="310">
        <f ca="1">'DA-24'!F$67</f>
        <v>0.2</v>
      </c>
      <c r="Q220" s="310">
        <f ca="1">'DA-24'!G$67</f>
        <v>0.25</v>
      </c>
      <c r="R220" s="310">
        <f ca="1">'DA-24'!H$67</f>
        <v>0.3</v>
      </c>
      <c r="S220" s="310">
        <f ca="1">'DA-24'!I$67</f>
        <v>0.35</v>
      </c>
    </row>
    <row r="221" spans="1:19" s="759" customFormat="1">
      <c r="B221" s="249"/>
      <c r="C221" s="13" t="s">
        <v>575</v>
      </c>
      <c r="D221" s="312">
        <f>'I-4 History'!D219</f>
        <v>0</v>
      </c>
      <c r="E221" s="312">
        <f>'I-4 History'!E219</f>
        <v>0</v>
      </c>
      <c r="F221" s="312">
        <f>'I-4 History'!F219</f>
        <v>0</v>
      </c>
      <c r="G221" s="312">
        <f>'I-4 History'!G219</f>
        <v>0</v>
      </c>
      <c r="H221" s="312">
        <f>'I-4 History'!H219</f>
        <v>0</v>
      </c>
      <c r="I221" s="312">
        <f>'I-4 History'!I219</f>
        <v>0</v>
      </c>
      <c r="J221" s="312">
        <f>'I-4 History'!J219</f>
        <v>0</v>
      </c>
      <c r="K221" s="312">
        <f>'I-4 History'!K219</f>
        <v>0</v>
      </c>
      <c r="L221" s="310">
        <f ca="1">'DA-24'!B$68</f>
        <v>0</v>
      </c>
      <c r="M221" s="835">
        <f ca="1">'DA-24'!C$68</f>
        <v>0</v>
      </c>
      <c r="N221" s="312">
        <f ca="1">'DA-24'!D$68</f>
        <v>0</v>
      </c>
      <c r="O221" s="310">
        <f ca="1">'DA-24'!E$68</f>
        <v>0</v>
      </c>
      <c r="P221" s="310">
        <f ca="1">'DA-24'!F$68</f>
        <v>0</v>
      </c>
      <c r="Q221" s="310">
        <f ca="1">'DA-24'!G$68</f>
        <v>0</v>
      </c>
      <c r="R221" s="310">
        <f ca="1">'DA-24'!H$68</f>
        <v>0</v>
      </c>
      <c r="S221" s="310">
        <f ca="1">'DA-24'!I$68</f>
        <v>0</v>
      </c>
    </row>
    <row r="222" spans="1:19">
      <c r="B222" s="249"/>
      <c r="C222" s="13" t="s">
        <v>70</v>
      </c>
      <c r="D222" s="312">
        <f>'I-4 History'!D220</f>
        <v>0</v>
      </c>
      <c r="E222" s="312">
        <f>'I-4 History'!E220</f>
        <v>0</v>
      </c>
      <c r="F222" s="312">
        <f>'I-4 History'!F220</f>
        <v>0</v>
      </c>
      <c r="G222" s="312">
        <f>'I-4 History'!G220</f>
        <v>0</v>
      </c>
      <c r="H222" s="312">
        <f>'I-4 History'!H220</f>
        <v>0</v>
      </c>
      <c r="I222" s="312">
        <f>'I-4 History'!I220</f>
        <v>0</v>
      </c>
      <c r="J222" s="312">
        <f>'I-4 History'!J220</f>
        <v>0</v>
      </c>
      <c r="K222" s="312">
        <f>'I-4 History'!K220</f>
        <v>0</v>
      </c>
      <c r="L222" s="310">
        <f ca="1">'DA-24'!B$69</f>
        <v>0</v>
      </c>
      <c r="M222" s="835">
        <f ca="1">'DA-24'!C$69</f>
        <v>0</v>
      </c>
      <c r="N222" s="312">
        <f ca="1">'DA-24'!D$69</f>
        <v>0</v>
      </c>
      <c r="O222" s="310">
        <f ca="1">'DA-24'!E$69</f>
        <v>0</v>
      </c>
      <c r="P222" s="310">
        <f ca="1">'DA-24'!F$69</f>
        <v>0</v>
      </c>
      <c r="Q222" s="310">
        <f ca="1">'DA-24'!G$69</f>
        <v>0</v>
      </c>
      <c r="R222" s="310">
        <f ca="1">'DA-24'!H$69</f>
        <v>0</v>
      </c>
      <c r="S222" s="310">
        <f ca="1">'DA-24'!I$69</f>
        <v>0</v>
      </c>
    </row>
    <row r="223" spans="1:19">
      <c r="B223" s="249"/>
      <c r="C223" s="12" t="s">
        <v>75</v>
      </c>
      <c r="D223" s="313">
        <f t="shared" ref="D223:K223" si="47">SUBTOTAL(9,D217:D222)</f>
        <v>0</v>
      </c>
      <c r="E223" s="311">
        <f t="shared" si="47"/>
        <v>0</v>
      </c>
      <c r="F223" s="311">
        <f t="shared" si="47"/>
        <v>0</v>
      </c>
      <c r="G223" s="311">
        <f t="shared" si="47"/>
        <v>0</v>
      </c>
      <c r="H223" s="311">
        <f t="shared" si="47"/>
        <v>0</v>
      </c>
      <c r="I223" s="311">
        <f t="shared" si="47"/>
        <v>0</v>
      </c>
      <c r="J223" s="311">
        <f t="shared" si="47"/>
        <v>0</v>
      </c>
      <c r="K223" s="311">
        <f t="shared" si="47"/>
        <v>0</v>
      </c>
      <c r="L223" s="311">
        <f t="shared" ref="L223:S223" ca="1" si="48">SUBTOTAL(9,L217:L222)</f>
        <v>0</v>
      </c>
      <c r="M223" s="513">
        <f t="shared" ca="1" si="48"/>
        <v>0</v>
      </c>
      <c r="N223" s="313">
        <f t="shared" ca="1" si="48"/>
        <v>9.6736987014919812E-2</v>
      </c>
      <c r="O223" s="311">
        <f t="shared" ca="1" si="48"/>
        <v>0.15</v>
      </c>
      <c r="P223" s="311">
        <f t="shared" ca="1" si="48"/>
        <v>0.2</v>
      </c>
      <c r="Q223" s="311">
        <f t="shared" ca="1" si="48"/>
        <v>0.25</v>
      </c>
      <c r="R223" s="311">
        <f t="shared" ca="1" si="48"/>
        <v>0.3</v>
      </c>
      <c r="S223" s="311">
        <f t="shared" ca="1" si="48"/>
        <v>0.35</v>
      </c>
    </row>
    <row r="224" spans="1:19">
      <c r="B224" s="249"/>
      <c r="C224" s="13"/>
      <c r="D224" s="264"/>
      <c r="E224" s="264"/>
      <c r="F224" s="264"/>
      <c r="G224" s="264"/>
      <c r="H224" s="264"/>
      <c r="I224" s="264"/>
      <c r="J224" s="264"/>
      <c r="K224" s="264"/>
      <c r="L224" s="264"/>
      <c r="M224" s="837"/>
      <c r="N224" s="264"/>
      <c r="O224" s="264"/>
      <c r="P224" s="264"/>
      <c r="Q224" s="264"/>
      <c r="R224" s="264"/>
      <c r="S224" s="264"/>
    </row>
    <row r="225" spans="1:19" ht="26.25" thickBot="1">
      <c r="B225" s="250"/>
      <c r="C225" s="269" t="s">
        <v>271</v>
      </c>
      <c r="D225" s="313">
        <f t="shared" ref="D225:L225" si="49">SUBTOTAL(9,D99:D224)</f>
        <v>0</v>
      </c>
      <c r="E225" s="311">
        <f t="shared" si="49"/>
        <v>0</v>
      </c>
      <c r="F225" s="311">
        <f t="shared" si="49"/>
        <v>0</v>
      </c>
      <c r="G225" s="311">
        <f t="shared" si="49"/>
        <v>0</v>
      </c>
      <c r="H225" s="311">
        <f t="shared" si="49"/>
        <v>0</v>
      </c>
      <c r="I225" s="311">
        <f t="shared" si="49"/>
        <v>0</v>
      </c>
      <c r="J225" s="311">
        <f t="shared" si="49"/>
        <v>0</v>
      </c>
      <c r="K225" s="311">
        <f t="shared" si="49"/>
        <v>0</v>
      </c>
      <c r="L225" s="311">
        <f t="shared" ca="1" si="49"/>
        <v>0</v>
      </c>
      <c r="M225" s="513">
        <f t="shared" ref="M225:S225" ca="1" si="50">SUBTOTAL(9,M99:M224)</f>
        <v>0</v>
      </c>
      <c r="N225" s="313">
        <f t="shared" ca="1" si="50"/>
        <v>137.41973698701491</v>
      </c>
      <c r="O225" s="311">
        <f t="shared" ca="1" si="50"/>
        <v>153.39582335761011</v>
      </c>
      <c r="P225" s="311">
        <f t="shared" ca="1" si="50"/>
        <v>154.3163999026381</v>
      </c>
      <c r="Q225" s="311">
        <f t="shared" ca="1" si="50"/>
        <v>157.30835443725215</v>
      </c>
      <c r="R225" s="311">
        <f t="shared" ca="1" si="50"/>
        <v>160.1484532884898</v>
      </c>
      <c r="S225" s="311">
        <f t="shared" ca="1" si="50"/>
        <v>161.36424145456886</v>
      </c>
    </row>
    <row r="226" spans="1:19" ht="15.75">
      <c r="B226" s="270"/>
      <c r="C226" s="455" t="s">
        <v>272</v>
      </c>
      <c r="D226" s="456">
        <f t="shared" ref="D226:L226" si="51">SUBTOTAL(9,D8:D225)</f>
        <v>0</v>
      </c>
      <c r="E226" s="456">
        <f t="shared" si="51"/>
        <v>0</v>
      </c>
      <c r="F226" s="456">
        <f t="shared" si="51"/>
        <v>0</v>
      </c>
      <c r="G226" s="456">
        <f t="shared" si="51"/>
        <v>0</v>
      </c>
      <c r="H226" s="456">
        <f t="shared" si="51"/>
        <v>0</v>
      </c>
      <c r="I226" s="456">
        <f t="shared" si="51"/>
        <v>0</v>
      </c>
      <c r="J226" s="456">
        <f t="shared" si="51"/>
        <v>0</v>
      </c>
      <c r="K226" s="456">
        <f t="shared" si="51"/>
        <v>0</v>
      </c>
      <c r="L226" s="456">
        <f t="shared" ca="1" si="51"/>
        <v>0</v>
      </c>
      <c r="M226" s="840">
        <f t="shared" ref="M226:S226" ca="1" si="52">SUBTOTAL(9,M8:M225)</f>
        <v>0</v>
      </c>
      <c r="N226" s="456">
        <f t="shared" ca="1" si="52"/>
        <v>167.94061602857454</v>
      </c>
      <c r="O226" s="456">
        <f t="shared" ca="1" si="52"/>
        <v>184.3502466658623</v>
      </c>
      <c r="P226" s="456">
        <f t="shared" ca="1" si="52"/>
        <v>192.97533938150556</v>
      </c>
      <c r="Q226" s="456">
        <f t="shared" ca="1" si="52"/>
        <v>192.09977930284012</v>
      </c>
      <c r="R226" s="456">
        <f t="shared" ca="1" si="52"/>
        <v>195.878312523446</v>
      </c>
      <c r="S226" s="456">
        <f t="shared" ca="1" si="52"/>
        <v>198.04135395011545</v>
      </c>
    </row>
    <row r="227" spans="1:19">
      <c r="B227" s="274"/>
      <c r="C227" s="457"/>
      <c r="D227" s="458"/>
      <c r="E227" s="458"/>
      <c r="F227" s="458"/>
      <c r="G227" s="458"/>
      <c r="H227" s="458"/>
      <c r="I227" s="458"/>
      <c r="J227" s="458"/>
      <c r="K227" s="458"/>
      <c r="L227" s="458"/>
      <c r="M227" s="458"/>
      <c r="N227" s="844"/>
      <c r="O227" s="458"/>
      <c r="P227" s="458"/>
      <c r="Q227" s="458"/>
      <c r="R227" s="458"/>
      <c r="S227" s="458"/>
    </row>
    <row r="228" spans="1:19" ht="18">
      <c r="B228" s="270"/>
      <c r="C228" s="459" t="s">
        <v>268</v>
      </c>
      <c r="D228" s="460"/>
      <c r="E228" s="460"/>
      <c r="F228" s="460"/>
      <c r="G228" s="460"/>
      <c r="H228" s="460"/>
      <c r="I228" s="460"/>
      <c r="J228" s="460"/>
      <c r="K228" s="460"/>
      <c r="L228" s="460"/>
      <c r="M228" s="841"/>
      <c r="N228" s="460"/>
      <c r="O228" s="460"/>
      <c r="P228" s="460"/>
      <c r="Q228" s="460"/>
      <c r="R228" s="460"/>
      <c r="S228" s="460"/>
    </row>
    <row r="229" spans="1:19" ht="18">
      <c r="B229" s="252"/>
      <c r="C229" s="248" t="str">
        <f>+'I-3 Allocated'!A5</f>
        <v>Office of the CEO</v>
      </c>
      <c r="D229" s="265"/>
      <c r="E229" s="265"/>
      <c r="F229" s="265"/>
      <c r="G229" s="265"/>
      <c r="H229" s="265"/>
      <c r="I229" s="265"/>
      <c r="J229" s="265"/>
      <c r="K229" s="265"/>
      <c r="L229" s="265"/>
      <c r="M229" s="839"/>
      <c r="N229" s="265"/>
      <c r="O229" s="265"/>
      <c r="P229" s="265"/>
      <c r="Q229" s="265"/>
      <c r="R229" s="265"/>
      <c r="S229" s="265"/>
    </row>
    <row r="230" spans="1:19">
      <c r="A230" s="5"/>
      <c r="B230" s="249" t="str">
        <f ca="1">+'I-4 History'!B228</f>
        <v>A-1</v>
      </c>
      <c r="C230" s="14" t="str">
        <f ca="1">+'I-4 History'!C228</f>
        <v>CEO</v>
      </c>
      <c r="D230" s="11"/>
      <c r="E230" s="11"/>
      <c r="F230" s="11"/>
      <c r="G230" s="11"/>
      <c r="H230" s="11"/>
      <c r="I230" s="11"/>
      <c r="J230" s="11"/>
      <c r="K230" s="11"/>
      <c r="L230" s="11"/>
      <c r="M230" s="507"/>
      <c r="N230" s="11"/>
      <c r="O230" s="11"/>
      <c r="P230" s="11"/>
      <c r="Q230" s="11"/>
      <c r="R230" s="11"/>
      <c r="S230" s="11"/>
    </row>
    <row r="231" spans="1:19">
      <c r="A231" s="5"/>
      <c r="B231" s="249"/>
      <c r="C231" s="13" t="s">
        <v>68</v>
      </c>
      <c r="D231" s="312">
        <f>'I-4 History'!D229</f>
        <v>0</v>
      </c>
      <c r="E231" s="312">
        <f>'I-4 History'!E229</f>
        <v>0</v>
      </c>
      <c r="F231" s="312">
        <f>'I-4 History'!F229</f>
        <v>0</v>
      </c>
      <c r="G231" s="312">
        <f>'I-4 History'!G229</f>
        <v>0</v>
      </c>
      <c r="H231" s="312">
        <f>'I-4 History'!H229</f>
        <v>0</v>
      </c>
      <c r="I231" s="312">
        <f>'I-4 History'!I229</f>
        <v>0</v>
      </c>
      <c r="J231" s="312">
        <f>'I-4 History'!J229</f>
        <v>0</v>
      </c>
      <c r="K231" s="312">
        <f>'I-4 History'!K229</f>
        <v>0</v>
      </c>
      <c r="L231" s="310">
        <f ca="1">'A-1'!B$64</f>
        <v>0</v>
      </c>
      <c r="M231" s="835">
        <f ca="1">'A-1'!C$64</f>
        <v>0</v>
      </c>
      <c r="N231" s="312">
        <f ca="1">'A-1'!D$64</f>
        <v>1.0739999999999998</v>
      </c>
      <c r="O231" s="310">
        <f ca="1">'A-1'!E$64</f>
        <v>1.1086854661373635</v>
      </c>
      <c r="P231" s="310">
        <f ca="1">'A-1'!F$64</f>
        <v>1.1434921255581487</v>
      </c>
      <c r="Q231" s="310">
        <f ca="1">'A-1'!G$64</f>
        <v>1.1805098216689895</v>
      </c>
      <c r="R231" s="310">
        <f ca="1">'A-1'!H$64</f>
        <v>1.2195845062944017</v>
      </c>
      <c r="S231" s="310">
        <f ca="1">'A-1'!I$64</f>
        <v>1.2587620014288963</v>
      </c>
    </row>
    <row r="232" spans="1:19">
      <c r="A232" s="5"/>
      <c r="B232" s="249"/>
      <c r="C232" s="13" t="s">
        <v>69</v>
      </c>
      <c r="D232" s="312">
        <f>'I-4 History'!D230</f>
        <v>0</v>
      </c>
      <c r="E232" s="312">
        <f>'I-4 History'!E230</f>
        <v>0</v>
      </c>
      <c r="F232" s="312">
        <f>'I-4 History'!F230</f>
        <v>0</v>
      </c>
      <c r="G232" s="312">
        <f>'I-4 History'!G230</f>
        <v>0</v>
      </c>
      <c r="H232" s="312">
        <f>'I-4 History'!H230</f>
        <v>0</v>
      </c>
      <c r="I232" s="312">
        <f>'I-4 History'!I230</f>
        <v>0</v>
      </c>
      <c r="J232" s="312">
        <f>'I-4 History'!J230</f>
        <v>0</v>
      </c>
      <c r="K232" s="312">
        <f>'I-4 History'!K230</f>
        <v>0</v>
      </c>
      <c r="L232" s="310">
        <f ca="1">'A-1'!B$65</f>
        <v>0</v>
      </c>
      <c r="M232" s="835">
        <f ca="1">'A-1'!C$65</f>
        <v>0</v>
      </c>
      <c r="N232" s="312">
        <f ca="1">'A-1'!D$65</f>
        <v>0.11900000000000001</v>
      </c>
      <c r="O232" s="310">
        <f ca="1">'A-1'!E$65</f>
        <v>0.12026258503546698</v>
      </c>
      <c r="P232" s="310">
        <f ca="1">'A-1'!F$65</f>
        <v>0.12143247841970981</v>
      </c>
      <c r="Q232" s="310">
        <f ca="1">'A-1'!G$65</f>
        <v>0.12258890503926934</v>
      </c>
      <c r="R232" s="310">
        <f ca="1">'A-1'!H$65</f>
        <v>0.1238435350424925</v>
      </c>
      <c r="S232" s="310">
        <f ca="1">'A-1'!I$65</f>
        <v>0.12499278551513603</v>
      </c>
    </row>
    <row r="233" spans="1:19" s="759" customFormat="1">
      <c r="A233" s="5"/>
      <c r="B233" s="249"/>
      <c r="C233" s="13" t="s">
        <v>646</v>
      </c>
      <c r="D233" s="312">
        <f>'I-4 History'!D231</f>
        <v>0</v>
      </c>
      <c r="E233" s="312">
        <f>'I-4 History'!E231</f>
        <v>0</v>
      </c>
      <c r="F233" s="312">
        <f>'I-4 History'!F231</f>
        <v>0</v>
      </c>
      <c r="G233" s="312">
        <f>'I-4 History'!G231</f>
        <v>0</v>
      </c>
      <c r="H233" s="312">
        <f>'I-4 History'!H231</f>
        <v>0</v>
      </c>
      <c r="I233" s="312">
        <f>'I-4 History'!I231</f>
        <v>0</v>
      </c>
      <c r="J233" s="312">
        <f>'I-4 History'!J231</f>
        <v>0</v>
      </c>
      <c r="K233" s="312">
        <f>'I-4 History'!K231</f>
        <v>0</v>
      </c>
      <c r="L233" s="310">
        <f ca="1">'A-1'!B$66</f>
        <v>0</v>
      </c>
      <c r="M233" s="835">
        <f ca="1">'A-1'!C$66</f>
        <v>0</v>
      </c>
      <c r="N233" s="312">
        <f ca="1">'A-1'!D$66</f>
        <v>0</v>
      </c>
      <c r="O233" s="310">
        <f ca="1">'A-1'!E$66</f>
        <v>0</v>
      </c>
      <c r="P233" s="310">
        <f ca="1">'A-1'!F$66</f>
        <v>0</v>
      </c>
      <c r="Q233" s="310">
        <f ca="1">'A-1'!G$66</f>
        <v>0</v>
      </c>
      <c r="R233" s="310">
        <f ca="1">'A-1'!H$66</f>
        <v>0</v>
      </c>
      <c r="S233" s="310">
        <f ca="1">'A-1'!I$66</f>
        <v>0</v>
      </c>
    </row>
    <row r="234" spans="1:19">
      <c r="A234" s="5"/>
      <c r="B234" s="249"/>
      <c r="C234" s="13" t="s">
        <v>647</v>
      </c>
      <c r="D234" s="312">
        <f>'I-4 History'!D232</f>
        <v>0</v>
      </c>
      <c r="E234" s="312">
        <f>'I-4 History'!E232</f>
        <v>0</v>
      </c>
      <c r="F234" s="312">
        <f>'I-4 History'!F232</f>
        <v>0</v>
      </c>
      <c r="G234" s="312">
        <f>'I-4 History'!G232</f>
        <v>0</v>
      </c>
      <c r="H234" s="312">
        <f>'I-4 History'!H232</f>
        <v>0</v>
      </c>
      <c r="I234" s="312">
        <f>'I-4 History'!I232</f>
        <v>0</v>
      </c>
      <c r="J234" s="312">
        <f>'I-4 History'!J232</f>
        <v>0</v>
      </c>
      <c r="K234" s="312">
        <f>'I-4 History'!K232</f>
        <v>0</v>
      </c>
      <c r="L234" s="310">
        <f ca="1">'A-1'!B$67</f>
        <v>0</v>
      </c>
      <c r="M234" s="835">
        <f ca="1">'A-1'!C$67</f>
        <v>0</v>
      </c>
      <c r="N234" s="312">
        <f ca="1">'A-1'!D$67</f>
        <v>0.84699999999999998</v>
      </c>
      <c r="O234" s="310">
        <f ca="1">'A-1'!E$67</f>
        <v>0.86026656783752709</v>
      </c>
      <c r="P234" s="310">
        <f ca="1">'A-1'!F$67</f>
        <v>0.87297826593646755</v>
      </c>
      <c r="Q234" s="310">
        <f ca="1">'A-1'!G$67</f>
        <v>0.88922344497255423</v>
      </c>
      <c r="R234" s="310">
        <f ca="1">'A-1'!H$67</f>
        <v>0.90775656139951744</v>
      </c>
      <c r="S234" s="310">
        <f ca="1">'A-1'!I$67</f>
        <v>0.9276326689502763</v>
      </c>
    </row>
    <row r="235" spans="1:19" s="759" customFormat="1">
      <c r="A235" s="5"/>
      <c r="B235" s="249"/>
      <c r="C235" s="13" t="s">
        <v>575</v>
      </c>
      <c r="D235" s="312">
        <f>'I-4 History'!D233</f>
        <v>0</v>
      </c>
      <c r="E235" s="312">
        <f>'I-4 History'!E233</f>
        <v>0</v>
      </c>
      <c r="F235" s="312">
        <f>'I-4 History'!F233</f>
        <v>0</v>
      </c>
      <c r="G235" s="312">
        <f>'I-4 History'!G233</f>
        <v>0</v>
      </c>
      <c r="H235" s="312">
        <f>'I-4 History'!H233</f>
        <v>0</v>
      </c>
      <c r="I235" s="312">
        <f>'I-4 History'!I233</f>
        <v>0</v>
      </c>
      <c r="J235" s="312">
        <f>'I-4 History'!J233</f>
        <v>0</v>
      </c>
      <c r="K235" s="312">
        <f>'I-4 History'!K233</f>
        <v>0</v>
      </c>
      <c r="L235" s="310">
        <f ca="1">'A-1'!B$68</f>
        <v>0</v>
      </c>
      <c r="M235" s="835">
        <f ca="1">'A-1'!C$68</f>
        <v>0</v>
      </c>
      <c r="N235" s="312">
        <f ca="1">'A-1'!D$68</f>
        <v>0</v>
      </c>
      <c r="O235" s="310">
        <f ca="1">'A-1'!E$68</f>
        <v>0</v>
      </c>
      <c r="P235" s="310">
        <f ca="1">'A-1'!F$68</f>
        <v>0</v>
      </c>
      <c r="Q235" s="310">
        <f ca="1">'A-1'!G$68</f>
        <v>0</v>
      </c>
      <c r="R235" s="310">
        <f ca="1">'A-1'!H$68</f>
        <v>0</v>
      </c>
      <c r="S235" s="310">
        <f ca="1">'A-1'!I$68</f>
        <v>0</v>
      </c>
    </row>
    <row r="236" spans="1:19">
      <c r="A236" s="5"/>
      <c r="B236" s="249"/>
      <c r="C236" s="13" t="s">
        <v>70</v>
      </c>
      <c r="D236" s="312">
        <f>'I-4 History'!D234</f>
        <v>0</v>
      </c>
      <c r="E236" s="312">
        <f>'I-4 History'!E234</f>
        <v>0</v>
      </c>
      <c r="F236" s="312">
        <f>'I-4 History'!F234</f>
        <v>0</v>
      </c>
      <c r="G236" s="312">
        <f>'I-4 History'!G234</f>
        <v>0</v>
      </c>
      <c r="H236" s="312">
        <f>'I-4 History'!H234</f>
        <v>0</v>
      </c>
      <c r="I236" s="312">
        <f>'I-4 History'!I234</f>
        <v>0</v>
      </c>
      <c r="J236" s="312">
        <f>'I-4 History'!J234</f>
        <v>0</v>
      </c>
      <c r="K236" s="312">
        <f>'I-4 History'!K234</f>
        <v>0</v>
      </c>
      <c r="L236" s="310">
        <f ca="1">'A-1'!B$69</f>
        <v>0</v>
      </c>
      <c r="M236" s="835">
        <f ca="1">'A-1'!C$69</f>
        <v>0</v>
      </c>
      <c r="N236" s="312">
        <f ca="1">'A-1'!D$69</f>
        <v>0</v>
      </c>
      <c r="O236" s="310">
        <f ca="1">'A-1'!E$69</f>
        <v>0</v>
      </c>
      <c r="P236" s="310">
        <f ca="1">'A-1'!F$69</f>
        <v>0</v>
      </c>
      <c r="Q236" s="310">
        <f ca="1">'A-1'!G$69</f>
        <v>0</v>
      </c>
      <c r="R236" s="310">
        <f ca="1">'A-1'!H$69</f>
        <v>0</v>
      </c>
      <c r="S236" s="310">
        <f ca="1">'A-1'!I$69</f>
        <v>0</v>
      </c>
    </row>
    <row r="237" spans="1:19">
      <c r="A237" s="5"/>
      <c r="B237" s="249"/>
      <c r="C237" s="12" t="s">
        <v>75</v>
      </c>
      <c r="D237" s="313">
        <f t="shared" ref="D237:K237" si="53">SUBTOTAL(9,D231:D236)</f>
        <v>0</v>
      </c>
      <c r="E237" s="311">
        <f t="shared" si="53"/>
        <v>0</v>
      </c>
      <c r="F237" s="311">
        <f t="shared" si="53"/>
        <v>0</v>
      </c>
      <c r="G237" s="311">
        <f t="shared" si="53"/>
        <v>0</v>
      </c>
      <c r="H237" s="311">
        <f t="shared" si="53"/>
        <v>0</v>
      </c>
      <c r="I237" s="311">
        <f t="shared" si="53"/>
        <v>0</v>
      </c>
      <c r="J237" s="311">
        <f t="shared" si="53"/>
        <v>0</v>
      </c>
      <c r="K237" s="311">
        <f t="shared" si="53"/>
        <v>0</v>
      </c>
      <c r="L237" s="311">
        <f t="shared" ref="L237:S237" ca="1" si="54">SUBTOTAL(9,L231:L236)</f>
        <v>0</v>
      </c>
      <c r="M237" s="513">
        <f t="shared" ca="1" si="54"/>
        <v>0</v>
      </c>
      <c r="N237" s="313">
        <f t="shared" ca="1" si="54"/>
        <v>2.04</v>
      </c>
      <c r="O237" s="311">
        <f t="shared" ca="1" si="54"/>
        <v>2.0892146190103578</v>
      </c>
      <c r="P237" s="311">
        <f t="shared" ca="1" si="54"/>
        <v>2.1379028699143259</v>
      </c>
      <c r="Q237" s="311">
        <f t="shared" ca="1" si="54"/>
        <v>2.192322171680813</v>
      </c>
      <c r="R237" s="311">
        <f t="shared" ca="1" si="54"/>
        <v>2.2511846027364117</v>
      </c>
      <c r="S237" s="311">
        <f t="shared" ca="1" si="54"/>
        <v>2.3113874558943088</v>
      </c>
    </row>
    <row r="238" spans="1:19">
      <c r="A238" s="5"/>
      <c r="B238" s="249"/>
      <c r="C238" s="12"/>
      <c r="D238" s="263"/>
      <c r="E238" s="263"/>
      <c r="F238" s="263"/>
      <c r="G238" s="263"/>
      <c r="H238" s="263"/>
      <c r="I238" s="263"/>
      <c r="J238" s="263"/>
      <c r="K238" s="263"/>
      <c r="L238" s="263"/>
      <c r="M238" s="836"/>
      <c r="N238" s="263"/>
      <c r="O238" s="263"/>
      <c r="P238" s="263"/>
      <c r="Q238" s="263"/>
      <c r="R238" s="263"/>
      <c r="S238" s="263"/>
    </row>
    <row r="239" spans="1:19">
      <c r="A239" s="5"/>
      <c r="B239" s="249" t="str">
        <f ca="1">+'I-4 History'!B237</f>
        <v>A-2</v>
      </c>
      <c r="C239" s="14" t="str">
        <f ca="1">+'I-4 History'!C237</f>
        <v xml:space="preserve">Strategic Planning  </v>
      </c>
      <c r="D239" s="11"/>
      <c r="E239" s="11"/>
      <c r="F239" s="11"/>
      <c r="G239" s="11"/>
      <c r="H239" s="11"/>
      <c r="I239" s="11"/>
      <c r="J239" s="11"/>
      <c r="K239" s="11"/>
      <c r="L239" s="11"/>
      <c r="M239" s="507"/>
      <c r="N239" s="11"/>
      <c r="O239" s="11"/>
      <c r="P239" s="11"/>
      <c r="Q239" s="11"/>
      <c r="R239" s="11"/>
      <c r="S239" s="11"/>
    </row>
    <row r="240" spans="1:19">
      <c r="A240" s="5"/>
      <c r="B240" s="249"/>
      <c r="C240" s="13" t="s">
        <v>68</v>
      </c>
      <c r="D240" s="312">
        <f>'I-4 History'!D238</f>
        <v>0</v>
      </c>
      <c r="E240" s="312">
        <f>'I-4 History'!E238</f>
        <v>0</v>
      </c>
      <c r="F240" s="312">
        <f>'I-4 History'!F238</f>
        <v>0</v>
      </c>
      <c r="G240" s="312">
        <f>'I-4 History'!G238</f>
        <v>0</v>
      </c>
      <c r="H240" s="312">
        <f>'I-4 History'!H238</f>
        <v>0</v>
      </c>
      <c r="I240" s="312">
        <f>'I-4 History'!I238</f>
        <v>0</v>
      </c>
      <c r="J240" s="312">
        <f>'I-4 History'!J238</f>
        <v>0</v>
      </c>
      <c r="K240" s="312">
        <f>'I-4 History'!K238</f>
        <v>0</v>
      </c>
      <c r="L240" s="310">
        <f ca="1">'A-2'!B$64</f>
        <v>0</v>
      </c>
      <c r="M240" s="835">
        <f ca="1">'A-2'!C$64</f>
        <v>0</v>
      </c>
      <c r="N240" s="312">
        <f ca="1">'A-2'!D$64</f>
        <v>0</v>
      </c>
      <c r="O240" s="310">
        <f ca="1">'A-2'!E$64</f>
        <v>0</v>
      </c>
      <c r="P240" s="310">
        <f ca="1">'A-2'!F$64</f>
        <v>0</v>
      </c>
      <c r="Q240" s="310">
        <f ca="1">'A-2'!G$64</f>
        <v>0</v>
      </c>
      <c r="R240" s="310">
        <f ca="1">'A-2'!H$64</f>
        <v>0</v>
      </c>
      <c r="S240" s="310">
        <f ca="1">'A-2'!I$64</f>
        <v>0</v>
      </c>
    </row>
    <row r="241" spans="1:19">
      <c r="A241" s="5"/>
      <c r="B241" s="249"/>
      <c r="C241" s="13" t="s">
        <v>69</v>
      </c>
      <c r="D241" s="312">
        <f>'I-4 History'!D239</f>
        <v>0</v>
      </c>
      <c r="E241" s="312">
        <f>'I-4 History'!E239</f>
        <v>0</v>
      </c>
      <c r="F241" s="312">
        <f>'I-4 History'!F239</f>
        <v>0</v>
      </c>
      <c r="G241" s="312">
        <f>'I-4 History'!G239</f>
        <v>0</v>
      </c>
      <c r="H241" s="312">
        <f>'I-4 History'!H239</f>
        <v>0</v>
      </c>
      <c r="I241" s="312">
        <f>'I-4 History'!I239</f>
        <v>0</v>
      </c>
      <c r="J241" s="312">
        <f>'I-4 History'!J239</f>
        <v>0</v>
      </c>
      <c r="K241" s="312">
        <f>'I-4 History'!K239</f>
        <v>0</v>
      </c>
      <c r="L241" s="310">
        <f ca="1">'A-2'!B$65</f>
        <v>0</v>
      </c>
      <c r="M241" s="835">
        <f ca="1">'A-2'!C$65</f>
        <v>0</v>
      </c>
      <c r="N241" s="312">
        <f ca="1">'A-2'!D$65</f>
        <v>0</v>
      </c>
      <c r="O241" s="310">
        <f ca="1">'A-2'!E$65</f>
        <v>0</v>
      </c>
      <c r="P241" s="310">
        <f ca="1">'A-2'!F$65</f>
        <v>0</v>
      </c>
      <c r="Q241" s="310">
        <f ca="1">'A-2'!G$65</f>
        <v>0</v>
      </c>
      <c r="R241" s="310">
        <f ca="1">'A-2'!H$65</f>
        <v>0</v>
      </c>
      <c r="S241" s="310">
        <f ca="1">'A-2'!I$65</f>
        <v>0</v>
      </c>
    </row>
    <row r="242" spans="1:19" s="759" customFormat="1">
      <c r="A242" s="5"/>
      <c r="B242" s="249"/>
      <c r="C242" s="13" t="s">
        <v>646</v>
      </c>
      <c r="D242" s="312">
        <f>'I-4 History'!D240</f>
        <v>0</v>
      </c>
      <c r="E242" s="312">
        <f>'I-4 History'!E240</f>
        <v>0</v>
      </c>
      <c r="F242" s="312">
        <f>'I-4 History'!F240</f>
        <v>0</v>
      </c>
      <c r="G242" s="312">
        <f>'I-4 History'!G240</f>
        <v>0</v>
      </c>
      <c r="H242" s="312">
        <f>'I-4 History'!H240</f>
        <v>0</v>
      </c>
      <c r="I242" s="312">
        <f>'I-4 History'!I240</f>
        <v>0</v>
      </c>
      <c r="J242" s="312">
        <f>'I-4 History'!J240</f>
        <v>0</v>
      </c>
      <c r="K242" s="312">
        <f>'I-4 History'!K240</f>
        <v>0</v>
      </c>
      <c r="L242" s="310">
        <f ca="1">'A-2'!B$66</f>
        <v>0</v>
      </c>
      <c r="M242" s="835">
        <f ca="1">'A-2'!C$66</f>
        <v>0</v>
      </c>
      <c r="N242" s="312">
        <f ca="1">'A-2'!D$66</f>
        <v>0</v>
      </c>
      <c r="O242" s="310">
        <f ca="1">'A-2'!E$66</f>
        <v>0</v>
      </c>
      <c r="P242" s="310">
        <f ca="1">'A-2'!F$66</f>
        <v>0</v>
      </c>
      <c r="Q242" s="310">
        <f ca="1">'A-2'!G$66</f>
        <v>0</v>
      </c>
      <c r="R242" s="310">
        <f ca="1">'A-2'!H$66</f>
        <v>0</v>
      </c>
      <c r="S242" s="310">
        <f ca="1">'A-2'!I$66</f>
        <v>0</v>
      </c>
    </row>
    <row r="243" spans="1:19">
      <c r="A243" s="5"/>
      <c r="B243" s="249"/>
      <c r="C243" s="13" t="s">
        <v>647</v>
      </c>
      <c r="D243" s="312">
        <f>'I-4 History'!D241</f>
        <v>0</v>
      </c>
      <c r="E243" s="312">
        <f>'I-4 History'!E241</f>
        <v>0</v>
      </c>
      <c r="F243" s="312">
        <f>'I-4 History'!F241</f>
        <v>0</v>
      </c>
      <c r="G243" s="312">
        <f>'I-4 History'!G241</f>
        <v>0</v>
      </c>
      <c r="H243" s="312">
        <f>'I-4 History'!H241</f>
        <v>0</v>
      </c>
      <c r="I243" s="312">
        <f>'I-4 History'!I241</f>
        <v>0</v>
      </c>
      <c r="J243" s="312">
        <f>'I-4 History'!J241</f>
        <v>0</v>
      </c>
      <c r="K243" s="312">
        <f>'I-4 History'!K241</f>
        <v>0</v>
      </c>
      <c r="L243" s="310">
        <f ca="1">'A-2'!B$67</f>
        <v>0</v>
      </c>
      <c r="M243" s="835">
        <f ca="1">'A-2'!C$67</f>
        <v>0</v>
      </c>
      <c r="N243" s="312">
        <f ca="1">'A-2'!D$67</f>
        <v>0</v>
      </c>
      <c r="O243" s="310">
        <f ca="1">'A-2'!E$67</f>
        <v>0</v>
      </c>
      <c r="P243" s="310">
        <f ca="1">'A-2'!F$67</f>
        <v>0</v>
      </c>
      <c r="Q243" s="310">
        <f ca="1">'A-2'!G$67</f>
        <v>0</v>
      </c>
      <c r="R243" s="310">
        <f ca="1">'A-2'!H$67</f>
        <v>0</v>
      </c>
      <c r="S243" s="310">
        <f ca="1">'A-2'!I$67</f>
        <v>0</v>
      </c>
    </row>
    <row r="244" spans="1:19" s="759" customFormat="1">
      <c r="A244" s="5"/>
      <c r="B244" s="249"/>
      <c r="C244" s="13" t="s">
        <v>575</v>
      </c>
      <c r="D244" s="312">
        <f>'I-4 History'!D242</f>
        <v>0</v>
      </c>
      <c r="E244" s="312">
        <f>'I-4 History'!E242</f>
        <v>0</v>
      </c>
      <c r="F244" s="312">
        <f>'I-4 History'!F242</f>
        <v>0</v>
      </c>
      <c r="G244" s="312">
        <f>'I-4 History'!G242</f>
        <v>0</v>
      </c>
      <c r="H244" s="312">
        <f>'I-4 History'!H242</f>
        <v>0</v>
      </c>
      <c r="I244" s="312">
        <f>'I-4 History'!I242</f>
        <v>0</v>
      </c>
      <c r="J244" s="312">
        <f>'I-4 History'!J242</f>
        <v>0</v>
      </c>
      <c r="K244" s="312">
        <f>'I-4 History'!K242</f>
        <v>0</v>
      </c>
      <c r="L244" s="310">
        <f ca="1">'A-2'!B$68</f>
        <v>0</v>
      </c>
      <c r="M244" s="835">
        <f ca="1">'A-2'!C$68</f>
        <v>0</v>
      </c>
      <c r="N244" s="312">
        <f ca="1">'A-2'!D$68</f>
        <v>0</v>
      </c>
      <c r="O244" s="310">
        <f ca="1">'A-2'!E$68</f>
        <v>0</v>
      </c>
      <c r="P244" s="310">
        <f ca="1">'A-2'!F$68</f>
        <v>0</v>
      </c>
      <c r="Q244" s="310">
        <f ca="1">'A-2'!G$68</f>
        <v>0</v>
      </c>
      <c r="R244" s="310">
        <f ca="1">'A-2'!H$68</f>
        <v>0</v>
      </c>
      <c r="S244" s="310">
        <f ca="1">'A-2'!I$68</f>
        <v>0</v>
      </c>
    </row>
    <row r="245" spans="1:19">
      <c r="A245" s="5"/>
      <c r="B245" s="249"/>
      <c r="C245" s="13" t="s">
        <v>70</v>
      </c>
      <c r="D245" s="312">
        <f>'I-4 History'!D243</f>
        <v>0</v>
      </c>
      <c r="E245" s="312">
        <f>'I-4 History'!E243</f>
        <v>0</v>
      </c>
      <c r="F245" s="312">
        <f>'I-4 History'!F243</f>
        <v>0</v>
      </c>
      <c r="G245" s="312">
        <f>'I-4 History'!G243</f>
        <v>0</v>
      </c>
      <c r="H245" s="312">
        <f>'I-4 History'!H243</f>
        <v>0</v>
      </c>
      <c r="I245" s="312">
        <f>'I-4 History'!I243</f>
        <v>0</v>
      </c>
      <c r="J245" s="312">
        <f>'I-4 History'!J243</f>
        <v>0</v>
      </c>
      <c r="K245" s="312">
        <f>'I-4 History'!K243</f>
        <v>0</v>
      </c>
      <c r="L245" s="310">
        <f ca="1">'A-2'!B$69</f>
        <v>0</v>
      </c>
      <c r="M245" s="835">
        <f ca="1">'A-2'!C$69</f>
        <v>0</v>
      </c>
      <c r="N245" s="312">
        <f ca="1">'A-2'!D$69</f>
        <v>0</v>
      </c>
      <c r="O245" s="310">
        <f ca="1">'A-2'!E$69</f>
        <v>0</v>
      </c>
      <c r="P245" s="310">
        <f ca="1">'A-2'!F$69</f>
        <v>0</v>
      </c>
      <c r="Q245" s="310">
        <f ca="1">'A-2'!G$69</f>
        <v>0</v>
      </c>
      <c r="R245" s="310">
        <f ca="1">'A-2'!H$69</f>
        <v>0</v>
      </c>
      <c r="S245" s="310">
        <f ca="1">'A-2'!I$69</f>
        <v>0</v>
      </c>
    </row>
    <row r="246" spans="1:19">
      <c r="A246" s="5"/>
      <c r="B246" s="249"/>
      <c r="C246" s="12" t="s">
        <v>75</v>
      </c>
      <c r="D246" s="313">
        <f t="shared" ref="D246:K246" si="55">SUBTOTAL(9,D240:D245)</f>
        <v>0</v>
      </c>
      <c r="E246" s="311">
        <f t="shared" si="55"/>
        <v>0</v>
      </c>
      <c r="F246" s="311">
        <f t="shared" si="55"/>
        <v>0</v>
      </c>
      <c r="G246" s="311">
        <f t="shared" si="55"/>
        <v>0</v>
      </c>
      <c r="H246" s="311">
        <f t="shared" si="55"/>
        <v>0</v>
      </c>
      <c r="I246" s="311">
        <f t="shared" si="55"/>
        <v>0</v>
      </c>
      <c r="J246" s="311">
        <f t="shared" si="55"/>
        <v>0</v>
      </c>
      <c r="K246" s="311">
        <f t="shared" si="55"/>
        <v>0</v>
      </c>
      <c r="L246" s="311">
        <f t="shared" ref="L246:S246" ca="1" si="56">SUBTOTAL(9,L240:L245)</f>
        <v>0</v>
      </c>
      <c r="M246" s="513">
        <f t="shared" ca="1" si="56"/>
        <v>0</v>
      </c>
      <c r="N246" s="313">
        <f t="shared" ca="1" si="56"/>
        <v>0</v>
      </c>
      <c r="O246" s="311">
        <f t="shared" ca="1" si="56"/>
        <v>0</v>
      </c>
      <c r="P246" s="311">
        <f t="shared" ca="1" si="56"/>
        <v>0</v>
      </c>
      <c r="Q246" s="311">
        <f t="shared" ca="1" si="56"/>
        <v>0</v>
      </c>
      <c r="R246" s="311">
        <f t="shared" ca="1" si="56"/>
        <v>0</v>
      </c>
      <c r="S246" s="311">
        <f t="shared" ca="1" si="56"/>
        <v>0</v>
      </c>
    </row>
    <row r="247" spans="1:19">
      <c r="A247" s="5"/>
      <c r="B247" s="249"/>
      <c r="C247" s="12"/>
      <c r="D247" s="263"/>
      <c r="E247" s="263"/>
      <c r="F247" s="263"/>
      <c r="G247" s="263"/>
      <c r="H247" s="263"/>
      <c r="I247" s="263"/>
      <c r="J247" s="263"/>
      <c r="K247" s="263"/>
      <c r="L247" s="263"/>
      <c r="M247" s="836"/>
      <c r="N247" s="263"/>
      <c r="O247" s="263"/>
      <c r="P247" s="263"/>
      <c r="Q247" s="263"/>
      <c r="R247" s="263"/>
      <c r="S247" s="263"/>
    </row>
    <row r="248" spans="1:19">
      <c r="A248" s="5"/>
      <c r="B248" s="249" t="str">
        <f ca="1">+'I-4 History'!B246</f>
        <v>A-3</v>
      </c>
      <c r="C248" s="14" t="str">
        <f ca="1">+'I-4 History'!C246</f>
        <v>Communications</v>
      </c>
      <c r="D248" s="11"/>
      <c r="E248" s="11"/>
      <c r="F248" s="11"/>
      <c r="G248" s="11"/>
      <c r="H248" s="11"/>
      <c r="I248" s="11"/>
      <c r="J248" s="11"/>
      <c r="K248" s="11"/>
      <c r="L248" s="11"/>
      <c r="M248" s="507"/>
      <c r="N248" s="11"/>
      <c r="O248" s="11"/>
      <c r="P248" s="11"/>
      <c r="Q248" s="11"/>
      <c r="R248" s="11"/>
      <c r="S248" s="11"/>
    </row>
    <row r="249" spans="1:19">
      <c r="A249" s="5"/>
      <c r="B249" s="249"/>
      <c r="C249" s="13" t="s">
        <v>68</v>
      </c>
      <c r="D249" s="312">
        <f>'I-4 History'!D247</f>
        <v>0</v>
      </c>
      <c r="E249" s="312">
        <f>'I-4 History'!E247</f>
        <v>0</v>
      </c>
      <c r="F249" s="312">
        <f>'I-4 History'!F247</f>
        <v>0</v>
      </c>
      <c r="G249" s="312">
        <f>'I-4 History'!G247</f>
        <v>0</v>
      </c>
      <c r="H249" s="312">
        <f>'I-4 History'!H247</f>
        <v>0</v>
      </c>
      <c r="I249" s="312">
        <f>'I-4 History'!I247</f>
        <v>0</v>
      </c>
      <c r="J249" s="312">
        <f>'I-4 History'!J247</f>
        <v>0</v>
      </c>
      <c r="K249" s="312">
        <f>'I-4 History'!K247</f>
        <v>0</v>
      </c>
      <c r="L249" s="310">
        <f ca="1">'A-3'!B$64</f>
        <v>0</v>
      </c>
      <c r="M249" s="835">
        <f ca="1">'A-3'!C$64</f>
        <v>0</v>
      </c>
      <c r="N249" s="312">
        <f ca="1">'A-3'!D$64</f>
        <v>0.75700000000000001</v>
      </c>
      <c r="O249" s="310">
        <f ca="1">'A-3'!E$64</f>
        <v>0.78144776337614941</v>
      </c>
      <c r="P249" s="310">
        <f ca="1">'A-3'!F$64</f>
        <v>0.80598094883381621</v>
      </c>
      <c r="Q249" s="310">
        <f ca="1">'A-3'!G$64</f>
        <v>0.83207256518009809</v>
      </c>
      <c r="R249" s="310">
        <f ca="1">'A-3'!H$64</f>
        <v>0.8596140328350671</v>
      </c>
      <c r="S249" s="310">
        <f ca="1">'A-3'!I$64</f>
        <v>0.8872279656253953</v>
      </c>
    </row>
    <row r="250" spans="1:19">
      <c r="A250" s="5"/>
      <c r="B250" s="249"/>
      <c r="C250" s="13" t="s">
        <v>69</v>
      </c>
      <c r="D250" s="312">
        <f>'I-4 History'!D248</f>
        <v>0</v>
      </c>
      <c r="E250" s="312">
        <f>'I-4 History'!E248</f>
        <v>0</v>
      </c>
      <c r="F250" s="312">
        <f>'I-4 History'!F248</f>
        <v>0</v>
      </c>
      <c r="G250" s="312">
        <f>'I-4 History'!G248</f>
        <v>0</v>
      </c>
      <c r="H250" s="312">
        <f>'I-4 History'!H248</f>
        <v>0</v>
      </c>
      <c r="I250" s="312">
        <f>'I-4 History'!I248</f>
        <v>0</v>
      </c>
      <c r="J250" s="312">
        <f>'I-4 History'!J248</f>
        <v>0</v>
      </c>
      <c r="K250" s="312">
        <f>'I-4 History'!K248</f>
        <v>0</v>
      </c>
      <c r="L250" s="310">
        <f ca="1">'A-3'!B$65</f>
        <v>0</v>
      </c>
      <c r="M250" s="835">
        <f ca="1">'A-3'!C$65</f>
        <v>0</v>
      </c>
      <c r="N250" s="312">
        <f ca="1">'A-3'!D$65</f>
        <v>0.47299999999999998</v>
      </c>
      <c r="O250" s="310">
        <f ca="1">'A-3'!E$65</f>
        <v>0.47801851026702419</v>
      </c>
      <c r="P250" s="310">
        <f ca="1">'A-3'!F$65</f>
        <v>0.48266859069346835</v>
      </c>
      <c r="Q250" s="310">
        <f ca="1">'A-3'!G$65</f>
        <v>0.48726514355944867</v>
      </c>
      <c r="R250" s="310">
        <f ca="1">'A-3'!H$65</f>
        <v>0.49225203424452896</v>
      </c>
      <c r="S250" s="310">
        <f ca="1">'A-3'!I$65</f>
        <v>0.49682006343411206</v>
      </c>
    </row>
    <row r="251" spans="1:19" s="759" customFormat="1">
      <c r="A251" s="5"/>
      <c r="B251" s="249"/>
      <c r="C251" s="13" t="s">
        <v>646</v>
      </c>
      <c r="D251" s="312">
        <f>'I-4 History'!D249</f>
        <v>0</v>
      </c>
      <c r="E251" s="312">
        <f>'I-4 History'!E249</f>
        <v>0</v>
      </c>
      <c r="F251" s="312">
        <f>'I-4 History'!F249</f>
        <v>0</v>
      </c>
      <c r="G251" s="312">
        <f>'I-4 History'!G249</f>
        <v>0</v>
      </c>
      <c r="H251" s="312">
        <f>'I-4 History'!H249</f>
        <v>0</v>
      </c>
      <c r="I251" s="312">
        <f>'I-4 History'!I249</f>
        <v>0</v>
      </c>
      <c r="J251" s="312">
        <f>'I-4 History'!J249</f>
        <v>0</v>
      </c>
      <c r="K251" s="312">
        <f>'I-4 History'!K249</f>
        <v>0</v>
      </c>
      <c r="L251" s="310">
        <f ca="1">'A-3'!B$66</f>
        <v>0</v>
      </c>
      <c r="M251" s="835">
        <f ca="1">'A-3'!C$66</f>
        <v>0</v>
      </c>
      <c r="N251" s="312">
        <f ca="1">'A-3'!D$66</f>
        <v>2.8000000000000001E-2</v>
      </c>
      <c r="O251" s="310">
        <f ca="1">'A-3'!E$66</f>
        <v>2.8438564226033951E-2</v>
      </c>
      <c r="P251" s="310">
        <f ca="1">'A-3'!F$66</f>
        <v>2.8858785650792321E-2</v>
      </c>
      <c r="Q251" s="310">
        <f ca="1">'A-3'!G$66</f>
        <v>2.9395816362729067E-2</v>
      </c>
      <c r="R251" s="310">
        <f ca="1">'A-3'!H$66</f>
        <v>3.0008481368579087E-2</v>
      </c>
      <c r="S251" s="310">
        <f ca="1">'A-3'!I$66</f>
        <v>3.0665542775215746E-2</v>
      </c>
    </row>
    <row r="252" spans="1:19">
      <c r="A252" s="5"/>
      <c r="B252" s="249"/>
      <c r="C252" s="13" t="s">
        <v>647</v>
      </c>
      <c r="D252" s="312">
        <f>'I-4 History'!D250</f>
        <v>0</v>
      </c>
      <c r="E252" s="312">
        <f>'I-4 History'!E250</f>
        <v>0</v>
      </c>
      <c r="F252" s="312">
        <f>'I-4 History'!F250</f>
        <v>0</v>
      </c>
      <c r="G252" s="312">
        <f>'I-4 History'!G250</f>
        <v>0</v>
      </c>
      <c r="H252" s="312">
        <f>'I-4 History'!H250</f>
        <v>0</v>
      </c>
      <c r="I252" s="312">
        <f>'I-4 History'!I250</f>
        <v>0</v>
      </c>
      <c r="J252" s="312">
        <f>'I-4 History'!J250</f>
        <v>0</v>
      </c>
      <c r="K252" s="312">
        <f>'I-4 History'!K250</f>
        <v>0</v>
      </c>
      <c r="L252" s="310">
        <f ca="1">'A-3'!B$67</f>
        <v>0</v>
      </c>
      <c r="M252" s="835">
        <f ca="1">'A-3'!C$67</f>
        <v>0</v>
      </c>
      <c r="N252" s="312">
        <f ca="1">'A-3'!D$67</f>
        <v>0.88400000000000001</v>
      </c>
      <c r="O252" s="310">
        <f ca="1">'A-3'!E$67</f>
        <v>3.7798460991362148</v>
      </c>
      <c r="P252" s="310">
        <f ca="1">'A-3'!F$67</f>
        <v>2.9281130898321575</v>
      </c>
      <c r="Q252" s="310">
        <f ca="1">'A-3'!G$67</f>
        <v>2.8700679165947323</v>
      </c>
      <c r="R252" s="310">
        <f ca="1">'A-3'!H$67</f>
        <v>2.6804106260651399</v>
      </c>
      <c r="S252" s="310">
        <f ca="1">'A-3'!I$67</f>
        <v>2.9351549933318113</v>
      </c>
    </row>
    <row r="253" spans="1:19" s="759" customFormat="1">
      <c r="A253" s="5"/>
      <c r="B253" s="249"/>
      <c r="C253" s="13" t="s">
        <v>575</v>
      </c>
      <c r="D253" s="312">
        <f>'I-4 History'!D251</f>
        <v>0</v>
      </c>
      <c r="E253" s="312">
        <f>'I-4 History'!E251</f>
        <v>0</v>
      </c>
      <c r="F253" s="312">
        <f>'I-4 History'!F251</f>
        <v>0</v>
      </c>
      <c r="G253" s="312">
        <f>'I-4 History'!G251</f>
        <v>0</v>
      </c>
      <c r="H253" s="312">
        <f>'I-4 History'!H251</f>
        <v>0</v>
      </c>
      <c r="I253" s="312">
        <f>'I-4 History'!I251</f>
        <v>0</v>
      </c>
      <c r="J253" s="312">
        <f>'I-4 History'!J251</f>
        <v>0</v>
      </c>
      <c r="K253" s="312">
        <f>'I-4 History'!K251</f>
        <v>0</v>
      </c>
      <c r="L253" s="310">
        <f ca="1">'A-3'!B$68</f>
        <v>0</v>
      </c>
      <c r="M253" s="835">
        <f ca="1">'A-3'!C$68</f>
        <v>0</v>
      </c>
      <c r="N253" s="312">
        <f ca="1">'A-3'!D$68</f>
        <v>1E-3</v>
      </c>
      <c r="O253" s="310">
        <f ca="1">'A-3'!E$68</f>
        <v>1.0322955923066702E-3</v>
      </c>
      <c r="P253" s="310">
        <f ca="1">'A-3'!F$68</f>
        <v>1.0647040275215539E-3</v>
      </c>
      <c r="Q253" s="310">
        <f ca="1">'A-3'!G$68</f>
        <v>1.099171156116378E-3</v>
      </c>
      <c r="R253" s="310">
        <f ca="1">'A-3'!H$68</f>
        <v>1.1355535440357558E-3</v>
      </c>
      <c r="S253" s="310">
        <f ca="1">'A-3'!I$68</f>
        <v>1.172031658686123E-3</v>
      </c>
    </row>
    <row r="254" spans="1:19">
      <c r="A254" s="5"/>
      <c r="B254" s="249"/>
      <c r="C254" s="13" t="s">
        <v>70</v>
      </c>
      <c r="D254" s="312">
        <f>'I-4 History'!D252</f>
        <v>0</v>
      </c>
      <c r="E254" s="312">
        <f>'I-4 History'!E252</f>
        <v>0</v>
      </c>
      <c r="F254" s="312">
        <f>'I-4 History'!F252</f>
        <v>0</v>
      </c>
      <c r="G254" s="312">
        <f>'I-4 History'!G252</f>
        <v>0</v>
      </c>
      <c r="H254" s="312">
        <f>'I-4 History'!H252</f>
        <v>0</v>
      </c>
      <c r="I254" s="312">
        <f>'I-4 History'!I252</f>
        <v>0</v>
      </c>
      <c r="J254" s="312">
        <f>'I-4 History'!J252</f>
        <v>0</v>
      </c>
      <c r="K254" s="312">
        <f>'I-4 History'!K252</f>
        <v>0</v>
      </c>
      <c r="L254" s="310">
        <f ca="1">'A-3'!B$69</f>
        <v>0</v>
      </c>
      <c r="M254" s="835">
        <f ca="1">'A-3'!C$69</f>
        <v>0</v>
      </c>
      <c r="N254" s="312">
        <f ca="1">'A-3'!D$69</f>
        <v>0</v>
      </c>
      <c r="O254" s="310">
        <f ca="1">'A-3'!E$69</f>
        <v>0</v>
      </c>
      <c r="P254" s="310">
        <f ca="1">'A-3'!F$69</f>
        <v>0</v>
      </c>
      <c r="Q254" s="310">
        <f ca="1">'A-3'!G$69</f>
        <v>0</v>
      </c>
      <c r="R254" s="310">
        <f ca="1">'A-3'!H$69</f>
        <v>0</v>
      </c>
      <c r="S254" s="310">
        <f ca="1">'A-3'!I$69</f>
        <v>0</v>
      </c>
    </row>
    <row r="255" spans="1:19">
      <c r="A255" s="5"/>
      <c r="B255" s="249"/>
      <c r="C255" s="12" t="s">
        <v>75</v>
      </c>
      <c r="D255" s="313">
        <f t="shared" ref="D255:K255" si="57">SUBTOTAL(9,D249:D254)</f>
        <v>0</v>
      </c>
      <c r="E255" s="311">
        <f t="shared" si="57"/>
        <v>0</v>
      </c>
      <c r="F255" s="311">
        <f t="shared" si="57"/>
        <v>0</v>
      </c>
      <c r="G255" s="311">
        <f t="shared" si="57"/>
        <v>0</v>
      </c>
      <c r="H255" s="311">
        <f t="shared" si="57"/>
        <v>0</v>
      </c>
      <c r="I255" s="311">
        <f t="shared" si="57"/>
        <v>0</v>
      </c>
      <c r="J255" s="311">
        <f t="shared" si="57"/>
        <v>0</v>
      </c>
      <c r="K255" s="311">
        <f t="shared" si="57"/>
        <v>0</v>
      </c>
      <c r="L255" s="311">
        <f t="shared" ref="L255:S255" ca="1" si="58">SUBTOTAL(9,L249:L254)</f>
        <v>0</v>
      </c>
      <c r="M255" s="513">
        <f t="shared" ca="1" si="58"/>
        <v>0</v>
      </c>
      <c r="N255" s="313">
        <f t="shared" ca="1" si="58"/>
        <v>2.1429999999999998</v>
      </c>
      <c r="O255" s="311">
        <f t="shared" ca="1" si="58"/>
        <v>5.0687832325977293</v>
      </c>
      <c r="P255" s="311">
        <f t="shared" ca="1" si="58"/>
        <v>4.2466861190377552</v>
      </c>
      <c r="Q255" s="311">
        <f t="shared" ca="1" si="58"/>
        <v>4.2199006128531247</v>
      </c>
      <c r="R255" s="311">
        <f t="shared" ca="1" si="58"/>
        <v>4.0634207280573511</v>
      </c>
      <c r="S255" s="311">
        <f t="shared" ca="1" si="58"/>
        <v>4.3510405968252206</v>
      </c>
    </row>
    <row r="256" spans="1:19">
      <c r="A256" s="5"/>
      <c r="B256" s="249"/>
      <c r="C256" s="12"/>
      <c r="D256" s="263"/>
      <c r="E256" s="263"/>
      <c r="F256" s="263"/>
      <c r="G256" s="263"/>
      <c r="H256" s="263"/>
      <c r="I256" s="263"/>
      <c r="J256" s="263"/>
      <c r="K256" s="263"/>
      <c r="L256" s="263"/>
      <c r="M256" s="836"/>
      <c r="N256" s="263"/>
      <c r="O256" s="263"/>
      <c r="P256" s="263"/>
      <c r="Q256" s="263"/>
      <c r="R256" s="263"/>
      <c r="S256" s="263"/>
    </row>
    <row r="257" spans="1:19">
      <c r="A257" s="5"/>
      <c r="B257" s="249" t="str">
        <f ca="1">+'I-4 History'!B255</f>
        <v>A-4</v>
      </c>
      <c r="C257" s="14" t="str">
        <f ca="1">+'I-4 History'!C255</f>
        <v>Audit Services</v>
      </c>
      <c r="D257" s="11"/>
      <c r="E257" s="11"/>
      <c r="F257" s="11"/>
      <c r="G257" s="11"/>
      <c r="H257" s="11"/>
      <c r="I257" s="11"/>
      <c r="J257" s="11"/>
      <c r="K257" s="11"/>
      <c r="L257" s="11"/>
      <c r="M257" s="507"/>
      <c r="N257" s="11"/>
      <c r="O257" s="11"/>
      <c r="P257" s="11"/>
      <c r="Q257" s="11"/>
      <c r="R257" s="11"/>
      <c r="S257" s="11"/>
    </row>
    <row r="258" spans="1:19">
      <c r="A258" s="5"/>
      <c r="B258" s="249"/>
      <c r="C258" s="13" t="s">
        <v>68</v>
      </c>
      <c r="D258" s="312">
        <f>'I-4 History'!D256</f>
        <v>0</v>
      </c>
      <c r="E258" s="312">
        <f>'I-4 History'!E256</f>
        <v>0</v>
      </c>
      <c r="F258" s="312">
        <f>'I-4 History'!F256</f>
        <v>0</v>
      </c>
      <c r="G258" s="312">
        <f>'I-4 History'!G256</f>
        <v>0</v>
      </c>
      <c r="H258" s="312">
        <f>'I-4 History'!H256</f>
        <v>0</v>
      </c>
      <c r="I258" s="312">
        <f>'I-4 History'!I256</f>
        <v>0</v>
      </c>
      <c r="J258" s="312">
        <f>'I-4 History'!J256</f>
        <v>0</v>
      </c>
      <c r="K258" s="312">
        <f>'I-4 History'!K256</f>
        <v>0</v>
      </c>
      <c r="L258" s="310">
        <f ca="1">'A-4'!B$64</f>
        <v>0</v>
      </c>
      <c r="M258" s="835">
        <f ca="1">'A-4'!C$64</f>
        <v>0</v>
      </c>
      <c r="N258" s="312">
        <f ca="1">'A-4'!D$64</f>
        <v>0.48</v>
      </c>
      <c r="O258" s="310">
        <f ca="1">'A-4'!E$64</f>
        <v>0.70050188430720173</v>
      </c>
      <c r="P258" s="310">
        <f ca="1">'A-4'!F$64</f>
        <v>0.71605793321034572</v>
      </c>
      <c r="Q258" s="310">
        <f ca="1">'A-4'!G$64</f>
        <v>0.73260215493586134</v>
      </c>
      <c r="R258" s="310">
        <f ca="1">'A-4'!H$64</f>
        <v>0.75006570113716275</v>
      </c>
      <c r="S258" s="310">
        <f ca="1">'A-4'!I$64</f>
        <v>0.76757519616933911</v>
      </c>
    </row>
    <row r="259" spans="1:19">
      <c r="A259" s="5"/>
      <c r="B259" s="249"/>
      <c r="C259" s="13" t="s">
        <v>69</v>
      </c>
      <c r="D259" s="312">
        <f>'I-4 History'!D257</f>
        <v>0</v>
      </c>
      <c r="E259" s="312">
        <f>'I-4 History'!E257</f>
        <v>0</v>
      </c>
      <c r="F259" s="312">
        <f>'I-4 History'!F257</f>
        <v>0</v>
      </c>
      <c r="G259" s="312">
        <f>'I-4 History'!G257</f>
        <v>0</v>
      </c>
      <c r="H259" s="312">
        <f>'I-4 History'!H257</f>
        <v>0</v>
      </c>
      <c r="I259" s="312">
        <f>'I-4 History'!I257</f>
        <v>0</v>
      </c>
      <c r="J259" s="312">
        <f>'I-4 History'!J257</f>
        <v>0</v>
      </c>
      <c r="K259" s="312">
        <f>'I-4 History'!K257</f>
        <v>0</v>
      </c>
      <c r="L259" s="310">
        <f ca="1">'A-4'!B$65</f>
        <v>0</v>
      </c>
      <c r="M259" s="835">
        <f ca="1">'A-4'!C$65</f>
        <v>0</v>
      </c>
      <c r="N259" s="312">
        <f ca="1">'A-4'!D$65</f>
        <v>5.0000000000000001E-3</v>
      </c>
      <c r="O259" s="310">
        <f ca="1">'A-4'!E$65</f>
        <v>5.0530497914061754E-3</v>
      </c>
      <c r="P259" s="310">
        <f ca="1">'A-4'!F$65</f>
        <v>5.1022049756180585E-3</v>
      </c>
      <c r="Q259" s="310">
        <f ca="1">'A-4'!G$65</f>
        <v>5.1507943293810643E-3</v>
      </c>
      <c r="R259" s="310">
        <f ca="1">'A-4'!H$65</f>
        <v>5.2035098757349787E-3</v>
      </c>
      <c r="S259" s="310">
        <f ca="1">'A-4'!I$65</f>
        <v>5.251797710720001E-3</v>
      </c>
    </row>
    <row r="260" spans="1:19" s="759" customFormat="1">
      <c r="A260" s="5"/>
      <c r="B260" s="249"/>
      <c r="C260" s="13" t="s">
        <v>646</v>
      </c>
      <c r="D260" s="312">
        <f>'I-4 History'!D258</f>
        <v>0</v>
      </c>
      <c r="E260" s="312">
        <f>'I-4 History'!E258</f>
        <v>0</v>
      </c>
      <c r="F260" s="312">
        <f>'I-4 History'!F258</f>
        <v>0</v>
      </c>
      <c r="G260" s="312">
        <f>'I-4 History'!G258</f>
        <v>0</v>
      </c>
      <c r="H260" s="312">
        <f>'I-4 History'!H258</f>
        <v>0</v>
      </c>
      <c r="I260" s="312">
        <f>'I-4 History'!I258</f>
        <v>0</v>
      </c>
      <c r="J260" s="312">
        <f>'I-4 History'!J258</f>
        <v>0</v>
      </c>
      <c r="K260" s="312">
        <f>'I-4 History'!K258</f>
        <v>0</v>
      </c>
      <c r="L260" s="310">
        <f ca="1">'A-4'!B$66</f>
        <v>0</v>
      </c>
      <c r="M260" s="835">
        <f ca="1">'A-4'!C$66</f>
        <v>0</v>
      </c>
      <c r="N260" s="312">
        <f ca="1">'A-4'!D$66</f>
        <v>0</v>
      </c>
      <c r="O260" s="310">
        <f ca="1">'A-4'!E$66</f>
        <v>0</v>
      </c>
      <c r="P260" s="310">
        <f ca="1">'A-4'!F$66</f>
        <v>0</v>
      </c>
      <c r="Q260" s="310">
        <f ca="1">'A-4'!G$66</f>
        <v>0</v>
      </c>
      <c r="R260" s="310">
        <f ca="1">'A-4'!H$66</f>
        <v>0</v>
      </c>
      <c r="S260" s="310">
        <f ca="1">'A-4'!I$66</f>
        <v>0</v>
      </c>
    </row>
    <row r="261" spans="1:19">
      <c r="A261" s="5"/>
      <c r="B261" s="249"/>
      <c r="C261" s="13" t="s">
        <v>647</v>
      </c>
      <c r="D261" s="312">
        <f>'I-4 History'!D259</f>
        <v>0</v>
      </c>
      <c r="E261" s="312">
        <f>'I-4 History'!E259</f>
        <v>0</v>
      </c>
      <c r="F261" s="312">
        <f>'I-4 History'!F259</f>
        <v>0</v>
      </c>
      <c r="G261" s="312">
        <f>'I-4 History'!G259</f>
        <v>0</v>
      </c>
      <c r="H261" s="312">
        <f>'I-4 History'!H259</f>
        <v>0</v>
      </c>
      <c r="I261" s="312">
        <f>'I-4 History'!I259</f>
        <v>0</v>
      </c>
      <c r="J261" s="312">
        <f>'I-4 History'!J259</f>
        <v>0</v>
      </c>
      <c r="K261" s="312">
        <f>'I-4 History'!K259</f>
        <v>0</v>
      </c>
      <c r="L261" s="310">
        <f ca="1">'A-4'!B$67</f>
        <v>0</v>
      </c>
      <c r="M261" s="835">
        <f ca="1">'A-4'!C$67</f>
        <v>0</v>
      </c>
      <c r="N261" s="312">
        <f ca="1">'A-4'!D$67</f>
        <v>0.3</v>
      </c>
      <c r="O261" s="310">
        <f ca="1">'A-4'!E$67</f>
        <v>0.30469890242179232</v>
      </c>
      <c r="P261" s="310">
        <f ca="1">'A-4'!F$67</f>
        <v>0.30920127482991772</v>
      </c>
      <c r="Q261" s="310">
        <f ca="1">'A-4'!G$67</f>
        <v>0.31495517531495432</v>
      </c>
      <c r="R261" s="310">
        <f ca="1">'A-4'!H$67</f>
        <v>0.32151944323477594</v>
      </c>
      <c r="S261" s="310">
        <f ca="1">'A-4'!I$67</f>
        <v>0.32855938687731157</v>
      </c>
    </row>
    <row r="262" spans="1:19" s="759" customFormat="1">
      <c r="A262" s="5"/>
      <c r="B262" s="249"/>
      <c r="C262" s="13" t="s">
        <v>575</v>
      </c>
      <c r="D262" s="312">
        <f>'I-4 History'!D260</f>
        <v>0</v>
      </c>
      <c r="E262" s="312">
        <f>'I-4 History'!E260</f>
        <v>0</v>
      </c>
      <c r="F262" s="312">
        <f>'I-4 History'!F260</f>
        <v>0</v>
      </c>
      <c r="G262" s="312">
        <f>'I-4 History'!G260</f>
        <v>0</v>
      </c>
      <c r="H262" s="312">
        <f>'I-4 History'!H260</f>
        <v>0</v>
      </c>
      <c r="I262" s="312">
        <f>'I-4 History'!I260</f>
        <v>0</v>
      </c>
      <c r="J262" s="312">
        <f>'I-4 History'!J260</f>
        <v>0</v>
      </c>
      <c r="K262" s="312">
        <f>'I-4 History'!K260</f>
        <v>0</v>
      </c>
      <c r="L262" s="310">
        <f ca="1">'A-4'!B$68</f>
        <v>0</v>
      </c>
      <c r="M262" s="835">
        <f ca="1">'A-4'!C$68</f>
        <v>0</v>
      </c>
      <c r="N262" s="312">
        <f ca="1">'A-4'!D$68</f>
        <v>0</v>
      </c>
      <c r="O262" s="310">
        <f ca="1">'A-4'!E$68</f>
        <v>0</v>
      </c>
      <c r="P262" s="310">
        <f ca="1">'A-4'!F$68</f>
        <v>0</v>
      </c>
      <c r="Q262" s="310">
        <f ca="1">'A-4'!G$68</f>
        <v>0</v>
      </c>
      <c r="R262" s="310">
        <f ca="1">'A-4'!H$68</f>
        <v>0</v>
      </c>
      <c r="S262" s="310">
        <f ca="1">'A-4'!I$68</f>
        <v>0</v>
      </c>
    </row>
    <row r="263" spans="1:19">
      <c r="A263" s="5"/>
      <c r="B263" s="249"/>
      <c r="C263" s="13" t="s">
        <v>70</v>
      </c>
      <c r="D263" s="312">
        <f>'I-4 History'!D261</f>
        <v>0</v>
      </c>
      <c r="E263" s="312">
        <f>'I-4 History'!E261</f>
        <v>0</v>
      </c>
      <c r="F263" s="312">
        <f>'I-4 History'!F261</f>
        <v>0</v>
      </c>
      <c r="G263" s="312">
        <f>'I-4 History'!G261</f>
        <v>0</v>
      </c>
      <c r="H263" s="312">
        <f>'I-4 History'!H261</f>
        <v>0</v>
      </c>
      <c r="I263" s="312">
        <f>'I-4 History'!I261</f>
        <v>0</v>
      </c>
      <c r="J263" s="312">
        <f>'I-4 History'!J261</f>
        <v>0</v>
      </c>
      <c r="K263" s="312">
        <f>'I-4 History'!K261</f>
        <v>0</v>
      </c>
      <c r="L263" s="310">
        <f ca="1">'A-4'!B$69</f>
        <v>0</v>
      </c>
      <c r="M263" s="835">
        <f ca="1">'A-4'!C$69</f>
        <v>0</v>
      </c>
      <c r="N263" s="312">
        <f ca="1">'A-4'!D$69</f>
        <v>0</v>
      </c>
      <c r="O263" s="310">
        <f ca="1">'A-4'!E$69</f>
        <v>0</v>
      </c>
      <c r="P263" s="310">
        <f ca="1">'A-4'!F$69</f>
        <v>0</v>
      </c>
      <c r="Q263" s="310">
        <f ca="1">'A-4'!G$69</f>
        <v>0</v>
      </c>
      <c r="R263" s="310">
        <f ca="1">'A-4'!H$69</f>
        <v>0</v>
      </c>
      <c r="S263" s="310">
        <f ca="1">'A-4'!I$69</f>
        <v>0</v>
      </c>
    </row>
    <row r="264" spans="1:19">
      <c r="A264" s="5"/>
      <c r="B264" s="249"/>
      <c r="C264" s="12" t="s">
        <v>75</v>
      </c>
      <c r="D264" s="313">
        <f t="shared" ref="D264:K264" si="59">SUBTOTAL(9,D258:D263)</f>
        <v>0</v>
      </c>
      <c r="E264" s="311">
        <f t="shared" si="59"/>
        <v>0</v>
      </c>
      <c r="F264" s="311">
        <f t="shared" si="59"/>
        <v>0</v>
      </c>
      <c r="G264" s="311">
        <f t="shared" si="59"/>
        <v>0</v>
      </c>
      <c r="H264" s="311">
        <f t="shared" si="59"/>
        <v>0</v>
      </c>
      <c r="I264" s="311">
        <f t="shared" si="59"/>
        <v>0</v>
      </c>
      <c r="J264" s="311">
        <f t="shared" si="59"/>
        <v>0</v>
      </c>
      <c r="K264" s="311">
        <f t="shared" si="59"/>
        <v>0</v>
      </c>
      <c r="L264" s="311">
        <f t="shared" ref="L264:S264" ca="1" si="60">SUBTOTAL(9,L258:L263)</f>
        <v>0</v>
      </c>
      <c r="M264" s="513">
        <f t="shared" ca="1" si="60"/>
        <v>0</v>
      </c>
      <c r="N264" s="313">
        <f t="shared" ca="1" si="60"/>
        <v>0.78499999999999992</v>
      </c>
      <c r="O264" s="311">
        <f t="shared" ca="1" si="60"/>
        <v>1.0102538365204001</v>
      </c>
      <c r="P264" s="311">
        <f t="shared" ca="1" si="60"/>
        <v>1.0303614130158816</v>
      </c>
      <c r="Q264" s="311">
        <f t="shared" ca="1" si="60"/>
        <v>1.0527081245801968</v>
      </c>
      <c r="R264" s="311">
        <f t="shared" ca="1" si="60"/>
        <v>1.0767886542476737</v>
      </c>
      <c r="S264" s="311">
        <f t="shared" ca="1" si="60"/>
        <v>1.1013863807573707</v>
      </c>
    </row>
    <row r="265" spans="1:19" ht="17.25" customHeight="1" thickBot="1">
      <c r="A265" s="5"/>
      <c r="B265" s="250"/>
      <c r="C265" s="269" t="str">
        <f>CONCATENATE("Total ", +C229)</f>
        <v>Total Office of the CEO</v>
      </c>
      <c r="D265" s="313">
        <f>SUBTOTAL(9,D231:D264)</f>
        <v>0</v>
      </c>
      <c r="E265" s="311">
        <f t="shared" ref="E265:S265" si="61">SUBTOTAL(9,E231:E264)</f>
        <v>0</v>
      </c>
      <c r="F265" s="311">
        <f t="shared" si="61"/>
        <v>0</v>
      </c>
      <c r="G265" s="311">
        <f t="shared" si="61"/>
        <v>0</v>
      </c>
      <c r="H265" s="311">
        <f t="shared" si="61"/>
        <v>0</v>
      </c>
      <c r="I265" s="311">
        <f t="shared" si="61"/>
        <v>0</v>
      </c>
      <c r="J265" s="311">
        <f t="shared" si="61"/>
        <v>0</v>
      </c>
      <c r="K265" s="311">
        <f t="shared" si="61"/>
        <v>0</v>
      </c>
      <c r="L265" s="311">
        <f t="shared" ca="1" si="61"/>
        <v>0</v>
      </c>
      <c r="M265" s="513">
        <f t="shared" ca="1" si="61"/>
        <v>0</v>
      </c>
      <c r="N265" s="313">
        <f t="shared" ca="1" si="61"/>
        <v>4.968</v>
      </c>
      <c r="O265" s="311">
        <f t="shared" ca="1" si="61"/>
        <v>8.1682516881284872</v>
      </c>
      <c r="P265" s="311">
        <f t="shared" ca="1" si="61"/>
        <v>7.4149504019679622</v>
      </c>
      <c r="Q265" s="311">
        <f t="shared" ca="1" si="61"/>
        <v>7.4649309091141349</v>
      </c>
      <c r="R265" s="311">
        <f t="shared" ca="1" si="61"/>
        <v>7.3913939850414376</v>
      </c>
      <c r="S265" s="311">
        <f t="shared" ca="1" si="61"/>
        <v>7.7638144334769006</v>
      </c>
    </row>
    <row r="266" spans="1:19" ht="18">
      <c r="B266" s="251"/>
      <c r="C266" s="254" t="str">
        <f>+'I-3 Allocated'!A9</f>
        <v>Regulation and Company Secretary</v>
      </c>
      <c r="D266" s="266"/>
      <c r="E266" s="266"/>
      <c r="F266" s="266"/>
      <c r="G266" s="266"/>
      <c r="H266" s="266"/>
      <c r="I266" s="266"/>
      <c r="J266" s="266"/>
      <c r="K266" s="266"/>
      <c r="L266" s="266"/>
      <c r="M266" s="842"/>
      <c r="N266" s="266"/>
      <c r="O266" s="266"/>
      <c r="P266" s="266"/>
      <c r="Q266" s="266"/>
      <c r="R266" s="266"/>
      <c r="S266" s="266"/>
    </row>
    <row r="267" spans="1:19" ht="25.5">
      <c r="A267" s="5"/>
      <c r="B267" s="249" t="str">
        <f ca="1">+'I-4 History'!B264</f>
        <v>A-5</v>
      </c>
      <c r="C267" s="14" t="str">
        <f ca="1">+'I-4 History'!C264</f>
        <v>General Manager Regulation &amp; Company Secretary</v>
      </c>
      <c r="D267" s="11"/>
      <c r="E267" s="11"/>
      <c r="F267" s="11"/>
      <c r="G267" s="11"/>
      <c r="H267" s="11"/>
      <c r="I267" s="11"/>
      <c r="J267" s="11"/>
      <c r="K267" s="11"/>
      <c r="L267" s="11"/>
      <c r="M267" s="507"/>
      <c r="N267" s="11"/>
      <c r="O267" s="11"/>
      <c r="P267" s="11"/>
      <c r="Q267" s="11"/>
      <c r="R267" s="11"/>
      <c r="S267" s="11"/>
    </row>
    <row r="268" spans="1:19">
      <c r="A268" s="5"/>
      <c r="B268" s="249"/>
      <c r="C268" s="13" t="s">
        <v>68</v>
      </c>
      <c r="D268" s="312">
        <f>'I-4 History'!D265</f>
        <v>0</v>
      </c>
      <c r="E268" s="312">
        <f>'I-4 History'!E265</f>
        <v>0</v>
      </c>
      <c r="F268" s="312">
        <f>'I-4 History'!F265</f>
        <v>0</v>
      </c>
      <c r="G268" s="312">
        <f>'I-4 History'!G265</f>
        <v>0</v>
      </c>
      <c r="H268" s="312">
        <f>'I-4 History'!H265</f>
        <v>0</v>
      </c>
      <c r="I268" s="312">
        <f>'I-4 History'!I265</f>
        <v>0</v>
      </c>
      <c r="J268" s="312">
        <f>'I-4 History'!J265</f>
        <v>0</v>
      </c>
      <c r="K268" s="312">
        <f>'I-4 History'!K265</f>
        <v>0</v>
      </c>
      <c r="L268" s="310">
        <f ca="1">'A-5'!B$64</f>
        <v>0</v>
      </c>
      <c r="M268" s="835">
        <f ca="1">'A-5'!C$64</f>
        <v>0</v>
      </c>
      <c r="N268" s="312">
        <f ca="1">'A-5'!D$64</f>
        <v>1.524</v>
      </c>
      <c r="O268" s="310">
        <f ca="1">'A-5'!E$64</f>
        <v>1.5732184826753652</v>
      </c>
      <c r="P268" s="310">
        <f ca="1">'A-5'!F$64</f>
        <v>1.6226089379428479</v>
      </c>
      <c r="Q268" s="310">
        <f ca="1">'A-5'!G$64</f>
        <v>1.6751368419213599</v>
      </c>
      <c r="R268" s="310">
        <f ca="1">'A-5'!H$64</f>
        <v>1.730583601110492</v>
      </c>
      <c r="S268" s="310">
        <f ca="1">'A-5'!I$64</f>
        <v>1.7861762478376517</v>
      </c>
    </row>
    <row r="269" spans="1:19">
      <c r="A269" s="5"/>
      <c r="B269" s="249"/>
      <c r="C269" s="13" t="s">
        <v>69</v>
      </c>
      <c r="D269" s="312">
        <f>'I-4 History'!D266</f>
        <v>0</v>
      </c>
      <c r="E269" s="312">
        <f>'I-4 History'!E266</f>
        <v>0</v>
      </c>
      <c r="F269" s="312">
        <f>'I-4 History'!F266</f>
        <v>0</v>
      </c>
      <c r="G269" s="312">
        <f>'I-4 History'!G266</f>
        <v>0</v>
      </c>
      <c r="H269" s="312">
        <f>'I-4 History'!H266</f>
        <v>0</v>
      </c>
      <c r="I269" s="312">
        <f>'I-4 History'!I266</f>
        <v>0</v>
      </c>
      <c r="J269" s="312">
        <f>'I-4 History'!J266</f>
        <v>0</v>
      </c>
      <c r="K269" s="312">
        <f>'I-4 History'!K266</f>
        <v>0</v>
      </c>
      <c r="L269" s="310">
        <f ca="1">'A-5'!B$65</f>
        <v>0</v>
      </c>
      <c r="M269" s="835">
        <f ca="1">'A-5'!C$65</f>
        <v>0</v>
      </c>
      <c r="N269" s="312">
        <f ca="1">'A-5'!D$65</f>
        <v>3.4000000000000002E-2</v>
      </c>
      <c r="O269" s="310">
        <f ca="1">'A-5'!E$65</f>
        <v>3.4360738581561995E-2</v>
      </c>
      <c r="P269" s="310">
        <f ca="1">'A-5'!F$65</f>
        <v>3.4694993834202804E-2</v>
      </c>
      <c r="Q269" s="310">
        <f ca="1">'A-5'!G$65</f>
        <v>3.5025401439791243E-2</v>
      </c>
      <c r="R269" s="310">
        <f ca="1">'A-5'!H$65</f>
        <v>3.5383867154997854E-2</v>
      </c>
      <c r="S269" s="310">
        <f ca="1">'A-5'!I$65</f>
        <v>3.5712224432896011E-2</v>
      </c>
    </row>
    <row r="270" spans="1:19" s="759" customFormat="1">
      <c r="A270" s="5"/>
      <c r="B270" s="249"/>
      <c r="C270" s="13" t="s">
        <v>646</v>
      </c>
      <c r="D270" s="312">
        <f>'I-4 History'!D267</f>
        <v>0</v>
      </c>
      <c r="E270" s="312">
        <f>'I-4 History'!E267</f>
        <v>0</v>
      </c>
      <c r="F270" s="312">
        <f>'I-4 History'!F267</f>
        <v>0</v>
      </c>
      <c r="G270" s="312">
        <f>'I-4 History'!G267</f>
        <v>0</v>
      </c>
      <c r="H270" s="312">
        <f>'I-4 History'!H267</f>
        <v>0</v>
      </c>
      <c r="I270" s="312">
        <f>'I-4 History'!I267</f>
        <v>0</v>
      </c>
      <c r="J270" s="312">
        <f>'I-4 History'!J267</f>
        <v>0</v>
      </c>
      <c r="K270" s="312">
        <f>'I-4 History'!K267</f>
        <v>0</v>
      </c>
      <c r="L270" s="310">
        <f ca="1">'A-5'!B$66</f>
        <v>0</v>
      </c>
      <c r="M270" s="835">
        <f ca="1">'A-5'!C$66</f>
        <v>0</v>
      </c>
      <c r="N270" s="312">
        <f ca="1">'A-5'!D$66</f>
        <v>3.6999999999999998E-2</v>
      </c>
      <c r="O270" s="310">
        <f ca="1">'A-5'!E$66</f>
        <v>3.7579531298687727E-2</v>
      </c>
      <c r="P270" s="310">
        <f ca="1">'A-5'!F$66</f>
        <v>3.8134823895689854E-2</v>
      </c>
      <c r="Q270" s="310">
        <f ca="1">'A-5'!G$66</f>
        <v>3.884447162217769E-2</v>
      </c>
      <c r="R270" s="310">
        <f ca="1">'A-5'!H$66</f>
        <v>3.9654064665622366E-2</v>
      </c>
      <c r="S270" s="310">
        <f ca="1">'A-5'!I$66</f>
        <v>4.0522324381535087E-2</v>
      </c>
    </row>
    <row r="271" spans="1:19">
      <c r="A271" s="5"/>
      <c r="B271" s="249"/>
      <c r="C271" s="13" t="s">
        <v>647</v>
      </c>
      <c r="D271" s="312">
        <f>'I-4 History'!D268</f>
        <v>0</v>
      </c>
      <c r="E271" s="312">
        <f>'I-4 History'!E268</f>
        <v>0</v>
      </c>
      <c r="F271" s="312">
        <f>'I-4 History'!F268</f>
        <v>0</v>
      </c>
      <c r="G271" s="312">
        <f>'I-4 History'!G268</f>
        <v>0</v>
      </c>
      <c r="H271" s="312">
        <f>'I-4 History'!H268</f>
        <v>0</v>
      </c>
      <c r="I271" s="312">
        <f>'I-4 History'!I268</f>
        <v>0</v>
      </c>
      <c r="J271" s="312">
        <f>'I-4 History'!J268</f>
        <v>0</v>
      </c>
      <c r="K271" s="312">
        <f>'I-4 History'!K268</f>
        <v>0</v>
      </c>
      <c r="L271" s="310">
        <f ca="1">'A-5'!B$67</f>
        <v>0</v>
      </c>
      <c r="M271" s="835">
        <f ca="1">'A-5'!C$67</f>
        <v>0</v>
      </c>
      <c r="N271" s="312">
        <f ca="1">'A-5'!D$67</f>
        <v>0.13100000000000001</v>
      </c>
      <c r="O271" s="310">
        <f ca="1">'A-5'!E$67</f>
        <v>0.13305185405751602</v>
      </c>
      <c r="P271" s="310">
        <f ca="1">'A-5'!F$67</f>
        <v>0.13501789000906406</v>
      </c>
      <c r="Q271" s="310">
        <f ca="1">'A-5'!G$67</f>
        <v>0.1375304265541967</v>
      </c>
      <c r="R271" s="310">
        <f ca="1">'A-5'!H$67</f>
        <v>0.14039682354585217</v>
      </c>
      <c r="S271" s="310">
        <f ca="1">'A-5'!I$67</f>
        <v>0.1434709322697594</v>
      </c>
    </row>
    <row r="272" spans="1:19" s="759" customFormat="1">
      <c r="A272" s="5"/>
      <c r="B272" s="249"/>
      <c r="C272" s="13" t="s">
        <v>575</v>
      </c>
      <c r="D272" s="312">
        <f>'I-4 History'!D269</f>
        <v>0</v>
      </c>
      <c r="E272" s="312">
        <f>'I-4 History'!E269</f>
        <v>0</v>
      </c>
      <c r="F272" s="312">
        <f>'I-4 History'!F269</f>
        <v>0</v>
      </c>
      <c r="G272" s="312">
        <f>'I-4 History'!G269</f>
        <v>0</v>
      </c>
      <c r="H272" s="312">
        <f>'I-4 History'!H269</f>
        <v>0</v>
      </c>
      <c r="I272" s="312">
        <f>'I-4 History'!I269</f>
        <v>0</v>
      </c>
      <c r="J272" s="312">
        <f>'I-4 History'!J269</f>
        <v>0</v>
      </c>
      <c r="K272" s="312">
        <f>'I-4 History'!K269</f>
        <v>0</v>
      </c>
      <c r="L272" s="310">
        <f ca="1">'A-5'!B$68</f>
        <v>0</v>
      </c>
      <c r="M272" s="835">
        <f ca="1">'A-5'!C$68</f>
        <v>0</v>
      </c>
      <c r="N272" s="312">
        <f ca="1">'A-5'!D$68</f>
        <v>0</v>
      </c>
      <c r="O272" s="310">
        <f ca="1">'A-5'!E$68</f>
        <v>0</v>
      </c>
      <c r="P272" s="310">
        <f ca="1">'A-5'!F$68</f>
        <v>0</v>
      </c>
      <c r="Q272" s="310">
        <f ca="1">'A-5'!G$68</f>
        <v>0</v>
      </c>
      <c r="R272" s="310">
        <f ca="1">'A-5'!H$68</f>
        <v>0</v>
      </c>
      <c r="S272" s="310">
        <f ca="1">'A-5'!I$68</f>
        <v>0</v>
      </c>
    </row>
    <row r="273" spans="1:19">
      <c r="A273" s="5"/>
      <c r="B273" s="249"/>
      <c r="C273" s="13" t="s">
        <v>70</v>
      </c>
      <c r="D273" s="312">
        <f>'I-4 History'!D270</f>
        <v>0</v>
      </c>
      <c r="E273" s="312">
        <f>'I-4 History'!E270</f>
        <v>0</v>
      </c>
      <c r="F273" s="312">
        <f>'I-4 History'!F270</f>
        <v>0</v>
      </c>
      <c r="G273" s="312">
        <f>'I-4 History'!G270</f>
        <v>0</v>
      </c>
      <c r="H273" s="312">
        <f>'I-4 History'!H270</f>
        <v>0</v>
      </c>
      <c r="I273" s="312">
        <f>'I-4 History'!I270</f>
        <v>0</v>
      </c>
      <c r="J273" s="312">
        <f>'I-4 History'!J270</f>
        <v>0</v>
      </c>
      <c r="K273" s="312">
        <f>'I-4 History'!K270</f>
        <v>0</v>
      </c>
      <c r="L273" s="310">
        <f ca="1">'A-5'!B$69</f>
        <v>0</v>
      </c>
      <c r="M273" s="835">
        <f ca="1">'A-5'!C$69</f>
        <v>0</v>
      </c>
      <c r="N273" s="312">
        <f ca="1">'A-5'!D$69</f>
        <v>0</v>
      </c>
      <c r="O273" s="310">
        <f ca="1">'A-5'!E$69</f>
        <v>0</v>
      </c>
      <c r="P273" s="310">
        <f ca="1">'A-5'!F$69</f>
        <v>0</v>
      </c>
      <c r="Q273" s="310">
        <f ca="1">'A-5'!G$69</f>
        <v>0</v>
      </c>
      <c r="R273" s="310">
        <f ca="1">'A-5'!H$69</f>
        <v>0</v>
      </c>
      <c r="S273" s="310">
        <f ca="1">'A-5'!I$69</f>
        <v>0</v>
      </c>
    </row>
    <row r="274" spans="1:19">
      <c r="A274" s="5"/>
      <c r="B274" s="249"/>
      <c r="C274" s="12" t="s">
        <v>75</v>
      </c>
      <c r="D274" s="313">
        <f t="shared" ref="D274:K274" si="62">SUBTOTAL(9,D268:D273)</f>
        <v>0</v>
      </c>
      <c r="E274" s="311">
        <f t="shared" si="62"/>
        <v>0</v>
      </c>
      <c r="F274" s="311">
        <f t="shared" si="62"/>
        <v>0</v>
      </c>
      <c r="G274" s="311">
        <f t="shared" si="62"/>
        <v>0</v>
      </c>
      <c r="H274" s="311">
        <f t="shared" si="62"/>
        <v>0</v>
      </c>
      <c r="I274" s="311">
        <f t="shared" si="62"/>
        <v>0</v>
      </c>
      <c r="J274" s="311">
        <f t="shared" si="62"/>
        <v>0</v>
      </c>
      <c r="K274" s="311">
        <f t="shared" si="62"/>
        <v>0</v>
      </c>
      <c r="L274" s="311">
        <f t="shared" ref="L274:S274" ca="1" si="63">SUBTOTAL(9,L268:L273)</f>
        <v>0</v>
      </c>
      <c r="M274" s="513">
        <f t="shared" ca="1" si="63"/>
        <v>0</v>
      </c>
      <c r="N274" s="313">
        <f t="shared" ca="1" si="63"/>
        <v>1.726</v>
      </c>
      <c r="O274" s="311">
        <f t="shared" ca="1" si="63"/>
        <v>1.7782106066131311</v>
      </c>
      <c r="P274" s="311">
        <f t="shared" ca="1" si="63"/>
        <v>1.8304566456818043</v>
      </c>
      <c r="Q274" s="311">
        <f t="shared" ca="1" si="63"/>
        <v>1.8865371415375256</v>
      </c>
      <c r="R274" s="311">
        <f t="shared" ca="1" si="63"/>
        <v>1.9460183564769642</v>
      </c>
      <c r="S274" s="311">
        <f t="shared" ca="1" si="63"/>
        <v>2.0058817289218425</v>
      </c>
    </row>
    <row r="275" spans="1:19">
      <c r="A275" s="5"/>
      <c r="B275" s="249"/>
      <c r="C275" s="14"/>
      <c r="D275" s="263"/>
      <c r="E275" s="263"/>
      <c r="F275" s="263"/>
      <c r="G275" s="263"/>
      <c r="H275" s="263"/>
      <c r="I275" s="263"/>
      <c r="J275" s="263"/>
      <c r="K275" s="263"/>
      <c r="L275" s="263"/>
      <c r="M275" s="836"/>
      <c r="N275" s="263"/>
      <c r="O275" s="263"/>
      <c r="P275" s="263"/>
      <c r="Q275" s="263"/>
      <c r="R275" s="263"/>
      <c r="S275" s="263"/>
    </row>
    <row r="276" spans="1:19">
      <c r="A276" s="5"/>
      <c r="B276" s="249" t="str">
        <f ca="1">+'I-4 History'!B273</f>
        <v>A-6</v>
      </c>
      <c r="C276" s="14" t="str">
        <f ca="1">+'I-4 History'!C273</f>
        <v>Regulation</v>
      </c>
      <c r="D276" s="11"/>
      <c r="E276" s="11"/>
      <c r="F276" s="11"/>
      <c r="G276" s="11"/>
      <c r="H276" s="11"/>
      <c r="I276" s="11"/>
      <c r="J276" s="11"/>
      <c r="K276" s="11"/>
      <c r="L276" s="11"/>
      <c r="M276" s="507"/>
      <c r="N276" s="11"/>
      <c r="O276" s="11"/>
      <c r="P276" s="11"/>
      <c r="Q276" s="11"/>
      <c r="R276" s="11"/>
      <c r="S276" s="11"/>
    </row>
    <row r="277" spans="1:19">
      <c r="A277" s="5"/>
      <c r="B277" s="249"/>
      <c r="C277" s="13" t="s">
        <v>68</v>
      </c>
      <c r="D277" s="312">
        <f>'I-4 History'!D274</f>
        <v>0</v>
      </c>
      <c r="E277" s="312">
        <f>'I-4 History'!E274</f>
        <v>0</v>
      </c>
      <c r="F277" s="312">
        <f>'I-4 History'!F274</f>
        <v>0</v>
      </c>
      <c r="G277" s="312">
        <f>'I-4 History'!G274</f>
        <v>0</v>
      </c>
      <c r="H277" s="312">
        <f>'I-4 History'!H274</f>
        <v>0</v>
      </c>
      <c r="I277" s="312">
        <f>'I-4 History'!I274</f>
        <v>0</v>
      </c>
      <c r="J277" s="312">
        <f>'I-4 History'!J274</f>
        <v>0</v>
      </c>
      <c r="K277" s="312">
        <f>'I-4 History'!K274</f>
        <v>0</v>
      </c>
      <c r="L277" s="310">
        <f ca="1">'A-6'!B$64</f>
        <v>0</v>
      </c>
      <c r="M277" s="835">
        <f ca="1">'A-6'!C$64</f>
        <v>0</v>
      </c>
      <c r="N277" s="312">
        <f ca="1">'A-6'!D$64</f>
        <v>4.8730000000000002</v>
      </c>
      <c r="O277" s="310">
        <f ca="1">'A-6'!E$64</f>
        <v>5.0303764213104039</v>
      </c>
      <c r="P277" s="310">
        <f ca="1">'A-6'!F$64</f>
        <v>5.1883027261125312</v>
      </c>
      <c r="Q277" s="310">
        <f ca="1">'A-6'!G$64</f>
        <v>6.4892610437551097</v>
      </c>
      <c r="R277" s="310">
        <f ca="1">'A-6'!H$64</f>
        <v>6.6665524200862381</v>
      </c>
      <c r="S277" s="310">
        <f ca="1">'A-6'!I$64</f>
        <v>6.8443102727774789</v>
      </c>
    </row>
    <row r="278" spans="1:19">
      <c r="A278" s="5"/>
      <c r="B278" s="249"/>
      <c r="C278" s="13" t="s">
        <v>69</v>
      </c>
      <c r="D278" s="312">
        <f>'I-4 History'!D275</f>
        <v>0</v>
      </c>
      <c r="E278" s="312">
        <f>'I-4 History'!E275</f>
        <v>0</v>
      </c>
      <c r="F278" s="312">
        <f>'I-4 History'!F275</f>
        <v>0</v>
      </c>
      <c r="G278" s="312">
        <f>'I-4 History'!G275</f>
        <v>0</v>
      </c>
      <c r="H278" s="312">
        <f>'I-4 History'!H275</f>
        <v>0</v>
      </c>
      <c r="I278" s="312">
        <f>'I-4 History'!I275</f>
        <v>0</v>
      </c>
      <c r="J278" s="312">
        <f>'I-4 History'!J275</f>
        <v>0</v>
      </c>
      <c r="K278" s="312">
        <f>'I-4 History'!K275</f>
        <v>0</v>
      </c>
      <c r="L278" s="310">
        <f ca="1">'A-6'!B$65</f>
        <v>0</v>
      </c>
      <c r="M278" s="835">
        <f ca="1">'A-6'!C$65</f>
        <v>0</v>
      </c>
      <c r="N278" s="312">
        <f ca="1">'A-6'!D$65</f>
        <v>0.16300000000000001</v>
      </c>
      <c r="O278" s="310">
        <f ca="1">'A-6'!E$65</f>
        <v>0.16472942319984132</v>
      </c>
      <c r="P278" s="310">
        <f ca="1">'A-6'!F$65</f>
        <v>0.16633188220514872</v>
      </c>
      <c r="Q278" s="310">
        <f ca="1">'A-6'!G$65</f>
        <v>0.16791589513782271</v>
      </c>
      <c r="R278" s="310">
        <f ca="1">'A-6'!H$65</f>
        <v>0.16963442194896031</v>
      </c>
      <c r="S278" s="310">
        <f ca="1">'A-6'!I$65</f>
        <v>0.17120860536947202</v>
      </c>
    </row>
    <row r="279" spans="1:19" s="759" customFormat="1">
      <c r="A279" s="5"/>
      <c r="B279" s="249"/>
      <c r="C279" s="13" t="s">
        <v>646</v>
      </c>
      <c r="D279" s="312">
        <f>'I-4 History'!D276</f>
        <v>0</v>
      </c>
      <c r="E279" s="312">
        <f>'I-4 History'!E276</f>
        <v>0</v>
      </c>
      <c r="F279" s="312">
        <f>'I-4 History'!F276</f>
        <v>0</v>
      </c>
      <c r="G279" s="312">
        <f>'I-4 History'!G276</f>
        <v>0</v>
      </c>
      <c r="H279" s="312">
        <f>'I-4 History'!H276</f>
        <v>0</v>
      </c>
      <c r="I279" s="312">
        <f>'I-4 History'!I276</f>
        <v>0</v>
      </c>
      <c r="J279" s="312">
        <f>'I-4 History'!J276</f>
        <v>0</v>
      </c>
      <c r="K279" s="312">
        <f>'I-4 History'!K276</f>
        <v>0</v>
      </c>
      <c r="L279" s="310">
        <f ca="1">'A-6'!B$66</f>
        <v>0</v>
      </c>
      <c r="M279" s="835">
        <f ca="1">'A-6'!C$66</f>
        <v>0</v>
      </c>
      <c r="N279" s="312">
        <f ca="1">'A-6'!D$66</f>
        <v>0.153</v>
      </c>
      <c r="O279" s="310">
        <f ca="1">'A-6'!E$66</f>
        <v>0.15539644023511409</v>
      </c>
      <c r="P279" s="310">
        <f ca="1">'A-6'!F$66</f>
        <v>0.15769265016325804</v>
      </c>
      <c r="Q279" s="310">
        <f ca="1">'A-6'!G$66</f>
        <v>0.16062713941062667</v>
      </c>
      <c r="R279" s="310">
        <f ca="1">'A-6'!H$66</f>
        <v>0.16397491604973574</v>
      </c>
      <c r="S279" s="310">
        <f ca="1">'A-6'!I$66</f>
        <v>0.1675652873074289</v>
      </c>
    </row>
    <row r="280" spans="1:19">
      <c r="A280" s="5"/>
      <c r="B280" s="249"/>
      <c r="C280" s="13" t="s">
        <v>647</v>
      </c>
      <c r="D280" s="312">
        <f>'I-4 History'!D277</f>
        <v>0</v>
      </c>
      <c r="E280" s="312">
        <f>'I-4 History'!E277</f>
        <v>0</v>
      </c>
      <c r="F280" s="312">
        <f>'I-4 History'!F277</f>
        <v>0</v>
      </c>
      <c r="G280" s="312">
        <f>'I-4 History'!G277</f>
        <v>0</v>
      </c>
      <c r="H280" s="312">
        <f>'I-4 History'!H277</f>
        <v>0</v>
      </c>
      <c r="I280" s="312">
        <f>'I-4 History'!I277</f>
        <v>0</v>
      </c>
      <c r="J280" s="312">
        <f>'I-4 History'!J277</f>
        <v>0</v>
      </c>
      <c r="K280" s="312">
        <f>'I-4 History'!K277</f>
        <v>0</v>
      </c>
      <c r="L280" s="310">
        <f ca="1">'A-6'!B$67</f>
        <v>0</v>
      </c>
      <c r="M280" s="835">
        <f ca="1">'A-6'!C$67</f>
        <v>0</v>
      </c>
      <c r="N280" s="312">
        <f ca="1">'A-6'!D$67</f>
        <v>0.84699999999999998</v>
      </c>
      <c r="O280" s="310">
        <f ca="1">'A-6'!E$67</f>
        <v>0.86026656783752709</v>
      </c>
      <c r="P280" s="310">
        <f ca="1">'A-6'!F$67</f>
        <v>0.87297826593646755</v>
      </c>
      <c r="Q280" s="310">
        <f ca="1">'A-6'!G$67</f>
        <v>0.88922344497255423</v>
      </c>
      <c r="R280" s="310">
        <f ca="1">'A-6'!H$67</f>
        <v>0.90775656139951744</v>
      </c>
      <c r="S280" s="310">
        <f ca="1">'A-6'!I$67</f>
        <v>0.9276326689502763</v>
      </c>
    </row>
    <row r="281" spans="1:19" s="759" customFormat="1">
      <c r="A281" s="5"/>
      <c r="B281" s="249"/>
      <c r="C281" s="13" t="s">
        <v>575</v>
      </c>
      <c r="D281" s="312">
        <f>'I-4 History'!D278</f>
        <v>0</v>
      </c>
      <c r="E281" s="312">
        <f>'I-4 History'!E278</f>
        <v>0</v>
      </c>
      <c r="F281" s="312">
        <f>'I-4 History'!F278</f>
        <v>0</v>
      </c>
      <c r="G281" s="312">
        <f>'I-4 History'!G278</f>
        <v>0</v>
      </c>
      <c r="H281" s="312">
        <f>'I-4 History'!H278</f>
        <v>0</v>
      </c>
      <c r="I281" s="312">
        <f>'I-4 History'!I278</f>
        <v>0</v>
      </c>
      <c r="J281" s="312">
        <f>'I-4 History'!J278</f>
        <v>0</v>
      </c>
      <c r="K281" s="312">
        <f>'I-4 History'!K278</f>
        <v>0</v>
      </c>
      <c r="L281" s="310">
        <f ca="1">'A-6'!B$68</f>
        <v>0</v>
      </c>
      <c r="M281" s="835">
        <f ca="1">'A-6'!C$68</f>
        <v>0</v>
      </c>
      <c r="N281" s="312">
        <f ca="1">'A-6'!D$68</f>
        <v>0</v>
      </c>
      <c r="O281" s="310">
        <f ca="1">'A-6'!E$68</f>
        <v>0</v>
      </c>
      <c r="P281" s="310">
        <f ca="1">'A-6'!F$68</f>
        <v>0</v>
      </c>
      <c r="Q281" s="310">
        <f ca="1">'A-6'!G$68</f>
        <v>0</v>
      </c>
      <c r="R281" s="310">
        <f ca="1">'A-6'!H$68</f>
        <v>0</v>
      </c>
      <c r="S281" s="310">
        <f ca="1">'A-6'!I$68</f>
        <v>0</v>
      </c>
    </row>
    <row r="282" spans="1:19">
      <c r="A282" s="5"/>
      <c r="B282" s="249"/>
      <c r="C282" s="13" t="s">
        <v>70</v>
      </c>
      <c r="D282" s="312">
        <f>'I-4 History'!D279</f>
        <v>0</v>
      </c>
      <c r="E282" s="312">
        <f>'I-4 History'!E279</f>
        <v>0</v>
      </c>
      <c r="F282" s="312">
        <f>'I-4 History'!F279</f>
        <v>0</v>
      </c>
      <c r="G282" s="312">
        <f>'I-4 History'!G279</f>
        <v>0</v>
      </c>
      <c r="H282" s="312">
        <f>'I-4 History'!H279</f>
        <v>0</v>
      </c>
      <c r="I282" s="312">
        <f>'I-4 History'!I279</f>
        <v>0</v>
      </c>
      <c r="J282" s="312">
        <f>'I-4 History'!J279</f>
        <v>0</v>
      </c>
      <c r="K282" s="312">
        <f>'I-4 History'!K279</f>
        <v>0</v>
      </c>
      <c r="L282" s="310">
        <f ca="1">'A-6'!B$69</f>
        <v>0</v>
      </c>
      <c r="M282" s="835">
        <f ca="1">'A-6'!C$69</f>
        <v>0</v>
      </c>
      <c r="N282" s="312">
        <f ca="1">'A-6'!D$69</f>
        <v>0</v>
      </c>
      <c r="O282" s="310">
        <f ca="1">'A-6'!E$69</f>
        <v>0</v>
      </c>
      <c r="P282" s="310">
        <f ca="1">'A-6'!F$69</f>
        <v>0</v>
      </c>
      <c r="Q282" s="310">
        <f ca="1">'A-6'!G$69</f>
        <v>0</v>
      </c>
      <c r="R282" s="310">
        <f ca="1">'A-6'!H$69</f>
        <v>0</v>
      </c>
      <c r="S282" s="310">
        <f ca="1">'A-6'!I$69</f>
        <v>0</v>
      </c>
    </row>
    <row r="283" spans="1:19">
      <c r="A283" s="5"/>
      <c r="B283" s="249"/>
      <c r="C283" s="12" t="s">
        <v>75</v>
      </c>
      <c r="D283" s="311">
        <f t="shared" ref="D283:K283" si="64">SUBTOTAL(9,D277:D282)</f>
        <v>0</v>
      </c>
      <c r="E283" s="311">
        <f t="shared" si="64"/>
        <v>0</v>
      </c>
      <c r="F283" s="311">
        <f t="shared" si="64"/>
        <v>0</v>
      </c>
      <c r="G283" s="311">
        <f t="shared" si="64"/>
        <v>0</v>
      </c>
      <c r="H283" s="311">
        <f t="shared" si="64"/>
        <v>0</v>
      </c>
      <c r="I283" s="311">
        <f t="shared" si="64"/>
        <v>0</v>
      </c>
      <c r="J283" s="311">
        <f t="shared" si="64"/>
        <v>0</v>
      </c>
      <c r="K283" s="311">
        <f t="shared" si="64"/>
        <v>0</v>
      </c>
      <c r="L283" s="311">
        <f t="shared" ref="L283:S283" ca="1" si="65">SUBTOTAL(9,L277:L282)</f>
        <v>0</v>
      </c>
      <c r="M283" s="513">
        <f t="shared" ca="1" si="65"/>
        <v>0</v>
      </c>
      <c r="N283" s="313">
        <f t="shared" ca="1" si="65"/>
        <v>6.0359999999999996</v>
      </c>
      <c r="O283" s="311">
        <f t="shared" ca="1" si="65"/>
        <v>6.2107688525828868</v>
      </c>
      <c r="P283" s="311">
        <f t="shared" ca="1" si="65"/>
        <v>6.3853055244174053</v>
      </c>
      <c r="Q283" s="311">
        <f t="shared" ca="1" si="65"/>
        <v>7.7070275232761132</v>
      </c>
      <c r="R283" s="311">
        <f t="shared" ca="1" si="65"/>
        <v>7.9079183194844518</v>
      </c>
      <c r="S283" s="311">
        <f t="shared" ca="1" si="65"/>
        <v>8.1107168344046556</v>
      </c>
    </row>
    <row r="284" spans="1:19" ht="17.25" customHeight="1" thickBot="1">
      <c r="A284" s="5"/>
      <c r="B284" s="250"/>
      <c r="C284" s="269" t="str">
        <f>CONCATENATE("Total ", +C266)</f>
        <v>Total Regulation and Company Secretary</v>
      </c>
      <c r="D284" s="314">
        <f t="shared" ref="D284:S284" si="66">SUBTOTAL(9,D268:D282)</f>
        <v>0</v>
      </c>
      <c r="E284" s="315">
        <f t="shared" si="66"/>
        <v>0</v>
      </c>
      <c r="F284" s="315">
        <f t="shared" si="66"/>
        <v>0</v>
      </c>
      <c r="G284" s="315">
        <f t="shared" si="66"/>
        <v>0</v>
      </c>
      <c r="H284" s="315">
        <f t="shared" si="66"/>
        <v>0</v>
      </c>
      <c r="I284" s="315">
        <f t="shared" si="66"/>
        <v>0</v>
      </c>
      <c r="J284" s="315">
        <f t="shared" si="66"/>
        <v>0</v>
      </c>
      <c r="K284" s="315">
        <f t="shared" si="66"/>
        <v>0</v>
      </c>
      <c r="L284" s="315">
        <f t="shared" ca="1" si="66"/>
        <v>0</v>
      </c>
      <c r="M284" s="500">
        <f t="shared" ca="1" si="66"/>
        <v>0</v>
      </c>
      <c r="N284" s="314">
        <f t="shared" ca="1" si="66"/>
        <v>7.7620000000000005</v>
      </c>
      <c r="O284" s="315">
        <f t="shared" ca="1" si="66"/>
        <v>7.9889794591960177</v>
      </c>
      <c r="P284" s="315">
        <f t="shared" ca="1" si="66"/>
        <v>8.2157621700992092</v>
      </c>
      <c r="Q284" s="315">
        <f t="shared" ca="1" si="66"/>
        <v>9.5935646648136395</v>
      </c>
      <c r="R284" s="315">
        <f t="shared" ca="1" si="66"/>
        <v>9.8539366759614158</v>
      </c>
      <c r="S284" s="315">
        <f t="shared" ca="1" si="66"/>
        <v>10.116598563326498</v>
      </c>
    </row>
    <row r="285" spans="1:19" ht="18">
      <c r="B285" s="251"/>
      <c r="C285" s="255" t="str">
        <f>+'I-3 Allocated'!A11</f>
        <v>Finance</v>
      </c>
      <c r="D285" s="266"/>
      <c r="E285" s="266"/>
      <c r="F285" s="266"/>
      <c r="G285" s="266"/>
      <c r="H285" s="266"/>
      <c r="I285" s="266"/>
      <c r="J285" s="266"/>
      <c r="K285" s="266"/>
      <c r="L285" s="266"/>
      <c r="M285" s="842"/>
      <c r="N285" s="266"/>
      <c r="O285" s="266"/>
      <c r="P285" s="266"/>
      <c r="Q285" s="266"/>
      <c r="R285" s="266"/>
      <c r="S285" s="266"/>
    </row>
    <row r="286" spans="1:19">
      <c r="A286" s="5"/>
      <c r="B286" s="249" t="str">
        <f ca="1">+'I-4 History'!B282</f>
        <v>A-7</v>
      </c>
      <c r="C286" s="14" t="str">
        <f ca="1">+'I-4 History'!C282</f>
        <v>CFO</v>
      </c>
      <c r="D286" s="11"/>
      <c r="E286" s="11"/>
      <c r="F286" s="11"/>
      <c r="G286" s="11"/>
      <c r="H286" s="11"/>
      <c r="I286" s="11"/>
      <c r="J286" s="11"/>
      <c r="K286" s="11"/>
      <c r="L286" s="11"/>
      <c r="M286" s="507"/>
      <c r="N286" s="11"/>
      <c r="O286" s="11"/>
      <c r="P286" s="11"/>
      <c r="Q286" s="11"/>
      <c r="R286" s="11"/>
      <c r="S286" s="11"/>
    </row>
    <row r="287" spans="1:19">
      <c r="A287" s="5"/>
      <c r="B287" s="249"/>
      <c r="C287" s="13" t="s">
        <v>68</v>
      </c>
      <c r="D287" s="312">
        <f>'I-4 History'!D283</f>
        <v>0</v>
      </c>
      <c r="E287" s="312">
        <f>'I-4 History'!E283</f>
        <v>0</v>
      </c>
      <c r="F287" s="312">
        <f>'I-4 History'!F283</f>
        <v>0</v>
      </c>
      <c r="G287" s="312">
        <f>'I-4 History'!G283</f>
        <v>0</v>
      </c>
      <c r="H287" s="312">
        <f>'I-4 History'!H283</f>
        <v>0</v>
      </c>
      <c r="I287" s="312">
        <f>'I-4 History'!I283</f>
        <v>0</v>
      </c>
      <c r="J287" s="312">
        <f>'I-4 History'!J283</f>
        <v>0</v>
      </c>
      <c r="K287" s="312">
        <f>'I-4 History'!K283</f>
        <v>0</v>
      </c>
      <c r="L287" s="310">
        <f ca="1">'A-7'!B$64</f>
        <v>0</v>
      </c>
      <c r="M287" s="835">
        <f ca="1">'A-7'!C$64</f>
        <v>0</v>
      </c>
      <c r="N287" s="312">
        <f ca="1">'A-7'!D$64</f>
        <v>0.57100000000000006</v>
      </c>
      <c r="O287" s="310">
        <f ca="1">'A-7'!E$64</f>
        <v>0.5894407832071088</v>
      </c>
      <c r="P287" s="310">
        <f ca="1">'A-7'!F$64</f>
        <v>0.60794599971480723</v>
      </c>
      <c r="Q287" s="310">
        <f ca="1">'A-7'!G$64</f>
        <v>0.62762673014245185</v>
      </c>
      <c r="R287" s="310">
        <f ca="1">'A-7'!H$64</f>
        <v>0.64840107364441668</v>
      </c>
      <c r="S287" s="310">
        <f ca="1">'A-7'!I$64</f>
        <v>0.66923007710977644</v>
      </c>
    </row>
    <row r="288" spans="1:19">
      <c r="A288" s="5"/>
      <c r="B288" s="249"/>
      <c r="C288" s="13" t="s">
        <v>69</v>
      </c>
      <c r="D288" s="312">
        <f>'I-4 History'!D284</f>
        <v>0</v>
      </c>
      <c r="E288" s="312">
        <f>'I-4 History'!E284</f>
        <v>0</v>
      </c>
      <c r="F288" s="312">
        <f>'I-4 History'!F284</f>
        <v>0</v>
      </c>
      <c r="G288" s="312">
        <f>'I-4 History'!G284</f>
        <v>0</v>
      </c>
      <c r="H288" s="312">
        <f>'I-4 History'!H284</f>
        <v>0</v>
      </c>
      <c r="I288" s="312">
        <f>'I-4 History'!I284</f>
        <v>0</v>
      </c>
      <c r="J288" s="312">
        <f>'I-4 History'!J284</f>
        <v>0</v>
      </c>
      <c r="K288" s="312">
        <f>'I-4 History'!K284</f>
        <v>0</v>
      </c>
      <c r="L288" s="310">
        <f ca="1">'A-7'!B$65</f>
        <v>0</v>
      </c>
      <c r="M288" s="835">
        <f ca="1">'A-7'!C$65</f>
        <v>0</v>
      </c>
      <c r="N288" s="312">
        <f ca="1">'A-7'!D$65</f>
        <v>8.0000000000000002E-3</v>
      </c>
      <c r="O288" s="310">
        <f ca="1">'A-7'!E$65</f>
        <v>8.0848796662498813E-3</v>
      </c>
      <c r="P288" s="310">
        <f ca="1">'A-7'!F$65</f>
        <v>8.1635279609888946E-3</v>
      </c>
      <c r="Q288" s="310">
        <f ca="1">'A-7'!G$65</f>
        <v>8.2412709270097036E-3</v>
      </c>
      <c r="R288" s="310">
        <f ca="1">'A-7'!H$65</f>
        <v>8.3256158011759656E-3</v>
      </c>
      <c r="S288" s="310">
        <f ca="1">'A-7'!I$65</f>
        <v>8.4028763371520009E-3</v>
      </c>
    </row>
    <row r="289" spans="1:19" s="759" customFormat="1">
      <c r="A289" s="5"/>
      <c r="B289" s="249"/>
      <c r="C289" s="13" t="s">
        <v>646</v>
      </c>
      <c r="D289" s="312">
        <f>'I-4 History'!D285</f>
        <v>0</v>
      </c>
      <c r="E289" s="312">
        <f>'I-4 History'!E285</f>
        <v>0</v>
      </c>
      <c r="F289" s="312">
        <f>'I-4 History'!F285</f>
        <v>0</v>
      </c>
      <c r="G289" s="312">
        <f>'I-4 History'!G285</f>
        <v>0</v>
      </c>
      <c r="H289" s="312">
        <f>'I-4 History'!H285</f>
        <v>0</v>
      </c>
      <c r="I289" s="312">
        <f>'I-4 History'!I285</f>
        <v>0</v>
      </c>
      <c r="J289" s="312">
        <f>'I-4 History'!J285</f>
        <v>0</v>
      </c>
      <c r="K289" s="312">
        <f>'I-4 History'!K285</f>
        <v>0</v>
      </c>
      <c r="L289" s="310">
        <f ca="1">'A-7'!B$66</f>
        <v>0</v>
      </c>
      <c r="M289" s="835">
        <f ca="1">'A-7'!C$66</f>
        <v>0</v>
      </c>
      <c r="N289" s="312">
        <f ca="1">'A-7'!D$66</f>
        <v>0</v>
      </c>
      <c r="O289" s="310">
        <f ca="1">'A-7'!E$66</f>
        <v>0</v>
      </c>
      <c r="P289" s="310">
        <f ca="1">'A-7'!F$66</f>
        <v>0</v>
      </c>
      <c r="Q289" s="310">
        <f ca="1">'A-7'!G$66</f>
        <v>0</v>
      </c>
      <c r="R289" s="310">
        <f ca="1">'A-7'!H$66</f>
        <v>0</v>
      </c>
      <c r="S289" s="310">
        <f ca="1">'A-7'!I$66</f>
        <v>0</v>
      </c>
    </row>
    <row r="290" spans="1:19">
      <c r="A290" s="5"/>
      <c r="B290" s="249"/>
      <c r="C290" s="13" t="s">
        <v>647</v>
      </c>
      <c r="D290" s="312">
        <f>'I-4 History'!D286</f>
        <v>0</v>
      </c>
      <c r="E290" s="312">
        <f>'I-4 History'!E286</f>
        <v>0</v>
      </c>
      <c r="F290" s="312">
        <f>'I-4 History'!F286</f>
        <v>0</v>
      </c>
      <c r="G290" s="312">
        <f>'I-4 History'!G286</f>
        <v>0</v>
      </c>
      <c r="H290" s="312">
        <f>'I-4 History'!H286</f>
        <v>0</v>
      </c>
      <c r="I290" s="312">
        <f>'I-4 History'!I286</f>
        <v>0</v>
      </c>
      <c r="J290" s="312">
        <f>'I-4 History'!J286</f>
        <v>0</v>
      </c>
      <c r="K290" s="312">
        <f>'I-4 History'!K286</f>
        <v>0</v>
      </c>
      <c r="L290" s="310">
        <f ca="1">'A-7'!B$67</f>
        <v>0</v>
      </c>
      <c r="M290" s="835">
        <f ca="1">'A-7'!C$67</f>
        <v>0</v>
      </c>
      <c r="N290" s="312">
        <f ca="1">'A-7'!D$67</f>
        <v>8.3000000000000004E-2</v>
      </c>
      <c r="O290" s="310">
        <f ca="1">'A-7'!E$67</f>
        <v>8.4300029670029225E-2</v>
      </c>
      <c r="P290" s="310">
        <f ca="1">'A-7'!F$67</f>
        <v>8.5545686036277241E-2</v>
      </c>
      <c r="Q290" s="310">
        <f ca="1">'A-7'!G$67</f>
        <v>8.7137598503804037E-2</v>
      </c>
      <c r="R290" s="310">
        <f ca="1">'A-7'!H$67</f>
        <v>8.8953712628288023E-2</v>
      </c>
      <c r="S290" s="310">
        <f ca="1">'A-7'!I$67</f>
        <v>9.0901430369389538E-2</v>
      </c>
    </row>
    <row r="291" spans="1:19" s="759" customFormat="1">
      <c r="A291" s="5"/>
      <c r="B291" s="249"/>
      <c r="C291" s="13" t="s">
        <v>575</v>
      </c>
      <c r="D291" s="312">
        <f>'I-4 History'!D287</f>
        <v>0</v>
      </c>
      <c r="E291" s="312">
        <f>'I-4 History'!E287</f>
        <v>0</v>
      </c>
      <c r="F291" s="312">
        <f>'I-4 History'!F287</f>
        <v>0</v>
      </c>
      <c r="G291" s="312">
        <f>'I-4 History'!G287</f>
        <v>0</v>
      </c>
      <c r="H291" s="312">
        <f>'I-4 History'!H287</f>
        <v>0</v>
      </c>
      <c r="I291" s="312">
        <f>'I-4 History'!I287</f>
        <v>0</v>
      </c>
      <c r="J291" s="312">
        <f>'I-4 History'!J287</f>
        <v>0</v>
      </c>
      <c r="K291" s="312">
        <f>'I-4 History'!K287</f>
        <v>0</v>
      </c>
      <c r="L291" s="310">
        <f ca="1">'A-7'!B$68</f>
        <v>0</v>
      </c>
      <c r="M291" s="835">
        <f ca="1">'A-7'!C$68</f>
        <v>0</v>
      </c>
      <c r="N291" s="312">
        <f ca="1">'A-7'!D$68</f>
        <v>0</v>
      </c>
      <c r="O291" s="310">
        <f ca="1">'A-7'!E$68</f>
        <v>0</v>
      </c>
      <c r="P291" s="310">
        <f ca="1">'A-7'!F$68</f>
        <v>0</v>
      </c>
      <c r="Q291" s="310">
        <f ca="1">'A-7'!G$68</f>
        <v>0</v>
      </c>
      <c r="R291" s="310">
        <f ca="1">'A-7'!H$68</f>
        <v>0</v>
      </c>
      <c r="S291" s="310">
        <f ca="1">'A-7'!I$68</f>
        <v>0</v>
      </c>
    </row>
    <row r="292" spans="1:19">
      <c r="A292" s="5"/>
      <c r="B292" s="249"/>
      <c r="C292" s="13" t="s">
        <v>70</v>
      </c>
      <c r="D292" s="312">
        <f>'I-4 History'!D288</f>
        <v>0</v>
      </c>
      <c r="E292" s="312">
        <f>'I-4 History'!E288</f>
        <v>0</v>
      </c>
      <c r="F292" s="312">
        <f>'I-4 History'!F288</f>
        <v>0</v>
      </c>
      <c r="G292" s="312">
        <f>'I-4 History'!G288</f>
        <v>0</v>
      </c>
      <c r="H292" s="312">
        <f>'I-4 History'!H288</f>
        <v>0</v>
      </c>
      <c r="I292" s="312">
        <f>'I-4 History'!I288</f>
        <v>0</v>
      </c>
      <c r="J292" s="312">
        <f>'I-4 History'!J288</f>
        <v>0</v>
      </c>
      <c r="K292" s="312">
        <f>'I-4 History'!K288</f>
        <v>0</v>
      </c>
      <c r="L292" s="310">
        <f ca="1">'A-7'!B$69</f>
        <v>0</v>
      </c>
      <c r="M292" s="835">
        <f ca="1">'A-7'!C$69</f>
        <v>0</v>
      </c>
      <c r="N292" s="312">
        <f ca="1">'A-7'!D$69</f>
        <v>0</v>
      </c>
      <c r="O292" s="310">
        <f ca="1">'A-7'!E$69</f>
        <v>0</v>
      </c>
      <c r="P292" s="310">
        <f ca="1">'A-7'!F$69</f>
        <v>0</v>
      </c>
      <c r="Q292" s="310">
        <f ca="1">'A-7'!G$69</f>
        <v>0</v>
      </c>
      <c r="R292" s="310">
        <f ca="1">'A-7'!H$69</f>
        <v>0</v>
      </c>
      <c r="S292" s="310">
        <f ca="1">'A-7'!I$69</f>
        <v>0</v>
      </c>
    </row>
    <row r="293" spans="1:19">
      <c r="A293" s="5"/>
      <c r="B293" s="249"/>
      <c r="C293" s="12" t="s">
        <v>75</v>
      </c>
      <c r="D293" s="313">
        <f t="shared" ref="D293:K293" si="67">SUBTOTAL(9,D287:D292)</f>
        <v>0</v>
      </c>
      <c r="E293" s="311">
        <f t="shared" si="67"/>
        <v>0</v>
      </c>
      <c r="F293" s="311">
        <f t="shared" si="67"/>
        <v>0</v>
      </c>
      <c r="G293" s="311">
        <f t="shared" si="67"/>
        <v>0</v>
      </c>
      <c r="H293" s="311">
        <f t="shared" si="67"/>
        <v>0</v>
      </c>
      <c r="I293" s="311">
        <f t="shared" si="67"/>
        <v>0</v>
      </c>
      <c r="J293" s="311">
        <f t="shared" si="67"/>
        <v>0</v>
      </c>
      <c r="K293" s="311">
        <f t="shared" si="67"/>
        <v>0</v>
      </c>
      <c r="L293" s="311">
        <f t="shared" ref="L293:S293" ca="1" si="68">SUBTOTAL(9,L287:L292)</f>
        <v>0</v>
      </c>
      <c r="M293" s="513">
        <f t="shared" ca="1" si="68"/>
        <v>0</v>
      </c>
      <c r="N293" s="313">
        <f t="shared" ca="1" si="68"/>
        <v>0.66200000000000003</v>
      </c>
      <c r="O293" s="311">
        <f t="shared" ca="1" si="68"/>
        <v>0.68182569254338798</v>
      </c>
      <c r="P293" s="311">
        <f t="shared" ca="1" si="68"/>
        <v>0.70165521371207329</v>
      </c>
      <c r="Q293" s="311">
        <f t="shared" ca="1" si="68"/>
        <v>0.7230055995732656</v>
      </c>
      <c r="R293" s="311">
        <f t="shared" ca="1" si="68"/>
        <v>0.74568040207388064</v>
      </c>
      <c r="S293" s="311">
        <f t="shared" ca="1" si="68"/>
        <v>0.768534383816318</v>
      </c>
    </row>
    <row r="294" spans="1:19">
      <c r="A294" s="5"/>
      <c r="B294" s="249"/>
      <c r="C294" s="12"/>
      <c r="D294" s="263"/>
      <c r="E294" s="263"/>
      <c r="F294" s="263"/>
      <c r="G294" s="263"/>
      <c r="H294" s="263"/>
      <c r="I294" s="263"/>
      <c r="J294" s="263"/>
      <c r="K294" s="263"/>
      <c r="L294" s="263"/>
      <c r="M294" s="836"/>
      <c r="N294" s="263"/>
      <c r="O294" s="263"/>
      <c r="P294" s="263"/>
      <c r="Q294" s="263"/>
      <c r="R294" s="263"/>
      <c r="S294" s="263"/>
    </row>
    <row r="295" spans="1:19">
      <c r="A295" s="5"/>
      <c r="B295" s="249" t="str">
        <f ca="1">+'I-4 History'!B291</f>
        <v>A-8</v>
      </c>
      <c r="C295" s="14" t="str">
        <f ca="1">+'I-4 History'!C291</f>
        <v>Accounts Receivable – Asset Damage</v>
      </c>
      <c r="D295" s="11"/>
      <c r="E295" s="11"/>
      <c r="F295" s="11"/>
      <c r="G295" s="11"/>
      <c r="H295" s="11"/>
      <c r="I295" s="11"/>
      <c r="J295" s="11"/>
      <c r="K295" s="11"/>
      <c r="L295" s="11"/>
      <c r="M295" s="507"/>
      <c r="N295" s="11"/>
      <c r="O295" s="11"/>
      <c r="P295" s="11"/>
      <c r="Q295" s="11"/>
      <c r="R295" s="11"/>
      <c r="S295" s="11"/>
    </row>
    <row r="296" spans="1:19">
      <c r="A296" s="5"/>
      <c r="B296" s="249"/>
      <c r="C296" s="13" t="s">
        <v>68</v>
      </c>
      <c r="D296" s="312">
        <f>'I-4 History'!D292</f>
        <v>0</v>
      </c>
      <c r="E296" s="312">
        <f>'I-4 History'!E292</f>
        <v>0</v>
      </c>
      <c r="F296" s="312">
        <f>'I-4 History'!F292</f>
        <v>0</v>
      </c>
      <c r="G296" s="312">
        <f>'I-4 History'!G292</f>
        <v>0</v>
      </c>
      <c r="H296" s="312">
        <f>'I-4 History'!H292</f>
        <v>0</v>
      </c>
      <c r="I296" s="312">
        <f>'I-4 History'!I292</f>
        <v>0</v>
      </c>
      <c r="J296" s="312">
        <f>'I-4 History'!J292</f>
        <v>0</v>
      </c>
      <c r="K296" s="312">
        <f>'I-4 History'!K292</f>
        <v>0</v>
      </c>
      <c r="L296" s="310">
        <f ca="1">'A-8'!B$64</f>
        <v>0</v>
      </c>
      <c r="M296" s="835">
        <f ca="1">'A-8'!C$64</f>
        <v>0</v>
      </c>
      <c r="N296" s="312">
        <f ca="1">'A-8'!D$64</f>
        <v>0</v>
      </c>
      <c r="O296" s="310">
        <f ca="1">'A-8'!E$64</f>
        <v>0</v>
      </c>
      <c r="P296" s="310">
        <f ca="1">'A-8'!F$64</f>
        <v>0</v>
      </c>
      <c r="Q296" s="310">
        <f ca="1">'A-8'!G$64</f>
        <v>0</v>
      </c>
      <c r="R296" s="310">
        <f ca="1">'A-8'!H$64</f>
        <v>0</v>
      </c>
      <c r="S296" s="310">
        <f ca="1">'A-8'!I$64</f>
        <v>0</v>
      </c>
    </row>
    <row r="297" spans="1:19">
      <c r="A297" s="5"/>
      <c r="B297" s="249"/>
      <c r="C297" s="13" t="s">
        <v>69</v>
      </c>
      <c r="D297" s="312">
        <f>'I-4 History'!D293</f>
        <v>0</v>
      </c>
      <c r="E297" s="312">
        <f>'I-4 History'!E293</f>
        <v>0</v>
      </c>
      <c r="F297" s="312">
        <f>'I-4 History'!F293</f>
        <v>0</v>
      </c>
      <c r="G297" s="312">
        <f>'I-4 History'!G293</f>
        <v>0</v>
      </c>
      <c r="H297" s="312">
        <f>'I-4 History'!H293</f>
        <v>0</v>
      </c>
      <c r="I297" s="312">
        <f>'I-4 History'!I293</f>
        <v>0</v>
      </c>
      <c r="J297" s="312">
        <f>'I-4 History'!J293</f>
        <v>0</v>
      </c>
      <c r="K297" s="312">
        <f>'I-4 History'!K293</f>
        <v>0</v>
      </c>
      <c r="L297" s="310">
        <f ca="1">'A-8'!B$65</f>
        <v>0</v>
      </c>
      <c r="M297" s="835">
        <f ca="1">'A-8'!C$65</f>
        <v>0</v>
      </c>
      <c r="N297" s="312">
        <f ca="1">'A-8'!D$65</f>
        <v>0</v>
      </c>
      <c r="O297" s="310">
        <f ca="1">'A-8'!E$65</f>
        <v>0</v>
      </c>
      <c r="P297" s="310">
        <f ca="1">'A-8'!F$65</f>
        <v>0</v>
      </c>
      <c r="Q297" s="310">
        <f ca="1">'A-8'!G$65</f>
        <v>0</v>
      </c>
      <c r="R297" s="310">
        <f ca="1">'A-8'!H$65</f>
        <v>0</v>
      </c>
      <c r="S297" s="310">
        <f ca="1">'A-8'!I$65</f>
        <v>0</v>
      </c>
    </row>
    <row r="298" spans="1:19" s="759" customFormat="1">
      <c r="A298" s="5"/>
      <c r="B298" s="249"/>
      <c r="C298" s="13" t="s">
        <v>646</v>
      </c>
      <c r="D298" s="312">
        <f>'I-4 History'!D294</f>
        <v>0</v>
      </c>
      <c r="E298" s="312">
        <f>'I-4 History'!E294</f>
        <v>0</v>
      </c>
      <c r="F298" s="312">
        <f>'I-4 History'!F294</f>
        <v>0</v>
      </c>
      <c r="G298" s="312">
        <f>'I-4 History'!G294</f>
        <v>0</v>
      </c>
      <c r="H298" s="312">
        <f>'I-4 History'!H294</f>
        <v>0</v>
      </c>
      <c r="I298" s="312">
        <f>'I-4 History'!I294</f>
        <v>0</v>
      </c>
      <c r="J298" s="312">
        <f>'I-4 History'!J294</f>
        <v>0</v>
      </c>
      <c r="K298" s="312">
        <f>'I-4 History'!K294</f>
        <v>0</v>
      </c>
      <c r="L298" s="310">
        <f ca="1">'A-8'!B$66</f>
        <v>0</v>
      </c>
      <c r="M298" s="835">
        <f ca="1">'A-8'!C$66</f>
        <v>0</v>
      </c>
      <c r="N298" s="312">
        <f ca="1">'A-8'!D$66</f>
        <v>0</v>
      </c>
      <c r="O298" s="310">
        <f ca="1">'A-8'!E$66</f>
        <v>0</v>
      </c>
      <c r="P298" s="310">
        <f ca="1">'A-8'!F$66</f>
        <v>0</v>
      </c>
      <c r="Q298" s="310">
        <f ca="1">'A-8'!G$66</f>
        <v>0</v>
      </c>
      <c r="R298" s="310">
        <f ca="1">'A-8'!H$66</f>
        <v>0</v>
      </c>
      <c r="S298" s="310">
        <f ca="1">'A-8'!I$66</f>
        <v>0</v>
      </c>
    </row>
    <row r="299" spans="1:19">
      <c r="A299" s="5"/>
      <c r="B299" s="249"/>
      <c r="C299" s="13" t="s">
        <v>647</v>
      </c>
      <c r="D299" s="312">
        <f>'I-4 History'!D295</f>
        <v>0</v>
      </c>
      <c r="E299" s="312">
        <f>'I-4 History'!E295</f>
        <v>0</v>
      </c>
      <c r="F299" s="312">
        <f>'I-4 History'!F295</f>
        <v>0</v>
      </c>
      <c r="G299" s="312">
        <f>'I-4 History'!G295</f>
        <v>0</v>
      </c>
      <c r="H299" s="312">
        <f>'I-4 History'!H295</f>
        <v>0</v>
      </c>
      <c r="I299" s="312">
        <f>'I-4 History'!I295</f>
        <v>0</v>
      </c>
      <c r="J299" s="312">
        <f>'I-4 History'!J295</f>
        <v>0</v>
      </c>
      <c r="K299" s="312">
        <f>'I-4 History'!K295</f>
        <v>0</v>
      </c>
      <c r="L299" s="310">
        <f ca="1">'A-8'!B$67</f>
        <v>0</v>
      </c>
      <c r="M299" s="835">
        <f ca="1">'A-8'!C$67</f>
        <v>0</v>
      </c>
      <c r="N299" s="312">
        <f ca="1">'A-8'!D$67</f>
        <v>0.34700000000000003</v>
      </c>
      <c r="O299" s="310">
        <f ca="1">'A-8'!E$67</f>
        <v>0.35243506380120648</v>
      </c>
      <c r="P299" s="310">
        <f ca="1">'A-8'!F$67</f>
        <v>0.35764280788660485</v>
      </c>
      <c r="Q299" s="310">
        <f ca="1">'A-8'!G$67</f>
        <v>0.36429815278096384</v>
      </c>
      <c r="R299" s="310">
        <f ca="1">'A-8'!H$67</f>
        <v>0.37189082267489088</v>
      </c>
      <c r="S299" s="310">
        <f ca="1">'A-8'!I$67</f>
        <v>0.38003369082142374</v>
      </c>
    </row>
    <row r="300" spans="1:19" s="759" customFormat="1">
      <c r="A300" s="5"/>
      <c r="B300" s="249"/>
      <c r="C300" s="13" t="s">
        <v>575</v>
      </c>
      <c r="D300" s="312">
        <f>'I-4 History'!D296</f>
        <v>0</v>
      </c>
      <c r="E300" s="312">
        <f>'I-4 History'!E296</f>
        <v>0</v>
      </c>
      <c r="F300" s="312">
        <f>'I-4 History'!F296</f>
        <v>0</v>
      </c>
      <c r="G300" s="312">
        <f>'I-4 History'!G296</f>
        <v>0</v>
      </c>
      <c r="H300" s="312">
        <f>'I-4 History'!H296</f>
        <v>0</v>
      </c>
      <c r="I300" s="312">
        <f>'I-4 History'!I296</f>
        <v>0</v>
      </c>
      <c r="J300" s="312">
        <f>'I-4 History'!J296</f>
        <v>0</v>
      </c>
      <c r="K300" s="312">
        <f>'I-4 History'!K296</f>
        <v>0</v>
      </c>
      <c r="L300" s="310">
        <f ca="1">'A-8'!B$68</f>
        <v>0</v>
      </c>
      <c r="M300" s="835">
        <f ca="1">'A-8'!C$68</f>
        <v>0</v>
      </c>
      <c r="N300" s="312">
        <f ca="1">'A-8'!D$68</f>
        <v>0</v>
      </c>
      <c r="O300" s="310">
        <f ca="1">'A-8'!E$68</f>
        <v>0</v>
      </c>
      <c r="P300" s="310">
        <f ca="1">'A-8'!F$68</f>
        <v>0</v>
      </c>
      <c r="Q300" s="310">
        <f ca="1">'A-8'!G$68</f>
        <v>0</v>
      </c>
      <c r="R300" s="310">
        <f ca="1">'A-8'!H$68</f>
        <v>0</v>
      </c>
      <c r="S300" s="310">
        <f ca="1">'A-8'!I$68</f>
        <v>0</v>
      </c>
    </row>
    <row r="301" spans="1:19">
      <c r="A301" s="5"/>
      <c r="B301" s="249"/>
      <c r="C301" s="13" t="s">
        <v>70</v>
      </c>
      <c r="D301" s="312">
        <f>'I-4 History'!D297</f>
        <v>0</v>
      </c>
      <c r="E301" s="312">
        <f>'I-4 History'!E297</f>
        <v>0</v>
      </c>
      <c r="F301" s="312">
        <f>'I-4 History'!F297</f>
        <v>0</v>
      </c>
      <c r="G301" s="312">
        <f>'I-4 History'!G297</f>
        <v>0</v>
      </c>
      <c r="H301" s="312">
        <f>'I-4 History'!H297</f>
        <v>0</v>
      </c>
      <c r="I301" s="312">
        <f>'I-4 History'!I297</f>
        <v>0</v>
      </c>
      <c r="J301" s="312">
        <f>'I-4 History'!J297</f>
        <v>0</v>
      </c>
      <c r="K301" s="312">
        <f>'I-4 History'!K297</f>
        <v>0</v>
      </c>
      <c r="L301" s="310">
        <f ca="1">'A-8'!B$69</f>
        <v>0</v>
      </c>
      <c r="M301" s="835">
        <f ca="1">'A-8'!C$69</f>
        <v>0</v>
      </c>
      <c r="N301" s="312">
        <f ca="1">'A-8'!D$69</f>
        <v>0</v>
      </c>
      <c r="O301" s="310">
        <f ca="1">'A-8'!E$69</f>
        <v>0</v>
      </c>
      <c r="P301" s="310">
        <f ca="1">'A-8'!F$69</f>
        <v>0</v>
      </c>
      <c r="Q301" s="310">
        <f ca="1">'A-8'!G$69</f>
        <v>0</v>
      </c>
      <c r="R301" s="310">
        <f ca="1">'A-8'!H$69</f>
        <v>0</v>
      </c>
      <c r="S301" s="310">
        <f ca="1">'A-8'!I$69</f>
        <v>0</v>
      </c>
    </row>
    <row r="302" spans="1:19">
      <c r="A302" s="5"/>
      <c r="B302" s="249"/>
      <c r="C302" s="12" t="s">
        <v>75</v>
      </c>
      <c r="D302" s="313">
        <f t="shared" ref="D302:K302" si="69">SUBTOTAL(9,D296:D301)</f>
        <v>0</v>
      </c>
      <c r="E302" s="311">
        <f t="shared" si="69"/>
        <v>0</v>
      </c>
      <c r="F302" s="311">
        <f t="shared" si="69"/>
        <v>0</v>
      </c>
      <c r="G302" s="311">
        <f t="shared" si="69"/>
        <v>0</v>
      </c>
      <c r="H302" s="311">
        <f t="shared" si="69"/>
        <v>0</v>
      </c>
      <c r="I302" s="311">
        <f t="shared" si="69"/>
        <v>0</v>
      </c>
      <c r="J302" s="311">
        <f t="shared" si="69"/>
        <v>0</v>
      </c>
      <c r="K302" s="311">
        <f t="shared" si="69"/>
        <v>0</v>
      </c>
      <c r="L302" s="311">
        <f t="shared" ref="L302:S302" ca="1" si="70">SUBTOTAL(9,L296:L301)</f>
        <v>0</v>
      </c>
      <c r="M302" s="513">
        <f t="shared" ca="1" si="70"/>
        <v>0</v>
      </c>
      <c r="N302" s="313">
        <f t="shared" ca="1" si="70"/>
        <v>0.34700000000000003</v>
      </c>
      <c r="O302" s="311">
        <f t="shared" ca="1" si="70"/>
        <v>0.35243506380120648</v>
      </c>
      <c r="P302" s="311">
        <f t="shared" ca="1" si="70"/>
        <v>0.35764280788660485</v>
      </c>
      <c r="Q302" s="311">
        <f t="shared" ca="1" si="70"/>
        <v>0.36429815278096384</v>
      </c>
      <c r="R302" s="311">
        <f t="shared" ca="1" si="70"/>
        <v>0.37189082267489088</v>
      </c>
      <c r="S302" s="311">
        <f t="shared" ca="1" si="70"/>
        <v>0.38003369082142374</v>
      </c>
    </row>
    <row r="303" spans="1:19">
      <c r="A303" s="5"/>
      <c r="B303" s="249"/>
      <c r="C303" s="12"/>
      <c r="D303" s="263"/>
      <c r="E303" s="263"/>
      <c r="F303" s="263"/>
      <c r="G303" s="263"/>
      <c r="H303" s="263"/>
      <c r="I303" s="263"/>
      <c r="J303" s="263"/>
      <c r="K303" s="263"/>
      <c r="L303" s="263"/>
      <c r="M303" s="836"/>
      <c r="N303" s="263"/>
      <c r="O303" s="263"/>
      <c r="P303" s="263"/>
      <c r="Q303" s="263"/>
      <c r="R303" s="263"/>
      <c r="S303" s="263"/>
    </row>
    <row r="304" spans="1:19">
      <c r="A304" s="5"/>
      <c r="B304" s="249" t="str">
        <f ca="1">+'I-4 History'!B300</f>
        <v>A-9</v>
      </c>
      <c r="C304" s="14" t="str">
        <f ca="1">+'I-4 History'!C300</f>
        <v>Taxation – Specific Allocation</v>
      </c>
      <c r="D304" s="11"/>
      <c r="E304" s="11"/>
      <c r="F304" s="11"/>
      <c r="G304" s="11"/>
      <c r="H304" s="11"/>
      <c r="I304" s="11"/>
      <c r="J304" s="11"/>
      <c r="K304" s="11"/>
      <c r="L304" s="11"/>
      <c r="M304" s="507"/>
      <c r="N304" s="11"/>
      <c r="O304" s="11"/>
      <c r="P304" s="11"/>
      <c r="Q304" s="11"/>
      <c r="R304" s="11"/>
      <c r="S304" s="11"/>
    </row>
    <row r="305" spans="1:19">
      <c r="A305" s="5"/>
      <c r="B305" s="249"/>
      <c r="C305" s="13" t="s">
        <v>68</v>
      </c>
      <c r="D305" s="312">
        <f>'I-4 History'!D301</f>
        <v>0</v>
      </c>
      <c r="E305" s="312">
        <f>'I-4 History'!E301</f>
        <v>0</v>
      </c>
      <c r="F305" s="312">
        <f>'I-4 History'!F301</f>
        <v>0</v>
      </c>
      <c r="G305" s="312">
        <f>'I-4 History'!G301</f>
        <v>0</v>
      </c>
      <c r="H305" s="312">
        <f>'I-4 History'!H301</f>
        <v>0</v>
      </c>
      <c r="I305" s="312">
        <f>'I-4 History'!I301</f>
        <v>0</v>
      </c>
      <c r="J305" s="312">
        <f>'I-4 History'!J301</f>
        <v>0</v>
      </c>
      <c r="K305" s="312">
        <f>'I-4 History'!K301</f>
        <v>0</v>
      </c>
      <c r="L305" s="310">
        <f ca="1">'A-9'!B$64</f>
        <v>0</v>
      </c>
      <c r="M305" s="835">
        <f ca="1">'A-9'!C$64</f>
        <v>0</v>
      </c>
      <c r="N305" s="312">
        <f ca="1">'A-9'!D$64</f>
        <v>0.307</v>
      </c>
      <c r="O305" s="310">
        <f ca="1">'A-9'!E$64</f>
        <v>0.31691474683814774</v>
      </c>
      <c r="P305" s="310">
        <f ca="1">'A-9'!F$64</f>
        <v>0.32686413644911699</v>
      </c>
      <c r="Q305" s="310">
        <f ca="1">'A-9'!G$64</f>
        <v>0.33744554492772805</v>
      </c>
      <c r="R305" s="310">
        <f ca="1">'A-9'!H$64</f>
        <v>0.34861493801897703</v>
      </c>
      <c r="S305" s="310">
        <f ca="1">'A-9'!I$64</f>
        <v>0.35981371921663985</v>
      </c>
    </row>
    <row r="306" spans="1:19">
      <c r="A306" s="5"/>
      <c r="B306" s="249"/>
      <c r="C306" s="13" t="s">
        <v>69</v>
      </c>
      <c r="D306" s="312">
        <f>'I-4 History'!D302</f>
        <v>0</v>
      </c>
      <c r="E306" s="312">
        <f>'I-4 History'!E302</f>
        <v>0</v>
      </c>
      <c r="F306" s="312">
        <f>'I-4 History'!F302</f>
        <v>0</v>
      </c>
      <c r="G306" s="312">
        <f>'I-4 History'!G302</f>
        <v>0</v>
      </c>
      <c r="H306" s="312">
        <f>'I-4 History'!H302</f>
        <v>0</v>
      </c>
      <c r="I306" s="312">
        <f>'I-4 History'!I302</f>
        <v>0</v>
      </c>
      <c r="J306" s="312">
        <f>'I-4 History'!J302</f>
        <v>0</v>
      </c>
      <c r="K306" s="312">
        <f>'I-4 History'!K302</f>
        <v>0</v>
      </c>
      <c r="L306" s="310">
        <f ca="1">'A-9'!B$65</f>
        <v>0</v>
      </c>
      <c r="M306" s="835">
        <f ca="1">'A-9'!C$65</f>
        <v>0</v>
      </c>
      <c r="N306" s="312">
        <f ca="1">'A-9'!D$65</f>
        <v>0</v>
      </c>
      <c r="O306" s="310">
        <f ca="1">'A-9'!E$65</f>
        <v>0</v>
      </c>
      <c r="P306" s="310">
        <f ca="1">'A-9'!F$65</f>
        <v>0</v>
      </c>
      <c r="Q306" s="310">
        <f ca="1">'A-9'!G$65</f>
        <v>0</v>
      </c>
      <c r="R306" s="310">
        <f ca="1">'A-9'!H$65</f>
        <v>0</v>
      </c>
      <c r="S306" s="310">
        <f ca="1">'A-9'!I$65</f>
        <v>0</v>
      </c>
    </row>
    <row r="307" spans="1:19" s="759" customFormat="1">
      <c r="A307" s="5"/>
      <c r="B307" s="249"/>
      <c r="C307" s="13" t="s">
        <v>646</v>
      </c>
      <c r="D307" s="312">
        <f>'I-4 History'!D303</f>
        <v>0</v>
      </c>
      <c r="E307" s="312">
        <f>'I-4 History'!E303</f>
        <v>0</v>
      </c>
      <c r="F307" s="312">
        <f>'I-4 History'!F303</f>
        <v>0</v>
      </c>
      <c r="G307" s="312">
        <f>'I-4 History'!G303</f>
        <v>0</v>
      </c>
      <c r="H307" s="312">
        <f>'I-4 History'!H303</f>
        <v>0</v>
      </c>
      <c r="I307" s="312">
        <f>'I-4 History'!I303</f>
        <v>0</v>
      </c>
      <c r="J307" s="312">
        <f>'I-4 History'!J303</f>
        <v>0</v>
      </c>
      <c r="K307" s="312">
        <f>'I-4 History'!K303</f>
        <v>0</v>
      </c>
      <c r="L307" s="310">
        <f ca="1">'A-9'!B$66</f>
        <v>0</v>
      </c>
      <c r="M307" s="835">
        <f ca="1">'A-9'!C$66</f>
        <v>0</v>
      </c>
      <c r="N307" s="312">
        <f ca="1">'A-9'!D$66</f>
        <v>0</v>
      </c>
      <c r="O307" s="310">
        <f ca="1">'A-9'!E$66</f>
        <v>0</v>
      </c>
      <c r="P307" s="310">
        <f ca="1">'A-9'!F$66</f>
        <v>0</v>
      </c>
      <c r="Q307" s="310">
        <f ca="1">'A-9'!G$66</f>
        <v>0</v>
      </c>
      <c r="R307" s="310">
        <f ca="1">'A-9'!H$66</f>
        <v>0</v>
      </c>
      <c r="S307" s="310">
        <f ca="1">'A-9'!I$66</f>
        <v>0</v>
      </c>
    </row>
    <row r="308" spans="1:19">
      <c r="A308" s="5"/>
      <c r="B308" s="249"/>
      <c r="C308" s="13" t="s">
        <v>647</v>
      </c>
      <c r="D308" s="312">
        <f>'I-4 History'!D304</f>
        <v>0</v>
      </c>
      <c r="E308" s="312">
        <f>'I-4 History'!E304</f>
        <v>0</v>
      </c>
      <c r="F308" s="312">
        <f>'I-4 History'!F304</f>
        <v>0</v>
      </c>
      <c r="G308" s="312">
        <f>'I-4 History'!G304</f>
        <v>0</v>
      </c>
      <c r="H308" s="312">
        <f>'I-4 History'!H304</f>
        <v>0</v>
      </c>
      <c r="I308" s="312">
        <f>'I-4 History'!I304</f>
        <v>0</v>
      </c>
      <c r="J308" s="312">
        <f>'I-4 History'!J304</f>
        <v>0</v>
      </c>
      <c r="K308" s="312">
        <f>'I-4 History'!K304</f>
        <v>0</v>
      </c>
      <c r="L308" s="310">
        <f ca="1">'A-9'!B$67</f>
        <v>0</v>
      </c>
      <c r="M308" s="835">
        <f ca="1">'A-9'!C$67</f>
        <v>0</v>
      </c>
      <c r="N308" s="312">
        <f ca="1">'A-9'!D$67</f>
        <v>0</v>
      </c>
      <c r="O308" s="310">
        <f ca="1">'A-9'!E$67</f>
        <v>0</v>
      </c>
      <c r="P308" s="310">
        <f ca="1">'A-9'!F$67</f>
        <v>0</v>
      </c>
      <c r="Q308" s="310">
        <f ca="1">'A-9'!G$67</f>
        <v>0</v>
      </c>
      <c r="R308" s="310">
        <f ca="1">'A-9'!H$67</f>
        <v>0</v>
      </c>
      <c r="S308" s="310">
        <f ca="1">'A-9'!I$67</f>
        <v>0</v>
      </c>
    </row>
    <row r="309" spans="1:19" s="759" customFormat="1">
      <c r="A309" s="5"/>
      <c r="B309" s="249"/>
      <c r="C309" s="13" t="s">
        <v>575</v>
      </c>
      <c r="D309" s="312">
        <f>'I-4 History'!D305</f>
        <v>0</v>
      </c>
      <c r="E309" s="312">
        <f>'I-4 History'!E305</f>
        <v>0</v>
      </c>
      <c r="F309" s="312">
        <f>'I-4 History'!F305</f>
        <v>0</v>
      </c>
      <c r="G309" s="312">
        <f>'I-4 History'!G305</f>
        <v>0</v>
      </c>
      <c r="H309" s="312">
        <f>'I-4 History'!H305</f>
        <v>0</v>
      </c>
      <c r="I309" s="312">
        <f>'I-4 History'!I305</f>
        <v>0</v>
      </c>
      <c r="J309" s="312">
        <f>'I-4 History'!J305</f>
        <v>0</v>
      </c>
      <c r="K309" s="312">
        <f>'I-4 History'!K305</f>
        <v>0</v>
      </c>
      <c r="L309" s="310">
        <f ca="1">'A-9'!B$68</f>
        <v>0</v>
      </c>
      <c r="M309" s="835">
        <f ca="1">'A-9'!C$68</f>
        <v>0</v>
      </c>
      <c r="N309" s="312">
        <f ca="1">'A-9'!D$68</f>
        <v>0</v>
      </c>
      <c r="O309" s="310">
        <f ca="1">'A-9'!E$68</f>
        <v>0</v>
      </c>
      <c r="P309" s="310">
        <f ca="1">'A-9'!F$68</f>
        <v>0</v>
      </c>
      <c r="Q309" s="310">
        <f ca="1">'A-9'!G$68</f>
        <v>0</v>
      </c>
      <c r="R309" s="310">
        <f ca="1">'A-9'!H$68</f>
        <v>0</v>
      </c>
      <c r="S309" s="310">
        <f ca="1">'A-9'!I$68</f>
        <v>0</v>
      </c>
    </row>
    <row r="310" spans="1:19">
      <c r="A310" s="5"/>
      <c r="B310" s="249"/>
      <c r="C310" s="13" t="s">
        <v>70</v>
      </c>
      <c r="D310" s="312">
        <f>'I-4 History'!D306</f>
        <v>0</v>
      </c>
      <c r="E310" s="312">
        <f>'I-4 History'!E306</f>
        <v>0</v>
      </c>
      <c r="F310" s="312">
        <f>'I-4 History'!F306</f>
        <v>0</v>
      </c>
      <c r="G310" s="312">
        <f>'I-4 History'!G306</f>
        <v>0</v>
      </c>
      <c r="H310" s="312">
        <f>'I-4 History'!H306</f>
        <v>0</v>
      </c>
      <c r="I310" s="312">
        <f>'I-4 History'!I306</f>
        <v>0</v>
      </c>
      <c r="J310" s="312">
        <f>'I-4 History'!J306</f>
        <v>0</v>
      </c>
      <c r="K310" s="312">
        <f>'I-4 History'!K306</f>
        <v>0</v>
      </c>
      <c r="L310" s="310">
        <f ca="1">'A-9'!B$69</f>
        <v>0</v>
      </c>
      <c r="M310" s="835">
        <f ca="1">'A-9'!C$69</f>
        <v>0</v>
      </c>
      <c r="N310" s="312">
        <f ca="1">'A-9'!D$69</f>
        <v>0</v>
      </c>
      <c r="O310" s="310">
        <f ca="1">'A-9'!E$69</f>
        <v>0</v>
      </c>
      <c r="P310" s="310">
        <f ca="1">'A-9'!F$69</f>
        <v>0</v>
      </c>
      <c r="Q310" s="310">
        <f ca="1">'A-9'!G$69</f>
        <v>0</v>
      </c>
      <c r="R310" s="310">
        <f ca="1">'A-9'!H$69</f>
        <v>0</v>
      </c>
      <c r="S310" s="310">
        <f ca="1">'A-9'!I$69</f>
        <v>0</v>
      </c>
    </row>
    <row r="311" spans="1:19">
      <c r="A311" s="5"/>
      <c r="B311" s="249"/>
      <c r="C311" s="12" t="s">
        <v>75</v>
      </c>
      <c r="D311" s="313">
        <f t="shared" ref="D311:K311" si="71">SUBTOTAL(9,D305:D310)</f>
        <v>0</v>
      </c>
      <c r="E311" s="311">
        <f t="shared" si="71"/>
        <v>0</v>
      </c>
      <c r="F311" s="311">
        <f t="shared" si="71"/>
        <v>0</v>
      </c>
      <c r="G311" s="311">
        <f t="shared" si="71"/>
        <v>0</v>
      </c>
      <c r="H311" s="311">
        <f t="shared" si="71"/>
        <v>0</v>
      </c>
      <c r="I311" s="311">
        <f t="shared" si="71"/>
        <v>0</v>
      </c>
      <c r="J311" s="311">
        <f t="shared" si="71"/>
        <v>0</v>
      </c>
      <c r="K311" s="311">
        <f t="shared" si="71"/>
        <v>0</v>
      </c>
      <c r="L311" s="311">
        <f t="shared" ref="L311:S311" ca="1" si="72">SUBTOTAL(9,L305:L310)</f>
        <v>0</v>
      </c>
      <c r="M311" s="513">
        <f t="shared" ca="1" si="72"/>
        <v>0</v>
      </c>
      <c r="N311" s="313">
        <f t="shared" ca="1" si="72"/>
        <v>0.307</v>
      </c>
      <c r="O311" s="311">
        <f t="shared" ca="1" si="72"/>
        <v>0.31691474683814774</v>
      </c>
      <c r="P311" s="311">
        <f t="shared" ca="1" si="72"/>
        <v>0.32686413644911699</v>
      </c>
      <c r="Q311" s="311">
        <f t="shared" ca="1" si="72"/>
        <v>0.33744554492772805</v>
      </c>
      <c r="R311" s="311">
        <f t="shared" ca="1" si="72"/>
        <v>0.34861493801897703</v>
      </c>
      <c r="S311" s="311">
        <f t="shared" ca="1" si="72"/>
        <v>0.35981371921663985</v>
      </c>
    </row>
    <row r="312" spans="1:19">
      <c r="A312" s="5"/>
      <c r="B312" s="249"/>
      <c r="C312" s="12"/>
      <c r="D312" s="263"/>
      <c r="E312" s="263"/>
      <c r="F312" s="263"/>
      <c r="G312" s="263"/>
      <c r="H312" s="263"/>
      <c r="I312" s="263"/>
      <c r="J312" s="263"/>
      <c r="K312" s="263"/>
      <c r="L312" s="263"/>
      <c r="M312" s="836"/>
      <c r="N312" s="263"/>
      <c r="O312" s="263"/>
      <c r="P312" s="263"/>
      <c r="Q312" s="263"/>
      <c r="R312" s="263"/>
      <c r="S312" s="263"/>
    </row>
    <row r="313" spans="1:19">
      <c r="A313" s="5"/>
      <c r="B313" s="249" t="str">
        <f ca="1">+'I-4 History'!B309</f>
        <v>A-10</v>
      </c>
      <c r="C313" s="14" t="str">
        <f ca="1">+'I-4 History'!C309</f>
        <v>Corporate Finance</v>
      </c>
      <c r="D313" s="11"/>
      <c r="E313" s="11"/>
      <c r="F313" s="11"/>
      <c r="G313" s="11"/>
      <c r="H313" s="11"/>
      <c r="I313" s="11"/>
      <c r="J313" s="11"/>
      <c r="K313" s="11"/>
      <c r="L313" s="11"/>
      <c r="M313" s="507"/>
      <c r="N313" s="11"/>
      <c r="O313" s="11"/>
      <c r="P313" s="11"/>
      <c r="Q313" s="11"/>
      <c r="R313" s="11"/>
      <c r="S313" s="11"/>
    </row>
    <row r="314" spans="1:19">
      <c r="B314" s="249"/>
      <c r="C314" s="13" t="s">
        <v>68</v>
      </c>
      <c r="D314" s="312">
        <f>'I-4 History'!D310</f>
        <v>0</v>
      </c>
      <c r="E314" s="312">
        <f>'I-4 History'!E310</f>
        <v>0</v>
      </c>
      <c r="F314" s="312">
        <f>'I-4 History'!F310</f>
        <v>0</v>
      </c>
      <c r="G314" s="312">
        <f>'I-4 History'!G310</f>
        <v>0</v>
      </c>
      <c r="H314" s="312">
        <f>'I-4 History'!H310</f>
        <v>0</v>
      </c>
      <c r="I314" s="312">
        <f>'I-4 History'!I310</f>
        <v>0</v>
      </c>
      <c r="J314" s="312">
        <f>'I-4 History'!J310</f>
        <v>0</v>
      </c>
      <c r="K314" s="312">
        <f>'I-4 History'!K310</f>
        <v>0</v>
      </c>
      <c r="L314" s="310">
        <f ca="1">'A-10'!B$64</f>
        <v>0</v>
      </c>
      <c r="M314" s="835">
        <f ca="1">'A-10'!C$64</f>
        <v>0</v>
      </c>
      <c r="N314" s="312">
        <f ca="1">'A-10'!D$64</f>
        <v>2.2640000000000002</v>
      </c>
      <c r="O314" s="310">
        <f ca="1">'A-10'!E$64</f>
        <v>2.3371172209823015</v>
      </c>
      <c r="P314" s="310">
        <f ca="1">'A-10'!F$64</f>
        <v>2.410489918308798</v>
      </c>
      <c r="Q314" s="310">
        <f ca="1">'A-10'!G$64</f>
        <v>2.4885234974474799</v>
      </c>
      <c r="R314" s="310">
        <f ca="1">'A-10'!H$64</f>
        <v>2.5708932236969511</v>
      </c>
      <c r="S314" s="310">
        <f ca="1">'A-10'!I$64</f>
        <v>2.6534796752653831</v>
      </c>
    </row>
    <row r="315" spans="1:19">
      <c r="B315" s="249"/>
      <c r="C315" s="13" t="s">
        <v>69</v>
      </c>
      <c r="D315" s="312">
        <f>'I-4 History'!D311</f>
        <v>0</v>
      </c>
      <c r="E315" s="312">
        <f>'I-4 History'!E311</f>
        <v>0</v>
      </c>
      <c r="F315" s="312">
        <f>'I-4 History'!F311</f>
        <v>0</v>
      </c>
      <c r="G315" s="312">
        <f>'I-4 History'!G311</f>
        <v>0</v>
      </c>
      <c r="H315" s="312">
        <f>'I-4 History'!H311</f>
        <v>0</v>
      </c>
      <c r="I315" s="312">
        <f>'I-4 History'!I311</f>
        <v>0</v>
      </c>
      <c r="J315" s="312">
        <f>'I-4 History'!J311</f>
        <v>0</v>
      </c>
      <c r="K315" s="312">
        <f>'I-4 History'!K311</f>
        <v>0</v>
      </c>
      <c r="L315" s="310">
        <f ca="1">'A-10'!B$65</f>
        <v>0</v>
      </c>
      <c r="M315" s="835">
        <f ca="1">'A-10'!C$65</f>
        <v>0</v>
      </c>
      <c r="N315" s="312">
        <f ca="1">'A-10'!D$65</f>
        <v>5.2999999999999999E-2</v>
      </c>
      <c r="O315" s="310">
        <f ca="1">'A-10'!E$65</f>
        <v>5.3562327788905462E-2</v>
      </c>
      <c r="P315" s="310">
        <f ca="1">'A-10'!F$65</f>
        <v>5.4083372741551422E-2</v>
      </c>
      <c r="Q315" s="310">
        <f ca="1">'A-10'!G$65</f>
        <v>5.4598419891439279E-2</v>
      </c>
      <c r="R315" s="310">
        <f ca="1">'A-10'!H$65</f>
        <v>5.515720468279077E-2</v>
      </c>
      <c r="S315" s="310">
        <f ca="1">'A-10'!I$65</f>
        <v>5.5669055733632011E-2</v>
      </c>
    </row>
    <row r="316" spans="1:19" s="759" customFormat="1">
      <c r="B316" s="249"/>
      <c r="C316" s="13" t="s">
        <v>646</v>
      </c>
      <c r="D316" s="312">
        <f>'I-4 History'!D312</f>
        <v>0</v>
      </c>
      <c r="E316" s="312">
        <f>'I-4 History'!E312</f>
        <v>0</v>
      </c>
      <c r="F316" s="312">
        <f>'I-4 History'!F312</f>
        <v>0</v>
      </c>
      <c r="G316" s="312">
        <f>'I-4 History'!G312</f>
        <v>0</v>
      </c>
      <c r="H316" s="312">
        <f>'I-4 History'!H312</f>
        <v>0</v>
      </c>
      <c r="I316" s="312">
        <f>'I-4 History'!I312</f>
        <v>0</v>
      </c>
      <c r="J316" s="312">
        <f>'I-4 History'!J312</f>
        <v>0</v>
      </c>
      <c r="K316" s="312">
        <f>'I-4 History'!K312</f>
        <v>0</v>
      </c>
      <c r="L316" s="310">
        <f ca="1">'A-10'!B$66</f>
        <v>0</v>
      </c>
      <c r="M316" s="835">
        <f ca="1">'A-10'!C$66</f>
        <v>0</v>
      </c>
      <c r="N316" s="312">
        <f ca="1">'A-10'!D$66</f>
        <v>1.4999999999999999E-2</v>
      </c>
      <c r="O316" s="310">
        <f ca="1">'A-10'!E$66</f>
        <v>1.5234945121089617E-2</v>
      </c>
      <c r="P316" s="310">
        <f ca="1">'A-10'!F$66</f>
        <v>1.5460063741495885E-2</v>
      </c>
      <c r="Q316" s="310">
        <f ca="1">'A-10'!G$66</f>
        <v>1.5747758765747716E-2</v>
      </c>
      <c r="R316" s="310">
        <f ca="1">'A-10'!H$66</f>
        <v>1.6075972161738797E-2</v>
      </c>
      <c r="S316" s="310">
        <f ca="1">'A-10'!I$66</f>
        <v>1.6427969343865576E-2</v>
      </c>
    </row>
    <row r="317" spans="1:19">
      <c r="B317" s="249"/>
      <c r="C317" s="13" t="s">
        <v>647</v>
      </c>
      <c r="D317" s="312">
        <f>'I-4 History'!D313</f>
        <v>0</v>
      </c>
      <c r="E317" s="312">
        <f>'I-4 History'!E313</f>
        <v>0</v>
      </c>
      <c r="F317" s="312">
        <f>'I-4 History'!F313</f>
        <v>0</v>
      </c>
      <c r="G317" s="312">
        <f>'I-4 History'!G313</f>
        <v>0</v>
      </c>
      <c r="H317" s="312">
        <f>'I-4 History'!H313</f>
        <v>0</v>
      </c>
      <c r="I317" s="312">
        <f>'I-4 History'!I313</f>
        <v>0</v>
      </c>
      <c r="J317" s="312">
        <f>'I-4 History'!J313</f>
        <v>0</v>
      </c>
      <c r="K317" s="312">
        <f>'I-4 History'!K313</f>
        <v>0</v>
      </c>
      <c r="L317" s="310">
        <f ca="1">'A-10'!B$67</f>
        <v>0</v>
      </c>
      <c r="M317" s="835">
        <f ca="1">'A-10'!C$67</f>
        <v>0</v>
      </c>
      <c r="N317" s="312">
        <f ca="1">'A-10'!D$67</f>
        <v>0.60799999999999998</v>
      </c>
      <c r="O317" s="310">
        <f ca="1">'A-10'!E$67</f>
        <v>0.61752310890816586</v>
      </c>
      <c r="P317" s="310">
        <f ca="1">'A-10'!F$67</f>
        <v>0.62664791698863309</v>
      </c>
      <c r="Q317" s="310">
        <f ca="1">'A-10'!G$67</f>
        <v>0.63830915530497401</v>
      </c>
      <c r="R317" s="310">
        <f ca="1">'A-10'!H$67</f>
        <v>0.6516127382891459</v>
      </c>
      <c r="S317" s="310">
        <f ca="1">'A-10'!I$67</f>
        <v>0.66588035740468476</v>
      </c>
    </row>
    <row r="318" spans="1:19" s="759" customFormat="1">
      <c r="B318" s="249"/>
      <c r="C318" s="13" t="s">
        <v>575</v>
      </c>
      <c r="D318" s="312">
        <f>'I-4 History'!D314</f>
        <v>0</v>
      </c>
      <c r="E318" s="312">
        <f>'I-4 History'!E314</f>
        <v>0</v>
      </c>
      <c r="F318" s="312">
        <f>'I-4 History'!F314</f>
        <v>0</v>
      </c>
      <c r="G318" s="312">
        <f>'I-4 History'!G314</f>
        <v>0</v>
      </c>
      <c r="H318" s="312">
        <f>'I-4 History'!H314</f>
        <v>0</v>
      </c>
      <c r="I318" s="312">
        <f>'I-4 History'!I314</f>
        <v>0</v>
      </c>
      <c r="J318" s="312">
        <f>'I-4 History'!J314</f>
        <v>0</v>
      </c>
      <c r="K318" s="312">
        <f>'I-4 History'!K314</f>
        <v>0</v>
      </c>
      <c r="L318" s="310">
        <f ca="1">'A-10'!B$68</f>
        <v>0</v>
      </c>
      <c r="M318" s="835">
        <f ca="1">'A-10'!C$68</f>
        <v>0</v>
      </c>
      <c r="N318" s="312">
        <f ca="1">'A-10'!D$68</f>
        <v>0</v>
      </c>
      <c r="O318" s="310">
        <f ca="1">'A-10'!E$68</f>
        <v>0</v>
      </c>
      <c r="P318" s="310">
        <f ca="1">'A-10'!F$68</f>
        <v>0</v>
      </c>
      <c r="Q318" s="310">
        <f ca="1">'A-10'!G$68</f>
        <v>0</v>
      </c>
      <c r="R318" s="310">
        <f ca="1">'A-10'!H$68</f>
        <v>0</v>
      </c>
      <c r="S318" s="310">
        <f ca="1">'A-10'!I$68</f>
        <v>0</v>
      </c>
    </row>
    <row r="319" spans="1:19">
      <c r="B319" s="249"/>
      <c r="C319" s="13" t="s">
        <v>70</v>
      </c>
      <c r="D319" s="312">
        <f>'I-4 History'!D315</f>
        <v>0</v>
      </c>
      <c r="E319" s="312">
        <f>'I-4 History'!E315</f>
        <v>0</v>
      </c>
      <c r="F319" s="312">
        <f>'I-4 History'!F315</f>
        <v>0</v>
      </c>
      <c r="G319" s="312">
        <f>'I-4 History'!G315</f>
        <v>0</v>
      </c>
      <c r="H319" s="312">
        <f>'I-4 History'!H315</f>
        <v>0</v>
      </c>
      <c r="I319" s="312">
        <f>'I-4 History'!I315</f>
        <v>0</v>
      </c>
      <c r="J319" s="312">
        <f>'I-4 History'!J315</f>
        <v>0</v>
      </c>
      <c r="K319" s="312">
        <f>'I-4 History'!K315</f>
        <v>0</v>
      </c>
      <c r="L319" s="310">
        <f ca="1">'A-10'!B$69</f>
        <v>0</v>
      </c>
      <c r="M319" s="835">
        <f ca="1">'A-10'!C$69</f>
        <v>0</v>
      </c>
      <c r="N319" s="312">
        <f ca="1">'A-10'!D$69</f>
        <v>0</v>
      </c>
      <c r="O319" s="310">
        <f ca="1">'A-10'!E$69</f>
        <v>0</v>
      </c>
      <c r="P319" s="310">
        <f ca="1">'A-10'!F$69</f>
        <v>0</v>
      </c>
      <c r="Q319" s="310">
        <f ca="1">'A-10'!G$69</f>
        <v>0</v>
      </c>
      <c r="R319" s="310">
        <f ca="1">'A-10'!H$69</f>
        <v>0</v>
      </c>
      <c r="S319" s="310">
        <f ca="1">'A-10'!I$69</f>
        <v>0</v>
      </c>
    </row>
    <row r="320" spans="1:19">
      <c r="B320" s="249"/>
      <c r="C320" s="12" t="s">
        <v>75</v>
      </c>
      <c r="D320" s="313">
        <f t="shared" ref="D320:K320" si="73">SUBTOTAL(9,D314:D319)</f>
        <v>0</v>
      </c>
      <c r="E320" s="311">
        <f t="shared" si="73"/>
        <v>0</v>
      </c>
      <c r="F320" s="311">
        <f t="shared" si="73"/>
        <v>0</v>
      </c>
      <c r="G320" s="311">
        <f t="shared" si="73"/>
        <v>0</v>
      </c>
      <c r="H320" s="311">
        <f t="shared" si="73"/>
        <v>0</v>
      </c>
      <c r="I320" s="311">
        <f t="shared" si="73"/>
        <v>0</v>
      </c>
      <c r="J320" s="311">
        <f t="shared" si="73"/>
        <v>0</v>
      </c>
      <c r="K320" s="311">
        <f t="shared" si="73"/>
        <v>0</v>
      </c>
      <c r="L320" s="311">
        <f t="shared" ref="L320:S320" ca="1" si="74">SUBTOTAL(9,L314:L319)</f>
        <v>0</v>
      </c>
      <c r="M320" s="513">
        <f t="shared" ca="1" si="74"/>
        <v>0</v>
      </c>
      <c r="N320" s="313">
        <f t="shared" ca="1" si="74"/>
        <v>2.9400000000000004</v>
      </c>
      <c r="O320" s="311">
        <f t="shared" ca="1" si="74"/>
        <v>3.0234376028004624</v>
      </c>
      <c r="P320" s="311">
        <f t="shared" ca="1" si="74"/>
        <v>3.1066812717804781</v>
      </c>
      <c r="Q320" s="311">
        <f t="shared" ca="1" si="74"/>
        <v>3.1971788314096408</v>
      </c>
      <c r="R320" s="311">
        <f t="shared" ca="1" si="74"/>
        <v>3.2937391388306265</v>
      </c>
      <c r="S320" s="311">
        <f t="shared" ca="1" si="74"/>
        <v>3.3914570577475649</v>
      </c>
    </row>
    <row r="321" spans="1:19">
      <c r="B321" s="249"/>
      <c r="C321" s="15"/>
      <c r="D321" s="263"/>
      <c r="E321" s="263"/>
      <c r="F321" s="263"/>
      <c r="G321" s="263"/>
      <c r="H321" s="263"/>
      <c r="I321" s="263"/>
      <c r="J321" s="263"/>
      <c r="K321" s="263"/>
      <c r="L321" s="263"/>
      <c r="M321" s="836"/>
      <c r="N321" s="263"/>
      <c r="O321" s="263"/>
      <c r="P321" s="263"/>
      <c r="Q321" s="263"/>
      <c r="R321" s="263"/>
      <c r="S321" s="263"/>
    </row>
    <row r="322" spans="1:19">
      <c r="A322" s="5"/>
      <c r="B322" s="249" t="str">
        <f ca="1">+'I-4 History'!B318</f>
        <v>A-11</v>
      </c>
      <c r="C322" s="14" t="str">
        <f ca="1">+'I-4 History'!C318</f>
        <v>Operational Finance</v>
      </c>
      <c r="D322" s="11"/>
      <c r="E322" s="11"/>
      <c r="F322" s="11"/>
      <c r="G322" s="11"/>
      <c r="H322" s="11"/>
      <c r="I322" s="11"/>
      <c r="J322" s="11"/>
      <c r="K322" s="11"/>
      <c r="L322" s="11"/>
      <c r="M322" s="507"/>
      <c r="N322" s="11"/>
      <c r="O322" s="11"/>
      <c r="P322" s="11"/>
      <c r="Q322" s="11"/>
      <c r="R322" s="11"/>
      <c r="S322" s="11"/>
    </row>
    <row r="323" spans="1:19">
      <c r="A323" s="5"/>
      <c r="B323" s="249"/>
      <c r="C323" s="13" t="s">
        <v>68</v>
      </c>
      <c r="D323" s="312">
        <f>'I-4 History'!D319</f>
        <v>0</v>
      </c>
      <c r="E323" s="312">
        <f>'I-4 History'!E319</f>
        <v>0</v>
      </c>
      <c r="F323" s="312">
        <f>'I-4 History'!F319</f>
        <v>0</v>
      </c>
      <c r="G323" s="312">
        <f>'I-4 History'!G319</f>
        <v>0</v>
      </c>
      <c r="H323" s="312">
        <f>'I-4 History'!H319</f>
        <v>0</v>
      </c>
      <c r="I323" s="312">
        <f>'I-4 History'!I319</f>
        <v>0</v>
      </c>
      <c r="J323" s="312">
        <f>'I-4 History'!J319</f>
        <v>0</v>
      </c>
      <c r="K323" s="312">
        <f>'I-4 History'!K319</f>
        <v>0</v>
      </c>
      <c r="L323" s="310">
        <f ca="1">'A-11'!B$64</f>
        <v>0</v>
      </c>
      <c r="M323" s="835">
        <f ca="1">'A-11'!C$64</f>
        <v>0</v>
      </c>
      <c r="N323" s="312">
        <f ca="1">'A-11'!D$64</f>
        <v>1.202</v>
      </c>
      <c r="O323" s="310">
        <f ca="1">'A-11'!E$64</f>
        <v>1.2408193019526175</v>
      </c>
      <c r="P323" s="310">
        <f ca="1">'A-11'!F$64</f>
        <v>1.2797742410809076</v>
      </c>
      <c r="Q323" s="310">
        <f ca="1">'A-11'!G$64</f>
        <v>1.3212037296518861</v>
      </c>
      <c r="R323" s="310">
        <f ca="1">'A-11'!H$64</f>
        <v>1.3649353599309784</v>
      </c>
      <c r="S323" s="310">
        <f ca="1">'A-11'!I$64</f>
        <v>1.4087820537407201</v>
      </c>
    </row>
    <row r="324" spans="1:19">
      <c r="A324" s="5"/>
      <c r="B324" s="249"/>
      <c r="C324" s="13" t="s">
        <v>69</v>
      </c>
      <c r="D324" s="312">
        <f>'I-4 History'!D320</f>
        <v>0</v>
      </c>
      <c r="E324" s="312">
        <f>'I-4 History'!E320</f>
        <v>0</v>
      </c>
      <c r="F324" s="312">
        <f>'I-4 History'!F320</f>
        <v>0</v>
      </c>
      <c r="G324" s="312">
        <f>'I-4 History'!G320</f>
        <v>0</v>
      </c>
      <c r="H324" s="312">
        <f>'I-4 History'!H320</f>
        <v>0</v>
      </c>
      <c r="I324" s="312">
        <f>'I-4 History'!I320</f>
        <v>0</v>
      </c>
      <c r="J324" s="312">
        <f>'I-4 History'!J320</f>
        <v>0</v>
      </c>
      <c r="K324" s="312">
        <f>'I-4 History'!K320</f>
        <v>0</v>
      </c>
      <c r="L324" s="310">
        <f ca="1">'A-11'!B$65</f>
        <v>0</v>
      </c>
      <c r="M324" s="835">
        <f ca="1">'A-11'!C$65</f>
        <v>0</v>
      </c>
      <c r="N324" s="312">
        <f ca="1">'A-11'!D$65</f>
        <v>8.0000000000000002E-3</v>
      </c>
      <c r="O324" s="310">
        <f ca="1">'A-11'!E$65</f>
        <v>8.0848796662498813E-3</v>
      </c>
      <c r="P324" s="310">
        <f ca="1">'A-11'!F$65</f>
        <v>8.1635279609888946E-3</v>
      </c>
      <c r="Q324" s="310">
        <f ca="1">'A-11'!G$65</f>
        <v>8.2412709270097036E-3</v>
      </c>
      <c r="R324" s="310">
        <f ca="1">'A-11'!H$65</f>
        <v>8.3256158011759656E-3</v>
      </c>
      <c r="S324" s="310">
        <f ca="1">'A-11'!I$65</f>
        <v>8.4028763371520009E-3</v>
      </c>
    </row>
    <row r="325" spans="1:19" s="759" customFormat="1">
      <c r="A325" s="5"/>
      <c r="B325" s="249"/>
      <c r="C325" s="13" t="s">
        <v>646</v>
      </c>
      <c r="D325" s="312">
        <f>'I-4 History'!D321</f>
        <v>0</v>
      </c>
      <c r="E325" s="312">
        <f>'I-4 History'!E321</f>
        <v>0</v>
      </c>
      <c r="F325" s="312">
        <f>'I-4 History'!F321</f>
        <v>0</v>
      </c>
      <c r="G325" s="312">
        <f>'I-4 History'!G321</f>
        <v>0</v>
      </c>
      <c r="H325" s="312">
        <f>'I-4 History'!H321</f>
        <v>0</v>
      </c>
      <c r="I325" s="312">
        <f>'I-4 History'!I321</f>
        <v>0</v>
      </c>
      <c r="J325" s="312">
        <f>'I-4 History'!J321</f>
        <v>0</v>
      </c>
      <c r="K325" s="312">
        <f>'I-4 History'!K321</f>
        <v>0</v>
      </c>
      <c r="L325" s="310">
        <f ca="1">'A-11'!B$66</f>
        <v>0</v>
      </c>
      <c r="M325" s="835">
        <f ca="1">'A-11'!C$66</f>
        <v>0</v>
      </c>
      <c r="N325" s="312">
        <f ca="1">'A-11'!D$66</f>
        <v>0</v>
      </c>
      <c r="O325" s="310">
        <f ca="1">'A-11'!E$66</f>
        <v>0</v>
      </c>
      <c r="P325" s="310">
        <f ca="1">'A-11'!F$66</f>
        <v>0</v>
      </c>
      <c r="Q325" s="310">
        <f ca="1">'A-11'!G$66</f>
        <v>0</v>
      </c>
      <c r="R325" s="310">
        <f ca="1">'A-11'!H$66</f>
        <v>0</v>
      </c>
      <c r="S325" s="310">
        <f ca="1">'A-11'!I$66</f>
        <v>0</v>
      </c>
    </row>
    <row r="326" spans="1:19">
      <c r="A326" s="5"/>
      <c r="B326" s="249"/>
      <c r="C326" s="13" t="s">
        <v>647</v>
      </c>
      <c r="D326" s="312">
        <f>'I-4 History'!D322</f>
        <v>0</v>
      </c>
      <c r="E326" s="312">
        <f>'I-4 History'!E322</f>
        <v>0</v>
      </c>
      <c r="F326" s="312">
        <f>'I-4 History'!F322</f>
        <v>0</v>
      </c>
      <c r="G326" s="312">
        <f>'I-4 History'!G322</f>
        <v>0</v>
      </c>
      <c r="H326" s="312">
        <f>'I-4 History'!H322</f>
        <v>0</v>
      </c>
      <c r="I326" s="312">
        <f>'I-4 History'!I322</f>
        <v>0</v>
      </c>
      <c r="J326" s="312">
        <f>'I-4 History'!J322</f>
        <v>0</v>
      </c>
      <c r="K326" s="312">
        <f>'I-4 History'!K322</f>
        <v>0</v>
      </c>
      <c r="L326" s="310">
        <f ca="1">'A-11'!B$67</f>
        <v>0</v>
      </c>
      <c r="M326" s="835">
        <f ca="1">'A-11'!C$67</f>
        <v>0</v>
      </c>
      <c r="N326" s="312">
        <f ca="1">'A-11'!D$67</f>
        <v>4.8000000000000001E-2</v>
      </c>
      <c r="O326" s="310">
        <f ca="1">'A-11'!E$67</f>
        <v>4.8751824387486778E-2</v>
      </c>
      <c r="P326" s="310">
        <f ca="1">'A-11'!F$67</f>
        <v>4.947220397278683E-2</v>
      </c>
      <c r="Q326" s="310">
        <f ca="1">'A-11'!G$67</f>
        <v>5.0392828050392691E-2</v>
      </c>
      <c r="R326" s="310">
        <f ca="1">'A-11'!H$67</f>
        <v>5.1443110917564157E-2</v>
      </c>
      <c r="S326" s="310">
        <f ca="1">'A-11'!I$67</f>
        <v>5.2569501900369853E-2</v>
      </c>
    </row>
    <row r="327" spans="1:19" s="759" customFormat="1">
      <c r="A327" s="5"/>
      <c r="B327" s="249"/>
      <c r="C327" s="13" t="s">
        <v>575</v>
      </c>
      <c r="D327" s="312">
        <f>'I-4 History'!D323</f>
        <v>0</v>
      </c>
      <c r="E327" s="312">
        <f>'I-4 History'!E323</f>
        <v>0</v>
      </c>
      <c r="F327" s="312">
        <f>'I-4 History'!F323</f>
        <v>0</v>
      </c>
      <c r="G327" s="312">
        <f>'I-4 History'!G323</f>
        <v>0</v>
      </c>
      <c r="H327" s="312">
        <f>'I-4 History'!H323</f>
        <v>0</v>
      </c>
      <c r="I327" s="312">
        <f>'I-4 History'!I323</f>
        <v>0</v>
      </c>
      <c r="J327" s="312">
        <f>'I-4 History'!J323</f>
        <v>0</v>
      </c>
      <c r="K327" s="312">
        <f>'I-4 History'!K323</f>
        <v>0</v>
      </c>
      <c r="L327" s="310">
        <f ca="1">'A-11'!B$68</f>
        <v>0</v>
      </c>
      <c r="M327" s="835">
        <f ca="1">'A-11'!C$68</f>
        <v>0</v>
      </c>
      <c r="N327" s="312">
        <f ca="1">'A-11'!D$68</f>
        <v>0</v>
      </c>
      <c r="O327" s="310">
        <f ca="1">'A-11'!E$68</f>
        <v>0</v>
      </c>
      <c r="P327" s="310">
        <f ca="1">'A-11'!F$68</f>
        <v>0</v>
      </c>
      <c r="Q327" s="310">
        <f ca="1">'A-11'!G$68</f>
        <v>0</v>
      </c>
      <c r="R327" s="310">
        <f ca="1">'A-11'!H$68</f>
        <v>0</v>
      </c>
      <c r="S327" s="310">
        <f ca="1">'A-11'!I$68</f>
        <v>0</v>
      </c>
    </row>
    <row r="328" spans="1:19">
      <c r="A328" s="5"/>
      <c r="B328" s="249"/>
      <c r="C328" s="13" t="s">
        <v>70</v>
      </c>
      <c r="D328" s="312">
        <f>'I-4 History'!D324</f>
        <v>0</v>
      </c>
      <c r="E328" s="312">
        <f>'I-4 History'!E324</f>
        <v>0</v>
      </c>
      <c r="F328" s="312">
        <f>'I-4 History'!F324</f>
        <v>0</v>
      </c>
      <c r="G328" s="312">
        <f>'I-4 History'!G324</f>
        <v>0</v>
      </c>
      <c r="H328" s="312">
        <f>'I-4 History'!H324</f>
        <v>0</v>
      </c>
      <c r="I328" s="312">
        <f>'I-4 History'!I324</f>
        <v>0</v>
      </c>
      <c r="J328" s="312">
        <f>'I-4 History'!J324</f>
        <v>0</v>
      </c>
      <c r="K328" s="312">
        <f>'I-4 History'!K324</f>
        <v>0</v>
      </c>
      <c r="L328" s="310">
        <f ca="1">'A-11'!B$69</f>
        <v>0</v>
      </c>
      <c r="M328" s="835">
        <f ca="1">'A-11'!C$69</f>
        <v>0</v>
      </c>
      <c r="N328" s="312">
        <f ca="1">'A-11'!D$69</f>
        <v>0</v>
      </c>
      <c r="O328" s="310">
        <f ca="1">'A-11'!E$69</f>
        <v>0</v>
      </c>
      <c r="P328" s="310">
        <f ca="1">'A-11'!F$69</f>
        <v>0</v>
      </c>
      <c r="Q328" s="310">
        <f ca="1">'A-11'!G$69</f>
        <v>0</v>
      </c>
      <c r="R328" s="310">
        <f ca="1">'A-11'!H$69</f>
        <v>0</v>
      </c>
      <c r="S328" s="310">
        <f ca="1">'A-11'!I$69</f>
        <v>0</v>
      </c>
    </row>
    <row r="329" spans="1:19">
      <c r="A329" s="5"/>
      <c r="B329" s="249"/>
      <c r="C329" s="12" t="s">
        <v>75</v>
      </c>
      <c r="D329" s="313">
        <f t="shared" ref="D329:K329" si="75">SUBTOTAL(9,D323:D328)</f>
        <v>0</v>
      </c>
      <c r="E329" s="311">
        <f t="shared" si="75"/>
        <v>0</v>
      </c>
      <c r="F329" s="311">
        <f t="shared" si="75"/>
        <v>0</v>
      </c>
      <c r="G329" s="311">
        <f t="shared" si="75"/>
        <v>0</v>
      </c>
      <c r="H329" s="311">
        <f t="shared" si="75"/>
        <v>0</v>
      </c>
      <c r="I329" s="311">
        <f t="shared" si="75"/>
        <v>0</v>
      </c>
      <c r="J329" s="311">
        <f t="shared" si="75"/>
        <v>0</v>
      </c>
      <c r="K329" s="311">
        <f t="shared" si="75"/>
        <v>0</v>
      </c>
      <c r="L329" s="311">
        <f t="shared" ref="L329:S329" ca="1" si="76">SUBTOTAL(9,L323:L328)</f>
        <v>0</v>
      </c>
      <c r="M329" s="513">
        <f t="shared" ca="1" si="76"/>
        <v>0</v>
      </c>
      <c r="N329" s="313">
        <f t="shared" ca="1" si="76"/>
        <v>1.258</v>
      </c>
      <c r="O329" s="311">
        <f t="shared" ca="1" si="76"/>
        <v>1.297656006006354</v>
      </c>
      <c r="P329" s="311">
        <f t="shared" ca="1" si="76"/>
        <v>1.3374099730146833</v>
      </c>
      <c r="Q329" s="311">
        <f t="shared" ca="1" si="76"/>
        <v>1.3798378286292885</v>
      </c>
      <c r="R329" s="311">
        <f t="shared" ca="1" si="76"/>
        <v>1.4247040866497185</v>
      </c>
      <c r="S329" s="311">
        <f t="shared" ca="1" si="76"/>
        <v>1.4697544319782418</v>
      </c>
    </row>
    <row r="330" spans="1:19">
      <c r="A330" s="5"/>
      <c r="B330" s="249"/>
      <c r="C330" s="12"/>
      <c r="D330" s="263"/>
      <c r="E330" s="263"/>
      <c r="F330" s="263"/>
      <c r="G330" s="263"/>
      <c r="H330" s="263"/>
      <c r="I330" s="263"/>
      <c r="J330" s="263"/>
      <c r="K330" s="263"/>
      <c r="L330" s="263"/>
      <c r="M330" s="836"/>
      <c r="N330" s="263"/>
      <c r="O330" s="263"/>
      <c r="P330" s="263"/>
      <c r="Q330" s="263"/>
      <c r="R330" s="263"/>
      <c r="S330" s="263"/>
    </row>
    <row r="331" spans="1:19">
      <c r="A331" s="5"/>
      <c r="B331" s="249" t="str">
        <f ca="1">+'I-4 History'!B327</f>
        <v>A-12</v>
      </c>
      <c r="C331" s="14" t="str">
        <f ca="1">+'I-4 History'!C327</f>
        <v>Regulatory Finance</v>
      </c>
      <c r="D331" s="11"/>
      <c r="E331" s="11"/>
      <c r="F331" s="11"/>
      <c r="G331" s="11"/>
      <c r="H331" s="11"/>
      <c r="I331" s="11"/>
      <c r="J331" s="11"/>
      <c r="K331" s="11"/>
      <c r="L331" s="11"/>
      <c r="M331" s="507"/>
      <c r="N331" s="11"/>
      <c r="O331" s="11"/>
      <c r="P331" s="11"/>
      <c r="Q331" s="11"/>
      <c r="R331" s="11"/>
      <c r="S331" s="11"/>
    </row>
    <row r="332" spans="1:19">
      <c r="A332" s="5"/>
      <c r="B332" s="249"/>
      <c r="C332" s="13" t="s">
        <v>68</v>
      </c>
      <c r="D332" s="312">
        <f>'I-4 History'!D328</f>
        <v>0</v>
      </c>
      <c r="E332" s="312">
        <f>'I-4 History'!E328</f>
        <v>0</v>
      </c>
      <c r="F332" s="312">
        <f>'I-4 History'!F328</f>
        <v>0</v>
      </c>
      <c r="G332" s="312">
        <f>'I-4 History'!G328</f>
        <v>0</v>
      </c>
      <c r="H332" s="312">
        <f>'I-4 History'!H328</f>
        <v>0</v>
      </c>
      <c r="I332" s="312">
        <f>'I-4 History'!I328</f>
        <v>0</v>
      </c>
      <c r="J332" s="312">
        <f>'I-4 History'!J328</f>
        <v>0</v>
      </c>
      <c r="K332" s="312">
        <f>'I-4 History'!K328</f>
        <v>0</v>
      </c>
      <c r="L332" s="310">
        <f ca="1">'A-12'!B$64</f>
        <v>0</v>
      </c>
      <c r="M332" s="835">
        <f ca="1">'A-12'!C$64</f>
        <v>0</v>
      </c>
      <c r="N332" s="312">
        <f ca="1">'A-12'!D$64</f>
        <v>0.13600000000000001</v>
      </c>
      <c r="O332" s="310">
        <f ca="1">'A-12'!E$64</f>
        <v>0.14039220055370716</v>
      </c>
      <c r="P332" s="310">
        <f ca="1">'A-12'!F$64</f>
        <v>0.14479974774293133</v>
      </c>
      <c r="Q332" s="310">
        <f ca="1">'A-12'!G$64</f>
        <v>0.14948727723182742</v>
      </c>
      <c r="R332" s="310">
        <f ca="1">'A-12'!H$64</f>
        <v>0.1544352819888628</v>
      </c>
      <c r="S332" s="310">
        <f ca="1">'A-12'!I$64</f>
        <v>0.15939630558131279</v>
      </c>
    </row>
    <row r="333" spans="1:19">
      <c r="A333" s="5"/>
      <c r="B333" s="249"/>
      <c r="C333" s="13" t="s">
        <v>69</v>
      </c>
      <c r="D333" s="312">
        <f>'I-4 History'!D329</f>
        <v>0</v>
      </c>
      <c r="E333" s="312">
        <f>'I-4 History'!E329</f>
        <v>0</v>
      </c>
      <c r="F333" s="312">
        <f>'I-4 History'!F329</f>
        <v>0</v>
      </c>
      <c r="G333" s="312">
        <f>'I-4 History'!G329</f>
        <v>0</v>
      </c>
      <c r="H333" s="312">
        <f>'I-4 History'!H329</f>
        <v>0</v>
      </c>
      <c r="I333" s="312">
        <f>'I-4 History'!I329</f>
        <v>0</v>
      </c>
      <c r="J333" s="312">
        <f>'I-4 History'!J329</f>
        <v>0</v>
      </c>
      <c r="K333" s="312">
        <f>'I-4 History'!K329</f>
        <v>0</v>
      </c>
      <c r="L333" s="310">
        <f ca="1">'A-12'!B$65</f>
        <v>0</v>
      </c>
      <c r="M333" s="835">
        <f ca="1">'A-12'!C$65</f>
        <v>0</v>
      </c>
      <c r="N333" s="312">
        <f ca="1">'A-12'!D$65</f>
        <v>0</v>
      </c>
      <c r="O333" s="310">
        <f ca="1">'A-12'!E$65</f>
        <v>0</v>
      </c>
      <c r="P333" s="310">
        <f ca="1">'A-12'!F$65</f>
        <v>0</v>
      </c>
      <c r="Q333" s="310">
        <f ca="1">'A-12'!G$65</f>
        <v>0</v>
      </c>
      <c r="R333" s="310">
        <f ca="1">'A-12'!H$65</f>
        <v>0</v>
      </c>
      <c r="S333" s="310">
        <f ca="1">'A-12'!I$65</f>
        <v>0</v>
      </c>
    </row>
    <row r="334" spans="1:19" s="759" customFormat="1">
      <c r="A334" s="5"/>
      <c r="B334" s="249"/>
      <c r="C334" s="13" t="s">
        <v>646</v>
      </c>
      <c r="D334" s="312">
        <f>'I-4 History'!D330</f>
        <v>0</v>
      </c>
      <c r="E334" s="312">
        <f>'I-4 History'!E330</f>
        <v>0</v>
      </c>
      <c r="F334" s="312">
        <f>'I-4 History'!F330</f>
        <v>0</v>
      </c>
      <c r="G334" s="312">
        <f>'I-4 History'!G330</f>
        <v>0</v>
      </c>
      <c r="H334" s="312">
        <f>'I-4 History'!H330</f>
        <v>0</v>
      </c>
      <c r="I334" s="312">
        <f>'I-4 History'!I330</f>
        <v>0</v>
      </c>
      <c r="J334" s="312">
        <f>'I-4 History'!J330</f>
        <v>0</v>
      </c>
      <c r="K334" s="312">
        <f>'I-4 History'!K330</f>
        <v>0</v>
      </c>
      <c r="L334" s="310">
        <f ca="1">'A-12'!B$66</f>
        <v>0</v>
      </c>
      <c r="M334" s="835">
        <f ca="1">'A-12'!C$66</f>
        <v>0</v>
      </c>
      <c r="N334" s="312">
        <f ca="1">'A-12'!D$66</f>
        <v>0</v>
      </c>
      <c r="O334" s="310">
        <f ca="1">'A-12'!E$66</f>
        <v>0</v>
      </c>
      <c r="P334" s="310">
        <f ca="1">'A-12'!F$66</f>
        <v>0</v>
      </c>
      <c r="Q334" s="310">
        <f ca="1">'A-12'!G$66</f>
        <v>0</v>
      </c>
      <c r="R334" s="310">
        <f ca="1">'A-12'!H$66</f>
        <v>0</v>
      </c>
      <c r="S334" s="310">
        <f ca="1">'A-12'!I$66</f>
        <v>0</v>
      </c>
    </row>
    <row r="335" spans="1:19">
      <c r="A335" s="5"/>
      <c r="B335" s="249"/>
      <c r="C335" s="13" t="s">
        <v>647</v>
      </c>
      <c r="D335" s="312">
        <f>'I-4 History'!D331</f>
        <v>0</v>
      </c>
      <c r="E335" s="312">
        <f>'I-4 History'!E331</f>
        <v>0</v>
      </c>
      <c r="F335" s="312">
        <f>'I-4 History'!F331</f>
        <v>0</v>
      </c>
      <c r="G335" s="312">
        <f>'I-4 History'!G331</f>
        <v>0</v>
      </c>
      <c r="H335" s="312">
        <f>'I-4 History'!H331</f>
        <v>0</v>
      </c>
      <c r="I335" s="312">
        <f>'I-4 History'!I331</f>
        <v>0</v>
      </c>
      <c r="J335" s="312">
        <f>'I-4 History'!J331</f>
        <v>0</v>
      </c>
      <c r="K335" s="312">
        <f>'I-4 History'!K331</f>
        <v>0</v>
      </c>
      <c r="L335" s="310">
        <f ca="1">'A-12'!B$67</f>
        <v>0</v>
      </c>
      <c r="M335" s="835">
        <f ca="1">'A-12'!C$67</f>
        <v>0</v>
      </c>
      <c r="N335" s="312">
        <f ca="1">'A-12'!D$67</f>
        <v>0</v>
      </c>
      <c r="O335" s="310">
        <f ca="1">'A-12'!E$67</f>
        <v>0</v>
      </c>
      <c r="P335" s="310">
        <f ca="1">'A-12'!F$67</f>
        <v>0</v>
      </c>
      <c r="Q335" s="310">
        <f ca="1">'A-12'!G$67</f>
        <v>0</v>
      </c>
      <c r="R335" s="310">
        <f ca="1">'A-12'!H$67</f>
        <v>0</v>
      </c>
      <c r="S335" s="310">
        <f ca="1">'A-12'!I$67</f>
        <v>0</v>
      </c>
    </row>
    <row r="336" spans="1:19" s="759" customFormat="1">
      <c r="A336" s="5"/>
      <c r="B336" s="249"/>
      <c r="C336" s="13" t="s">
        <v>575</v>
      </c>
      <c r="D336" s="312">
        <f>'I-4 History'!D332</f>
        <v>0</v>
      </c>
      <c r="E336" s="312">
        <f>'I-4 History'!E332</f>
        <v>0</v>
      </c>
      <c r="F336" s="312">
        <f>'I-4 History'!F332</f>
        <v>0</v>
      </c>
      <c r="G336" s="312">
        <f>'I-4 History'!G332</f>
        <v>0</v>
      </c>
      <c r="H336" s="312">
        <f>'I-4 History'!H332</f>
        <v>0</v>
      </c>
      <c r="I336" s="312">
        <f>'I-4 History'!I332</f>
        <v>0</v>
      </c>
      <c r="J336" s="312">
        <f>'I-4 History'!J332</f>
        <v>0</v>
      </c>
      <c r="K336" s="312">
        <f>'I-4 History'!K332</f>
        <v>0</v>
      </c>
      <c r="L336" s="310">
        <f ca="1">'A-12'!B$68</f>
        <v>0</v>
      </c>
      <c r="M336" s="835">
        <f ca="1">'A-12'!C$68</f>
        <v>0</v>
      </c>
      <c r="N336" s="312">
        <f ca="1">'A-12'!D$68</f>
        <v>0</v>
      </c>
      <c r="O336" s="310">
        <f ca="1">'A-12'!E$68</f>
        <v>0</v>
      </c>
      <c r="P336" s="310">
        <f ca="1">'A-12'!F$68</f>
        <v>0</v>
      </c>
      <c r="Q336" s="310">
        <f ca="1">'A-12'!G$68</f>
        <v>0</v>
      </c>
      <c r="R336" s="310">
        <f ca="1">'A-12'!H$68</f>
        <v>0</v>
      </c>
      <c r="S336" s="310">
        <f ca="1">'A-12'!I$68</f>
        <v>0</v>
      </c>
    </row>
    <row r="337" spans="1:19">
      <c r="A337" s="5"/>
      <c r="B337" s="249"/>
      <c r="C337" s="13" t="s">
        <v>70</v>
      </c>
      <c r="D337" s="312">
        <f>'I-4 History'!D333</f>
        <v>0</v>
      </c>
      <c r="E337" s="312">
        <f>'I-4 History'!E333</f>
        <v>0</v>
      </c>
      <c r="F337" s="312">
        <f>'I-4 History'!F333</f>
        <v>0</v>
      </c>
      <c r="G337" s="312">
        <f>'I-4 History'!G333</f>
        <v>0</v>
      </c>
      <c r="H337" s="312">
        <f>'I-4 History'!H333</f>
        <v>0</v>
      </c>
      <c r="I337" s="312">
        <f>'I-4 History'!I333</f>
        <v>0</v>
      </c>
      <c r="J337" s="312">
        <f>'I-4 History'!J333</f>
        <v>0</v>
      </c>
      <c r="K337" s="312">
        <f>'I-4 History'!K333</f>
        <v>0</v>
      </c>
      <c r="L337" s="310">
        <f ca="1">'A-12'!B$69</f>
        <v>0</v>
      </c>
      <c r="M337" s="835">
        <f ca="1">'A-12'!C$69</f>
        <v>0</v>
      </c>
      <c r="N337" s="312">
        <f ca="1">'A-12'!D$69</f>
        <v>0</v>
      </c>
      <c r="O337" s="310">
        <f ca="1">'A-12'!E$69</f>
        <v>0</v>
      </c>
      <c r="P337" s="310">
        <f ca="1">'A-12'!F$69</f>
        <v>0</v>
      </c>
      <c r="Q337" s="310">
        <f ca="1">'A-12'!G$69</f>
        <v>0</v>
      </c>
      <c r="R337" s="310">
        <f ca="1">'A-12'!H$69</f>
        <v>0</v>
      </c>
      <c r="S337" s="310">
        <f ca="1">'A-12'!I$69</f>
        <v>0</v>
      </c>
    </row>
    <row r="338" spans="1:19">
      <c r="A338" s="5"/>
      <c r="B338" s="249"/>
      <c r="C338" s="12" t="s">
        <v>75</v>
      </c>
      <c r="D338" s="313">
        <f t="shared" ref="D338:K338" si="77">SUBTOTAL(9,D332:D337)</f>
        <v>0</v>
      </c>
      <c r="E338" s="311">
        <f t="shared" si="77"/>
        <v>0</v>
      </c>
      <c r="F338" s="311">
        <f t="shared" si="77"/>
        <v>0</v>
      </c>
      <c r="G338" s="311">
        <f t="shared" si="77"/>
        <v>0</v>
      </c>
      <c r="H338" s="311">
        <f t="shared" si="77"/>
        <v>0</v>
      </c>
      <c r="I338" s="311">
        <f t="shared" si="77"/>
        <v>0</v>
      </c>
      <c r="J338" s="311">
        <f t="shared" si="77"/>
        <v>0</v>
      </c>
      <c r="K338" s="311">
        <f t="shared" si="77"/>
        <v>0</v>
      </c>
      <c r="L338" s="311">
        <f t="shared" ref="L338:S338" ca="1" si="78">SUBTOTAL(9,L332:L337)</f>
        <v>0</v>
      </c>
      <c r="M338" s="513">
        <f t="shared" ca="1" si="78"/>
        <v>0</v>
      </c>
      <c r="N338" s="313">
        <f t="shared" ca="1" si="78"/>
        <v>0.13600000000000001</v>
      </c>
      <c r="O338" s="311">
        <f t="shared" ca="1" si="78"/>
        <v>0.14039220055370716</v>
      </c>
      <c r="P338" s="311">
        <f t="shared" ca="1" si="78"/>
        <v>0.14479974774293133</v>
      </c>
      <c r="Q338" s="311">
        <f t="shared" ca="1" si="78"/>
        <v>0.14948727723182742</v>
      </c>
      <c r="R338" s="311">
        <f t="shared" ca="1" si="78"/>
        <v>0.1544352819888628</v>
      </c>
      <c r="S338" s="311">
        <f t="shared" ca="1" si="78"/>
        <v>0.15939630558131279</v>
      </c>
    </row>
    <row r="339" spans="1:19">
      <c r="A339" s="5"/>
      <c r="B339" s="249"/>
      <c r="C339" s="12"/>
      <c r="D339" s="263"/>
      <c r="E339" s="263"/>
      <c r="F339" s="263"/>
      <c r="G339" s="263"/>
      <c r="H339" s="263"/>
      <c r="I339" s="263"/>
      <c r="J339" s="263"/>
      <c r="K339" s="263"/>
      <c r="L339" s="263"/>
      <c r="M339" s="836"/>
      <c r="N339" s="263"/>
      <c r="O339" s="263"/>
      <c r="P339" s="263"/>
      <c r="Q339" s="263"/>
      <c r="R339" s="263"/>
      <c r="S339" s="263"/>
    </row>
    <row r="340" spans="1:19">
      <c r="A340" s="5"/>
      <c r="B340" s="249" t="str">
        <f ca="1">+'I-4 History'!B336</f>
        <v>A-13</v>
      </c>
      <c r="C340" s="14" t="str">
        <f ca="1">+'I-4 History'!C336</f>
        <v>Accounts Payable</v>
      </c>
      <c r="D340" s="11"/>
      <c r="E340" s="11"/>
      <c r="F340" s="11"/>
      <c r="G340" s="11"/>
      <c r="H340" s="11"/>
      <c r="I340" s="11"/>
      <c r="J340" s="11"/>
      <c r="K340" s="11"/>
      <c r="L340" s="11"/>
      <c r="M340" s="507"/>
      <c r="N340" s="11"/>
      <c r="O340" s="11"/>
      <c r="P340" s="11"/>
      <c r="Q340" s="11"/>
      <c r="R340" s="11"/>
      <c r="S340" s="11"/>
    </row>
    <row r="341" spans="1:19">
      <c r="B341" s="249"/>
      <c r="C341" s="13" t="s">
        <v>68</v>
      </c>
      <c r="D341" s="312">
        <f>'I-4 History'!D337</f>
        <v>0</v>
      </c>
      <c r="E341" s="312">
        <f>'I-4 History'!E337</f>
        <v>0</v>
      </c>
      <c r="F341" s="312">
        <f>'I-4 History'!F337</f>
        <v>0</v>
      </c>
      <c r="G341" s="312">
        <f>'I-4 History'!G337</f>
        <v>0</v>
      </c>
      <c r="H341" s="312">
        <f>'I-4 History'!H337</f>
        <v>0</v>
      </c>
      <c r="I341" s="312">
        <f>'I-4 History'!I337</f>
        <v>0</v>
      </c>
      <c r="J341" s="312">
        <f>'I-4 History'!J337</f>
        <v>0</v>
      </c>
      <c r="K341" s="312">
        <f>'I-4 History'!K337</f>
        <v>0</v>
      </c>
      <c r="L341" s="310">
        <f ca="1">'A-13'!B$64</f>
        <v>0</v>
      </c>
      <c r="M341" s="835">
        <f ca="1">'A-13'!C$64</f>
        <v>0</v>
      </c>
      <c r="N341" s="312">
        <f ca="1">'A-13'!D$64</f>
        <v>0.432</v>
      </c>
      <c r="O341" s="310">
        <f ca="1">'A-13'!E$64</f>
        <v>0.44595169587648154</v>
      </c>
      <c r="P341" s="310">
        <f ca="1">'A-13'!F$64</f>
        <v>0.45995213988931122</v>
      </c>
      <c r="Q341" s="310">
        <f ca="1">'A-13'!G$64</f>
        <v>0.47484193944227526</v>
      </c>
      <c r="R341" s="310">
        <f ca="1">'A-13'!H$64</f>
        <v>0.4905591310234465</v>
      </c>
      <c r="S341" s="310">
        <f ca="1">'A-13'!I$64</f>
        <v>0.50631767655240523</v>
      </c>
    </row>
    <row r="342" spans="1:19">
      <c r="B342" s="249"/>
      <c r="C342" s="13" t="s">
        <v>69</v>
      </c>
      <c r="D342" s="312">
        <f>'I-4 History'!D338</f>
        <v>0</v>
      </c>
      <c r="E342" s="312">
        <f>'I-4 History'!E338</f>
        <v>0</v>
      </c>
      <c r="F342" s="312">
        <f>'I-4 History'!F338</f>
        <v>0</v>
      </c>
      <c r="G342" s="312">
        <f>'I-4 History'!G338</f>
        <v>0</v>
      </c>
      <c r="H342" s="312">
        <f>'I-4 History'!H338</f>
        <v>0</v>
      </c>
      <c r="I342" s="312">
        <f>'I-4 History'!I338</f>
        <v>0</v>
      </c>
      <c r="J342" s="312">
        <f>'I-4 History'!J338</f>
        <v>0</v>
      </c>
      <c r="K342" s="312">
        <f>'I-4 History'!K338</f>
        <v>0</v>
      </c>
      <c r="L342" s="310">
        <f ca="1">'A-13'!B$65</f>
        <v>0</v>
      </c>
      <c r="M342" s="835">
        <f ca="1">'A-13'!C$65</f>
        <v>0</v>
      </c>
      <c r="N342" s="312">
        <f ca="1">'A-13'!D$65</f>
        <v>0</v>
      </c>
      <c r="O342" s="310">
        <f ca="1">'A-13'!E$65</f>
        <v>0</v>
      </c>
      <c r="P342" s="310">
        <f ca="1">'A-13'!F$65</f>
        <v>0</v>
      </c>
      <c r="Q342" s="310">
        <f ca="1">'A-13'!G$65</f>
        <v>0</v>
      </c>
      <c r="R342" s="310">
        <f ca="1">'A-13'!H$65</f>
        <v>0</v>
      </c>
      <c r="S342" s="310">
        <f ca="1">'A-13'!I$65</f>
        <v>0</v>
      </c>
    </row>
    <row r="343" spans="1:19" s="759" customFormat="1">
      <c r="B343" s="249"/>
      <c r="C343" s="13" t="s">
        <v>646</v>
      </c>
      <c r="D343" s="312">
        <f>'I-4 History'!D339</f>
        <v>0</v>
      </c>
      <c r="E343" s="312">
        <f>'I-4 History'!E339</f>
        <v>0</v>
      </c>
      <c r="F343" s="312">
        <f>'I-4 History'!F339</f>
        <v>0</v>
      </c>
      <c r="G343" s="312">
        <f>'I-4 History'!G339</f>
        <v>0</v>
      </c>
      <c r="H343" s="312">
        <f>'I-4 History'!H339</f>
        <v>0</v>
      </c>
      <c r="I343" s="312">
        <f>'I-4 History'!I339</f>
        <v>0</v>
      </c>
      <c r="J343" s="312">
        <f>'I-4 History'!J339</f>
        <v>0</v>
      </c>
      <c r="K343" s="312">
        <f>'I-4 History'!K339</f>
        <v>0</v>
      </c>
      <c r="L343" s="310">
        <f ca="1">'A-13'!B$66</f>
        <v>0</v>
      </c>
      <c r="M343" s="835">
        <f ca="1">'A-13'!C$66</f>
        <v>0</v>
      </c>
      <c r="N343" s="312">
        <f ca="1">'A-13'!D$66</f>
        <v>0</v>
      </c>
      <c r="O343" s="310">
        <f ca="1">'A-13'!E$66</f>
        <v>0</v>
      </c>
      <c r="P343" s="310">
        <f ca="1">'A-13'!F$66</f>
        <v>0</v>
      </c>
      <c r="Q343" s="310">
        <f ca="1">'A-13'!G$66</f>
        <v>0</v>
      </c>
      <c r="R343" s="310">
        <f ca="1">'A-13'!H$66</f>
        <v>0</v>
      </c>
      <c r="S343" s="310">
        <f ca="1">'A-13'!I$66</f>
        <v>0</v>
      </c>
    </row>
    <row r="344" spans="1:19">
      <c r="B344" s="249"/>
      <c r="C344" s="13" t="s">
        <v>647</v>
      </c>
      <c r="D344" s="312">
        <f>'I-4 History'!D340</f>
        <v>0</v>
      </c>
      <c r="E344" s="312">
        <f>'I-4 History'!E340</f>
        <v>0</v>
      </c>
      <c r="F344" s="312">
        <f>'I-4 History'!F340</f>
        <v>0</v>
      </c>
      <c r="G344" s="312">
        <f>'I-4 History'!G340</f>
        <v>0</v>
      </c>
      <c r="H344" s="312">
        <f>'I-4 History'!H340</f>
        <v>0</v>
      </c>
      <c r="I344" s="312">
        <f>'I-4 History'!I340</f>
        <v>0</v>
      </c>
      <c r="J344" s="312">
        <f>'I-4 History'!J340</f>
        <v>0</v>
      </c>
      <c r="K344" s="312">
        <f>'I-4 History'!K340</f>
        <v>0</v>
      </c>
      <c r="L344" s="310">
        <f ca="1">'A-13'!B$67</f>
        <v>0</v>
      </c>
      <c r="M344" s="835">
        <f ca="1">'A-13'!C$67</f>
        <v>0</v>
      </c>
      <c r="N344" s="312">
        <f ca="1">'A-13'!D$67</f>
        <v>1E-3</v>
      </c>
      <c r="O344" s="310">
        <f ca="1">'A-13'!E$67</f>
        <v>1.0156630080726413E-3</v>
      </c>
      <c r="P344" s="310">
        <f ca="1">'A-13'!F$67</f>
        <v>1.0306709160997258E-3</v>
      </c>
      <c r="Q344" s="310">
        <f ca="1">'A-13'!G$67</f>
        <v>1.0498505843831811E-3</v>
      </c>
      <c r="R344" s="310">
        <f ca="1">'A-13'!H$67</f>
        <v>1.0717314774492531E-3</v>
      </c>
      <c r="S344" s="310">
        <f ca="1">'A-13'!I$67</f>
        <v>1.0951979562577052E-3</v>
      </c>
    </row>
    <row r="345" spans="1:19" s="759" customFormat="1">
      <c r="B345" s="249"/>
      <c r="C345" s="13" t="s">
        <v>575</v>
      </c>
      <c r="D345" s="312">
        <f>'I-4 History'!D341</f>
        <v>0</v>
      </c>
      <c r="E345" s="312">
        <f>'I-4 History'!E341</f>
        <v>0</v>
      </c>
      <c r="F345" s="312">
        <f>'I-4 History'!F341</f>
        <v>0</v>
      </c>
      <c r="G345" s="312">
        <f>'I-4 History'!G341</f>
        <v>0</v>
      </c>
      <c r="H345" s="312">
        <f>'I-4 History'!H341</f>
        <v>0</v>
      </c>
      <c r="I345" s="312">
        <f>'I-4 History'!I341</f>
        <v>0</v>
      </c>
      <c r="J345" s="312">
        <f>'I-4 History'!J341</f>
        <v>0</v>
      </c>
      <c r="K345" s="312">
        <f>'I-4 History'!K341</f>
        <v>0</v>
      </c>
      <c r="L345" s="310">
        <f ca="1">'A-13'!B$68</f>
        <v>0</v>
      </c>
      <c r="M345" s="835">
        <f ca="1">'A-13'!C$68</f>
        <v>0</v>
      </c>
      <c r="N345" s="312">
        <f ca="1">'A-13'!D$68</f>
        <v>0</v>
      </c>
      <c r="O345" s="310">
        <f ca="1">'A-13'!E$68</f>
        <v>0</v>
      </c>
      <c r="P345" s="310">
        <f ca="1">'A-13'!F$68</f>
        <v>0</v>
      </c>
      <c r="Q345" s="310">
        <f ca="1">'A-13'!G$68</f>
        <v>0</v>
      </c>
      <c r="R345" s="310">
        <f ca="1">'A-13'!H$68</f>
        <v>0</v>
      </c>
      <c r="S345" s="310">
        <f ca="1">'A-13'!I$68</f>
        <v>0</v>
      </c>
    </row>
    <row r="346" spans="1:19">
      <c r="B346" s="249"/>
      <c r="C346" s="13" t="s">
        <v>70</v>
      </c>
      <c r="D346" s="312">
        <f>'I-4 History'!D342</f>
        <v>0</v>
      </c>
      <c r="E346" s="312">
        <f>'I-4 History'!E342</f>
        <v>0</v>
      </c>
      <c r="F346" s="312">
        <f>'I-4 History'!F342</f>
        <v>0</v>
      </c>
      <c r="G346" s="312">
        <f>'I-4 History'!G342</f>
        <v>0</v>
      </c>
      <c r="H346" s="312">
        <f>'I-4 History'!H342</f>
        <v>0</v>
      </c>
      <c r="I346" s="312">
        <f>'I-4 History'!I342</f>
        <v>0</v>
      </c>
      <c r="J346" s="312">
        <f>'I-4 History'!J342</f>
        <v>0</v>
      </c>
      <c r="K346" s="312">
        <f>'I-4 History'!K342</f>
        <v>0</v>
      </c>
      <c r="L346" s="310">
        <f ca="1">'A-13'!B$69</f>
        <v>0</v>
      </c>
      <c r="M346" s="835">
        <f ca="1">'A-13'!C$69</f>
        <v>0</v>
      </c>
      <c r="N346" s="312">
        <f ca="1">'A-13'!D$69</f>
        <v>0</v>
      </c>
      <c r="O346" s="310">
        <f ca="1">'A-13'!E$69</f>
        <v>0</v>
      </c>
      <c r="P346" s="310">
        <f ca="1">'A-13'!F$69</f>
        <v>0</v>
      </c>
      <c r="Q346" s="310">
        <f ca="1">'A-13'!G$69</f>
        <v>0</v>
      </c>
      <c r="R346" s="310">
        <f ca="1">'A-13'!H$69</f>
        <v>0</v>
      </c>
      <c r="S346" s="310">
        <f ca="1">'A-13'!I$69</f>
        <v>0</v>
      </c>
    </row>
    <row r="347" spans="1:19">
      <c r="B347" s="249"/>
      <c r="C347" s="12" t="s">
        <v>75</v>
      </c>
      <c r="D347" s="313">
        <f t="shared" ref="D347:K347" si="79">SUBTOTAL(9,D341:D346)</f>
        <v>0</v>
      </c>
      <c r="E347" s="311">
        <f t="shared" si="79"/>
        <v>0</v>
      </c>
      <c r="F347" s="311">
        <f t="shared" si="79"/>
        <v>0</v>
      </c>
      <c r="G347" s="311">
        <f t="shared" si="79"/>
        <v>0</v>
      </c>
      <c r="H347" s="311">
        <f t="shared" si="79"/>
        <v>0</v>
      </c>
      <c r="I347" s="311">
        <f t="shared" si="79"/>
        <v>0</v>
      </c>
      <c r="J347" s="311">
        <f t="shared" si="79"/>
        <v>0</v>
      </c>
      <c r="K347" s="311">
        <f t="shared" si="79"/>
        <v>0</v>
      </c>
      <c r="L347" s="311">
        <f t="shared" ref="L347:S347" ca="1" si="80">SUBTOTAL(9,L341:L346)</f>
        <v>0</v>
      </c>
      <c r="M347" s="513">
        <f t="shared" ca="1" si="80"/>
        <v>0</v>
      </c>
      <c r="N347" s="313">
        <f t="shared" ca="1" si="80"/>
        <v>0.433</v>
      </c>
      <c r="O347" s="311">
        <f t="shared" ca="1" si="80"/>
        <v>0.44696735888455419</v>
      </c>
      <c r="P347" s="311">
        <f t="shared" ca="1" si="80"/>
        <v>0.46098281080541093</v>
      </c>
      <c r="Q347" s="311">
        <f t="shared" ca="1" si="80"/>
        <v>0.47589179002665843</v>
      </c>
      <c r="R347" s="311">
        <f t="shared" ca="1" si="80"/>
        <v>0.49163086250089577</v>
      </c>
      <c r="S347" s="311">
        <f t="shared" ca="1" si="80"/>
        <v>0.5074128745086629</v>
      </c>
    </row>
    <row r="348" spans="1:19">
      <c r="B348" s="249"/>
      <c r="C348" s="12"/>
      <c r="D348" s="263"/>
      <c r="E348" s="263"/>
      <c r="F348" s="263"/>
      <c r="G348" s="263"/>
      <c r="H348" s="263"/>
      <c r="I348" s="263"/>
      <c r="J348" s="263"/>
      <c r="K348" s="263"/>
      <c r="L348" s="263"/>
      <c r="M348" s="836"/>
      <c r="N348" s="263"/>
      <c r="O348" s="263"/>
      <c r="P348" s="263"/>
      <c r="Q348" s="263"/>
      <c r="R348" s="263"/>
      <c r="S348" s="263"/>
    </row>
    <row r="349" spans="1:19">
      <c r="A349" s="5"/>
      <c r="B349" s="249" t="str">
        <f ca="1">+'I-4 History'!B345</f>
        <v>A-14</v>
      </c>
      <c r="C349" s="14" t="str">
        <f ca="1">+'I-4 History'!C345</f>
        <v>Payroll</v>
      </c>
      <c r="D349" s="11"/>
      <c r="E349" s="11"/>
      <c r="F349" s="11"/>
      <c r="G349" s="11"/>
      <c r="H349" s="11"/>
      <c r="I349" s="11"/>
      <c r="J349" s="11"/>
      <c r="K349" s="11"/>
      <c r="L349" s="11"/>
      <c r="M349" s="507"/>
      <c r="N349" s="11"/>
      <c r="O349" s="11"/>
      <c r="P349" s="11"/>
      <c r="Q349" s="11"/>
      <c r="R349" s="11"/>
      <c r="S349" s="11"/>
    </row>
    <row r="350" spans="1:19">
      <c r="A350" s="5"/>
      <c r="B350" s="249"/>
      <c r="C350" s="13" t="s">
        <v>68</v>
      </c>
      <c r="D350" s="312">
        <f>'I-4 History'!D346</f>
        <v>0</v>
      </c>
      <c r="E350" s="312">
        <f>'I-4 History'!E346</f>
        <v>0</v>
      </c>
      <c r="F350" s="312">
        <f>'I-4 History'!F346</f>
        <v>0</v>
      </c>
      <c r="G350" s="312">
        <f>'I-4 History'!G346</f>
        <v>0</v>
      </c>
      <c r="H350" s="312">
        <f>'I-4 History'!H346</f>
        <v>0</v>
      </c>
      <c r="I350" s="312">
        <f>'I-4 History'!I346</f>
        <v>0</v>
      </c>
      <c r="J350" s="312">
        <f>'I-4 History'!J346</f>
        <v>0</v>
      </c>
      <c r="K350" s="312">
        <f>'I-4 History'!K346</f>
        <v>0</v>
      </c>
      <c r="L350" s="310">
        <f ca="1">'A-14'!B$64</f>
        <v>0</v>
      </c>
      <c r="M350" s="835">
        <f ca="1">'A-14'!C$64</f>
        <v>0</v>
      </c>
      <c r="N350" s="312">
        <f ca="1">'A-14'!D$64</f>
        <v>0.40500000000000003</v>
      </c>
      <c r="O350" s="310">
        <f ca="1">'A-14'!E$64</f>
        <v>0.41807971488420148</v>
      </c>
      <c r="P350" s="310">
        <f ca="1">'A-14'!F$64</f>
        <v>0.43120513114622933</v>
      </c>
      <c r="Q350" s="310">
        <f ca="1">'A-14'!G$64</f>
        <v>0.44516431822713309</v>
      </c>
      <c r="R350" s="310">
        <f ca="1">'A-14'!H$64</f>
        <v>0.45989918533448115</v>
      </c>
      <c r="S350" s="310">
        <f ca="1">'A-14'!I$64</f>
        <v>0.47467282176787995</v>
      </c>
    </row>
    <row r="351" spans="1:19">
      <c r="A351" s="5"/>
      <c r="B351" s="249"/>
      <c r="C351" s="13" t="s">
        <v>69</v>
      </c>
      <c r="D351" s="312">
        <f>'I-4 History'!D347</f>
        <v>0</v>
      </c>
      <c r="E351" s="312">
        <f>'I-4 History'!E347</f>
        <v>0</v>
      </c>
      <c r="F351" s="312">
        <f>'I-4 History'!F347</f>
        <v>0</v>
      </c>
      <c r="G351" s="312">
        <f>'I-4 History'!G347</f>
        <v>0</v>
      </c>
      <c r="H351" s="312">
        <f>'I-4 History'!H347</f>
        <v>0</v>
      </c>
      <c r="I351" s="312">
        <f>'I-4 History'!I347</f>
        <v>0</v>
      </c>
      <c r="J351" s="312">
        <f>'I-4 History'!J347</f>
        <v>0</v>
      </c>
      <c r="K351" s="312">
        <f>'I-4 History'!K347</f>
        <v>0</v>
      </c>
      <c r="L351" s="310">
        <f ca="1">'A-14'!B$65</f>
        <v>0</v>
      </c>
      <c r="M351" s="835">
        <f ca="1">'A-14'!C$65</f>
        <v>0</v>
      </c>
      <c r="N351" s="312">
        <f ca="1">'A-14'!D$65</f>
        <v>2E-3</v>
      </c>
      <c r="O351" s="310">
        <f ca="1">'A-14'!E$65</f>
        <v>2.0212199165624703E-3</v>
      </c>
      <c r="P351" s="310">
        <f ca="1">'A-14'!F$65</f>
        <v>2.0408819902472237E-3</v>
      </c>
      <c r="Q351" s="310">
        <f ca="1">'A-14'!G$65</f>
        <v>2.0603177317524259E-3</v>
      </c>
      <c r="R351" s="310">
        <f ca="1">'A-14'!H$65</f>
        <v>2.0814039502939914E-3</v>
      </c>
      <c r="S351" s="310">
        <f ca="1">'A-14'!I$65</f>
        <v>2.1007190842880002E-3</v>
      </c>
    </row>
    <row r="352" spans="1:19" s="759" customFormat="1">
      <c r="A352" s="5"/>
      <c r="B352" s="249"/>
      <c r="C352" s="13" t="s">
        <v>646</v>
      </c>
      <c r="D352" s="312">
        <f>'I-4 History'!D348</f>
        <v>0</v>
      </c>
      <c r="E352" s="312">
        <f>'I-4 History'!E348</f>
        <v>0</v>
      </c>
      <c r="F352" s="312">
        <f>'I-4 History'!F348</f>
        <v>0</v>
      </c>
      <c r="G352" s="312">
        <f>'I-4 History'!G348</f>
        <v>0</v>
      </c>
      <c r="H352" s="312">
        <f>'I-4 History'!H348</f>
        <v>0</v>
      </c>
      <c r="I352" s="312">
        <f>'I-4 History'!I348</f>
        <v>0</v>
      </c>
      <c r="J352" s="312">
        <f>'I-4 History'!J348</f>
        <v>0</v>
      </c>
      <c r="K352" s="312">
        <f>'I-4 History'!K348</f>
        <v>0</v>
      </c>
      <c r="L352" s="310">
        <f ca="1">'A-14'!B$66</f>
        <v>0</v>
      </c>
      <c r="M352" s="835">
        <f ca="1">'A-14'!C$66</f>
        <v>0</v>
      </c>
      <c r="N352" s="312">
        <f ca="1">'A-14'!D$66</f>
        <v>0</v>
      </c>
      <c r="O352" s="310">
        <f ca="1">'A-14'!E$66</f>
        <v>0</v>
      </c>
      <c r="P352" s="310">
        <f ca="1">'A-14'!F$66</f>
        <v>0</v>
      </c>
      <c r="Q352" s="310">
        <f ca="1">'A-14'!G$66</f>
        <v>0</v>
      </c>
      <c r="R352" s="310">
        <f ca="1">'A-14'!H$66</f>
        <v>0</v>
      </c>
      <c r="S352" s="310">
        <f ca="1">'A-14'!I$66</f>
        <v>0</v>
      </c>
    </row>
    <row r="353" spans="1:19">
      <c r="A353" s="5"/>
      <c r="B353" s="249"/>
      <c r="C353" s="13" t="s">
        <v>647</v>
      </c>
      <c r="D353" s="312">
        <f>'I-4 History'!D349</f>
        <v>0</v>
      </c>
      <c r="E353" s="312">
        <f>'I-4 History'!E349</f>
        <v>0</v>
      </c>
      <c r="F353" s="312">
        <f>'I-4 History'!F349</f>
        <v>0</v>
      </c>
      <c r="G353" s="312">
        <f>'I-4 History'!G349</f>
        <v>0</v>
      </c>
      <c r="H353" s="312">
        <f>'I-4 History'!H349</f>
        <v>0</v>
      </c>
      <c r="I353" s="312">
        <f>'I-4 History'!I349</f>
        <v>0</v>
      </c>
      <c r="J353" s="312">
        <f>'I-4 History'!J349</f>
        <v>0</v>
      </c>
      <c r="K353" s="312">
        <f>'I-4 History'!K349</f>
        <v>0</v>
      </c>
      <c r="L353" s="310">
        <f ca="1">'A-14'!B$67</f>
        <v>0</v>
      </c>
      <c r="M353" s="835">
        <f ca="1">'A-14'!C$67</f>
        <v>0</v>
      </c>
      <c r="N353" s="312">
        <f ca="1">'A-14'!D$67</f>
        <v>8.9999999999999993E-3</v>
      </c>
      <c r="O353" s="310">
        <f ca="1">'A-14'!E$67</f>
        <v>9.14096707265377E-3</v>
      </c>
      <c r="P353" s="310">
        <f ca="1">'A-14'!F$67</f>
        <v>9.2760382448975314E-3</v>
      </c>
      <c r="Q353" s="310">
        <f ca="1">'A-14'!G$67</f>
        <v>9.4486552594486278E-3</v>
      </c>
      <c r="R353" s="310">
        <f ca="1">'A-14'!H$67</f>
        <v>9.6455832970432764E-3</v>
      </c>
      <c r="S353" s="310">
        <f ca="1">'A-14'!I$67</f>
        <v>9.8567816063193474E-3</v>
      </c>
    </row>
    <row r="354" spans="1:19" s="759" customFormat="1">
      <c r="A354" s="5"/>
      <c r="B354" s="249"/>
      <c r="C354" s="13" t="s">
        <v>575</v>
      </c>
      <c r="D354" s="312">
        <f>'I-4 History'!D350</f>
        <v>0</v>
      </c>
      <c r="E354" s="312">
        <f>'I-4 History'!E350</f>
        <v>0</v>
      </c>
      <c r="F354" s="312">
        <f>'I-4 History'!F350</f>
        <v>0</v>
      </c>
      <c r="G354" s="312">
        <f>'I-4 History'!G350</f>
        <v>0</v>
      </c>
      <c r="H354" s="312">
        <f>'I-4 History'!H350</f>
        <v>0</v>
      </c>
      <c r="I354" s="312">
        <f>'I-4 History'!I350</f>
        <v>0</v>
      </c>
      <c r="J354" s="312">
        <f>'I-4 History'!J350</f>
        <v>0</v>
      </c>
      <c r="K354" s="312">
        <f>'I-4 History'!K350</f>
        <v>0</v>
      </c>
      <c r="L354" s="310">
        <f ca="1">'A-14'!B$68</f>
        <v>0</v>
      </c>
      <c r="M354" s="835">
        <f ca="1">'A-14'!C$68</f>
        <v>0</v>
      </c>
      <c r="N354" s="312">
        <f ca="1">'A-14'!D$68</f>
        <v>0</v>
      </c>
      <c r="O354" s="310">
        <f ca="1">'A-14'!E$68</f>
        <v>0</v>
      </c>
      <c r="P354" s="310">
        <f ca="1">'A-14'!F$68</f>
        <v>0</v>
      </c>
      <c r="Q354" s="310">
        <f ca="1">'A-14'!G$68</f>
        <v>0</v>
      </c>
      <c r="R354" s="310">
        <f ca="1">'A-14'!H$68</f>
        <v>0</v>
      </c>
      <c r="S354" s="310">
        <f ca="1">'A-14'!I$68</f>
        <v>0</v>
      </c>
    </row>
    <row r="355" spans="1:19">
      <c r="A355" s="5"/>
      <c r="B355" s="249"/>
      <c r="C355" s="13" t="s">
        <v>70</v>
      </c>
      <c r="D355" s="312">
        <f>'I-4 History'!D351</f>
        <v>0</v>
      </c>
      <c r="E355" s="312">
        <f>'I-4 History'!E351</f>
        <v>0</v>
      </c>
      <c r="F355" s="312">
        <f>'I-4 History'!F351</f>
        <v>0</v>
      </c>
      <c r="G355" s="312">
        <f>'I-4 History'!G351</f>
        <v>0</v>
      </c>
      <c r="H355" s="312">
        <f>'I-4 History'!H351</f>
        <v>0</v>
      </c>
      <c r="I355" s="312">
        <f>'I-4 History'!I351</f>
        <v>0</v>
      </c>
      <c r="J355" s="312">
        <f>'I-4 History'!J351</f>
        <v>0</v>
      </c>
      <c r="K355" s="312">
        <f>'I-4 History'!K351</f>
        <v>0</v>
      </c>
      <c r="L355" s="310">
        <f ca="1">'A-14'!B$69</f>
        <v>0</v>
      </c>
      <c r="M355" s="835">
        <f ca="1">'A-14'!C$69</f>
        <v>0</v>
      </c>
      <c r="N355" s="312">
        <f ca="1">'A-14'!D$69</f>
        <v>0</v>
      </c>
      <c r="O355" s="310">
        <f ca="1">'A-14'!E$69</f>
        <v>0</v>
      </c>
      <c r="P355" s="310">
        <f ca="1">'A-14'!F$69</f>
        <v>0</v>
      </c>
      <c r="Q355" s="310">
        <f ca="1">'A-14'!G$69</f>
        <v>0</v>
      </c>
      <c r="R355" s="310">
        <f ca="1">'A-14'!H$69</f>
        <v>0</v>
      </c>
      <c r="S355" s="310">
        <f ca="1">'A-14'!I$69</f>
        <v>0</v>
      </c>
    </row>
    <row r="356" spans="1:19">
      <c r="A356" s="5"/>
      <c r="B356" s="249"/>
      <c r="C356" s="12" t="s">
        <v>75</v>
      </c>
      <c r="D356" s="313">
        <f t="shared" ref="D356:K356" si="81">SUBTOTAL(9,D350:D355)</f>
        <v>0</v>
      </c>
      <c r="E356" s="311">
        <f t="shared" si="81"/>
        <v>0</v>
      </c>
      <c r="F356" s="311">
        <f t="shared" si="81"/>
        <v>0</v>
      </c>
      <c r="G356" s="311">
        <f t="shared" si="81"/>
        <v>0</v>
      </c>
      <c r="H356" s="311">
        <f t="shared" si="81"/>
        <v>0</v>
      </c>
      <c r="I356" s="311">
        <f t="shared" si="81"/>
        <v>0</v>
      </c>
      <c r="J356" s="311">
        <f t="shared" si="81"/>
        <v>0</v>
      </c>
      <c r="K356" s="311">
        <f t="shared" si="81"/>
        <v>0</v>
      </c>
      <c r="L356" s="311">
        <f t="shared" ref="L356:S356" ca="1" si="82">SUBTOTAL(9,L350:L355)</f>
        <v>0</v>
      </c>
      <c r="M356" s="513">
        <f t="shared" ca="1" si="82"/>
        <v>0</v>
      </c>
      <c r="N356" s="313">
        <f t="shared" ca="1" si="82"/>
        <v>0.41600000000000004</v>
      </c>
      <c r="O356" s="311">
        <f t="shared" ca="1" si="82"/>
        <v>0.42924190187341771</v>
      </c>
      <c r="P356" s="311">
        <f t="shared" ca="1" si="82"/>
        <v>0.44252205138137407</v>
      </c>
      <c r="Q356" s="311">
        <f t="shared" ca="1" si="82"/>
        <v>0.45667329121833411</v>
      </c>
      <c r="R356" s="311">
        <f t="shared" ca="1" si="82"/>
        <v>0.47162617258181844</v>
      </c>
      <c r="S356" s="311">
        <f t="shared" ca="1" si="82"/>
        <v>0.48663032245848731</v>
      </c>
    </row>
    <row r="357" spans="1:19">
      <c r="A357" s="5"/>
      <c r="B357" s="249"/>
      <c r="C357" s="12"/>
      <c r="D357" s="263"/>
      <c r="E357" s="263"/>
      <c r="F357" s="263"/>
      <c r="G357" s="263"/>
      <c r="H357" s="263"/>
      <c r="I357" s="263"/>
      <c r="J357" s="263"/>
      <c r="K357" s="263"/>
      <c r="L357" s="263"/>
      <c r="M357" s="836"/>
      <c r="N357" s="263"/>
      <c r="O357" s="263"/>
      <c r="P357" s="263"/>
      <c r="Q357" s="263"/>
      <c r="R357" s="263"/>
      <c r="S357" s="263"/>
    </row>
    <row r="358" spans="1:19">
      <c r="A358" s="5"/>
      <c r="B358" s="249" t="str">
        <f ca="1">+'I-4 History'!B354</f>
        <v>A-15</v>
      </c>
      <c r="C358" s="14" t="str">
        <f ca="1">+'I-4 History'!C354</f>
        <v>Purchasing and Contracts</v>
      </c>
      <c r="D358" s="11"/>
      <c r="E358" s="11"/>
      <c r="F358" s="11"/>
      <c r="G358" s="11"/>
      <c r="H358" s="11"/>
      <c r="I358" s="11"/>
      <c r="J358" s="11"/>
      <c r="K358" s="11"/>
      <c r="L358" s="11"/>
      <c r="M358" s="507"/>
      <c r="N358" s="11"/>
      <c r="O358" s="11"/>
      <c r="P358" s="11"/>
      <c r="Q358" s="11"/>
      <c r="R358" s="11"/>
      <c r="S358" s="11"/>
    </row>
    <row r="359" spans="1:19">
      <c r="A359" s="5"/>
      <c r="B359" s="249"/>
      <c r="C359" s="13" t="s">
        <v>68</v>
      </c>
      <c r="D359" s="312">
        <f>'I-4 History'!D355</f>
        <v>0</v>
      </c>
      <c r="E359" s="312">
        <f>'I-4 History'!E355</f>
        <v>0</v>
      </c>
      <c r="F359" s="312">
        <f>'I-4 History'!F355</f>
        <v>0</v>
      </c>
      <c r="G359" s="312">
        <f>'I-4 History'!G355</f>
        <v>0</v>
      </c>
      <c r="H359" s="312">
        <f>'I-4 History'!H355</f>
        <v>0</v>
      </c>
      <c r="I359" s="312">
        <f>'I-4 History'!I355</f>
        <v>0</v>
      </c>
      <c r="J359" s="312">
        <f>'I-4 History'!J355</f>
        <v>0</v>
      </c>
      <c r="K359" s="312">
        <f>'I-4 History'!K355</f>
        <v>0</v>
      </c>
      <c r="L359" s="310">
        <f ca="1">'A-15'!B$64</f>
        <v>0</v>
      </c>
      <c r="M359" s="835">
        <f ca="1">'A-15'!C$64</f>
        <v>0</v>
      </c>
      <c r="N359" s="312">
        <f ca="1">'A-15'!D$64</f>
        <v>3.3239999999999998</v>
      </c>
      <c r="O359" s="310">
        <f ca="1">'A-15'!E$64</f>
        <v>3.4313505488273717</v>
      </c>
      <c r="P359" s="310">
        <f ca="1">'A-15'!F$64</f>
        <v>3.5390761874816441</v>
      </c>
      <c r="Q359" s="310">
        <f ca="1">'A-15'!G$64</f>
        <v>3.6536449229308396</v>
      </c>
      <c r="R359" s="310">
        <f ca="1">'A-15'!H$64</f>
        <v>3.7745799803748517</v>
      </c>
      <c r="S359" s="310">
        <f ca="1">'A-15'!I$64</f>
        <v>3.8958332334726733</v>
      </c>
    </row>
    <row r="360" spans="1:19">
      <c r="A360" s="5"/>
      <c r="B360" s="249"/>
      <c r="C360" s="13" t="s">
        <v>69</v>
      </c>
      <c r="D360" s="312">
        <f>'I-4 History'!D356</f>
        <v>0</v>
      </c>
      <c r="E360" s="312">
        <f>'I-4 History'!E356</f>
        <v>0</v>
      </c>
      <c r="F360" s="312">
        <f>'I-4 History'!F356</f>
        <v>0</v>
      </c>
      <c r="G360" s="312">
        <f>'I-4 History'!G356</f>
        <v>0</v>
      </c>
      <c r="H360" s="312">
        <f>'I-4 History'!H356</f>
        <v>0</v>
      </c>
      <c r="I360" s="312">
        <f>'I-4 History'!I356</f>
        <v>0</v>
      </c>
      <c r="J360" s="312">
        <f>'I-4 History'!J356</f>
        <v>0</v>
      </c>
      <c r="K360" s="312">
        <f>'I-4 History'!K356</f>
        <v>0</v>
      </c>
      <c r="L360" s="310">
        <f ca="1">'A-15'!B$65</f>
        <v>0</v>
      </c>
      <c r="M360" s="835">
        <f ca="1">'A-15'!C$65</f>
        <v>0</v>
      </c>
      <c r="N360" s="312">
        <f ca="1">'A-15'!D$65</f>
        <v>-1.2E-2</v>
      </c>
      <c r="O360" s="310">
        <f ca="1">'A-15'!E$65</f>
        <v>-1.2127319499374822E-2</v>
      </c>
      <c r="P360" s="310">
        <f ca="1">'A-15'!F$65</f>
        <v>-1.2245291941483341E-2</v>
      </c>
      <c r="Q360" s="310">
        <f ca="1">'A-15'!G$65</f>
        <v>-1.2361906390514555E-2</v>
      </c>
      <c r="R360" s="310">
        <f ca="1">'A-15'!H$65</f>
        <v>-1.2488423701763949E-2</v>
      </c>
      <c r="S360" s="310">
        <f ca="1">'A-15'!I$65</f>
        <v>-1.2604314505728003E-2</v>
      </c>
    </row>
    <row r="361" spans="1:19" s="759" customFormat="1">
      <c r="A361" s="5"/>
      <c r="B361" s="249"/>
      <c r="C361" s="13" t="s">
        <v>646</v>
      </c>
      <c r="D361" s="312">
        <f>'I-4 History'!D357</f>
        <v>0</v>
      </c>
      <c r="E361" s="312">
        <f>'I-4 History'!E357</f>
        <v>0</v>
      </c>
      <c r="F361" s="312">
        <f>'I-4 History'!F357</f>
        <v>0</v>
      </c>
      <c r="G361" s="312">
        <f>'I-4 History'!G357</f>
        <v>0</v>
      </c>
      <c r="H361" s="312">
        <f>'I-4 History'!H357</f>
        <v>0</v>
      </c>
      <c r="I361" s="312">
        <f>'I-4 History'!I357</f>
        <v>0</v>
      </c>
      <c r="J361" s="312">
        <f>'I-4 History'!J357</f>
        <v>0</v>
      </c>
      <c r="K361" s="312">
        <f>'I-4 History'!K357</f>
        <v>0</v>
      </c>
      <c r="L361" s="310">
        <f ca="1">'A-15'!B$66</f>
        <v>0</v>
      </c>
      <c r="M361" s="835">
        <f ca="1">'A-15'!C$66</f>
        <v>0</v>
      </c>
      <c r="N361" s="312">
        <f ca="1">'A-15'!D$66</f>
        <v>3.1E-2</v>
      </c>
      <c r="O361" s="310">
        <f ca="1">'A-15'!E$66</f>
        <v>3.1485553250251881E-2</v>
      </c>
      <c r="P361" s="310">
        <f ca="1">'A-15'!F$66</f>
        <v>3.1950798399091498E-2</v>
      </c>
      <c r="Q361" s="310">
        <f ca="1">'A-15'!G$66</f>
        <v>3.254536811587861E-2</v>
      </c>
      <c r="R361" s="310">
        <f ca="1">'A-15'!H$66</f>
        <v>3.3223675800926847E-2</v>
      </c>
      <c r="S361" s="310">
        <f ca="1">'A-15'!I$66</f>
        <v>3.3951136643988862E-2</v>
      </c>
    </row>
    <row r="362" spans="1:19">
      <c r="A362" s="5"/>
      <c r="B362" s="249"/>
      <c r="C362" s="13" t="s">
        <v>647</v>
      </c>
      <c r="D362" s="312">
        <f>'I-4 History'!D358</f>
        <v>0</v>
      </c>
      <c r="E362" s="312">
        <f>'I-4 History'!E358</f>
        <v>0</v>
      </c>
      <c r="F362" s="312">
        <f>'I-4 History'!F358</f>
        <v>0</v>
      </c>
      <c r="G362" s="312">
        <f>'I-4 History'!G358</f>
        <v>0</v>
      </c>
      <c r="H362" s="312">
        <f>'I-4 History'!H358</f>
        <v>0</v>
      </c>
      <c r="I362" s="312">
        <f>'I-4 History'!I358</f>
        <v>0</v>
      </c>
      <c r="J362" s="312">
        <f>'I-4 History'!J358</f>
        <v>0</v>
      </c>
      <c r="K362" s="312">
        <f>'I-4 History'!K358</f>
        <v>0</v>
      </c>
      <c r="L362" s="310">
        <f ca="1">'A-15'!B$67</f>
        <v>0</v>
      </c>
      <c r="M362" s="835">
        <f ca="1">'A-15'!C$67</f>
        <v>0</v>
      </c>
      <c r="N362" s="312">
        <f ca="1">'A-15'!D$67</f>
        <v>0.151</v>
      </c>
      <c r="O362" s="310">
        <f ca="1">'A-15'!E$67</f>
        <v>0.15336511421896881</v>
      </c>
      <c r="P362" s="310">
        <f ca="1">'A-15'!F$67</f>
        <v>0.15563130833105857</v>
      </c>
      <c r="Q362" s="310">
        <f ca="1">'A-15'!G$67</f>
        <v>0.15852743824186033</v>
      </c>
      <c r="R362" s="310">
        <f ca="1">'A-15'!H$67</f>
        <v>0.16183145309483724</v>
      </c>
      <c r="S362" s="310">
        <f ca="1">'A-15'!I$67</f>
        <v>0.16537489139491349</v>
      </c>
    </row>
    <row r="363" spans="1:19" s="759" customFormat="1">
      <c r="A363" s="5"/>
      <c r="B363" s="249"/>
      <c r="C363" s="13" t="s">
        <v>575</v>
      </c>
      <c r="D363" s="312">
        <f>'I-4 History'!D359</f>
        <v>0</v>
      </c>
      <c r="E363" s="312">
        <f>'I-4 History'!E359</f>
        <v>0</v>
      </c>
      <c r="F363" s="312">
        <f>'I-4 History'!F359</f>
        <v>0</v>
      </c>
      <c r="G363" s="312">
        <f>'I-4 History'!G359</f>
        <v>0</v>
      </c>
      <c r="H363" s="312">
        <f>'I-4 History'!H359</f>
        <v>0</v>
      </c>
      <c r="I363" s="312">
        <f>'I-4 History'!I359</f>
        <v>0</v>
      </c>
      <c r="J363" s="312">
        <f>'I-4 History'!J359</f>
        <v>0</v>
      </c>
      <c r="K363" s="312">
        <f>'I-4 History'!K359</f>
        <v>0</v>
      </c>
      <c r="L363" s="310">
        <f ca="1">'A-15'!B$68</f>
        <v>0</v>
      </c>
      <c r="M363" s="835">
        <f ca="1">'A-15'!C$68</f>
        <v>0</v>
      </c>
      <c r="N363" s="312">
        <f ca="1">'A-15'!D$68</f>
        <v>0</v>
      </c>
      <c r="O363" s="310">
        <f ca="1">'A-15'!E$68</f>
        <v>0</v>
      </c>
      <c r="P363" s="310">
        <f ca="1">'A-15'!F$68</f>
        <v>0</v>
      </c>
      <c r="Q363" s="310">
        <f ca="1">'A-15'!G$68</f>
        <v>0</v>
      </c>
      <c r="R363" s="310">
        <f ca="1">'A-15'!H$68</f>
        <v>0</v>
      </c>
      <c r="S363" s="310">
        <f ca="1">'A-15'!I$68</f>
        <v>0</v>
      </c>
    </row>
    <row r="364" spans="1:19">
      <c r="A364" s="5"/>
      <c r="B364" s="249"/>
      <c r="C364" s="13" t="s">
        <v>70</v>
      </c>
      <c r="D364" s="312">
        <f>'I-4 History'!D360</f>
        <v>0</v>
      </c>
      <c r="E364" s="312">
        <f>'I-4 History'!E360</f>
        <v>0</v>
      </c>
      <c r="F364" s="312">
        <f>'I-4 History'!F360</f>
        <v>0</v>
      </c>
      <c r="G364" s="312">
        <f>'I-4 History'!G360</f>
        <v>0</v>
      </c>
      <c r="H364" s="312">
        <f>'I-4 History'!H360</f>
        <v>0</v>
      </c>
      <c r="I364" s="312">
        <f>'I-4 History'!I360</f>
        <v>0</v>
      </c>
      <c r="J364" s="312">
        <f>'I-4 History'!J360</f>
        <v>0</v>
      </c>
      <c r="K364" s="312">
        <f>'I-4 History'!K360</f>
        <v>0</v>
      </c>
      <c r="L364" s="310">
        <f ca="1">'A-15'!B$69</f>
        <v>0</v>
      </c>
      <c r="M364" s="835">
        <f ca="1">'A-15'!C$69</f>
        <v>0</v>
      </c>
      <c r="N364" s="312">
        <f ca="1">'A-15'!D$69</f>
        <v>0</v>
      </c>
      <c r="O364" s="310">
        <f ca="1">'A-15'!E$69</f>
        <v>0</v>
      </c>
      <c r="P364" s="310">
        <f ca="1">'A-15'!F$69</f>
        <v>0</v>
      </c>
      <c r="Q364" s="310">
        <f ca="1">'A-15'!G$69</f>
        <v>0</v>
      </c>
      <c r="R364" s="310">
        <f ca="1">'A-15'!H$69</f>
        <v>0</v>
      </c>
      <c r="S364" s="310">
        <f ca="1">'A-15'!I$69</f>
        <v>0</v>
      </c>
    </row>
    <row r="365" spans="1:19">
      <c r="A365" s="5"/>
      <c r="B365" s="249"/>
      <c r="C365" s="12" t="s">
        <v>75</v>
      </c>
      <c r="D365" s="313">
        <f t="shared" ref="D365:K365" si="83">SUBTOTAL(9,D359:D364)</f>
        <v>0</v>
      </c>
      <c r="E365" s="311">
        <f t="shared" si="83"/>
        <v>0</v>
      </c>
      <c r="F365" s="311">
        <f t="shared" si="83"/>
        <v>0</v>
      </c>
      <c r="G365" s="311">
        <f t="shared" si="83"/>
        <v>0</v>
      </c>
      <c r="H365" s="311">
        <f t="shared" si="83"/>
        <v>0</v>
      </c>
      <c r="I365" s="311">
        <f t="shared" si="83"/>
        <v>0</v>
      </c>
      <c r="J365" s="311">
        <f t="shared" si="83"/>
        <v>0</v>
      </c>
      <c r="K365" s="311">
        <f t="shared" si="83"/>
        <v>0</v>
      </c>
      <c r="L365" s="311">
        <f t="shared" ref="L365:S365" ca="1" si="84">SUBTOTAL(9,L359:L364)</f>
        <v>0</v>
      </c>
      <c r="M365" s="513">
        <f t="shared" ca="1" si="84"/>
        <v>0</v>
      </c>
      <c r="N365" s="313">
        <f t="shared" ca="1" si="84"/>
        <v>3.4939999999999998</v>
      </c>
      <c r="O365" s="311">
        <f t="shared" ca="1" si="84"/>
        <v>3.6040738967972175</v>
      </c>
      <c r="P365" s="311">
        <f t="shared" ca="1" si="84"/>
        <v>3.7144130022703106</v>
      </c>
      <c r="Q365" s="311">
        <f t="shared" ca="1" si="84"/>
        <v>3.8323558228980641</v>
      </c>
      <c r="R365" s="311">
        <f t="shared" ca="1" si="84"/>
        <v>3.9571466855688517</v>
      </c>
      <c r="S365" s="311">
        <f t="shared" ca="1" si="84"/>
        <v>4.082554947005848</v>
      </c>
    </row>
    <row r="366" spans="1:19">
      <c r="A366" s="5"/>
      <c r="B366" s="249"/>
      <c r="C366" s="12"/>
      <c r="D366" s="313"/>
      <c r="E366" s="311"/>
      <c r="F366" s="311"/>
      <c r="G366" s="311"/>
      <c r="H366" s="311"/>
      <c r="I366" s="311"/>
      <c r="J366" s="311"/>
      <c r="K366" s="311"/>
      <c r="L366" s="311"/>
      <c r="M366" s="513"/>
      <c r="N366" s="313"/>
      <c r="O366" s="311"/>
      <c r="P366" s="311"/>
      <c r="Q366" s="311"/>
      <c r="R366" s="311"/>
      <c r="S366" s="311"/>
    </row>
    <row r="367" spans="1:19">
      <c r="A367" s="5"/>
      <c r="B367" s="249" t="str">
        <f ca="1">+'I-4 History'!B363</f>
        <v>A-16</v>
      </c>
      <c r="C367" s="14" t="str">
        <f ca="1">+'I-4 History'!C363</f>
        <v>Finance - Adjustments</v>
      </c>
      <c r="D367" s="11"/>
      <c r="E367" s="11"/>
      <c r="F367" s="11"/>
      <c r="G367" s="11"/>
      <c r="H367" s="11"/>
      <c r="I367" s="11"/>
      <c r="J367" s="11"/>
      <c r="K367" s="11"/>
      <c r="L367" s="11"/>
      <c r="M367" s="507"/>
      <c r="N367" s="11"/>
      <c r="O367" s="11"/>
      <c r="P367" s="11"/>
      <c r="Q367" s="11"/>
      <c r="R367" s="11"/>
      <c r="S367" s="11"/>
    </row>
    <row r="368" spans="1:19">
      <c r="B368" s="249"/>
      <c r="C368" s="13" t="s">
        <v>68</v>
      </c>
      <c r="D368" s="312">
        <f>'I-4 History'!D364</f>
        <v>0</v>
      </c>
      <c r="E368" s="312">
        <f>'I-4 History'!E364</f>
        <v>0</v>
      </c>
      <c r="F368" s="312">
        <f>'I-4 History'!F364</f>
        <v>0</v>
      </c>
      <c r="G368" s="312">
        <f>'I-4 History'!G364</f>
        <v>0</v>
      </c>
      <c r="H368" s="312">
        <f>'I-4 History'!H364</f>
        <v>0</v>
      </c>
      <c r="I368" s="312">
        <f>'I-4 History'!I364</f>
        <v>0</v>
      </c>
      <c r="J368" s="312">
        <f>'I-4 History'!J364</f>
        <v>0</v>
      </c>
      <c r="K368" s="312">
        <f>'I-4 History'!K364</f>
        <v>0</v>
      </c>
      <c r="L368" s="310">
        <f ca="1">'A-16'!B$64</f>
        <v>0</v>
      </c>
      <c r="M368" s="835">
        <f ca="1">'A-16'!C$64</f>
        <v>0</v>
      </c>
      <c r="N368" s="312">
        <f ca="1">'A-16'!D$64</f>
        <v>-3.327</v>
      </c>
      <c r="O368" s="310">
        <f ca="1">'A-16'!E$64</f>
        <v>-3.4344474356042918</v>
      </c>
      <c r="P368" s="310">
        <f ca="1">'A-16'!F$64</f>
        <v>-3.5422702995642092</v>
      </c>
      <c r="Q368" s="310">
        <f ca="1">'A-16'!G$64</f>
        <v>-3.6569424363991891</v>
      </c>
      <c r="R368" s="310">
        <f ca="1">'A-16'!H$64</f>
        <v>-3.7779866410069594</v>
      </c>
      <c r="S368" s="310">
        <f ca="1">'A-16'!I$64</f>
        <v>-3.8993493284487322</v>
      </c>
    </row>
    <row r="369" spans="1:19">
      <c r="B369" s="249"/>
      <c r="C369" s="13" t="s">
        <v>69</v>
      </c>
      <c r="D369" s="312">
        <f>'I-4 History'!D365</f>
        <v>0</v>
      </c>
      <c r="E369" s="312">
        <f>'I-4 History'!E365</f>
        <v>0</v>
      </c>
      <c r="F369" s="312">
        <f>'I-4 History'!F365</f>
        <v>0</v>
      </c>
      <c r="G369" s="312">
        <f>'I-4 History'!G365</f>
        <v>0</v>
      </c>
      <c r="H369" s="312">
        <f>'I-4 History'!H365</f>
        <v>0</v>
      </c>
      <c r="I369" s="312">
        <f>'I-4 History'!I365</f>
        <v>0</v>
      </c>
      <c r="J369" s="312">
        <f>'I-4 History'!J365</f>
        <v>0</v>
      </c>
      <c r="K369" s="312">
        <f>'I-4 History'!K365</f>
        <v>0</v>
      </c>
      <c r="L369" s="310">
        <f ca="1">'A-16'!B$65</f>
        <v>0</v>
      </c>
      <c r="M369" s="835">
        <f ca="1">'A-16'!C$65</f>
        <v>0</v>
      </c>
      <c r="N369" s="312">
        <f ca="1">'A-16'!D$65</f>
        <v>-0.70199999999999996</v>
      </c>
      <c r="O369" s="310">
        <f ca="1">'A-16'!E$65</f>
        <v>-0.70944819071342702</v>
      </c>
      <c r="P369" s="310">
        <f ca="1">'A-16'!F$65</f>
        <v>-0.71634957857677539</v>
      </c>
      <c r="Q369" s="310">
        <f ca="1">'A-16'!G$65</f>
        <v>-0.72317152384510142</v>
      </c>
      <c r="R369" s="310">
        <f ca="1">'A-16'!H$65</f>
        <v>-0.73057278655319091</v>
      </c>
      <c r="S369" s="310">
        <f ca="1">'A-16'!I$65</f>
        <v>-0.73735239858508805</v>
      </c>
    </row>
    <row r="370" spans="1:19" s="759" customFormat="1">
      <c r="B370" s="249"/>
      <c r="C370" s="13" t="s">
        <v>646</v>
      </c>
      <c r="D370" s="312">
        <f>'I-4 History'!D366</f>
        <v>0</v>
      </c>
      <c r="E370" s="312">
        <f>'I-4 History'!E366</f>
        <v>0</v>
      </c>
      <c r="F370" s="312">
        <f>'I-4 History'!F366</f>
        <v>0</v>
      </c>
      <c r="G370" s="312">
        <f>'I-4 History'!G366</f>
        <v>0</v>
      </c>
      <c r="H370" s="312">
        <f>'I-4 History'!H366</f>
        <v>0</v>
      </c>
      <c r="I370" s="312">
        <f>'I-4 History'!I366</f>
        <v>0</v>
      </c>
      <c r="J370" s="312">
        <f>'I-4 History'!J366</f>
        <v>0</v>
      </c>
      <c r="K370" s="312">
        <f>'I-4 History'!K366</f>
        <v>0</v>
      </c>
      <c r="L370" s="310">
        <f ca="1">'A-16'!B$66</f>
        <v>0</v>
      </c>
      <c r="M370" s="835">
        <f ca="1">'A-16'!C$66</f>
        <v>0</v>
      </c>
      <c r="N370" s="312">
        <f ca="1">'A-16'!D$66</f>
        <v>0</v>
      </c>
      <c r="O370" s="310">
        <f ca="1">'A-16'!E$66</f>
        <v>0</v>
      </c>
      <c r="P370" s="310">
        <f ca="1">'A-16'!F$66</f>
        <v>0</v>
      </c>
      <c r="Q370" s="310">
        <f ca="1">'A-16'!G$66</f>
        <v>0</v>
      </c>
      <c r="R370" s="310">
        <f ca="1">'A-16'!H$66</f>
        <v>0</v>
      </c>
      <c r="S370" s="310">
        <f ca="1">'A-16'!I$66</f>
        <v>0</v>
      </c>
    </row>
    <row r="371" spans="1:19">
      <c r="B371" s="249"/>
      <c r="C371" s="13" t="s">
        <v>647</v>
      </c>
      <c r="D371" s="312">
        <f>'I-4 History'!D367</f>
        <v>0</v>
      </c>
      <c r="E371" s="312">
        <f>'I-4 History'!E367</f>
        <v>0</v>
      </c>
      <c r="F371" s="312">
        <f>'I-4 History'!F367</f>
        <v>0</v>
      </c>
      <c r="G371" s="312">
        <f>'I-4 History'!G367</f>
        <v>0</v>
      </c>
      <c r="H371" s="312">
        <f>'I-4 History'!H367</f>
        <v>0</v>
      </c>
      <c r="I371" s="312">
        <f>'I-4 History'!I367</f>
        <v>0</v>
      </c>
      <c r="J371" s="312">
        <f>'I-4 History'!J367</f>
        <v>0</v>
      </c>
      <c r="K371" s="312">
        <f>'I-4 History'!K367</f>
        <v>0</v>
      </c>
      <c r="L371" s="310">
        <f ca="1">'A-16'!B$67</f>
        <v>0</v>
      </c>
      <c r="M371" s="835">
        <f ca="1">'A-16'!C$67</f>
        <v>0</v>
      </c>
      <c r="N371" s="312">
        <f ca="1">'A-16'!D$67</f>
        <v>3.1479999999999997</v>
      </c>
      <c r="O371" s="310">
        <f ca="1">'A-16'!E$67</f>
        <v>3.1973071494126741</v>
      </c>
      <c r="P371" s="310">
        <f ca="1">'A-16'!F$67</f>
        <v>3.2445520438819364</v>
      </c>
      <c r="Q371" s="310">
        <f ca="1">'A-16'!G$67</f>
        <v>3.3049296396382535</v>
      </c>
      <c r="R371" s="310">
        <f ca="1">'A-16'!H$67</f>
        <v>3.3738106910102483</v>
      </c>
      <c r="S371" s="310">
        <f ca="1">'A-16'!I$67</f>
        <v>3.4476831662992558</v>
      </c>
    </row>
    <row r="372" spans="1:19" s="759" customFormat="1">
      <c r="B372" s="249"/>
      <c r="C372" s="13" t="s">
        <v>575</v>
      </c>
      <c r="D372" s="312">
        <f>'I-4 History'!D368</f>
        <v>0</v>
      </c>
      <c r="E372" s="312">
        <f>'I-4 History'!E368</f>
        <v>0</v>
      </c>
      <c r="F372" s="312">
        <f>'I-4 History'!F368</f>
        <v>0</v>
      </c>
      <c r="G372" s="312">
        <f>'I-4 History'!G368</f>
        <v>0</v>
      </c>
      <c r="H372" s="312">
        <f>'I-4 History'!H368</f>
        <v>0</v>
      </c>
      <c r="I372" s="312">
        <f>'I-4 History'!I368</f>
        <v>0</v>
      </c>
      <c r="J372" s="312">
        <f>'I-4 History'!J368</f>
        <v>0</v>
      </c>
      <c r="K372" s="312">
        <f>'I-4 History'!K368</f>
        <v>0</v>
      </c>
      <c r="L372" s="310">
        <f ca="1">'A-16'!B$68</f>
        <v>0</v>
      </c>
      <c r="M372" s="835">
        <f ca="1">'A-16'!C$68</f>
        <v>0</v>
      </c>
      <c r="N372" s="312">
        <f ca="1">'A-16'!D$68</f>
        <v>0</v>
      </c>
      <c r="O372" s="310">
        <f ca="1">'A-16'!E$68</f>
        <v>0</v>
      </c>
      <c r="P372" s="310">
        <f ca="1">'A-16'!F$68</f>
        <v>0</v>
      </c>
      <c r="Q372" s="310">
        <f ca="1">'A-16'!G$68</f>
        <v>0</v>
      </c>
      <c r="R372" s="310">
        <f ca="1">'A-16'!H$68</f>
        <v>0</v>
      </c>
      <c r="S372" s="310">
        <f ca="1">'A-16'!I$68</f>
        <v>0</v>
      </c>
    </row>
    <row r="373" spans="1:19">
      <c r="B373" s="249"/>
      <c r="C373" s="13" t="s">
        <v>70</v>
      </c>
      <c r="D373" s="312">
        <f>'I-4 History'!D369</f>
        <v>0</v>
      </c>
      <c r="E373" s="312">
        <f>'I-4 History'!E369</f>
        <v>0</v>
      </c>
      <c r="F373" s="312">
        <f>'I-4 History'!F369</f>
        <v>0</v>
      </c>
      <c r="G373" s="312">
        <f>'I-4 History'!G369</f>
        <v>0</v>
      </c>
      <c r="H373" s="312">
        <f>'I-4 History'!H369</f>
        <v>0</v>
      </c>
      <c r="I373" s="312">
        <f>'I-4 History'!I369</f>
        <v>0</v>
      </c>
      <c r="J373" s="312">
        <f>'I-4 History'!J369</f>
        <v>0</v>
      </c>
      <c r="K373" s="312">
        <f>'I-4 History'!K369</f>
        <v>0</v>
      </c>
      <c r="L373" s="310">
        <f ca="1">'A-16'!B$69</f>
        <v>0</v>
      </c>
      <c r="M373" s="835">
        <f ca="1">'A-16'!C$69</f>
        <v>0</v>
      </c>
      <c r="N373" s="312">
        <f ca="1">'A-16'!D$69</f>
        <v>0</v>
      </c>
      <c r="O373" s="310">
        <f ca="1">'A-16'!E$69</f>
        <v>0</v>
      </c>
      <c r="P373" s="310">
        <f ca="1">'A-16'!F$69</f>
        <v>0</v>
      </c>
      <c r="Q373" s="310">
        <f ca="1">'A-16'!G$69</f>
        <v>0</v>
      </c>
      <c r="R373" s="310">
        <f ca="1">'A-16'!H$69</f>
        <v>0</v>
      </c>
      <c r="S373" s="310">
        <f ca="1">'A-16'!I$69</f>
        <v>0</v>
      </c>
    </row>
    <row r="374" spans="1:19">
      <c r="B374" s="249"/>
      <c r="C374" s="12" t="s">
        <v>75</v>
      </c>
      <c r="D374" s="313">
        <f t="shared" ref="D374:K374" si="85">SUBTOTAL(9,D368:D373)</f>
        <v>0</v>
      </c>
      <c r="E374" s="311">
        <f t="shared" si="85"/>
        <v>0</v>
      </c>
      <c r="F374" s="311">
        <f t="shared" si="85"/>
        <v>0</v>
      </c>
      <c r="G374" s="311">
        <f t="shared" si="85"/>
        <v>0</v>
      </c>
      <c r="H374" s="311">
        <f t="shared" si="85"/>
        <v>0</v>
      </c>
      <c r="I374" s="311">
        <f t="shared" si="85"/>
        <v>0</v>
      </c>
      <c r="J374" s="311">
        <f t="shared" si="85"/>
        <v>0</v>
      </c>
      <c r="K374" s="311">
        <f t="shared" si="85"/>
        <v>0</v>
      </c>
      <c r="L374" s="311">
        <f t="shared" ref="L374:S374" ca="1" si="86">SUBTOTAL(9,L368:L373)</f>
        <v>0</v>
      </c>
      <c r="M374" s="513">
        <f t="shared" ca="1" si="86"/>
        <v>0</v>
      </c>
      <c r="N374" s="313">
        <f t="shared" ca="1" si="86"/>
        <v>-0.88100000000000023</v>
      </c>
      <c r="O374" s="311">
        <f t="shared" ca="1" si="86"/>
        <v>-0.946588476905045</v>
      </c>
      <c r="P374" s="311">
        <f t="shared" ca="1" si="86"/>
        <v>-1.0140678342590479</v>
      </c>
      <c r="Q374" s="311">
        <f t="shared" ca="1" si="86"/>
        <v>-1.0751843206060374</v>
      </c>
      <c r="R374" s="311">
        <f t="shared" ca="1" si="86"/>
        <v>-1.1347487365499016</v>
      </c>
      <c r="S374" s="311">
        <f t="shared" ca="1" si="86"/>
        <v>-1.1890185607345645</v>
      </c>
    </row>
    <row r="375" spans="1:19">
      <c r="B375" s="249"/>
      <c r="C375" s="12"/>
      <c r="D375" s="263"/>
      <c r="E375" s="263"/>
      <c r="F375" s="263"/>
      <c r="G375" s="263"/>
      <c r="H375" s="263"/>
      <c r="I375" s="263"/>
      <c r="J375" s="263"/>
      <c r="K375" s="263"/>
      <c r="L375" s="263"/>
      <c r="M375" s="836"/>
      <c r="N375" s="263"/>
      <c r="O375" s="263"/>
      <c r="P375" s="263"/>
      <c r="Q375" s="263"/>
      <c r="R375" s="263"/>
      <c r="S375" s="263"/>
    </row>
    <row r="376" spans="1:19" ht="17.25" customHeight="1" thickBot="1">
      <c r="A376" s="5"/>
      <c r="B376" s="250"/>
      <c r="C376" s="269" t="str">
        <f>CONCATENATE("Total ",+C285)</f>
        <v>Total Finance</v>
      </c>
      <c r="D376" s="314">
        <f>SUBTOTAL(9,D287:D375)</f>
        <v>0</v>
      </c>
      <c r="E376" s="314">
        <f t="shared" ref="E376:S376" si="87">SUBTOTAL(9,E287:E375)</f>
        <v>0</v>
      </c>
      <c r="F376" s="314">
        <f t="shared" si="87"/>
        <v>0</v>
      </c>
      <c r="G376" s="314">
        <f t="shared" si="87"/>
        <v>0</v>
      </c>
      <c r="H376" s="314">
        <f t="shared" si="87"/>
        <v>0</v>
      </c>
      <c r="I376" s="314">
        <f t="shared" si="87"/>
        <v>0</v>
      </c>
      <c r="J376" s="314">
        <f t="shared" si="87"/>
        <v>0</v>
      </c>
      <c r="K376" s="314">
        <f t="shared" si="87"/>
        <v>0</v>
      </c>
      <c r="L376" s="314">
        <f t="shared" ca="1" si="87"/>
        <v>0</v>
      </c>
      <c r="M376" s="843">
        <f t="shared" ca="1" si="87"/>
        <v>0</v>
      </c>
      <c r="N376" s="314">
        <f t="shared" ca="1" si="87"/>
        <v>9.1120000000000001</v>
      </c>
      <c r="O376" s="314">
        <f t="shared" ca="1" si="87"/>
        <v>9.346355993193411</v>
      </c>
      <c r="P376" s="314">
        <f t="shared" ca="1" si="87"/>
        <v>9.5789031807839358</v>
      </c>
      <c r="Q376" s="314">
        <f t="shared" ca="1" si="87"/>
        <v>9.8409898180897315</v>
      </c>
      <c r="R376" s="314">
        <f t="shared" ca="1" si="87"/>
        <v>10.124719654338621</v>
      </c>
      <c r="S376" s="314">
        <f t="shared" ca="1" si="87"/>
        <v>10.416569172399935</v>
      </c>
    </row>
    <row r="377" spans="1:19" ht="18">
      <c r="B377" s="251"/>
      <c r="C377" s="255" t="str">
        <f>+'I-3 Allocated'!A21</f>
        <v>Corporate Services</v>
      </c>
      <c r="D377" s="266"/>
      <c r="E377" s="266"/>
      <c r="F377" s="266"/>
      <c r="G377" s="266"/>
      <c r="H377" s="266"/>
      <c r="I377" s="266"/>
      <c r="J377" s="266"/>
      <c r="K377" s="266"/>
      <c r="L377" s="266"/>
      <c r="M377" s="842"/>
      <c r="N377" s="266"/>
      <c r="O377" s="266"/>
      <c r="P377" s="266"/>
      <c r="Q377" s="266"/>
      <c r="R377" s="266"/>
      <c r="S377" s="266"/>
    </row>
    <row r="378" spans="1:19">
      <c r="A378" s="5"/>
      <c r="B378" s="249" t="str">
        <f ca="1">+'I-4 History'!B372</f>
        <v>A-17</v>
      </c>
      <c r="C378" s="14" t="str">
        <f ca="1">+'I-4 History'!C372</f>
        <v>General Manager Corporate Services</v>
      </c>
      <c r="D378" s="11"/>
      <c r="E378" s="11"/>
      <c r="F378" s="11"/>
      <c r="G378" s="11"/>
      <c r="H378" s="11"/>
      <c r="I378" s="11"/>
      <c r="J378" s="11"/>
      <c r="K378" s="11"/>
      <c r="L378" s="11"/>
      <c r="M378" s="507"/>
      <c r="N378" s="11"/>
      <c r="O378" s="11"/>
      <c r="P378" s="11"/>
      <c r="Q378" s="11"/>
      <c r="R378" s="11"/>
      <c r="S378" s="11"/>
    </row>
    <row r="379" spans="1:19">
      <c r="A379" s="5"/>
      <c r="B379" s="249"/>
      <c r="C379" s="13" t="s">
        <v>68</v>
      </c>
      <c r="D379" s="312">
        <f>'I-4 History'!D373</f>
        <v>0</v>
      </c>
      <c r="E379" s="312">
        <f>'I-4 History'!E373</f>
        <v>0</v>
      </c>
      <c r="F379" s="312">
        <f>'I-4 History'!F373</f>
        <v>0</v>
      </c>
      <c r="G379" s="312">
        <f>'I-4 History'!G373</f>
        <v>0</v>
      </c>
      <c r="H379" s="312">
        <f>'I-4 History'!H373</f>
        <v>0</v>
      </c>
      <c r="I379" s="312">
        <f>'I-4 History'!I373</f>
        <v>0</v>
      </c>
      <c r="J379" s="312">
        <f>'I-4 History'!J373</f>
        <v>0</v>
      </c>
      <c r="K379" s="312">
        <f>'I-4 History'!K373</f>
        <v>0</v>
      </c>
      <c r="L379" s="310">
        <f ca="1">'A-17'!B$64</f>
        <v>0</v>
      </c>
      <c r="M379" s="835">
        <f ca="1">'A-17'!C$64</f>
        <v>0</v>
      </c>
      <c r="N379" s="312">
        <f ca="1">'A-17'!D$64</f>
        <v>0.49199999999999999</v>
      </c>
      <c r="O379" s="310">
        <f ca="1">'A-17'!E$64</f>
        <v>0.50788943141488174</v>
      </c>
      <c r="P379" s="310">
        <f ca="1">'A-17'!F$64</f>
        <v>0.52383438154060447</v>
      </c>
      <c r="Q379" s="310">
        <f ca="1">'A-17'!G$64</f>
        <v>0.54079220880925793</v>
      </c>
      <c r="R379" s="310">
        <f ca="1">'A-17'!H$64</f>
        <v>0.55869234366559184</v>
      </c>
      <c r="S379" s="310">
        <f ca="1">'A-17'!I$64</f>
        <v>0.57663957607357264</v>
      </c>
    </row>
    <row r="380" spans="1:19">
      <c r="A380" s="5"/>
      <c r="B380" s="249"/>
      <c r="C380" s="13" t="s">
        <v>69</v>
      </c>
      <c r="D380" s="312">
        <f>'I-4 History'!D374</f>
        <v>0</v>
      </c>
      <c r="E380" s="312">
        <f>'I-4 History'!E374</f>
        <v>0</v>
      </c>
      <c r="F380" s="312">
        <f>'I-4 History'!F374</f>
        <v>0</v>
      </c>
      <c r="G380" s="312">
        <f>'I-4 History'!G374</f>
        <v>0</v>
      </c>
      <c r="H380" s="312">
        <f>'I-4 History'!H374</f>
        <v>0</v>
      </c>
      <c r="I380" s="312">
        <f>'I-4 History'!I374</f>
        <v>0</v>
      </c>
      <c r="J380" s="312">
        <f>'I-4 History'!J374</f>
        <v>0</v>
      </c>
      <c r="K380" s="312">
        <f>'I-4 History'!K374</f>
        <v>0</v>
      </c>
      <c r="L380" s="310">
        <f ca="1">'A-17'!B$65</f>
        <v>0</v>
      </c>
      <c r="M380" s="835">
        <f ca="1">'A-17'!C$65</f>
        <v>0</v>
      </c>
      <c r="N380" s="312">
        <f ca="1">'A-17'!D$65</f>
        <v>7.0000000000000001E-3</v>
      </c>
      <c r="O380" s="310">
        <f ca="1">'A-17'!E$65</f>
        <v>7.0742697079686457E-3</v>
      </c>
      <c r="P380" s="310">
        <f ca="1">'A-17'!F$65</f>
        <v>7.1430869658652826E-3</v>
      </c>
      <c r="Q380" s="310">
        <f ca="1">'A-17'!G$65</f>
        <v>7.2111120611334902E-3</v>
      </c>
      <c r="R380" s="310">
        <f ca="1">'A-17'!H$65</f>
        <v>7.2849138260289697E-3</v>
      </c>
      <c r="S380" s="310">
        <f ca="1">'A-17'!I$65</f>
        <v>7.3525167950080012E-3</v>
      </c>
    </row>
    <row r="381" spans="1:19" s="759" customFormat="1">
      <c r="A381" s="5"/>
      <c r="B381" s="249"/>
      <c r="C381" s="13" t="s">
        <v>646</v>
      </c>
      <c r="D381" s="312">
        <f>'I-4 History'!D375</f>
        <v>0</v>
      </c>
      <c r="E381" s="312">
        <f>'I-4 History'!E375</f>
        <v>0</v>
      </c>
      <c r="F381" s="312">
        <f>'I-4 History'!F375</f>
        <v>0</v>
      </c>
      <c r="G381" s="312">
        <f>'I-4 History'!G375</f>
        <v>0</v>
      </c>
      <c r="H381" s="312">
        <f>'I-4 History'!H375</f>
        <v>0</v>
      </c>
      <c r="I381" s="312">
        <f>'I-4 History'!I375</f>
        <v>0</v>
      </c>
      <c r="J381" s="312">
        <f>'I-4 History'!J375</f>
        <v>0</v>
      </c>
      <c r="K381" s="312">
        <f>'I-4 History'!K375</f>
        <v>0</v>
      </c>
      <c r="L381" s="310">
        <f ca="1">'A-17'!B$66</f>
        <v>0</v>
      </c>
      <c r="M381" s="835">
        <f ca="1">'A-17'!C$66</f>
        <v>0</v>
      </c>
      <c r="N381" s="312">
        <f ca="1">'A-17'!D$66</f>
        <v>0</v>
      </c>
      <c r="O381" s="310">
        <f ca="1">'A-17'!E$66</f>
        <v>0</v>
      </c>
      <c r="P381" s="310">
        <f ca="1">'A-17'!F$66</f>
        <v>0</v>
      </c>
      <c r="Q381" s="310">
        <f ca="1">'A-17'!G$66</f>
        <v>0</v>
      </c>
      <c r="R381" s="310">
        <f ca="1">'A-17'!H$66</f>
        <v>0</v>
      </c>
      <c r="S381" s="310">
        <f ca="1">'A-17'!I$66</f>
        <v>0</v>
      </c>
    </row>
    <row r="382" spans="1:19">
      <c r="A382" s="5"/>
      <c r="B382" s="249"/>
      <c r="C382" s="13" t="s">
        <v>647</v>
      </c>
      <c r="D382" s="312">
        <f>'I-4 History'!D376</f>
        <v>0</v>
      </c>
      <c r="E382" s="312">
        <f>'I-4 History'!E376</f>
        <v>0</v>
      </c>
      <c r="F382" s="312">
        <f>'I-4 History'!F376</f>
        <v>0</v>
      </c>
      <c r="G382" s="312">
        <f>'I-4 History'!G376</f>
        <v>0</v>
      </c>
      <c r="H382" s="312">
        <f>'I-4 History'!H376</f>
        <v>0</v>
      </c>
      <c r="I382" s="312">
        <f>'I-4 History'!I376</f>
        <v>0</v>
      </c>
      <c r="J382" s="312">
        <f>'I-4 History'!J376</f>
        <v>0</v>
      </c>
      <c r="K382" s="312">
        <f>'I-4 History'!K376</f>
        <v>0</v>
      </c>
      <c r="L382" s="310">
        <f ca="1">'A-17'!B$67</f>
        <v>0</v>
      </c>
      <c r="M382" s="835">
        <f ca="1">'A-17'!C$67</f>
        <v>0</v>
      </c>
      <c r="N382" s="312">
        <f ca="1">'A-17'!D$67</f>
        <v>4.9000000000000002E-2</v>
      </c>
      <c r="O382" s="310">
        <f ca="1">'A-17'!E$67</f>
        <v>4.9767487395559418E-2</v>
      </c>
      <c r="P382" s="310">
        <f ca="1">'A-17'!F$67</f>
        <v>5.0502874888886558E-2</v>
      </c>
      <c r="Q382" s="310">
        <f ca="1">'A-17'!G$67</f>
        <v>5.1442678634775869E-2</v>
      </c>
      <c r="R382" s="310">
        <f ca="1">'A-17'!H$67</f>
        <v>5.251484239501341E-2</v>
      </c>
      <c r="S382" s="310">
        <f ca="1">'A-17'!I$67</f>
        <v>5.3664699856627557E-2</v>
      </c>
    </row>
    <row r="383" spans="1:19" s="759" customFormat="1">
      <c r="A383" s="5"/>
      <c r="B383" s="249"/>
      <c r="C383" s="13" t="s">
        <v>575</v>
      </c>
      <c r="D383" s="312">
        <f>'I-4 History'!D377</f>
        <v>0</v>
      </c>
      <c r="E383" s="312">
        <f>'I-4 History'!E377</f>
        <v>0</v>
      </c>
      <c r="F383" s="312">
        <f>'I-4 History'!F377</f>
        <v>0</v>
      </c>
      <c r="G383" s="312">
        <f>'I-4 History'!G377</f>
        <v>0</v>
      </c>
      <c r="H383" s="312">
        <f>'I-4 History'!H377</f>
        <v>0</v>
      </c>
      <c r="I383" s="312">
        <f>'I-4 History'!I377</f>
        <v>0</v>
      </c>
      <c r="J383" s="312">
        <f>'I-4 History'!J377</f>
        <v>0</v>
      </c>
      <c r="K383" s="312">
        <f>'I-4 History'!K377</f>
        <v>0</v>
      </c>
      <c r="L383" s="310">
        <f ca="1">'A-17'!B$68</f>
        <v>0</v>
      </c>
      <c r="M383" s="835">
        <f ca="1">'A-17'!C$68</f>
        <v>0</v>
      </c>
      <c r="N383" s="312">
        <f ca="1">'A-17'!D$68</f>
        <v>0</v>
      </c>
      <c r="O383" s="310">
        <f ca="1">'A-17'!E$68</f>
        <v>0</v>
      </c>
      <c r="P383" s="310">
        <f ca="1">'A-17'!F$68</f>
        <v>0</v>
      </c>
      <c r="Q383" s="310">
        <f ca="1">'A-17'!G$68</f>
        <v>0</v>
      </c>
      <c r="R383" s="310">
        <f ca="1">'A-17'!H$68</f>
        <v>0</v>
      </c>
      <c r="S383" s="310">
        <f ca="1">'A-17'!I$68</f>
        <v>0</v>
      </c>
    </row>
    <row r="384" spans="1:19">
      <c r="A384" s="5"/>
      <c r="B384" s="249"/>
      <c r="C384" s="13" t="s">
        <v>70</v>
      </c>
      <c r="D384" s="312">
        <f>'I-4 History'!D378</f>
        <v>0</v>
      </c>
      <c r="E384" s="312">
        <f>'I-4 History'!E378</f>
        <v>0</v>
      </c>
      <c r="F384" s="312">
        <f>'I-4 History'!F378</f>
        <v>0</v>
      </c>
      <c r="G384" s="312">
        <f>'I-4 History'!G378</f>
        <v>0</v>
      </c>
      <c r="H384" s="312">
        <f>'I-4 History'!H378</f>
        <v>0</v>
      </c>
      <c r="I384" s="312">
        <f>'I-4 History'!I378</f>
        <v>0</v>
      </c>
      <c r="J384" s="312">
        <f>'I-4 History'!J378</f>
        <v>0</v>
      </c>
      <c r="K384" s="312">
        <f>'I-4 History'!K378</f>
        <v>0</v>
      </c>
      <c r="L384" s="310">
        <f ca="1">'A-17'!B$69</f>
        <v>0</v>
      </c>
      <c r="M384" s="835">
        <f ca="1">'A-17'!C$69</f>
        <v>0</v>
      </c>
      <c r="N384" s="312">
        <f ca="1">'A-17'!D$69</f>
        <v>0</v>
      </c>
      <c r="O384" s="310">
        <f ca="1">'A-17'!E$69</f>
        <v>0</v>
      </c>
      <c r="P384" s="310">
        <f ca="1">'A-17'!F$69</f>
        <v>0</v>
      </c>
      <c r="Q384" s="310">
        <f ca="1">'A-17'!G$69</f>
        <v>0</v>
      </c>
      <c r="R384" s="310">
        <f ca="1">'A-17'!H$69</f>
        <v>0</v>
      </c>
      <c r="S384" s="310">
        <f ca="1">'A-17'!I$69</f>
        <v>0</v>
      </c>
    </row>
    <row r="385" spans="1:19">
      <c r="A385" s="5"/>
      <c r="B385" s="249"/>
      <c r="C385" s="12" t="s">
        <v>75</v>
      </c>
      <c r="D385" s="313">
        <f t="shared" ref="D385:K385" si="88">SUBTOTAL(9,D379:D384)</f>
        <v>0</v>
      </c>
      <c r="E385" s="311">
        <f t="shared" si="88"/>
        <v>0</v>
      </c>
      <c r="F385" s="311">
        <f t="shared" si="88"/>
        <v>0</v>
      </c>
      <c r="G385" s="311">
        <f t="shared" si="88"/>
        <v>0</v>
      </c>
      <c r="H385" s="311">
        <f t="shared" si="88"/>
        <v>0</v>
      </c>
      <c r="I385" s="311">
        <f t="shared" si="88"/>
        <v>0</v>
      </c>
      <c r="J385" s="311">
        <f t="shared" si="88"/>
        <v>0</v>
      </c>
      <c r="K385" s="311">
        <f t="shared" si="88"/>
        <v>0</v>
      </c>
      <c r="L385" s="311">
        <f t="shared" ref="L385:S385" ca="1" si="89">SUBTOTAL(9,L379:L384)</f>
        <v>0</v>
      </c>
      <c r="M385" s="513">
        <f t="shared" ca="1" si="89"/>
        <v>0</v>
      </c>
      <c r="N385" s="313">
        <f t="shared" ca="1" si="89"/>
        <v>0.54800000000000004</v>
      </c>
      <c r="O385" s="311">
        <f t="shared" ca="1" si="89"/>
        <v>0.56473118851840987</v>
      </c>
      <c r="P385" s="311">
        <f t="shared" ca="1" si="89"/>
        <v>0.58148034339535637</v>
      </c>
      <c r="Q385" s="311">
        <f t="shared" ca="1" si="89"/>
        <v>0.5994459995051673</v>
      </c>
      <c r="R385" s="311">
        <f t="shared" ca="1" si="89"/>
        <v>0.61849209988663412</v>
      </c>
      <c r="S385" s="311">
        <f t="shared" ca="1" si="89"/>
        <v>0.63765679272520825</v>
      </c>
    </row>
    <row r="386" spans="1:19">
      <c r="A386" s="5"/>
      <c r="B386" s="249"/>
      <c r="C386" s="12"/>
      <c r="D386" s="263"/>
      <c r="E386" s="263"/>
      <c r="F386" s="263"/>
      <c r="G386" s="263"/>
      <c r="H386" s="263"/>
      <c r="I386" s="263"/>
      <c r="J386" s="263"/>
      <c r="K386" s="263"/>
      <c r="L386" s="263"/>
      <c r="M386" s="836"/>
      <c r="N386" s="263"/>
      <c r="O386" s="263"/>
      <c r="P386" s="263"/>
      <c r="Q386" s="263"/>
      <c r="R386" s="263"/>
      <c r="S386" s="263"/>
    </row>
    <row r="387" spans="1:19">
      <c r="A387" s="5"/>
      <c r="B387" s="249" t="str">
        <f ca="1">+'I-4 History'!B381</f>
        <v>A-18</v>
      </c>
      <c r="C387" s="14" t="str">
        <f ca="1">+'I-4 History'!C381</f>
        <v>Employee Relations</v>
      </c>
      <c r="D387" s="11"/>
      <c r="E387" s="11"/>
      <c r="F387" s="11"/>
      <c r="G387" s="11"/>
      <c r="H387" s="11"/>
      <c r="I387" s="11"/>
      <c r="J387" s="11"/>
      <c r="K387" s="11"/>
      <c r="L387" s="11"/>
      <c r="M387" s="507"/>
      <c r="N387" s="11"/>
      <c r="O387" s="11"/>
      <c r="P387" s="11"/>
      <c r="Q387" s="11"/>
      <c r="R387" s="11"/>
      <c r="S387" s="11"/>
    </row>
    <row r="388" spans="1:19">
      <c r="A388" s="5"/>
      <c r="B388" s="249"/>
      <c r="C388" s="13" t="s">
        <v>68</v>
      </c>
      <c r="D388" s="312">
        <f>'I-4 History'!D382</f>
        <v>0</v>
      </c>
      <c r="E388" s="312">
        <f>'I-4 History'!E382</f>
        <v>0</v>
      </c>
      <c r="F388" s="312">
        <f>'I-4 History'!F382</f>
        <v>0</v>
      </c>
      <c r="G388" s="312">
        <f>'I-4 History'!G382</f>
        <v>0</v>
      </c>
      <c r="H388" s="312">
        <f>'I-4 History'!H382</f>
        <v>0</v>
      </c>
      <c r="I388" s="312">
        <f>'I-4 History'!I382</f>
        <v>0</v>
      </c>
      <c r="J388" s="312">
        <f>'I-4 History'!J382</f>
        <v>0</v>
      </c>
      <c r="K388" s="312">
        <f>'I-4 History'!K382</f>
        <v>0</v>
      </c>
      <c r="L388" s="310">
        <f ca="1">'A-18'!B$64</f>
        <v>0</v>
      </c>
      <c r="M388" s="835">
        <f ca="1">'A-18'!C$64</f>
        <v>0</v>
      </c>
      <c r="N388" s="312">
        <f ca="1">'A-18'!D$64</f>
        <v>2.7430000000000003</v>
      </c>
      <c r="O388" s="310">
        <f ca="1">'A-18'!E$64</f>
        <v>2.8315868096971966</v>
      </c>
      <c r="P388" s="310">
        <f ca="1">'A-18'!F$64</f>
        <v>2.920483147491622</v>
      </c>
      <c r="Q388" s="310">
        <f ca="1">'A-18'!G$64</f>
        <v>3.0150264812272249</v>
      </c>
      <c r="R388" s="310">
        <f ca="1">'A-18'!H$64</f>
        <v>3.1148233712900786</v>
      </c>
      <c r="S388" s="310">
        <f ca="1">'A-18'!I$64</f>
        <v>3.2148828397760365</v>
      </c>
    </row>
    <row r="389" spans="1:19">
      <c r="A389" s="5"/>
      <c r="B389" s="249"/>
      <c r="C389" s="13" t="s">
        <v>69</v>
      </c>
      <c r="D389" s="312">
        <f>'I-4 History'!D383</f>
        <v>0</v>
      </c>
      <c r="E389" s="312">
        <f>'I-4 History'!E383</f>
        <v>0</v>
      </c>
      <c r="F389" s="312">
        <f>'I-4 History'!F383</f>
        <v>0</v>
      </c>
      <c r="G389" s="312">
        <f>'I-4 History'!G383</f>
        <v>0</v>
      </c>
      <c r="H389" s="312">
        <f>'I-4 History'!H383</f>
        <v>0</v>
      </c>
      <c r="I389" s="312">
        <f>'I-4 History'!I383</f>
        <v>0</v>
      </c>
      <c r="J389" s="312">
        <f>'I-4 History'!J383</f>
        <v>0</v>
      </c>
      <c r="K389" s="312">
        <f>'I-4 History'!K383</f>
        <v>0</v>
      </c>
      <c r="L389" s="310">
        <f ca="1">'A-18'!B$65</f>
        <v>0</v>
      </c>
      <c r="M389" s="835">
        <f ca="1">'A-18'!C$65</f>
        <v>0</v>
      </c>
      <c r="N389" s="312">
        <f ca="1">'A-18'!D$65</f>
        <v>2.7E-2</v>
      </c>
      <c r="O389" s="310">
        <f ca="1">'A-18'!E$65</f>
        <v>2.7286468873593348E-2</v>
      </c>
      <c r="P389" s="310">
        <f ca="1">'A-18'!F$65</f>
        <v>2.7551906868337517E-2</v>
      </c>
      <c r="Q389" s="310">
        <f ca="1">'A-18'!G$65</f>
        <v>2.7814289378657747E-2</v>
      </c>
      <c r="R389" s="310">
        <f ca="1">'A-18'!H$65</f>
        <v>2.8098953328968883E-2</v>
      </c>
      <c r="S389" s="310">
        <f ca="1">'A-18'!I$65</f>
        <v>2.8359707637888004E-2</v>
      </c>
    </row>
    <row r="390" spans="1:19" s="759" customFormat="1">
      <c r="A390" s="5"/>
      <c r="B390" s="249"/>
      <c r="C390" s="13" t="s">
        <v>646</v>
      </c>
      <c r="D390" s="312">
        <f>'I-4 History'!D384</f>
        <v>0</v>
      </c>
      <c r="E390" s="312">
        <f>'I-4 History'!E384</f>
        <v>0</v>
      </c>
      <c r="F390" s="312">
        <f>'I-4 History'!F384</f>
        <v>0</v>
      </c>
      <c r="G390" s="312">
        <f>'I-4 History'!G384</f>
        <v>0</v>
      </c>
      <c r="H390" s="312">
        <f>'I-4 History'!H384</f>
        <v>0</v>
      </c>
      <c r="I390" s="312">
        <f>'I-4 History'!I384</f>
        <v>0</v>
      </c>
      <c r="J390" s="312">
        <f>'I-4 History'!J384</f>
        <v>0</v>
      </c>
      <c r="K390" s="312">
        <f>'I-4 History'!K384</f>
        <v>0</v>
      </c>
      <c r="L390" s="310">
        <f ca="1">'A-18'!B$66</f>
        <v>0</v>
      </c>
      <c r="M390" s="835">
        <f ca="1">'A-18'!C$66</f>
        <v>0</v>
      </c>
      <c r="N390" s="312">
        <f ca="1">'A-18'!D$66</f>
        <v>5.7000000000000002E-2</v>
      </c>
      <c r="O390" s="310">
        <f ca="1">'A-18'!E$66</f>
        <v>5.789279146014055E-2</v>
      </c>
      <c r="P390" s="310">
        <f ca="1">'A-18'!F$66</f>
        <v>5.874824221768437E-2</v>
      </c>
      <c r="Q390" s="310">
        <f ca="1">'A-18'!G$66</f>
        <v>5.984148330984132E-2</v>
      </c>
      <c r="R390" s="310">
        <f ca="1">'A-18'!H$66</f>
        <v>6.1088694214607428E-2</v>
      </c>
      <c r="S390" s="310">
        <f ca="1">'A-18'!I$66</f>
        <v>6.2426283506689204E-2</v>
      </c>
    </row>
    <row r="391" spans="1:19">
      <c r="A391" s="5"/>
      <c r="B391" s="249"/>
      <c r="C391" s="13" t="s">
        <v>647</v>
      </c>
      <c r="D391" s="312">
        <f>'I-4 History'!D385</f>
        <v>0</v>
      </c>
      <c r="E391" s="312">
        <f>'I-4 History'!E385</f>
        <v>0</v>
      </c>
      <c r="F391" s="312">
        <f>'I-4 History'!F385</f>
        <v>0</v>
      </c>
      <c r="G391" s="312">
        <f>'I-4 History'!G385</f>
        <v>0</v>
      </c>
      <c r="H391" s="312">
        <f>'I-4 History'!H385</f>
        <v>0</v>
      </c>
      <c r="I391" s="312">
        <f>'I-4 History'!I385</f>
        <v>0</v>
      </c>
      <c r="J391" s="312">
        <f>'I-4 History'!J385</f>
        <v>0</v>
      </c>
      <c r="K391" s="312">
        <f>'I-4 History'!K385</f>
        <v>0</v>
      </c>
      <c r="L391" s="310">
        <f ca="1">'A-18'!B$67</f>
        <v>0</v>
      </c>
      <c r="M391" s="835">
        <f ca="1">'A-18'!C$67</f>
        <v>0</v>
      </c>
      <c r="N391" s="312">
        <f ca="1">'A-18'!D$67</f>
        <v>0.36599999999999999</v>
      </c>
      <c r="O391" s="310">
        <f ca="1">'A-18'!E$67</f>
        <v>0.37173266095458668</v>
      </c>
      <c r="P391" s="310">
        <f ca="1">'A-18'!F$67</f>
        <v>0.37722555529249957</v>
      </c>
      <c r="Q391" s="310">
        <f ca="1">'A-18'!G$67</f>
        <v>0.38424531388424421</v>
      </c>
      <c r="R391" s="310">
        <f ca="1">'A-18'!H$67</f>
        <v>0.39225372074642662</v>
      </c>
      <c r="S391" s="310">
        <f ca="1">'A-18'!I$67</f>
        <v>0.40084245199032009</v>
      </c>
    </row>
    <row r="392" spans="1:19" s="759" customFormat="1">
      <c r="A392" s="5"/>
      <c r="B392" s="249"/>
      <c r="C392" s="13" t="s">
        <v>575</v>
      </c>
      <c r="D392" s="312">
        <f>'I-4 History'!D386</f>
        <v>0</v>
      </c>
      <c r="E392" s="312">
        <f>'I-4 History'!E386</f>
        <v>0</v>
      </c>
      <c r="F392" s="312">
        <f>'I-4 History'!F386</f>
        <v>0</v>
      </c>
      <c r="G392" s="312">
        <f>'I-4 History'!G386</f>
        <v>0</v>
      </c>
      <c r="H392" s="312">
        <f>'I-4 History'!H386</f>
        <v>0</v>
      </c>
      <c r="I392" s="312">
        <f>'I-4 History'!I386</f>
        <v>0</v>
      </c>
      <c r="J392" s="312">
        <f>'I-4 History'!J386</f>
        <v>0</v>
      </c>
      <c r="K392" s="312">
        <f>'I-4 History'!K386</f>
        <v>0</v>
      </c>
      <c r="L392" s="310">
        <f ca="1">'A-18'!B$68</f>
        <v>0</v>
      </c>
      <c r="M392" s="835">
        <f ca="1">'A-18'!C$68</f>
        <v>0</v>
      </c>
      <c r="N392" s="312">
        <f ca="1">'A-18'!D$68</f>
        <v>0</v>
      </c>
      <c r="O392" s="310">
        <f ca="1">'A-18'!E$68</f>
        <v>0</v>
      </c>
      <c r="P392" s="310">
        <f ca="1">'A-18'!F$68</f>
        <v>0</v>
      </c>
      <c r="Q392" s="310">
        <f ca="1">'A-18'!G$68</f>
        <v>0</v>
      </c>
      <c r="R392" s="310">
        <f ca="1">'A-18'!H$68</f>
        <v>0</v>
      </c>
      <c r="S392" s="310">
        <f ca="1">'A-18'!I$68</f>
        <v>0</v>
      </c>
    </row>
    <row r="393" spans="1:19">
      <c r="A393" s="5"/>
      <c r="B393" s="249"/>
      <c r="C393" s="13" t="s">
        <v>70</v>
      </c>
      <c r="D393" s="312">
        <f>'I-4 History'!D387</f>
        <v>0</v>
      </c>
      <c r="E393" s="312">
        <f>'I-4 History'!E387</f>
        <v>0</v>
      </c>
      <c r="F393" s="312">
        <f>'I-4 History'!F387</f>
        <v>0</v>
      </c>
      <c r="G393" s="312">
        <f>'I-4 History'!G387</f>
        <v>0</v>
      </c>
      <c r="H393" s="312">
        <f>'I-4 History'!H387</f>
        <v>0</v>
      </c>
      <c r="I393" s="312">
        <f>'I-4 History'!I387</f>
        <v>0</v>
      </c>
      <c r="J393" s="312">
        <f>'I-4 History'!J387</f>
        <v>0</v>
      </c>
      <c r="K393" s="312">
        <f>'I-4 History'!K387</f>
        <v>0</v>
      </c>
      <c r="L393" s="310">
        <f ca="1">'A-18'!B$69</f>
        <v>0</v>
      </c>
      <c r="M393" s="835">
        <f ca="1">'A-18'!C$69</f>
        <v>0</v>
      </c>
      <c r="N393" s="312">
        <f ca="1">'A-18'!D$69</f>
        <v>0</v>
      </c>
      <c r="O393" s="310">
        <f ca="1">'A-18'!E$69</f>
        <v>0</v>
      </c>
      <c r="P393" s="310">
        <f ca="1">'A-18'!F$69</f>
        <v>0</v>
      </c>
      <c r="Q393" s="310">
        <f ca="1">'A-18'!G$69</f>
        <v>0</v>
      </c>
      <c r="R393" s="310">
        <f ca="1">'A-18'!H$69</f>
        <v>0</v>
      </c>
      <c r="S393" s="310">
        <f ca="1">'A-18'!I$69</f>
        <v>0</v>
      </c>
    </row>
    <row r="394" spans="1:19">
      <c r="A394" s="5"/>
      <c r="B394" s="249"/>
      <c r="C394" s="12" t="s">
        <v>75</v>
      </c>
      <c r="D394" s="313">
        <f t="shared" ref="D394:K394" si="90">SUBTOTAL(9,D388:D393)</f>
        <v>0</v>
      </c>
      <c r="E394" s="311">
        <f t="shared" si="90"/>
        <v>0</v>
      </c>
      <c r="F394" s="311">
        <f t="shared" si="90"/>
        <v>0</v>
      </c>
      <c r="G394" s="311">
        <f t="shared" si="90"/>
        <v>0</v>
      </c>
      <c r="H394" s="311">
        <f t="shared" si="90"/>
        <v>0</v>
      </c>
      <c r="I394" s="311">
        <f t="shared" si="90"/>
        <v>0</v>
      </c>
      <c r="J394" s="311">
        <f t="shared" si="90"/>
        <v>0</v>
      </c>
      <c r="K394" s="311">
        <f t="shared" si="90"/>
        <v>0</v>
      </c>
      <c r="L394" s="311">
        <f t="shared" ref="L394:S394" ca="1" si="91">SUBTOTAL(9,L388:L393)</f>
        <v>0</v>
      </c>
      <c r="M394" s="513">
        <f t="shared" ca="1" si="91"/>
        <v>0</v>
      </c>
      <c r="N394" s="313">
        <f t="shared" ca="1" si="91"/>
        <v>3.1930000000000005</v>
      </c>
      <c r="O394" s="311">
        <f t="shared" ca="1" si="91"/>
        <v>3.2884987309855171</v>
      </c>
      <c r="P394" s="311">
        <f t="shared" ca="1" si="91"/>
        <v>3.3840088518701434</v>
      </c>
      <c r="Q394" s="311">
        <f t="shared" ca="1" si="91"/>
        <v>3.4869275677999685</v>
      </c>
      <c r="R394" s="311">
        <f t="shared" ca="1" si="91"/>
        <v>3.5962647395800817</v>
      </c>
      <c r="S394" s="311">
        <f t="shared" ca="1" si="91"/>
        <v>3.7065112829109337</v>
      </c>
    </row>
    <row r="395" spans="1:19">
      <c r="A395" s="5"/>
      <c r="B395" s="249"/>
      <c r="C395" s="12"/>
      <c r="D395" s="263"/>
      <c r="E395" s="263"/>
      <c r="F395" s="263"/>
      <c r="G395" s="263"/>
      <c r="H395" s="263"/>
      <c r="I395" s="263"/>
      <c r="J395" s="263"/>
      <c r="K395" s="263"/>
      <c r="L395" s="263"/>
      <c r="M395" s="836"/>
      <c r="N395" s="263"/>
      <c r="O395" s="263"/>
      <c r="P395" s="263"/>
      <c r="Q395" s="263"/>
      <c r="R395" s="263"/>
      <c r="S395" s="263"/>
    </row>
    <row r="396" spans="1:19">
      <c r="A396" s="5"/>
      <c r="B396" s="249" t="str">
        <f ca="1">+'I-4 History'!B390</f>
        <v>A-19</v>
      </c>
      <c r="C396" s="14" t="str">
        <f ca="1">+'I-4 History'!C390</f>
        <v>Workforce Development</v>
      </c>
      <c r="D396" s="11"/>
      <c r="E396" s="11"/>
      <c r="F396" s="11"/>
      <c r="G396" s="11"/>
      <c r="H396" s="11"/>
      <c r="I396" s="11"/>
      <c r="J396" s="11"/>
      <c r="K396" s="11"/>
      <c r="L396" s="11"/>
      <c r="M396" s="507"/>
      <c r="N396" s="11"/>
      <c r="O396" s="11"/>
      <c r="P396" s="11"/>
      <c r="Q396" s="11"/>
      <c r="R396" s="11"/>
      <c r="S396" s="11"/>
    </row>
    <row r="397" spans="1:19">
      <c r="B397" s="249"/>
      <c r="C397" s="13" t="s">
        <v>68</v>
      </c>
      <c r="D397" s="312">
        <f>'I-4 History'!D391</f>
        <v>0</v>
      </c>
      <c r="E397" s="312">
        <f>'I-4 History'!E391</f>
        <v>0</v>
      </c>
      <c r="F397" s="312">
        <f>'I-4 History'!F391</f>
        <v>0</v>
      </c>
      <c r="G397" s="312">
        <f>'I-4 History'!G391</f>
        <v>0</v>
      </c>
      <c r="H397" s="312">
        <f>'I-4 History'!H391</f>
        <v>0</v>
      </c>
      <c r="I397" s="312">
        <f>'I-4 History'!I391</f>
        <v>0</v>
      </c>
      <c r="J397" s="312">
        <f>'I-4 History'!J391</f>
        <v>0</v>
      </c>
      <c r="K397" s="312">
        <f>'I-4 History'!K391</f>
        <v>0</v>
      </c>
      <c r="L397" s="310">
        <f ca="1">'A-19'!B$64</f>
        <v>0</v>
      </c>
      <c r="M397" s="835">
        <f ca="1">'A-19'!C$64</f>
        <v>0</v>
      </c>
      <c r="N397" s="312">
        <f ca="1">'A-19'!D$64</f>
        <v>0.70200000000000007</v>
      </c>
      <c r="O397" s="310">
        <f ca="1">'A-19'!E$64</f>
        <v>0.72467150579928252</v>
      </c>
      <c r="P397" s="310">
        <f ca="1">'A-19'!F$64</f>
        <v>0.74742222732013075</v>
      </c>
      <c r="Q397" s="310">
        <f ca="1">'A-19'!G$64</f>
        <v>0.7716181515936974</v>
      </c>
      <c r="R397" s="310">
        <f ca="1">'A-19'!H$64</f>
        <v>0.79715858791310057</v>
      </c>
      <c r="S397" s="310">
        <f ca="1">'A-19'!I$64</f>
        <v>0.82276622439765856</v>
      </c>
    </row>
    <row r="398" spans="1:19">
      <c r="B398" s="249"/>
      <c r="C398" s="13" t="s">
        <v>69</v>
      </c>
      <c r="D398" s="312">
        <f>'I-4 History'!D392</f>
        <v>0</v>
      </c>
      <c r="E398" s="312">
        <f>'I-4 History'!E392</f>
        <v>0</v>
      </c>
      <c r="F398" s="312">
        <f>'I-4 History'!F392</f>
        <v>0</v>
      </c>
      <c r="G398" s="312">
        <f>'I-4 History'!G392</f>
        <v>0</v>
      </c>
      <c r="H398" s="312">
        <f>'I-4 History'!H392</f>
        <v>0</v>
      </c>
      <c r="I398" s="312">
        <f>'I-4 History'!I392</f>
        <v>0</v>
      </c>
      <c r="J398" s="312">
        <f>'I-4 History'!J392</f>
        <v>0</v>
      </c>
      <c r="K398" s="312">
        <f>'I-4 History'!K392</f>
        <v>0</v>
      </c>
      <c r="L398" s="310">
        <f ca="1">'A-19'!B$65</f>
        <v>0</v>
      </c>
      <c r="M398" s="835">
        <f ca="1">'A-19'!C$65</f>
        <v>0</v>
      </c>
      <c r="N398" s="312">
        <f ca="1">'A-19'!D$65</f>
        <v>0.13</v>
      </c>
      <c r="O398" s="310">
        <f ca="1">'A-19'!E$65</f>
        <v>0.13137929457656056</v>
      </c>
      <c r="P398" s="310">
        <f ca="1">'A-19'!F$65</f>
        <v>0.13265732936606953</v>
      </c>
      <c r="Q398" s="310">
        <f ca="1">'A-19'!G$65</f>
        <v>0.13392065256390767</v>
      </c>
      <c r="R398" s="310">
        <f ca="1">'A-19'!H$65</f>
        <v>0.13529125676910944</v>
      </c>
      <c r="S398" s="310">
        <f ca="1">'A-19'!I$65</f>
        <v>0.13654674047872004</v>
      </c>
    </row>
    <row r="399" spans="1:19" s="759" customFormat="1">
      <c r="B399" s="249"/>
      <c r="C399" s="13" t="s">
        <v>646</v>
      </c>
      <c r="D399" s="312">
        <f>'I-4 History'!D393</f>
        <v>0</v>
      </c>
      <c r="E399" s="312">
        <f>'I-4 History'!E393</f>
        <v>0</v>
      </c>
      <c r="F399" s="312">
        <f>'I-4 History'!F393</f>
        <v>0</v>
      </c>
      <c r="G399" s="312">
        <f>'I-4 History'!G393</f>
        <v>0</v>
      </c>
      <c r="H399" s="312">
        <f>'I-4 History'!H393</f>
        <v>0</v>
      </c>
      <c r="I399" s="312">
        <f>'I-4 History'!I393</f>
        <v>0</v>
      </c>
      <c r="J399" s="312">
        <f>'I-4 History'!J393</f>
        <v>0</v>
      </c>
      <c r="K399" s="312">
        <f>'I-4 History'!K393</f>
        <v>0</v>
      </c>
      <c r="L399" s="310">
        <f ca="1">'A-19'!B$66</f>
        <v>0</v>
      </c>
      <c r="M399" s="835">
        <f ca="1">'A-19'!C$66</f>
        <v>0</v>
      </c>
      <c r="N399" s="312">
        <f ca="1">'A-19'!D$66</f>
        <v>0</v>
      </c>
      <c r="O399" s="310">
        <f ca="1">'A-19'!E$66</f>
        <v>0</v>
      </c>
      <c r="P399" s="310">
        <f ca="1">'A-19'!F$66</f>
        <v>0</v>
      </c>
      <c r="Q399" s="310">
        <f ca="1">'A-19'!G$66</f>
        <v>0</v>
      </c>
      <c r="R399" s="310">
        <f ca="1">'A-19'!H$66</f>
        <v>0</v>
      </c>
      <c r="S399" s="310">
        <f ca="1">'A-19'!I$66</f>
        <v>0</v>
      </c>
    </row>
    <row r="400" spans="1:19">
      <c r="B400" s="249"/>
      <c r="C400" s="13" t="s">
        <v>647</v>
      </c>
      <c r="D400" s="312">
        <f>'I-4 History'!D394</f>
        <v>0</v>
      </c>
      <c r="E400" s="312">
        <f>'I-4 History'!E394</f>
        <v>0</v>
      </c>
      <c r="F400" s="312">
        <f>'I-4 History'!F394</f>
        <v>0</v>
      </c>
      <c r="G400" s="312">
        <f>'I-4 History'!G394</f>
        <v>0</v>
      </c>
      <c r="H400" s="312">
        <f>'I-4 History'!H394</f>
        <v>0</v>
      </c>
      <c r="I400" s="312">
        <f>'I-4 History'!I394</f>
        <v>0</v>
      </c>
      <c r="J400" s="312">
        <f>'I-4 History'!J394</f>
        <v>0</v>
      </c>
      <c r="K400" s="312">
        <f>'I-4 History'!K394</f>
        <v>0</v>
      </c>
      <c r="L400" s="310">
        <f ca="1">'A-19'!B$67</f>
        <v>0</v>
      </c>
      <c r="M400" s="835">
        <f ca="1">'A-19'!C$67</f>
        <v>0</v>
      </c>
      <c r="N400" s="312">
        <f ca="1">'A-19'!D$67</f>
        <v>6.8000000000000005E-2</v>
      </c>
      <c r="O400" s="310">
        <f ca="1">'A-19'!E$67</f>
        <v>6.9065084548939601E-2</v>
      </c>
      <c r="P400" s="310">
        <f ca="1">'A-19'!F$67</f>
        <v>7.0085622294781352E-2</v>
      </c>
      <c r="Q400" s="310">
        <f ca="1">'A-19'!G$67</f>
        <v>7.1389839738056321E-2</v>
      </c>
      <c r="R400" s="310">
        <f ca="1">'A-19'!H$67</f>
        <v>7.2877740466549212E-2</v>
      </c>
      <c r="S400" s="310">
        <f ca="1">'A-19'!I$67</f>
        <v>7.4473461025523963E-2</v>
      </c>
    </row>
    <row r="401" spans="1:19" s="759" customFormat="1">
      <c r="B401" s="249"/>
      <c r="C401" s="13" t="s">
        <v>575</v>
      </c>
      <c r="D401" s="312">
        <f>'I-4 History'!D395</f>
        <v>0</v>
      </c>
      <c r="E401" s="312">
        <f>'I-4 History'!E395</f>
        <v>0</v>
      </c>
      <c r="F401" s="312">
        <f>'I-4 History'!F395</f>
        <v>0</v>
      </c>
      <c r="G401" s="312">
        <f>'I-4 History'!G395</f>
        <v>0</v>
      </c>
      <c r="H401" s="312">
        <f>'I-4 History'!H395</f>
        <v>0</v>
      </c>
      <c r="I401" s="312">
        <f>'I-4 History'!I395</f>
        <v>0</v>
      </c>
      <c r="J401" s="312">
        <f>'I-4 History'!J395</f>
        <v>0</v>
      </c>
      <c r="K401" s="312">
        <f>'I-4 History'!K395</f>
        <v>0</v>
      </c>
      <c r="L401" s="310">
        <f ca="1">'A-19'!B$68</f>
        <v>0</v>
      </c>
      <c r="M401" s="835">
        <f ca="1">'A-19'!C$68</f>
        <v>0</v>
      </c>
      <c r="N401" s="312">
        <f ca="1">'A-19'!D$68</f>
        <v>0</v>
      </c>
      <c r="O401" s="310">
        <f ca="1">'A-19'!E$68</f>
        <v>0</v>
      </c>
      <c r="P401" s="310">
        <f ca="1">'A-19'!F$68</f>
        <v>0</v>
      </c>
      <c r="Q401" s="310">
        <f ca="1">'A-19'!G$68</f>
        <v>0</v>
      </c>
      <c r="R401" s="310">
        <f ca="1">'A-19'!H$68</f>
        <v>0</v>
      </c>
      <c r="S401" s="310">
        <f ca="1">'A-19'!I$68</f>
        <v>0</v>
      </c>
    </row>
    <row r="402" spans="1:19">
      <c r="B402" s="249"/>
      <c r="C402" s="13" t="s">
        <v>70</v>
      </c>
      <c r="D402" s="312">
        <f>'I-4 History'!D396</f>
        <v>0</v>
      </c>
      <c r="E402" s="312">
        <f>'I-4 History'!E396</f>
        <v>0</v>
      </c>
      <c r="F402" s="312">
        <f>'I-4 History'!F396</f>
        <v>0</v>
      </c>
      <c r="G402" s="312">
        <f>'I-4 History'!G396</f>
        <v>0</v>
      </c>
      <c r="H402" s="312">
        <f>'I-4 History'!H396</f>
        <v>0</v>
      </c>
      <c r="I402" s="312">
        <f>'I-4 History'!I396</f>
        <v>0</v>
      </c>
      <c r="J402" s="312">
        <f>'I-4 History'!J396</f>
        <v>0</v>
      </c>
      <c r="K402" s="312">
        <f>'I-4 History'!K396</f>
        <v>0</v>
      </c>
      <c r="L402" s="310">
        <f ca="1">'A-19'!B$69</f>
        <v>0</v>
      </c>
      <c r="M402" s="835">
        <f ca="1">'A-19'!C$69</f>
        <v>0</v>
      </c>
      <c r="N402" s="312">
        <f ca="1">'A-19'!D$69</f>
        <v>0</v>
      </c>
      <c r="O402" s="310">
        <f ca="1">'A-19'!E$69</f>
        <v>0</v>
      </c>
      <c r="P402" s="310">
        <f ca="1">'A-19'!F$69</f>
        <v>0</v>
      </c>
      <c r="Q402" s="310">
        <f ca="1">'A-19'!G$69</f>
        <v>0</v>
      </c>
      <c r="R402" s="310">
        <f ca="1">'A-19'!H$69</f>
        <v>0</v>
      </c>
      <c r="S402" s="310">
        <f ca="1">'A-19'!I$69</f>
        <v>0</v>
      </c>
    </row>
    <row r="403" spans="1:19">
      <c r="B403" s="249"/>
      <c r="C403" s="12" t="s">
        <v>75</v>
      </c>
      <c r="D403" s="313">
        <f t="shared" ref="D403:K403" si="92">SUBTOTAL(9,D397:D402)</f>
        <v>0</v>
      </c>
      <c r="E403" s="311">
        <f t="shared" si="92"/>
        <v>0</v>
      </c>
      <c r="F403" s="311">
        <f t="shared" si="92"/>
        <v>0</v>
      </c>
      <c r="G403" s="311">
        <f t="shared" si="92"/>
        <v>0</v>
      </c>
      <c r="H403" s="311">
        <f t="shared" si="92"/>
        <v>0</v>
      </c>
      <c r="I403" s="311">
        <f t="shared" si="92"/>
        <v>0</v>
      </c>
      <c r="J403" s="311">
        <f t="shared" si="92"/>
        <v>0</v>
      </c>
      <c r="K403" s="311">
        <f t="shared" si="92"/>
        <v>0</v>
      </c>
      <c r="L403" s="311">
        <f t="shared" ref="L403:S403" ca="1" si="93">SUBTOTAL(9,L397:L402)</f>
        <v>0</v>
      </c>
      <c r="M403" s="513">
        <f t="shared" ca="1" si="93"/>
        <v>0</v>
      </c>
      <c r="N403" s="313">
        <f t="shared" ca="1" si="93"/>
        <v>0.90000000000000013</v>
      </c>
      <c r="O403" s="311">
        <f t="shared" ca="1" si="93"/>
        <v>0.92511588492478269</v>
      </c>
      <c r="P403" s="311">
        <f t="shared" ca="1" si="93"/>
        <v>0.95016517898098163</v>
      </c>
      <c r="Q403" s="311">
        <f t="shared" ca="1" si="93"/>
        <v>0.97692864389566147</v>
      </c>
      <c r="R403" s="311">
        <f t="shared" ca="1" si="93"/>
        <v>1.0053275851487593</v>
      </c>
      <c r="S403" s="311">
        <f t="shared" ca="1" si="93"/>
        <v>1.0337864259019025</v>
      </c>
    </row>
    <row r="404" spans="1:19">
      <c r="B404" s="249"/>
      <c r="C404" s="12"/>
      <c r="D404" s="263"/>
      <c r="E404" s="263"/>
      <c r="F404" s="263"/>
      <c r="G404" s="263"/>
      <c r="H404" s="263"/>
      <c r="I404" s="263"/>
      <c r="J404" s="263"/>
      <c r="K404" s="263"/>
      <c r="L404" s="263"/>
      <c r="M404" s="836"/>
      <c r="N404" s="263"/>
      <c r="O404" s="263"/>
      <c r="P404" s="263"/>
      <c r="Q404" s="263"/>
      <c r="R404" s="263"/>
      <c r="S404" s="263"/>
    </row>
    <row r="405" spans="1:19">
      <c r="A405" s="5"/>
      <c r="B405" s="249" t="str">
        <f ca="1">+'I-4 History'!B399</f>
        <v>A-20</v>
      </c>
      <c r="C405" s="14" t="str">
        <f ca="1">+'I-4 History'!C399</f>
        <v>Training Centre</v>
      </c>
      <c r="D405" s="11"/>
      <c r="E405" s="11"/>
      <c r="F405" s="11"/>
      <c r="G405" s="11"/>
      <c r="H405" s="11"/>
      <c r="I405" s="11"/>
      <c r="J405" s="11"/>
      <c r="K405" s="11"/>
      <c r="L405" s="11"/>
      <c r="M405" s="507"/>
      <c r="N405" s="11"/>
      <c r="O405" s="11"/>
      <c r="P405" s="11"/>
      <c r="Q405" s="11"/>
      <c r="R405" s="11"/>
      <c r="S405" s="11"/>
    </row>
    <row r="406" spans="1:19">
      <c r="A406" s="5"/>
      <c r="B406" s="249"/>
      <c r="C406" s="13" t="s">
        <v>68</v>
      </c>
      <c r="D406" s="312">
        <f>'I-4 History'!D400</f>
        <v>0</v>
      </c>
      <c r="E406" s="312">
        <f>'I-4 History'!E400</f>
        <v>0</v>
      </c>
      <c r="F406" s="312">
        <f>'I-4 History'!F400</f>
        <v>0</v>
      </c>
      <c r="G406" s="312">
        <f>'I-4 History'!G400</f>
        <v>0</v>
      </c>
      <c r="H406" s="312">
        <f>'I-4 History'!H400</f>
        <v>0</v>
      </c>
      <c r="I406" s="312">
        <f>'I-4 History'!I400</f>
        <v>0</v>
      </c>
      <c r="J406" s="312">
        <f>'I-4 History'!J400</f>
        <v>0</v>
      </c>
      <c r="K406" s="312">
        <f>'I-4 History'!K400</f>
        <v>0</v>
      </c>
      <c r="L406" s="310">
        <f ca="1">'A-20'!B$64</f>
        <v>0</v>
      </c>
      <c r="M406" s="835">
        <f ca="1">'A-20'!C$64</f>
        <v>0</v>
      </c>
      <c r="N406" s="312">
        <f ca="1">'A-20'!D$64</f>
        <v>2.9750000000000001</v>
      </c>
      <c r="O406" s="310">
        <f ca="1">'A-20'!E$64</f>
        <v>3.0710793871123441</v>
      </c>
      <c r="P406" s="310">
        <f ca="1">'A-20'!F$64</f>
        <v>3.1674944818766226</v>
      </c>
      <c r="Q406" s="310">
        <f ca="1">'A-20'!G$64</f>
        <v>3.2700341894462244</v>
      </c>
      <c r="R406" s="310">
        <f ca="1">'A-20'!H$64</f>
        <v>3.3782717935063737</v>
      </c>
      <c r="S406" s="310">
        <f ca="1">'A-20'!I$64</f>
        <v>3.4867941845912167</v>
      </c>
    </row>
    <row r="407" spans="1:19">
      <c r="A407" s="5"/>
      <c r="B407" s="249"/>
      <c r="C407" s="13" t="s">
        <v>69</v>
      </c>
      <c r="D407" s="312">
        <f>'I-4 History'!D401</f>
        <v>0</v>
      </c>
      <c r="E407" s="312">
        <f>'I-4 History'!E401</f>
        <v>0</v>
      </c>
      <c r="F407" s="312">
        <f>'I-4 History'!F401</f>
        <v>0</v>
      </c>
      <c r="G407" s="312">
        <f>'I-4 History'!G401</f>
        <v>0</v>
      </c>
      <c r="H407" s="312">
        <f>'I-4 History'!H401</f>
        <v>0</v>
      </c>
      <c r="I407" s="312">
        <f>'I-4 History'!I401</f>
        <v>0</v>
      </c>
      <c r="J407" s="312">
        <f>'I-4 History'!J401</f>
        <v>0</v>
      </c>
      <c r="K407" s="312">
        <f>'I-4 History'!K401</f>
        <v>0</v>
      </c>
      <c r="L407" s="310">
        <f ca="1">'A-20'!B$65</f>
        <v>0</v>
      </c>
      <c r="M407" s="835">
        <f ca="1">'A-20'!C$65</f>
        <v>0</v>
      </c>
      <c r="N407" s="312">
        <f ca="1">'A-20'!D$65</f>
        <v>0.14200000000000002</v>
      </c>
      <c r="O407" s="310">
        <f ca="1">'A-20'!E$65</f>
        <v>0.1435066140759354</v>
      </c>
      <c r="P407" s="310">
        <f ca="1">'A-20'!F$65</f>
        <v>0.14490262130755288</v>
      </c>
      <c r="Q407" s="310">
        <f ca="1">'A-20'!G$65</f>
        <v>0.14628255895442224</v>
      </c>
      <c r="R407" s="310">
        <f ca="1">'A-20'!H$65</f>
        <v>0.14777968047087339</v>
      </c>
      <c r="S407" s="310">
        <f ca="1">'A-20'!I$65</f>
        <v>0.14915105498444803</v>
      </c>
    </row>
    <row r="408" spans="1:19" s="759" customFormat="1">
      <c r="A408" s="5"/>
      <c r="B408" s="249"/>
      <c r="C408" s="13" t="s">
        <v>646</v>
      </c>
      <c r="D408" s="312">
        <f>'I-4 History'!D402</f>
        <v>0</v>
      </c>
      <c r="E408" s="312">
        <f>'I-4 History'!E402</f>
        <v>0</v>
      </c>
      <c r="F408" s="312">
        <f>'I-4 History'!F402</f>
        <v>0</v>
      </c>
      <c r="G408" s="312">
        <f>'I-4 History'!G402</f>
        <v>0</v>
      </c>
      <c r="H408" s="312">
        <f>'I-4 History'!H402</f>
        <v>0</v>
      </c>
      <c r="I408" s="312">
        <f>'I-4 History'!I402</f>
        <v>0</v>
      </c>
      <c r="J408" s="312">
        <f>'I-4 History'!J402</f>
        <v>0</v>
      </c>
      <c r="K408" s="312">
        <f>'I-4 History'!K402</f>
        <v>0</v>
      </c>
      <c r="L408" s="310">
        <f ca="1">'A-20'!B$66</f>
        <v>0</v>
      </c>
      <c r="M408" s="835">
        <f ca="1">'A-20'!C$66</f>
        <v>0</v>
      </c>
      <c r="N408" s="312">
        <f ca="1">'A-20'!D$66</f>
        <v>0</v>
      </c>
      <c r="O408" s="310">
        <f ca="1">'A-20'!E$66</f>
        <v>0</v>
      </c>
      <c r="P408" s="310">
        <f ca="1">'A-20'!F$66</f>
        <v>0</v>
      </c>
      <c r="Q408" s="310">
        <f ca="1">'A-20'!G$66</f>
        <v>0</v>
      </c>
      <c r="R408" s="310">
        <f ca="1">'A-20'!H$66</f>
        <v>0</v>
      </c>
      <c r="S408" s="310">
        <f ca="1">'A-20'!I$66</f>
        <v>0</v>
      </c>
    </row>
    <row r="409" spans="1:19">
      <c r="A409" s="5"/>
      <c r="B409" s="249"/>
      <c r="C409" s="13" t="s">
        <v>647</v>
      </c>
      <c r="D409" s="312">
        <f>'I-4 History'!D403</f>
        <v>0</v>
      </c>
      <c r="E409" s="312">
        <f>'I-4 History'!E403</f>
        <v>0</v>
      </c>
      <c r="F409" s="312">
        <f>'I-4 History'!F403</f>
        <v>0</v>
      </c>
      <c r="G409" s="312">
        <f>'I-4 History'!G403</f>
        <v>0</v>
      </c>
      <c r="H409" s="312">
        <f>'I-4 History'!H403</f>
        <v>0</v>
      </c>
      <c r="I409" s="312">
        <f>'I-4 History'!I403</f>
        <v>0</v>
      </c>
      <c r="J409" s="312">
        <f>'I-4 History'!J403</f>
        <v>0</v>
      </c>
      <c r="K409" s="312">
        <f>'I-4 History'!K403</f>
        <v>0</v>
      </c>
      <c r="L409" s="310">
        <f ca="1">'A-20'!B$67</f>
        <v>0</v>
      </c>
      <c r="M409" s="835">
        <f ca="1">'A-20'!C$67</f>
        <v>0</v>
      </c>
      <c r="N409" s="312">
        <f ca="1">'A-20'!D$67</f>
        <v>0.371</v>
      </c>
      <c r="O409" s="310">
        <f ca="1">'A-20'!E$67</f>
        <v>0.37681097599494989</v>
      </c>
      <c r="P409" s="310">
        <f ca="1">'A-20'!F$67</f>
        <v>0.38237890987299827</v>
      </c>
      <c r="Q409" s="310">
        <f ca="1">'A-20'!G$67</f>
        <v>0.38949456680616013</v>
      </c>
      <c r="R409" s="310">
        <f ca="1">'A-20'!H$67</f>
        <v>0.39761237813367289</v>
      </c>
      <c r="S409" s="310">
        <f ca="1">'A-20'!I$67</f>
        <v>0.40631844177160864</v>
      </c>
    </row>
    <row r="410" spans="1:19" s="759" customFormat="1">
      <c r="A410" s="5"/>
      <c r="B410" s="249"/>
      <c r="C410" s="13" t="s">
        <v>575</v>
      </c>
      <c r="D410" s="312">
        <f>'I-4 History'!D404</f>
        <v>0</v>
      </c>
      <c r="E410" s="312">
        <f>'I-4 History'!E404</f>
        <v>0</v>
      </c>
      <c r="F410" s="312">
        <f>'I-4 History'!F404</f>
        <v>0</v>
      </c>
      <c r="G410" s="312">
        <f>'I-4 History'!G404</f>
        <v>0</v>
      </c>
      <c r="H410" s="312">
        <f>'I-4 History'!H404</f>
        <v>0</v>
      </c>
      <c r="I410" s="312">
        <f>'I-4 History'!I404</f>
        <v>0</v>
      </c>
      <c r="J410" s="312">
        <f>'I-4 History'!J404</f>
        <v>0</v>
      </c>
      <c r="K410" s="312">
        <f>'I-4 History'!K404</f>
        <v>0</v>
      </c>
      <c r="L410" s="310">
        <f ca="1">'A-20'!B$68</f>
        <v>0</v>
      </c>
      <c r="M410" s="835">
        <f ca="1">'A-20'!C$68</f>
        <v>0</v>
      </c>
      <c r="N410" s="312">
        <f ca="1">'A-20'!D$68</f>
        <v>0</v>
      </c>
      <c r="O410" s="310">
        <f ca="1">'A-20'!E$68</f>
        <v>0</v>
      </c>
      <c r="P410" s="310">
        <f ca="1">'A-20'!F$68</f>
        <v>0</v>
      </c>
      <c r="Q410" s="310">
        <f ca="1">'A-20'!G$68</f>
        <v>0</v>
      </c>
      <c r="R410" s="310">
        <f ca="1">'A-20'!H$68</f>
        <v>0</v>
      </c>
      <c r="S410" s="310">
        <f ca="1">'A-20'!I$68</f>
        <v>0</v>
      </c>
    </row>
    <row r="411" spans="1:19">
      <c r="A411" s="5"/>
      <c r="B411" s="249"/>
      <c r="C411" s="13" t="s">
        <v>70</v>
      </c>
      <c r="D411" s="312">
        <f>'I-4 History'!D405</f>
        <v>0</v>
      </c>
      <c r="E411" s="312">
        <f>'I-4 History'!E405</f>
        <v>0</v>
      </c>
      <c r="F411" s="312">
        <f>'I-4 History'!F405</f>
        <v>0</v>
      </c>
      <c r="G411" s="312">
        <f>'I-4 History'!G405</f>
        <v>0</v>
      </c>
      <c r="H411" s="312">
        <f>'I-4 History'!H405</f>
        <v>0</v>
      </c>
      <c r="I411" s="312">
        <f>'I-4 History'!I405</f>
        <v>0</v>
      </c>
      <c r="J411" s="312">
        <f>'I-4 History'!J405</f>
        <v>0</v>
      </c>
      <c r="K411" s="312">
        <f>'I-4 History'!K405</f>
        <v>0</v>
      </c>
      <c r="L411" s="310">
        <f ca="1">'A-20'!B$69</f>
        <v>0</v>
      </c>
      <c r="M411" s="835">
        <f ca="1">'A-20'!C$69</f>
        <v>0</v>
      </c>
      <c r="N411" s="312">
        <f ca="1">'A-20'!D$69</f>
        <v>0</v>
      </c>
      <c r="O411" s="310">
        <f ca="1">'A-20'!E$69</f>
        <v>0</v>
      </c>
      <c r="P411" s="310">
        <f ca="1">'A-20'!F$69</f>
        <v>0</v>
      </c>
      <c r="Q411" s="310">
        <f ca="1">'A-20'!G$69</f>
        <v>0</v>
      </c>
      <c r="R411" s="310">
        <f ca="1">'A-20'!H$69</f>
        <v>0</v>
      </c>
      <c r="S411" s="310">
        <f ca="1">'A-20'!I$69</f>
        <v>0</v>
      </c>
    </row>
    <row r="412" spans="1:19">
      <c r="A412" s="5"/>
      <c r="B412" s="249"/>
      <c r="C412" s="12" t="s">
        <v>75</v>
      </c>
      <c r="D412" s="313">
        <f t="shared" ref="D412:K412" si="94">SUBTOTAL(9,D406:D411)</f>
        <v>0</v>
      </c>
      <c r="E412" s="311">
        <f t="shared" si="94"/>
        <v>0</v>
      </c>
      <c r="F412" s="311">
        <f t="shared" si="94"/>
        <v>0</v>
      </c>
      <c r="G412" s="311">
        <f t="shared" si="94"/>
        <v>0</v>
      </c>
      <c r="H412" s="311">
        <f t="shared" si="94"/>
        <v>0</v>
      </c>
      <c r="I412" s="311">
        <f t="shared" si="94"/>
        <v>0</v>
      </c>
      <c r="J412" s="311">
        <f t="shared" si="94"/>
        <v>0</v>
      </c>
      <c r="K412" s="311">
        <f t="shared" si="94"/>
        <v>0</v>
      </c>
      <c r="L412" s="311">
        <f t="shared" ref="L412:S412" ca="1" si="95">SUBTOTAL(9,L406:L411)</f>
        <v>0</v>
      </c>
      <c r="M412" s="513">
        <f t="shared" ca="1" si="95"/>
        <v>0</v>
      </c>
      <c r="N412" s="313">
        <f t="shared" ca="1" si="95"/>
        <v>3.488</v>
      </c>
      <c r="O412" s="311">
        <f t="shared" ca="1" si="95"/>
        <v>3.5913969771832295</v>
      </c>
      <c r="P412" s="311">
        <f t="shared" ca="1" si="95"/>
        <v>3.6947760130571741</v>
      </c>
      <c r="Q412" s="311">
        <f t="shared" ca="1" si="95"/>
        <v>3.8058113152068067</v>
      </c>
      <c r="R412" s="311">
        <f t="shared" ca="1" si="95"/>
        <v>3.9236638521109199</v>
      </c>
      <c r="S412" s="311">
        <f t="shared" ca="1" si="95"/>
        <v>4.042263681347273</v>
      </c>
    </row>
    <row r="413" spans="1:19">
      <c r="A413" s="5"/>
      <c r="B413" s="249"/>
      <c r="C413" s="12"/>
      <c r="D413" s="263"/>
      <c r="E413" s="263"/>
      <c r="F413" s="263"/>
      <c r="G413" s="263"/>
      <c r="H413" s="263"/>
      <c r="I413" s="263"/>
      <c r="J413" s="263"/>
      <c r="K413" s="263"/>
      <c r="L413" s="263"/>
      <c r="M413" s="836"/>
      <c r="N413" s="263"/>
      <c r="O413" s="263"/>
      <c r="P413" s="263"/>
      <c r="Q413" s="263"/>
      <c r="R413" s="263"/>
      <c r="S413" s="263"/>
    </row>
    <row r="414" spans="1:19">
      <c r="A414" s="5"/>
      <c r="B414" s="249" t="str">
        <f ca="1">+'I-4 History'!B408</f>
        <v>A-21</v>
      </c>
      <c r="C414" s="14" t="str">
        <f ca="1">+'I-4 History'!C408</f>
        <v>Apprentice Training</v>
      </c>
      <c r="D414" s="11"/>
      <c r="E414" s="11"/>
      <c r="F414" s="11"/>
      <c r="G414" s="11"/>
      <c r="H414" s="11"/>
      <c r="I414" s="11"/>
      <c r="J414" s="11"/>
      <c r="K414" s="11"/>
      <c r="L414" s="11"/>
      <c r="M414" s="507"/>
      <c r="N414" s="11"/>
      <c r="O414" s="11"/>
      <c r="P414" s="11"/>
      <c r="Q414" s="11"/>
      <c r="R414" s="11"/>
      <c r="S414" s="11"/>
    </row>
    <row r="415" spans="1:19">
      <c r="B415" s="249"/>
      <c r="C415" s="13" t="s">
        <v>68</v>
      </c>
      <c r="D415" s="312">
        <f>'I-4 History'!D409</f>
        <v>0</v>
      </c>
      <c r="E415" s="312">
        <f>'I-4 History'!E409</f>
        <v>0</v>
      </c>
      <c r="F415" s="312">
        <f>'I-4 History'!F409</f>
        <v>0</v>
      </c>
      <c r="G415" s="312">
        <f>'I-4 History'!G409</f>
        <v>0</v>
      </c>
      <c r="H415" s="312">
        <f>'I-4 History'!H409</f>
        <v>0</v>
      </c>
      <c r="I415" s="312">
        <f>'I-4 History'!I409</f>
        <v>0</v>
      </c>
      <c r="J415" s="312">
        <f>'I-4 History'!J409</f>
        <v>0</v>
      </c>
      <c r="K415" s="312">
        <f>'I-4 History'!K409</f>
        <v>0</v>
      </c>
      <c r="L415" s="310">
        <f ca="1">'A-21'!B$64</f>
        <v>0</v>
      </c>
      <c r="M415" s="835">
        <f ca="1">'A-21'!C$64</f>
        <v>0</v>
      </c>
      <c r="N415" s="312">
        <f ca="1">'A-21'!D$64</f>
        <v>1.4E-2</v>
      </c>
      <c r="O415" s="310">
        <f ca="1">'A-21'!E$64</f>
        <v>1.4452138292293382E-2</v>
      </c>
      <c r="P415" s="310">
        <f ca="1">'A-21'!F$64</f>
        <v>1.4905856385301753E-2</v>
      </c>
      <c r="Q415" s="310">
        <f ca="1">'A-21'!G$64</f>
        <v>1.538839618562929E-2</v>
      </c>
      <c r="R415" s="310">
        <f ca="1">'A-21'!H$64</f>
        <v>1.5897749616500582E-2</v>
      </c>
      <c r="S415" s="310">
        <f ca="1">'A-21'!I$64</f>
        <v>1.6408443221605725E-2</v>
      </c>
    </row>
    <row r="416" spans="1:19">
      <c r="B416" s="249"/>
      <c r="C416" s="13" t="s">
        <v>69</v>
      </c>
      <c r="D416" s="312">
        <f>'I-4 History'!D410</f>
        <v>0</v>
      </c>
      <c r="E416" s="312">
        <f>'I-4 History'!E410</f>
        <v>0</v>
      </c>
      <c r="F416" s="312">
        <f>'I-4 History'!F410</f>
        <v>0</v>
      </c>
      <c r="G416" s="312">
        <f>'I-4 History'!G410</f>
        <v>0</v>
      </c>
      <c r="H416" s="312">
        <f>'I-4 History'!H410</f>
        <v>0</v>
      </c>
      <c r="I416" s="312">
        <f>'I-4 History'!I410</f>
        <v>0</v>
      </c>
      <c r="J416" s="312">
        <f>'I-4 History'!J410</f>
        <v>0</v>
      </c>
      <c r="K416" s="312">
        <f>'I-4 History'!K410</f>
        <v>0</v>
      </c>
      <c r="L416" s="310">
        <f ca="1">'A-21'!B$65</f>
        <v>0</v>
      </c>
      <c r="M416" s="835">
        <f ca="1">'A-21'!C$65</f>
        <v>0</v>
      </c>
      <c r="N416" s="312">
        <f ca="1">'A-21'!D$65</f>
        <v>1E-3</v>
      </c>
      <c r="O416" s="310">
        <f ca="1">'A-21'!E$65</f>
        <v>1.0106099582812352E-3</v>
      </c>
      <c r="P416" s="310">
        <f ca="1">'A-21'!F$65</f>
        <v>1.0204409951236118E-3</v>
      </c>
      <c r="Q416" s="310">
        <f ca="1">'A-21'!G$65</f>
        <v>1.0301588658762129E-3</v>
      </c>
      <c r="R416" s="310">
        <f ca="1">'A-21'!H$65</f>
        <v>1.0407019751469957E-3</v>
      </c>
      <c r="S416" s="310">
        <f ca="1">'A-21'!I$65</f>
        <v>1.0503595421440001E-3</v>
      </c>
    </row>
    <row r="417" spans="1:19" s="759" customFormat="1">
      <c r="B417" s="249"/>
      <c r="C417" s="13" t="s">
        <v>646</v>
      </c>
      <c r="D417" s="312">
        <f>'I-4 History'!D411</f>
        <v>0</v>
      </c>
      <c r="E417" s="312">
        <f>'I-4 History'!E411</f>
        <v>0</v>
      </c>
      <c r="F417" s="312">
        <f>'I-4 History'!F411</f>
        <v>0</v>
      </c>
      <c r="G417" s="312">
        <f>'I-4 History'!G411</f>
        <v>0</v>
      </c>
      <c r="H417" s="312">
        <f>'I-4 History'!H411</f>
        <v>0</v>
      </c>
      <c r="I417" s="312">
        <f>'I-4 History'!I411</f>
        <v>0</v>
      </c>
      <c r="J417" s="312">
        <f>'I-4 History'!J411</f>
        <v>0</v>
      </c>
      <c r="K417" s="312">
        <f>'I-4 History'!K411</f>
        <v>0</v>
      </c>
      <c r="L417" s="310">
        <f ca="1">'A-21'!B$66</f>
        <v>0</v>
      </c>
      <c r="M417" s="835">
        <f ca="1">'A-21'!C$66</f>
        <v>0</v>
      </c>
      <c r="N417" s="312">
        <f ca="1">'A-21'!D$66</f>
        <v>2E-3</v>
      </c>
      <c r="O417" s="310">
        <f ca="1">'A-21'!E$66</f>
        <v>2.0313260161452826E-3</v>
      </c>
      <c r="P417" s="310">
        <f ca="1">'A-21'!F$66</f>
        <v>2.0613418321994517E-3</v>
      </c>
      <c r="Q417" s="310">
        <f ca="1">'A-21'!G$66</f>
        <v>2.0997011687663623E-3</v>
      </c>
      <c r="R417" s="310">
        <f ca="1">'A-21'!H$66</f>
        <v>2.1434629548985062E-3</v>
      </c>
      <c r="S417" s="310">
        <f ca="1">'A-21'!I$66</f>
        <v>2.1903959125154104E-3</v>
      </c>
    </row>
    <row r="418" spans="1:19">
      <c r="B418" s="249"/>
      <c r="C418" s="13" t="s">
        <v>647</v>
      </c>
      <c r="D418" s="312">
        <f>'I-4 History'!D412</f>
        <v>0</v>
      </c>
      <c r="E418" s="312">
        <f>'I-4 History'!E412</f>
        <v>0</v>
      </c>
      <c r="F418" s="312">
        <f>'I-4 History'!F412</f>
        <v>0</v>
      </c>
      <c r="G418" s="312">
        <f>'I-4 History'!G412</f>
        <v>0</v>
      </c>
      <c r="H418" s="312">
        <f>'I-4 History'!H412</f>
        <v>0</v>
      </c>
      <c r="I418" s="312">
        <f>'I-4 History'!I412</f>
        <v>0</v>
      </c>
      <c r="J418" s="312">
        <f>'I-4 History'!J412</f>
        <v>0</v>
      </c>
      <c r="K418" s="312">
        <f>'I-4 History'!K412</f>
        <v>0</v>
      </c>
      <c r="L418" s="310">
        <f ca="1">'A-21'!B$67</f>
        <v>0</v>
      </c>
      <c r="M418" s="835">
        <f ca="1">'A-21'!C$67</f>
        <v>0</v>
      </c>
      <c r="N418" s="312">
        <f ca="1">'A-21'!D$67</f>
        <v>0</v>
      </c>
      <c r="O418" s="310">
        <f ca="1">'A-21'!E$67</f>
        <v>0</v>
      </c>
      <c r="P418" s="310">
        <f ca="1">'A-21'!F$67</f>
        <v>0</v>
      </c>
      <c r="Q418" s="310">
        <f ca="1">'A-21'!G$67</f>
        <v>0</v>
      </c>
      <c r="R418" s="310">
        <f ca="1">'A-21'!H$67</f>
        <v>0</v>
      </c>
      <c r="S418" s="310">
        <f ca="1">'A-21'!I$67</f>
        <v>0</v>
      </c>
    </row>
    <row r="419" spans="1:19" s="759" customFormat="1">
      <c r="B419" s="249"/>
      <c r="C419" s="13" t="s">
        <v>575</v>
      </c>
      <c r="D419" s="312">
        <f>'I-4 History'!D413</f>
        <v>0</v>
      </c>
      <c r="E419" s="312">
        <f>'I-4 History'!E413</f>
        <v>0</v>
      </c>
      <c r="F419" s="312">
        <f>'I-4 History'!F413</f>
        <v>0</v>
      </c>
      <c r="G419" s="312">
        <f>'I-4 History'!G413</f>
        <v>0</v>
      </c>
      <c r="H419" s="312">
        <f>'I-4 History'!H413</f>
        <v>0</v>
      </c>
      <c r="I419" s="312">
        <f>'I-4 History'!I413</f>
        <v>0</v>
      </c>
      <c r="J419" s="312">
        <f>'I-4 History'!J413</f>
        <v>0</v>
      </c>
      <c r="K419" s="312">
        <f>'I-4 History'!K413</f>
        <v>0</v>
      </c>
      <c r="L419" s="310">
        <f ca="1">'A-21'!B$68</f>
        <v>0</v>
      </c>
      <c r="M419" s="835">
        <f ca="1">'A-21'!C$68</f>
        <v>0</v>
      </c>
      <c r="N419" s="312">
        <f ca="1">'A-21'!D$68</f>
        <v>0</v>
      </c>
      <c r="O419" s="310">
        <f ca="1">'A-21'!E$68</f>
        <v>0</v>
      </c>
      <c r="P419" s="310">
        <f ca="1">'A-21'!F$68</f>
        <v>0</v>
      </c>
      <c r="Q419" s="310">
        <f ca="1">'A-21'!G$68</f>
        <v>0</v>
      </c>
      <c r="R419" s="310">
        <f ca="1">'A-21'!H$68</f>
        <v>0</v>
      </c>
      <c r="S419" s="310">
        <f ca="1">'A-21'!I$68</f>
        <v>0</v>
      </c>
    </row>
    <row r="420" spans="1:19">
      <c r="B420" s="249"/>
      <c r="C420" s="13" t="s">
        <v>70</v>
      </c>
      <c r="D420" s="312">
        <f>'I-4 History'!D414</f>
        <v>0</v>
      </c>
      <c r="E420" s="312">
        <f>'I-4 History'!E414</f>
        <v>0</v>
      </c>
      <c r="F420" s="312">
        <f>'I-4 History'!F414</f>
        <v>0</v>
      </c>
      <c r="G420" s="312">
        <f>'I-4 History'!G414</f>
        <v>0</v>
      </c>
      <c r="H420" s="312">
        <f>'I-4 History'!H414</f>
        <v>0</v>
      </c>
      <c r="I420" s="312">
        <f>'I-4 History'!I414</f>
        <v>0</v>
      </c>
      <c r="J420" s="312">
        <f>'I-4 History'!J414</f>
        <v>0</v>
      </c>
      <c r="K420" s="312">
        <f>'I-4 History'!K414</f>
        <v>0</v>
      </c>
      <c r="L420" s="310">
        <f ca="1">'A-21'!B$69</f>
        <v>0</v>
      </c>
      <c r="M420" s="835">
        <f ca="1">'A-21'!C$69</f>
        <v>0</v>
      </c>
      <c r="N420" s="312">
        <f ca="1">'A-21'!D$69</f>
        <v>0</v>
      </c>
      <c r="O420" s="310">
        <f ca="1">'A-21'!E$69</f>
        <v>0</v>
      </c>
      <c r="P420" s="310">
        <f ca="1">'A-21'!F$69</f>
        <v>0</v>
      </c>
      <c r="Q420" s="310">
        <f ca="1">'A-21'!G$69</f>
        <v>0</v>
      </c>
      <c r="R420" s="310">
        <f ca="1">'A-21'!H$69</f>
        <v>0</v>
      </c>
      <c r="S420" s="310">
        <f ca="1">'A-21'!I$69</f>
        <v>0</v>
      </c>
    </row>
    <row r="421" spans="1:19">
      <c r="B421" s="249"/>
      <c r="C421" s="12" t="s">
        <v>75</v>
      </c>
      <c r="D421" s="313">
        <f t="shared" ref="D421:K421" si="96">SUBTOTAL(9,D415:D420)</f>
        <v>0</v>
      </c>
      <c r="E421" s="311">
        <f t="shared" si="96"/>
        <v>0</v>
      </c>
      <c r="F421" s="311">
        <f t="shared" si="96"/>
        <v>0</v>
      </c>
      <c r="G421" s="311">
        <f t="shared" si="96"/>
        <v>0</v>
      </c>
      <c r="H421" s="311">
        <f t="shared" si="96"/>
        <v>0</v>
      </c>
      <c r="I421" s="311">
        <f t="shared" si="96"/>
        <v>0</v>
      </c>
      <c r="J421" s="311">
        <f t="shared" si="96"/>
        <v>0</v>
      </c>
      <c r="K421" s="311">
        <f t="shared" si="96"/>
        <v>0</v>
      </c>
      <c r="L421" s="311">
        <f t="shared" ref="L421:S421" ca="1" si="97">SUBTOTAL(9,L415:L420)</f>
        <v>0</v>
      </c>
      <c r="M421" s="513">
        <f t="shared" ca="1" si="97"/>
        <v>0</v>
      </c>
      <c r="N421" s="313">
        <f t="shared" ca="1" si="97"/>
        <v>1.7000000000000001E-2</v>
      </c>
      <c r="O421" s="311">
        <f t="shared" ca="1" si="97"/>
        <v>1.7494074266719898E-2</v>
      </c>
      <c r="P421" s="311">
        <f t="shared" ca="1" si="97"/>
        <v>1.7987639212624817E-2</v>
      </c>
      <c r="Q421" s="311">
        <f t="shared" ca="1" si="97"/>
        <v>1.8518256220271864E-2</v>
      </c>
      <c r="R421" s="311">
        <f t="shared" ca="1" si="97"/>
        <v>1.9081914546546085E-2</v>
      </c>
      <c r="S421" s="311">
        <f t="shared" ca="1" si="97"/>
        <v>1.9649198676265137E-2</v>
      </c>
    </row>
    <row r="422" spans="1:19">
      <c r="B422" s="249"/>
      <c r="C422" s="15"/>
      <c r="D422" s="263"/>
      <c r="E422" s="263"/>
      <c r="F422" s="263"/>
      <c r="G422" s="263"/>
      <c r="H422" s="263"/>
      <c r="I422" s="263"/>
      <c r="J422" s="263"/>
      <c r="K422" s="263"/>
      <c r="L422" s="263"/>
      <c r="M422" s="836"/>
      <c r="N422" s="263"/>
      <c r="O422" s="263"/>
      <c r="P422" s="263"/>
      <c r="Q422" s="263"/>
      <c r="R422" s="263"/>
      <c r="S422" s="263"/>
    </row>
    <row r="423" spans="1:19">
      <c r="A423" s="5"/>
      <c r="B423" s="249" t="str">
        <f ca="1">+'I-4 History'!B417</f>
        <v>A-22</v>
      </c>
      <c r="C423" s="14" t="str">
        <f ca="1">+'I-4 History'!C417</f>
        <v>Training Centre Management</v>
      </c>
      <c r="D423" s="312"/>
      <c r="E423" s="310"/>
      <c r="F423" s="310"/>
      <c r="G423" s="310"/>
      <c r="H423" s="310"/>
      <c r="I423" s="310"/>
      <c r="J423" s="310"/>
      <c r="K423" s="310"/>
      <c r="L423" s="11"/>
      <c r="M423" s="507"/>
      <c r="N423" s="11"/>
      <c r="O423" s="11"/>
      <c r="P423" s="11"/>
      <c r="Q423" s="11"/>
      <c r="R423" s="11"/>
      <c r="S423" s="11"/>
    </row>
    <row r="424" spans="1:19">
      <c r="A424" s="5"/>
      <c r="B424" s="249"/>
      <c r="C424" s="13" t="s">
        <v>68</v>
      </c>
      <c r="D424" s="312">
        <f>'I-4 History'!D418</f>
        <v>0</v>
      </c>
      <c r="E424" s="312">
        <f>'I-4 History'!E418</f>
        <v>0</v>
      </c>
      <c r="F424" s="312">
        <f>'I-4 History'!F418</f>
        <v>0</v>
      </c>
      <c r="G424" s="312">
        <f>'I-4 History'!G418</f>
        <v>0</v>
      </c>
      <c r="H424" s="312">
        <f>'I-4 History'!H418</f>
        <v>0</v>
      </c>
      <c r="I424" s="312">
        <f>'I-4 History'!I418</f>
        <v>0</v>
      </c>
      <c r="J424" s="312">
        <f>'I-4 History'!J418</f>
        <v>0</v>
      </c>
      <c r="K424" s="312">
        <f>'I-4 History'!K418</f>
        <v>0</v>
      </c>
      <c r="L424" s="310">
        <f ca="1">'A-22'!B$64</f>
        <v>0</v>
      </c>
      <c r="M424" s="835">
        <f ca="1">'A-22'!C$64</f>
        <v>0</v>
      </c>
      <c r="N424" s="312">
        <f ca="1">'A-22'!D$64</f>
        <v>1.0049999999999999</v>
      </c>
      <c r="O424" s="310">
        <f ca="1">'A-22'!E$64</f>
        <v>1.0374570702682036</v>
      </c>
      <c r="P424" s="310">
        <f ca="1">'A-22'!F$64</f>
        <v>1.0700275476591614</v>
      </c>
      <c r="Q424" s="310">
        <f ca="1">'A-22'!G$64</f>
        <v>1.1046670118969597</v>
      </c>
      <c r="R424" s="310">
        <f ca="1">'A-22'!H$64</f>
        <v>1.1412313117559343</v>
      </c>
      <c r="S424" s="310">
        <f ca="1">'A-22'!I$64</f>
        <v>1.1778918169795536</v>
      </c>
    </row>
    <row r="425" spans="1:19">
      <c r="A425" s="5"/>
      <c r="B425" s="249"/>
      <c r="C425" s="13" t="s">
        <v>69</v>
      </c>
      <c r="D425" s="312">
        <f>'I-4 History'!D419</f>
        <v>0</v>
      </c>
      <c r="E425" s="312">
        <f>'I-4 History'!E419</f>
        <v>0</v>
      </c>
      <c r="F425" s="312">
        <f>'I-4 History'!F419</f>
        <v>0</v>
      </c>
      <c r="G425" s="312">
        <f>'I-4 History'!G419</f>
        <v>0</v>
      </c>
      <c r="H425" s="312">
        <f>'I-4 History'!H419</f>
        <v>0</v>
      </c>
      <c r="I425" s="312">
        <f>'I-4 History'!I419</f>
        <v>0</v>
      </c>
      <c r="J425" s="312">
        <f>'I-4 History'!J419</f>
        <v>0</v>
      </c>
      <c r="K425" s="312">
        <f>'I-4 History'!K419</f>
        <v>0</v>
      </c>
      <c r="L425" s="310">
        <f ca="1">'A-22'!B$65</f>
        <v>0</v>
      </c>
      <c r="M425" s="835">
        <f ca="1">'A-22'!C$65</f>
        <v>0</v>
      </c>
      <c r="N425" s="312">
        <f ca="1">'A-22'!D$65</f>
        <v>-2.2000000000000002E-2</v>
      </c>
      <c r="O425" s="310">
        <f ca="1">'A-22'!E$65</f>
        <v>-2.2233419082187175E-2</v>
      </c>
      <c r="P425" s="310">
        <f ca="1">'A-22'!F$65</f>
        <v>-2.244970189271946E-2</v>
      </c>
      <c r="Q425" s="310">
        <f ca="1">'A-22'!G$65</f>
        <v>-2.2663495049276686E-2</v>
      </c>
      <c r="R425" s="310">
        <f ca="1">'A-22'!H$65</f>
        <v>-2.2895443453233907E-2</v>
      </c>
      <c r="S425" s="310">
        <f ca="1">'A-22'!I$65</f>
        <v>-2.3107909927168005E-2</v>
      </c>
    </row>
    <row r="426" spans="1:19" s="759" customFormat="1">
      <c r="A426" s="5"/>
      <c r="B426" s="249"/>
      <c r="C426" s="13" t="s">
        <v>646</v>
      </c>
      <c r="D426" s="312">
        <f>'I-4 History'!D420</f>
        <v>0</v>
      </c>
      <c r="E426" s="312">
        <f>'I-4 History'!E420</f>
        <v>0</v>
      </c>
      <c r="F426" s="312">
        <f>'I-4 History'!F420</f>
        <v>0</v>
      </c>
      <c r="G426" s="312">
        <f>'I-4 History'!G420</f>
        <v>0</v>
      </c>
      <c r="H426" s="312">
        <f>'I-4 History'!H420</f>
        <v>0</v>
      </c>
      <c r="I426" s="312">
        <f>'I-4 History'!I420</f>
        <v>0</v>
      </c>
      <c r="J426" s="312">
        <f>'I-4 History'!J420</f>
        <v>0</v>
      </c>
      <c r="K426" s="312">
        <f>'I-4 History'!K420</f>
        <v>0</v>
      </c>
      <c r="L426" s="310">
        <f ca="1">'A-22'!B$66</f>
        <v>0</v>
      </c>
      <c r="M426" s="835">
        <f ca="1">'A-22'!C$66</f>
        <v>0</v>
      </c>
      <c r="N426" s="312">
        <f ca="1">'A-22'!D$66</f>
        <v>1.7000000000000001E-2</v>
      </c>
      <c r="O426" s="310">
        <f ca="1">'A-22'!E$66</f>
        <v>1.72662711372349E-2</v>
      </c>
      <c r="P426" s="310">
        <f ca="1">'A-22'!F$66</f>
        <v>1.7521405573695338E-2</v>
      </c>
      <c r="Q426" s="310">
        <f ca="1">'A-22'!G$66</f>
        <v>1.784745993451408E-2</v>
      </c>
      <c r="R426" s="310">
        <f ca="1">'A-22'!H$66</f>
        <v>1.8219435116637303E-2</v>
      </c>
      <c r="S426" s="310">
        <f ca="1">'A-22'!I$66</f>
        <v>1.8618365256380991E-2</v>
      </c>
    </row>
    <row r="427" spans="1:19">
      <c r="A427" s="5"/>
      <c r="B427" s="249"/>
      <c r="C427" s="13" t="s">
        <v>647</v>
      </c>
      <c r="D427" s="312">
        <f>'I-4 History'!D421</f>
        <v>0</v>
      </c>
      <c r="E427" s="312">
        <f>'I-4 History'!E421</f>
        <v>0</v>
      </c>
      <c r="F427" s="312">
        <f>'I-4 History'!F421</f>
        <v>0</v>
      </c>
      <c r="G427" s="312">
        <f>'I-4 History'!G421</f>
        <v>0</v>
      </c>
      <c r="H427" s="312">
        <f>'I-4 History'!H421</f>
        <v>0</v>
      </c>
      <c r="I427" s="312">
        <f>'I-4 History'!I421</f>
        <v>0</v>
      </c>
      <c r="J427" s="312">
        <f>'I-4 History'!J421</f>
        <v>0</v>
      </c>
      <c r="K427" s="312">
        <f>'I-4 History'!K421</f>
        <v>0</v>
      </c>
      <c r="L427" s="310">
        <f ca="1">'A-22'!B$67</f>
        <v>0</v>
      </c>
      <c r="M427" s="835">
        <f ca="1">'A-22'!C$67</f>
        <v>0</v>
      </c>
      <c r="N427" s="312">
        <f ca="1">'A-22'!D$67</f>
        <v>5.3999999999999999E-2</v>
      </c>
      <c r="O427" s="310">
        <f ca="1">'A-22'!E$67</f>
        <v>5.4845802435922623E-2</v>
      </c>
      <c r="P427" s="310">
        <f ca="1">'A-22'!F$67</f>
        <v>5.5656229469385185E-2</v>
      </c>
      <c r="Q427" s="310">
        <f ca="1">'A-22'!G$67</f>
        <v>5.669193155669177E-2</v>
      </c>
      <c r="R427" s="310">
        <f ca="1">'A-22'!H$67</f>
        <v>5.7873499782259669E-2</v>
      </c>
      <c r="S427" s="310">
        <f ca="1">'A-22'!I$67</f>
        <v>5.9140689637916077E-2</v>
      </c>
    </row>
    <row r="428" spans="1:19" s="759" customFormat="1">
      <c r="A428" s="5"/>
      <c r="B428" s="249"/>
      <c r="C428" s="13" t="s">
        <v>575</v>
      </c>
      <c r="D428" s="312">
        <f>'I-4 History'!D422</f>
        <v>0</v>
      </c>
      <c r="E428" s="312">
        <f>'I-4 History'!E422</f>
        <v>0</v>
      </c>
      <c r="F428" s="312">
        <f>'I-4 History'!F422</f>
        <v>0</v>
      </c>
      <c r="G428" s="312">
        <f>'I-4 History'!G422</f>
        <v>0</v>
      </c>
      <c r="H428" s="312">
        <f>'I-4 History'!H422</f>
        <v>0</v>
      </c>
      <c r="I428" s="312">
        <f>'I-4 History'!I422</f>
        <v>0</v>
      </c>
      <c r="J428" s="312">
        <f>'I-4 History'!J422</f>
        <v>0</v>
      </c>
      <c r="K428" s="312">
        <f>'I-4 History'!K422</f>
        <v>0</v>
      </c>
      <c r="L428" s="310">
        <f ca="1">'A-22'!B$68</f>
        <v>0</v>
      </c>
      <c r="M428" s="835">
        <f ca="1">'A-22'!C$68</f>
        <v>0</v>
      </c>
      <c r="N428" s="312">
        <f ca="1">'A-22'!D$68</f>
        <v>0</v>
      </c>
      <c r="O428" s="310">
        <f ca="1">'A-22'!E$68</f>
        <v>0</v>
      </c>
      <c r="P428" s="310">
        <f ca="1">'A-22'!F$68</f>
        <v>0</v>
      </c>
      <c r="Q428" s="310">
        <f ca="1">'A-22'!G$68</f>
        <v>0</v>
      </c>
      <c r="R428" s="310">
        <f ca="1">'A-22'!H$68</f>
        <v>0</v>
      </c>
      <c r="S428" s="310">
        <f ca="1">'A-22'!I$68</f>
        <v>0</v>
      </c>
    </row>
    <row r="429" spans="1:19">
      <c r="A429" s="5"/>
      <c r="B429" s="249"/>
      <c r="C429" s="13" t="s">
        <v>70</v>
      </c>
      <c r="D429" s="312">
        <f>'I-4 History'!D423</f>
        <v>0</v>
      </c>
      <c r="E429" s="312">
        <f>'I-4 History'!E423</f>
        <v>0</v>
      </c>
      <c r="F429" s="312">
        <f>'I-4 History'!F423</f>
        <v>0</v>
      </c>
      <c r="G429" s="312">
        <f>'I-4 History'!G423</f>
        <v>0</v>
      </c>
      <c r="H429" s="312">
        <f>'I-4 History'!H423</f>
        <v>0</v>
      </c>
      <c r="I429" s="312">
        <f>'I-4 History'!I423</f>
        <v>0</v>
      </c>
      <c r="J429" s="312">
        <f>'I-4 History'!J423</f>
        <v>0</v>
      </c>
      <c r="K429" s="312">
        <f>'I-4 History'!K423</f>
        <v>0</v>
      </c>
      <c r="L429" s="310">
        <f ca="1">'A-22'!B$69</f>
        <v>0</v>
      </c>
      <c r="M429" s="835">
        <f ca="1">'A-22'!C$69</f>
        <v>0</v>
      </c>
      <c r="N429" s="312">
        <f ca="1">'A-22'!D$69</f>
        <v>0</v>
      </c>
      <c r="O429" s="310">
        <f ca="1">'A-22'!E$69</f>
        <v>0</v>
      </c>
      <c r="P429" s="310">
        <f ca="1">'A-22'!F$69</f>
        <v>0</v>
      </c>
      <c r="Q429" s="310">
        <f ca="1">'A-22'!G$69</f>
        <v>0</v>
      </c>
      <c r="R429" s="310">
        <f ca="1">'A-22'!H$69</f>
        <v>0</v>
      </c>
      <c r="S429" s="310">
        <f ca="1">'A-22'!I$69</f>
        <v>0</v>
      </c>
    </row>
    <row r="430" spans="1:19">
      <c r="A430" s="5"/>
      <c r="B430" s="249"/>
      <c r="C430" s="12" t="s">
        <v>75</v>
      </c>
      <c r="D430" s="313">
        <f t="shared" ref="D430:K430" si="98">SUBTOTAL(9,D424:D429)</f>
        <v>0</v>
      </c>
      <c r="E430" s="311">
        <f t="shared" si="98"/>
        <v>0</v>
      </c>
      <c r="F430" s="311">
        <f t="shared" si="98"/>
        <v>0</v>
      </c>
      <c r="G430" s="311">
        <f t="shared" si="98"/>
        <v>0</v>
      </c>
      <c r="H430" s="311">
        <f t="shared" si="98"/>
        <v>0</v>
      </c>
      <c r="I430" s="311">
        <f t="shared" si="98"/>
        <v>0</v>
      </c>
      <c r="J430" s="311">
        <f t="shared" si="98"/>
        <v>0</v>
      </c>
      <c r="K430" s="311">
        <f t="shared" si="98"/>
        <v>0</v>
      </c>
      <c r="L430" s="311">
        <f t="shared" ref="L430:S430" ca="1" si="99">SUBTOTAL(9,L424:L429)</f>
        <v>0</v>
      </c>
      <c r="M430" s="513">
        <f t="shared" ca="1" si="99"/>
        <v>0</v>
      </c>
      <c r="N430" s="313">
        <f t="shared" ca="1" si="99"/>
        <v>1.0539999999999998</v>
      </c>
      <c r="O430" s="311">
        <f t="shared" ca="1" si="99"/>
        <v>1.0873357247591739</v>
      </c>
      <c r="P430" s="311">
        <f t="shared" ca="1" si="99"/>
        <v>1.1207554808095226</v>
      </c>
      <c r="Q430" s="311">
        <f t="shared" ca="1" si="99"/>
        <v>1.1565429083388887</v>
      </c>
      <c r="R430" s="311">
        <f t="shared" ca="1" si="99"/>
        <v>1.1944288032015975</v>
      </c>
      <c r="S430" s="311">
        <f t="shared" ca="1" si="99"/>
        <v>1.2325429619466826</v>
      </c>
    </row>
    <row r="431" spans="1:19">
      <c r="A431" s="5"/>
      <c r="B431" s="249"/>
      <c r="C431" s="12"/>
      <c r="D431" s="263"/>
      <c r="E431" s="263"/>
      <c r="F431" s="263"/>
      <c r="G431" s="263"/>
      <c r="H431" s="263"/>
      <c r="I431" s="263"/>
      <c r="J431" s="263"/>
      <c r="K431" s="263"/>
      <c r="L431" s="263"/>
      <c r="M431" s="836"/>
      <c r="N431" s="263"/>
      <c r="O431" s="263"/>
      <c r="P431" s="263"/>
      <c r="Q431" s="263"/>
      <c r="R431" s="263"/>
      <c r="S431" s="263"/>
    </row>
    <row r="432" spans="1:19">
      <c r="A432" s="5"/>
      <c r="B432" s="249" t="str">
        <f ca="1">+'I-4 History'!B426</f>
        <v>A-23</v>
      </c>
      <c r="C432" s="14" t="str">
        <f ca="1">+'I-4 History'!C426</f>
        <v>Information Technology</v>
      </c>
      <c r="D432" s="11"/>
      <c r="E432" s="11"/>
      <c r="F432" s="11"/>
      <c r="G432" s="11"/>
      <c r="H432" s="11"/>
      <c r="I432" s="11"/>
      <c r="J432" s="11"/>
      <c r="K432" s="11"/>
      <c r="L432" s="11"/>
      <c r="M432" s="507"/>
      <c r="N432" s="11"/>
      <c r="O432" s="11"/>
      <c r="P432" s="11"/>
      <c r="Q432" s="11"/>
      <c r="R432" s="11"/>
      <c r="S432" s="11"/>
    </row>
    <row r="433" spans="1:19">
      <c r="A433" s="5"/>
      <c r="B433" s="249"/>
      <c r="C433" s="13" t="s">
        <v>68</v>
      </c>
      <c r="D433" s="312">
        <f>'I-4 History'!D427</f>
        <v>0</v>
      </c>
      <c r="E433" s="312">
        <f>'I-4 History'!E427</f>
        <v>0</v>
      </c>
      <c r="F433" s="312">
        <f>'I-4 History'!F427</f>
        <v>0</v>
      </c>
      <c r="G433" s="312">
        <f>'I-4 History'!G427</f>
        <v>0</v>
      </c>
      <c r="H433" s="312">
        <f>'I-4 History'!H427</f>
        <v>0</v>
      </c>
      <c r="I433" s="312">
        <f>'I-4 History'!I427</f>
        <v>0</v>
      </c>
      <c r="J433" s="312">
        <f>'I-4 History'!J427</f>
        <v>0</v>
      </c>
      <c r="K433" s="312">
        <f>'I-4 History'!K427</f>
        <v>0</v>
      </c>
      <c r="L433" s="310">
        <f ca="1">'A-23'!B$64</f>
        <v>0</v>
      </c>
      <c r="M433" s="835">
        <f ca="1">'A-23'!C$64</f>
        <v>0</v>
      </c>
      <c r="N433" s="312">
        <f ca="1">'A-23'!D$64</f>
        <v>12.128425568329797</v>
      </c>
      <c r="O433" s="310">
        <f ca="1">'A-23'!E$64</f>
        <v>12.824421136865453</v>
      </c>
      <c r="P433" s="310">
        <f ca="1">'A-23'!F$64</f>
        <v>13.527108596846876</v>
      </c>
      <c r="Q433" s="310">
        <f ca="1">'A-23'!G$64</f>
        <v>14.345898713937993</v>
      </c>
      <c r="R433" s="310">
        <f ca="1">'A-23'!H$64</f>
        <v>14.754181871169253</v>
      </c>
      <c r="S433" s="310">
        <f ca="1">'A-23'!I$64</f>
        <v>15.163539273775674</v>
      </c>
    </row>
    <row r="434" spans="1:19">
      <c r="A434" s="5"/>
      <c r="B434" s="249"/>
      <c r="C434" s="13" t="s">
        <v>69</v>
      </c>
      <c r="D434" s="312">
        <f>'I-4 History'!D428</f>
        <v>0</v>
      </c>
      <c r="E434" s="312">
        <f>'I-4 History'!E428</f>
        <v>0</v>
      </c>
      <c r="F434" s="312">
        <f>'I-4 History'!F428</f>
        <v>0</v>
      </c>
      <c r="G434" s="312">
        <f>'I-4 History'!G428</f>
        <v>0</v>
      </c>
      <c r="H434" s="312">
        <f>'I-4 History'!H428</f>
        <v>0</v>
      </c>
      <c r="I434" s="312">
        <f>'I-4 History'!I428</f>
        <v>0</v>
      </c>
      <c r="J434" s="312">
        <f>'I-4 History'!J428</f>
        <v>0</v>
      </c>
      <c r="K434" s="312">
        <f>'I-4 History'!K428</f>
        <v>0</v>
      </c>
      <c r="L434" s="310">
        <f ca="1">'A-23'!B$65</f>
        <v>0</v>
      </c>
      <c r="M434" s="835">
        <f ca="1">'A-23'!C$65</f>
        <v>0</v>
      </c>
      <c r="N434" s="312">
        <f ca="1">'A-23'!D$65</f>
        <v>0.36699999999999999</v>
      </c>
      <c r="O434" s="310">
        <f ca="1">'A-23'!E$65</f>
        <v>0.49189385468921326</v>
      </c>
      <c r="P434" s="310">
        <f ca="1">'A-23'!F$65</f>
        <v>0.66550184521036548</v>
      </c>
      <c r="Q434" s="310">
        <f ca="1">'A-23'!G$65</f>
        <v>0.67806830377657012</v>
      </c>
      <c r="R434" s="310">
        <f ca="1">'A-23'!H$65</f>
        <v>0.69493762487894739</v>
      </c>
      <c r="S434" s="310">
        <f ca="1">'A-23'!I$65</f>
        <v>0.69848195196684804</v>
      </c>
    </row>
    <row r="435" spans="1:19" s="759" customFormat="1">
      <c r="A435" s="5"/>
      <c r="B435" s="249"/>
      <c r="C435" s="13" t="s">
        <v>646</v>
      </c>
      <c r="D435" s="312">
        <f>'I-4 History'!D429</f>
        <v>0</v>
      </c>
      <c r="E435" s="312">
        <f>'I-4 History'!E429</f>
        <v>0</v>
      </c>
      <c r="F435" s="312">
        <f>'I-4 History'!F429</f>
        <v>0</v>
      </c>
      <c r="G435" s="312">
        <f>'I-4 History'!G429</f>
        <v>0</v>
      </c>
      <c r="H435" s="312">
        <f>'I-4 History'!H429</f>
        <v>0</v>
      </c>
      <c r="I435" s="312">
        <f>'I-4 History'!I429</f>
        <v>0</v>
      </c>
      <c r="J435" s="312">
        <f>'I-4 History'!J429</f>
        <v>0</v>
      </c>
      <c r="K435" s="312">
        <f>'I-4 History'!K429</f>
        <v>0</v>
      </c>
      <c r="L435" s="310">
        <f ca="1">'A-23'!B$66</f>
        <v>0</v>
      </c>
      <c r="M435" s="835">
        <f ca="1">'A-23'!C$66</f>
        <v>0</v>
      </c>
      <c r="N435" s="312">
        <f ca="1">'A-23'!D$66</f>
        <v>-7.3999999999999996E-2</v>
      </c>
      <c r="O435" s="310">
        <f ca="1">'A-23'!E$66</f>
        <v>-7.5159062597375453E-2</v>
      </c>
      <c r="P435" s="310">
        <f ca="1">'A-23'!F$66</f>
        <v>-7.6269647791379708E-2</v>
      </c>
      <c r="Q435" s="310">
        <f ca="1">'A-23'!G$66</f>
        <v>-7.768894324435538E-2</v>
      </c>
      <c r="R435" s="310">
        <f ca="1">'A-23'!H$66</f>
        <v>-7.9308129331244731E-2</v>
      </c>
      <c r="S435" s="310">
        <f ca="1">'A-23'!I$66</f>
        <v>-8.1044648763070173E-2</v>
      </c>
    </row>
    <row r="436" spans="1:19">
      <c r="A436" s="5"/>
      <c r="B436" s="249"/>
      <c r="C436" s="13" t="s">
        <v>647</v>
      </c>
      <c r="D436" s="312">
        <f>'I-4 History'!D430</f>
        <v>0</v>
      </c>
      <c r="E436" s="312">
        <f>'I-4 History'!E430</f>
        <v>0</v>
      </c>
      <c r="F436" s="312">
        <f>'I-4 History'!F430</f>
        <v>0</v>
      </c>
      <c r="G436" s="312">
        <f>'I-4 History'!G430</f>
        <v>0</v>
      </c>
      <c r="H436" s="312">
        <f>'I-4 History'!H430</f>
        <v>0</v>
      </c>
      <c r="I436" s="312">
        <f>'I-4 History'!I430</f>
        <v>0</v>
      </c>
      <c r="J436" s="312">
        <f>'I-4 History'!J430</f>
        <v>0</v>
      </c>
      <c r="K436" s="312">
        <f>'I-4 History'!K430</f>
        <v>0</v>
      </c>
      <c r="L436" s="310">
        <f ca="1">'A-23'!B$67</f>
        <v>0</v>
      </c>
      <c r="M436" s="835">
        <f ca="1">'A-23'!C$67</f>
        <v>0</v>
      </c>
      <c r="N436" s="312">
        <f ca="1">'A-23'!D$67</f>
        <v>7.3624255683297983</v>
      </c>
      <c r="O436" s="310">
        <f ca="1">'A-23'!E$67</f>
        <v>7.9031203801169712</v>
      </c>
      <c r="P436" s="310">
        <f ca="1">'A-23'!F$67</f>
        <v>7.8350114343398287</v>
      </c>
      <c r="Q436" s="310">
        <f ca="1">'A-23'!G$67</f>
        <v>8.6828353727778147</v>
      </c>
      <c r="R436" s="310">
        <f ca="1">'A-23'!H$67</f>
        <v>8.9610984184123765</v>
      </c>
      <c r="S436" s="310">
        <f ca="1">'A-23'!I$67</f>
        <v>9.1675980055997428</v>
      </c>
    </row>
    <row r="437" spans="1:19" s="759" customFormat="1">
      <c r="A437" s="5"/>
      <c r="B437" s="249"/>
      <c r="C437" s="13" t="s">
        <v>575</v>
      </c>
      <c r="D437" s="312">
        <f>'I-4 History'!D431</f>
        <v>0</v>
      </c>
      <c r="E437" s="312">
        <f>'I-4 History'!E431</f>
        <v>0</v>
      </c>
      <c r="F437" s="312">
        <f>'I-4 History'!F431</f>
        <v>0</v>
      </c>
      <c r="G437" s="312">
        <f>'I-4 History'!G431</f>
        <v>0</v>
      </c>
      <c r="H437" s="312">
        <f>'I-4 History'!H431</f>
        <v>0</v>
      </c>
      <c r="I437" s="312">
        <f>'I-4 History'!I431</f>
        <v>0</v>
      </c>
      <c r="J437" s="312">
        <f>'I-4 History'!J431</f>
        <v>0</v>
      </c>
      <c r="K437" s="312">
        <f>'I-4 History'!K431</f>
        <v>0</v>
      </c>
      <c r="L437" s="310">
        <f ca="1">'A-23'!B$68</f>
        <v>0</v>
      </c>
      <c r="M437" s="835">
        <f ca="1">'A-23'!C$68</f>
        <v>0</v>
      </c>
      <c r="N437" s="312">
        <f ca="1">'A-23'!D$68</f>
        <v>-2.6140000000000003</v>
      </c>
      <c r="O437" s="310">
        <f ca="1">'A-23'!E$68</f>
        <v>-2.6984206782896365</v>
      </c>
      <c r="P437" s="310">
        <f ca="1">'A-23'!F$68</f>
        <v>-2.7831363279413415</v>
      </c>
      <c r="Q437" s="310">
        <f ca="1">'A-23'!G$68</f>
        <v>-2.873233402088212</v>
      </c>
      <c r="R437" s="310">
        <f ca="1">'A-23'!H$68</f>
        <v>-2.9683369641094663</v>
      </c>
      <c r="S437" s="310">
        <f ca="1">'A-23'!I$68</f>
        <v>-3.0636907558055264</v>
      </c>
    </row>
    <row r="438" spans="1:19">
      <c r="A438" s="5"/>
      <c r="B438" s="249"/>
      <c r="C438" s="13" t="s">
        <v>70</v>
      </c>
      <c r="D438" s="312">
        <f>'I-4 History'!D432</f>
        <v>0</v>
      </c>
      <c r="E438" s="312">
        <f>'I-4 History'!E432</f>
        <v>0</v>
      </c>
      <c r="F438" s="312">
        <f>'I-4 History'!F432</f>
        <v>0</v>
      </c>
      <c r="G438" s="312">
        <f>'I-4 History'!G432</f>
        <v>0</v>
      </c>
      <c r="H438" s="312">
        <f>'I-4 History'!H432</f>
        <v>0</v>
      </c>
      <c r="I438" s="312">
        <f>'I-4 History'!I432</f>
        <v>0</v>
      </c>
      <c r="J438" s="312">
        <f>'I-4 History'!J432</f>
        <v>0</v>
      </c>
      <c r="K438" s="312">
        <f>'I-4 History'!K432</f>
        <v>0</v>
      </c>
      <c r="L438" s="310">
        <f ca="1">'A-23'!B$69</f>
        <v>0</v>
      </c>
      <c r="M438" s="835">
        <f ca="1">'A-23'!C$69</f>
        <v>0</v>
      </c>
      <c r="N438" s="312">
        <f ca="1">'A-23'!D$69</f>
        <v>0</v>
      </c>
      <c r="O438" s="310">
        <f ca="1">'A-23'!E$69</f>
        <v>0</v>
      </c>
      <c r="P438" s="310">
        <f ca="1">'A-23'!F$69</f>
        <v>0</v>
      </c>
      <c r="Q438" s="310">
        <f ca="1">'A-23'!G$69</f>
        <v>0</v>
      </c>
      <c r="R438" s="310">
        <f ca="1">'A-23'!H$69</f>
        <v>0</v>
      </c>
      <c r="S438" s="310">
        <f ca="1">'A-23'!I$69</f>
        <v>0</v>
      </c>
    </row>
    <row r="439" spans="1:19">
      <c r="A439" s="5"/>
      <c r="B439" s="249"/>
      <c r="C439" s="12" t="s">
        <v>75</v>
      </c>
      <c r="D439" s="313">
        <f t="shared" ref="D439:K439" si="100">SUBTOTAL(9,D433:D438)</f>
        <v>0</v>
      </c>
      <c r="E439" s="311">
        <f t="shared" si="100"/>
        <v>0</v>
      </c>
      <c r="F439" s="311">
        <f t="shared" si="100"/>
        <v>0</v>
      </c>
      <c r="G439" s="311">
        <f t="shared" si="100"/>
        <v>0</v>
      </c>
      <c r="H439" s="311">
        <f t="shared" si="100"/>
        <v>0</v>
      </c>
      <c r="I439" s="311">
        <f t="shared" si="100"/>
        <v>0</v>
      </c>
      <c r="J439" s="311">
        <f t="shared" si="100"/>
        <v>0</v>
      </c>
      <c r="K439" s="311">
        <f t="shared" si="100"/>
        <v>0</v>
      </c>
      <c r="L439" s="311">
        <f t="shared" ref="L439:S439" ca="1" si="101">SUBTOTAL(9,L433:L438)</f>
        <v>0</v>
      </c>
      <c r="M439" s="513">
        <f t="shared" ca="1" si="101"/>
        <v>0</v>
      </c>
      <c r="N439" s="313">
        <f t="shared" ca="1" si="101"/>
        <v>17.169851136659595</v>
      </c>
      <c r="O439" s="311">
        <f t="shared" ca="1" si="101"/>
        <v>18.445855630784624</v>
      </c>
      <c r="P439" s="311">
        <f t="shared" ca="1" si="101"/>
        <v>19.168215900664347</v>
      </c>
      <c r="Q439" s="311">
        <f t="shared" ca="1" si="101"/>
        <v>20.755880045159813</v>
      </c>
      <c r="R439" s="311">
        <f t="shared" ca="1" si="101"/>
        <v>21.362572821019867</v>
      </c>
      <c r="S439" s="311">
        <f t="shared" ca="1" si="101"/>
        <v>21.884883826773667</v>
      </c>
    </row>
    <row r="440" spans="1:19">
      <c r="A440" s="5"/>
      <c r="B440" s="249"/>
      <c r="C440" s="12"/>
      <c r="D440" s="263"/>
      <c r="E440" s="263"/>
      <c r="F440" s="263"/>
      <c r="G440" s="263"/>
      <c r="H440" s="263"/>
      <c r="I440" s="263"/>
      <c r="J440" s="263"/>
      <c r="K440" s="263"/>
      <c r="L440" s="263"/>
      <c r="M440" s="836"/>
      <c r="N440" s="263"/>
      <c r="O440" s="263"/>
      <c r="P440" s="263"/>
      <c r="Q440" s="263"/>
      <c r="R440" s="263"/>
      <c r="S440" s="263"/>
    </row>
    <row r="441" spans="1:19">
      <c r="A441" s="5"/>
      <c r="B441" s="249" t="str">
        <f ca="1">+'I-4 History'!B435</f>
        <v>A-24</v>
      </c>
      <c r="C441" s="14" t="str">
        <f ca="1">+'I-4 History'!C435</f>
        <v>Property – Offices and Depots</v>
      </c>
      <c r="D441" s="11"/>
      <c r="E441" s="11"/>
      <c r="F441" s="11"/>
      <c r="G441" s="11"/>
      <c r="H441" s="11"/>
      <c r="I441" s="11"/>
      <c r="J441" s="11"/>
      <c r="K441" s="11"/>
      <c r="L441" s="11"/>
      <c r="M441" s="507"/>
      <c r="N441" s="11"/>
      <c r="O441" s="11"/>
      <c r="P441" s="11"/>
      <c r="Q441" s="11"/>
      <c r="R441" s="11"/>
      <c r="S441" s="11"/>
    </row>
    <row r="442" spans="1:19">
      <c r="B442" s="249"/>
      <c r="C442" s="13" t="s">
        <v>68</v>
      </c>
      <c r="D442" s="312">
        <f>'I-4 History'!D436</f>
        <v>0</v>
      </c>
      <c r="E442" s="312">
        <f>'I-4 History'!E436</f>
        <v>0</v>
      </c>
      <c r="F442" s="312">
        <f>'I-4 History'!F436</f>
        <v>0</v>
      </c>
      <c r="G442" s="312">
        <f>'I-4 History'!G436</f>
        <v>0</v>
      </c>
      <c r="H442" s="312">
        <f>'I-4 History'!H436</f>
        <v>0</v>
      </c>
      <c r="I442" s="312">
        <f>'I-4 History'!I436</f>
        <v>0</v>
      </c>
      <c r="J442" s="312">
        <f>'I-4 History'!J436</f>
        <v>0</v>
      </c>
      <c r="K442" s="312">
        <f>'I-4 History'!K436</f>
        <v>0</v>
      </c>
      <c r="L442" s="310">
        <f ca="1">'A-24'!B$64</f>
        <v>0</v>
      </c>
      <c r="M442" s="835">
        <f ca="1">'A-24'!C$64</f>
        <v>0</v>
      </c>
      <c r="N442" s="312">
        <f ca="1">'A-24'!D$64</f>
        <v>0.78300000000000003</v>
      </c>
      <c r="O442" s="310">
        <f ca="1">'A-24'!E$64</f>
        <v>0.8082874487761228</v>
      </c>
      <c r="P442" s="310">
        <f ca="1">'A-24'!F$64</f>
        <v>0.83366325354937654</v>
      </c>
      <c r="Q442" s="310">
        <f ca="1">'A-24'!G$64</f>
        <v>0.86065101523912391</v>
      </c>
      <c r="R442" s="310">
        <f ca="1">'A-24'!H$64</f>
        <v>0.88913842497999684</v>
      </c>
      <c r="S442" s="310">
        <f ca="1">'A-24'!I$64</f>
        <v>0.91770078875123451</v>
      </c>
    </row>
    <row r="443" spans="1:19">
      <c r="B443" s="249"/>
      <c r="C443" s="13" t="s">
        <v>69</v>
      </c>
      <c r="D443" s="312">
        <f>'I-4 History'!D437</f>
        <v>0</v>
      </c>
      <c r="E443" s="312">
        <f>'I-4 History'!E437</f>
        <v>0</v>
      </c>
      <c r="F443" s="312">
        <f>'I-4 History'!F437</f>
        <v>0</v>
      </c>
      <c r="G443" s="312">
        <f>'I-4 History'!G437</f>
        <v>0</v>
      </c>
      <c r="H443" s="312">
        <f>'I-4 History'!H437</f>
        <v>0</v>
      </c>
      <c r="I443" s="312">
        <f>'I-4 History'!I437</f>
        <v>0</v>
      </c>
      <c r="J443" s="312">
        <f>'I-4 History'!J437</f>
        <v>0</v>
      </c>
      <c r="K443" s="312">
        <f>'I-4 History'!K437</f>
        <v>0</v>
      </c>
      <c r="L443" s="310">
        <f ca="1">'A-24'!B$65</f>
        <v>0</v>
      </c>
      <c r="M443" s="835">
        <f ca="1">'A-24'!C$65</f>
        <v>0</v>
      </c>
      <c r="N443" s="312">
        <f ca="1">'A-24'!D$65</f>
        <v>0.20600000000000002</v>
      </c>
      <c r="O443" s="310">
        <f ca="1">'A-24'!E$65</f>
        <v>0.20818565140593445</v>
      </c>
      <c r="P443" s="310">
        <f ca="1">'A-24'!F$65</f>
        <v>0.21021084499546402</v>
      </c>
      <c r="Q443" s="310">
        <f ca="1">'A-24'!G$65</f>
        <v>0.21221272637049987</v>
      </c>
      <c r="R443" s="310">
        <f ca="1">'A-24'!H$65</f>
        <v>0.21438460688028113</v>
      </c>
      <c r="S443" s="310">
        <f ca="1">'A-24'!I$65</f>
        <v>0.21637406568166406</v>
      </c>
    </row>
    <row r="444" spans="1:19" s="759" customFormat="1">
      <c r="B444" s="249"/>
      <c r="C444" s="13" t="s">
        <v>646</v>
      </c>
      <c r="D444" s="312">
        <f>'I-4 History'!D438</f>
        <v>0</v>
      </c>
      <c r="E444" s="312">
        <f>'I-4 History'!E438</f>
        <v>0</v>
      </c>
      <c r="F444" s="312">
        <f>'I-4 History'!F438</f>
        <v>0</v>
      </c>
      <c r="G444" s="312">
        <f>'I-4 History'!G438</f>
        <v>0</v>
      </c>
      <c r="H444" s="312">
        <f>'I-4 History'!H438</f>
        <v>0</v>
      </c>
      <c r="I444" s="312">
        <f>'I-4 History'!I438</f>
        <v>0</v>
      </c>
      <c r="J444" s="312">
        <f>'I-4 History'!J438</f>
        <v>0</v>
      </c>
      <c r="K444" s="312">
        <f>'I-4 History'!K438</f>
        <v>0</v>
      </c>
      <c r="L444" s="310">
        <f ca="1">'A-24'!B$66</f>
        <v>0</v>
      </c>
      <c r="M444" s="835">
        <f ca="1">'A-24'!C$66</f>
        <v>0</v>
      </c>
      <c r="N444" s="312">
        <f ca="1">'A-24'!D$66</f>
        <v>3.0000000000000001E-3</v>
      </c>
      <c r="O444" s="310">
        <f ca="1">'A-24'!E$66</f>
        <v>3.0469890242179236E-3</v>
      </c>
      <c r="P444" s="310">
        <f ca="1">'A-24'!F$66</f>
        <v>3.0920127482991768E-3</v>
      </c>
      <c r="Q444" s="310">
        <f ca="1">'A-24'!G$66</f>
        <v>3.1495517531495432E-3</v>
      </c>
      <c r="R444" s="310">
        <f ca="1">'A-24'!H$66</f>
        <v>3.2151944323477598E-3</v>
      </c>
      <c r="S444" s="310">
        <f ca="1">'A-24'!I$66</f>
        <v>3.2855938687731158E-3</v>
      </c>
    </row>
    <row r="445" spans="1:19">
      <c r="B445" s="249"/>
      <c r="C445" s="13" t="s">
        <v>647</v>
      </c>
      <c r="D445" s="312">
        <f>'I-4 History'!D439</f>
        <v>0</v>
      </c>
      <c r="E445" s="312">
        <f>'I-4 History'!E439</f>
        <v>0</v>
      </c>
      <c r="F445" s="312">
        <f>'I-4 History'!F439</f>
        <v>0</v>
      </c>
      <c r="G445" s="312">
        <f>'I-4 History'!G439</f>
        <v>0</v>
      </c>
      <c r="H445" s="312">
        <f>'I-4 History'!H439</f>
        <v>0</v>
      </c>
      <c r="I445" s="312">
        <f>'I-4 History'!I439</f>
        <v>0</v>
      </c>
      <c r="J445" s="312">
        <f>'I-4 History'!J439</f>
        <v>0</v>
      </c>
      <c r="K445" s="312">
        <f>'I-4 History'!K439</f>
        <v>0</v>
      </c>
      <c r="L445" s="310">
        <f ca="1">'A-24'!B$67</f>
        <v>0</v>
      </c>
      <c r="M445" s="835">
        <f ca="1">'A-24'!C$67</f>
        <v>0</v>
      </c>
      <c r="N445" s="312">
        <f ca="1">'A-24'!D$67</f>
        <v>6.4190000000000005</v>
      </c>
      <c r="O445" s="310">
        <f ca="1">'A-24'!E$67</f>
        <v>6.5195408488182842</v>
      </c>
      <c r="P445" s="310">
        <f ca="1">'A-24'!F$67</f>
        <v>6.6158766104441389</v>
      </c>
      <c r="Q445" s="310">
        <f ca="1">'A-24'!G$67</f>
        <v>6.7389909011556393</v>
      </c>
      <c r="R445" s="310">
        <f ca="1">'A-24'!H$67</f>
        <v>6.8794443537467567</v>
      </c>
      <c r="S445" s="310">
        <f ca="1">'A-24'!I$67</f>
        <v>7.0300756812182108</v>
      </c>
    </row>
    <row r="446" spans="1:19" s="759" customFormat="1">
      <c r="B446" s="249"/>
      <c r="C446" s="13" t="s">
        <v>575</v>
      </c>
      <c r="D446" s="312">
        <f>'I-4 History'!D440</f>
        <v>0</v>
      </c>
      <c r="E446" s="312">
        <f>'I-4 History'!E440</f>
        <v>0</v>
      </c>
      <c r="F446" s="312">
        <f>'I-4 History'!F440</f>
        <v>0</v>
      </c>
      <c r="G446" s="312">
        <f>'I-4 History'!G440</f>
        <v>0</v>
      </c>
      <c r="H446" s="312">
        <f>'I-4 History'!H440</f>
        <v>0</v>
      </c>
      <c r="I446" s="312">
        <f>'I-4 History'!I440</f>
        <v>0</v>
      </c>
      <c r="J446" s="312">
        <f>'I-4 History'!J440</f>
        <v>0</v>
      </c>
      <c r="K446" s="312">
        <f>'I-4 History'!K440</f>
        <v>0</v>
      </c>
      <c r="L446" s="310">
        <f ca="1">'A-24'!B$68</f>
        <v>0</v>
      </c>
      <c r="M446" s="835">
        <f ca="1">'A-24'!C$68</f>
        <v>0</v>
      </c>
      <c r="N446" s="312">
        <f ca="1">'A-24'!D$68</f>
        <v>-3.95</v>
      </c>
      <c r="O446" s="310">
        <f ca="1">'A-24'!E$68</f>
        <v>-4.0775675896113475</v>
      </c>
      <c r="P446" s="310">
        <f ca="1">'A-24'!F$68</f>
        <v>-4.2055809087101377</v>
      </c>
      <c r="Q446" s="310">
        <f ca="1">'A-24'!G$68</f>
        <v>-4.3417260666596933</v>
      </c>
      <c r="R446" s="310">
        <f ca="1">'A-24'!H$68</f>
        <v>-4.485436498941235</v>
      </c>
      <c r="S446" s="310">
        <f ca="1">'A-24'!I$68</f>
        <v>-4.6295250518101874</v>
      </c>
    </row>
    <row r="447" spans="1:19">
      <c r="B447" s="249"/>
      <c r="C447" s="13" t="s">
        <v>70</v>
      </c>
      <c r="D447" s="312">
        <f>'I-4 History'!D441</f>
        <v>0</v>
      </c>
      <c r="E447" s="312">
        <f>'I-4 History'!E441</f>
        <v>0</v>
      </c>
      <c r="F447" s="312">
        <f>'I-4 History'!F441</f>
        <v>0</v>
      </c>
      <c r="G447" s="312">
        <f>'I-4 History'!G441</f>
        <v>0</v>
      </c>
      <c r="H447" s="312">
        <f>'I-4 History'!H441</f>
        <v>0</v>
      </c>
      <c r="I447" s="312">
        <f>'I-4 History'!I441</f>
        <v>0</v>
      </c>
      <c r="J447" s="312">
        <f>'I-4 History'!J441</f>
        <v>0</v>
      </c>
      <c r="K447" s="312">
        <f>'I-4 History'!K441</f>
        <v>0</v>
      </c>
      <c r="L447" s="310">
        <f ca="1">'A-24'!B$69</f>
        <v>0</v>
      </c>
      <c r="M447" s="835">
        <f ca="1">'A-24'!C$69</f>
        <v>0</v>
      </c>
      <c r="N447" s="312">
        <f ca="1">'A-24'!D$69</f>
        <v>1E-3</v>
      </c>
      <c r="O447" s="310">
        <f ca="1">'A-24'!E$69</f>
        <v>1.0106099582812352E-3</v>
      </c>
      <c r="P447" s="310">
        <f ca="1">'A-24'!F$69</f>
        <v>1.0204409951236118E-3</v>
      </c>
      <c r="Q447" s="310">
        <f ca="1">'A-24'!G$69</f>
        <v>1.0301588658762129E-3</v>
      </c>
      <c r="R447" s="310">
        <f ca="1">'A-24'!H$69</f>
        <v>1.0407019751469957E-3</v>
      </c>
      <c r="S447" s="310">
        <f ca="1">'A-24'!I$69</f>
        <v>1.0503595421440001E-3</v>
      </c>
    </row>
    <row r="448" spans="1:19">
      <c r="B448" s="249"/>
      <c r="C448" s="12" t="s">
        <v>75</v>
      </c>
      <c r="D448" s="313">
        <f t="shared" ref="D448:K448" si="102">SUBTOTAL(9,D442:D447)</f>
        <v>0</v>
      </c>
      <c r="E448" s="311">
        <f t="shared" si="102"/>
        <v>0</v>
      </c>
      <c r="F448" s="311">
        <f t="shared" si="102"/>
        <v>0</v>
      </c>
      <c r="G448" s="311">
        <f t="shared" si="102"/>
        <v>0</v>
      </c>
      <c r="H448" s="311">
        <f t="shared" si="102"/>
        <v>0</v>
      </c>
      <c r="I448" s="311">
        <f t="shared" si="102"/>
        <v>0</v>
      </c>
      <c r="J448" s="311">
        <f t="shared" si="102"/>
        <v>0</v>
      </c>
      <c r="K448" s="311">
        <f t="shared" si="102"/>
        <v>0</v>
      </c>
      <c r="L448" s="311">
        <f t="shared" ref="L448:S448" ca="1" si="103">SUBTOTAL(9,L442:L447)</f>
        <v>0</v>
      </c>
      <c r="M448" s="513">
        <f t="shared" ca="1" si="103"/>
        <v>0</v>
      </c>
      <c r="N448" s="313">
        <f t="shared" ca="1" si="103"/>
        <v>3.4620000000000002</v>
      </c>
      <c r="O448" s="311">
        <f t="shared" ca="1" si="103"/>
        <v>3.4625039583714932</v>
      </c>
      <c r="P448" s="311">
        <f t="shared" ca="1" si="103"/>
        <v>3.4582822540222642</v>
      </c>
      <c r="Q448" s="311">
        <f t="shared" ca="1" si="103"/>
        <v>3.4743082867245949</v>
      </c>
      <c r="R448" s="311">
        <f t="shared" ca="1" si="103"/>
        <v>3.5017867830732943</v>
      </c>
      <c r="S448" s="311">
        <f t="shared" ca="1" si="103"/>
        <v>3.5389614372518396</v>
      </c>
    </row>
    <row r="449" spans="1:19">
      <c r="B449" s="249"/>
      <c r="C449" s="12"/>
      <c r="D449" s="263"/>
      <c r="E449" s="263"/>
      <c r="F449" s="263"/>
      <c r="G449" s="263"/>
      <c r="H449" s="263"/>
      <c r="I449" s="263"/>
      <c r="J449" s="263"/>
      <c r="K449" s="263"/>
      <c r="L449" s="263"/>
      <c r="M449" s="836"/>
      <c r="N449" s="263"/>
      <c r="O449" s="263"/>
      <c r="P449" s="263"/>
      <c r="Q449" s="263"/>
      <c r="R449" s="263"/>
      <c r="S449" s="263"/>
    </row>
    <row r="450" spans="1:19">
      <c r="A450" s="5"/>
      <c r="B450" s="249" t="str">
        <f ca="1">+'I-4 History'!B444</f>
        <v>A-25</v>
      </c>
      <c r="C450" s="14" t="str">
        <f ca="1">+'I-4 History'!C444</f>
        <v>Property – DLC Land Tax</v>
      </c>
      <c r="D450" s="11"/>
      <c r="E450" s="11"/>
      <c r="F450" s="11"/>
      <c r="G450" s="11"/>
      <c r="H450" s="11"/>
      <c r="I450" s="11"/>
      <c r="J450" s="11"/>
      <c r="K450" s="11"/>
      <c r="L450" s="11"/>
      <c r="M450" s="507"/>
      <c r="N450" s="11"/>
      <c r="O450" s="11"/>
      <c r="P450" s="11"/>
      <c r="Q450" s="11"/>
      <c r="R450" s="11"/>
      <c r="S450" s="11"/>
    </row>
    <row r="451" spans="1:19">
      <c r="A451" s="5"/>
      <c r="B451" s="249"/>
      <c r="C451" s="13" t="s">
        <v>68</v>
      </c>
      <c r="D451" s="312">
        <f>'I-4 History'!D445</f>
        <v>0</v>
      </c>
      <c r="E451" s="312">
        <f>'I-4 History'!E445</f>
        <v>0</v>
      </c>
      <c r="F451" s="312">
        <f>'I-4 History'!F445</f>
        <v>0</v>
      </c>
      <c r="G451" s="312">
        <f>'I-4 History'!G445</f>
        <v>0</v>
      </c>
      <c r="H451" s="312">
        <f>'I-4 History'!H445</f>
        <v>0</v>
      </c>
      <c r="I451" s="312">
        <f>'I-4 History'!I445</f>
        <v>0</v>
      </c>
      <c r="J451" s="312">
        <f>'I-4 History'!J445</f>
        <v>0</v>
      </c>
      <c r="K451" s="312">
        <f>'I-4 History'!K445</f>
        <v>0</v>
      </c>
      <c r="L451" s="310">
        <f ca="1">'A-25'!B$64</f>
        <v>0</v>
      </c>
      <c r="M451" s="835">
        <f ca="1">'A-25'!C$64</f>
        <v>0</v>
      </c>
      <c r="N451" s="312">
        <f ca="1">'A-25'!D$64</f>
        <v>0</v>
      </c>
      <c r="O451" s="310">
        <f ca="1">'A-25'!E$64</f>
        <v>0</v>
      </c>
      <c r="P451" s="310">
        <f ca="1">'A-25'!F$64</f>
        <v>0</v>
      </c>
      <c r="Q451" s="310">
        <f ca="1">'A-25'!G$64</f>
        <v>0</v>
      </c>
      <c r="R451" s="310">
        <f ca="1">'A-25'!H$64</f>
        <v>0</v>
      </c>
      <c r="S451" s="310">
        <f ca="1">'A-25'!I$64</f>
        <v>0</v>
      </c>
    </row>
    <row r="452" spans="1:19">
      <c r="A452" s="5"/>
      <c r="B452" s="249"/>
      <c r="C452" s="13" t="s">
        <v>69</v>
      </c>
      <c r="D452" s="312">
        <f>'I-4 History'!D446</f>
        <v>0</v>
      </c>
      <c r="E452" s="312">
        <f>'I-4 History'!E446</f>
        <v>0</v>
      </c>
      <c r="F452" s="312">
        <f>'I-4 History'!F446</f>
        <v>0</v>
      </c>
      <c r="G452" s="312">
        <f>'I-4 History'!G446</f>
        <v>0</v>
      </c>
      <c r="H452" s="312">
        <f>'I-4 History'!H446</f>
        <v>0</v>
      </c>
      <c r="I452" s="312">
        <f>'I-4 History'!I446</f>
        <v>0</v>
      </c>
      <c r="J452" s="312">
        <f>'I-4 History'!J446</f>
        <v>0</v>
      </c>
      <c r="K452" s="312">
        <f>'I-4 History'!K446</f>
        <v>0</v>
      </c>
      <c r="L452" s="310">
        <f ca="1">'A-25'!B$65</f>
        <v>0</v>
      </c>
      <c r="M452" s="835">
        <f ca="1">'A-25'!C$65</f>
        <v>0</v>
      </c>
      <c r="N452" s="312">
        <f ca="1">'A-25'!D$65</f>
        <v>0</v>
      </c>
      <c r="O452" s="310">
        <f ca="1">'A-25'!E$65</f>
        <v>0</v>
      </c>
      <c r="P452" s="310">
        <f ca="1">'A-25'!F$65</f>
        <v>0</v>
      </c>
      <c r="Q452" s="310">
        <f ca="1">'A-25'!G$65</f>
        <v>0</v>
      </c>
      <c r="R452" s="310">
        <f ca="1">'A-25'!H$65</f>
        <v>0</v>
      </c>
      <c r="S452" s="310">
        <f ca="1">'A-25'!I$65</f>
        <v>0</v>
      </c>
    </row>
    <row r="453" spans="1:19" s="759" customFormat="1">
      <c r="A453" s="5"/>
      <c r="B453" s="249"/>
      <c r="C453" s="13" t="s">
        <v>646</v>
      </c>
      <c r="D453" s="312">
        <f>'I-4 History'!D447</f>
        <v>0</v>
      </c>
      <c r="E453" s="312">
        <f>'I-4 History'!E447</f>
        <v>0</v>
      </c>
      <c r="F453" s="312">
        <f>'I-4 History'!F447</f>
        <v>0</v>
      </c>
      <c r="G453" s="312">
        <f>'I-4 History'!G447</f>
        <v>0</v>
      </c>
      <c r="H453" s="312">
        <f>'I-4 History'!H447</f>
        <v>0</v>
      </c>
      <c r="I453" s="312">
        <f>'I-4 History'!I447</f>
        <v>0</v>
      </c>
      <c r="J453" s="312">
        <f>'I-4 History'!J447</f>
        <v>0</v>
      </c>
      <c r="K453" s="312">
        <f>'I-4 History'!K447</f>
        <v>0</v>
      </c>
      <c r="L453" s="310">
        <f ca="1">'A-25'!B$66</f>
        <v>0</v>
      </c>
      <c r="M453" s="835">
        <f ca="1">'A-25'!C$66</f>
        <v>0</v>
      </c>
      <c r="N453" s="312">
        <f ca="1">'A-25'!D$66</f>
        <v>0</v>
      </c>
      <c r="O453" s="310">
        <f ca="1">'A-25'!E$66</f>
        <v>0</v>
      </c>
      <c r="P453" s="310">
        <f ca="1">'A-25'!F$66</f>
        <v>0</v>
      </c>
      <c r="Q453" s="310">
        <f ca="1">'A-25'!G$66</f>
        <v>0</v>
      </c>
      <c r="R453" s="310">
        <f ca="1">'A-25'!H$66</f>
        <v>0</v>
      </c>
      <c r="S453" s="310">
        <f ca="1">'A-25'!I$66</f>
        <v>0</v>
      </c>
    </row>
    <row r="454" spans="1:19">
      <c r="A454" s="5"/>
      <c r="B454" s="249"/>
      <c r="C454" s="13" t="s">
        <v>647</v>
      </c>
      <c r="D454" s="312">
        <f>'I-4 History'!D448</f>
        <v>0</v>
      </c>
      <c r="E454" s="312">
        <f>'I-4 History'!E448</f>
        <v>0</v>
      </c>
      <c r="F454" s="312">
        <f>'I-4 History'!F448</f>
        <v>0</v>
      </c>
      <c r="G454" s="312">
        <f>'I-4 History'!G448</f>
        <v>0</v>
      </c>
      <c r="H454" s="312">
        <f>'I-4 History'!H448</f>
        <v>0</v>
      </c>
      <c r="I454" s="312">
        <f>'I-4 History'!I448</f>
        <v>0</v>
      </c>
      <c r="J454" s="312">
        <f>'I-4 History'!J448</f>
        <v>0</v>
      </c>
      <c r="K454" s="312">
        <f>'I-4 History'!K448</f>
        <v>0</v>
      </c>
      <c r="L454" s="310">
        <f ca="1">'A-25'!B$67</f>
        <v>0</v>
      </c>
      <c r="M454" s="835">
        <f ca="1">'A-25'!C$67</f>
        <v>0</v>
      </c>
      <c r="N454" s="312">
        <f ca="1">'A-25'!D$67</f>
        <v>0</v>
      </c>
      <c r="O454" s="310">
        <f ca="1">'A-25'!E$67</f>
        <v>0</v>
      </c>
      <c r="P454" s="310">
        <f ca="1">'A-25'!F$67</f>
        <v>0</v>
      </c>
      <c r="Q454" s="310">
        <f ca="1">'A-25'!G$67</f>
        <v>0</v>
      </c>
      <c r="R454" s="310">
        <f ca="1">'A-25'!H$67</f>
        <v>0</v>
      </c>
      <c r="S454" s="310">
        <f ca="1">'A-25'!I$67</f>
        <v>0</v>
      </c>
    </row>
    <row r="455" spans="1:19" s="759" customFormat="1">
      <c r="A455" s="5"/>
      <c r="B455" s="249"/>
      <c r="C455" s="13" t="s">
        <v>575</v>
      </c>
      <c r="D455" s="312">
        <f>'I-4 History'!D449</f>
        <v>0</v>
      </c>
      <c r="E455" s="312">
        <f>'I-4 History'!E449</f>
        <v>0</v>
      </c>
      <c r="F455" s="312">
        <f>'I-4 History'!F449</f>
        <v>0</v>
      </c>
      <c r="G455" s="312">
        <f>'I-4 History'!G449</f>
        <v>0</v>
      </c>
      <c r="H455" s="312">
        <f>'I-4 History'!H449</f>
        <v>0</v>
      </c>
      <c r="I455" s="312">
        <f>'I-4 History'!I449</f>
        <v>0</v>
      </c>
      <c r="J455" s="312">
        <f>'I-4 History'!J449</f>
        <v>0</v>
      </c>
      <c r="K455" s="312">
        <f>'I-4 History'!K449</f>
        <v>0</v>
      </c>
      <c r="L455" s="310">
        <f ca="1">'A-25'!B$68</f>
        <v>0</v>
      </c>
      <c r="M455" s="835">
        <f ca="1">'A-25'!C$68</f>
        <v>0</v>
      </c>
      <c r="N455" s="312">
        <f ca="1">'A-25'!D$68</f>
        <v>0</v>
      </c>
      <c r="O455" s="310">
        <f ca="1">'A-25'!E$68</f>
        <v>0</v>
      </c>
      <c r="P455" s="310">
        <f ca="1">'A-25'!F$68</f>
        <v>0</v>
      </c>
      <c r="Q455" s="310">
        <f ca="1">'A-25'!G$68</f>
        <v>0</v>
      </c>
      <c r="R455" s="310">
        <f ca="1">'A-25'!H$68</f>
        <v>0</v>
      </c>
      <c r="S455" s="310">
        <f ca="1">'A-25'!I$68</f>
        <v>0</v>
      </c>
    </row>
    <row r="456" spans="1:19">
      <c r="A456" s="5"/>
      <c r="B456" s="249"/>
      <c r="C456" s="13" t="s">
        <v>70</v>
      </c>
      <c r="D456" s="312">
        <f>'I-4 History'!D450</f>
        <v>0</v>
      </c>
      <c r="E456" s="312">
        <f>'I-4 History'!E450</f>
        <v>0</v>
      </c>
      <c r="F456" s="312">
        <f>'I-4 History'!F450</f>
        <v>0</v>
      </c>
      <c r="G456" s="312">
        <f>'I-4 History'!G450</f>
        <v>0</v>
      </c>
      <c r="H456" s="312">
        <f>'I-4 History'!H450</f>
        <v>0</v>
      </c>
      <c r="I456" s="312">
        <f>'I-4 History'!I450</f>
        <v>0</v>
      </c>
      <c r="J456" s="312">
        <f>'I-4 History'!J450</f>
        <v>0</v>
      </c>
      <c r="K456" s="312">
        <f>'I-4 History'!K450</f>
        <v>0</v>
      </c>
      <c r="L456" s="310">
        <f ca="1">'A-25'!B$69</f>
        <v>0</v>
      </c>
      <c r="M456" s="835">
        <f ca="1">'A-25'!C$69</f>
        <v>0</v>
      </c>
      <c r="N456" s="312">
        <f ca="1">'A-25'!D$69</f>
        <v>2.5339999999999998</v>
      </c>
      <c r="O456" s="310">
        <f ca="1">'A-25'!E$69</f>
        <v>2.5608856342846495</v>
      </c>
      <c r="P456" s="310">
        <f ca="1">'A-25'!F$69</f>
        <v>2.5857974816432319</v>
      </c>
      <c r="Q456" s="310">
        <f ca="1">'A-25'!G$69</f>
        <v>2.6104225661303233</v>
      </c>
      <c r="R456" s="310">
        <f ca="1">'A-25'!H$69</f>
        <v>2.6371388050224871</v>
      </c>
      <c r="S456" s="310">
        <f ca="1">'A-25'!I$69</f>
        <v>2.6616110797928965</v>
      </c>
    </row>
    <row r="457" spans="1:19">
      <c r="A457" s="5"/>
      <c r="B457" s="249"/>
      <c r="C457" s="12" t="s">
        <v>75</v>
      </c>
      <c r="D457" s="313">
        <f t="shared" ref="D457:K457" si="104">SUBTOTAL(9,D451:D456)</f>
        <v>0</v>
      </c>
      <c r="E457" s="311">
        <f t="shared" si="104"/>
        <v>0</v>
      </c>
      <c r="F457" s="311">
        <f t="shared" si="104"/>
        <v>0</v>
      </c>
      <c r="G457" s="311">
        <f t="shared" si="104"/>
        <v>0</v>
      </c>
      <c r="H457" s="311">
        <f t="shared" si="104"/>
        <v>0</v>
      </c>
      <c r="I457" s="311">
        <f t="shared" si="104"/>
        <v>0</v>
      </c>
      <c r="J457" s="311">
        <f t="shared" si="104"/>
        <v>0</v>
      </c>
      <c r="K457" s="311">
        <f t="shared" si="104"/>
        <v>0</v>
      </c>
      <c r="L457" s="311">
        <f t="shared" ref="L457:S457" ca="1" si="105">SUBTOTAL(9,L451:L456)</f>
        <v>0</v>
      </c>
      <c r="M457" s="513">
        <f t="shared" ca="1" si="105"/>
        <v>0</v>
      </c>
      <c r="N457" s="313">
        <f t="shared" ca="1" si="105"/>
        <v>2.5339999999999998</v>
      </c>
      <c r="O457" s="311">
        <f t="shared" ca="1" si="105"/>
        <v>2.5608856342846495</v>
      </c>
      <c r="P457" s="311">
        <f t="shared" ca="1" si="105"/>
        <v>2.5857974816432319</v>
      </c>
      <c r="Q457" s="311">
        <f t="shared" ca="1" si="105"/>
        <v>2.6104225661303233</v>
      </c>
      <c r="R457" s="311">
        <f t="shared" ca="1" si="105"/>
        <v>2.6371388050224871</v>
      </c>
      <c r="S457" s="311">
        <f t="shared" ca="1" si="105"/>
        <v>2.6616110797928965</v>
      </c>
    </row>
    <row r="458" spans="1:19">
      <c r="A458" s="5"/>
      <c r="B458" s="249"/>
      <c r="C458" s="12"/>
      <c r="D458" s="263"/>
      <c r="E458" s="263"/>
      <c r="F458" s="263"/>
      <c r="G458" s="263"/>
      <c r="H458" s="263"/>
      <c r="I458" s="263"/>
      <c r="J458" s="263"/>
      <c r="K458" s="263"/>
      <c r="L458" s="263"/>
      <c r="M458" s="836"/>
      <c r="N458" s="263"/>
      <c r="O458" s="263"/>
      <c r="P458" s="263"/>
      <c r="Q458" s="263"/>
      <c r="R458" s="263"/>
      <c r="S458" s="263"/>
    </row>
    <row r="459" spans="1:19">
      <c r="A459" s="5"/>
      <c r="B459" s="249" t="str">
        <f ca="1">+'I-4 History'!B453</f>
        <v>A-26</v>
      </c>
      <c r="C459" s="14" t="str">
        <f ca="1">+'I-4 History'!C453</f>
        <v>OHS</v>
      </c>
      <c r="D459" s="11"/>
      <c r="E459" s="11"/>
      <c r="F459" s="11"/>
      <c r="G459" s="11"/>
      <c r="H459" s="11"/>
      <c r="I459" s="11"/>
      <c r="J459" s="11"/>
      <c r="K459" s="11"/>
      <c r="L459" s="11"/>
      <c r="M459" s="507"/>
      <c r="N459" s="11"/>
      <c r="O459" s="11"/>
      <c r="P459" s="11"/>
      <c r="Q459" s="11"/>
      <c r="R459" s="11"/>
      <c r="S459" s="11"/>
    </row>
    <row r="460" spans="1:19">
      <c r="B460" s="249"/>
      <c r="C460" s="13" t="s">
        <v>68</v>
      </c>
      <c r="D460" s="312">
        <f>'I-4 History'!D454</f>
        <v>0</v>
      </c>
      <c r="E460" s="312">
        <f>'I-4 History'!E454</f>
        <v>0</v>
      </c>
      <c r="F460" s="312">
        <f>'I-4 History'!F454</f>
        <v>0</v>
      </c>
      <c r="G460" s="312">
        <f>'I-4 History'!G454</f>
        <v>0</v>
      </c>
      <c r="H460" s="312">
        <f>'I-4 History'!H454</f>
        <v>0</v>
      </c>
      <c r="I460" s="312">
        <f>'I-4 History'!I454</f>
        <v>0</v>
      </c>
      <c r="J460" s="312">
        <f>'I-4 History'!J454</f>
        <v>0</v>
      </c>
      <c r="K460" s="312">
        <f>'I-4 History'!K454</f>
        <v>0</v>
      </c>
      <c r="L460" s="310">
        <f ca="1">'A-26'!B$64</f>
        <v>0</v>
      </c>
      <c r="M460" s="835">
        <f ca="1">'A-26'!C$64</f>
        <v>0</v>
      </c>
      <c r="N460" s="312">
        <f ca="1">'A-26'!D$64</f>
        <v>1.81</v>
      </c>
      <c r="O460" s="310">
        <f ca="1">'A-26'!E$64</f>
        <v>1.8684550220750731</v>
      </c>
      <c r="P460" s="310">
        <f ca="1">'A-26'!F$64</f>
        <v>1.9721142898140123</v>
      </c>
      <c r="Q460" s="310">
        <f ca="1">'A-26'!G$64</f>
        <v>2.0344997925706441</v>
      </c>
      <c r="R460" s="310">
        <f ca="1">'A-26'!H$64</f>
        <v>2.100351914704718</v>
      </c>
      <c r="S460" s="310">
        <f ca="1">'A-26'!I$64</f>
        <v>2.1663773022218829</v>
      </c>
    </row>
    <row r="461" spans="1:19">
      <c r="B461" s="249"/>
      <c r="C461" s="13" t="s">
        <v>69</v>
      </c>
      <c r="D461" s="312">
        <f>'I-4 History'!D455</f>
        <v>0</v>
      </c>
      <c r="E461" s="312">
        <f>'I-4 History'!E455</f>
        <v>0</v>
      </c>
      <c r="F461" s="312">
        <f>'I-4 History'!F455</f>
        <v>0</v>
      </c>
      <c r="G461" s="312">
        <f>'I-4 History'!G455</f>
        <v>0</v>
      </c>
      <c r="H461" s="312">
        <f>'I-4 History'!H455</f>
        <v>0</v>
      </c>
      <c r="I461" s="312">
        <f>'I-4 History'!I455</f>
        <v>0</v>
      </c>
      <c r="J461" s="312">
        <f>'I-4 History'!J455</f>
        <v>0</v>
      </c>
      <c r="K461" s="312">
        <f>'I-4 History'!K455</f>
        <v>0</v>
      </c>
      <c r="L461" s="310">
        <f ca="1">'A-26'!B$65</f>
        <v>0</v>
      </c>
      <c r="M461" s="835">
        <f ca="1">'A-26'!C$65</f>
        <v>0</v>
      </c>
      <c r="N461" s="312">
        <f ca="1">'A-26'!D$65</f>
        <v>2.2000000000000002E-2</v>
      </c>
      <c r="O461" s="310">
        <f ca="1">'A-26'!E$65</f>
        <v>2.2233419082187175E-2</v>
      </c>
      <c r="P461" s="310">
        <f ca="1">'A-26'!F$65</f>
        <v>2.244970189271946E-2</v>
      </c>
      <c r="Q461" s="310">
        <f ca="1">'A-26'!G$65</f>
        <v>2.2663495049276686E-2</v>
      </c>
      <c r="R461" s="310">
        <f ca="1">'A-26'!H$65</f>
        <v>2.2895443453233907E-2</v>
      </c>
      <c r="S461" s="310">
        <f ca="1">'A-26'!I$65</f>
        <v>2.3107909927168005E-2</v>
      </c>
    </row>
    <row r="462" spans="1:19" s="759" customFormat="1">
      <c r="B462" s="249"/>
      <c r="C462" s="13" t="s">
        <v>646</v>
      </c>
      <c r="D462" s="312">
        <f>'I-4 History'!D456</f>
        <v>0</v>
      </c>
      <c r="E462" s="312">
        <f>'I-4 History'!E456</f>
        <v>0</v>
      </c>
      <c r="F462" s="312">
        <f>'I-4 History'!F456</f>
        <v>0</v>
      </c>
      <c r="G462" s="312">
        <f>'I-4 History'!G456</f>
        <v>0</v>
      </c>
      <c r="H462" s="312">
        <f>'I-4 History'!H456</f>
        <v>0</v>
      </c>
      <c r="I462" s="312">
        <f>'I-4 History'!I456</f>
        <v>0</v>
      </c>
      <c r="J462" s="312">
        <f>'I-4 History'!J456</f>
        <v>0</v>
      </c>
      <c r="K462" s="312">
        <f>'I-4 History'!K456</f>
        <v>0</v>
      </c>
      <c r="L462" s="310">
        <f ca="1">'A-26'!B$66</f>
        <v>0</v>
      </c>
      <c r="M462" s="835">
        <f ca="1">'A-26'!C$66</f>
        <v>0</v>
      </c>
      <c r="N462" s="312">
        <f ca="1">'A-26'!D$66</f>
        <v>8.8999999999999996E-2</v>
      </c>
      <c r="O462" s="310">
        <f ca="1">'A-26'!E$66</f>
        <v>0.97039400771846507</v>
      </c>
      <c r="P462" s="310">
        <f ca="1">'A-26'!F$66</f>
        <v>1.1257297115328755</v>
      </c>
      <c r="Q462" s="310">
        <f ca="1">'A-26'!G$66</f>
        <v>1.3174367020101032</v>
      </c>
      <c r="R462" s="310">
        <f ca="1">'A-26'!H$66</f>
        <v>1.4133841014929838</v>
      </c>
      <c r="S462" s="310">
        <f ca="1">'A-26'!I$66</f>
        <v>1.4154726181069359</v>
      </c>
    </row>
    <row r="463" spans="1:19">
      <c r="B463" s="249"/>
      <c r="C463" s="13" t="s">
        <v>647</v>
      </c>
      <c r="D463" s="312">
        <f>'I-4 History'!D457</f>
        <v>0</v>
      </c>
      <c r="E463" s="312">
        <f>'I-4 History'!E457</f>
        <v>0</v>
      </c>
      <c r="F463" s="312">
        <f>'I-4 History'!F457</f>
        <v>0</v>
      </c>
      <c r="G463" s="312">
        <f>'I-4 History'!G457</f>
        <v>0</v>
      </c>
      <c r="H463" s="312">
        <f>'I-4 History'!H457</f>
        <v>0</v>
      </c>
      <c r="I463" s="312">
        <f>'I-4 History'!I457</f>
        <v>0</v>
      </c>
      <c r="J463" s="312">
        <f>'I-4 History'!J457</f>
        <v>0</v>
      </c>
      <c r="K463" s="312">
        <f>'I-4 History'!K457</f>
        <v>0</v>
      </c>
      <c r="L463" s="310">
        <f ca="1">'A-26'!B$67</f>
        <v>0</v>
      </c>
      <c r="M463" s="835">
        <f ca="1">'A-26'!C$67</f>
        <v>0</v>
      </c>
      <c r="N463" s="312">
        <f ca="1">'A-26'!D$67</f>
        <v>0.39308241247163</v>
      </c>
      <c r="O463" s="310">
        <f ca="1">'A-26'!E$67</f>
        <v>0.19094464551765655</v>
      </c>
      <c r="P463" s="310">
        <f ca="1">'A-26'!F$67</f>
        <v>0.19376613222674843</v>
      </c>
      <c r="Q463" s="310">
        <f ca="1">'A-26'!G$67</f>
        <v>0.19737190986403805</v>
      </c>
      <c r="R463" s="310">
        <f ca="1">'A-26'!H$67</f>
        <v>0.20148551776045959</v>
      </c>
      <c r="S463" s="310">
        <f ca="1">'A-26'!I$67</f>
        <v>0.20589721577644857</v>
      </c>
    </row>
    <row r="464" spans="1:19" s="759" customFormat="1">
      <c r="B464" s="249"/>
      <c r="C464" s="13" t="s">
        <v>575</v>
      </c>
      <c r="D464" s="312">
        <f>'I-4 History'!D458</f>
        <v>0</v>
      </c>
      <c r="E464" s="312">
        <f>'I-4 History'!E458</f>
        <v>0</v>
      </c>
      <c r="F464" s="312">
        <f>'I-4 History'!F458</f>
        <v>0</v>
      </c>
      <c r="G464" s="312">
        <f>'I-4 History'!G458</f>
        <v>0</v>
      </c>
      <c r="H464" s="312">
        <f>'I-4 History'!H458</f>
        <v>0</v>
      </c>
      <c r="I464" s="312">
        <f>'I-4 History'!I458</f>
        <v>0</v>
      </c>
      <c r="J464" s="312">
        <f>'I-4 History'!J458</f>
        <v>0</v>
      </c>
      <c r="K464" s="312">
        <f>'I-4 History'!K458</f>
        <v>0</v>
      </c>
      <c r="L464" s="310">
        <f ca="1">'A-26'!B$68</f>
        <v>0</v>
      </c>
      <c r="M464" s="835">
        <f ca="1">'A-26'!C$68</f>
        <v>0</v>
      </c>
      <c r="N464" s="312">
        <f ca="1">'A-26'!D$68</f>
        <v>0</v>
      </c>
      <c r="O464" s="310">
        <f ca="1">'A-26'!E$68</f>
        <v>0</v>
      </c>
      <c r="P464" s="310">
        <f ca="1">'A-26'!F$68</f>
        <v>0</v>
      </c>
      <c r="Q464" s="310">
        <f ca="1">'A-26'!G$68</f>
        <v>0</v>
      </c>
      <c r="R464" s="310">
        <f ca="1">'A-26'!H$68</f>
        <v>0</v>
      </c>
      <c r="S464" s="310">
        <f ca="1">'A-26'!I$68</f>
        <v>0</v>
      </c>
    </row>
    <row r="465" spans="1:19">
      <c r="B465" s="249"/>
      <c r="C465" s="13" t="s">
        <v>70</v>
      </c>
      <c r="D465" s="312">
        <f>'I-4 History'!D459</f>
        <v>0</v>
      </c>
      <c r="E465" s="312">
        <f>'I-4 History'!E459</f>
        <v>0</v>
      </c>
      <c r="F465" s="312">
        <f>'I-4 History'!F459</f>
        <v>0</v>
      </c>
      <c r="G465" s="312">
        <f>'I-4 History'!G459</f>
        <v>0</v>
      </c>
      <c r="H465" s="312">
        <f>'I-4 History'!H459</f>
        <v>0</v>
      </c>
      <c r="I465" s="312">
        <f>'I-4 History'!I459</f>
        <v>0</v>
      </c>
      <c r="J465" s="312">
        <f>'I-4 History'!J459</f>
        <v>0</v>
      </c>
      <c r="K465" s="312">
        <f>'I-4 History'!K459</f>
        <v>0</v>
      </c>
      <c r="L465" s="310">
        <f ca="1">'A-26'!B$69</f>
        <v>0</v>
      </c>
      <c r="M465" s="835">
        <f ca="1">'A-26'!C$69</f>
        <v>0</v>
      </c>
      <c r="N465" s="312">
        <f ca="1">'A-26'!D$69</f>
        <v>0</v>
      </c>
      <c r="O465" s="310">
        <f ca="1">'A-26'!E$69</f>
        <v>0</v>
      </c>
      <c r="P465" s="310">
        <f ca="1">'A-26'!F$69</f>
        <v>0</v>
      </c>
      <c r="Q465" s="310">
        <f ca="1">'A-26'!G$69</f>
        <v>0</v>
      </c>
      <c r="R465" s="310">
        <f ca="1">'A-26'!H$69</f>
        <v>0</v>
      </c>
      <c r="S465" s="310">
        <f ca="1">'A-26'!I$69</f>
        <v>0</v>
      </c>
    </row>
    <row r="466" spans="1:19">
      <c r="B466" s="249"/>
      <c r="C466" s="12" t="s">
        <v>75</v>
      </c>
      <c r="D466" s="313">
        <f t="shared" ref="D466:K466" si="106">SUBTOTAL(9,D460:D465)</f>
        <v>0</v>
      </c>
      <c r="E466" s="311">
        <f t="shared" si="106"/>
        <v>0</v>
      </c>
      <c r="F466" s="311">
        <f t="shared" si="106"/>
        <v>0</v>
      </c>
      <c r="G466" s="311">
        <f t="shared" si="106"/>
        <v>0</v>
      </c>
      <c r="H466" s="311">
        <f t="shared" si="106"/>
        <v>0</v>
      </c>
      <c r="I466" s="311">
        <f t="shared" si="106"/>
        <v>0</v>
      </c>
      <c r="J466" s="311">
        <f t="shared" si="106"/>
        <v>0</v>
      </c>
      <c r="K466" s="311">
        <f t="shared" si="106"/>
        <v>0</v>
      </c>
      <c r="L466" s="311">
        <f t="shared" ref="L466:S466" ca="1" si="107">SUBTOTAL(9,L460:L465)</f>
        <v>0</v>
      </c>
      <c r="M466" s="513">
        <f t="shared" ca="1" si="107"/>
        <v>0</v>
      </c>
      <c r="N466" s="313">
        <f t="shared" ca="1" si="107"/>
        <v>2.3140824124716302</v>
      </c>
      <c r="O466" s="311">
        <f t="shared" ca="1" si="107"/>
        <v>3.0520270943933818</v>
      </c>
      <c r="P466" s="311">
        <f t="shared" ca="1" si="107"/>
        <v>3.3140598354663555</v>
      </c>
      <c r="Q466" s="311">
        <f t="shared" ca="1" si="107"/>
        <v>3.5719718994940619</v>
      </c>
      <c r="R466" s="311">
        <f t="shared" ca="1" si="107"/>
        <v>3.7381169774113956</v>
      </c>
      <c r="S466" s="311">
        <f t="shared" ca="1" si="107"/>
        <v>3.8108550460324349</v>
      </c>
    </row>
    <row r="467" spans="1:19">
      <c r="B467" s="249"/>
      <c r="C467" s="13"/>
      <c r="D467" s="263"/>
      <c r="E467" s="263"/>
      <c r="F467" s="263"/>
      <c r="G467" s="263"/>
      <c r="H467" s="263"/>
      <c r="I467" s="263"/>
      <c r="J467" s="263"/>
      <c r="K467" s="263"/>
      <c r="L467" s="263"/>
      <c r="M467" s="836"/>
      <c r="N467" s="263"/>
      <c r="O467" s="263"/>
      <c r="P467" s="263"/>
      <c r="Q467" s="263"/>
      <c r="R467" s="263"/>
      <c r="S467" s="263"/>
    </row>
    <row r="468" spans="1:19">
      <c r="A468" s="5"/>
      <c r="B468" s="249" t="str">
        <f ca="1">+'I-4 History'!B462</f>
        <v>A-27</v>
      </c>
      <c r="C468" s="14" t="str">
        <f ca="1">+'I-4 History'!C462</f>
        <v>Environment</v>
      </c>
      <c r="D468" s="11"/>
      <c r="E468" s="11"/>
      <c r="F468" s="11"/>
      <c r="G468" s="11"/>
      <c r="H468" s="11"/>
      <c r="I468" s="11"/>
      <c r="J468" s="11"/>
      <c r="K468" s="11"/>
      <c r="L468" s="11"/>
      <c r="M468" s="507"/>
      <c r="N468" s="11"/>
      <c r="O468" s="11"/>
      <c r="P468" s="11"/>
      <c r="Q468" s="11"/>
      <c r="R468" s="11"/>
      <c r="S468" s="11"/>
    </row>
    <row r="469" spans="1:19">
      <c r="A469" s="5"/>
      <c r="B469" s="249"/>
      <c r="C469" s="13" t="s">
        <v>68</v>
      </c>
      <c r="D469" s="312">
        <f>'I-4 History'!D463</f>
        <v>0</v>
      </c>
      <c r="E469" s="312">
        <f>'I-4 History'!E463</f>
        <v>0</v>
      </c>
      <c r="F469" s="312">
        <f>'I-4 History'!F463</f>
        <v>0</v>
      </c>
      <c r="G469" s="312">
        <f>'I-4 History'!G463</f>
        <v>0</v>
      </c>
      <c r="H469" s="312">
        <f>'I-4 History'!H463</f>
        <v>0</v>
      </c>
      <c r="I469" s="312">
        <f>'I-4 History'!I463</f>
        <v>0</v>
      </c>
      <c r="J469" s="312">
        <f>'I-4 History'!J463</f>
        <v>0</v>
      </c>
      <c r="K469" s="312">
        <f>'I-4 History'!K463</f>
        <v>0</v>
      </c>
      <c r="L469" s="310">
        <f ca="1">'A-27'!B$64</f>
        <v>0</v>
      </c>
      <c r="M469" s="835">
        <f ca="1">'A-27'!C$64</f>
        <v>0</v>
      </c>
      <c r="N469" s="312">
        <f ca="1">'A-27'!D$64</f>
        <v>0.48699999999999999</v>
      </c>
      <c r="O469" s="310">
        <f ca="1">'A-27'!E$64</f>
        <v>0.50272795345334842</v>
      </c>
      <c r="P469" s="310">
        <f ca="1">'A-27'!F$64</f>
        <v>0.51851086140299663</v>
      </c>
      <c r="Q469" s="310">
        <f ca="1">'A-27'!G$64</f>
        <v>0.53529635302867595</v>
      </c>
      <c r="R469" s="310">
        <f ca="1">'A-27'!H$64</f>
        <v>0.55301457594541303</v>
      </c>
      <c r="S469" s="310">
        <f ca="1">'A-27'!I$64</f>
        <v>0.57077941778014196</v>
      </c>
    </row>
    <row r="470" spans="1:19">
      <c r="A470" s="5"/>
      <c r="B470" s="249"/>
      <c r="C470" s="13" t="s">
        <v>69</v>
      </c>
      <c r="D470" s="312">
        <f>'I-4 History'!D464</f>
        <v>0</v>
      </c>
      <c r="E470" s="312">
        <f>'I-4 History'!E464</f>
        <v>0</v>
      </c>
      <c r="F470" s="312">
        <f>'I-4 History'!F464</f>
        <v>0</v>
      </c>
      <c r="G470" s="312">
        <f>'I-4 History'!G464</f>
        <v>0</v>
      </c>
      <c r="H470" s="312">
        <f>'I-4 History'!H464</f>
        <v>0</v>
      </c>
      <c r="I470" s="312">
        <f>'I-4 History'!I464</f>
        <v>0</v>
      </c>
      <c r="J470" s="312">
        <f>'I-4 History'!J464</f>
        <v>0</v>
      </c>
      <c r="K470" s="312">
        <f>'I-4 History'!K464</f>
        <v>0</v>
      </c>
      <c r="L470" s="310">
        <f ca="1">'A-27'!B$65</f>
        <v>0</v>
      </c>
      <c r="M470" s="835">
        <f ca="1">'A-27'!C$65</f>
        <v>0</v>
      </c>
      <c r="N470" s="312">
        <f ca="1">'A-27'!D$65</f>
        <v>1.7000000000000001E-2</v>
      </c>
      <c r="O470" s="310">
        <f ca="1">'A-27'!E$65</f>
        <v>1.7180369290780997E-2</v>
      </c>
      <c r="P470" s="310">
        <f ca="1">'A-27'!F$65</f>
        <v>1.7347496917101402E-2</v>
      </c>
      <c r="Q470" s="310">
        <f ca="1">'A-27'!G$65</f>
        <v>1.7512700719895621E-2</v>
      </c>
      <c r="R470" s="310">
        <f ca="1">'A-27'!H$65</f>
        <v>1.7691933577498927E-2</v>
      </c>
      <c r="S470" s="310">
        <f ca="1">'A-27'!I$65</f>
        <v>1.7856112216448006E-2</v>
      </c>
    </row>
    <row r="471" spans="1:19" s="759" customFormat="1">
      <c r="A471" s="5"/>
      <c r="B471" s="249"/>
      <c r="C471" s="13" t="s">
        <v>646</v>
      </c>
      <c r="D471" s="312">
        <f>'I-4 History'!D465</f>
        <v>0</v>
      </c>
      <c r="E471" s="312">
        <f>'I-4 History'!E465</f>
        <v>0</v>
      </c>
      <c r="F471" s="312">
        <f>'I-4 History'!F465</f>
        <v>0</v>
      </c>
      <c r="G471" s="312">
        <f>'I-4 History'!G465</f>
        <v>0</v>
      </c>
      <c r="H471" s="312">
        <f>'I-4 History'!H465</f>
        <v>0</v>
      </c>
      <c r="I471" s="312">
        <f>'I-4 History'!I465</f>
        <v>0</v>
      </c>
      <c r="J471" s="312">
        <f>'I-4 History'!J465</f>
        <v>0</v>
      </c>
      <c r="K471" s="312">
        <f>'I-4 History'!K465</f>
        <v>0</v>
      </c>
      <c r="L471" s="310">
        <f ca="1">'A-27'!B$66</f>
        <v>0</v>
      </c>
      <c r="M471" s="835">
        <f ca="1">'A-27'!C$66</f>
        <v>0</v>
      </c>
      <c r="N471" s="312">
        <f ca="1">'A-27'!D$66</f>
        <v>-5.0000000000000001E-3</v>
      </c>
      <c r="O471" s="310">
        <f ca="1">'A-27'!E$66</f>
        <v>-5.0783150403632057E-3</v>
      </c>
      <c r="P471" s="310">
        <f ca="1">'A-27'!F$66</f>
        <v>-5.1533545804986281E-3</v>
      </c>
      <c r="Q471" s="310">
        <f ca="1">'A-27'!G$66</f>
        <v>-5.249252921915905E-3</v>
      </c>
      <c r="R471" s="310">
        <f ca="1">'A-27'!H$66</f>
        <v>-5.3586573872462656E-3</v>
      </c>
      <c r="S471" s="310">
        <f ca="1">'A-27'!I$66</f>
        <v>-5.4759897812885257E-3</v>
      </c>
    </row>
    <row r="472" spans="1:19">
      <c r="A472" s="5"/>
      <c r="B472" s="249"/>
      <c r="C472" s="13" t="s">
        <v>647</v>
      </c>
      <c r="D472" s="312">
        <f>'I-4 History'!D466</f>
        <v>0</v>
      </c>
      <c r="E472" s="312">
        <f>'I-4 History'!E466</f>
        <v>0</v>
      </c>
      <c r="F472" s="312">
        <f>'I-4 History'!F466</f>
        <v>0</v>
      </c>
      <c r="G472" s="312">
        <f>'I-4 History'!G466</f>
        <v>0</v>
      </c>
      <c r="H472" s="312">
        <f>'I-4 History'!H466</f>
        <v>0</v>
      </c>
      <c r="I472" s="312">
        <f>'I-4 History'!I466</f>
        <v>0</v>
      </c>
      <c r="J472" s="312">
        <f>'I-4 History'!J466</f>
        <v>0</v>
      </c>
      <c r="K472" s="312">
        <f>'I-4 History'!K466</f>
        <v>0</v>
      </c>
      <c r="L472" s="310">
        <f ca="1">'A-27'!B$67</f>
        <v>0</v>
      </c>
      <c r="M472" s="835">
        <f ca="1">'A-27'!C$67</f>
        <v>0</v>
      </c>
      <c r="N472" s="312">
        <f ca="1">'A-27'!D$67</f>
        <v>0.106</v>
      </c>
      <c r="O472" s="310">
        <f ca="1">'A-27'!E$67</f>
        <v>0.10766027885569997</v>
      </c>
      <c r="P472" s="310">
        <f ca="1">'A-27'!F$67</f>
        <v>0.10925111710657093</v>
      </c>
      <c r="Q472" s="310">
        <f ca="1">'A-27'!G$67</f>
        <v>0.11128416194461718</v>
      </c>
      <c r="R472" s="310">
        <f ca="1">'A-27'!H$67</f>
        <v>0.11360353660962083</v>
      </c>
      <c r="S472" s="310">
        <f ca="1">'A-27'!I$67</f>
        <v>0.11609098336331676</v>
      </c>
    </row>
    <row r="473" spans="1:19" s="759" customFormat="1">
      <c r="A473" s="5"/>
      <c r="B473" s="249"/>
      <c r="C473" s="13" t="s">
        <v>575</v>
      </c>
      <c r="D473" s="312">
        <f>'I-4 History'!D467</f>
        <v>0</v>
      </c>
      <c r="E473" s="312">
        <f>'I-4 History'!E467</f>
        <v>0</v>
      </c>
      <c r="F473" s="312">
        <f>'I-4 History'!F467</f>
        <v>0</v>
      </c>
      <c r="G473" s="312">
        <f>'I-4 History'!G467</f>
        <v>0</v>
      </c>
      <c r="H473" s="312">
        <f>'I-4 History'!H467</f>
        <v>0</v>
      </c>
      <c r="I473" s="312">
        <f>'I-4 History'!I467</f>
        <v>0</v>
      </c>
      <c r="J473" s="312">
        <f>'I-4 History'!J467</f>
        <v>0</v>
      </c>
      <c r="K473" s="312">
        <f>'I-4 History'!K467</f>
        <v>0</v>
      </c>
      <c r="L473" s="310">
        <f ca="1">'A-27'!B$68</f>
        <v>0</v>
      </c>
      <c r="M473" s="835">
        <f ca="1">'A-27'!C$68</f>
        <v>0</v>
      </c>
      <c r="N473" s="312">
        <f ca="1">'A-27'!D$68</f>
        <v>0</v>
      </c>
      <c r="O473" s="310">
        <f ca="1">'A-27'!E$68</f>
        <v>0</v>
      </c>
      <c r="P473" s="310">
        <f ca="1">'A-27'!F$68</f>
        <v>0</v>
      </c>
      <c r="Q473" s="310">
        <f ca="1">'A-27'!G$68</f>
        <v>0</v>
      </c>
      <c r="R473" s="310">
        <f ca="1">'A-27'!H$68</f>
        <v>0</v>
      </c>
      <c r="S473" s="310">
        <f ca="1">'A-27'!I$68</f>
        <v>0</v>
      </c>
    </row>
    <row r="474" spans="1:19">
      <c r="A474" s="5"/>
      <c r="B474" s="249"/>
      <c r="C474" s="13" t="s">
        <v>70</v>
      </c>
      <c r="D474" s="312">
        <f>'I-4 History'!D468</f>
        <v>0</v>
      </c>
      <c r="E474" s="312">
        <f>'I-4 History'!E468</f>
        <v>0</v>
      </c>
      <c r="F474" s="312">
        <f>'I-4 History'!F468</f>
        <v>0</v>
      </c>
      <c r="G474" s="312">
        <f>'I-4 History'!G468</f>
        <v>0</v>
      </c>
      <c r="H474" s="312">
        <f>'I-4 History'!H468</f>
        <v>0</v>
      </c>
      <c r="I474" s="312">
        <f>'I-4 History'!I468</f>
        <v>0</v>
      </c>
      <c r="J474" s="312">
        <f>'I-4 History'!J468</f>
        <v>0</v>
      </c>
      <c r="K474" s="312">
        <f>'I-4 History'!K468</f>
        <v>0</v>
      </c>
      <c r="L474" s="310">
        <f ca="1">'A-27'!B$69</f>
        <v>0</v>
      </c>
      <c r="M474" s="835">
        <f ca="1">'A-27'!C$69</f>
        <v>0</v>
      </c>
      <c r="N474" s="312">
        <f ca="1">'A-27'!D$69</f>
        <v>0</v>
      </c>
      <c r="O474" s="310">
        <f ca="1">'A-27'!E$69</f>
        <v>0</v>
      </c>
      <c r="P474" s="310">
        <f ca="1">'A-27'!F$69</f>
        <v>0</v>
      </c>
      <c r="Q474" s="310">
        <f ca="1">'A-27'!G$69</f>
        <v>0</v>
      </c>
      <c r="R474" s="310">
        <f ca="1">'A-27'!H$69</f>
        <v>0</v>
      </c>
      <c r="S474" s="310">
        <f ca="1">'A-27'!I$69</f>
        <v>0</v>
      </c>
    </row>
    <row r="475" spans="1:19">
      <c r="A475" s="5"/>
      <c r="B475" s="249"/>
      <c r="C475" s="12" t="s">
        <v>75</v>
      </c>
      <c r="D475" s="313">
        <f t="shared" ref="D475:K475" si="108">SUBTOTAL(9,D469:D474)</f>
        <v>0</v>
      </c>
      <c r="E475" s="311">
        <f t="shared" si="108"/>
        <v>0</v>
      </c>
      <c r="F475" s="311">
        <f t="shared" si="108"/>
        <v>0</v>
      </c>
      <c r="G475" s="311">
        <f t="shared" si="108"/>
        <v>0</v>
      </c>
      <c r="H475" s="311">
        <f t="shared" si="108"/>
        <v>0</v>
      </c>
      <c r="I475" s="311">
        <f t="shared" si="108"/>
        <v>0</v>
      </c>
      <c r="J475" s="311">
        <f t="shared" si="108"/>
        <v>0</v>
      </c>
      <c r="K475" s="311">
        <f t="shared" si="108"/>
        <v>0</v>
      </c>
      <c r="L475" s="311">
        <f t="shared" ref="L475:S475" ca="1" si="109">SUBTOTAL(9,L469:L474)</f>
        <v>0</v>
      </c>
      <c r="M475" s="513">
        <f t="shared" ca="1" si="109"/>
        <v>0</v>
      </c>
      <c r="N475" s="313">
        <f t="shared" ca="1" si="109"/>
        <v>0.60499999999999998</v>
      </c>
      <c r="O475" s="311">
        <f t="shared" ca="1" si="109"/>
        <v>0.62249028655946625</v>
      </c>
      <c r="P475" s="311">
        <f t="shared" ca="1" si="109"/>
        <v>0.63995612084617037</v>
      </c>
      <c r="Q475" s="311">
        <f t="shared" ca="1" si="109"/>
        <v>0.65884396277127288</v>
      </c>
      <c r="R475" s="311">
        <f t="shared" ca="1" si="109"/>
        <v>0.67895138874528649</v>
      </c>
      <c r="S475" s="311">
        <f t="shared" ca="1" si="109"/>
        <v>0.69925052357861828</v>
      </c>
    </row>
    <row r="476" spans="1:19">
      <c r="A476" s="5"/>
      <c r="B476" s="249"/>
      <c r="C476" s="12"/>
      <c r="D476" s="263"/>
      <c r="E476" s="263"/>
      <c r="F476" s="263"/>
      <c r="G476" s="263"/>
      <c r="H476" s="263"/>
      <c r="I476" s="263"/>
      <c r="J476" s="263"/>
      <c r="K476" s="263"/>
      <c r="L476" s="263"/>
      <c r="M476" s="836"/>
      <c r="N476" s="263"/>
      <c r="O476" s="263"/>
      <c r="P476" s="263"/>
      <c r="Q476" s="263"/>
      <c r="R476" s="263"/>
      <c r="S476" s="263"/>
    </row>
    <row r="477" spans="1:19">
      <c r="A477" s="5"/>
      <c r="B477" s="249" t="str">
        <f ca="1">+'I-4 History'!B471</f>
        <v>A-28</v>
      </c>
      <c r="C477" s="262" t="str">
        <f ca="1">+'I-4 History'!C471</f>
        <v xml:space="preserve">Printing </v>
      </c>
      <c r="D477" s="11"/>
      <c r="E477" s="11"/>
      <c r="F477" s="11"/>
      <c r="G477" s="11"/>
      <c r="H477" s="11"/>
      <c r="I477" s="11"/>
      <c r="J477" s="11"/>
      <c r="K477" s="11"/>
      <c r="L477" s="11"/>
      <c r="M477" s="507"/>
      <c r="N477" s="11"/>
      <c r="O477" s="11"/>
      <c r="P477" s="11"/>
      <c r="Q477" s="11"/>
      <c r="R477" s="11"/>
      <c r="S477" s="11"/>
    </row>
    <row r="478" spans="1:19">
      <c r="A478" s="5"/>
      <c r="B478" s="249"/>
      <c r="C478" s="13" t="s">
        <v>68</v>
      </c>
      <c r="D478" s="312">
        <f>'I-4 History'!D472</f>
        <v>0</v>
      </c>
      <c r="E478" s="312">
        <f>'I-4 History'!E472</f>
        <v>0</v>
      </c>
      <c r="F478" s="312">
        <f>'I-4 History'!F472</f>
        <v>0</v>
      </c>
      <c r="G478" s="312">
        <f>'I-4 History'!G472</f>
        <v>0</v>
      </c>
      <c r="H478" s="312">
        <f>'I-4 History'!H472</f>
        <v>0</v>
      </c>
      <c r="I478" s="312">
        <f>'I-4 History'!I472</f>
        <v>0</v>
      </c>
      <c r="J478" s="312">
        <f>'I-4 History'!J472</f>
        <v>0</v>
      </c>
      <c r="K478" s="312">
        <f>'I-4 History'!K472</f>
        <v>0</v>
      </c>
      <c r="L478" s="310">
        <f ca="1">'A-28'!B$64</f>
        <v>0</v>
      </c>
      <c r="M478" s="835">
        <f ca="1">'A-28'!C$64</f>
        <v>0</v>
      </c>
      <c r="N478" s="312">
        <f ca="1">'A-28'!D$64</f>
        <v>0.161</v>
      </c>
      <c r="O478" s="310">
        <f ca="1">'A-28'!E$64</f>
        <v>0.16619959036137391</v>
      </c>
      <c r="P478" s="310">
        <f ca="1">'A-28'!F$64</f>
        <v>0.17141734843097017</v>
      </c>
      <c r="Q478" s="310">
        <f ca="1">'A-28'!G$64</f>
        <v>0.17696655613473683</v>
      </c>
      <c r="R478" s="310">
        <f ca="1">'A-28'!H$64</f>
        <v>0.18282412058975669</v>
      </c>
      <c r="S478" s="310">
        <f ca="1">'A-28'!I$64</f>
        <v>0.18869709704846585</v>
      </c>
    </row>
    <row r="479" spans="1:19">
      <c r="A479" s="5"/>
      <c r="B479" s="249"/>
      <c r="C479" s="13" t="s">
        <v>69</v>
      </c>
      <c r="D479" s="312">
        <f>'I-4 History'!D473</f>
        <v>0</v>
      </c>
      <c r="E479" s="312">
        <f>'I-4 History'!E473</f>
        <v>0</v>
      </c>
      <c r="F479" s="312">
        <f>'I-4 History'!F473</f>
        <v>0</v>
      </c>
      <c r="G479" s="312">
        <f>'I-4 History'!G473</f>
        <v>0</v>
      </c>
      <c r="H479" s="312">
        <f>'I-4 History'!H473</f>
        <v>0</v>
      </c>
      <c r="I479" s="312">
        <f>'I-4 History'!I473</f>
        <v>0</v>
      </c>
      <c r="J479" s="312">
        <f>'I-4 History'!J473</f>
        <v>0</v>
      </c>
      <c r="K479" s="312">
        <f>'I-4 History'!K473</f>
        <v>0</v>
      </c>
      <c r="L479" s="310">
        <f ca="1">'A-28'!B$65</f>
        <v>0</v>
      </c>
      <c r="M479" s="835">
        <f ca="1">'A-28'!C$65</f>
        <v>0</v>
      </c>
      <c r="N479" s="312">
        <f ca="1">'A-28'!D$65</f>
        <v>6.0000000000000005E-2</v>
      </c>
      <c r="O479" s="310">
        <f ca="1">'A-28'!E$65</f>
        <v>6.0636597496874112E-2</v>
      </c>
      <c r="P479" s="310">
        <f ca="1">'A-28'!F$65</f>
        <v>6.1226459707416712E-2</v>
      </c>
      <c r="Q479" s="310">
        <f ca="1">'A-28'!G$65</f>
        <v>6.1809531952572778E-2</v>
      </c>
      <c r="R479" s="310">
        <f ca="1">'A-28'!H$65</f>
        <v>6.2442118508819748E-2</v>
      </c>
      <c r="S479" s="310">
        <f ca="1">'A-28'!I$65</f>
        <v>6.3021572528640019E-2</v>
      </c>
    </row>
    <row r="480" spans="1:19" s="759" customFormat="1">
      <c r="A480" s="5"/>
      <c r="B480" s="249"/>
      <c r="C480" s="13" t="s">
        <v>646</v>
      </c>
      <c r="D480" s="312">
        <f>'I-4 History'!D474</f>
        <v>0</v>
      </c>
      <c r="E480" s="312">
        <f>'I-4 History'!E474</f>
        <v>0</v>
      </c>
      <c r="F480" s="312">
        <f>'I-4 History'!F474</f>
        <v>0</v>
      </c>
      <c r="G480" s="312">
        <f>'I-4 History'!G474</f>
        <v>0</v>
      </c>
      <c r="H480" s="312">
        <f>'I-4 History'!H474</f>
        <v>0</v>
      </c>
      <c r="I480" s="312">
        <f>'I-4 History'!I474</f>
        <v>0</v>
      </c>
      <c r="J480" s="312">
        <f>'I-4 History'!J474</f>
        <v>0</v>
      </c>
      <c r="K480" s="312">
        <f>'I-4 History'!K474</f>
        <v>0</v>
      </c>
      <c r="L480" s="310">
        <f ca="1">'A-28'!B$66</f>
        <v>0</v>
      </c>
      <c r="M480" s="835">
        <f ca="1">'A-28'!C$66</f>
        <v>0</v>
      </c>
      <c r="N480" s="312">
        <f ca="1">'A-28'!D$66</f>
        <v>-0.39300000000000002</v>
      </c>
      <c r="O480" s="310">
        <f ca="1">'A-28'!E$66</f>
        <v>-0.399155562172548</v>
      </c>
      <c r="P480" s="310">
        <f ca="1">'A-28'!F$66</f>
        <v>-0.40505367002719223</v>
      </c>
      <c r="Q480" s="310">
        <f ca="1">'A-28'!G$66</f>
        <v>-0.41259127966259018</v>
      </c>
      <c r="R480" s="310">
        <f ca="1">'A-28'!H$66</f>
        <v>-0.42119047063755655</v>
      </c>
      <c r="S480" s="310">
        <f ca="1">'A-28'!I$66</f>
        <v>-0.43041279680927813</v>
      </c>
    </row>
    <row r="481" spans="1:19">
      <c r="A481" s="5"/>
      <c r="B481" s="249"/>
      <c r="C481" s="13" t="s">
        <v>647</v>
      </c>
      <c r="D481" s="312">
        <f>'I-4 History'!D475</f>
        <v>0</v>
      </c>
      <c r="E481" s="312">
        <f>'I-4 History'!E475</f>
        <v>0</v>
      </c>
      <c r="F481" s="312">
        <f>'I-4 History'!F475</f>
        <v>0</v>
      </c>
      <c r="G481" s="312">
        <f>'I-4 History'!G475</f>
        <v>0</v>
      </c>
      <c r="H481" s="312">
        <f>'I-4 History'!H475</f>
        <v>0</v>
      </c>
      <c r="I481" s="312">
        <f>'I-4 History'!I475</f>
        <v>0</v>
      </c>
      <c r="J481" s="312">
        <f>'I-4 History'!J475</f>
        <v>0</v>
      </c>
      <c r="K481" s="312">
        <f>'I-4 History'!K475</f>
        <v>0</v>
      </c>
      <c r="L481" s="310">
        <f ca="1">'A-28'!B$67</f>
        <v>0</v>
      </c>
      <c r="M481" s="835">
        <f ca="1">'A-28'!C$67</f>
        <v>0</v>
      </c>
      <c r="N481" s="312">
        <f ca="1">'A-28'!D$67</f>
        <v>0.153</v>
      </c>
      <c r="O481" s="310">
        <f ca="1">'A-28'!E$67</f>
        <v>0.15539644023511409</v>
      </c>
      <c r="P481" s="310">
        <f ca="1">'A-28'!F$67</f>
        <v>0.15769265016325804</v>
      </c>
      <c r="Q481" s="310">
        <f ca="1">'A-28'!G$67</f>
        <v>0.16062713941062667</v>
      </c>
      <c r="R481" s="310">
        <f ca="1">'A-28'!H$67</f>
        <v>0.16397491604973574</v>
      </c>
      <c r="S481" s="310">
        <f ca="1">'A-28'!I$67</f>
        <v>0.1675652873074289</v>
      </c>
    </row>
    <row r="482" spans="1:19" s="759" customFormat="1">
      <c r="A482" s="5"/>
      <c r="B482" s="249"/>
      <c r="C482" s="13" t="s">
        <v>575</v>
      </c>
      <c r="D482" s="312">
        <f>'I-4 History'!D476</f>
        <v>0</v>
      </c>
      <c r="E482" s="312">
        <f>'I-4 History'!E476</f>
        <v>0</v>
      </c>
      <c r="F482" s="312">
        <f>'I-4 History'!F476</f>
        <v>0</v>
      </c>
      <c r="G482" s="312">
        <f>'I-4 History'!G476</f>
        <v>0</v>
      </c>
      <c r="H482" s="312">
        <f>'I-4 History'!H476</f>
        <v>0</v>
      </c>
      <c r="I482" s="312">
        <f>'I-4 History'!I476</f>
        <v>0</v>
      </c>
      <c r="J482" s="312">
        <f>'I-4 History'!J476</f>
        <v>0</v>
      </c>
      <c r="K482" s="312">
        <f>'I-4 History'!K476</f>
        <v>0</v>
      </c>
      <c r="L482" s="310">
        <f ca="1">'A-28'!B$68</f>
        <v>0</v>
      </c>
      <c r="M482" s="835">
        <f ca="1">'A-28'!C$68</f>
        <v>0</v>
      </c>
      <c r="N482" s="312">
        <f ca="1">'A-28'!D$68</f>
        <v>0</v>
      </c>
      <c r="O482" s="310">
        <f ca="1">'A-28'!E$68</f>
        <v>0</v>
      </c>
      <c r="P482" s="310">
        <f ca="1">'A-28'!F$68</f>
        <v>0</v>
      </c>
      <c r="Q482" s="310">
        <f ca="1">'A-28'!G$68</f>
        <v>0</v>
      </c>
      <c r="R482" s="310">
        <f ca="1">'A-28'!H$68</f>
        <v>0</v>
      </c>
      <c r="S482" s="310">
        <f ca="1">'A-28'!I$68</f>
        <v>0</v>
      </c>
    </row>
    <row r="483" spans="1:19">
      <c r="A483" s="5"/>
      <c r="B483" s="249"/>
      <c r="C483" s="13" t="s">
        <v>70</v>
      </c>
      <c r="D483" s="312">
        <f>'I-4 History'!D477</f>
        <v>0</v>
      </c>
      <c r="E483" s="312">
        <f>'I-4 History'!E477</f>
        <v>0</v>
      </c>
      <c r="F483" s="312">
        <f>'I-4 History'!F477</f>
        <v>0</v>
      </c>
      <c r="G483" s="312">
        <f>'I-4 History'!G477</f>
        <v>0</v>
      </c>
      <c r="H483" s="312">
        <f>'I-4 History'!H477</f>
        <v>0</v>
      </c>
      <c r="I483" s="312">
        <f>'I-4 History'!I477</f>
        <v>0</v>
      </c>
      <c r="J483" s="312">
        <f>'I-4 History'!J477</f>
        <v>0</v>
      </c>
      <c r="K483" s="312">
        <f>'I-4 History'!K477</f>
        <v>0</v>
      </c>
      <c r="L483" s="310">
        <f ca="1">'A-28'!B$69</f>
        <v>0</v>
      </c>
      <c r="M483" s="835">
        <f ca="1">'A-28'!C$69</f>
        <v>0</v>
      </c>
      <c r="N483" s="312">
        <f ca="1">'A-28'!D$69</f>
        <v>0</v>
      </c>
      <c r="O483" s="310">
        <f ca="1">'A-28'!E$69</f>
        <v>0</v>
      </c>
      <c r="P483" s="310">
        <f ca="1">'A-28'!F$69</f>
        <v>0</v>
      </c>
      <c r="Q483" s="310">
        <f ca="1">'A-28'!G$69</f>
        <v>0</v>
      </c>
      <c r="R483" s="310">
        <f ca="1">'A-28'!H$69</f>
        <v>0</v>
      </c>
      <c r="S483" s="310">
        <f ca="1">'A-28'!I$69</f>
        <v>0</v>
      </c>
    </row>
    <row r="484" spans="1:19">
      <c r="A484" s="5"/>
      <c r="B484" s="249"/>
      <c r="C484" s="12" t="s">
        <v>75</v>
      </c>
      <c r="D484" s="313">
        <f t="shared" ref="D484:K484" si="110">SUBTOTAL(9,D478:D483)</f>
        <v>0</v>
      </c>
      <c r="E484" s="311">
        <f t="shared" si="110"/>
        <v>0</v>
      </c>
      <c r="F484" s="311">
        <f t="shared" si="110"/>
        <v>0</v>
      </c>
      <c r="G484" s="311">
        <f t="shared" si="110"/>
        <v>0</v>
      </c>
      <c r="H484" s="311">
        <f t="shared" si="110"/>
        <v>0</v>
      </c>
      <c r="I484" s="311">
        <f t="shared" si="110"/>
        <v>0</v>
      </c>
      <c r="J484" s="311">
        <f t="shared" si="110"/>
        <v>0</v>
      </c>
      <c r="K484" s="311">
        <f t="shared" si="110"/>
        <v>0</v>
      </c>
      <c r="L484" s="311">
        <f t="shared" ref="L484:S484" ca="1" si="111">SUBTOTAL(9,L478:L483)</f>
        <v>0</v>
      </c>
      <c r="M484" s="513">
        <f t="shared" ca="1" si="111"/>
        <v>0</v>
      </c>
      <c r="N484" s="313">
        <f t="shared" ca="1" si="111"/>
        <v>-1.9000000000000017E-2</v>
      </c>
      <c r="O484" s="311">
        <f t="shared" ca="1" si="111"/>
        <v>-1.6922934079185881E-2</v>
      </c>
      <c r="P484" s="311">
        <f t="shared" ca="1" si="111"/>
        <v>-1.4717211725547297E-2</v>
      </c>
      <c r="Q484" s="311">
        <f t="shared" ca="1" si="111"/>
        <v>-1.3188052164653907E-2</v>
      </c>
      <c r="R484" s="311">
        <f t="shared" ca="1" si="111"/>
        <v>-1.1949315489244355E-2</v>
      </c>
      <c r="S484" s="311">
        <f t="shared" ca="1" si="111"/>
        <v>-1.1128839924743367E-2</v>
      </c>
    </row>
    <row r="485" spans="1:19">
      <c r="A485" s="5"/>
      <c r="B485" s="249"/>
      <c r="C485" s="15"/>
      <c r="D485" s="263"/>
      <c r="E485" s="263"/>
      <c r="F485" s="263"/>
      <c r="G485" s="263"/>
      <c r="H485" s="263"/>
      <c r="I485" s="263"/>
      <c r="J485" s="263"/>
      <c r="K485" s="263"/>
      <c r="L485" s="263"/>
      <c r="M485" s="836"/>
      <c r="N485" s="263"/>
      <c r="O485" s="263"/>
      <c r="P485" s="263"/>
      <c r="Q485" s="263"/>
      <c r="R485" s="263"/>
      <c r="S485" s="263"/>
    </row>
    <row r="486" spans="1:19">
      <c r="A486" s="5"/>
      <c r="B486" s="249" t="str">
        <f ca="1">+'I-4 History'!B480</f>
        <v>A-29</v>
      </c>
      <c r="C486" s="262" t="str">
        <f ca="1">+'I-4 History'!C480</f>
        <v xml:space="preserve">Risk &amp; Insurance – Shared Insurance Premiums </v>
      </c>
      <c r="D486" s="11"/>
      <c r="E486" s="11"/>
      <c r="F486" s="11"/>
      <c r="G486" s="11"/>
      <c r="H486" s="11"/>
      <c r="I486" s="11"/>
      <c r="J486" s="11"/>
      <c r="K486" s="11"/>
      <c r="L486" s="11"/>
      <c r="M486" s="507"/>
      <c r="N486" s="11"/>
      <c r="O486" s="11"/>
      <c r="P486" s="11"/>
      <c r="Q486" s="11"/>
      <c r="R486" s="11"/>
      <c r="S486" s="11"/>
    </row>
    <row r="487" spans="1:19">
      <c r="B487" s="249"/>
      <c r="C487" s="13" t="s">
        <v>68</v>
      </c>
      <c r="D487" s="312">
        <f>'I-4 History'!D481</f>
        <v>0</v>
      </c>
      <c r="E487" s="312">
        <f>'I-4 History'!E481</f>
        <v>0</v>
      </c>
      <c r="F487" s="312">
        <f>'I-4 History'!F481</f>
        <v>0</v>
      </c>
      <c r="G487" s="312">
        <f>'I-4 History'!G481</f>
        <v>0</v>
      </c>
      <c r="H487" s="312">
        <f>'I-4 History'!H481</f>
        <v>0</v>
      </c>
      <c r="I487" s="312">
        <f>'I-4 History'!I481</f>
        <v>0</v>
      </c>
      <c r="J487" s="312">
        <f>'I-4 History'!J481</f>
        <v>0</v>
      </c>
      <c r="K487" s="312">
        <f>'I-4 History'!K481</f>
        <v>0</v>
      </c>
      <c r="L487" s="310">
        <f ca="1">'A-29'!B$64</f>
        <v>0</v>
      </c>
      <c r="M487" s="835">
        <f ca="1">'A-29'!C$64</f>
        <v>0</v>
      </c>
      <c r="N487" s="312">
        <f ca="1">'A-29'!D$64</f>
        <v>0.14100000000000001</v>
      </c>
      <c r="O487" s="310">
        <f ca="1">'A-29'!E$64</f>
        <v>0.14555367851524051</v>
      </c>
      <c r="P487" s="310">
        <f ca="1">'A-29'!F$64</f>
        <v>0.15012326788053909</v>
      </c>
      <c r="Q487" s="310">
        <f ca="1">'A-29'!G$64</f>
        <v>0.15498313301240932</v>
      </c>
      <c r="R487" s="310">
        <f ca="1">'A-29'!H$64</f>
        <v>0.16011304970904158</v>
      </c>
      <c r="S487" s="310">
        <f ca="1">'A-29'!I$64</f>
        <v>0.16525646387474338</v>
      </c>
    </row>
    <row r="488" spans="1:19">
      <c r="B488" s="249"/>
      <c r="C488" s="13" t="s">
        <v>69</v>
      </c>
      <c r="D488" s="312">
        <f>'I-4 History'!D482</f>
        <v>0</v>
      </c>
      <c r="E488" s="312">
        <f>'I-4 History'!E482</f>
        <v>0</v>
      </c>
      <c r="F488" s="312">
        <f>'I-4 History'!F482</f>
        <v>0</v>
      </c>
      <c r="G488" s="312">
        <f>'I-4 History'!G482</f>
        <v>0</v>
      </c>
      <c r="H488" s="312">
        <f>'I-4 History'!H482</f>
        <v>0</v>
      </c>
      <c r="I488" s="312">
        <f>'I-4 History'!I482</f>
        <v>0</v>
      </c>
      <c r="J488" s="312">
        <f>'I-4 History'!J482</f>
        <v>0</v>
      </c>
      <c r="K488" s="312">
        <f>'I-4 History'!K482</f>
        <v>0</v>
      </c>
      <c r="L488" s="310">
        <f ca="1">'A-29'!B$65</f>
        <v>0</v>
      </c>
      <c r="M488" s="835">
        <f ca="1">'A-29'!C$65</f>
        <v>0</v>
      </c>
      <c r="N488" s="312">
        <f ca="1">'A-29'!D$65</f>
        <v>0</v>
      </c>
      <c r="O488" s="310">
        <f ca="1">'A-29'!E$65</f>
        <v>0</v>
      </c>
      <c r="P488" s="310">
        <f ca="1">'A-29'!F$65</f>
        <v>0</v>
      </c>
      <c r="Q488" s="310">
        <f ca="1">'A-29'!G$65</f>
        <v>0</v>
      </c>
      <c r="R488" s="310">
        <f ca="1">'A-29'!H$65</f>
        <v>0</v>
      </c>
      <c r="S488" s="310">
        <f ca="1">'A-29'!I$65</f>
        <v>0</v>
      </c>
    </row>
    <row r="489" spans="1:19" s="759" customFormat="1">
      <c r="B489" s="249"/>
      <c r="C489" s="13" t="s">
        <v>646</v>
      </c>
      <c r="D489" s="312">
        <f>'I-4 History'!D483</f>
        <v>0</v>
      </c>
      <c r="E489" s="312">
        <f>'I-4 History'!E483</f>
        <v>0</v>
      </c>
      <c r="F489" s="312">
        <f>'I-4 History'!F483</f>
        <v>0</v>
      </c>
      <c r="G489" s="312">
        <f>'I-4 History'!G483</f>
        <v>0</v>
      </c>
      <c r="H489" s="312">
        <f>'I-4 History'!H483</f>
        <v>0</v>
      </c>
      <c r="I489" s="312">
        <f>'I-4 History'!I483</f>
        <v>0</v>
      </c>
      <c r="J489" s="312">
        <f>'I-4 History'!J483</f>
        <v>0</v>
      </c>
      <c r="K489" s="312">
        <f>'I-4 History'!K483</f>
        <v>0</v>
      </c>
      <c r="L489" s="310">
        <f ca="1">'A-29'!B$66</f>
        <v>0</v>
      </c>
      <c r="M489" s="835">
        <f ca="1">'A-29'!C$66</f>
        <v>0</v>
      </c>
      <c r="N489" s="312">
        <f ca="1">'A-29'!D$66</f>
        <v>2E-3</v>
      </c>
      <c r="O489" s="310">
        <f ca="1">'A-29'!E$66</f>
        <v>2.0313260161452826E-3</v>
      </c>
      <c r="P489" s="310">
        <f ca="1">'A-29'!F$66</f>
        <v>2.0613418321994517E-3</v>
      </c>
      <c r="Q489" s="310">
        <f ca="1">'A-29'!G$66</f>
        <v>2.0997011687663623E-3</v>
      </c>
      <c r="R489" s="310">
        <f ca="1">'A-29'!H$66</f>
        <v>2.1434629548985062E-3</v>
      </c>
      <c r="S489" s="310">
        <f ca="1">'A-29'!I$66</f>
        <v>2.1903959125154104E-3</v>
      </c>
    </row>
    <row r="490" spans="1:19">
      <c r="B490" s="249"/>
      <c r="C490" s="13" t="s">
        <v>647</v>
      </c>
      <c r="D490" s="312">
        <f>'I-4 History'!D484</f>
        <v>0</v>
      </c>
      <c r="E490" s="312">
        <f>'I-4 History'!E484</f>
        <v>0</v>
      </c>
      <c r="F490" s="312">
        <f>'I-4 History'!F484</f>
        <v>0</v>
      </c>
      <c r="G490" s="312">
        <f>'I-4 History'!G484</f>
        <v>0</v>
      </c>
      <c r="H490" s="312">
        <f>'I-4 History'!H484</f>
        <v>0</v>
      </c>
      <c r="I490" s="312">
        <f>'I-4 History'!I484</f>
        <v>0</v>
      </c>
      <c r="J490" s="312">
        <f>'I-4 History'!J484</f>
        <v>0</v>
      </c>
      <c r="K490" s="312">
        <f>'I-4 History'!K484</f>
        <v>0</v>
      </c>
      <c r="L490" s="310">
        <f ca="1">'A-29'!B$67</f>
        <v>0</v>
      </c>
      <c r="M490" s="835">
        <f ca="1">'A-29'!C$67</f>
        <v>0</v>
      </c>
      <c r="N490" s="312">
        <f ca="1">'A-29'!D$67</f>
        <v>0</v>
      </c>
      <c r="O490" s="310">
        <f ca="1">'A-29'!E$67</f>
        <v>0</v>
      </c>
      <c r="P490" s="310">
        <f ca="1">'A-29'!F$67</f>
        <v>0</v>
      </c>
      <c r="Q490" s="310">
        <f ca="1">'A-29'!G$67</f>
        <v>0</v>
      </c>
      <c r="R490" s="310">
        <f ca="1">'A-29'!H$67</f>
        <v>0</v>
      </c>
      <c r="S490" s="310">
        <f ca="1">'A-29'!I$67</f>
        <v>0</v>
      </c>
    </row>
    <row r="491" spans="1:19" s="759" customFormat="1">
      <c r="B491" s="249"/>
      <c r="C491" s="13" t="s">
        <v>575</v>
      </c>
      <c r="D491" s="312">
        <f>'I-4 History'!D485</f>
        <v>0</v>
      </c>
      <c r="E491" s="312">
        <f>'I-4 History'!E485</f>
        <v>0</v>
      </c>
      <c r="F491" s="312">
        <f>'I-4 History'!F485</f>
        <v>0</v>
      </c>
      <c r="G491" s="312">
        <f>'I-4 History'!G485</f>
        <v>0</v>
      </c>
      <c r="H491" s="312">
        <f>'I-4 History'!H485</f>
        <v>0</v>
      </c>
      <c r="I491" s="312">
        <f>'I-4 History'!I485</f>
        <v>0</v>
      </c>
      <c r="J491" s="312">
        <f>'I-4 History'!J485</f>
        <v>0</v>
      </c>
      <c r="K491" s="312">
        <f>'I-4 History'!K485</f>
        <v>0</v>
      </c>
      <c r="L491" s="310">
        <f ca="1">'A-29'!B$68</f>
        <v>0</v>
      </c>
      <c r="M491" s="835">
        <f ca="1">'A-29'!C$68</f>
        <v>0</v>
      </c>
      <c r="N491" s="312">
        <f ca="1">'A-29'!D$68</f>
        <v>0</v>
      </c>
      <c r="O491" s="310">
        <f ca="1">'A-29'!E$68</f>
        <v>0</v>
      </c>
      <c r="P491" s="310">
        <f ca="1">'A-29'!F$68</f>
        <v>0</v>
      </c>
      <c r="Q491" s="310">
        <f ca="1">'A-29'!G$68</f>
        <v>0</v>
      </c>
      <c r="R491" s="310">
        <f ca="1">'A-29'!H$68</f>
        <v>0</v>
      </c>
      <c r="S491" s="310">
        <f ca="1">'A-29'!I$68</f>
        <v>0</v>
      </c>
    </row>
    <row r="492" spans="1:19">
      <c r="B492" s="249"/>
      <c r="C492" s="13" t="s">
        <v>70</v>
      </c>
      <c r="D492" s="312">
        <f>'I-4 History'!D486</f>
        <v>0</v>
      </c>
      <c r="E492" s="312">
        <f>'I-4 History'!E486</f>
        <v>0</v>
      </c>
      <c r="F492" s="312">
        <f>'I-4 History'!F486</f>
        <v>0</v>
      </c>
      <c r="G492" s="312">
        <f>'I-4 History'!G486</f>
        <v>0</v>
      </c>
      <c r="H492" s="312">
        <f>'I-4 History'!H486</f>
        <v>0</v>
      </c>
      <c r="I492" s="312">
        <f>'I-4 History'!I486</f>
        <v>0</v>
      </c>
      <c r="J492" s="312">
        <f>'I-4 History'!J486</f>
        <v>0</v>
      </c>
      <c r="K492" s="312">
        <f>'I-4 History'!K486</f>
        <v>0</v>
      </c>
      <c r="L492" s="310">
        <f ca="1">'A-29'!B$69</f>
        <v>0</v>
      </c>
      <c r="M492" s="835">
        <f ca="1">'A-29'!C$69</f>
        <v>0</v>
      </c>
      <c r="N492" s="312">
        <f ca="1">'A-29'!D$69</f>
        <v>0.76900000000000002</v>
      </c>
      <c r="O492" s="310">
        <f ca="1">'A-29'!E$69</f>
        <v>0.77715905791826978</v>
      </c>
      <c r="P492" s="310">
        <f ca="1">'A-29'!F$69</f>
        <v>0.78471912525005749</v>
      </c>
      <c r="Q492" s="310">
        <f ca="1">'A-29'!G$69</f>
        <v>0.79219216785880775</v>
      </c>
      <c r="R492" s="310">
        <f ca="1">'A-29'!H$69</f>
        <v>0.80029981888803969</v>
      </c>
      <c r="S492" s="310">
        <f ca="1">'A-29'!I$69</f>
        <v>0.80772648790873613</v>
      </c>
    </row>
    <row r="493" spans="1:19">
      <c r="B493" s="249"/>
      <c r="C493" s="12" t="s">
        <v>75</v>
      </c>
      <c r="D493" s="313">
        <f t="shared" ref="D493:K493" si="112">SUBTOTAL(9,D487:D492)</f>
        <v>0</v>
      </c>
      <c r="E493" s="311">
        <f t="shared" si="112"/>
        <v>0</v>
      </c>
      <c r="F493" s="311">
        <f t="shared" si="112"/>
        <v>0</v>
      </c>
      <c r="G493" s="311">
        <f t="shared" si="112"/>
        <v>0</v>
      </c>
      <c r="H493" s="311">
        <f t="shared" si="112"/>
        <v>0</v>
      </c>
      <c r="I493" s="311">
        <f t="shared" si="112"/>
        <v>0</v>
      </c>
      <c r="J493" s="311">
        <f t="shared" si="112"/>
        <v>0</v>
      </c>
      <c r="K493" s="311">
        <f t="shared" si="112"/>
        <v>0</v>
      </c>
      <c r="L493" s="311">
        <f t="shared" ref="L493:S493" ca="1" si="113">SUBTOTAL(9,L487:L492)</f>
        <v>0</v>
      </c>
      <c r="M493" s="513">
        <f t="shared" ca="1" si="113"/>
        <v>0</v>
      </c>
      <c r="N493" s="313">
        <f t="shared" ca="1" si="113"/>
        <v>0.91200000000000003</v>
      </c>
      <c r="O493" s="311">
        <f t="shared" ca="1" si="113"/>
        <v>0.92474406244965557</v>
      </c>
      <c r="P493" s="311">
        <f t="shared" ca="1" si="113"/>
        <v>0.936903734962796</v>
      </c>
      <c r="Q493" s="311">
        <f t="shared" ca="1" si="113"/>
        <v>0.94927500203998338</v>
      </c>
      <c r="R493" s="311">
        <f t="shared" ca="1" si="113"/>
        <v>0.96255633155197984</v>
      </c>
      <c r="S493" s="311">
        <f t="shared" ca="1" si="113"/>
        <v>0.97517334769599495</v>
      </c>
    </row>
    <row r="494" spans="1:19">
      <c r="B494" s="249"/>
      <c r="C494" s="12"/>
      <c r="D494" s="263"/>
      <c r="E494" s="263"/>
      <c r="F494" s="263"/>
      <c r="G494" s="263"/>
      <c r="H494" s="263"/>
      <c r="I494" s="263"/>
      <c r="J494" s="263"/>
      <c r="K494" s="263"/>
      <c r="L494" s="263"/>
      <c r="M494" s="836"/>
      <c r="N494" s="263"/>
      <c r="O494" s="263"/>
      <c r="P494" s="263"/>
      <c r="Q494" s="263"/>
      <c r="R494" s="263"/>
      <c r="S494" s="263"/>
    </row>
    <row r="495" spans="1:19">
      <c r="A495" s="5"/>
      <c r="B495" s="249" t="str">
        <f ca="1">+'I-4 History'!B489</f>
        <v>A-30</v>
      </c>
      <c r="C495" s="14" t="str">
        <f ca="1">+'I-4 History'!C489</f>
        <v>Risk &amp; Insurance – Support Costs</v>
      </c>
      <c r="D495" s="11"/>
      <c r="E495" s="11"/>
      <c r="F495" s="11"/>
      <c r="G495" s="11"/>
      <c r="H495" s="11"/>
      <c r="I495" s="11"/>
      <c r="J495" s="11"/>
      <c r="K495" s="11"/>
      <c r="L495" s="11"/>
      <c r="M495" s="507"/>
      <c r="N495" s="11"/>
      <c r="O495" s="11"/>
      <c r="P495" s="11"/>
      <c r="Q495" s="11"/>
      <c r="R495" s="11"/>
      <c r="S495" s="11"/>
    </row>
    <row r="496" spans="1:19">
      <c r="A496" s="5"/>
      <c r="B496" s="249"/>
      <c r="C496" s="13" t="s">
        <v>68</v>
      </c>
      <c r="D496" s="312">
        <f>'I-4 History'!D490</f>
        <v>0</v>
      </c>
      <c r="E496" s="312">
        <f>'I-4 History'!E490</f>
        <v>0</v>
      </c>
      <c r="F496" s="312">
        <f>'I-4 History'!F490</f>
        <v>0</v>
      </c>
      <c r="G496" s="312">
        <f>'I-4 History'!G490</f>
        <v>0</v>
      </c>
      <c r="H496" s="312">
        <f>'I-4 History'!H490</f>
        <v>0</v>
      </c>
      <c r="I496" s="312">
        <f>'I-4 History'!I490</f>
        <v>0</v>
      </c>
      <c r="J496" s="312">
        <f>'I-4 History'!J490</f>
        <v>0</v>
      </c>
      <c r="K496" s="312">
        <f>'I-4 History'!K490</f>
        <v>0</v>
      </c>
      <c r="L496" s="310">
        <f ca="1">'A-30'!B$64</f>
        <v>0</v>
      </c>
      <c r="M496" s="835">
        <f ca="1">'A-30'!C$64</f>
        <v>0</v>
      </c>
      <c r="N496" s="312">
        <f ca="1">'A-30'!D$64</f>
        <v>0.46300000000000002</v>
      </c>
      <c r="O496" s="310">
        <f ca="1">'A-30'!E$64</f>
        <v>0.47795285923798836</v>
      </c>
      <c r="P496" s="310">
        <f ca="1">'A-30'!F$64</f>
        <v>0.49295796474247944</v>
      </c>
      <c r="Q496" s="310">
        <f ca="1">'A-30'!G$64</f>
        <v>0.50891624528188295</v>
      </c>
      <c r="R496" s="310">
        <f ca="1">'A-30'!H$64</f>
        <v>0.52576129088855494</v>
      </c>
      <c r="S496" s="310">
        <f ca="1">'A-30'!I$64</f>
        <v>0.54265065797167511</v>
      </c>
    </row>
    <row r="497" spans="1:19">
      <c r="A497" s="5"/>
      <c r="B497" s="249"/>
      <c r="C497" s="13" t="s">
        <v>69</v>
      </c>
      <c r="D497" s="312">
        <f>'I-4 History'!D491</f>
        <v>0</v>
      </c>
      <c r="E497" s="312">
        <f>'I-4 History'!E491</f>
        <v>0</v>
      </c>
      <c r="F497" s="312">
        <f>'I-4 History'!F491</f>
        <v>0</v>
      </c>
      <c r="G497" s="312">
        <f>'I-4 History'!G491</f>
        <v>0</v>
      </c>
      <c r="H497" s="312">
        <f>'I-4 History'!H491</f>
        <v>0</v>
      </c>
      <c r="I497" s="312">
        <f>'I-4 History'!I491</f>
        <v>0</v>
      </c>
      <c r="J497" s="312">
        <f>'I-4 History'!J491</f>
        <v>0</v>
      </c>
      <c r="K497" s="312">
        <f>'I-4 History'!K491</f>
        <v>0</v>
      </c>
      <c r="L497" s="310">
        <f ca="1">'A-30'!B$65</f>
        <v>0</v>
      </c>
      <c r="M497" s="835">
        <f ca="1">'A-30'!C$65</f>
        <v>0</v>
      </c>
      <c r="N497" s="312">
        <f ca="1">'A-30'!D$65</f>
        <v>0</v>
      </c>
      <c r="O497" s="310">
        <f ca="1">'A-30'!E$65</f>
        <v>0</v>
      </c>
      <c r="P497" s="310">
        <f ca="1">'A-30'!F$65</f>
        <v>0</v>
      </c>
      <c r="Q497" s="310">
        <f ca="1">'A-30'!G$65</f>
        <v>0</v>
      </c>
      <c r="R497" s="310">
        <f ca="1">'A-30'!H$65</f>
        <v>0</v>
      </c>
      <c r="S497" s="310">
        <f ca="1">'A-30'!I$65</f>
        <v>0</v>
      </c>
    </row>
    <row r="498" spans="1:19" s="759" customFormat="1">
      <c r="A498" s="5"/>
      <c r="B498" s="249"/>
      <c r="C498" s="13" t="s">
        <v>646</v>
      </c>
      <c r="D498" s="312">
        <f>'I-4 History'!D492</f>
        <v>0</v>
      </c>
      <c r="E498" s="312">
        <f>'I-4 History'!E492</f>
        <v>0</v>
      </c>
      <c r="F498" s="312">
        <f>'I-4 History'!F492</f>
        <v>0</v>
      </c>
      <c r="G498" s="312">
        <f>'I-4 History'!G492</f>
        <v>0</v>
      </c>
      <c r="H498" s="312">
        <f>'I-4 History'!H492</f>
        <v>0</v>
      </c>
      <c r="I498" s="312">
        <f>'I-4 History'!I492</f>
        <v>0</v>
      </c>
      <c r="J498" s="312">
        <f>'I-4 History'!J492</f>
        <v>0</v>
      </c>
      <c r="K498" s="312">
        <f>'I-4 History'!K492</f>
        <v>0</v>
      </c>
      <c r="L498" s="310">
        <f ca="1">'A-30'!B$66</f>
        <v>0</v>
      </c>
      <c r="M498" s="835">
        <f ca="1">'A-30'!C$66</f>
        <v>0</v>
      </c>
      <c r="N498" s="312">
        <f ca="1">'A-30'!D$66</f>
        <v>8.0000000000000002E-3</v>
      </c>
      <c r="O498" s="310">
        <f ca="1">'A-30'!E$66</f>
        <v>8.1253040645811302E-3</v>
      </c>
      <c r="P498" s="310">
        <f ca="1">'A-30'!F$66</f>
        <v>8.2453673287978067E-3</v>
      </c>
      <c r="Q498" s="310">
        <f ca="1">'A-30'!G$66</f>
        <v>8.398804675065449E-3</v>
      </c>
      <c r="R498" s="310">
        <f ca="1">'A-30'!H$66</f>
        <v>8.573851819594025E-3</v>
      </c>
      <c r="S498" s="310">
        <f ca="1">'A-30'!I$66</f>
        <v>8.7615836500616415E-3</v>
      </c>
    </row>
    <row r="499" spans="1:19">
      <c r="A499" s="5"/>
      <c r="B499" s="249"/>
      <c r="C499" s="13" t="s">
        <v>647</v>
      </c>
      <c r="D499" s="312">
        <f>'I-4 History'!D493</f>
        <v>0</v>
      </c>
      <c r="E499" s="312">
        <f>'I-4 History'!E493</f>
        <v>0</v>
      </c>
      <c r="F499" s="312">
        <f>'I-4 History'!F493</f>
        <v>0</v>
      </c>
      <c r="G499" s="312">
        <f>'I-4 History'!G493</f>
        <v>0</v>
      </c>
      <c r="H499" s="312">
        <f>'I-4 History'!H493</f>
        <v>0</v>
      </c>
      <c r="I499" s="312">
        <f>'I-4 History'!I493</f>
        <v>0</v>
      </c>
      <c r="J499" s="312">
        <f>'I-4 History'!J493</f>
        <v>0</v>
      </c>
      <c r="K499" s="312">
        <f>'I-4 History'!K493</f>
        <v>0</v>
      </c>
      <c r="L499" s="310">
        <f ca="1">'A-30'!B$67</f>
        <v>0</v>
      </c>
      <c r="M499" s="835">
        <f ca="1">'A-30'!C$67</f>
        <v>0</v>
      </c>
      <c r="N499" s="312">
        <f ca="1">'A-30'!D$67</f>
        <v>2.5450000000000004</v>
      </c>
      <c r="O499" s="310">
        <f ca="1">'A-30'!E$67</f>
        <v>2.5848623555448724</v>
      </c>
      <c r="P499" s="310">
        <f ca="1">'A-30'!F$67</f>
        <v>2.6230574814738024</v>
      </c>
      <c r="Q499" s="310">
        <f ca="1">'A-30'!G$67</f>
        <v>2.6718697372551961</v>
      </c>
      <c r="R499" s="310">
        <f ca="1">'A-30'!H$67</f>
        <v>2.7275566101083495</v>
      </c>
      <c r="S499" s="310">
        <f ca="1">'A-30'!I$67</f>
        <v>2.7872787986758603</v>
      </c>
    </row>
    <row r="500" spans="1:19" s="759" customFormat="1">
      <c r="A500" s="5"/>
      <c r="B500" s="249"/>
      <c r="C500" s="13" t="s">
        <v>575</v>
      </c>
      <c r="D500" s="312">
        <f>'I-4 History'!D494</f>
        <v>0</v>
      </c>
      <c r="E500" s="312">
        <f>'I-4 History'!E494</f>
        <v>0</v>
      </c>
      <c r="F500" s="312">
        <f>'I-4 History'!F494</f>
        <v>0</v>
      </c>
      <c r="G500" s="312">
        <f>'I-4 History'!G494</f>
        <v>0</v>
      </c>
      <c r="H500" s="312">
        <f>'I-4 History'!H494</f>
        <v>0</v>
      </c>
      <c r="I500" s="312">
        <f>'I-4 History'!I494</f>
        <v>0</v>
      </c>
      <c r="J500" s="312">
        <f>'I-4 History'!J494</f>
        <v>0</v>
      </c>
      <c r="K500" s="312">
        <f>'I-4 History'!K494</f>
        <v>0</v>
      </c>
      <c r="L500" s="310">
        <f ca="1">'A-30'!B$68</f>
        <v>0</v>
      </c>
      <c r="M500" s="835">
        <f ca="1">'A-30'!C$68</f>
        <v>0</v>
      </c>
      <c r="N500" s="312">
        <f ca="1">'A-30'!D$68</f>
        <v>0</v>
      </c>
      <c r="O500" s="310">
        <f ca="1">'A-30'!E$68</f>
        <v>0</v>
      </c>
      <c r="P500" s="310">
        <f ca="1">'A-30'!F$68</f>
        <v>0</v>
      </c>
      <c r="Q500" s="310">
        <f ca="1">'A-30'!G$68</f>
        <v>0</v>
      </c>
      <c r="R500" s="310">
        <f ca="1">'A-30'!H$68</f>
        <v>0</v>
      </c>
      <c r="S500" s="310">
        <f ca="1">'A-30'!I$68</f>
        <v>0</v>
      </c>
    </row>
    <row r="501" spans="1:19">
      <c r="A501" s="5"/>
      <c r="B501" s="249"/>
      <c r="C501" s="13" t="s">
        <v>70</v>
      </c>
      <c r="D501" s="312">
        <f>'I-4 History'!D495</f>
        <v>0</v>
      </c>
      <c r="E501" s="312">
        <f>'I-4 History'!E495</f>
        <v>0</v>
      </c>
      <c r="F501" s="312">
        <f>'I-4 History'!F495</f>
        <v>0</v>
      </c>
      <c r="G501" s="312">
        <f>'I-4 History'!G495</f>
        <v>0</v>
      </c>
      <c r="H501" s="312">
        <f>'I-4 History'!H495</f>
        <v>0</v>
      </c>
      <c r="I501" s="312">
        <f>'I-4 History'!I495</f>
        <v>0</v>
      </c>
      <c r="J501" s="312">
        <f>'I-4 History'!J495</f>
        <v>0</v>
      </c>
      <c r="K501" s="312">
        <f>'I-4 History'!K495</f>
        <v>0</v>
      </c>
      <c r="L501" s="310">
        <f ca="1">'A-30'!B$69</f>
        <v>0</v>
      </c>
      <c r="M501" s="835">
        <f ca="1">'A-30'!C$69</f>
        <v>0</v>
      </c>
      <c r="N501" s="312">
        <f ca="1">'A-30'!D$69</f>
        <v>0</v>
      </c>
      <c r="O501" s="310">
        <f ca="1">'A-30'!E$69</f>
        <v>0</v>
      </c>
      <c r="P501" s="310">
        <f ca="1">'A-30'!F$69</f>
        <v>0</v>
      </c>
      <c r="Q501" s="310">
        <f ca="1">'A-30'!G$69</f>
        <v>0</v>
      </c>
      <c r="R501" s="310">
        <f ca="1">'A-30'!H$69</f>
        <v>0</v>
      </c>
      <c r="S501" s="310">
        <f ca="1">'A-30'!I$69</f>
        <v>0</v>
      </c>
    </row>
    <row r="502" spans="1:19">
      <c r="A502" s="5"/>
      <c r="B502" s="249"/>
      <c r="C502" s="12" t="s">
        <v>75</v>
      </c>
      <c r="D502" s="313">
        <f t="shared" ref="D502:K502" si="114">SUBTOTAL(9,D496:D501)</f>
        <v>0</v>
      </c>
      <c r="E502" s="311">
        <f t="shared" si="114"/>
        <v>0</v>
      </c>
      <c r="F502" s="311">
        <f t="shared" si="114"/>
        <v>0</v>
      </c>
      <c r="G502" s="311">
        <f t="shared" si="114"/>
        <v>0</v>
      </c>
      <c r="H502" s="311">
        <f t="shared" si="114"/>
        <v>0</v>
      </c>
      <c r="I502" s="311">
        <f t="shared" si="114"/>
        <v>0</v>
      </c>
      <c r="J502" s="311">
        <f t="shared" si="114"/>
        <v>0</v>
      </c>
      <c r="K502" s="311">
        <f t="shared" si="114"/>
        <v>0</v>
      </c>
      <c r="L502" s="311">
        <f t="shared" ref="L502:S502" ca="1" si="115">SUBTOTAL(9,L496:L501)</f>
        <v>0</v>
      </c>
      <c r="M502" s="513">
        <f t="shared" ca="1" si="115"/>
        <v>0</v>
      </c>
      <c r="N502" s="313">
        <f t="shared" ca="1" si="115"/>
        <v>3.0160000000000005</v>
      </c>
      <c r="O502" s="311">
        <f t="shared" ca="1" si="115"/>
        <v>3.0709405188474417</v>
      </c>
      <c r="P502" s="311">
        <f t="shared" ca="1" si="115"/>
        <v>3.1242608135450798</v>
      </c>
      <c r="Q502" s="311">
        <f t="shared" ca="1" si="115"/>
        <v>3.1891847872121444</v>
      </c>
      <c r="R502" s="311">
        <f t="shared" ca="1" si="115"/>
        <v>3.2618917528164983</v>
      </c>
      <c r="S502" s="311">
        <f t="shared" ca="1" si="115"/>
        <v>3.3386910402975971</v>
      </c>
    </row>
    <row r="503" spans="1:19">
      <c r="A503" s="5"/>
      <c r="B503" s="249"/>
      <c r="C503" s="12"/>
      <c r="D503" s="263"/>
      <c r="E503" s="263"/>
      <c r="F503" s="263"/>
      <c r="G503" s="263"/>
      <c r="H503" s="263"/>
      <c r="I503" s="263"/>
      <c r="J503" s="263"/>
      <c r="K503" s="263"/>
      <c r="L503" s="263"/>
      <c r="M503" s="836"/>
      <c r="N503" s="263"/>
      <c r="O503" s="263"/>
      <c r="P503" s="263"/>
      <c r="Q503" s="263"/>
      <c r="R503" s="263"/>
      <c r="S503" s="263"/>
    </row>
    <row r="504" spans="1:19">
      <c r="A504" s="5"/>
      <c r="B504" s="249" t="str">
        <f ca="1">+'I-4 History'!B498</f>
        <v>A-31</v>
      </c>
      <c r="C504" s="14" t="str">
        <f ca="1">+'I-4 History'!C498</f>
        <v>Legal Services</v>
      </c>
      <c r="D504" s="11"/>
      <c r="E504" s="11"/>
      <c r="F504" s="11"/>
      <c r="G504" s="11"/>
      <c r="H504" s="11"/>
      <c r="I504" s="11"/>
      <c r="J504" s="11"/>
      <c r="K504" s="11"/>
      <c r="L504" s="11"/>
      <c r="M504" s="507"/>
      <c r="N504" s="11"/>
      <c r="O504" s="11"/>
      <c r="P504" s="11"/>
      <c r="Q504" s="11"/>
      <c r="R504" s="11"/>
      <c r="S504" s="11"/>
    </row>
    <row r="505" spans="1:19">
      <c r="B505" s="249"/>
      <c r="C505" s="13" t="s">
        <v>68</v>
      </c>
      <c r="D505" s="312">
        <f>'I-4 History'!D499</f>
        <v>0</v>
      </c>
      <c r="E505" s="312">
        <f>'I-4 History'!E499</f>
        <v>0</v>
      </c>
      <c r="F505" s="312">
        <f>'I-4 History'!F499</f>
        <v>0</v>
      </c>
      <c r="G505" s="312">
        <f>'I-4 History'!G499</f>
        <v>0</v>
      </c>
      <c r="H505" s="312">
        <f>'I-4 History'!H499</f>
        <v>0</v>
      </c>
      <c r="I505" s="312">
        <f>'I-4 History'!I499</f>
        <v>0</v>
      </c>
      <c r="J505" s="312">
        <f>'I-4 History'!J499</f>
        <v>0</v>
      </c>
      <c r="K505" s="312">
        <f>'I-4 History'!K499</f>
        <v>0</v>
      </c>
      <c r="L505" s="310">
        <f ca="1">'A-31'!B$64</f>
        <v>0</v>
      </c>
      <c r="M505" s="835">
        <f ca="1">'A-31'!C$64</f>
        <v>0</v>
      </c>
      <c r="N505" s="312">
        <f ca="1">'A-31'!D$64</f>
        <v>0.67400000000000004</v>
      </c>
      <c r="O505" s="310">
        <f ca="1">'A-31'!E$64</f>
        <v>0.6957672292146958</v>
      </c>
      <c r="P505" s="310">
        <f ca="1">'A-31'!F$64</f>
        <v>0.71761051454952718</v>
      </c>
      <c r="Q505" s="310">
        <f ca="1">'A-31'!G$64</f>
        <v>0.74084135922243877</v>
      </c>
      <c r="R505" s="310">
        <f ca="1">'A-31'!H$64</f>
        <v>0.7653630886800995</v>
      </c>
      <c r="S505" s="310">
        <f ca="1">'A-31'!I$64</f>
        <v>0.78994933795444711</v>
      </c>
    </row>
    <row r="506" spans="1:19">
      <c r="B506" s="249"/>
      <c r="C506" s="13" t="s">
        <v>69</v>
      </c>
      <c r="D506" s="312">
        <f>'I-4 History'!D500</f>
        <v>0</v>
      </c>
      <c r="E506" s="312">
        <f>'I-4 History'!E500</f>
        <v>0</v>
      </c>
      <c r="F506" s="312">
        <f>'I-4 History'!F500</f>
        <v>0</v>
      </c>
      <c r="G506" s="312">
        <f>'I-4 History'!G500</f>
        <v>0</v>
      </c>
      <c r="H506" s="312">
        <f>'I-4 History'!H500</f>
        <v>0</v>
      </c>
      <c r="I506" s="312">
        <f>'I-4 History'!I500</f>
        <v>0</v>
      </c>
      <c r="J506" s="312">
        <f>'I-4 History'!J500</f>
        <v>0</v>
      </c>
      <c r="K506" s="312">
        <f>'I-4 History'!K500</f>
        <v>0</v>
      </c>
      <c r="L506" s="310">
        <f ca="1">'A-31'!B$65</f>
        <v>0</v>
      </c>
      <c r="M506" s="835">
        <f ca="1">'A-31'!C$65</f>
        <v>0</v>
      </c>
      <c r="N506" s="312">
        <f ca="1">'A-31'!D$65</f>
        <v>0.01</v>
      </c>
      <c r="O506" s="310">
        <f ca="1">'A-31'!E$65</f>
        <v>1.0106099582812351E-2</v>
      </c>
      <c r="P506" s="310">
        <f ca="1">'A-31'!F$65</f>
        <v>1.0204409951236117E-2</v>
      </c>
      <c r="Q506" s="310">
        <f ca="1">'A-31'!G$65</f>
        <v>1.0301588658762129E-2</v>
      </c>
      <c r="R506" s="310">
        <f ca="1">'A-31'!H$65</f>
        <v>1.0407019751469957E-2</v>
      </c>
      <c r="S506" s="310">
        <f ca="1">'A-31'!I$65</f>
        <v>1.0503595421440002E-2</v>
      </c>
    </row>
    <row r="507" spans="1:19" s="759" customFormat="1">
      <c r="B507" s="249"/>
      <c r="C507" s="13" t="s">
        <v>646</v>
      </c>
      <c r="D507" s="312">
        <f>'I-4 History'!D501</f>
        <v>0</v>
      </c>
      <c r="E507" s="312">
        <f>'I-4 History'!E501</f>
        <v>0</v>
      </c>
      <c r="F507" s="312">
        <f>'I-4 History'!F501</f>
        <v>0</v>
      </c>
      <c r="G507" s="312">
        <f>'I-4 History'!G501</f>
        <v>0</v>
      </c>
      <c r="H507" s="312">
        <f>'I-4 History'!H501</f>
        <v>0</v>
      </c>
      <c r="I507" s="312">
        <f>'I-4 History'!I501</f>
        <v>0</v>
      </c>
      <c r="J507" s="312">
        <f>'I-4 History'!J501</f>
        <v>0</v>
      </c>
      <c r="K507" s="312">
        <f>'I-4 History'!K501</f>
        <v>0</v>
      </c>
      <c r="L507" s="310">
        <f ca="1">'A-31'!B$66</f>
        <v>0</v>
      </c>
      <c r="M507" s="835">
        <f ca="1">'A-31'!C$66</f>
        <v>0</v>
      </c>
      <c r="N507" s="312">
        <f ca="1">'A-31'!D$66</f>
        <v>0</v>
      </c>
      <c r="O507" s="310">
        <f ca="1">'A-31'!E$66</f>
        <v>0</v>
      </c>
      <c r="P507" s="310">
        <f ca="1">'A-31'!F$66</f>
        <v>0</v>
      </c>
      <c r="Q507" s="310">
        <f ca="1">'A-31'!G$66</f>
        <v>0</v>
      </c>
      <c r="R507" s="310">
        <f ca="1">'A-31'!H$66</f>
        <v>0</v>
      </c>
      <c r="S507" s="310">
        <f ca="1">'A-31'!I$66</f>
        <v>0</v>
      </c>
    </row>
    <row r="508" spans="1:19">
      <c r="B508" s="249"/>
      <c r="C508" s="13" t="s">
        <v>647</v>
      </c>
      <c r="D508" s="312">
        <f>'I-4 History'!D502</f>
        <v>0</v>
      </c>
      <c r="E508" s="312">
        <f>'I-4 History'!E502</f>
        <v>0</v>
      </c>
      <c r="F508" s="312">
        <f>'I-4 History'!F502</f>
        <v>0</v>
      </c>
      <c r="G508" s="312">
        <f>'I-4 History'!G502</f>
        <v>0</v>
      </c>
      <c r="H508" s="312">
        <f>'I-4 History'!H502</f>
        <v>0</v>
      </c>
      <c r="I508" s="312">
        <f>'I-4 History'!I502</f>
        <v>0</v>
      </c>
      <c r="J508" s="312">
        <f>'I-4 History'!J502</f>
        <v>0</v>
      </c>
      <c r="K508" s="312">
        <f>'I-4 History'!K502</f>
        <v>0</v>
      </c>
      <c r="L508" s="310">
        <f ca="1">'A-31'!B$67</f>
        <v>0</v>
      </c>
      <c r="M508" s="835">
        <f ca="1">'A-31'!C$67</f>
        <v>0</v>
      </c>
      <c r="N508" s="312">
        <f ca="1">'A-31'!D$67</f>
        <v>0.253</v>
      </c>
      <c r="O508" s="310">
        <f ca="1">'A-31'!E$67</f>
        <v>0.25696274104237821</v>
      </c>
      <c r="P508" s="310">
        <f ca="1">'A-31'!F$67</f>
        <v>0.26075974177323058</v>
      </c>
      <c r="Q508" s="310">
        <f ca="1">'A-31'!G$67</f>
        <v>0.2656121978489448</v>
      </c>
      <c r="R508" s="310">
        <f ca="1">'A-31'!H$67</f>
        <v>0.27114806379466105</v>
      </c>
      <c r="S508" s="310">
        <f ca="1">'A-31'!I$67</f>
        <v>0.27708508293319939</v>
      </c>
    </row>
    <row r="509" spans="1:19" s="759" customFormat="1">
      <c r="B509" s="249"/>
      <c r="C509" s="13" t="s">
        <v>575</v>
      </c>
      <c r="D509" s="312">
        <f>'I-4 History'!D503</f>
        <v>0</v>
      </c>
      <c r="E509" s="312">
        <f>'I-4 History'!E503</f>
        <v>0</v>
      </c>
      <c r="F509" s="312">
        <f>'I-4 History'!F503</f>
        <v>0</v>
      </c>
      <c r="G509" s="312">
        <f>'I-4 History'!G503</f>
        <v>0</v>
      </c>
      <c r="H509" s="312">
        <f>'I-4 History'!H503</f>
        <v>0</v>
      </c>
      <c r="I509" s="312">
        <f>'I-4 History'!I503</f>
        <v>0</v>
      </c>
      <c r="J509" s="312">
        <f>'I-4 History'!J503</f>
        <v>0</v>
      </c>
      <c r="K509" s="312">
        <f>'I-4 History'!K503</f>
        <v>0</v>
      </c>
      <c r="L509" s="310">
        <f ca="1">'A-31'!B$68</f>
        <v>0</v>
      </c>
      <c r="M509" s="835">
        <f ca="1">'A-31'!C$68</f>
        <v>0</v>
      </c>
      <c r="N509" s="312">
        <f ca="1">'A-31'!D$68</f>
        <v>0</v>
      </c>
      <c r="O509" s="310">
        <f ca="1">'A-31'!E$68</f>
        <v>0</v>
      </c>
      <c r="P509" s="310">
        <f ca="1">'A-31'!F$68</f>
        <v>0</v>
      </c>
      <c r="Q509" s="310">
        <f ca="1">'A-31'!G$68</f>
        <v>0</v>
      </c>
      <c r="R509" s="310">
        <f ca="1">'A-31'!H$68</f>
        <v>0</v>
      </c>
      <c r="S509" s="310">
        <f ca="1">'A-31'!I$68</f>
        <v>0</v>
      </c>
    </row>
    <row r="510" spans="1:19">
      <c r="B510" s="249"/>
      <c r="C510" s="13" t="s">
        <v>70</v>
      </c>
      <c r="D510" s="312">
        <f>'I-4 History'!D504</f>
        <v>0</v>
      </c>
      <c r="E510" s="312">
        <f>'I-4 History'!E504</f>
        <v>0</v>
      </c>
      <c r="F510" s="312">
        <f>'I-4 History'!F504</f>
        <v>0</v>
      </c>
      <c r="G510" s="312">
        <f>'I-4 History'!G504</f>
        <v>0</v>
      </c>
      <c r="H510" s="312">
        <f>'I-4 History'!H504</f>
        <v>0</v>
      </c>
      <c r="I510" s="312">
        <f>'I-4 History'!I504</f>
        <v>0</v>
      </c>
      <c r="J510" s="312">
        <f>'I-4 History'!J504</f>
        <v>0</v>
      </c>
      <c r="K510" s="312">
        <f>'I-4 History'!K504</f>
        <v>0</v>
      </c>
      <c r="L510" s="310">
        <f ca="1">'A-31'!B$69</f>
        <v>0</v>
      </c>
      <c r="M510" s="835">
        <f ca="1">'A-31'!C$69</f>
        <v>0</v>
      </c>
      <c r="N510" s="312">
        <f ca="1">'A-31'!D$69</f>
        <v>0</v>
      </c>
      <c r="O510" s="310">
        <f ca="1">'A-31'!E$69</f>
        <v>0</v>
      </c>
      <c r="P510" s="310">
        <f ca="1">'A-31'!F$69</f>
        <v>0</v>
      </c>
      <c r="Q510" s="310">
        <f ca="1">'A-31'!G$69</f>
        <v>0</v>
      </c>
      <c r="R510" s="310">
        <f ca="1">'A-31'!H$69</f>
        <v>0</v>
      </c>
      <c r="S510" s="310">
        <f ca="1">'A-31'!I$69</f>
        <v>0</v>
      </c>
    </row>
    <row r="511" spans="1:19">
      <c r="B511" s="249"/>
      <c r="C511" s="12" t="s">
        <v>75</v>
      </c>
      <c r="D511" s="313">
        <f t="shared" ref="D511:K511" si="116">SUBTOTAL(9,D505:D510)</f>
        <v>0</v>
      </c>
      <c r="E511" s="311">
        <f t="shared" si="116"/>
        <v>0</v>
      </c>
      <c r="F511" s="311">
        <f t="shared" si="116"/>
        <v>0</v>
      </c>
      <c r="G511" s="311">
        <f t="shared" si="116"/>
        <v>0</v>
      </c>
      <c r="H511" s="311">
        <f t="shared" si="116"/>
        <v>0</v>
      </c>
      <c r="I511" s="311">
        <f t="shared" si="116"/>
        <v>0</v>
      </c>
      <c r="J511" s="311">
        <f t="shared" si="116"/>
        <v>0</v>
      </c>
      <c r="K511" s="311">
        <f t="shared" si="116"/>
        <v>0</v>
      </c>
      <c r="L511" s="311">
        <f t="shared" ref="L511:S511" ca="1" si="117">SUBTOTAL(9,L505:L510)</f>
        <v>0</v>
      </c>
      <c r="M511" s="513">
        <f t="shared" ca="1" si="117"/>
        <v>0</v>
      </c>
      <c r="N511" s="313">
        <f t="shared" ca="1" si="117"/>
        <v>0.93700000000000006</v>
      </c>
      <c r="O511" s="311">
        <f t="shared" ca="1" si="117"/>
        <v>0.96283606983988634</v>
      </c>
      <c r="P511" s="311">
        <f t="shared" ca="1" si="117"/>
        <v>0.98857466627399393</v>
      </c>
      <c r="Q511" s="311">
        <f t="shared" ca="1" si="117"/>
        <v>1.0167551457301456</v>
      </c>
      <c r="R511" s="311">
        <f t="shared" ca="1" si="117"/>
        <v>1.0469181722262304</v>
      </c>
      <c r="S511" s="311">
        <f t="shared" ca="1" si="117"/>
        <v>1.0775380163090864</v>
      </c>
    </row>
    <row r="512" spans="1:19" ht="17.25" customHeight="1" thickBot="1">
      <c r="B512" s="250"/>
      <c r="C512" s="269" t="str">
        <f>CONCATENATE("Total ",+C377)</f>
        <v>Total Corporate Services</v>
      </c>
      <c r="D512" s="314">
        <f>SUBTOTAL(9,D378:D511)</f>
        <v>0</v>
      </c>
      <c r="E512" s="314">
        <f t="shared" ref="E512:L512" si="118">SUBTOTAL(9,E378:E511)</f>
        <v>0</v>
      </c>
      <c r="F512" s="314">
        <f t="shared" si="118"/>
        <v>0</v>
      </c>
      <c r="G512" s="314">
        <f t="shared" si="118"/>
        <v>0</v>
      </c>
      <c r="H512" s="314">
        <f t="shared" si="118"/>
        <v>0</v>
      </c>
      <c r="I512" s="314">
        <f t="shared" si="118"/>
        <v>0</v>
      </c>
      <c r="J512" s="314">
        <f t="shared" si="118"/>
        <v>0</v>
      </c>
      <c r="K512" s="314">
        <f t="shared" si="118"/>
        <v>0</v>
      </c>
      <c r="L512" s="314">
        <f t="shared" ca="1" si="118"/>
        <v>0</v>
      </c>
      <c r="M512" s="843">
        <f t="shared" ref="M512:S512" ca="1" si="119">SUBTOTAL(9,M378:M511)</f>
        <v>0</v>
      </c>
      <c r="N512" s="314">
        <f t="shared" ca="1" si="119"/>
        <v>40.130933549131228</v>
      </c>
      <c r="O512" s="314">
        <f t="shared" ca="1" si="119"/>
        <v>42.559932902089244</v>
      </c>
      <c r="P512" s="314">
        <f t="shared" ca="1" si="119"/>
        <v>43.950507103024499</v>
      </c>
      <c r="Q512" s="314">
        <f t="shared" ca="1" si="119"/>
        <v>46.257628334064449</v>
      </c>
      <c r="R512" s="314">
        <f t="shared" ca="1" si="119"/>
        <v>47.535242710852337</v>
      </c>
      <c r="S512" s="314">
        <f t="shared" ca="1" si="119"/>
        <v>48.648245821315662</v>
      </c>
    </row>
    <row r="513" spans="1:19" ht="18">
      <c r="B513" s="251"/>
      <c r="C513" s="255" t="str">
        <f>+'I-3 Allocated'!A36</f>
        <v xml:space="preserve">Services </v>
      </c>
      <c r="D513" s="266"/>
      <c r="E513" s="266"/>
      <c r="F513" s="266"/>
      <c r="G513" s="266"/>
      <c r="H513" s="266"/>
      <c r="I513" s="266"/>
      <c r="J513" s="266"/>
      <c r="K513" s="266"/>
      <c r="L513" s="266"/>
      <c r="M513" s="842"/>
      <c r="N513" s="266"/>
      <c r="O513" s="266"/>
      <c r="P513" s="266"/>
      <c r="Q513" s="266"/>
      <c r="R513" s="266"/>
      <c r="S513" s="266"/>
    </row>
    <row r="514" spans="1:19">
      <c r="B514" s="249"/>
      <c r="C514" s="12"/>
      <c r="D514" s="263"/>
      <c r="E514" s="263"/>
      <c r="F514" s="263"/>
      <c r="G514" s="263"/>
      <c r="H514" s="263"/>
      <c r="I514" s="263"/>
      <c r="J514" s="263"/>
      <c r="K514" s="263"/>
      <c r="L514" s="263"/>
      <c r="M514" s="836"/>
      <c r="N514" s="263"/>
      <c r="O514" s="263"/>
      <c r="P514" s="263"/>
      <c r="Q514" s="263"/>
      <c r="R514" s="263"/>
      <c r="S514" s="263"/>
    </row>
    <row r="515" spans="1:19">
      <c r="A515" s="5"/>
      <c r="B515" s="249" t="str">
        <f ca="1">+'I-4 History'!B507</f>
        <v>A-32</v>
      </c>
      <c r="C515" s="14" t="str">
        <f ca="1">+'I-4 History'!C507</f>
        <v>General Manager Services</v>
      </c>
      <c r="D515" s="11"/>
      <c r="E515" s="11"/>
      <c r="F515" s="11"/>
      <c r="G515" s="11"/>
      <c r="H515" s="11"/>
      <c r="I515" s="11"/>
      <c r="J515" s="11"/>
      <c r="K515" s="11"/>
      <c r="L515" s="11"/>
      <c r="M515" s="507"/>
      <c r="N515" s="11"/>
      <c r="O515" s="11"/>
      <c r="P515" s="11"/>
      <c r="Q515" s="11"/>
      <c r="R515" s="11"/>
      <c r="S515" s="11"/>
    </row>
    <row r="516" spans="1:19">
      <c r="A516" s="5"/>
      <c r="B516" s="249"/>
      <c r="C516" s="13" t="s">
        <v>68</v>
      </c>
      <c r="D516" s="312">
        <f>'I-4 History'!D508</f>
        <v>0</v>
      </c>
      <c r="E516" s="312">
        <f>'I-4 History'!E508</f>
        <v>0</v>
      </c>
      <c r="F516" s="312">
        <f>'I-4 History'!F508</f>
        <v>0</v>
      </c>
      <c r="G516" s="312">
        <f>'I-4 History'!G508</f>
        <v>0</v>
      </c>
      <c r="H516" s="312">
        <f>'I-4 History'!H508</f>
        <v>0</v>
      </c>
      <c r="I516" s="312">
        <f>'I-4 History'!I508</f>
        <v>0</v>
      </c>
      <c r="J516" s="312">
        <f>'I-4 History'!J508</f>
        <v>0</v>
      </c>
      <c r="K516" s="312">
        <f>'I-4 History'!K508</f>
        <v>0</v>
      </c>
      <c r="L516" s="310">
        <f ca="1">'A-32'!B$64</f>
        <v>0</v>
      </c>
      <c r="M516" s="835">
        <f ca="1">'A-32'!C$64</f>
        <v>0</v>
      </c>
      <c r="N516" s="312">
        <f ca="1">'A-32'!D$64</f>
        <v>0.502</v>
      </c>
      <c r="O516" s="310">
        <f ca="1">'A-32'!E$64</f>
        <v>0.51821238733794839</v>
      </c>
      <c r="P516" s="310">
        <f ca="1">'A-32'!F$64</f>
        <v>0.53448142181581992</v>
      </c>
      <c r="Q516" s="310">
        <f ca="1">'A-32'!G$64</f>
        <v>0.55178392037042168</v>
      </c>
      <c r="R516" s="310">
        <f ca="1">'A-32'!H$64</f>
        <v>0.57004787910594945</v>
      </c>
      <c r="S516" s="310">
        <f ca="1">'A-32'!I$64</f>
        <v>0.58835989266043387</v>
      </c>
    </row>
    <row r="517" spans="1:19">
      <c r="A517" s="5"/>
      <c r="B517" s="249"/>
      <c r="C517" s="13" t="s">
        <v>69</v>
      </c>
      <c r="D517" s="312">
        <f>'I-4 History'!D509</f>
        <v>0</v>
      </c>
      <c r="E517" s="312">
        <f>'I-4 History'!E509</f>
        <v>0</v>
      </c>
      <c r="F517" s="312">
        <f>'I-4 History'!F509</f>
        <v>0</v>
      </c>
      <c r="G517" s="312">
        <f>'I-4 History'!G509</f>
        <v>0</v>
      </c>
      <c r="H517" s="312">
        <f>'I-4 History'!H509</f>
        <v>0</v>
      </c>
      <c r="I517" s="312">
        <f>'I-4 History'!I509</f>
        <v>0</v>
      </c>
      <c r="J517" s="312">
        <f>'I-4 History'!J509</f>
        <v>0</v>
      </c>
      <c r="K517" s="312">
        <f>'I-4 History'!K509</f>
        <v>0</v>
      </c>
      <c r="L517" s="310">
        <f ca="1">'A-32'!B$65</f>
        <v>0</v>
      </c>
      <c r="M517" s="835">
        <f ca="1">'A-32'!C$65</f>
        <v>0</v>
      </c>
      <c r="N517" s="312">
        <f ca="1">'A-32'!D$65</f>
        <v>8.9999999999999993E-3</v>
      </c>
      <c r="O517" s="310">
        <f ca="1">'A-32'!E$65</f>
        <v>9.0954896245311161E-3</v>
      </c>
      <c r="P517" s="310">
        <f ca="1">'A-32'!F$65</f>
        <v>9.1839689561125058E-3</v>
      </c>
      <c r="Q517" s="310">
        <f ca="1">'A-32'!G$65</f>
        <v>9.2714297928859143E-3</v>
      </c>
      <c r="R517" s="310">
        <f ca="1">'A-32'!H$65</f>
        <v>9.3663177763229598E-3</v>
      </c>
      <c r="S517" s="310">
        <f ca="1">'A-32'!I$65</f>
        <v>9.4532358792960014E-3</v>
      </c>
    </row>
    <row r="518" spans="1:19" s="759" customFormat="1">
      <c r="A518" s="5"/>
      <c r="B518" s="249"/>
      <c r="C518" s="13" t="s">
        <v>646</v>
      </c>
      <c r="D518" s="312">
        <f>'I-4 History'!D510</f>
        <v>0</v>
      </c>
      <c r="E518" s="312">
        <f>'I-4 History'!E510</f>
        <v>0</v>
      </c>
      <c r="F518" s="312">
        <f>'I-4 History'!F510</f>
        <v>0</v>
      </c>
      <c r="G518" s="312">
        <f>'I-4 History'!G510</f>
        <v>0</v>
      </c>
      <c r="H518" s="312">
        <f>'I-4 History'!H510</f>
        <v>0</v>
      </c>
      <c r="I518" s="312">
        <f>'I-4 History'!I510</f>
        <v>0</v>
      </c>
      <c r="J518" s="312">
        <f>'I-4 History'!J510</f>
        <v>0</v>
      </c>
      <c r="K518" s="312">
        <f>'I-4 History'!K510</f>
        <v>0</v>
      </c>
      <c r="L518" s="310">
        <f ca="1">'A-32'!B$66</f>
        <v>0</v>
      </c>
      <c r="M518" s="835">
        <f ca="1">'A-32'!C$66</f>
        <v>0</v>
      </c>
      <c r="N518" s="312">
        <f ca="1">'A-32'!D$66</f>
        <v>0</v>
      </c>
      <c r="O518" s="310">
        <f ca="1">'A-32'!E$66</f>
        <v>0</v>
      </c>
      <c r="P518" s="310">
        <f ca="1">'A-32'!F$66</f>
        <v>0</v>
      </c>
      <c r="Q518" s="310">
        <f ca="1">'A-32'!G$66</f>
        <v>0</v>
      </c>
      <c r="R518" s="310">
        <f ca="1">'A-32'!H$66</f>
        <v>0</v>
      </c>
      <c r="S518" s="310">
        <f ca="1">'A-32'!I$66</f>
        <v>0</v>
      </c>
    </row>
    <row r="519" spans="1:19">
      <c r="A519" s="5"/>
      <c r="B519" s="249"/>
      <c r="C519" s="13" t="s">
        <v>647</v>
      </c>
      <c r="D519" s="312">
        <f>'I-4 History'!D511</f>
        <v>0</v>
      </c>
      <c r="E519" s="312">
        <f>'I-4 History'!E511</f>
        <v>0</v>
      </c>
      <c r="F519" s="312">
        <f>'I-4 History'!F511</f>
        <v>0</v>
      </c>
      <c r="G519" s="312">
        <f>'I-4 History'!G511</f>
        <v>0</v>
      </c>
      <c r="H519" s="312">
        <f>'I-4 History'!H511</f>
        <v>0</v>
      </c>
      <c r="I519" s="312">
        <f>'I-4 History'!I511</f>
        <v>0</v>
      </c>
      <c r="J519" s="312">
        <f>'I-4 History'!J511</f>
        <v>0</v>
      </c>
      <c r="K519" s="312">
        <f>'I-4 History'!K511</f>
        <v>0</v>
      </c>
      <c r="L519" s="310">
        <f ca="1">'A-32'!B$67</f>
        <v>0</v>
      </c>
      <c r="M519" s="835">
        <f ca="1">'A-32'!C$67</f>
        <v>0</v>
      </c>
      <c r="N519" s="312">
        <f ca="1">'A-32'!D$67</f>
        <v>7.3999999999999996E-2</v>
      </c>
      <c r="O519" s="310">
        <f ca="1">'A-32'!E$67</f>
        <v>7.5159062597375453E-2</v>
      </c>
      <c r="P519" s="310">
        <f ca="1">'A-32'!F$67</f>
        <v>7.6269647791379708E-2</v>
      </c>
      <c r="Q519" s="310">
        <f ca="1">'A-32'!G$67</f>
        <v>7.768894324435538E-2</v>
      </c>
      <c r="R519" s="310">
        <f ca="1">'A-32'!H$67</f>
        <v>7.9308129331244731E-2</v>
      </c>
      <c r="S519" s="310">
        <f ca="1">'A-32'!I$67</f>
        <v>8.1044648763070173E-2</v>
      </c>
    </row>
    <row r="520" spans="1:19" s="759" customFormat="1">
      <c r="A520" s="5"/>
      <c r="B520" s="249"/>
      <c r="C520" s="13" t="s">
        <v>575</v>
      </c>
      <c r="D520" s="312">
        <f>'I-4 History'!D512</f>
        <v>0</v>
      </c>
      <c r="E520" s="312">
        <f>'I-4 History'!E512</f>
        <v>0</v>
      </c>
      <c r="F520" s="312">
        <f>'I-4 History'!F512</f>
        <v>0</v>
      </c>
      <c r="G520" s="312">
        <f>'I-4 History'!G512</f>
        <v>0</v>
      </c>
      <c r="H520" s="312">
        <f>'I-4 History'!H512</f>
        <v>0</v>
      </c>
      <c r="I520" s="312">
        <f>'I-4 History'!I512</f>
        <v>0</v>
      </c>
      <c r="J520" s="312">
        <f>'I-4 History'!J512</f>
        <v>0</v>
      </c>
      <c r="K520" s="312">
        <f>'I-4 History'!K512</f>
        <v>0</v>
      </c>
      <c r="L520" s="310">
        <f ca="1">'A-32'!B$68</f>
        <v>0</v>
      </c>
      <c r="M520" s="835">
        <f ca="1">'A-32'!C$68</f>
        <v>0</v>
      </c>
      <c r="N520" s="312">
        <f ca="1">'A-32'!D$68</f>
        <v>0</v>
      </c>
      <c r="O520" s="310">
        <f ca="1">'A-32'!E$68</f>
        <v>0</v>
      </c>
      <c r="P520" s="310">
        <f ca="1">'A-32'!F$68</f>
        <v>0</v>
      </c>
      <c r="Q520" s="310">
        <f ca="1">'A-32'!G$68</f>
        <v>0</v>
      </c>
      <c r="R520" s="310">
        <f ca="1">'A-32'!H$68</f>
        <v>0</v>
      </c>
      <c r="S520" s="310">
        <f ca="1">'A-32'!I$68</f>
        <v>0</v>
      </c>
    </row>
    <row r="521" spans="1:19">
      <c r="A521" s="5"/>
      <c r="B521" s="249"/>
      <c r="C521" s="13" t="s">
        <v>70</v>
      </c>
      <c r="D521" s="312">
        <f>'I-4 History'!D513</f>
        <v>0</v>
      </c>
      <c r="E521" s="312">
        <f>'I-4 History'!E513</f>
        <v>0</v>
      </c>
      <c r="F521" s="312">
        <f>'I-4 History'!F513</f>
        <v>0</v>
      </c>
      <c r="G521" s="312">
        <f>'I-4 History'!G513</f>
        <v>0</v>
      </c>
      <c r="H521" s="312">
        <f>'I-4 History'!H513</f>
        <v>0</v>
      </c>
      <c r="I521" s="312">
        <f>'I-4 History'!I513</f>
        <v>0</v>
      </c>
      <c r="J521" s="312">
        <f>'I-4 History'!J513</f>
        <v>0</v>
      </c>
      <c r="K521" s="312">
        <f>'I-4 History'!K513</f>
        <v>0</v>
      </c>
      <c r="L521" s="310">
        <f ca="1">'A-32'!B$69</f>
        <v>0</v>
      </c>
      <c r="M521" s="835">
        <f ca="1">'A-32'!C$69</f>
        <v>0</v>
      </c>
      <c r="N521" s="312">
        <f ca="1">'A-32'!D$69</f>
        <v>0</v>
      </c>
      <c r="O521" s="310">
        <f ca="1">'A-32'!E$69</f>
        <v>0</v>
      </c>
      <c r="P521" s="310">
        <f ca="1">'A-32'!F$69</f>
        <v>0</v>
      </c>
      <c r="Q521" s="310">
        <f ca="1">'A-32'!G$69</f>
        <v>0</v>
      </c>
      <c r="R521" s="310">
        <f ca="1">'A-32'!H$69</f>
        <v>0</v>
      </c>
      <c r="S521" s="310">
        <f ca="1">'A-32'!I$69</f>
        <v>0</v>
      </c>
    </row>
    <row r="522" spans="1:19">
      <c r="A522" s="5"/>
      <c r="B522" s="249"/>
      <c r="C522" s="12" t="s">
        <v>75</v>
      </c>
      <c r="D522" s="313">
        <f t="shared" ref="D522:S522" si="120">SUBTOTAL(9,D516:D521)</f>
        <v>0</v>
      </c>
      <c r="E522" s="311">
        <f t="shared" si="120"/>
        <v>0</v>
      </c>
      <c r="F522" s="311">
        <f t="shared" si="120"/>
        <v>0</v>
      </c>
      <c r="G522" s="311">
        <f t="shared" si="120"/>
        <v>0</v>
      </c>
      <c r="H522" s="311">
        <f t="shared" si="120"/>
        <v>0</v>
      </c>
      <c r="I522" s="311">
        <f t="shared" si="120"/>
        <v>0</v>
      </c>
      <c r="J522" s="311">
        <f t="shared" si="120"/>
        <v>0</v>
      </c>
      <c r="K522" s="311">
        <f t="shared" si="120"/>
        <v>0</v>
      </c>
      <c r="L522" s="311">
        <f t="shared" ca="1" si="120"/>
        <v>0</v>
      </c>
      <c r="M522" s="513">
        <f t="shared" ca="1" si="120"/>
        <v>0</v>
      </c>
      <c r="N522" s="313">
        <f t="shared" ca="1" si="120"/>
        <v>0.58499999999999996</v>
      </c>
      <c r="O522" s="311">
        <f t="shared" ca="1" si="120"/>
        <v>0.60246693955985497</v>
      </c>
      <c r="P522" s="311">
        <f t="shared" ca="1" si="120"/>
        <v>0.61993503856331211</v>
      </c>
      <c r="Q522" s="311">
        <f t="shared" ca="1" si="120"/>
        <v>0.63874429340766292</v>
      </c>
      <c r="R522" s="311">
        <f t="shared" ca="1" si="120"/>
        <v>0.65872232621351712</v>
      </c>
      <c r="S522" s="311">
        <f t="shared" ca="1" si="120"/>
        <v>0.67885777730280006</v>
      </c>
    </row>
    <row r="523" spans="1:19">
      <c r="A523" s="5"/>
      <c r="B523" s="249"/>
      <c r="C523" s="12"/>
      <c r="D523" s="263"/>
      <c r="E523" s="263"/>
      <c r="F523" s="263"/>
      <c r="G523" s="263"/>
      <c r="H523" s="263"/>
      <c r="I523" s="263"/>
      <c r="J523" s="263"/>
      <c r="K523" s="263"/>
      <c r="L523" s="263"/>
      <c r="M523" s="836"/>
      <c r="N523" s="263"/>
      <c r="O523" s="263"/>
      <c r="P523" s="263"/>
      <c r="Q523" s="263"/>
      <c r="R523" s="263"/>
      <c r="S523" s="263"/>
    </row>
    <row r="524" spans="1:19" ht="25.5">
      <c r="A524" s="5"/>
      <c r="B524" s="249" t="str">
        <f ca="1">+'I-4 History'!B516</f>
        <v>A-33</v>
      </c>
      <c r="C524" s="14" t="str">
        <f ca="1">+'I-4 History'!C516</f>
        <v>Customer Relations, excluding Call Centre</v>
      </c>
      <c r="D524" s="11"/>
      <c r="E524" s="11"/>
      <c r="F524" s="11"/>
      <c r="G524" s="11"/>
      <c r="H524" s="11"/>
      <c r="I524" s="11"/>
      <c r="J524" s="11"/>
      <c r="K524" s="11"/>
      <c r="L524" s="11"/>
      <c r="M524" s="507"/>
      <c r="N524" s="11"/>
      <c r="O524" s="11"/>
      <c r="P524" s="11"/>
      <c r="Q524" s="11"/>
      <c r="R524" s="11"/>
      <c r="S524" s="11"/>
    </row>
    <row r="525" spans="1:19">
      <c r="B525" s="249"/>
      <c r="C525" s="13" t="s">
        <v>68</v>
      </c>
      <c r="D525" s="312">
        <f>'I-4 History'!D517</f>
        <v>0</v>
      </c>
      <c r="E525" s="312">
        <f>'I-4 History'!E517</f>
        <v>0</v>
      </c>
      <c r="F525" s="312">
        <f>'I-4 History'!F517</f>
        <v>0</v>
      </c>
      <c r="G525" s="312">
        <f>'I-4 History'!G517</f>
        <v>0</v>
      </c>
      <c r="H525" s="312">
        <f>'I-4 History'!H517</f>
        <v>0</v>
      </c>
      <c r="I525" s="312">
        <f>'I-4 History'!I517</f>
        <v>0</v>
      </c>
      <c r="J525" s="312">
        <f>'I-4 History'!J517</f>
        <v>0</v>
      </c>
      <c r="K525" s="312">
        <f>'I-4 History'!K517</f>
        <v>0</v>
      </c>
      <c r="L525" s="310">
        <f ca="1">'A-33'!B$64</f>
        <v>0</v>
      </c>
      <c r="M525" s="835">
        <f ca="1">'A-33'!C$64</f>
        <v>0</v>
      </c>
      <c r="N525" s="312">
        <f ca="1">'A-33'!D$64</f>
        <v>1.722</v>
      </c>
      <c r="O525" s="310">
        <f ca="1">'A-33'!E$64</f>
        <v>1.7776130099520859</v>
      </c>
      <c r="P525" s="310">
        <f ca="1">'A-33'!F$64</f>
        <v>2.4254203353921158</v>
      </c>
      <c r="Q525" s="310">
        <f ca="1">'A-33'!G$64</f>
        <v>2.7887727308324024</v>
      </c>
      <c r="R525" s="310">
        <f ca="1">'A-33'!H$64</f>
        <v>2.8514232028295714</v>
      </c>
      <c r="S525" s="310">
        <f ca="1">'A-33'!I$64</f>
        <v>3.0152385162575044</v>
      </c>
    </row>
    <row r="526" spans="1:19">
      <c r="B526" s="249"/>
      <c r="C526" s="13" t="s">
        <v>69</v>
      </c>
      <c r="D526" s="312">
        <f>'I-4 History'!D518</f>
        <v>0</v>
      </c>
      <c r="E526" s="312">
        <f>'I-4 History'!E518</f>
        <v>0</v>
      </c>
      <c r="F526" s="312">
        <f>'I-4 History'!F518</f>
        <v>0</v>
      </c>
      <c r="G526" s="312">
        <f>'I-4 History'!G518</f>
        <v>0</v>
      </c>
      <c r="H526" s="312">
        <f>'I-4 History'!H518</f>
        <v>0</v>
      </c>
      <c r="I526" s="312">
        <f>'I-4 History'!I518</f>
        <v>0</v>
      </c>
      <c r="J526" s="312">
        <f>'I-4 History'!J518</f>
        <v>0</v>
      </c>
      <c r="K526" s="312">
        <f>'I-4 History'!K518</f>
        <v>0</v>
      </c>
      <c r="L526" s="310">
        <f ca="1">'A-33'!B$65</f>
        <v>0</v>
      </c>
      <c r="M526" s="835">
        <f ca="1">'A-33'!C$65</f>
        <v>0</v>
      </c>
      <c r="N526" s="312">
        <f ca="1">'A-33'!D$65</f>
        <v>1.7999999999999999E-2</v>
      </c>
      <c r="O526" s="310">
        <f ca="1">'A-33'!E$65</f>
        <v>1.8190979249062232E-2</v>
      </c>
      <c r="P526" s="310">
        <f ca="1">'A-33'!F$65</f>
        <v>1.8367937912225012E-2</v>
      </c>
      <c r="Q526" s="310">
        <f ca="1">'A-33'!G$65</f>
        <v>1.8542859585771829E-2</v>
      </c>
      <c r="R526" s="310">
        <f ca="1">'A-33'!H$65</f>
        <v>1.873263555264592E-2</v>
      </c>
      <c r="S526" s="310">
        <f ca="1">'A-33'!I$65</f>
        <v>1.8906471758592003E-2</v>
      </c>
    </row>
    <row r="527" spans="1:19" s="759" customFormat="1">
      <c r="B527" s="249"/>
      <c r="C527" s="13" t="s">
        <v>646</v>
      </c>
      <c r="D527" s="312">
        <f>'I-4 History'!D519</f>
        <v>0</v>
      </c>
      <c r="E527" s="312">
        <f>'I-4 History'!E519</f>
        <v>0</v>
      </c>
      <c r="F527" s="312">
        <f>'I-4 History'!F519</f>
        <v>0</v>
      </c>
      <c r="G527" s="312">
        <f>'I-4 History'!G519</f>
        <v>0</v>
      </c>
      <c r="H527" s="312">
        <f>'I-4 History'!H519</f>
        <v>0</v>
      </c>
      <c r="I527" s="312">
        <f>'I-4 History'!I519</f>
        <v>0</v>
      </c>
      <c r="J527" s="312">
        <f>'I-4 History'!J519</f>
        <v>0</v>
      </c>
      <c r="K527" s="312">
        <f>'I-4 History'!K519</f>
        <v>0</v>
      </c>
      <c r="L527" s="310">
        <f ca="1">'A-33'!B$66</f>
        <v>0</v>
      </c>
      <c r="M527" s="835">
        <f ca="1">'A-33'!C$66</f>
        <v>0</v>
      </c>
      <c r="N527" s="312">
        <f ca="1">'A-33'!D$66</f>
        <v>4.7E-2</v>
      </c>
      <c r="O527" s="310">
        <f ca="1">'A-33'!E$66</f>
        <v>4.7736161379414138E-2</v>
      </c>
      <c r="P527" s="310">
        <f ca="1">'A-33'!F$66</f>
        <v>4.8441533056687108E-2</v>
      </c>
      <c r="Q527" s="310">
        <f ca="1">'A-33'!G$66</f>
        <v>4.9342977466009512E-2</v>
      </c>
      <c r="R527" s="310">
        <f ca="1">'A-33'!H$66</f>
        <v>5.0371379440114897E-2</v>
      </c>
      <c r="S527" s="310">
        <f ca="1">'A-33'!I$66</f>
        <v>5.1474303944112142E-2</v>
      </c>
    </row>
    <row r="528" spans="1:19">
      <c r="B528" s="249"/>
      <c r="C528" s="13" t="s">
        <v>647</v>
      </c>
      <c r="D528" s="312">
        <f>'I-4 History'!D520</f>
        <v>0</v>
      </c>
      <c r="E528" s="312">
        <f>'I-4 History'!E520</f>
        <v>0</v>
      </c>
      <c r="F528" s="312">
        <f>'I-4 History'!F520</f>
        <v>0</v>
      </c>
      <c r="G528" s="312">
        <f>'I-4 History'!G520</f>
        <v>0</v>
      </c>
      <c r="H528" s="312">
        <f>'I-4 History'!H520</f>
        <v>0</v>
      </c>
      <c r="I528" s="312">
        <f>'I-4 History'!I520</f>
        <v>0</v>
      </c>
      <c r="J528" s="312">
        <f>'I-4 History'!J520</f>
        <v>0</v>
      </c>
      <c r="K528" s="312">
        <f>'I-4 History'!K520</f>
        <v>0</v>
      </c>
      <c r="L528" s="310">
        <f ca="1">'A-33'!B$67</f>
        <v>0</v>
      </c>
      <c r="M528" s="835">
        <f ca="1">'A-33'!C$67</f>
        <v>0</v>
      </c>
      <c r="N528" s="312">
        <f ca="1">'A-33'!D$67</f>
        <v>0.34900000000000003</v>
      </c>
      <c r="O528" s="310">
        <f ca="1">'A-33'!E$67</f>
        <v>0.35446638981735185</v>
      </c>
      <c r="P528" s="310">
        <f ca="1">'A-33'!F$67</f>
        <v>0.35970414971880432</v>
      </c>
      <c r="Q528" s="310">
        <f ca="1">'A-33'!G$67</f>
        <v>0.36639785394973023</v>
      </c>
      <c r="R528" s="310">
        <f ca="1">'A-33'!H$67</f>
        <v>0.37403428562978935</v>
      </c>
      <c r="S528" s="310">
        <f ca="1">'A-33'!I$67</f>
        <v>0.38222408673393915</v>
      </c>
    </row>
    <row r="529" spans="1:19" s="759" customFormat="1">
      <c r="B529" s="249"/>
      <c r="C529" s="13" t="s">
        <v>575</v>
      </c>
      <c r="D529" s="312">
        <f>'I-4 History'!D521</f>
        <v>0</v>
      </c>
      <c r="E529" s="312">
        <f>'I-4 History'!E521</f>
        <v>0</v>
      </c>
      <c r="F529" s="312">
        <f>'I-4 History'!F521</f>
        <v>0</v>
      </c>
      <c r="G529" s="312">
        <f>'I-4 History'!G521</f>
        <v>0</v>
      </c>
      <c r="H529" s="312">
        <f>'I-4 History'!H521</f>
        <v>0</v>
      </c>
      <c r="I529" s="312">
        <f>'I-4 History'!I521</f>
        <v>0</v>
      </c>
      <c r="J529" s="312">
        <f>'I-4 History'!J521</f>
        <v>0</v>
      </c>
      <c r="K529" s="312">
        <f>'I-4 History'!K521</f>
        <v>0</v>
      </c>
      <c r="L529" s="310">
        <f ca="1">'A-33'!B$68</f>
        <v>0</v>
      </c>
      <c r="M529" s="835">
        <f ca="1">'A-33'!C$68</f>
        <v>0</v>
      </c>
      <c r="N529" s="312">
        <f ca="1">'A-33'!D$68</f>
        <v>0</v>
      </c>
      <c r="O529" s="310">
        <f ca="1">'A-33'!E$68</f>
        <v>0</v>
      </c>
      <c r="P529" s="310">
        <f ca="1">'A-33'!F$68</f>
        <v>0</v>
      </c>
      <c r="Q529" s="310">
        <f ca="1">'A-33'!G$68</f>
        <v>0</v>
      </c>
      <c r="R529" s="310">
        <f ca="1">'A-33'!H$68</f>
        <v>0</v>
      </c>
      <c r="S529" s="310">
        <f ca="1">'A-33'!I$68</f>
        <v>0</v>
      </c>
    </row>
    <row r="530" spans="1:19">
      <c r="B530" s="249"/>
      <c r="C530" s="13" t="s">
        <v>70</v>
      </c>
      <c r="D530" s="312">
        <f>'I-4 History'!D522</f>
        <v>0</v>
      </c>
      <c r="E530" s="312">
        <f>'I-4 History'!E522</f>
        <v>0</v>
      </c>
      <c r="F530" s="312">
        <f>'I-4 History'!F522</f>
        <v>0</v>
      </c>
      <c r="G530" s="312">
        <f>'I-4 History'!G522</f>
        <v>0</v>
      </c>
      <c r="H530" s="312">
        <f>'I-4 History'!H522</f>
        <v>0</v>
      </c>
      <c r="I530" s="312">
        <f>'I-4 History'!I522</f>
        <v>0</v>
      </c>
      <c r="J530" s="312">
        <f>'I-4 History'!J522</f>
        <v>0</v>
      </c>
      <c r="K530" s="312">
        <f>'I-4 History'!K522</f>
        <v>0</v>
      </c>
      <c r="L530" s="310">
        <f ca="1">'A-33'!B$69</f>
        <v>0</v>
      </c>
      <c r="M530" s="835">
        <f ca="1">'A-33'!C$69</f>
        <v>0</v>
      </c>
      <c r="N530" s="312">
        <f ca="1">'A-33'!D$69</f>
        <v>0</v>
      </c>
      <c r="O530" s="310">
        <f ca="1">'A-33'!E$69</f>
        <v>0</v>
      </c>
      <c r="P530" s="310">
        <f ca="1">'A-33'!F$69</f>
        <v>0</v>
      </c>
      <c r="Q530" s="310">
        <f ca="1">'A-33'!G$69</f>
        <v>0</v>
      </c>
      <c r="R530" s="310">
        <f ca="1">'A-33'!H$69</f>
        <v>0</v>
      </c>
      <c r="S530" s="310">
        <f ca="1">'A-33'!I$69</f>
        <v>0</v>
      </c>
    </row>
    <row r="531" spans="1:19">
      <c r="B531" s="249"/>
      <c r="C531" s="12" t="s">
        <v>75</v>
      </c>
      <c r="D531" s="313">
        <f t="shared" ref="D531:S531" si="121">SUBTOTAL(9,D525:D530)</f>
        <v>0</v>
      </c>
      <c r="E531" s="311">
        <f t="shared" si="121"/>
        <v>0</v>
      </c>
      <c r="F531" s="311">
        <f t="shared" si="121"/>
        <v>0</v>
      </c>
      <c r="G531" s="311">
        <f t="shared" si="121"/>
        <v>0</v>
      </c>
      <c r="H531" s="311">
        <f t="shared" si="121"/>
        <v>0</v>
      </c>
      <c r="I531" s="311">
        <f t="shared" si="121"/>
        <v>0</v>
      </c>
      <c r="J531" s="311">
        <f t="shared" si="121"/>
        <v>0</v>
      </c>
      <c r="K531" s="311">
        <f t="shared" si="121"/>
        <v>0</v>
      </c>
      <c r="L531" s="311">
        <f t="shared" ca="1" si="121"/>
        <v>0</v>
      </c>
      <c r="M531" s="513">
        <f t="shared" ca="1" si="121"/>
        <v>0</v>
      </c>
      <c r="N531" s="313">
        <f t="shared" ca="1" si="121"/>
        <v>2.1360000000000001</v>
      </c>
      <c r="O531" s="311">
        <f t="shared" ca="1" si="121"/>
        <v>2.1980065403979139</v>
      </c>
      <c r="P531" s="311">
        <f t="shared" ca="1" si="121"/>
        <v>2.851933956079832</v>
      </c>
      <c r="Q531" s="311">
        <f t="shared" ca="1" si="121"/>
        <v>3.2230564218339142</v>
      </c>
      <c r="R531" s="311">
        <f t="shared" ca="1" si="121"/>
        <v>3.2945615034521216</v>
      </c>
      <c r="S531" s="311">
        <f t="shared" ca="1" si="121"/>
        <v>3.4678433786941478</v>
      </c>
    </row>
    <row r="532" spans="1:19">
      <c r="B532" s="249"/>
      <c r="C532" s="12"/>
      <c r="D532" s="263"/>
      <c r="E532" s="263"/>
      <c r="F532" s="263"/>
      <c r="G532" s="263"/>
      <c r="H532" s="263"/>
      <c r="I532" s="263"/>
      <c r="J532" s="263"/>
      <c r="K532" s="263"/>
      <c r="L532" s="263"/>
      <c r="M532" s="836"/>
      <c r="N532" s="263"/>
      <c r="O532" s="263"/>
      <c r="P532" s="263"/>
      <c r="Q532" s="263"/>
      <c r="R532" s="263"/>
      <c r="S532" s="263"/>
    </row>
    <row r="533" spans="1:19">
      <c r="A533" s="5"/>
      <c r="B533" s="249" t="str">
        <f ca="1">+'I-4 History'!B525</f>
        <v>A-34</v>
      </c>
      <c r="C533" s="14" t="str">
        <f ca="1">+'I-4 History'!C525</f>
        <v>Business Improvement and Planning</v>
      </c>
      <c r="D533" s="11"/>
      <c r="E533" s="11"/>
      <c r="F533" s="11"/>
      <c r="G533" s="11"/>
      <c r="H533" s="11"/>
      <c r="I533" s="11"/>
      <c r="J533" s="11"/>
      <c r="K533" s="11"/>
      <c r="L533" s="11"/>
      <c r="M533" s="507"/>
      <c r="N533" s="11"/>
      <c r="O533" s="11"/>
      <c r="P533" s="11"/>
      <c r="Q533" s="11"/>
      <c r="R533" s="11"/>
      <c r="S533" s="11"/>
    </row>
    <row r="534" spans="1:19">
      <c r="A534" s="5"/>
      <c r="B534" s="249"/>
      <c r="C534" s="13" t="s">
        <v>68</v>
      </c>
      <c r="D534" s="312">
        <f>'I-4 History'!D526</f>
        <v>0</v>
      </c>
      <c r="E534" s="312">
        <f>'I-4 History'!E526</f>
        <v>0</v>
      </c>
      <c r="F534" s="312">
        <f>'I-4 History'!F526</f>
        <v>0</v>
      </c>
      <c r="G534" s="312">
        <f>'I-4 History'!G526</f>
        <v>0</v>
      </c>
      <c r="H534" s="312">
        <f>'I-4 History'!H526</f>
        <v>0</v>
      </c>
      <c r="I534" s="312">
        <f>'I-4 History'!I526</f>
        <v>0</v>
      </c>
      <c r="J534" s="312">
        <f>'I-4 History'!J526</f>
        <v>0</v>
      </c>
      <c r="K534" s="312">
        <f>'I-4 History'!K526</f>
        <v>0</v>
      </c>
      <c r="L534" s="310">
        <f ca="1">'A-34'!B$64</f>
        <v>0</v>
      </c>
      <c r="M534" s="835">
        <f ca="1">'A-34'!C$64</f>
        <v>0</v>
      </c>
      <c r="N534" s="312">
        <f ca="1">'A-34'!D$64</f>
        <v>0.629</v>
      </c>
      <c r="O534" s="310">
        <f ca="1">'A-34'!E$64</f>
        <v>0.64931392756089557</v>
      </c>
      <c r="P534" s="310">
        <f ca="1">'A-34'!F$64</f>
        <v>1.0696988333110573</v>
      </c>
      <c r="Q534" s="310">
        <f ca="1">'A-34'!G$64</f>
        <v>1.0913786571972015</v>
      </c>
      <c r="R534" s="310">
        <f ca="1">'A-34'!H$64</f>
        <v>1.1142631791984903</v>
      </c>
      <c r="S534" s="310">
        <f ca="1">'A-34'!I$64</f>
        <v>1.1372079133135715</v>
      </c>
    </row>
    <row r="535" spans="1:19">
      <c r="A535" s="5"/>
      <c r="B535" s="249"/>
      <c r="C535" s="13" t="s">
        <v>69</v>
      </c>
      <c r="D535" s="312">
        <f>'I-4 History'!D527</f>
        <v>0</v>
      </c>
      <c r="E535" s="312">
        <f>'I-4 History'!E527</f>
        <v>0</v>
      </c>
      <c r="F535" s="312">
        <f>'I-4 History'!F527</f>
        <v>0</v>
      </c>
      <c r="G535" s="312">
        <f>'I-4 History'!G527</f>
        <v>0</v>
      </c>
      <c r="H535" s="312">
        <f>'I-4 History'!H527</f>
        <v>0</v>
      </c>
      <c r="I535" s="312">
        <f>'I-4 History'!I527</f>
        <v>0</v>
      </c>
      <c r="J535" s="312">
        <f>'I-4 History'!J527</f>
        <v>0</v>
      </c>
      <c r="K535" s="312">
        <f>'I-4 History'!K527</f>
        <v>0</v>
      </c>
      <c r="L535" s="310">
        <f ca="1">'A-34'!B$65</f>
        <v>0</v>
      </c>
      <c r="M535" s="835">
        <f ca="1">'A-34'!C$65</f>
        <v>0</v>
      </c>
      <c r="N535" s="312">
        <f ca="1">'A-34'!D$65</f>
        <v>3.0000000000000001E-3</v>
      </c>
      <c r="O535" s="310">
        <f ca="1">'A-34'!E$65</f>
        <v>3.0318298748437055E-3</v>
      </c>
      <c r="P535" s="310">
        <f ca="1">'A-34'!F$65</f>
        <v>3.0613229853708353E-3</v>
      </c>
      <c r="Q535" s="310">
        <f ca="1">'A-34'!G$65</f>
        <v>3.0904765976286388E-3</v>
      </c>
      <c r="R535" s="310">
        <f ca="1">'A-34'!H$65</f>
        <v>3.1221059254409873E-3</v>
      </c>
      <c r="S535" s="310">
        <f ca="1">'A-34'!I$65</f>
        <v>3.1510786264320008E-3</v>
      </c>
    </row>
    <row r="536" spans="1:19" s="759" customFormat="1">
      <c r="A536" s="5"/>
      <c r="B536" s="249"/>
      <c r="C536" s="13" t="s">
        <v>646</v>
      </c>
      <c r="D536" s="312">
        <f>'I-4 History'!D528</f>
        <v>0</v>
      </c>
      <c r="E536" s="312">
        <f>'I-4 History'!E528</f>
        <v>0</v>
      </c>
      <c r="F536" s="312">
        <f>'I-4 History'!F528</f>
        <v>0</v>
      </c>
      <c r="G536" s="312">
        <f>'I-4 History'!G528</f>
        <v>0</v>
      </c>
      <c r="H536" s="312">
        <f>'I-4 History'!H528</f>
        <v>0</v>
      </c>
      <c r="I536" s="312">
        <f>'I-4 History'!I528</f>
        <v>0</v>
      </c>
      <c r="J536" s="312">
        <f>'I-4 History'!J528</f>
        <v>0</v>
      </c>
      <c r="K536" s="312">
        <f>'I-4 History'!K528</f>
        <v>0</v>
      </c>
      <c r="L536" s="310">
        <f ca="1">'A-34'!B$66</f>
        <v>0</v>
      </c>
      <c r="M536" s="835">
        <f ca="1">'A-34'!C$66</f>
        <v>0</v>
      </c>
      <c r="N536" s="312">
        <f ca="1">'A-34'!D$66</f>
        <v>8.5000000000000006E-2</v>
      </c>
      <c r="O536" s="310">
        <f ca="1">'A-34'!E$66</f>
        <v>8.6331355686174505E-2</v>
      </c>
      <c r="P536" s="310">
        <f ca="1">'A-34'!F$66</f>
        <v>8.7607027868476697E-2</v>
      </c>
      <c r="Q536" s="310">
        <f ca="1">'A-34'!G$66</f>
        <v>8.923729967257038E-2</v>
      </c>
      <c r="R536" s="310">
        <f ca="1">'A-34'!H$66</f>
        <v>9.1097175583186529E-2</v>
      </c>
      <c r="S536" s="310">
        <f ca="1">'A-34'!I$66</f>
        <v>9.309182628190496E-2</v>
      </c>
    </row>
    <row r="537" spans="1:19">
      <c r="A537" s="5"/>
      <c r="B537" s="249"/>
      <c r="C537" s="13" t="s">
        <v>647</v>
      </c>
      <c r="D537" s="312">
        <f>'I-4 History'!D529</f>
        <v>0</v>
      </c>
      <c r="E537" s="312">
        <f>'I-4 History'!E529</f>
        <v>0</v>
      </c>
      <c r="F537" s="312">
        <f>'I-4 History'!F529</f>
        <v>0</v>
      </c>
      <c r="G537" s="312">
        <f>'I-4 History'!G529</f>
        <v>0</v>
      </c>
      <c r="H537" s="312">
        <f>'I-4 History'!H529</f>
        <v>0</v>
      </c>
      <c r="I537" s="312">
        <f>'I-4 History'!I529</f>
        <v>0</v>
      </c>
      <c r="J537" s="312">
        <f>'I-4 History'!J529</f>
        <v>0</v>
      </c>
      <c r="K537" s="312">
        <f>'I-4 History'!K529</f>
        <v>0</v>
      </c>
      <c r="L537" s="310">
        <f ca="1">'A-34'!B$67</f>
        <v>0</v>
      </c>
      <c r="M537" s="835">
        <f ca="1">'A-34'!C$67</f>
        <v>0</v>
      </c>
      <c r="N537" s="312">
        <f ca="1">'A-34'!D$67</f>
        <v>0.191</v>
      </c>
      <c r="O537" s="310">
        <f ca="1">'A-34'!E$67</f>
        <v>0.19399163454187449</v>
      </c>
      <c r="P537" s="310">
        <f ca="1">'A-34'!F$67</f>
        <v>0.19685814497504761</v>
      </c>
      <c r="Q537" s="310">
        <f ca="1">'A-34'!G$67</f>
        <v>0.20052146161718756</v>
      </c>
      <c r="R537" s="310">
        <f ca="1">'A-34'!H$67</f>
        <v>0.20470071219280736</v>
      </c>
      <c r="S537" s="310">
        <f ca="1">'A-34'!I$67</f>
        <v>0.20918280964522171</v>
      </c>
    </row>
    <row r="538" spans="1:19" s="759" customFormat="1">
      <c r="A538" s="5"/>
      <c r="B538" s="249"/>
      <c r="C538" s="13" t="s">
        <v>575</v>
      </c>
      <c r="D538" s="312">
        <f>'I-4 History'!D530</f>
        <v>0</v>
      </c>
      <c r="E538" s="312">
        <f>'I-4 History'!E530</f>
        <v>0</v>
      </c>
      <c r="F538" s="312">
        <f>'I-4 History'!F530</f>
        <v>0</v>
      </c>
      <c r="G538" s="312">
        <f>'I-4 History'!G530</f>
        <v>0</v>
      </c>
      <c r="H538" s="312">
        <f>'I-4 History'!H530</f>
        <v>0</v>
      </c>
      <c r="I538" s="312">
        <f>'I-4 History'!I530</f>
        <v>0</v>
      </c>
      <c r="J538" s="312">
        <f>'I-4 History'!J530</f>
        <v>0</v>
      </c>
      <c r="K538" s="312">
        <f>'I-4 History'!K530</f>
        <v>0</v>
      </c>
      <c r="L538" s="310">
        <f ca="1">'A-34'!B$68</f>
        <v>0</v>
      </c>
      <c r="M538" s="835">
        <f ca="1">'A-34'!C$68</f>
        <v>0</v>
      </c>
      <c r="N538" s="312">
        <f ca="1">'A-34'!D$68</f>
        <v>0</v>
      </c>
      <c r="O538" s="310">
        <f ca="1">'A-34'!E$68</f>
        <v>0</v>
      </c>
      <c r="P538" s="310">
        <f ca="1">'A-34'!F$68</f>
        <v>0</v>
      </c>
      <c r="Q538" s="310">
        <f ca="1">'A-34'!G$68</f>
        <v>0</v>
      </c>
      <c r="R538" s="310">
        <f ca="1">'A-34'!H$68</f>
        <v>0</v>
      </c>
      <c r="S538" s="310">
        <f ca="1">'A-34'!I$68</f>
        <v>0</v>
      </c>
    </row>
    <row r="539" spans="1:19">
      <c r="A539" s="5"/>
      <c r="B539" s="249"/>
      <c r="C539" s="13" t="s">
        <v>70</v>
      </c>
      <c r="D539" s="312">
        <f>'I-4 History'!D531</f>
        <v>0</v>
      </c>
      <c r="E539" s="312">
        <f>'I-4 History'!E531</f>
        <v>0</v>
      </c>
      <c r="F539" s="312">
        <f>'I-4 History'!F531</f>
        <v>0</v>
      </c>
      <c r="G539" s="312">
        <f>'I-4 History'!G531</f>
        <v>0</v>
      </c>
      <c r="H539" s="312">
        <f>'I-4 History'!H531</f>
        <v>0</v>
      </c>
      <c r="I539" s="312">
        <f>'I-4 History'!I531</f>
        <v>0</v>
      </c>
      <c r="J539" s="312">
        <f>'I-4 History'!J531</f>
        <v>0</v>
      </c>
      <c r="K539" s="312">
        <f>'I-4 History'!K531</f>
        <v>0</v>
      </c>
      <c r="L539" s="310">
        <f ca="1">'A-34'!B$69</f>
        <v>0</v>
      </c>
      <c r="M539" s="835">
        <f ca="1">'A-34'!C$69</f>
        <v>0</v>
      </c>
      <c r="N539" s="312">
        <f ca="1">'A-34'!D$69</f>
        <v>0</v>
      </c>
      <c r="O539" s="310">
        <f ca="1">'A-34'!E$69</f>
        <v>0</v>
      </c>
      <c r="P539" s="310">
        <f ca="1">'A-34'!F$69</f>
        <v>0</v>
      </c>
      <c r="Q539" s="310">
        <f ca="1">'A-34'!G$69</f>
        <v>0</v>
      </c>
      <c r="R539" s="310">
        <f ca="1">'A-34'!H$69</f>
        <v>0</v>
      </c>
      <c r="S539" s="310">
        <f ca="1">'A-34'!I$69</f>
        <v>0</v>
      </c>
    </row>
    <row r="540" spans="1:19">
      <c r="A540" s="5"/>
      <c r="B540" s="249"/>
      <c r="C540" s="12" t="s">
        <v>75</v>
      </c>
      <c r="D540" s="313">
        <f t="shared" ref="D540:K540" si="122">SUBTOTAL(9,D534:D539)</f>
        <v>0</v>
      </c>
      <c r="E540" s="311">
        <f t="shared" si="122"/>
        <v>0</v>
      </c>
      <c r="F540" s="311">
        <f t="shared" si="122"/>
        <v>0</v>
      </c>
      <c r="G540" s="311">
        <f t="shared" si="122"/>
        <v>0</v>
      </c>
      <c r="H540" s="311">
        <f t="shared" si="122"/>
        <v>0</v>
      </c>
      <c r="I540" s="311">
        <f t="shared" si="122"/>
        <v>0</v>
      </c>
      <c r="J540" s="311">
        <f t="shared" si="122"/>
        <v>0</v>
      </c>
      <c r="K540" s="311">
        <f t="shared" si="122"/>
        <v>0</v>
      </c>
      <c r="L540" s="311">
        <f t="shared" ref="L540:S540" ca="1" si="123">SUBTOTAL(9,L534:L539)</f>
        <v>0</v>
      </c>
      <c r="M540" s="513">
        <f t="shared" ca="1" si="123"/>
        <v>0</v>
      </c>
      <c r="N540" s="313">
        <f t="shared" ca="1" si="123"/>
        <v>0.90799999999999992</v>
      </c>
      <c r="O540" s="311">
        <f t="shared" ca="1" si="123"/>
        <v>0.93266874766378838</v>
      </c>
      <c r="P540" s="311">
        <f t="shared" ca="1" si="123"/>
        <v>1.3572253291399523</v>
      </c>
      <c r="Q540" s="311">
        <f t="shared" ca="1" si="123"/>
        <v>1.3842278950845881</v>
      </c>
      <c r="R540" s="311">
        <f t="shared" ca="1" si="123"/>
        <v>1.4131831728999251</v>
      </c>
      <c r="S540" s="311">
        <f t="shared" ca="1" si="123"/>
        <v>1.4426336278671301</v>
      </c>
    </row>
    <row r="541" spans="1:19">
      <c r="A541" s="5"/>
      <c r="B541" s="249"/>
      <c r="C541" s="12"/>
      <c r="D541" s="263"/>
      <c r="E541" s="263"/>
      <c r="F541" s="263"/>
      <c r="G541" s="263"/>
      <c r="H541" s="263"/>
      <c r="I541" s="263"/>
      <c r="J541" s="263"/>
      <c r="K541" s="263"/>
      <c r="L541" s="263"/>
      <c r="M541" s="836"/>
      <c r="N541" s="263"/>
      <c r="O541" s="263"/>
      <c r="P541" s="263"/>
      <c r="Q541" s="263"/>
      <c r="R541" s="263"/>
      <c r="S541" s="263"/>
    </row>
    <row r="542" spans="1:19">
      <c r="A542" s="5"/>
      <c r="B542" s="249" t="str">
        <f ca="1">+'I-4 History'!B534</f>
        <v>A-35</v>
      </c>
      <c r="C542" s="262" t="str">
        <f ca="1">+'I-4 History'!C534</f>
        <v>Works Coordination</v>
      </c>
      <c r="D542" s="11"/>
      <c r="E542" s="11"/>
      <c r="F542" s="11"/>
      <c r="G542" s="11"/>
      <c r="H542" s="11"/>
      <c r="I542" s="11"/>
      <c r="J542" s="11"/>
      <c r="K542" s="11"/>
      <c r="L542" s="11"/>
      <c r="M542" s="507"/>
      <c r="N542" s="11"/>
      <c r="O542" s="11"/>
      <c r="P542" s="11"/>
      <c r="Q542" s="11"/>
      <c r="R542" s="11"/>
      <c r="S542" s="11"/>
    </row>
    <row r="543" spans="1:19">
      <c r="A543" s="5"/>
      <c r="B543" s="249"/>
      <c r="C543" s="13" t="s">
        <v>68</v>
      </c>
      <c r="D543" s="312">
        <f>'I-4 History'!D535</f>
        <v>0</v>
      </c>
      <c r="E543" s="312">
        <f>'I-4 History'!E535</f>
        <v>0</v>
      </c>
      <c r="F543" s="312">
        <f>'I-4 History'!F535</f>
        <v>0</v>
      </c>
      <c r="G543" s="312">
        <f>'I-4 History'!G535</f>
        <v>0</v>
      </c>
      <c r="H543" s="312">
        <f>'I-4 History'!H535</f>
        <v>0</v>
      </c>
      <c r="I543" s="312">
        <f>'I-4 History'!I535</f>
        <v>0</v>
      </c>
      <c r="J543" s="312">
        <f>'I-4 History'!J535</f>
        <v>0</v>
      </c>
      <c r="K543" s="312">
        <f>'I-4 History'!K535</f>
        <v>0</v>
      </c>
      <c r="L543" s="310">
        <f ca="1">'A-35'!B$64</f>
        <v>0</v>
      </c>
      <c r="M543" s="835">
        <f ca="1">'A-35'!C$64</f>
        <v>0</v>
      </c>
      <c r="N543" s="312">
        <f ca="1">'A-35'!D$64</f>
        <v>2.8559999999999999</v>
      </c>
      <c r="O543" s="310">
        <f ca="1">'A-35'!E$64</f>
        <v>2.94823621162785</v>
      </c>
      <c r="P543" s="310">
        <f ca="1">'A-35'!F$64</f>
        <v>3.0407947026015574</v>
      </c>
      <c r="Q543" s="310">
        <f ca="1">'A-35'!G$64</f>
        <v>3.1392328218683749</v>
      </c>
      <c r="R543" s="310">
        <f ca="1">'A-35'!H$64</f>
        <v>3.2431409217661185</v>
      </c>
      <c r="S543" s="310">
        <f ca="1">'A-35'!I$64</f>
        <v>3.3473224172075682</v>
      </c>
    </row>
    <row r="544" spans="1:19">
      <c r="A544" s="5"/>
      <c r="B544" s="249"/>
      <c r="C544" s="13" t="s">
        <v>69</v>
      </c>
      <c r="D544" s="312">
        <f>'I-4 History'!D536</f>
        <v>0</v>
      </c>
      <c r="E544" s="312">
        <f>'I-4 History'!E536</f>
        <v>0</v>
      </c>
      <c r="F544" s="312">
        <f>'I-4 History'!F536</f>
        <v>0</v>
      </c>
      <c r="G544" s="312">
        <f>'I-4 History'!G536</f>
        <v>0</v>
      </c>
      <c r="H544" s="312">
        <f>'I-4 History'!H536</f>
        <v>0</v>
      </c>
      <c r="I544" s="312">
        <f>'I-4 History'!I536</f>
        <v>0</v>
      </c>
      <c r="J544" s="312">
        <f>'I-4 History'!J536</f>
        <v>0</v>
      </c>
      <c r="K544" s="312">
        <f>'I-4 History'!K536</f>
        <v>0</v>
      </c>
      <c r="L544" s="310">
        <f ca="1">'A-35'!B$65</f>
        <v>0</v>
      </c>
      <c r="M544" s="835">
        <f ca="1">'A-35'!C$65</f>
        <v>0</v>
      </c>
      <c r="N544" s="312">
        <f ca="1">'A-35'!D$65</f>
        <v>1.6E-2</v>
      </c>
      <c r="O544" s="310">
        <f ca="1">'A-35'!E$65</f>
        <v>1.6169759332499763E-2</v>
      </c>
      <c r="P544" s="310">
        <f ca="1">'A-35'!F$65</f>
        <v>1.6327055921977789E-2</v>
      </c>
      <c r="Q544" s="310">
        <f ca="1">'A-35'!G$65</f>
        <v>1.6482541854019407E-2</v>
      </c>
      <c r="R544" s="310">
        <f ca="1">'A-35'!H$65</f>
        <v>1.6651231602351931E-2</v>
      </c>
      <c r="S544" s="310">
        <f ca="1">'A-35'!I$65</f>
        <v>1.6805752674304002E-2</v>
      </c>
    </row>
    <row r="545" spans="1:19" s="759" customFormat="1">
      <c r="A545" s="5"/>
      <c r="B545" s="249"/>
      <c r="C545" s="13" t="s">
        <v>646</v>
      </c>
      <c r="D545" s="312">
        <f>'I-4 History'!D537</f>
        <v>0</v>
      </c>
      <c r="E545" s="312">
        <f>'I-4 History'!E537</f>
        <v>0</v>
      </c>
      <c r="F545" s="312">
        <f>'I-4 History'!F537</f>
        <v>0</v>
      </c>
      <c r="G545" s="312">
        <f>'I-4 History'!G537</f>
        <v>0</v>
      </c>
      <c r="H545" s="312">
        <f>'I-4 History'!H537</f>
        <v>0</v>
      </c>
      <c r="I545" s="312">
        <f>'I-4 History'!I537</f>
        <v>0</v>
      </c>
      <c r="J545" s="312">
        <f>'I-4 History'!J537</f>
        <v>0</v>
      </c>
      <c r="K545" s="312">
        <f>'I-4 History'!K537</f>
        <v>0</v>
      </c>
      <c r="L545" s="310">
        <f ca="1">'A-35'!B$66</f>
        <v>0</v>
      </c>
      <c r="M545" s="835">
        <f ca="1">'A-35'!C$66</f>
        <v>0</v>
      </c>
      <c r="N545" s="312">
        <f ca="1">'A-35'!D$66</f>
        <v>0</v>
      </c>
      <c r="O545" s="310">
        <f ca="1">'A-35'!E$66</f>
        <v>0</v>
      </c>
      <c r="P545" s="310">
        <f ca="1">'A-35'!F$66</f>
        <v>0</v>
      </c>
      <c r="Q545" s="310">
        <f ca="1">'A-35'!G$66</f>
        <v>0</v>
      </c>
      <c r="R545" s="310">
        <f ca="1">'A-35'!H$66</f>
        <v>0</v>
      </c>
      <c r="S545" s="310">
        <f ca="1">'A-35'!I$66</f>
        <v>0</v>
      </c>
    </row>
    <row r="546" spans="1:19">
      <c r="A546" s="5"/>
      <c r="B546" s="249"/>
      <c r="C546" s="13" t="s">
        <v>647</v>
      </c>
      <c r="D546" s="312">
        <f>'I-4 History'!D538</f>
        <v>0</v>
      </c>
      <c r="E546" s="312">
        <f>'I-4 History'!E538</f>
        <v>0</v>
      </c>
      <c r="F546" s="312">
        <f>'I-4 History'!F538</f>
        <v>0</v>
      </c>
      <c r="G546" s="312">
        <f>'I-4 History'!G538</f>
        <v>0</v>
      </c>
      <c r="H546" s="312">
        <f>'I-4 History'!H538</f>
        <v>0</v>
      </c>
      <c r="I546" s="312">
        <f>'I-4 History'!I538</f>
        <v>0</v>
      </c>
      <c r="J546" s="312">
        <f>'I-4 History'!J538</f>
        <v>0</v>
      </c>
      <c r="K546" s="312">
        <f>'I-4 History'!K538</f>
        <v>0</v>
      </c>
      <c r="L546" s="310">
        <f ca="1">'A-35'!B$67</f>
        <v>0</v>
      </c>
      <c r="M546" s="835">
        <f ca="1">'A-35'!C$67</f>
        <v>0</v>
      </c>
      <c r="N546" s="312">
        <f ca="1">'A-35'!D$67</f>
        <v>9.2999999999999999E-2</v>
      </c>
      <c r="O546" s="310">
        <f ca="1">'A-35'!E$67</f>
        <v>9.4456659750755623E-2</v>
      </c>
      <c r="P546" s="310">
        <f ca="1">'A-35'!F$67</f>
        <v>9.5852395197274495E-2</v>
      </c>
      <c r="Q546" s="310">
        <f ca="1">'A-35'!G$67</f>
        <v>9.7636104347635824E-2</v>
      </c>
      <c r="R546" s="310">
        <f ca="1">'A-35'!H$67</f>
        <v>9.967102740278054E-2</v>
      </c>
      <c r="S546" s="310">
        <f ca="1">'A-35'!I$67</f>
        <v>0.10185340993196659</v>
      </c>
    </row>
    <row r="547" spans="1:19" s="759" customFormat="1">
      <c r="A547" s="5"/>
      <c r="B547" s="249"/>
      <c r="C547" s="13" t="s">
        <v>575</v>
      </c>
      <c r="D547" s="312">
        <f>'I-4 History'!D539</f>
        <v>0</v>
      </c>
      <c r="E547" s="312">
        <f>'I-4 History'!E539</f>
        <v>0</v>
      </c>
      <c r="F547" s="312">
        <f>'I-4 History'!F539</f>
        <v>0</v>
      </c>
      <c r="G547" s="312">
        <f>'I-4 History'!G539</f>
        <v>0</v>
      </c>
      <c r="H547" s="312">
        <f>'I-4 History'!H539</f>
        <v>0</v>
      </c>
      <c r="I547" s="312">
        <f>'I-4 History'!I539</f>
        <v>0</v>
      </c>
      <c r="J547" s="312">
        <f>'I-4 History'!J539</f>
        <v>0</v>
      </c>
      <c r="K547" s="312">
        <f>'I-4 History'!K539</f>
        <v>0</v>
      </c>
      <c r="L547" s="310">
        <f ca="1">'A-35'!B$68</f>
        <v>0</v>
      </c>
      <c r="M547" s="835">
        <f ca="1">'A-35'!C$68</f>
        <v>0</v>
      </c>
      <c r="N547" s="312">
        <f ca="1">'A-35'!D$68</f>
        <v>0</v>
      </c>
      <c r="O547" s="310">
        <f ca="1">'A-35'!E$68</f>
        <v>0</v>
      </c>
      <c r="P547" s="310">
        <f ca="1">'A-35'!F$68</f>
        <v>0</v>
      </c>
      <c r="Q547" s="310">
        <f ca="1">'A-35'!G$68</f>
        <v>0</v>
      </c>
      <c r="R547" s="310">
        <f ca="1">'A-35'!H$68</f>
        <v>0</v>
      </c>
      <c r="S547" s="310">
        <f ca="1">'A-35'!I$68</f>
        <v>0</v>
      </c>
    </row>
    <row r="548" spans="1:19">
      <c r="A548" s="5"/>
      <c r="B548" s="249"/>
      <c r="C548" s="13" t="s">
        <v>70</v>
      </c>
      <c r="D548" s="312">
        <f>'I-4 History'!D540</f>
        <v>0</v>
      </c>
      <c r="E548" s="312">
        <f>'I-4 History'!E540</f>
        <v>0</v>
      </c>
      <c r="F548" s="312">
        <f>'I-4 History'!F540</f>
        <v>0</v>
      </c>
      <c r="G548" s="312">
        <f>'I-4 History'!G540</f>
        <v>0</v>
      </c>
      <c r="H548" s="312">
        <f>'I-4 History'!H540</f>
        <v>0</v>
      </c>
      <c r="I548" s="312">
        <f>'I-4 History'!I540</f>
        <v>0</v>
      </c>
      <c r="J548" s="312">
        <f>'I-4 History'!J540</f>
        <v>0</v>
      </c>
      <c r="K548" s="312">
        <f>'I-4 History'!K540</f>
        <v>0</v>
      </c>
      <c r="L548" s="310">
        <f ca="1">'A-35'!B$69</f>
        <v>0</v>
      </c>
      <c r="M548" s="835">
        <f ca="1">'A-35'!C$69</f>
        <v>0</v>
      </c>
      <c r="N548" s="312">
        <f ca="1">'A-35'!D$69</f>
        <v>0</v>
      </c>
      <c r="O548" s="310">
        <f ca="1">'A-35'!E$69</f>
        <v>0</v>
      </c>
      <c r="P548" s="310">
        <f ca="1">'A-35'!F$69</f>
        <v>0</v>
      </c>
      <c r="Q548" s="310">
        <f ca="1">'A-35'!G$69</f>
        <v>0</v>
      </c>
      <c r="R548" s="310">
        <f ca="1">'A-35'!H$69</f>
        <v>0</v>
      </c>
      <c r="S548" s="310">
        <f ca="1">'A-35'!I$69</f>
        <v>0</v>
      </c>
    </row>
    <row r="549" spans="1:19">
      <c r="A549" s="5"/>
      <c r="B549" s="249"/>
      <c r="C549" s="12" t="s">
        <v>75</v>
      </c>
      <c r="D549" s="313">
        <f t="shared" ref="D549:K549" si="124">SUBTOTAL(9,D543:D548)</f>
        <v>0</v>
      </c>
      <c r="E549" s="311">
        <f t="shared" si="124"/>
        <v>0</v>
      </c>
      <c r="F549" s="311">
        <f t="shared" si="124"/>
        <v>0</v>
      </c>
      <c r="G549" s="311">
        <f t="shared" si="124"/>
        <v>0</v>
      </c>
      <c r="H549" s="311">
        <f t="shared" si="124"/>
        <v>0</v>
      </c>
      <c r="I549" s="311">
        <f t="shared" si="124"/>
        <v>0</v>
      </c>
      <c r="J549" s="311">
        <f t="shared" si="124"/>
        <v>0</v>
      </c>
      <c r="K549" s="311">
        <f t="shared" si="124"/>
        <v>0</v>
      </c>
      <c r="L549" s="311">
        <f t="shared" ref="L549:S549" ca="1" si="125">SUBTOTAL(9,L543:L548)</f>
        <v>0</v>
      </c>
      <c r="M549" s="513">
        <f t="shared" ca="1" si="125"/>
        <v>0</v>
      </c>
      <c r="N549" s="313">
        <f t="shared" ca="1" si="125"/>
        <v>2.9649999999999999</v>
      </c>
      <c r="O549" s="311">
        <f t="shared" ca="1" si="125"/>
        <v>3.0588626307111051</v>
      </c>
      <c r="P549" s="311">
        <f t="shared" ca="1" si="125"/>
        <v>3.1529741537208094</v>
      </c>
      <c r="Q549" s="311">
        <f t="shared" ca="1" si="125"/>
        <v>3.2533514680700302</v>
      </c>
      <c r="R549" s="311">
        <f t="shared" ca="1" si="125"/>
        <v>3.3594631807712507</v>
      </c>
      <c r="S549" s="311">
        <f t="shared" ca="1" si="125"/>
        <v>3.4659815798138389</v>
      </c>
    </row>
    <row r="550" spans="1:19">
      <c r="A550" s="5"/>
      <c r="B550" s="249"/>
      <c r="C550" s="12"/>
      <c r="D550" s="263"/>
      <c r="E550" s="263"/>
      <c r="F550" s="263"/>
      <c r="G550" s="263"/>
      <c r="H550" s="263"/>
      <c r="I550" s="263"/>
      <c r="J550" s="263"/>
      <c r="K550" s="263"/>
      <c r="L550" s="263"/>
      <c r="M550" s="836"/>
      <c r="N550" s="263"/>
      <c r="O550" s="263"/>
      <c r="P550" s="263"/>
      <c r="Q550" s="263"/>
      <c r="R550" s="263"/>
      <c r="S550" s="263"/>
    </row>
    <row r="551" spans="1:19" ht="17.25" customHeight="1" thickBot="1">
      <c r="A551" s="5"/>
      <c r="B551" s="250"/>
      <c r="C551" s="269" t="str">
        <f>CONCATENATE("Total ", +C513)</f>
        <v xml:space="preserve">Total Services </v>
      </c>
      <c r="D551" s="314">
        <f>SUBTOTAL(9,D515:D550)</f>
        <v>0</v>
      </c>
      <c r="E551" s="314">
        <f t="shared" ref="E551:S551" si="126">SUBTOTAL(9,E515:E550)</f>
        <v>0</v>
      </c>
      <c r="F551" s="314">
        <f t="shared" si="126"/>
        <v>0</v>
      </c>
      <c r="G551" s="314">
        <f t="shared" si="126"/>
        <v>0</v>
      </c>
      <c r="H551" s="314">
        <f t="shared" si="126"/>
        <v>0</v>
      </c>
      <c r="I551" s="314">
        <f t="shared" si="126"/>
        <v>0</v>
      </c>
      <c r="J551" s="314">
        <f t="shared" si="126"/>
        <v>0</v>
      </c>
      <c r="K551" s="314">
        <f t="shared" si="126"/>
        <v>0</v>
      </c>
      <c r="L551" s="314">
        <f t="shared" ca="1" si="126"/>
        <v>0</v>
      </c>
      <c r="M551" s="843">
        <f t="shared" ca="1" si="126"/>
        <v>0</v>
      </c>
      <c r="N551" s="314">
        <f t="shared" ca="1" si="126"/>
        <v>6.5939999999999994</v>
      </c>
      <c r="O551" s="314">
        <f t="shared" ca="1" si="126"/>
        <v>6.7920048583326622</v>
      </c>
      <c r="P551" s="314">
        <f t="shared" ca="1" si="126"/>
        <v>7.9820684775039066</v>
      </c>
      <c r="Q551" s="314">
        <f t="shared" ca="1" si="126"/>
        <v>8.4993800783961948</v>
      </c>
      <c r="R551" s="314">
        <f t="shared" ca="1" si="126"/>
        <v>8.7259301833368159</v>
      </c>
      <c r="S551" s="314">
        <f t="shared" ca="1" si="126"/>
        <v>9.0553163636779175</v>
      </c>
    </row>
    <row r="552" spans="1:19" ht="18">
      <c r="B552" s="251"/>
      <c r="C552" s="255" t="str">
        <f>+'I-3 Allocated'!A40</f>
        <v xml:space="preserve">Other </v>
      </c>
      <c r="D552" s="266"/>
      <c r="E552" s="266"/>
      <c r="F552" s="266"/>
      <c r="G552" s="266"/>
      <c r="H552" s="266"/>
      <c r="I552" s="266"/>
      <c r="J552" s="266"/>
      <c r="K552" s="266"/>
      <c r="L552" s="266"/>
      <c r="M552" s="842"/>
      <c r="N552" s="266"/>
      <c r="O552" s="266"/>
      <c r="P552" s="266"/>
      <c r="Q552" s="266"/>
      <c r="R552" s="266"/>
      <c r="S552" s="266"/>
    </row>
    <row r="553" spans="1:19">
      <c r="A553" s="5"/>
      <c r="B553" s="249" t="str">
        <f ca="1">+'I-4 History'!B544</f>
        <v>A-36</v>
      </c>
      <c r="C553" s="14" t="str">
        <f ca="1">+'I-4 History'!C544</f>
        <v>Employee Bonuses</v>
      </c>
      <c r="D553" s="11"/>
      <c r="E553" s="11"/>
      <c r="F553" s="11"/>
      <c r="G553" s="11"/>
      <c r="H553" s="11"/>
      <c r="I553" s="11"/>
      <c r="J553" s="11"/>
      <c r="K553" s="11"/>
      <c r="L553" s="11"/>
      <c r="M553" s="507"/>
      <c r="N553" s="11"/>
      <c r="O553" s="11"/>
      <c r="P553" s="11"/>
      <c r="Q553" s="11"/>
      <c r="R553" s="11"/>
      <c r="S553" s="11"/>
    </row>
    <row r="554" spans="1:19">
      <c r="B554" s="249"/>
      <c r="C554" s="13" t="s">
        <v>68</v>
      </c>
      <c r="D554" s="312">
        <f>'I-4 History'!D545</f>
        <v>0</v>
      </c>
      <c r="E554" s="312">
        <f>'I-4 History'!E545</f>
        <v>0</v>
      </c>
      <c r="F554" s="312">
        <f>'I-4 History'!F545</f>
        <v>0</v>
      </c>
      <c r="G554" s="312">
        <f>'I-4 History'!G545</f>
        <v>0</v>
      </c>
      <c r="H554" s="312">
        <f>'I-4 History'!H545</f>
        <v>0</v>
      </c>
      <c r="I554" s="312">
        <f>'I-4 History'!I545</f>
        <v>0</v>
      </c>
      <c r="J554" s="312">
        <f>'I-4 History'!J545</f>
        <v>0</v>
      </c>
      <c r="K554" s="312">
        <f>'I-4 History'!K545</f>
        <v>0</v>
      </c>
      <c r="L554" s="310">
        <f ca="1">'A-36'!B$64</f>
        <v>0</v>
      </c>
      <c r="M554" s="835">
        <f ca="1">'A-36'!C$64</f>
        <v>0</v>
      </c>
      <c r="N554" s="312">
        <f ca="1">'A-36'!D$64</f>
        <v>3.403</v>
      </c>
      <c r="O554" s="310">
        <f ca="1">'A-36'!E$64</f>
        <v>3.5129019006195987</v>
      </c>
      <c r="P554" s="310">
        <f ca="1">'A-36'!F$64</f>
        <v>3.6231878056558475</v>
      </c>
      <c r="Q554" s="310">
        <f ca="1">'A-36'!G$64</f>
        <v>3.7404794442640337</v>
      </c>
      <c r="R554" s="310">
        <f ca="1">'A-36'!H$64</f>
        <v>3.8642887103536769</v>
      </c>
      <c r="S554" s="310">
        <f ca="1">'A-36'!I$64</f>
        <v>3.9884237345088773</v>
      </c>
    </row>
    <row r="555" spans="1:19">
      <c r="B555" s="249"/>
      <c r="C555" s="13" t="s">
        <v>69</v>
      </c>
      <c r="D555" s="312">
        <f>'I-4 History'!D546</f>
        <v>0</v>
      </c>
      <c r="E555" s="312">
        <f>'I-4 History'!E546</f>
        <v>0</v>
      </c>
      <c r="F555" s="312">
        <f>'I-4 History'!F546</f>
        <v>0</v>
      </c>
      <c r="G555" s="312">
        <f>'I-4 History'!G546</f>
        <v>0</v>
      </c>
      <c r="H555" s="312">
        <f>'I-4 History'!H546</f>
        <v>0</v>
      </c>
      <c r="I555" s="312">
        <f>'I-4 History'!I546</f>
        <v>0</v>
      </c>
      <c r="J555" s="312">
        <f>'I-4 History'!J546</f>
        <v>0</v>
      </c>
      <c r="K555" s="312">
        <f>'I-4 History'!K546</f>
        <v>0</v>
      </c>
      <c r="L555" s="310">
        <f ca="1">'A-36'!B$65</f>
        <v>0</v>
      </c>
      <c r="M555" s="835">
        <f ca="1">'A-36'!C$65</f>
        <v>0</v>
      </c>
      <c r="N555" s="312">
        <f ca="1">'A-36'!D$65</f>
        <v>0</v>
      </c>
      <c r="O555" s="310">
        <f ca="1">'A-36'!E$65</f>
        <v>0</v>
      </c>
      <c r="P555" s="310">
        <f ca="1">'A-36'!F$65</f>
        <v>0</v>
      </c>
      <c r="Q555" s="310">
        <f ca="1">'A-36'!G$65</f>
        <v>0</v>
      </c>
      <c r="R555" s="310">
        <f ca="1">'A-36'!H$65</f>
        <v>0</v>
      </c>
      <c r="S555" s="310">
        <f ca="1">'A-36'!I$65</f>
        <v>0</v>
      </c>
    </row>
    <row r="556" spans="1:19" s="759" customFormat="1">
      <c r="B556" s="249"/>
      <c r="C556" s="13" t="s">
        <v>646</v>
      </c>
      <c r="D556" s="312">
        <f>'I-4 History'!D547</f>
        <v>0</v>
      </c>
      <c r="E556" s="312">
        <f>'I-4 History'!E547</f>
        <v>0</v>
      </c>
      <c r="F556" s="312">
        <f>'I-4 History'!F547</f>
        <v>0</v>
      </c>
      <c r="G556" s="312">
        <f>'I-4 History'!G547</f>
        <v>0</v>
      </c>
      <c r="H556" s="312">
        <f>'I-4 History'!H547</f>
        <v>0</v>
      </c>
      <c r="I556" s="312">
        <f>'I-4 History'!I547</f>
        <v>0</v>
      </c>
      <c r="J556" s="312">
        <f>'I-4 History'!J547</f>
        <v>0</v>
      </c>
      <c r="K556" s="312">
        <f>'I-4 History'!K547</f>
        <v>0</v>
      </c>
      <c r="L556" s="310">
        <f ca="1">'A-36'!B$66</f>
        <v>0</v>
      </c>
      <c r="M556" s="835">
        <f ca="1">'A-36'!C$66</f>
        <v>0</v>
      </c>
      <c r="N556" s="312">
        <f ca="1">'A-36'!D$66</f>
        <v>0</v>
      </c>
      <c r="O556" s="310">
        <f ca="1">'A-36'!E$66</f>
        <v>0</v>
      </c>
      <c r="P556" s="310">
        <f ca="1">'A-36'!F$66</f>
        <v>0</v>
      </c>
      <c r="Q556" s="310">
        <f ca="1">'A-36'!G$66</f>
        <v>0</v>
      </c>
      <c r="R556" s="310">
        <f ca="1">'A-36'!H$66</f>
        <v>0</v>
      </c>
      <c r="S556" s="310">
        <f ca="1">'A-36'!I$66</f>
        <v>0</v>
      </c>
    </row>
    <row r="557" spans="1:19">
      <c r="B557" s="249"/>
      <c r="C557" s="13" t="s">
        <v>647</v>
      </c>
      <c r="D557" s="312">
        <f>'I-4 History'!D548</f>
        <v>0</v>
      </c>
      <c r="E557" s="312">
        <f>'I-4 History'!E548</f>
        <v>0</v>
      </c>
      <c r="F557" s="312">
        <f>'I-4 History'!F548</f>
        <v>0</v>
      </c>
      <c r="G557" s="312">
        <f>'I-4 History'!G548</f>
        <v>0</v>
      </c>
      <c r="H557" s="312">
        <f>'I-4 History'!H548</f>
        <v>0</v>
      </c>
      <c r="I557" s="312">
        <f>'I-4 History'!I548</f>
        <v>0</v>
      </c>
      <c r="J557" s="312">
        <f>'I-4 History'!J548</f>
        <v>0</v>
      </c>
      <c r="K557" s="312">
        <f>'I-4 History'!K548</f>
        <v>0</v>
      </c>
      <c r="L557" s="310">
        <f ca="1">'A-36'!B$67</f>
        <v>0</v>
      </c>
      <c r="M557" s="835">
        <f ca="1">'A-36'!C$67</f>
        <v>0</v>
      </c>
      <c r="N557" s="312">
        <f ca="1">'A-36'!D$67</f>
        <v>0</v>
      </c>
      <c r="O557" s="310">
        <f ca="1">'A-36'!E$67</f>
        <v>0</v>
      </c>
      <c r="P557" s="310">
        <f ca="1">'A-36'!F$67</f>
        <v>0</v>
      </c>
      <c r="Q557" s="310">
        <f ca="1">'A-36'!G$67</f>
        <v>0</v>
      </c>
      <c r="R557" s="310">
        <f ca="1">'A-36'!H$67</f>
        <v>0</v>
      </c>
      <c r="S557" s="310">
        <f ca="1">'A-36'!I$67</f>
        <v>0</v>
      </c>
    </row>
    <row r="558" spans="1:19" s="759" customFormat="1">
      <c r="B558" s="249"/>
      <c r="C558" s="13" t="s">
        <v>575</v>
      </c>
      <c r="D558" s="312">
        <f>'I-4 History'!D549</f>
        <v>0</v>
      </c>
      <c r="E558" s="312">
        <f>'I-4 History'!E549</f>
        <v>0</v>
      </c>
      <c r="F558" s="312">
        <f>'I-4 History'!F549</f>
        <v>0</v>
      </c>
      <c r="G558" s="312">
        <f>'I-4 History'!G549</f>
        <v>0</v>
      </c>
      <c r="H558" s="312">
        <f>'I-4 History'!H549</f>
        <v>0</v>
      </c>
      <c r="I558" s="312">
        <f>'I-4 History'!I549</f>
        <v>0</v>
      </c>
      <c r="J558" s="312">
        <f>'I-4 History'!J549</f>
        <v>0</v>
      </c>
      <c r="K558" s="312">
        <f>'I-4 History'!K549</f>
        <v>0</v>
      </c>
      <c r="L558" s="310">
        <f ca="1">'A-36'!B$68</f>
        <v>0</v>
      </c>
      <c r="M558" s="835">
        <f ca="1">'A-36'!C$68</f>
        <v>0</v>
      </c>
      <c r="N558" s="312">
        <f ca="1">'A-36'!D$68</f>
        <v>0</v>
      </c>
      <c r="O558" s="310">
        <f ca="1">'A-36'!E$68</f>
        <v>0</v>
      </c>
      <c r="P558" s="310">
        <f ca="1">'A-36'!F$68</f>
        <v>0</v>
      </c>
      <c r="Q558" s="310">
        <f ca="1">'A-36'!G$68</f>
        <v>0</v>
      </c>
      <c r="R558" s="310">
        <f ca="1">'A-36'!H$68</f>
        <v>0</v>
      </c>
      <c r="S558" s="310">
        <f ca="1">'A-36'!I$68</f>
        <v>0</v>
      </c>
    </row>
    <row r="559" spans="1:19">
      <c r="B559" s="249"/>
      <c r="C559" s="13" t="s">
        <v>70</v>
      </c>
      <c r="D559" s="312">
        <f>'I-4 History'!D550</f>
        <v>0</v>
      </c>
      <c r="E559" s="312">
        <f>'I-4 History'!E550</f>
        <v>0</v>
      </c>
      <c r="F559" s="312">
        <f>'I-4 History'!F550</f>
        <v>0</v>
      </c>
      <c r="G559" s="312">
        <f>'I-4 History'!G550</f>
        <v>0</v>
      </c>
      <c r="H559" s="312">
        <f>'I-4 History'!H550</f>
        <v>0</v>
      </c>
      <c r="I559" s="312">
        <f>'I-4 History'!I550</f>
        <v>0</v>
      </c>
      <c r="J559" s="312">
        <f>'I-4 History'!J550</f>
        <v>0</v>
      </c>
      <c r="K559" s="312">
        <f>'I-4 History'!K550</f>
        <v>0</v>
      </c>
      <c r="L559" s="310">
        <f ca="1">'A-36'!B$69</f>
        <v>0</v>
      </c>
      <c r="M559" s="835">
        <f ca="1">'A-36'!C$69</f>
        <v>0</v>
      </c>
      <c r="N559" s="312">
        <f ca="1">'A-36'!D$69</f>
        <v>0</v>
      </c>
      <c r="O559" s="310">
        <f ca="1">'A-36'!E$69</f>
        <v>0</v>
      </c>
      <c r="P559" s="310">
        <f ca="1">'A-36'!F$69</f>
        <v>0</v>
      </c>
      <c r="Q559" s="310">
        <f ca="1">'A-36'!G$69</f>
        <v>0</v>
      </c>
      <c r="R559" s="310">
        <f ca="1">'A-36'!H$69</f>
        <v>0</v>
      </c>
      <c r="S559" s="310">
        <f ca="1">'A-36'!I$69</f>
        <v>0</v>
      </c>
    </row>
    <row r="560" spans="1:19">
      <c r="B560" s="249"/>
      <c r="C560" s="12" t="s">
        <v>75</v>
      </c>
      <c r="D560" s="313">
        <f t="shared" ref="D560:K560" si="127">SUBTOTAL(9,D554:D559)</f>
        <v>0</v>
      </c>
      <c r="E560" s="311">
        <f t="shared" si="127"/>
        <v>0</v>
      </c>
      <c r="F560" s="311">
        <f t="shared" si="127"/>
        <v>0</v>
      </c>
      <c r="G560" s="311">
        <f t="shared" si="127"/>
        <v>0</v>
      </c>
      <c r="H560" s="311">
        <f t="shared" si="127"/>
        <v>0</v>
      </c>
      <c r="I560" s="311">
        <f t="shared" si="127"/>
        <v>0</v>
      </c>
      <c r="J560" s="311">
        <f t="shared" si="127"/>
        <v>0</v>
      </c>
      <c r="K560" s="311">
        <f t="shared" si="127"/>
        <v>0</v>
      </c>
      <c r="L560" s="311">
        <f t="shared" ref="L560:S560" ca="1" si="128">SUBTOTAL(9,L554:L559)</f>
        <v>0</v>
      </c>
      <c r="M560" s="513">
        <f t="shared" ca="1" si="128"/>
        <v>0</v>
      </c>
      <c r="N560" s="313">
        <f t="shared" ca="1" si="128"/>
        <v>3.403</v>
      </c>
      <c r="O560" s="311">
        <f t="shared" ca="1" si="128"/>
        <v>3.5129019006195987</v>
      </c>
      <c r="P560" s="311">
        <f t="shared" ca="1" si="128"/>
        <v>3.6231878056558475</v>
      </c>
      <c r="Q560" s="311">
        <f t="shared" ca="1" si="128"/>
        <v>3.7404794442640337</v>
      </c>
      <c r="R560" s="311">
        <f t="shared" ca="1" si="128"/>
        <v>3.8642887103536769</v>
      </c>
      <c r="S560" s="311">
        <f t="shared" ca="1" si="128"/>
        <v>3.9884237345088773</v>
      </c>
    </row>
    <row r="561" spans="1:19">
      <c r="B561" s="249"/>
      <c r="C561" s="12"/>
      <c r="D561" s="263"/>
      <c r="E561" s="263"/>
      <c r="F561" s="263"/>
      <c r="G561" s="263"/>
      <c r="H561" s="263"/>
      <c r="I561" s="263"/>
      <c r="J561" s="263"/>
      <c r="K561" s="263"/>
      <c r="L561" s="263"/>
      <c r="M561" s="836"/>
      <c r="N561" s="263"/>
      <c r="O561" s="263"/>
      <c r="P561" s="263"/>
      <c r="Q561" s="263"/>
      <c r="R561" s="263"/>
      <c r="S561" s="263"/>
    </row>
    <row r="562" spans="1:19">
      <c r="A562" s="5"/>
      <c r="B562" s="249" t="str">
        <f ca="1">+'I-4 History'!B553</f>
        <v>A-37</v>
      </c>
      <c r="C562" s="14" t="str">
        <f ca="1">+'I-4 History'!C553</f>
        <v>Voluntary Separation Packages (VSP’s)</v>
      </c>
      <c r="D562" s="11"/>
      <c r="E562" s="11"/>
      <c r="F562" s="11"/>
      <c r="G562" s="11"/>
      <c r="H562" s="11"/>
      <c r="I562" s="11"/>
      <c r="J562" s="11"/>
      <c r="K562" s="11"/>
      <c r="L562" s="11"/>
      <c r="M562" s="507"/>
      <c r="N562" s="11"/>
      <c r="O562" s="11"/>
      <c r="P562" s="11"/>
      <c r="Q562" s="11"/>
      <c r="R562" s="11"/>
      <c r="S562" s="11"/>
    </row>
    <row r="563" spans="1:19">
      <c r="B563" s="249"/>
      <c r="C563" s="13" t="s">
        <v>68</v>
      </c>
      <c r="D563" s="312">
        <f>'I-4 History'!D554</f>
        <v>0</v>
      </c>
      <c r="E563" s="312">
        <f>'I-4 History'!E554</f>
        <v>0</v>
      </c>
      <c r="F563" s="312">
        <f>'I-4 History'!F554</f>
        <v>0</v>
      </c>
      <c r="G563" s="312">
        <f>'I-4 History'!G554</f>
        <v>0</v>
      </c>
      <c r="H563" s="312">
        <f>'I-4 History'!H554</f>
        <v>0</v>
      </c>
      <c r="I563" s="312">
        <f>'I-4 History'!I554</f>
        <v>0</v>
      </c>
      <c r="J563" s="312">
        <f>'I-4 History'!J554</f>
        <v>0</v>
      </c>
      <c r="K563" s="312">
        <f>'I-4 History'!K554</f>
        <v>0</v>
      </c>
      <c r="L563" s="310">
        <f ca="1">'A-37'!B$64</f>
        <v>0</v>
      </c>
      <c r="M563" s="835">
        <f ca="1">'A-37'!C$64</f>
        <v>0</v>
      </c>
      <c r="N563" s="312">
        <f ca="1">'A-37'!D$64</f>
        <v>0.40400000000000003</v>
      </c>
      <c r="O563" s="310">
        <f ca="1">'A-37'!E$64</f>
        <v>0.41704741929189482</v>
      </c>
      <c r="P563" s="310">
        <f ca="1">'A-37'!F$64</f>
        <v>0.4301404271187077</v>
      </c>
      <c r="Q563" s="310">
        <f ca="1">'A-37'!G$64</f>
        <v>0.44406514707101669</v>
      </c>
      <c r="R563" s="310">
        <f ca="1">'A-37'!H$64</f>
        <v>0.45876363179044538</v>
      </c>
      <c r="S563" s="310">
        <f ca="1">'A-37'!I$64</f>
        <v>0.47350079010919383</v>
      </c>
    </row>
    <row r="564" spans="1:19">
      <c r="B564" s="249"/>
      <c r="C564" s="13" t="s">
        <v>69</v>
      </c>
      <c r="D564" s="312">
        <f>'I-4 History'!D555</f>
        <v>0</v>
      </c>
      <c r="E564" s="312">
        <f>'I-4 History'!E555</f>
        <v>0</v>
      </c>
      <c r="F564" s="312">
        <f>'I-4 History'!F555</f>
        <v>0</v>
      </c>
      <c r="G564" s="312">
        <f>'I-4 History'!G555</f>
        <v>0</v>
      </c>
      <c r="H564" s="312">
        <f>'I-4 History'!H555</f>
        <v>0</v>
      </c>
      <c r="I564" s="312">
        <f>'I-4 History'!I555</f>
        <v>0</v>
      </c>
      <c r="J564" s="312">
        <f>'I-4 History'!J555</f>
        <v>0</v>
      </c>
      <c r="K564" s="312">
        <f>'I-4 History'!K555</f>
        <v>0</v>
      </c>
      <c r="L564" s="310">
        <f ca="1">'A-37'!B$65</f>
        <v>0</v>
      </c>
      <c r="M564" s="835">
        <f ca="1">'A-37'!C$65</f>
        <v>0</v>
      </c>
      <c r="N564" s="312">
        <f ca="1">'A-37'!D$65</f>
        <v>0</v>
      </c>
      <c r="O564" s="310">
        <f ca="1">'A-37'!E$65</f>
        <v>0</v>
      </c>
      <c r="P564" s="310">
        <f ca="1">'A-37'!F$65</f>
        <v>0</v>
      </c>
      <c r="Q564" s="310">
        <f ca="1">'A-37'!G$65</f>
        <v>0</v>
      </c>
      <c r="R564" s="310">
        <f ca="1">'A-37'!H$65</f>
        <v>0</v>
      </c>
      <c r="S564" s="310">
        <f ca="1">'A-37'!I$65</f>
        <v>0</v>
      </c>
    </row>
    <row r="565" spans="1:19" s="759" customFormat="1">
      <c r="B565" s="249"/>
      <c r="C565" s="13" t="s">
        <v>646</v>
      </c>
      <c r="D565" s="312">
        <f>'I-4 History'!D556</f>
        <v>0</v>
      </c>
      <c r="E565" s="312">
        <f>'I-4 History'!E556</f>
        <v>0</v>
      </c>
      <c r="F565" s="312">
        <f>'I-4 History'!F556</f>
        <v>0</v>
      </c>
      <c r="G565" s="312">
        <f>'I-4 History'!G556</f>
        <v>0</v>
      </c>
      <c r="H565" s="312">
        <f>'I-4 History'!H556</f>
        <v>0</v>
      </c>
      <c r="I565" s="312">
        <f>'I-4 History'!I556</f>
        <v>0</v>
      </c>
      <c r="J565" s="312">
        <f>'I-4 History'!J556</f>
        <v>0</v>
      </c>
      <c r="K565" s="312">
        <f>'I-4 History'!K556</f>
        <v>0</v>
      </c>
      <c r="L565" s="310">
        <f ca="1">'A-37'!B$66</f>
        <v>0</v>
      </c>
      <c r="M565" s="835">
        <f ca="1">'A-37'!C$66</f>
        <v>0</v>
      </c>
      <c r="N565" s="312">
        <f ca="1">'A-37'!D$66</f>
        <v>0</v>
      </c>
      <c r="O565" s="310">
        <f ca="1">'A-37'!E$66</f>
        <v>0</v>
      </c>
      <c r="P565" s="310">
        <f ca="1">'A-37'!F$66</f>
        <v>0</v>
      </c>
      <c r="Q565" s="310">
        <f ca="1">'A-37'!G$66</f>
        <v>0</v>
      </c>
      <c r="R565" s="310">
        <f ca="1">'A-37'!H$66</f>
        <v>0</v>
      </c>
      <c r="S565" s="310">
        <f ca="1">'A-37'!I$66</f>
        <v>0</v>
      </c>
    </row>
    <row r="566" spans="1:19">
      <c r="B566" s="249"/>
      <c r="C566" s="13" t="s">
        <v>647</v>
      </c>
      <c r="D566" s="312">
        <f>'I-4 History'!D557</f>
        <v>0</v>
      </c>
      <c r="E566" s="312">
        <f>'I-4 History'!E557</f>
        <v>0</v>
      </c>
      <c r="F566" s="312">
        <f>'I-4 History'!F557</f>
        <v>0</v>
      </c>
      <c r="G566" s="312">
        <f>'I-4 History'!G557</f>
        <v>0</v>
      </c>
      <c r="H566" s="312">
        <f>'I-4 History'!H557</f>
        <v>0</v>
      </c>
      <c r="I566" s="312">
        <f>'I-4 History'!I557</f>
        <v>0</v>
      </c>
      <c r="J566" s="312">
        <f>'I-4 History'!J557</f>
        <v>0</v>
      </c>
      <c r="K566" s="312">
        <f>'I-4 History'!K557</f>
        <v>0</v>
      </c>
      <c r="L566" s="310">
        <f ca="1">'A-37'!B$67</f>
        <v>0</v>
      </c>
      <c r="M566" s="835">
        <f ca="1">'A-37'!C$67</f>
        <v>0</v>
      </c>
      <c r="N566" s="312">
        <f ca="1">'A-37'!D$67</f>
        <v>0</v>
      </c>
      <c r="O566" s="310">
        <f ca="1">'A-37'!E$67</f>
        <v>0</v>
      </c>
      <c r="P566" s="310">
        <f ca="1">'A-37'!F$67</f>
        <v>0</v>
      </c>
      <c r="Q566" s="310">
        <f ca="1">'A-37'!G$67</f>
        <v>0</v>
      </c>
      <c r="R566" s="310">
        <f ca="1">'A-37'!H$67</f>
        <v>0</v>
      </c>
      <c r="S566" s="310">
        <f ca="1">'A-37'!I$67</f>
        <v>0</v>
      </c>
    </row>
    <row r="567" spans="1:19" s="759" customFormat="1">
      <c r="B567" s="249"/>
      <c r="C567" s="13" t="s">
        <v>575</v>
      </c>
      <c r="D567" s="312">
        <f>'I-4 History'!D558</f>
        <v>0</v>
      </c>
      <c r="E567" s="312">
        <f>'I-4 History'!E558</f>
        <v>0</v>
      </c>
      <c r="F567" s="312">
        <f>'I-4 History'!F558</f>
        <v>0</v>
      </c>
      <c r="G567" s="312">
        <f>'I-4 History'!G558</f>
        <v>0</v>
      </c>
      <c r="H567" s="312">
        <f>'I-4 History'!H558</f>
        <v>0</v>
      </c>
      <c r="I567" s="312">
        <f>'I-4 History'!I558</f>
        <v>0</v>
      </c>
      <c r="J567" s="312">
        <f>'I-4 History'!J558</f>
        <v>0</v>
      </c>
      <c r="K567" s="312">
        <f>'I-4 History'!K558</f>
        <v>0</v>
      </c>
      <c r="L567" s="310">
        <f ca="1">'A-37'!B$68</f>
        <v>0</v>
      </c>
      <c r="M567" s="835">
        <f ca="1">'A-37'!C$68</f>
        <v>0</v>
      </c>
      <c r="N567" s="312">
        <f ca="1">'A-37'!D$68</f>
        <v>0</v>
      </c>
      <c r="O567" s="310">
        <f ca="1">'A-37'!E$68</f>
        <v>0</v>
      </c>
      <c r="P567" s="310">
        <f ca="1">'A-37'!F$68</f>
        <v>0</v>
      </c>
      <c r="Q567" s="310">
        <f ca="1">'A-37'!G$68</f>
        <v>0</v>
      </c>
      <c r="R567" s="310">
        <f ca="1">'A-37'!H$68</f>
        <v>0</v>
      </c>
      <c r="S567" s="310">
        <f ca="1">'A-37'!I$68</f>
        <v>0</v>
      </c>
    </row>
    <row r="568" spans="1:19">
      <c r="B568" s="249"/>
      <c r="C568" s="13" t="s">
        <v>70</v>
      </c>
      <c r="D568" s="312">
        <f>'I-4 History'!D559</f>
        <v>0</v>
      </c>
      <c r="E568" s="312">
        <f>'I-4 History'!E559</f>
        <v>0</v>
      </c>
      <c r="F568" s="312">
        <f>'I-4 History'!F559</f>
        <v>0</v>
      </c>
      <c r="G568" s="312">
        <f>'I-4 History'!G559</f>
        <v>0</v>
      </c>
      <c r="H568" s="312">
        <f>'I-4 History'!H559</f>
        <v>0</v>
      </c>
      <c r="I568" s="312">
        <f>'I-4 History'!I559</f>
        <v>0</v>
      </c>
      <c r="J568" s="312">
        <f>'I-4 History'!J559</f>
        <v>0</v>
      </c>
      <c r="K568" s="312">
        <f>'I-4 History'!K559</f>
        <v>0</v>
      </c>
      <c r="L568" s="310">
        <f ca="1">'A-37'!B$69</f>
        <v>0</v>
      </c>
      <c r="M568" s="835">
        <f ca="1">'A-37'!C$69</f>
        <v>0</v>
      </c>
      <c r="N568" s="312">
        <f ca="1">'A-37'!D$69</f>
        <v>0</v>
      </c>
      <c r="O568" s="310">
        <f ca="1">'A-37'!E$69</f>
        <v>0</v>
      </c>
      <c r="P568" s="310">
        <f ca="1">'A-37'!F$69</f>
        <v>0</v>
      </c>
      <c r="Q568" s="310">
        <f ca="1">'A-37'!G$69</f>
        <v>0</v>
      </c>
      <c r="R568" s="310">
        <f ca="1">'A-37'!H$69</f>
        <v>0</v>
      </c>
      <c r="S568" s="310">
        <f ca="1">'A-37'!I$69</f>
        <v>0</v>
      </c>
    </row>
    <row r="569" spans="1:19">
      <c r="B569" s="249"/>
      <c r="C569" s="12" t="s">
        <v>75</v>
      </c>
      <c r="D569" s="313">
        <f t="shared" ref="D569:K569" si="129">SUBTOTAL(9,D563:D568)</f>
        <v>0</v>
      </c>
      <c r="E569" s="311">
        <f t="shared" si="129"/>
        <v>0</v>
      </c>
      <c r="F569" s="311">
        <f t="shared" si="129"/>
        <v>0</v>
      </c>
      <c r="G569" s="311">
        <f t="shared" si="129"/>
        <v>0</v>
      </c>
      <c r="H569" s="311">
        <f t="shared" si="129"/>
        <v>0</v>
      </c>
      <c r="I569" s="311">
        <f t="shared" si="129"/>
        <v>0</v>
      </c>
      <c r="J569" s="311">
        <f t="shared" si="129"/>
        <v>0</v>
      </c>
      <c r="K569" s="311">
        <f t="shared" si="129"/>
        <v>0</v>
      </c>
      <c r="L569" s="311">
        <f t="shared" ref="L569:S569" ca="1" si="130">SUBTOTAL(9,L563:L568)</f>
        <v>0</v>
      </c>
      <c r="M569" s="513">
        <f t="shared" ca="1" si="130"/>
        <v>0</v>
      </c>
      <c r="N569" s="313">
        <f t="shared" ca="1" si="130"/>
        <v>0.40400000000000003</v>
      </c>
      <c r="O569" s="311">
        <f t="shared" ca="1" si="130"/>
        <v>0.41704741929189482</v>
      </c>
      <c r="P569" s="311">
        <f t="shared" ca="1" si="130"/>
        <v>0.4301404271187077</v>
      </c>
      <c r="Q569" s="311">
        <f t="shared" ca="1" si="130"/>
        <v>0.44406514707101669</v>
      </c>
      <c r="R569" s="311">
        <f t="shared" ca="1" si="130"/>
        <v>0.45876363179044538</v>
      </c>
      <c r="S569" s="311">
        <f t="shared" ca="1" si="130"/>
        <v>0.47350079010919383</v>
      </c>
    </row>
    <row r="570" spans="1:19">
      <c r="B570" s="249"/>
      <c r="C570" s="12"/>
      <c r="D570" s="263"/>
      <c r="E570" s="263"/>
      <c r="F570" s="263"/>
      <c r="G570" s="263"/>
      <c r="H570" s="263"/>
      <c r="I570" s="263"/>
      <c r="J570" s="263"/>
      <c r="K570" s="263"/>
      <c r="L570" s="263"/>
      <c r="M570" s="836"/>
      <c r="N570" s="263"/>
      <c r="O570" s="263"/>
      <c r="P570" s="263"/>
      <c r="Q570" s="263"/>
      <c r="R570" s="263"/>
      <c r="S570" s="263"/>
    </row>
    <row r="571" spans="1:19">
      <c r="A571" s="5"/>
      <c r="B571" s="249" t="str">
        <f ca="1">+'I-4 History'!B562</f>
        <v>A-38</v>
      </c>
      <c r="C571" s="14" t="str">
        <f ca="1">+'I-4 History'!C562</f>
        <v>Superannuation</v>
      </c>
      <c r="D571" s="11"/>
      <c r="E571" s="11"/>
      <c r="F571" s="11"/>
      <c r="G571" s="11"/>
      <c r="H571" s="11"/>
      <c r="I571" s="11"/>
      <c r="J571" s="11"/>
      <c r="K571" s="11"/>
      <c r="L571" s="11"/>
      <c r="M571" s="507"/>
      <c r="N571" s="11"/>
      <c r="O571" s="11"/>
      <c r="P571" s="11"/>
      <c r="Q571" s="11"/>
      <c r="R571" s="11"/>
      <c r="S571" s="11"/>
    </row>
    <row r="572" spans="1:19">
      <c r="B572" s="249"/>
      <c r="C572" s="13" t="s">
        <v>68</v>
      </c>
      <c r="D572" s="312">
        <f>'I-4 History'!D563</f>
        <v>0</v>
      </c>
      <c r="E572" s="312">
        <f>'I-4 History'!E563</f>
        <v>0</v>
      </c>
      <c r="F572" s="312">
        <f>'I-4 History'!F563</f>
        <v>0</v>
      </c>
      <c r="G572" s="312">
        <f>'I-4 History'!G563</f>
        <v>0</v>
      </c>
      <c r="H572" s="312">
        <f>'I-4 History'!H563</f>
        <v>0</v>
      </c>
      <c r="I572" s="312">
        <f>'I-4 History'!I563</f>
        <v>0</v>
      </c>
      <c r="J572" s="312">
        <f>'I-4 History'!J563</f>
        <v>0</v>
      </c>
      <c r="K572" s="312">
        <f>'I-4 History'!K563</f>
        <v>0</v>
      </c>
      <c r="L572" s="310">
        <f ca="1">'A-38'!B$64</f>
        <v>0</v>
      </c>
      <c r="M572" s="835">
        <f ca="1">'A-38'!C$64</f>
        <v>0</v>
      </c>
      <c r="N572" s="312">
        <f ca="1">'A-38'!D$64</f>
        <v>-4.0670000000000002</v>
      </c>
      <c r="O572" s="310">
        <f ca="1">'A-38'!E$64</f>
        <v>-4.1983461739112276</v>
      </c>
      <c r="P572" s="310">
        <f ca="1">'A-38'!F$64</f>
        <v>-4.3301512799301598</v>
      </c>
      <c r="Q572" s="310">
        <f ca="1">'A-38'!G$64</f>
        <v>-4.4703290919253087</v>
      </c>
      <c r="R572" s="310">
        <f ca="1">'A-38'!H$64</f>
        <v>-4.618296263593419</v>
      </c>
      <c r="S572" s="310">
        <f ca="1">'A-38'!I$64</f>
        <v>-4.7666527558764633</v>
      </c>
    </row>
    <row r="573" spans="1:19">
      <c r="B573" s="249"/>
      <c r="C573" s="13" t="s">
        <v>69</v>
      </c>
      <c r="D573" s="312">
        <f>'I-4 History'!D564</f>
        <v>0</v>
      </c>
      <c r="E573" s="312">
        <f>'I-4 History'!E564</f>
        <v>0</v>
      </c>
      <c r="F573" s="312">
        <f>'I-4 History'!F564</f>
        <v>0</v>
      </c>
      <c r="G573" s="312">
        <f>'I-4 History'!G564</f>
        <v>0</v>
      </c>
      <c r="H573" s="312">
        <f>'I-4 History'!H564</f>
        <v>0</v>
      </c>
      <c r="I573" s="312">
        <f>'I-4 History'!I564</f>
        <v>0</v>
      </c>
      <c r="J573" s="312">
        <f>'I-4 History'!J564</f>
        <v>0</v>
      </c>
      <c r="K573" s="312">
        <f>'I-4 History'!K564</f>
        <v>0</v>
      </c>
      <c r="L573" s="310">
        <f ca="1">'A-38'!B$65</f>
        <v>0</v>
      </c>
      <c r="M573" s="835">
        <f ca="1">'A-38'!C$65</f>
        <v>0</v>
      </c>
      <c r="N573" s="312">
        <f ca="1">'A-38'!D$65</f>
        <v>0</v>
      </c>
      <c r="O573" s="310">
        <f ca="1">'A-38'!E$65</f>
        <v>0</v>
      </c>
      <c r="P573" s="310">
        <f ca="1">'A-38'!F$65</f>
        <v>0</v>
      </c>
      <c r="Q573" s="310">
        <f ca="1">'A-38'!G$65</f>
        <v>0</v>
      </c>
      <c r="R573" s="310">
        <f ca="1">'A-38'!H$65</f>
        <v>0</v>
      </c>
      <c r="S573" s="310">
        <f ca="1">'A-38'!I$65</f>
        <v>0</v>
      </c>
    </row>
    <row r="574" spans="1:19" s="759" customFormat="1">
      <c r="B574" s="249"/>
      <c r="C574" s="13" t="s">
        <v>646</v>
      </c>
      <c r="D574" s="312">
        <f>'I-4 History'!D565</f>
        <v>0</v>
      </c>
      <c r="E574" s="312">
        <f>'I-4 History'!E565</f>
        <v>0</v>
      </c>
      <c r="F574" s="312">
        <f>'I-4 History'!F565</f>
        <v>0</v>
      </c>
      <c r="G574" s="312">
        <f>'I-4 History'!G565</f>
        <v>0</v>
      </c>
      <c r="H574" s="312">
        <f>'I-4 History'!H565</f>
        <v>0</v>
      </c>
      <c r="I574" s="312">
        <f>'I-4 History'!I565</f>
        <v>0</v>
      </c>
      <c r="J574" s="312">
        <f>'I-4 History'!J565</f>
        <v>0</v>
      </c>
      <c r="K574" s="312">
        <f>'I-4 History'!K565</f>
        <v>0</v>
      </c>
      <c r="L574" s="310">
        <f ca="1">'A-38'!B$66</f>
        <v>0</v>
      </c>
      <c r="M574" s="835">
        <f ca="1">'A-38'!C$66</f>
        <v>0</v>
      </c>
      <c r="N574" s="312">
        <f ca="1">'A-38'!D$66</f>
        <v>0</v>
      </c>
      <c r="O574" s="310">
        <f ca="1">'A-38'!E$66</f>
        <v>0</v>
      </c>
      <c r="P574" s="310">
        <f ca="1">'A-38'!F$66</f>
        <v>0</v>
      </c>
      <c r="Q574" s="310">
        <f ca="1">'A-38'!G$66</f>
        <v>0</v>
      </c>
      <c r="R574" s="310">
        <f ca="1">'A-38'!H$66</f>
        <v>0</v>
      </c>
      <c r="S574" s="310">
        <f ca="1">'A-38'!I$66</f>
        <v>0</v>
      </c>
    </row>
    <row r="575" spans="1:19">
      <c r="B575" s="249"/>
      <c r="C575" s="13" t="s">
        <v>647</v>
      </c>
      <c r="D575" s="312">
        <f>'I-4 History'!D566</f>
        <v>0</v>
      </c>
      <c r="E575" s="312">
        <f>'I-4 History'!E566</f>
        <v>0</v>
      </c>
      <c r="F575" s="312">
        <f>'I-4 History'!F566</f>
        <v>0</v>
      </c>
      <c r="G575" s="312">
        <f>'I-4 History'!G566</f>
        <v>0</v>
      </c>
      <c r="H575" s="312">
        <f>'I-4 History'!H566</f>
        <v>0</v>
      </c>
      <c r="I575" s="312">
        <f>'I-4 History'!I566</f>
        <v>0</v>
      </c>
      <c r="J575" s="312">
        <f>'I-4 History'!J566</f>
        <v>0</v>
      </c>
      <c r="K575" s="312">
        <f>'I-4 History'!K566</f>
        <v>0</v>
      </c>
      <c r="L575" s="310">
        <f ca="1">'A-38'!B$67</f>
        <v>0</v>
      </c>
      <c r="M575" s="835">
        <f ca="1">'A-38'!C$67</f>
        <v>0</v>
      </c>
      <c r="N575" s="312">
        <f ca="1">'A-38'!D$67</f>
        <v>0</v>
      </c>
      <c r="O575" s="310">
        <f ca="1">'A-38'!E$67</f>
        <v>0</v>
      </c>
      <c r="P575" s="310">
        <f ca="1">'A-38'!F$67</f>
        <v>0</v>
      </c>
      <c r="Q575" s="310">
        <f ca="1">'A-38'!G$67</f>
        <v>0</v>
      </c>
      <c r="R575" s="310">
        <f ca="1">'A-38'!H$67</f>
        <v>0</v>
      </c>
      <c r="S575" s="310">
        <f ca="1">'A-38'!I$67</f>
        <v>0</v>
      </c>
    </row>
    <row r="576" spans="1:19" s="759" customFormat="1">
      <c r="B576" s="249"/>
      <c r="C576" s="13" t="s">
        <v>575</v>
      </c>
      <c r="D576" s="312">
        <f>'I-4 History'!D567</f>
        <v>0</v>
      </c>
      <c r="E576" s="312">
        <f>'I-4 History'!E567</f>
        <v>0</v>
      </c>
      <c r="F576" s="312">
        <f>'I-4 History'!F567</f>
        <v>0</v>
      </c>
      <c r="G576" s="312">
        <f>'I-4 History'!G567</f>
        <v>0</v>
      </c>
      <c r="H576" s="312">
        <f>'I-4 History'!H567</f>
        <v>0</v>
      </c>
      <c r="I576" s="312">
        <f>'I-4 History'!I567</f>
        <v>0</v>
      </c>
      <c r="J576" s="312">
        <f>'I-4 History'!J567</f>
        <v>0</v>
      </c>
      <c r="K576" s="312">
        <f>'I-4 History'!K567</f>
        <v>0</v>
      </c>
      <c r="L576" s="310">
        <f ca="1">'A-38'!B$68</f>
        <v>0</v>
      </c>
      <c r="M576" s="835">
        <f ca="1">'A-38'!C$68</f>
        <v>0</v>
      </c>
      <c r="N576" s="312">
        <f ca="1">'A-38'!D$68</f>
        <v>0</v>
      </c>
      <c r="O576" s="310">
        <f ca="1">'A-38'!E$68</f>
        <v>0</v>
      </c>
      <c r="P576" s="310">
        <f ca="1">'A-38'!F$68</f>
        <v>0</v>
      </c>
      <c r="Q576" s="310">
        <f ca="1">'A-38'!G$68</f>
        <v>0</v>
      </c>
      <c r="R576" s="310">
        <f ca="1">'A-38'!H$68</f>
        <v>0</v>
      </c>
      <c r="S576" s="310">
        <f ca="1">'A-38'!I$68</f>
        <v>0</v>
      </c>
    </row>
    <row r="577" spans="1:19">
      <c r="B577" s="249"/>
      <c r="C577" s="13" t="s">
        <v>70</v>
      </c>
      <c r="D577" s="312">
        <f>'I-4 History'!D568</f>
        <v>0</v>
      </c>
      <c r="E577" s="312">
        <f>'I-4 History'!E568</f>
        <v>0</v>
      </c>
      <c r="F577" s="312">
        <f>'I-4 History'!F568</f>
        <v>0</v>
      </c>
      <c r="G577" s="312">
        <f>'I-4 History'!G568</f>
        <v>0</v>
      </c>
      <c r="H577" s="312">
        <f>'I-4 History'!H568</f>
        <v>0</v>
      </c>
      <c r="I577" s="312">
        <f>'I-4 History'!I568</f>
        <v>0</v>
      </c>
      <c r="J577" s="312">
        <f>'I-4 History'!J568</f>
        <v>0</v>
      </c>
      <c r="K577" s="312">
        <f>'I-4 History'!K568</f>
        <v>0</v>
      </c>
      <c r="L577" s="310">
        <f ca="1">'A-38'!B$69</f>
        <v>0</v>
      </c>
      <c r="M577" s="835">
        <f ca="1">'A-38'!C$69</f>
        <v>0</v>
      </c>
      <c r="N577" s="312">
        <f ca="1">'A-38'!D$69</f>
        <v>0</v>
      </c>
      <c r="O577" s="310">
        <f ca="1">'A-38'!E$69</f>
        <v>0</v>
      </c>
      <c r="P577" s="310">
        <f ca="1">'A-38'!F$69</f>
        <v>0</v>
      </c>
      <c r="Q577" s="310">
        <f ca="1">'A-38'!G$69</f>
        <v>0</v>
      </c>
      <c r="R577" s="310">
        <f ca="1">'A-38'!H$69</f>
        <v>0</v>
      </c>
      <c r="S577" s="310">
        <f ca="1">'A-38'!I$69</f>
        <v>0</v>
      </c>
    </row>
    <row r="578" spans="1:19">
      <c r="B578" s="249"/>
      <c r="C578" s="12" t="s">
        <v>75</v>
      </c>
      <c r="D578" s="313">
        <f t="shared" ref="D578:K578" si="131">SUBTOTAL(9,D572:D577)</f>
        <v>0</v>
      </c>
      <c r="E578" s="311">
        <f t="shared" si="131"/>
        <v>0</v>
      </c>
      <c r="F578" s="311">
        <f t="shared" si="131"/>
        <v>0</v>
      </c>
      <c r="G578" s="311">
        <f t="shared" si="131"/>
        <v>0</v>
      </c>
      <c r="H578" s="311">
        <f t="shared" si="131"/>
        <v>0</v>
      </c>
      <c r="I578" s="311">
        <f t="shared" si="131"/>
        <v>0</v>
      </c>
      <c r="J578" s="311">
        <f t="shared" si="131"/>
        <v>0</v>
      </c>
      <c r="K578" s="311">
        <f t="shared" si="131"/>
        <v>0</v>
      </c>
      <c r="L578" s="311">
        <f t="shared" ref="L578:S578" ca="1" si="132">SUBTOTAL(9,L572:L577)</f>
        <v>0</v>
      </c>
      <c r="M578" s="513">
        <f t="shared" ca="1" si="132"/>
        <v>0</v>
      </c>
      <c r="N578" s="313">
        <f t="shared" ca="1" si="132"/>
        <v>-4.0670000000000002</v>
      </c>
      <c r="O578" s="311">
        <f t="shared" ca="1" si="132"/>
        <v>-4.1983461739112276</v>
      </c>
      <c r="P578" s="311">
        <f t="shared" ca="1" si="132"/>
        <v>-4.3301512799301598</v>
      </c>
      <c r="Q578" s="311">
        <f t="shared" ca="1" si="132"/>
        <v>-4.4703290919253087</v>
      </c>
      <c r="R578" s="311">
        <f t="shared" ca="1" si="132"/>
        <v>-4.618296263593419</v>
      </c>
      <c r="S578" s="311">
        <f t="shared" ca="1" si="132"/>
        <v>-4.7666527558764633</v>
      </c>
    </row>
    <row r="579" spans="1:19">
      <c r="B579" s="249"/>
      <c r="C579" s="12"/>
      <c r="D579" s="263"/>
      <c r="E579" s="263"/>
      <c r="F579" s="263"/>
      <c r="G579" s="263"/>
      <c r="H579" s="263"/>
      <c r="I579" s="263"/>
      <c r="J579" s="263"/>
      <c r="K579" s="263"/>
      <c r="L579" s="263"/>
      <c r="M579" s="836"/>
      <c r="N579" s="263"/>
      <c r="O579" s="263"/>
      <c r="P579" s="263"/>
      <c r="Q579" s="263"/>
      <c r="R579" s="263"/>
      <c r="S579" s="263"/>
    </row>
    <row r="580" spans="1:19">
      <c r="A580" s="5"/>
      <c r="B580" s="249" t="str">
        <f ca="1">+'I-4 History'!B571</f>
        <v>A-39</v>
      </c>
      <c r="C580" s="14" t="str">
        <f ca="1">+'I-4 History'!C571</f>
        <v>Self Insurance</v>
      </c>
      <c r="D580" s="11"/>
      <c r="E580" s="11"/>
      <c r="F580" s="11"/>
      <c r="G580" s="11"/>
      <c r="H580" s="11"/>
      <c r="I580" s="11"/>
      <c r="J580" s="11"/>
      <c r="K580" s="11"/>
      <c r="L580" s="11"/>
      <c r="M580" s="507"/>
      <c r="N580" s="11"/>
      <c r="O580" s="11"/>
      <c r="P580" s="11"/>
      <c r="Q580" s="11"/>
      <c r="R580" s="11"/>
      <c r="S580" s="11"/>
    </row>
    <row r="581" spans="1:19">
      <c r="B581" s="249"/>
      <c r="C581" s="13" t="s">
        <v>68</v>
      </c>
      <c r="D581" s="312">
        <f>'I-4 History'!D572</f>
        <v>0</v>
      </c>
      <c r="E581" s="312">
        <f>'I-4 History'!E572</f>
        <v>0</v>
      </c>
      <c r="F581" s="312">
        <f>'I-4 History'!F572</f>
        <v>0</v>
      </c>
      <c r="G581" s="312">
        <f>'I-4 History'!G572</f>
        <v>0</v>
      </c>
      <c r="H581" s="312">
        <f>'I-4 History'!H572</f>
        <v>0</v>
      </c>
      <c r="I581" s="312">
        <f>'I-4 History'!I572</f>
        <v>0</v>
      </c>
      <c r="J581" s="312">
        <f>'I-4 History'!J572</f>
        <v>0</v>
      </c>
      <c r="K581" s="312">
        <f>'I-4 History'!K572</f>
        <v>0</v>
      </c>
      <c r="L581" s="310">
        <f ca="1">'A-39'!B$64</f>
        <v>0</v>
      </c>
      <c r="M581" s="835">
        <f ca="1">'A-39'!C$64</f>
        <v>0</v>
      </c>
      <c r="N581" s="312">
        <f ca="1">'A-39'!D$64</f>
        <v>0</v>
      </c>
      <c r="O581" s="310">
        <f ca="1">'A-39'!E$64</f>
        <v>0</v>
      </c>
      <c r="P581" s="310">
        <f ca="1">'A-39'!F$64</f>
        <v>0</v>
      </c>
      <c r="Q581" s="310">
        <f ca="1">'A-39'!G$64</f>
        <v>0</v>
      </c>
      <c r="R581" s="310">
        <f ca="1">'A-39'!H$64</f>
        <v>0</v>
      </c>
      <c r="S581" s="310">
        <f ca="1">'A-39'!I$64</f>
        <v>0</v>
      </c>
    </row>
    <row r="582" spans="1:19">
      <c r="B582" s="249"/>
      <c r="C582" s="13" t="s">
        <v>69</v>
      </c>
      <c r="D582" s="312">
        <f>'I-4 History'!D573</f>
        <v>0</v>
      </c>
      <c r="E582" s="312">
        <f>'I-4 History'!E573</f>
        <v>0</v>
      </c>
      <c r="F582" s="312">
        <f>'I-4 History'!F573</f>
        <v>0</v>
      </c>
      <c r="G582" s="312">
        <f>'I-4 History'!G573</f>
        <v>0</v>
      </c>
      <c r="H582" s="312">
        <f>'I-4 History'!H573</f>
        <v>0</v>
      </c>
      <c r="I582" s="312">
        <f>'I-4 History'!I573</f>
        <v>0</v>
      </c>
      <c r="J582" s="312">
        <f>'I-4 History'!J573</f>
        <v>0</v>
      </c>
      <c r="K582" s="312">
        <f>'I-4 History'!K573</f>
        <v>0</v>
      </c>
      <c r="L582" s="310">
        <f ca="1">'A-39'!B$65</f>
        <v>0</v>
      </c>
      <c r="M582" s="835">
        <f ca="1">'A-39'!C$65</f>
        <v>0</v>
      </c>
      <c r="N582" s="312">
        <f ca="1">'A-39'!D$65</f>
        <v>0</v>
      </c>
      <c r="O582" s="310">
        <f ca="1">'A-39'!E$65</f>
        <v>0</v>
      </c>
      <c r="P582" s="310">
        <f ca="1">'A-39'!F$65</f>
        <v>0</v>
      </c>
      <c r="Q582" s="310">
        <f ca="1">'A-39'!G$65</f>
        <v>0</v>
      </c>
      <c r="R582" s="310">
        <f ca="1">'A-39'!H$65</f>
        <v>0</v>
      </c>
      <c r="S582" s="310">
        <f ca="1">'A-39'!I$65</f>
        <v>0</v>
      </c>
    </row>
    <row r="583" spans="1:19" s="759" customFormat="1">
      <c r="B583" s="249"/>
      <c r="C583" s="13" t="s">
        <v>646</v>
      </c>
      <c r="D583" s="312">
        <f>'I-4 History'!D574</f>
        <v>0</v>
      </c>
      <c r="E583" s="312">
        <f>'I-4 History'!E574</f>
        <v>0</v>
      </c>
      <c r="F583" s="312">
        <f>'I-4 History'!F574</f>
        <v>0</v>
      </c>
      <c r="G583" s="312">
        <f>'I-4 History'!G574</f>
        <v>0</v>
      </c>
      <c r="H583" s="312">
        <f>'I-4 History'!H574</f>
        <v>0</v>
      </c>
      <c r="I583" s="312">
        <f>'I-4 History'!I574</f>
        <v>0</v>
      </c>
      <c r="J583" s="312">
        <f>'I-4 History'!J574</f>
        <v>0</v>
      </c>
      <c r="K583" s="312">
        <f>'I-4 History'!K574</f>
        <v>0</v>
      </c>
      <c r="L583" s="310">
        <f ca="1">'A-39'!B$66</f>
        <v>0</v>
      </c>
      <c r="M583" s="835">
        <f ca="1">'A-39'!C$66</f>
        <v>0</v>
      </c>
      <c r="N583" s="312">
        <f ca="1">'A-39'!D$66</f>
        <v>0</v>
      </c>
      <c r="O583" s="310">
        <f ca="1">'A-39'!E$66</f>
        <v>0</v>
      </c>
      <c r="P583" s="310">
        <f ca="1">'A-39'!F$66</f>
        <v>0</v>
      </c>
      <c r="Q583" s="310">
        <f ca="1">'A-39'!G$66</f>
        <v>0</v>
      </c>
      <c r="R583" s="310">
        <f ca="1">'A-39'!H$66</f>
        <v>0</v>
      </c>
      <c r="S583" s="310">
        <f ca="1">'A-39'!I$66</f>
        <v>0</v>
      </c>
    </row>
    <row r="584" spans="1:19">
      <c r="B584" s="249"/>
      <c r="C584" s="13" t="s">
        <v>647</v>
      </c>
      <c r="D584" s="312">
        <f>'I-4 History'!D575</f>
        <v>0</v>
      </c>
      <c r="E584" s="312">
        <f>'I-4 History'!E575</f>
        <v>0</v>
      </c>
      <c r="F584" s="312">
        <f>'I-4 History'!F575</f>
        <v>0</v>
      </c>
      <c r="G584" s="312">
        <f>'I-4 History'!G575</f>
        <v>0</v>
      </c>
      <c r="H584" s="312">
        <f>'I-4 History'!H575</f>
        <v>0</v>
      </c>
      <c r="I584" s="312">
        <f>'I-4 History'!I575</f>
        <v>0</v>
      </c>
      <c r="J584" s="312">
        <f>'I-4 History'!J575</f>
        <v>0</v>
      </c>
      <c r="K584" s="312">
        <f>'I-4 History'!K575</f>
        <v>0</v>
      </c>
      <c r="L584" s="310">
        <f ca="1">'A-39'!B$67</f>
        <v>0</v>
      </c>
      <c r="M584" s="835">
        <f ca="1">'A-39'!C$67</f>
        <v>0</v>
      </c>
      <c r="N584" s="312">
        <f ca="1">'A-39'!D$67</f>
        <v>0</v>
      </c>
      <c r="O584" s="310">
        <f ca="1">'A-39'!E$67</f>
        <v>0</v>
      </c>
      <c r="P584" s="310">
        <f ca="1">'A-39'!F$67</f>
        <v>0</v>
      </c>
      <c r="Q584" s="310">
        <f ca="1">'A-39'!G$67</f>
        <v>0</v>
      </c>
      <c r="R584" s="310">
        <f ca="1">'A-39'!H$67</f>
        <v>0</v>
      </c>
      <c r="S584" s="310">
        <f ca="1">'A-39'!I$67</f>
        <v>0</v>
      </c>
    </row>
    <row r="585" spans="1:19" s="759" customFormat="1">
      <c r="B585" s="249"/>
      <c r="C585" s="13" t="s">
        <v>575</v>
      </c>
      <c r="D585" s="312">
        <f>'I-4 History'!D576</f>
        <v>0</v>
      </c>
      <c r="E585" s="312">
        <f>'I-4 History'!E576</f>
        <v>0</v>
      </c>
      <c r="F585" s="312">
        <f>'I-4 History'!F576</f>
        <v>0</v>
      </c>
      <c r="G585" s="312">
        <f>'I-4 History'!G576</f>
        <v>0</v>
      </c>
      <c r="H585" s="312">
        <f>'I-4 History'!H576</f>
        <v>0</v>
      </c>
      <c r="I585" s="312">
        <f>'I-4 History'!I576</f>
        <v>0</v>
      </c>
      <c r="J585" s="312">
        <f>'I-4 History'!J576</f>
        <v>0</v>
      </c>
      <c r="K585" s="312">
        <f>'I-4 History'!K576</f>
        <v>0</v>
      </c>
      <c r="L585" s="310">
        <f ca="1">'A-39'!B$68</f>
        <v>0</v>
      </c>
      <c r="M585" s="835">
        <f ca="1">'A-39'!C$68</f>
        <v>0</v>
      </c>
      <c r="N585" s="312">
        <f ca="1">'A-39'!D$68</f>
        <v>0</v>
      </c>
      <c r="O585" s="310">
        <f ca="1">'A-39'!E$68</f>
        <v>0</v>
      </c>
      <c r="P585" s="310">
        <f ca="1">'A-39'!F$68</f>
        <v>0</v>
      </c>
      <c r="Q585" s="310">
        <f ca="1">'A-39'!G$68</f>
        <v>0</v>
      </c>
      <c r="R585" s="310">
        <f ca="1">'A-39'!H$68</f>
        <v>0</v>
      </c>
      <c r="S585" s="310">
        <f ca="1">'A-39'!I$68</f>
        <v>0</v>
      </c>
    </row>
    <row r="586" spans="1:19">
      <c r="B586" s="249"/>
      <c r="C586" s="13" t="s">
        <v>70</v>
      </c>
      <c r="D586" s="312">
        <f>'I-4 History'!D577</f>
        <v>0</v>
      </c>
      <c r="E586" s="312">
        <f>'I-4 History'!E577</f>
        <v>0</v>
      </c>
      <c r="F586" s="312">
        <f>'I-4 History'!F577</f>
        <v>0</v>
      </c>
      <c r="G586" s="312">
        <f>'I-4 History'!G577</f>
        <v>0</v>
      </c>
      <c r="H586" s="312">
        <f>'I-4 History'!H577</f>
        <v>0</v>
      </c>
      <c r="I586" s="312">
        <f>'I-4 History'!I577</f>
        <v>0</v>
      </c>
      <c r="J586" s="312">
        <f>'I-4 History'!J577</f>
        <v>0</v>
      </c>
      <c r="K586" s="312">
        <f>'I-4 History'!K577</f>
        <v>0</v>
      </c>
      <c r="L586" s="310">
        <f ca="1">'A-39'!B$69</f>
        <v>0</v>
      </c>
      <c r="M586" s="835">
        <f ca="1">'A-39'!C$69</f>
        <v>0</v>
      </c>
      <c r="N586" s="312">
        <f ca="1">'A-39'!D$69</f>
        <v>2.0110000000000006</v>
      </c>
      <c r="O586" s="310">
        <f ca="1">'A-39'!E$69</f>
        <v>2.0323366261035645</v>
      </c>
      <c r="P586" s="310">
        <f ca="1">'A-39'!F$69</f>
        <v>2.0521068411935839</v>
      </c>
      <c r="Q586" s="310">
        <f ca="1">'A-39'!G$69</f>
        <v>2.0716494792770646</v>
      </c>
      <c r="R586" s="310">
        <f ca="1">'A-39'!H$69</f>
        <v>2.092851672020609</v>
      </c>
      <c r="S586" s="310">
        <f ca="1">'A-39'!I$69</f>
        <v>2.1122730392515852</v>
      </c>
    </row>
    <row r="587" spans="1:19">
      <c r="B587" s="249"/>
      <c r="C587" s="12" t="s">
        <v>75</v>
      </c>
      <c r="D587" s="313">
        <f t="shared" ref="D587:S587" si="133">SUBTOTAL(9,D581:D586)</f>
        <v>0</v>
      </c>
      <c r="E587" s="311">
        <f t="shared" si="133"/>
        <v>0</v>
      </c>
      <c r="F587" s="311">
        <f t="shared" si="133"/>
        <v>0</v>
      </c>
      <c r="G587" s="311">
        <f t="shared" si="133"/>
        <v>0</v>
      </c>
      <c r="H587" s="311">
        <f t="shared" si="133"/>
        <v>0</v>
      </c>
      <c r="I587" s="311">
        <f t="shared" si="133"/>
        <v>0</v>
      </c>
      <c r="J587" s="311">
        <f t="shared" si="133"/>
        <v>0</v>
      </c>
      <c r="K587" s="311">
        <f t="shared" si="133"/>
        <v>0</v>
      </c>
      <c r="L587" s="311">
        <f t="shared" ca="1" si="133"/>
        <v>0</v>
      </c>
      <c r="M587" s="513">
        <f t="shared" ca="1" si="133"/>
        <v>0</v>
      </c>
      <c r="N587" s="313">
        <f t="shared" ca="1" si="133"/>
        <v>2.0110000000000006</v>
      </c>
      <c r="O587" s="311">
        <f t="shared" ca="1" si="133"/>
        <v>2.0323366261035645</v>
      </c>
      <c r="P587" s="311">
        <f t="shared" ca="1" si="133"/>
        <v>2.0521068411935839</v>
      </c>
      <c r="Q587" s="311">
        <f t="shared" ca="1" si="133"/>
        <v>2.0716494792770646</v>
      </c>
      <c r="R587" s="311">
        <f t="shared" ca="1" si="133"/>
        <v>2.092851672020609</v>
      </c>
      <c r="S587" s="311">
        <f t="shared" ca="1" si="133"/>
        <v>2.1122730392515852</v>
      </c>
    </row>
    <row r="588" spans="1:19">
      <c r="B588" s="249"/>
      <c r="C588" s="12"/>
      <c r="D588" s="263"/>
      <c r="E588" s="263"/>
      <c r="F588" s="263"/>
      <c r="G588" s="263"/>
      <c r="H588" s="263"/>
      <c r="I588" s="263"/>
      <c r="J588" s="263"/>
      <c r="K588" s="263"/>
      <c r="L588" s="263"/>
      <c r="M588" s="836"/>
      <c r="N588" s="263"/>
      <c r="O588" s="263"/>
      <c r="P588" s="263"/>
      <c r="Q588" s="263"/>
      <c r="R588" s="263"/>
      <c r="S588" s="263"/>
    </row>
    <row r="589" spans="1:19">
      <c r="A589" s="5"/>
      <c r="B589" s="249" t="str">
        <f ca="1">+'I-4 History'!B580</f>
        <v>A-40</v>
      </c>
      <c r="C589" s="14" t="str">
        <f ca="1">+'I-4 History'!C580</f>
        <v>Debt Raising Costs</v>
      </c>
      <c r="D589" s="11"/>
      <c r="E589" s="11"/>
      <c r="F589" s="11"/>
      <c r="G589" s="11"/>
      <c r="H589" s="11"/>
      <c r="I589" s="11"/>
      <c r="J589" s="11"/>
      <c r="K589" s="11"/>
      <c r="L589" s="11"/>
      <c r="M589" s="507"/>
      <c r="N589" s="11"/>
      <c r="O589" s="11"/>
      <c r="P589" s="11"/>
      <c r="Q589" s="11"/>
      <c r="R589" s="11"/>
      <c r="S589" s="11"/>
    </row>
    <row r="590" spans="1:19">
      <c r="B590" s="249"/>
      <c r="C590" s="13" t="s">
        <v>68</v>
      </c>
      <c r="D590" s="312">
        <f>'I-4 History'!D581</f>
        <v>0</v>
      </c>
      <c r="E590" s="312">
        <f>'I-4 History'!E581</f>
        <v>0</v>
      </c>
      <c r="F590" s="312">
        <f>'I-4 History'!F581</f>
        <v>0</v>
      </c>
      <c r="G590" s="312">
        <f>'I-4 History'!G581</f>
        <v>0</v>
      </c>
      <c r="H590" s="312">
        <f>'I-4 History'!H581</f>
        <v>0</v>
      </c>
      <c r="I590" s="312">
        <f>'I-4 History'!I581</f>
        <v>0</v>
      </c>
      <c r="J590" s="312">
        <f>'I-4 History'!J581</f>
        <v>0</v>
      </c>
      <c r="K590" s="312">
        <f>'I-4 History'!K581</f>
        <v>0</v>
      </c>
      <c r="L590" s="310">
        <f ca="1">'A-40'!B$64</f>
        <v>0</v>
      </c>
      <c r="M590" s="835">
        <f ca="1">'A-40'!C$64</f>
        <v>0</v>
      </c>
      <c r="N590" s="312">
        <f ca="1">'A-40'!D$64</f>
        <v>0</v>
      </c>
      <c r="O590" s="310">
        <f ca="1">'A-40'!E$64</f>
        <v>0</v>
      </c>
      <c r="P590" s="310">
        <f ca="1">'A-40'!F$64</f>
        <v>0</v>
      </c>
      <c r="Q590" s="310">
        <f ca="1">'A-40'!G$64</f>
        <v>0</v>
      </c>
      <c r="R590" s="310">
        <f ca="1">'A-40'!H$64</f>
        <v>0</v>
      </c>
      <c r="S590" s="310">
        <f ca="1">'A-40'!I$64</f>
        <v>0</v>
      </c>
    </row>
    <row r="591" spans="1:19">
      <c r="B591" s="249"/>
      <c r="C591" s="13" t="s">
        <v>69</v>
      </c>
      <c r="D591" s="312">
        <f>'I-4 History'!D582</f>
        <v>0</v>
      </c>
      <c r="E591" s="312">
        <f>'I-4 History'!E582</f>
        <v>0</v>
      </c>
      <c r="F591" s="312">
        <f>'I-4 History'!F582</f>
        <v>0</v>
      </c>
      <c r="G591" s="312">
        <f>'I-4 History'!G582</f>
        <v>0</v>
      </c>
      <c r="H591" s="312">
        <f>'I-4 History'!H582</f>
        <v>0</v>
      </c>
      <c r="I591" s="312">
        <f>'I-4 History'!I582</f>
        <v>0</v>
      </c>
      <c r="J591" s="312">
        <f>'I-4 History'!J582</f>
        <v>0</v>
      </c>
      <c r="K591" s="312">
        <f>'I-4 History'!K582</f>
        <v>0</v>
      </c>
      <c r="L591" s="310">
        <f ca="1">'A-40'!B$65</f>
        <v>0</v>
      </c>
      <c r="M591" s="835">
        <f ca="1">'A-40'!C$65</f>
        <v>0</v>
      </c>
      <c r="N591" s="312">
        <f ca="1">'A-40'!D$65</f>
        <v>0</v>
      </c>
      <c r="O591" s="310">
        <f ca="1">'A-40'!E$65</f>
        <v>0</v>
      </c>
      <c r="P591" s="310">
        <f ca="1">'A-40'!F$65</f>
        <v>0</v>
      </c>
      <c r="Q591" s="310">
        <f ca="1">'A-40'!G$65</f>
        <v>0</v>
      </c>
      <c r="R591" s="310">
        <f ca="1">'A-40'!H$65</f>
        <v>0</v>
      </c>
      <c r="S591" s="310">
        <f ca="1">'A-40'!I$65</f>
        <v>0</v>
      </c>
    </row>
    <row r="592" spans="1:19" s="759" customFormat="1">
      <c r="B592" s="249"/>
      <c r="C592" s="13" t="s">
        <v>646</v>
      </c>
      <c r="D592" s="312">
        <f>'I-4 History'!D583</f>
        <v>0</v>
      </c>
      <c r="E592" s="312">
        <f>'I-4 History'!E583</f>
        <v>0</v>
      </c>
      <c r="F592" s="312">
        <f>'I-4 History'!F583</f>
        <v>0</v>
      </c>
      <c r="G592" s="312">
        <f>'I-4 History'!G583</f>
        <v>0</v>
      </c>
      <c r="H592" s="312">
        <f>'I-4 History'!H583</f>
        <v>0</v>
      </c>
      <c r="I592" s="312">
        <f>'I-4 History'!I583</f>
        <v>0</v>
      </c>
      <c r="J592" s="312">
        <f>'I-4 History'!J583</f>
        <v>0</v>
      </c>
      <c r="K592" s="312">
        <f>'I-4 History'!K583</f>
        <v>0</v>
      </c>
      <c r="L592" s="310">
        <f ca="1">'A-40'!B$66</f>
        <v>0</v>
      </c>
      <c r="M592" s="835">
        <f ca="1">'A-40'!C$66</f>
        <v>0</v>
      </c>
      <c r="N592" s="312">
        <f ca="1">'A-40'!D$66</f>
        <v>0</v>
      </c>
      <c r="O592" s="310">
        <f ca="1">'A-40'!E$66</f>
        <v>0</v>
      </c>
      <c r="P592" s="310">
        <f ca="1">'A-40'!F$66</f>
        <v>0</v>
      </c>
      <c r="Q592" s="310">
        <f ca="1">'A-40'!G$66</f>
        <v>0</v>
      </c>
      <c r="R592" s="310">
        <f ca="1">'A-40'!H$66</f>
        <v>0</v>
      </c>
      <c r="S592" s="310">
        <f ca="1">'A-40'!I$66</f>
        <v>0</v>
      </c>
    </row>
    <row r="593" spans="1:19">
      <c r="B593" s="249"/>
      <c r="C593" s="13" t="s">
        <v>647</v>
      </c>
      <c r="D593" s="312">
        <f>'I-4 History'!D584</f>
        <v>0</v>
      </c>
      <c r="E593" s="312">
        <f>'I-4 History'!E584</f>
        <v>0</v>
      </c>
      <c r="F593" s="312">
        <f>'I-4 History'!F584</f>
        <v>0</v>
      </c>
      <c r="G593" s="312">
        <f>'I-4 History'!G584</f>
        <v>0</v>
      </c>
      <c r="H593" s="312">
        <f>'I-4 History'!H584</f>
        <v>0</v>
      </c>
      <c r="I593" s="312">
        <f>'I-4 History'!I584</f>
        <v>0</v>
      </c>
      <c r="J593" s="312">
        <f>'I-4 History'!J584</f>
        <v>0</v>
      </c>
      <c r="K593" s="312">
        <f>'I-4 History'!K584</f>
        <v>0</v>
      </c>
      <c r="L593" s="310">
        <f ca="1">'A-40'!B$67</f>
        <v>0</v>
      </c>
      <c r="M593" s="835">
        <f ca="1">'A-40'!C$67</f>
        <v>0</v>
      </c>
      <c r="N593" s="312">
        <f ca="1">'A-40'!D$67</f>
        <v>0</v>
      </c>
      <c r="O593" s="310">
        <f ca="1">'A-40'!E$67</f>
        <v>0</v>
      </c>
      <c r="P593" s="310">
        <f ca="1">'A-40'!F$67</f>
        <v>0</v>
      </c>
      <c r="Q593" s="310">
        <f ca="1">'A-40'!G$67</f>
        <v>0</v>
      </c>
      <c r="R593" s="310">
        <f ca="1">'A-40'!H$67</f>
        <v>0</v>
      </c>
      <c r="S593" s="310">
        <f ca="1">'A-40'!I$67</f>
        <v>0</v>
      </c>
    </row>
    <row r="594" spans="1:19" s="759" customFormat="1">
      <c r="B594" s="249"/>
      <c r="C594" s="13" t="s">
        <v>575</v>
      </c>
      <c r="D594" s="312">
        <f>'I-4 History'!D585</f>
        <v>0</v>
      </c>
      <c r="E594" s="312">
        <f>'I-4 History'!E585</f>
        <v>0</v>
      </c>
      <c r="F594" s="312">
        <f>'I-4 History'!F585</f>
        <v>0</v>
      </c>
      <c r="G594" s="312">
        <f>'I-4 History'!G585</f>
        <v>0</v>
      </c>
      <c r="H594" s="312">
        <f>'I-4 History'!H585</f>
        <v>0</v>
      </c>
      <c r="I594" s="312">
        <f>'I-4 History'!I585</f>
        <v>0</v>
      </c>
      <c r="J594" s="312">
        <f>'I-4 History'!J585</f>
        <v>0</v>
      </c>
      <c r="K594" s="312">
        <f>'I-4 History'!K585</f>
        <v>0</v>
      </c>
      <c r="L594" s="310">
        <f ca="1">'A-40'!B$68</f>
        <v>0</v>
      </c>
      <c r="M594" s="835">
        <f ca="1">'A-40'!C$68</f>
        <v>0</v>
      </c>
      <c r="N594" s="312">
        <f ca="1">'A-40'!D$68</f>
        <v>0</v>
      </c>
      <c r="O594" s="310">
        <f ca="1">'A-40'!E$68</f>
        <v>0</v>
      </c>
      <c r="P594" s="310">
        <f ca="1">'A-40'!F$68</f>
        <v>0</v>
      </c>
      <c r="Q594" s="310">
        <f ca="1">'A-40'!G$68</f>
        <v>0</v>
      </c>
      <c r="R594" s="310">
        <f ca="1">'A-40'!H$68</f>
        <v>0</v>
      </c>
      <c r="S594" s="310">
        <f ca="1">'A-40'!I$68</f>
        <v>0</v>
      </c>
    </row>
    <row r="595" spans="1:19">
      <c r="B595" s="249"/>
      <c r="C595" s="13" t="s">
        <v>70</v>
      </c>
      <c r="D595" s="312">
        <f>'I-4 History'!D586</f>
        <v>0</v>
      </c>
      <c r="E595" s="312">
        <f>'I-4 History'!E586</f>
        <v>0</v>
      </c>
      <c r="F595" s="312">
        <f>'I-4 History'!F586</f>
        <v>0</v>
      </c>
      <c r="G595" s="312">
        <f>'I-4 History'!G586</f>
        <v>0</v>
      </c>
      <c r="H595" s="312">
        <f>'I-4 History'!H586</f>
        <v>0</v>
      </c>
      <c r="I595" s="312">
        <f>'I-4 History'!I586</f>
        <v>0</v>
      </c>
      <c r="J595" s="312">
        <f>'I-4 History'!J586</f>
        <v>0</v>
      </c>
      <c r="K595" s="312">
        <f>'I-4 History'!K586</f>
        <v>0</v>
      </c>
      <c r="L595" s="310">
        <f ca="1">'A-40'!B$69</f>
        <v>0</v>
      </c>
      <c r="M595" s="835">
        <f ca="1">'A-40'!C$69</f>
        <v>0</v>
      </c>
      <c r="N595" s="312">
        <f ca="1">'A-40'!D$69</f>
        <v>2.0175539353381176</v>
      </c>
      <c r="O595" s="310">
        <f ca="1">'A-40'!E$69</f>
        <v>0</v>
      </c>
      <c r="P595" s="310">
        <f ca="1">'A-40'!F$69</f>
        <v>0</v>
      </c>
      <c r="Q595" s="310">
        <f ca="1">'A-40'!G$69</f>
        <v>0</v>
      </c>
      <c r="R595" s="310">
        <f ca="1">'A-40'!H$69</f>
        <v>0</v>
      </c>
      <c r="S595" s="310">
        <f ca="1">'A-40'!I$69</f>
        <v>0</v>
      </c>
    </row>
    <row r="596" spans="1:19">
      <c r="B596" s="249"/>
      <c r="C596" s="12" t="s">
        <v>75</v>
      </c>
      <c r="D596" s="313">
        <f t="shared" ref="D596:S596" si="134">SUBTOTAL(9,D590:D595)</f>
        <v>0</v>
      </c>
      <c r="E596" s="311">
        <f t="shared" si="134"/>
        <v>0</v>
      </c>
      <c r="F596" s="311">
        <f t="shared" si="134"/>
        <v>0</v>
      </c>
      <c r="G596" s="311">
        <f t="shared" si="134"/>
        <v>0</v>
      </c>
      <c r="H596" s="311">
        <f t="shared" si="134"/>
        <v>0</v>
      </c>
      <c r="I596" s="311">
        <f t="shared" si="134"/>
        <v>0</v>
      </c>
      <c r="J596" s="311">
        <f t="shared" si="134"/>
        <v>0</v>
      </c>
      <c r="K596" s="311">
        <f t="shared" si="134"/>
        <v>0</v>
      </c>
      <c r="L596" s="311">
        <f t="shared" ca="1" si="134"/>
        <v>0</v>
      </c>
      <c r="M596" s="513">
        <f t="shared" ca="1" si="134"/>
        <v>0</v>
      </c>
      <c r="N596" s="313">
        <f t="shared" ca="1" si="134"/>
        <v>2.0175539353381176</v>
      </c>
      <c r="O596" s="311">
        <f t="shared" ca="1" si="134"/>
        <v>0</v>
      </c>
      <c r="P596" s="311">
        <f t="shared" ca="1" si="134"/>
        <v>0</v>
      </c>
      <c r="Q596" s="311">
        <f t="shared" ca="1" si="134"/>
        <v>0</v>
      </c>
      <c r="R596" s="311">
        <f t="shared" ca="1" si="134"/>
        <v>0</v>
      </c>
      <c r="S596" s="311">
        <f t="shared" ca="1" si="134"/>
        <v>0</v>
      </c>
    </row>
    <row r="597" spans="1:19">
      <c r="B597" s="249"/>
      <c r="C597" s="12"/>
      <c r="D597" s="263"/>
      <c r="E597" s="263"/>
      <c r="F597" s="263"/>
      <c r="G597" s="263"/>
      <c r="H597" s="263"/>
      <c r="I597" s="263"/>
      <c r="J597" s="263"/>
      <c r="K597" s="263"/>
      <c r="L597" s="263"/>
      <c r="M597" s="836"/>
      <c r="N597" s="263"/>
      <c r="O597" s="263"/>
      <c r="P597" s="263"/>
      <c r="Q597" s="263"/>
      <c r="R597" s="263"/>
      <c r="S597" s="263"/>
    </row>
    <row r="598" spans="1:19">
      <c r="A598" s="5"/>
      <c r="B598" s="249" t="str">
        <f ca="1">+'I-4 History'!B589</f>
        <v>A-41</v>
      </c>
      <c r="C598" s="14" t="str">
        <f ca="1">+'I-4 History'!C589</f>
        <v>Spare, not in use</v>
      </c>
      <c r="D598" s="11"/>
      <c r="E598" s="11"/>
      <c r="F598" s="11"/>
      <c r="G598" s="11"/>
      <c r="H598" s="11"/>
      <c r="I598" s="11"/>
      <c r="J598" s="11"/>
      <c r="K598" s="11"/>
      <c r="L598" s="11"/>
      <c r="M598" s="507"/>
      <c r="N598" s="11"/>
      <c r="O598" s="11"/>
      <c r="P598" s="11"/>
      <c r="Q598" s="11"/>
      <c r="R598" s="11"/>
      <c r="S598" s="11"/>
    </row>
    <row r="599" spans="1:19">
      <c r="B599" s="249"/>
      <c r="C599" s="13" t="s">
        <v>68</v>
      </c>
      <c r="D599" s="312">
        <f>'I-4 History'!D590</f>
        <v>0</v>
      </c>
      <c r="E599" s="312">
        <f>'I-4 History'!E590</f>
        <v>0</v>
      </c>
      <c r="F599" s="312">
        <f>'I-4 History'!F590</f>
        <v>0</v>
      </c>
      <c r="G599" s="312">
        <f>'I-4 History'!G590</f>
        <v>0</v>
      </c>
      <c r="H599" s="312">
        <f>'I-4 History'!H590</f>
        <v>0</v>
      </c>
      <c r="I599" s="312">
        <f>'I-4 History'!I590</f>
        <v>0</v>
      </c>
      <c r="J599" s="312">
        <f>'I-4 History'!J590</f>
        <v>0</v>
      </c>
      <c r="K599" s="312">
        <f>'I-4 History'!K590</f>
        <v>0</v>
      </c>
      <c r="L599" s="310">
        <f ca="1">'A-41'!B$64</f>
        <v>0</v>
      </c>
      <c r="M599" s="835">
        <f ca="1">'A-41'!C$64</f>
        <v>0</v>
      </c>
      <c r="N599" s="312">
        <f ca="1">'A-41'!D$64</f>
        <v>0</v>
      </c>
      <c r="O599" s="310">
        <f ca="1">'A-41'!E$64</f>
        <v>0</v>
      </c>
      <c r="P599" s="310">
        <f ca="1">'A-41'!F$64</f>
        <v>0</v>
      </c>
      <c r="Q599" s="310">
        <f ca="1">'A-41'!G$64</f>
        <v>0</v>
      </c>
      <c r="R599" s="310">
        <f ca="1">'A-41'!H$64</f>
        <v>0</v>
      </c>
      <c r="S599" s="310">
        <f ca="1">'A-41'!I$64</f>
        <v>0</v>
      </c>
    </row>
    <row r="600" spans="1:19">
      <c r="B600" s="249"/>
      <c r="C600" s="13" t="s">
        <v>69</v>
      </c>
      <c r="D600" s="312">
        <f>'I-4 History'!D591</f>
        <v>0</v>
      </c>
      <c r="E600" s="312">
        <f>'I-4 History'!E591</f>
        <v>0</v>
      </c>
      <c r="F600" s="312">
        <f>'I-4 History'!F591</f>
        <v>0</v>
      </c>
      <c r="G600" s="312">
        <f>'I-4 History'!G591</f>
        <v>0</v>
      </c>
      <c r="H600" s="312">
        <f>'I-4 History'!H591</f>
        <v>0</v>
      </c>
      <c r="I600" s="312">
        <f>'I-4 History'!I591</f>
        <v>0</v>
      </c>
      <c r="J600" s="312">
        <f>'I-4 History'!J591</f>
        <v>0</v>
      </c>
      <c r="K600" s="312">
        <f>'I-4 History'!K591</f>
        <v>0</v>
      </c>
      <c r="L600" s="310">
        <f ca="1">'A-41'!B$65</f>
        <v>0</v>
      </c>
      <c r="M600" s="835">
        <f ca="1">'A-41'!C$65</f>
        <v>0</v>
      </c>
      <c r="N600" s="312">
        <f ca="1">'A-41'!D$65</f>
        <v>0</v>
      </c>
      <c r="O600" s="310">
        <f ca="1">'A-41'!E$65</f>
        <v>0</v>
      </c>
      <c r="P600" s="310">
        <f ca="1">'A-41'!F$65</f>
        <v>0</v>
      </c>
      <c r="Q600" s="310">
        <f ca="1">'A-41'!G$65</f>
        <v>0</v>
      </c>
      <c r="R600" s="310">
        <f ca="1">'A-41'!H$65</f>
        <v>0</v>
      </c>
      <c r="S600" s="310">
        <f ca="1">'A-41'!I$65</f>
        <v>0</v>
      </c>
    </row>
    <row r="601" spans="1:19" s="759" customFormat="1">
      <c r="B601" s="249"/>
      <c r="C601" s="13" t="s">
        <v>646</v>
      </c>
      <c r="D601" s="312">
        <f>'I-4 History'!D592</f>
        <v>0</v>
      </c>
      <c r="E601" s="312">
        <f>'I-4 History'!E592</f>
        <v>0</v>
      </c>
      <c r="F601" s="312">
        <f>'I-4 History'!F592</f>
        <v>0</v>
      </c>
      <c r="G601" s="312">
        <f>'I-4 History'!G592</f>
        <v>0</v>
      </c>
      <c r="H601" s="312">
        <f>'I-4 History'!H592</f>
        <v>0</v>
      </c>
      <c r="I601" s="312">
        <f>'I-4 History'!I592</f>
        <v>0</v>
      </c>
      <c r="J601" s="312">
        <f>'I-4 History'!J592</f>
        <v>0</v>
      </c>
      <c r="K601" s="312">
        <f>'I-4 History'!K592</f>
        <v>0</v>
      </c>
      <c r="L601" s="310">
        <f ca="1">'A-41'!B$66</f>
        <v>0</v>
      </c>
      <c r="M601" s="835">
        <f ca="1">'A-41'!C$66</f>
        <v>0</v>
      </c>
      <c r="N601" s="312">
        <f ca="1">'A-41'!D$66</f>
        <v>0</v>
      </c>
      <c r="O601" s="310">
        <f ca="1">'A-41'!E$66</f>
        <v>0</v>
      </c>
      <c r="P601" s="310">
        <f ca="1">'A-41'!F$66</f>
        <v>0</v>
      </c>
      <c r="Q601" s="310">
        <f ca="1">'A-41'!G$66</f>
        <v>0</v>
      </c>
      <c r="R601" s="310">
        <f ca="1">'A-41'!H$66</f>
        <v>0</v>
      </c>
      <c r="S601" s="310">
        <f ca="1">'A-41'!I$66</f>
        <v>0</v>
      </c>
    </row>
    <row r="602" spans="1:19">
      <c r="B602" s="249"/>
      <c r="C602" s="13" t="s">
        <v>647</v>
      </c>
      <c r="D602" s="312">
        <f>'I-4 History'!D593</f>
        <v>0</v>
      </c>
      <c r="E602" s="312">
        <f>'I-4 History'!E593</f>
        <v>0</v>
      </c>
      <c r="F602" s="312">
        <f>'I-4 History'!F593</f>
        <v>0</v>
      </c>
      <c r="G602" s="312">
        <f>'I-4 History'!G593</f>
        <v>0</v>
      </c>
      <c r="H602" s="312">
        <f>'I-4 History'!H593</f>
        <v>0</v>
      </c>
      <c r="I602" s="312">
        <f>'I-4 History'!I593</f>
        <v>0</v>
      </c>
      <c r="J602" s="312">
        <f>'I-4 History'!J593</f>
        <v>0</v>
      </c>
      <c r="K602" s="312">
        <f>'I-4 History'!K593</f>
        <v>0</v>
      </c>
      <c r="L602" s="310">
        <f ca="1">'A-41'!B$67</f>
        <v>0</v>
      </c>
      <c r="M602" s="835">
        <f ca="1">'A-41'!C$67</f>
        <v>0</v>
      </c>
      <c r="N602" s="312">
        <f ca="1">'A-41'!D$67</f>
        <v>0</v>
      </c>
      <c r="O602" s="310">
        <f ca="1">'A-41'!E$67</f>
        <v>0</v>
      </c>
      <c r="P602" s="310">
        <f ca="1">'A-41'!F$67</f>
        <v>0</v>
      </c>
      <c r="Q602" s="310">
        <f ca="1">'A-41'!G$67</f>
        <v>0</v>
      </c>
      <c r="R602" s="310">
        <f ca="1">'A-41'!H$67</f>
        <v>0</v>
      </c>
      <c r="S602" s="310">
        <f ca="1">'A-41'!I$67</f>
        <v>0</v>
      </c>
    </row>
    <row r="603" spans="1:19" s="759" customFormat="1">
      <c r="B603" s="249"/>
      <c r="C603" s="13" t="s">
        <v>575</v>
      </c>
      <c r="D603" s="312">
        <f>'I-4 History'!D594</f>
        <v>0</v>
      </c>
      <c r="E603" s="312">
        <f>'I-4 History'!E594</f>
        <v>0</v>
      </c>
      <c r="F603" s="312">
        <f>'I-4 History'!F594</f>
        <v>0</v>
      </c>
      <c r="G603" s="312">
        <f>'I-4 History'!G594</f>
        <v>0</v>
      </c>
      <c r="H603" s="312">
        <f>'I-4 History'!H594</f>
        <v>0</v>
      </c>
      <c r="I603" s="312">
        <f>'I-4 History'!I594</f>
        <v>0</v>
      </c>
      <c r="J603" s="312">
        <f>'I-4 History'!J594</f>
        <v>0</v>
      </c>
      <c r="K603" s="312">
        <f>'I-4 History'!K594</f>
        <v>0</v>
      </c>
      <c r="L603" s="310">
        <f ca="1">'A-41'!B$68</f>
        <v>0</v>
      </c>
      <c r="M603" s="835">
        <f ca="1">'A-41'!C$68</f>
        <v>0</v>
      </c>
      <c r="N603" s="312">
        <f ca="1">'A-41'!D$68</f>
        <v>0</v>
      </c>
      <c r="O603" s="310">
        <f ca="1">'A-41'!E$68</f>
        <v>0</v>
      </c>
      <c r="P603" s="310">
        <f ca="1">'A-41'!F$68</f>
        <v>0</v>
      </c>
      <c r="Q603" s="310">
        <f ca="1">'A-41'!G$68</f>
        <v>0</v>
      </c>
      <c r="R603" s="310">
        <f ca="1">'A-41'!H$68</f>
        <v>0</v>
      </c>
      <c r="S603" s="310">
        <f ca="1">'A-41'!I$68</f>
        <v>0</v>
      </c>
    </row>
    <row r="604" spans="1:19">
      <c r="B604" s="249"/>
      <c r="C604" s="13" t="s">
        <v>70</v>
      </c>
      <c r="D604" s="312">
        <f>'I-4 History'!D595</f>
        <v>0</v>
      </c>
      <c r="E604" s="312">
        <f>'I-4 History'!E595</f>
        <v>0</v>
      </c>
      <c r="F604" s="312">
        <f>'I-4 History'!F595</f>
        <v>0</v>
      </c>
      <c r="G604" s="312">
        <f>'I-4 History'!G595</f>
        <v>0</v>
      </c>
      <c r="H604" s="312">
        <f>'I-4 History'!H595</f>
        <v>0</v>
      </c>
      <c r="I604" s="312">
        <f>'I-4 History'!I595</f>
        <v>0</v>
      </c>
      <c r="J604" s="312">
        <f>'I-4 History'!J595</f>
        <v>0</v>
      </c>
      <c r="K604" s="312">
        <f>'I-4 History'!K595</f>
        <v>0</v>
      </c>
      <c r="L604" s="310">
        <f ca="1">'A-41'!B$69</f>
        <v>0</v>
      </c>
      <c r="M604" s="835">
        <f ca="1">'A-41'!C$69</f>
        <v>0</v>
      </c>
      <c r="N604" s="312">
        <f ca="1">'A-41'!D$69</f>
        <v>0</v>
      </c>
      <c r="O604" s="310">
        <f ca="1">'A-41'!E$69</f>
        <v>0</v>
      </c>
      <c r="P604" s="310">
        <f ca="1">'A-41'!F$69</f>
        <v>0</v>
      </c>
      <c r="Q604" s="310">
        <f ca="1">'A-41'!G$69</f>
        <v>0</v>
      </c>
      <c r="R604" s="310">
        <f ca="1">'A-41'!H$69</f>
        <v>0</v>
      </c>
      <c r="S604" s="310">
        <f ca="1">'A-41'!I$69</f>
        <v>0</v>
      </c>
    </row>
    <row r="605" spans="1:19">
      <c r="B605" s="249"/>
      <c r="C605" s="12" t="s">
        <v>75</v>
      </c>
      <c r="D605" s="311">
        <f t="shared" ref="D605:S605" si="135">SUBTOTAL(9,D599:D604)</f>
        <v>0</v>
      </c>
      <c r="E605" s="311">
        <f t="shared" si="135"/>
        <v>0</v>
      </c>
      <c r="F605" s="311">
        <f t="shared" si="135"/>
        <v>0</v>
      </c>
      <c r="G605" s="311">
        <f t="shared" si="135"/>
        <v>0</v>
      </c>
      <c r="H605" s="311">
        <f t="shared" si="135"/>
        <v>0</v>
      </c>
      <c r="I605" s="311">
        <f t="shared" si="135"/>
        <v>0</v>
      </c>
      <c r="J605" s="311">
        <f t="shared" si="135"/>
        <v>0</v>
      </c>
      <c r="K605" s="311">
        <f t="shared" si="135"/>
        <v>0</v>
      </c>
      <c r="L605" s="311">
        <f t="shared" ca="1" si="135"/>
        <v>0</v>
      </c>
      <c r="M605" s="513">
        <f t="shared" ca="1" si="135"/>
        <v>0</v>
      </c>
      <c r="N605" s="313">
        <f t="shared" ca="1" si="135"/>
        <v>0</v>
      </c>
      <c r="O605" s="311">
        <f t="shared" ca="1" si="135"/>
        <v>0</v>
      </c>
      <c r="P605" s="311">
        <f t="shared" ca="1" si="135"/>
        <v>0</v>
      </c>
      <c r="Q605" s="311">
        <f t="shared" ca="1" si="135"/>
        <v>0</v>
      </c>
      <c r="R605" s="311">
        <f t="shared" ca="1" si="135"/>
        <v>0</v>
      </c>
      <c r="S605" s="311">
        <f t="shared" ca="1" si="135"/>
        <v>0</v>
      </c>
    </row>
    <row r="606" spans="1:19" ht="17.25" customHeight="1" thickBot="1">
      <c r="B606" s="250"/>
      <c r="C606" s="269" t="str">
        <f>CONCATENATE("Total ", +C552:C552)</f>
        <v xml:space="preserve">Total Other </v>
      </c>
      <c r="D606" s="314">
        <f>SUBTOTAL(9,D554:D605)</f>
        <v>0</v>
      </c>
      <c r="E606" s="314">
        <f t="shared" ref="E606:S606" si="136">SUBTOTAL(9,E554:E605)</f>
        <v>0</v>
      </c>
      <c r="F606" s="314">
        <f t="shared" si="136"/>
        <v>0</v>
      </c>
      <c r="G606" s="314">
        <f t="shared" si="136"/>
        <v>0</v>
      </c>
      <c r="H606" s="314">
        <f t="shared" si="136"/>
        <v>0</v>
      </c>
      <c r="I606" s="314">
        <f t="shared" si="136"/>
        <v>0</v>
      </c>
      <c r="J606" s="314">
        <f t="shared" si="136"/>
        <v>0</v>
      </c>
      <c r="K606" s="314">
        <f t="shared" si="136"/>
        <v>0</v>
      </c>
      <c r="L606" s="314">
        <f t="shared" ca="1" si="136"/>
        <v>0</v>
      </c>
      <c r="M606" s="843">
        <f t="shared" ca="1" si="136"/>
        <v>0</v>
      </c>
      <c r="N606" s="314">
        <f t="shared" ca="1" si="136"/>
        <v>3.7685539353381179</v>
      </c>
      <c r="O606" s="314">
        <f t="shared" ca="1" si="136"/>
        <v>1.7639397721038304</v>
      </c>
      <c r="P606" s="314">
        <f t="shared" ca="1" si="136"/>
        <v>1.7752837940379798</v>
      </c>
      <c r="Q606" s="314">
        <f t="shared" ca="1" si="136"/>
        <v>1.7858649786868059</v>
      </c>
      <c r="R606" s="314">
        <f t="shared" ca="1" si="136"/>
        <v>1.7976077505713124</v>
      </c>
      <c r="S606" s="314">
        <f t="shared" ca="1" si="136"/>
        <v>1.8075448079931933</v>
      </c>
    </row>
    <row r="607" spans="1:19" ht="16.5" thickBot="1">
      <c r="B607" s="270"/>
      <c r="C607" s="455" t="s">
        <v>273</v>
      </c>
      <c r="D607" s="461">
        <f t="shared" ref="D607:L607" si="137">SUBTOTAL(9,D231:D606)</f>
        <v>0</v>
      </c>
      <c r="E607" s="461">
        <f t="shared" si="137"/>
        <v>0</v>
      </c>
      <c r="F607" s="461">
        <f t="shared" si="137"/>
        <v>0</v>
      </c>
      <c r="G607" s="461">
        <f t="shared" si="137"/>
        <v>0</v>
      </c>
      <c r="H607" s="461">
        <f>SUBTOTAL(9,H231:H606)</f>
        <v>0</v>
      </c>
      <c r="I607" s="461">
        <f t="shared" si="137"/>
        <v>0</v>
      </c>
      <c r="J607" s="461">
        <f t="shared" si="137"/>
        <v>0</v>
      </c>
      <c r="K607" s="461">
        <f t="shared" si="137"/>
        <v>0</v>
      </c>
      <c r="L607" s="461">
        <f t="shared" ca="1" si="137"/>
        <v>0</v>
      </c>
      <c r="M607" s="461">
        <f t="shared" ref="M607:S607" ca="1" si="138">SUBTOTAL(9,M231:M606)</f>
        <v>0</v>
      </c>
      <c r="N607" s="461">
        <f t="shared" ca="1" si="138"/>
        <v>72.33548748446934</v>
      </c>
      <c r="O607" s="461">
        <f t="shared" ca="1" si="138"/>
        <v>76.619464673043638</v>
      </c>
      <c r="P607" s="461">
        <f t="shared" ca="1" si="138"/>
        <v>78.917475127417504</v>
      </c>
      <c r="Q607" s="461">
        <f t="shared" ca="1" si="138"/>
        <v>83.442358783164934</v>
      </c>
      <c r="R607" s="461">
        <f t="shared" ca="1" si="138"/>
        <v>85.428830960101919</v>
      </c>
      <c r="S607" s="461">
        <f t="shared" ca="1" si="138"/>
        <v>87.808089162190115</v>
      </c>
    </row>
    <row r="608" spans="1:19">
      <c r="B608" s="249"/>
      <c r="C608" s="462"/>
      <c r="D608" s="463"/>
      <c r="E608" s="463"/>
      <c r="F608" s="463"/>
      <c r="G608" s="463"/>
      <c r="H608" s="463"/>
      <c r="I608" s="463"/>
      <c r="J608" s="463"/>
      <c r="K608" s="463"/>
      <c r="L608" s="463"/>
      <c r="M608" s="463"/>
      <c r="N608" s="463"/>
      <c r="O608" s="463"/>
      <c r="P608" s="463"/>
      <c r="Q608" s="463"/>
      <c r="R608" s="463"/>
      <c r="S608" s="463"/>
    </row>
    <row r="609" spans="2:19" ht="32.25" thickBot="1">
      <c r="B609" s="270"/>
      <c r="C609" s="455" t="s">
        <v>274</v>
      </c>
      <c r="D609" s="461">
        <f>SUBTOTAL(9,D8:D606)</f>
        <v>0</v>
      </c>
      <c r="E609" s="461">
        <f t="shared" ref="E609:S609" si="139">SUBTOTAL(9,E8:E606)</f>
        <v>0</v>
      </c>
      <c r="F609" s="461">
        <f t="shared" si="139"/>
        <v>0</v>
      </c>
      <c r="G609" s="461">
        <f t="shared" si="139"/>
        <v>0</v>
      </c>
      <c r="H609" s="461">
        <f>SUBTOTAL(9,H8:H606)</f>
        <v>0</v>
      </c>
      <c r="I609" s="461">
        <f t="shared" si="139"/>
        <v>0</v>
      </c>
      <c r="J609" s="461">
        <f t="shared" si="139"/>
        <v>0</v>
      </c>
      <c r="K609" s="461">
        <f t="shared" si="139"/>
        <v>0</v>
      </c>
      <c r="L609" s="461">
        <f t="shared" ca="1" si="139"/>
        <v>0</v>
      </c>
      <c r="M609" s="461">
        <f t="shared" ca="1" si="139"/>
        <v>0</v>
      </c>
      <c r="N609" s="461">
        <f t="shared" ca="1" si="139"/>
        <v>240.27610351304381</v>
      </c>
      <c r="O609" s="461">
        <f t="shared" ca="1" si="139"/>
        <v>260.96971133890617</v>
      </c>
      <c r="P609" s="461">
        <f t="shared" ca="1" si="139"/>
        <v>271.8928145089231</v>
      </c>
      <c r="Q609" s="461">
        <f t="shared" ca="1" si="139"/>
        <v>275.54213808600514</v>
      </c>
      <c r="R609" s="461">
        <f t="shared" ca="1" si="139"/>
        <v>281.3071434835478</v>
      </c>
      <c r="S609" s="461">
        <f t="shared" ca="1" si="139"/>
        <v>285.84944311230566</v>
      </c>
    </row>
    <row r="610" spans="2:19">
      <c r="C610" s="464"/>
      <c r="D610" s="465"/>
      <c r="E610" s="465"/>
      <c r="F610" s="465"/>
      <c r="G610" s="465"/>
      <c r="H610" s="465"/>
      <c r="I610" s="465"/>
      <c r="J610" s="465"/>
      <c r="K610" s="465"/>
      <c r="L610" s="465"/>
      <c r="M610" s="465"/>
      <c r="N610" s="465"/>
      <c r="O610" s="465"/>
      <c r="P610" s="465"/>
      <c r="Q610" s="465"/>
      <c r="R610" s="465"/>
      <c r="S610" s="465"/>
    </row>
    <row r="611" spans="2:19">
      <c r="C611" s="464"/>
      <c r="D611" s="464"/>
      <c r="E611" s="464"/>
      <c r="F611" s="464"/>
      <c r="G611" s="464"/>
      <c r="H611" s="464"/>
      <c r="I611" s="464"/>
      <c r="J611" s="464"/>
      <c r="K611" s="464"/>
      <c r="L611" s="464"/>
      <c r="M611" s="464"/>
      <c r="N611" s="464"/>
      <c r="O611" s="464"/>
      <c r="P611" s="464"/>
      <c r="Q611" s="464"/>
      <c r="R611" s="464"/>
      <c r="S611" s="464"/>
    </row>
    <row r="612" spans="2:19" ht="16.5" thickBot="1">
      <c r="B612" s="270"/>
      <c r="C612" s="455" t="s">
        <v>267</v>
      </c>
      <c r="D612" s="461"/>
      <c r="E612" s="461"/>
      <c r="F612" s="461"/>
      <c r="G612" s="461"/>
      <c r="H612" s="461"/>
      <c r="I612" s="461"/>
      <c r="J612" s="461"/>
      <c r="K612" s="461"/>
      <c r="L612" s="461"/>
      <c r="M612" s="461"/>
      <c r="N612" s="461"/>
      <c r="O612" s="461"/>
      <c r="P612" s="461"/>
      <c r="Q612" s="461"/>
      <c r="R612" s="461"/>
      <c r="S612" s="461"/>
    </row>
    <row r="613" spans="2:19" ht="13.5" thickBot="1"/>
    <row r="614" spans="2:19" ht="13.5" thickBot="1">
      <c r="D614" s="256" t="s">
        <v>269</v>
      </c>
      <c r="E614" s="257"/>
      <c r="F614" s="257"/>
      <c r="G614" s="257"/>
      <c r="H614" s="257"/>
      <c r="I614" s="257"/>
      <c r="J614" s="257"/>
      <c r="K614" s="257"/>
      <c r="L614" s="235" t="s">
        <v>85</v>
      </c>
      <c r="M614" s="235"/>
      <c r="N614" s="235"/>
      <c r="O614" s="235"/>
      <c r="P614" s="235"/>
      <c r="Q614" s="235"/>
      <c r="R614" s="235"/>
      <c r="S614" s="235"/>
    </row>
    <row r="615" spans="2:19" ht="13.5" thickBot="1">
      <c r="C615" s="436"/>
      <c r="D615" s="439" t="str">
        <f>'Ref-1'!F39</f>
        <v>2004/05</v>
      </c>
      <c r="E615" s="439" t="str">
        <f>'Ref-1'!G39</f>
        <v>2005/06</v>
      </c>
      <c r="F615" s="439" t="str">
        <f>'Ref-1'!H39</f>
        <v>2006/07</v>
      </c>
      <c r="G615" s="439" t="str">
        <f>'Ref-1'!I39</f>
        <v>2007/08</v>
      </c>
      <c r="H615" s="439" t="str">
        <f>'Ref-1'!J39</f>
        <v>2008/09</v>
      </c>
      <c r="I615" s="439" t="str">
        <f>'Ref-1'!K39</f>
        <v>2009/10</v>
      </c>
      <c r="J615" s="439" t="str">
        <f>'Ref-1'!L39</f>
        <v>2010/11</v>
      </c>
      <c r="K615" s="439" t="str">
        <f>'Ref-1'!M39</f>
        <v>2011/12</v>
      </c>
      <c r="L615" s="439" t="str">
        <f>'Ref-1'!N39</f>
        <v>2012/13</v>
      </c>
      <c r="M615" s="439" t="str">
        <f>'Ref-1'!O39</f>
        <v>2013/14</v>
      </c>
      <c r="N615" s="439" t="str">
        <f>'Ref-1'!P39</f>
        <v>2014/15</v>
      </c>
      <c r="O615" s="439" t="str">
        <f>'Ref-1'!Q39</f>
        <v>2015/16</v>
      </c>
      <c r="P615" s="439" t="str">
        <f>'Ref-1'!R39</f>
        <v>2016/17</v>
      </c>
      <c r="Q615" s="439" t="str">
        <f>'Ref-1'!S39</f>
        <v>2017/18</v>
      </c>
      <c r="R615" s="439" t="str">
        <f>'Ref-1'!T39</f>
        <v>2018/19</v>
      </c>
      <c r="S615" s="439" t="str">
        <f>'Ref-1'!U39</f>
        <v>2019/20</v>
      </c>
    </row>
    <row r="616" spans="2:19">
      <c r="C616" s="13" t="s">
        <v>68</v>
      </c>
      <c r="D616" s="310">
        <f ca="1">SUMIF($C$7:$C$605,$C616,D$7:D$605)</f>
        <v>0</v>
      </c>
      <c r="E616" s="310">
        <f t="shared" ref="E616:S620" ca="1" si="140">SUMIF($C$7:$C$605,$C616,E$7:E$605)</f>
        <v>0</v>
      </c>
      <c r="F616" s="310">
        <f t="shared" ca="1" si="140"/>
        <v>0</v>
      </c>
      <c r="G616" s="310">
        <f t="shared" ca="1" si="140"/>
        <v>0</v>
      </c>
      <c r="H616" s="310">
        <f t="shared" ca="1" si="140"/>
        <v>0</v>
      </c>
      <c r="I616" s="310">
        <f t="shared" ca="1" si="140"/>
        <v>0</v>
      </c>
      <c r="J616" s="310">
        <f t="shared" ca="1" si="140"/>
        <v>0</v>
      </c>
      <c r="K616" s="310">
        <f t="shared" ca="1" si="140"/>
        <v>0</v>
      </c>
      <c r="L616" s="310">
        <f t="shared" ca="1" si="140"/>
        <v>0</v>
      </c>
      <c r="M616" s="310">
        <f t="shared" ca="1" si="140"/>
        <v>0</v>
      </c>
      <c r="N616" s="310">
        <f t="shared" ca="1" si="140"/>
        <v>104.33315469196816</v>
      </c>
      <c r="O616" s="310">
        <f t="shared" ca="1" si="140"/>
        <v>110.02304684357729</v>
      </c>
      <c r="P616" s="310">
        <f t="shared" ca="1" si="140"/>
        <v>115.49690748252326</v>
      </c>
      <c r="Q616" s="310">
        <f t="shared" ca="1" si="140"/>
        <v>121.30456259535841</v>
      </c>
      <c r="R616" s="310">
        <f t="shared" ca="1" si="140"/>
        <v>124.953186285885</v>
      </c>
      <c r="S616" s="310">
        <f t="shared" ca="1" si="140"/>
        <v>128.95870465988247</v>
      </c>
    </row>
    <row r="617" spans="2:19">
      <c r="C617" s="13" t="s">
        <v>69</v>
      </c>
      <c r="D617" s="310">
        <f ca="1">SUMIF($C$7:$C$605,$C617,D$7:D$605)</f>
        <v>0</v>
      </c>
      <c r="E617" s="310">
        <f t="shared" ca="1" si="140"/>
        <v>0</v>
      </c>
      <c r="F617" s="310">
        <f t="shared" ca="1" si="140"/>
        <v>0</v>
      </c>
      <c r="G617" s="310">
        <f t="shared" ca="1" si="140"/>
        <v>0</v>
      </c>
      <c r="H617" s="310">
        <f t="shared" ca="1" si="140"/>
        <v>0</v>
      </c>
      <c r="I617" s="310">
        <f t="shared" ca="1" si="140"/>
        <v>0</v>
      </c>
      <c r="J617" s="310">
        <f t="shared" ca="1" si="140"/>
        <v>0</v>
      </c>
      <c r="K617" s="310">
        <f t="shared" ca="1" si="140"/>
        <v>0</v>
      </c>
      <c r="L617" s="310">
        <f t="shared" ca="1" si="140"/>
        <v>0</v>
      </c>
      <c r="M617" s="310">
        <f t="shared" ca="1" si="140"/>
        <v>0</v>
      </c>
      <c r="N617" s="310">
        <f t="shared" ca="1" si="140"/>
        <v>1.4425479347753525</v>
      </c>
      <c r="O617" s="310">
        <f t="shared" ca="1" si="140"/>
        <v>1.5788533081820013</v>
      </c>
      <c r="P617" s="310">
        <f t="shared" ca="1" si="140"/>
        <v>1.7870350500756724</v>
      </c>
      <c r="Q617" s="310">
        <f t="shared" ca="1" si="140"/>
        <v>1.8170535444602507</v>
      </c>
      <c r="R617" s="310">
        <f t="shared" ca="1" si="140"/>
        <v>1.8602624849649283</v>
      </c>
      <c r="S617" s="310">
        <f t="shared" ca="1" si="140"/>
        <v>1.8701939882914129</v>
      </c>
    </row>
    <row r="618" spans="2:19" s="759" customFormat="1">
      <c r="C618" s="13" t="s">
        <v>646</v>
      </c>
      <c r="D618" s="310">
        <f t="shared" ref="D618:D620" ca="1" si="141">SUMIF($C$7:$C$605,$C618,D$7:D$605)</f>
        <v>0</v>
      </c>
      <c r="E618" s="310">
        <f t="shared" ca="1" si="140"/>
        <v>0</v>
      </c>
      <c r="F618" s="310">
        <f t="shared" ca="1" si="140"/>
        <v>0</v>
      </c>
      <c r="G618" s="310">
        <f t="shared" ca="1" si="140"/>
        <v>0</v>
      </c>
      <c r="H618" s="310">
        <f t="shared" ca="1" si="140"/>
        <v>0</v>
      </c>
      <c r="I618" s="310">
        <f t="shared" ca="1" si="140"/>
        <v>0</v>
      </c>
      <c r="J618" s="310">
        <f t="shared" ca="1" si="140"/>
        <v>0</v>
      </c>
      <c r="K618" s="310">
        <f t="shared" ca="1" si="140"/>
        <v>0</v>
      </c>
      <c r="L618" s="310">
        <f t="shared" ca="1" si="140"/>
        <v>0</v>
      </c>
      <c r="M618" s="310">
        <f t="shared" ca="1" si="140"/>
        <v>0</v>
      </c>
      <c r="N618" s="310">
        <f t="shared" ca="1" si="140"/>
        <v>59.418712114168578</v>
      </c>
      <c r="O618" s="310">
        <f t="shared" ca="1" si="140"/>
        <v>69.589860856752438</v>
      </c>
      <c r="P618" s="310">
        <f t="shared" ca="1" si="140"/>
        <v>68.787243290743106</v>
      </c>
      <c r="Q618" s="310">
        <f t="shared" ca="1" si="140"/>
        <v>69.881390118460146</v>
      </c>
      <c r="R618" s="310">
        <f t="shared" ca="1" si="140"/>
        <v>70.992014937989424</v>
      </c>
      <c r="S618" s="310">
        <f t="shared" ca="1" si="140"/>
        <v>70.255207525827728</v>
      </c>
    </row>
    <row r="619" spans="2:19">
      <c r="C619" s="13" t="s">
        <v>647</v>
      </c>
      <c r="D619" s="310">
        <f t="shared" ca="1" si="141"/>
        <v>0</v>
      </c>
      <c r="E619" s="310">
        <f t="shared" ca="1" si="140"/>
        <v>0</v>
      </c>
      <c r="F619" s="310">
        <f t="shared" ca="1" si="140"/>
        <v>0</v>
      </c>
      <c r="G619" s="310">
        <f t="shared" ca="1" si="140"/>
        <v>0</v>
      </c>
      <c r="H619" s="310">
        <f t="shared" ca="1" si="140"/>
        <v>0</v>
      </c>
      <c r="I619" s="310">
        <f t="shared" ca="1" si="140"/>
        <v>0</v>
      </c>
      <c r="J619" s="310">
        <f t="shared" ca="1" si="140"/>
        <v>0</v>
      </c>
      <c r="K619" s="310">
        <f t="shared" ca="1" si="140"/>
        <v>0</v>
      </c>
      <c r="L619" s="310">
        <f t="shared" ca="1" si="140"/>
        <v>0</v>
      </c>
      <c r="M619" s="310">
        <f t="shared" ca="1" si="140"/>
        <v>0</v>
      </c>
      <c r="N619" s="310">
        <f t="shared" ca="1" si="140"/>
        <v>47.15953510908782</v>
      </c>
      <c r="O619" s="310">
        <f t="shared" ca="1" si="140"/>
        <v>53.528025569702457</v>
      </c>
      <c r="P619" s="310">
        <f t="shared" ca="1" si="140"/>
        <v>59.243658305868536</v>
      </c>
      <c r="Q619" s="310">
        <f t="shared" ca="1" si="140"/>
        <v>55.628988807974935</v>
      </c>
      <c r="R619" s="310">
        <f t="shared" ca="1" si="140"/>
        <v>56.23444407380417</v>
      </c>
      <c r="S619" s="310">
        <f t="shared" ca="1" si="140"/>
        <v>57.160759050125336</v>
      </c>
    </row>
    <row r="620" spans="2:19" s="759" customFormat="1">
      <c r="C620" s="13" t="s">
        <v>575</v>
      </c>
      <c r="D620" s="310">
        <f t="shared" ca="1" si="141"/>
        <v>0</v>
      </c>
      <c r="E620" s="310">
        <f t="shared" ca="1" si="140"/>
        <v>0</v>
      </c>
      <c r="F620" s="310">
        <f t="shared" ca="1" si="140"/>
        <v>0</v>
      </c>
      <c r="G620" s="310">
        <f t="shared" ca="1" si="140"/>
        <v>0</v>
      </c>
      <c r="H620" s="310">
        <f t="shared" ca="1" si="140"/>
        <v>0</v>
      </c>
      <c r="I620" s="310">
        <f t="shared" ca="1" si="140"/>
        <v>0</v>
      </c>
      <c r="J620" s="310">
        <f t="shared" ca="1" si="140"/>
        <v>0</v>
      </c>
      <c r="K620" s="310">
        <f t="shared" ca="1" si="140"/>
        <v>0</v>
      </c>
      <c r="L620" s="310">
        <f t="shared" ca="1" si="140"/>
        <v>0</v>
      </c>
      <c r="M620" s="310">
        <f t="shared" ca="1" si="140"/>
        <v>0</v>
      </c>
      <c r="N620" s="310">
        <f t="shared" ca="1" si="140"/>
        <v>3.2499999999999991</v>
      </c>
      <c r="O620" s="310">
        <f t="shared" ca="1" si="140"/>
        <v>3.3549606749966783</v>
      </c>
      <c r="P620" s="310">
        <f t="shared" ca="1" si="140"/>
        <v>3.4602880894450481</v>
      </c>
      <c r="Q620" s="310">
        <f t="shared" ca="1" si="140"/>
        <v>3.5723062573782274</v>
      </c>
      <c r="R620" s="310">
        <f t="shared" ca="1" si="140"/>
        <v>3.6905490181162044</v>
      </c>
      <c r="S620" s="310">
        <f t="shared" ca="1" si="140"/>
        <v>3.8091028907298998</v>
      </c>
    </row>
    <row r="621" spans="2:19">
      <c r="C621" s="13" t="s">
        <v>70</v>
      </c>
      <c r="D621" s="310">
        <f t="shared" ref="D621:N621" ca="1" si="142">SUMIF($C$7:$C$606,$C621,D$7:D$606)</f>
        <v>0</v>
      </c>
      <c r="E621" s="310">
        <f t="shared" ca="1" si="142"/>
        <v>0</v>
      </c>
      <c r="F621" s="310">
        <f t="shared" ca="1" si="142"/>
        <v>0</v>
      </c>
      <c r="G621" s="310">
        <f t="shared" ca="1" si="142"/>
        <v>0</v>
      </c>
      <c r="H621" s="310">
        <f t="shared" ca="1" si="142"/>
        <v>0</v>
      </c>
      <c r="I621" s="310">
        <f t="shared" ca="1" si="142"/>
        <v>0</v>
      </c>
      <c r="J621" s="310">
        <f t="shared" ca="1" si="142"/>
        <v>0</v>
      </c>
      <c r="K621" s="310">
        <f t="shared" ca="1" si="142"/>
        <v>0</v>
      </c>
      <c r="L621" s="310">
        <f t="shared" ca="1" si="142"/>
        <v>0</v>
      </c>
      <c r="M621" s="310">
        <f t="shared" ca="1" si="142"/>
        <v>0</v>
      </c>
      <c r="N621" s="310">
        <f t="shared" ca="1" si="142"/>
        <v>24.672153663044035</v>
      </c>
      <c r="O621" s="310">
        <f ca="1">SUMIF($C$7:$C$606,$C621,O$7:O$606)</f>
        <v>22.894964085694962</v>
      </c>
      <c r="P621" s="310">
        <f ca="1">SUMIF($C$7:$C$606,$C621,P$7:P$606)</f>
        <v>23.117682290267336</v>
      </c>
      <c r="Q621" s="310">
        <f ca="1">SUMIF($C$7:$C$606,$C621,Q$7:Q$606)</f>
        <v>23.337836762373094</v>
      </c>
      <c r="R621" s="310">
        <f ca="1">SUMIF($C$7:$C$606,$C621,R$7:R$606)</f>
        <v>23.576686682788139</v>
      </c>
      <c r="S621" s="310">
        <f ca="1">SUMIF($C$7:$C$606,$C621,S$7:S$606)</f>
        <v>23.795474997448785</v>
      </c>
    </row>
    <row r="622" spans="2:19" ht="13.5" thickBot="1">
      <c r="C622" s="18" t="s">
        <v>75</v>
      </c>
      <c r="D622" s="316">
        <f t="shared" ref="D622:L622" ca="1" si="143">SUM(D616:D621)</f>
        <v>0</v>
      </c>
      <c r="E622" s="316">
        <f t="shared" ca="1" si="143"/>
        <v>0</v>
      </c>
      <c r="F622" s="316">
        <f t="shared" ca="1" si="143"/>
        <v>0</v>
      </c>
      <c r="G622" s="316">
        <f t="shared" ca="1" si="143"/>
        <v>0</v>
      </c>
      <c r="H622" s="316">
        <f t="shared" ca="1" si="143"/>
        <v>0</v>
      </c>
      <c r="I622" s="316">
        <f t="shared" ca="1" si="143"/>
        <v>0</v>
      </c>
      <c r="J622" s="316">
        <f t="shared" ca="1" si="143"/>
        <v>0</v>
      </c>
      <c r="K622" s="316">
        <f t="shared" ca="1" si="143"/>
        <v>0</v>
      </c>
      <c r="L622" s="316">
        <f t="shared" ca="1" si="143"/>
        <v>0</v>
      </c>
      <c r="M622" s="316">
        <f t="shared" ref="M622:S622" ca="1" si="144">SUM(M616:M621)</f>
        <v>0</v>
      </c>
      <c r="N622" s="316">
        <f t="shared" ca="1" si="144"/>
        <v>240.27610351304395</v>
      </c>
      <c r="O622" s="316">
        <f t="shared" ca="1" si="144"/>
        <v>260.96971133890582</v>
      </c>
      <c r="P622" s="316">
        <f t="shared" ca="1" si="144"/>
        <v>271.89281450892292</v>
      </c>
      <c r="Q622" s="316">
        <f t="shared" ca="1" si="144"/>
        <v>275.54213808600502</v>
      </c>
      <c r="R622" s="316">
        <f t="shared" ca="1" si="144"/>
        <v>281.30714348354786</v>
      </c>
      <c r="S622" s="316">
        <f t="shared" ca="1" si="144"/>
        <v>285.84944311230561</v>
      </c>
    </row>
    <row r="625" spans="2:19">
      <c r="B625" s="2"/>
    </row>
    <row r="629" spans="2:19">
      <c r="B629" s="2"/>
    </row>
    <row r="630" spans="2:19">
      <c r="B630" s="647"/>
    </row>
    <row r="631" spans="2:19">
      <c r="B631" s="647"/>
    </row>
    <row r="632" spans="2:19" ht="13.5" thickBot="1"/>
    <row r="633" spans="2:19">
      <c r="B633" s="326" t="s">
        <v>288</v>
      </c>
      <c r="C633" s="317"/>
      <c r="D633" s="317"/>
      <c r="E633" s="317"/>
      <c r="F633" s="317"/>
      <c r="G633" s="317"/>
      <c r="H633" s="317"/>
      <c r="I633" s="317"/>
      <c r="J633" s="317"/>
      <c r="K633" s="317"/>
      <c r="L633" s="317"/>
      <c r="M633" s="317"/>
      <c r="N633" s="317"/>
      <c r="O633" s="317"/>
      <c r="P633" s="317"/>
      <c r="Q633" s="317"/>
      <c r="R633" s="317"/>
      <c r="S633" s="318"/>
    </row>
    <row r="634" spans="2:19">
      <c r="B634" s="319" t="s">
        <v>311</v>
      </c>
      <c r="C634" s="67"/>
      <c r="D634" s="308">
        <f ca="1">ROUND(+D622-D609,4)</f>
        <v>0</v>
      </c>
      <c r="E634" s="308">
        <f t="shared" ref="E634:S634" ca="1" si="145">ROUND(+E622-E609,4)</f>
        <v>0</v>
      </c>
      <c r="F634" s="308">
        <f t="shared" ca="1" si="145"/>
        <v>0</v>
      </c>
      <c r="G634" s="308">
        <f t="shared" ca="1" si="145"/>
        <v>0</v>
      </c>
      <c r="H634" s="308">
        <f t="shared" ca="1" si="145"/>
        <v>0</v>
      </c>
      <c r="I634" s="308">
        <f t="shared" ca="1" si="145"/>
        <v>0</v>
      </c>
      <c r="J634" s="308">
        <f t="shared" ca="1" si="145"/>
        <v>0</v>
      </c>
      <c r="K634" s="308">
        <f t="shared" ca="1" si="145"/>
        <v>0</v>
      </c>
      <c r="L634" s="308">
        <f t="shared" ca="1" si="145"/>
        <v>0</v>
      </c>
      <c r="M634" s="308">
        <f t="shared" ca="1" si="145"/>
        <v>0</v>
      </c>
      <c r="N634" s="308">
        <f t="shared" ca="1" si="145"/>
        <v>0</v>
      </c>
      <c r="O634" s="308">
        <f t="shared" ca="1" si="145"/>
        <v>0</v>
      </c>
      <c r="P634" s="308">
        <f t="shared" ca="1" si="145"/>
        <v>0</v>
      </c>
      <c r="Q634" s="308">
        <f t="shared" ca="1" si="145"/>
        <v>0</v>
      </c>
      <c r="R634" s="308">
        <f t="shared" ca="1" si="145"/>
        <v>0</v>
      </c>
      <c r="S634" s="320">
        <f t="shared" ca="1" si="145"/>
        <v>0</v>
      </c>
    </row>
    <row r="635" spans="2:19">
      <c r="B635" s="319" t="s">
        <v>312</v>
      </c>
      <c r="C635" s="67"/>
      <c r="D635" s="321"/>
      <c r="E635" s="321"/>
      <c r="F635" s="321"/>
      <c r="G635" s="321"/>
      <c r="H635" s="321"/>
      <c r="I635" s="321"/>
      <c r="J635" s="321"/>
      <c r="K635" s="321"/>
      <c r="L635" s="308">
        <f ca="1">+'R2'!B70+'R3'!B70-L622</f>
        <v>0</v>
      </c>
      <c r="M635" s="308">
        <f ca="1">+'R2'!C70+'R3'!C70-M622</f>
        <v>0</v>
      </c>
      <c r="N635" s="308">
        <f ca="1">+'R2'!D70+'R3'!D70-N622</f>
        <v>0</v>
      </c>
      <c r="O635" s="308">
        <f ca="1">+'R2'!E70+'R3'!E70-O622</f>
        <v>0</v>
      </c>
      <c r="P635" s="308">
        <f ca="1">+'R2'!F70+'R3'!F70-P622</f>
        <v>0</v>
      </c>
      <c r="Q635" s="308">
        <f ca="1">+'R2'!G70+'R3'!G70-Q622</f>
        <v>0</v>
      </c>
      <c r="R635" s="308">
        <f ca="1">+'R2'!H70+'R3'!H70-R622</f>
        <v>0</v>
      </c>
      <c r="S635" s="320">
        <f ca="1">+'R2'!I70+'R3'!I70-S622</f>
        <v>0</v>
      </c>
    </row>
    <row r="636" spans="2:19">
      <c r="B636" s="319" t="s">
        <v>313</v>
      </c>
      <c r="C636" s="67"/>
      <c r="D636" s="308">
        <f>+D609-'I-4 History'!D600</f>
        <v>0</v>
      </c>
      <c r="E636" s="308">
        <f>+E609-'I-4 History'!E600</f>
        <v>0</v>
      </c>
      <c r="F636" s="308">
        <f>+F609-'I-4 History'!F600</f>
        <v>0</v>
      </c>
      <c r="G636" s="308">
        <f>+G609-'I-4 History'!G600</f>
        <v>0</v>
      </c>
      <c r="H636" s="308">
        <f>+H609-'I-4 History'!H600</f>
        <v>0</v>
      </c>
      <c r="I636" s="308">
        <f>+I609-'I-4 History'!I600</f>
        <v>0</v>
      </c>
      <c r="J636" s="308">
        <f>+J609-'I-4 History'!J600</f>
        <v>0</v>
      </c>
      <c r="K636" s="308">
        <f>+K609-'I-4 History'!K600</f>
        <v>0</v>
      </c>
      <c r="L636" s="321"/>
      <c r="M636" s="321"/>
      <c r="N636" s="321"/>
      <c r="O636" s="321"/>
      <c r="P636" s="321"/>
      <c r="Q636" s="321"/>
      <c r="R636" s="321"/>
      <c r="S636" s="325"/>
    </row>
    <row r="637" spans="2:19" ht="13.5" thickBot="1">
      <c r="B637" s="322"/>
      <c r="C637" s="323"/>
      <c r="D637" s="323"/>
      <c r="E637" s="323"/>
      <c r="F637" s="323"/>
      <c r="G637" s="323"/>
      <c r="H637" s="323"/>
      <c r="I637" s="323"/>
      <c r="J637" s="323"/>
      <c r="K637" s="323"/>
      <c r="L637" s="323"/>
      <c r="M637" s="323"/>
      <c r="N637" s="323"/>
      <c r="O637" s="323"/>
      <c r="P637" s="323"/>
      <c r="Q637" s="323"/>
      <c r="R637" s="323"/>
      <c r="S637" s="324"/>
    </row>
    <row r="639" spans="2:19">
      <c r="O639" s="268"/>
    </row>
    <row r="640" spans="2:19" ht="15">
      <c r="B640" s="717" t="s">
        <v>612</v>
      </c>
      <c r="C640" s="709"/>
      <c r="D640" s="709"/>
      <c r="E640" s="709"/>
      <c r="F640" s="709"/>
      <c r="G640" s="709"/>
      <c r="H640" s="709"/>
      <c r="I640" s="709"/>
      <c r="J640" s="709"/>
      <c r="K640" s="710"/>
    </row>
    <row r="641" spans="2:11" ht="13.5">
      <c r="B641" s="711" t="s">
        <v>607</v>
      </c>
      <c r="C641" s="712"/>
      <c r="D641" s="712"/>
      <c r="E641" s="712"/>
      <c r="F641" s="712"/>
      <c r="G641" s="712"/>
      <c r="H641" s="712"/>
      <c r="I641" s="712"/>
      <c r="J641" s="712"/>
      <c r="K641" s="713"/>
    </row>
    <row r="642" spans="2:11" ht="13.5">
      <c r="B642" s="711"/>
      <c r="C642" s="712"/>
      <c r="D642" s="712"/>
      <c r="E642" s="712"/>
      <c r="F642" s="712"/>
      <c r="G642" s="712"/>
      <c r="H642" s="712"/>
      <c r="I642" s="712"/>
      <c r="J642" s="712"/>
      <c r="K642" s="713"/>
    </row>
    <row r="643" spans="2:11" ht="13.5">
      <c r="B643" s="711" t="s">
        <v>608</v>
      </c>
      <c r="C643" s="712"/>
      <c r="D643" s="712"/>
      <c r="E643" s="712"/>
      <c r="F643" s="712"/>
      <c r="G643" s="712"/>
      <c r="H643" s="712"/>
      <c r="I643" s="712"/>
      <c r="J643" s="712"/>
      <c r="K643" s="713"/>
    </row>
    <row r="644" spans="2:11" ht="13.5">
      <c r="B644" s="711" t="s">
        <v>609</v>
      </c>
      <c r="C644" s="712"/>
      <c r="D644" s="712"/>
      <c r="E644" s="712"/>
      <c r="F644" s="712"/>
      <c r="G644" s="712"/>
      <c r="H644" s="712"/>
      <c r="I644" s="712"/>
      <c r="J644" s="712"/>
      <c r="K644" s="713"/>
    </row>
    <row r="645" spans="2:11" ht="13.5">
      <c r="B645" s="711" t="s">
        <v>610</v>
      </c>
      <c r="C645" s="712"/>
      <c r="D645" s="712"/>
      <c r="E645" s="712"/>
      <c r="F645" s="712"/>
      <c r="G645" s="712"/>
      <c r="H645" s="712"/>
      <c r="I645" s="712"/>
      <c r="J645" s="712"/>
      <c r="K645" s="713"/>
    </row>
    <row r="646" spans="2:11" ht="13.5">
      <c r="B646" s="711" t="s">
        <v>611</v>
      </c>
      <c r="C646" s="712"/>
      <c r="D646" s="712"/>
      <c r="E646" s="712"/>
      <c r="F646" s="712"/>
      <c r="G646" s="712"/>
      <c r="H646" s="712"/>
      <c r="I646" s="712"/>
      <c r="J646" s="712"/>
      <c r="K646" s="713"/>
    </row>
    <row r="647" spans="2:11" ht="13.5">
      <c r="B647" s="714"/>
      <c r="C647" s="715"/>
      <c r="D647" s="715"/>
      <c r="E647" s="715"/>
      <c r="F647" s="715"/>
      <c r="G647" s="715"/>
      <c r="H647" s="715"/>
      <c r="I647" s="715"/>
      <c r="J647" s="715"/>
      <c r="K647" s="716"/>
    </row>
  </sheetData>
  <sheetProtection formatColumns="0" formatRows="0"/>
  <phoneticPr fontId="0" type="noConversion"/>
  <conditionalFormatting sqref="D634:S634 L635:S635 D636:K636">
    <cfRule type="cellIs" dxfId="53" priority="1" stopIfTrue="1" operator="equal">
      <formula>0</formula>
    </cfRule>
    <cfRule type="cellIs" dxfId="52" priority="2" stopIfTrue="1" operator="notEqual">
      <formula>0</formula>
    </cfRule>
  </conditionalFormatting>
  <pageMargins left="0.46" right="0.47" top="0.64" bottom="0.6" header="0.24" footer="0.2"/>
  <pageSetup paperSize="9" scale="63" fitToHeight="0" orientation="landscape" r:id="rId1"/>
  <headerFooter alignWithMargins="0">
    <oddFooter>&amp;L&amp;8&amp;F
&amp;A
Printed: &amp;T on &amp;D&amp;C&amp;8Page &amp;P of &amp;N</oddFooter>
  </headerFooter>
  <rowBreaks count="9" manualBreakCount="9">
    <brk id="69" min="1" max="18" man="1"/>
    <brk id="134" min="1" max="18" man="1"/>
    <brk id="197" min="1" max="18" man="1"/>
    <brk id="227" min="1" max="18" man="1"/>
    <brk id="284" min="1" max="18" man="1"/>
    <brk id="348" min="1" max="18" man="1"/>
    <brk id="413" min="1" max="18" man="1"/>
    <brk id="476" min="1" max="18" man="1"/>
    <brk id="541" min="1" max="18" man="1"/>
  </rowBreaks>
</worksheet>
</file>

<file path=xl/worksheets/sheet81.xml><?xml version="1.0" encoding="utf-8"?>
<worksheet xmlns="http://schemas.openxmlformats.org/spreadsheetml/2006/main" xmlns:r="http://schemas.openxmlformats.org/officeDocument/2006/relationships">
  <sheetPr codeName="Sheet20" enableFormatConditionsCalculation="0">
    <tabColor indexed="12"/>
    <pageSetUpPr fitToPage="1"/>
  </sheetPr>
  <dimension ref="A1:T145"/>
  <sheetViews>
    <sheetView showGridLines="0" topLeftCell="A3" zoomScaleNormal="100" workbookViewId="0">
      <selection activeCell="E9" sqref="E9"/>
    </sheetView>
  </sheetViews>
  <sheetFormatPr defaultRowHeight="12.75" outlineLevelRow="2"/>
  <cols>
    <col min="1" max="1" width="30" customWidth="1"/>
    <col min="2" max="9" width="11.5703125" customWidth="1"/>
    <col min="10" max="10" width="25.5703125" customWidth="1"/>
  </cols>
  <sheetData>
    <row r="1" spans="1:20" ht="18" customHeight="1">
      <c r="A1" s="183" t="s">
        <v>40</v>
      </c>
      <c r="B1" s="1"/>
      <c r="C1" s="72"/>
      <c r="D1" s="42"/>
      <c r="E1" s="42"/>
      <c r="F1" s="42"/>
      <c r="G1" s="42"/>
      <c r="H1" s="42"/>
      <c r="I1" s="73" t="str">
        <f>+LU_BaseYearDollars</f>
        <v>($M) 2013/14 dollars</v>
      </c>
      <c r="M1" s="282"/>
      <c r="N1" s="280"/>
      <c r="O1" s="280"/>
      <c r="P1" s="280"/>
      <c r="Q1" s="280"/>
      <c r="R1" s="280"/>
      <c r="S1" s="280"/>
      <c r="T1" s="280"/>
    </row>
    <row r="2" spans="1:20" ht="15.75">
      <c r="A2" s="184" t="s">
        <v>121</v>
      </c>
      <c r="B2" s="74" t="s">
        <v>272</v>
      </c>
      <c r="F2" s="284"/>
      <c r="H2" s="42"/>
      <c r="I2" s="283"/>
      <c r="L2" s="282"/>
      <c r="M2" s="282"/>
    </row>
    <row r="3" spans="1:20" ht="16.5" thickBot="1">
      <c r="A3" s="184" t="s">
        <v>118</v>
      </c>
      <c r="B3" s="236"/>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c r="C7"/>
      <c r="D7"/>
      <c r="E7"/>
      <c r="F7" s="78"/>
      <c r="G7" s="78"/>
      <c r="H7" s="78"/>
      <c r="I7" s="78"/>
      <c r="J7" s="36"/>
      <c r="K7" s="63"/>
      <c r="L7" s="63"/>
    </row>
    <row r="8" spans="1:20" outlineLevel="1">
      <c r="A8" s="61" t="s">
        <v>68</v>
      </c>
      <c r="B8" s="285">
        <f ca="1">SUM('DA-1:DA-24'!B8)</f>
        <v>0</v>
      </c>
      <c r="C8" s="285">
        <f ca="1">SUM('DA-1:DA-24'!C8)</f>
        <v>0</v>
      </c>
      <c r="D8" s="285">
        <f ca="1">SUM('DA-1:DA-24'!D8)</f>
        <v>60.220850082078698</v>
      </c>
      <c r="E8" s="285">
        <f ca="1">SUM('DA-1:DA-24'!E8)</f>
        <v>60.220850082078698</v>
      </c>
      <c r="F8" s="285">
        <f ca="1">SUM('DA-1:DA-24'!F8)</f>
        <v>60.220850082078698</v>
      </c>
      <c r="G8" s="285">
        <f ca="1">SUM('DA-1:DA-24'!G8)</f>
        <v>60.220850082078698</v>
      </c>
      <c r="H8" s="285">
        <f ca="1">SUM('DA-1:DA-24'!H8)</f>
        <v>60.220850082078698</v>
      </c>
      <c r="I8" s="285">
        <f ca="1">SUM('DA-1:DA-24'!I8)</f>
        <v>60.220850082078698</v>
      </c>
      <c r="J8" s="81"/>
      <c r="K8" s="21"/>
      <c r="L8" s="21"/>
    </row>
    <row r="9" spans="1:20" outlineLevel="1">
      <c r="A9" s="61" t="s">
        <v>69</v>
      </c>
      <c r="B9" s="285">
        <f ca="1">SUM('DA-1:DA-24'!B9)</f>
        <v>0</v>
      </c>
      <c r="C9" s="285">
        <f ca="1">SUM('DA-1:DA-24'!C9)</f>
        <v>0</v>
      </c>
      <c r="D9" s="285">
        <f ca="1">SUM('DA-1:DA-24'!D9)</f>
        <v>0.27854793477535272</v>
      </c>
      <c r="E9" s="285">
        <f ca="1">SUM('DA-1:DA-24'!E9)</f>
        <v>0.27854793477535272</v>
      </c>
      <c r="F9" s="285">
        <f ca="1">SUM('DA-1:DA-24'!F9)</f>
        <v>0.27854793477535272</v>
      </c>
      <c r="G9" s="285">
        <f ca="1">SUM('DA-1:DA-24'!G9)</f>
        <v>0.27854793477535272</v>
      </c>
      <c r="H9" s="285">
        <f ca="1">SUM('DA-1:DA-24'!H9)</f>
        <v>0.27854793477535272</v>
      </c>
      <c r="I9" s="285">
        <f ca="1">SUM('DA-1:DA-24'!I9)</f>
        <v>0.27854793477535272</v>
      </c>
      <c r="J9" s="36"/>
      <c r="K9" s="21"/>
      <c r="L9" s="21"/>
    </row>
    <row r="10" spans="1:20" s="759" customFormat="1" outlineLevel="1">
      <c r="A10" s="61" t="s">
        <v>646</v>
      </c>
      <c r="B10" s="285">
        <f ca="1">SUM('DA-1:DA-24'!B10)</f>
        <v>0</v>
      </c>
      <c r="C10" s="285">
        <f ca="1">SUM('DA-1:DA-24'!C10)</f>
        <v>0</v>
      </c>
      <c r="D10" s="285">
        <f ca="1">SUM('DA-1:DA-24'!D10)</f>
        <v>54.494712114168571</v>
      </c>
      <c r="E10" s="285">
        <f ca="1">SUM('DA-1:DA-24'!E10)</f>
        <v>54.494712114168571</v>
      </c>
      <c r="F10" s="285">
        <f ca="1">SUM('DA-1:DA-24'!F10)</f>
        <v>54.494712114168571</v>
      </c>
      <c r="G10" s="285">
        <f ca="1">SUM('DA-1:DA-24'!G10)</f>
        <v>54.494712114168571</v>
      </c>
      <c r="H10" s="285">
        <f ca="1">SUM('DA-1:DA-24'!H10)</f>
        <v>54.494712114168571</v>
      </c>
      <c r="I10" s="285">
        <f ca="1">SUM('DA-1:DA-24'!I10)</f>
        <v>54.494712114168571</v>
      </c>
      <c r="J10" s="36"/>
      <c r="K10" s="732"/>
      <c r="L10" s="732"/>
    </row>
    <row r="11" spans="1:20" outlineLevel="1">
      <c r="A11" s="61" t="s">
        <v>647</v>
      </c>
      <c r="B11" s="285">
        <f ca="1">SUM('DA-1:DA-24'!B11)</f>
        <v>0</v>
      </c>
      <c r="C11" s="285">
        <f ca="1">SUM('DA-1:DA-24'!C11)</f>
        <v>0</v>
      </c>
      <c r="D11" s="285">
        <f ca="1">SUM('DA-1:DA-24'!D11)</f>
        <v>20.812290141271461</v>
      </c>
      <c r="E11" s="285">
        <f ca="1">SUM('DA-1:DA-24'!E11)</f>
        <v>20.812290141271461</v>
      </c>
      <c r="F11" s="285">
        <f ca="1">SUM('DA-1:DA-24'!F11)</f>
        <v>20.812290141271461</v>
      </c>
      <c r="G11" s="285">
        <f ca="1">SUM('DA-1:DA-24'!G11)</f>
        <v>20.812290141271461</v>
      </c>
      <c r="H11" s="285">
        <f ca="1">SUM('DA-1:DA-24'!H11)</f>
        <v>20.812290141271461</v>
      </c>
      <c r="I11" s="285">
        <f ca="1">SUM('DA-1:DA-24'!I11)</f>
        <v>20.812290141271461</v>
      </c>
      <c r="J11" s="36"/>
      <c r="K11" s="21"/>
      <c r="L11" s="21"/>
    </row>
    <row r="12" spans="1:20" s="759" customFormat="1" outlineLevel="1">
      <c r="A12" s="61" t="s">
        <v>575</v>
      </c>
      <c r="B12" s="285">
        <f ca="1">SUM('DA-1:DA-24'!B12)</f>
        <v>0</v>
      </c>
      <c r="C12" s="285">
        <f ca="1">SUM('DA-1:DA-24'!C12)</f>
        <v>0</v>
      </c>
      <c r="D12" s="285">
        <f ca="1">SUM('DA-1:DA-24'!D12)</f>
        <v>9.8130000000000006</v>
      </c>
      <c r="E12" s="285">
        <f ca="1">SUM('DA-1:DA-24'!E12)</f>
        <v>9.8130000000000006</v>
      </c>
      <c r="F12" s="285">
        <f ca="1">SUM('DA-1:DA-24'!F12)</f>
        <v>9.8130000000000006</v>
      </c>
      <c r="G12" s="285">
        <f ca="1">SUM('DA-1:DA-24'!G12)</f>
        <v>9.8130000000000006</v>
      </c>
      <c r="H12" s="285">
        <f ca="1">SUM('DA-1:DA-24'!H12)</f>
        <v>9.8130000000000006</v>
      </c>
      <c r="I12" s="285">
        <f ca="1">SUM('DA-1:DA-24'!I12)</f>
        <v>9.8130000000000006</v>
      </c>
      <c r="J12" s="36"/>
      <c r="K12" s="732"/>
      <c r="L12" s="732"/>
    </row>
    <row r="13" spans="1:20" outlineLevel="1">
      <c r="A13" s="83" t="s">
        <v>70</v>
      </c>
      <c r="B13" s="286">
        <f ca="1">SUM('DA-1:DA-24'!B13)</f>
        <v>0</v>
      </c>
      <c r="C13" s="286">
        <f ca="1">SUM('DA-1:DA-24'!C13)</f>
        <v>0</v>
      </c>
      <c r="D13" s="286">
        <f ca="1">SUM('DA-1:DA-24'!D13)</f>
        <v>17.33959972770592</v>
      </c>
      <c r="E13" s="286">
        <f ca="1">SUM('DA-1:DA-24'!E13)</f>
        <v>17.33959972770592</v>
      </c>
      <c r="F13" s="286">
        <f ca="1">SUM('DA-1:DA-24'!F13)</f>
        <v>17.33959972770592</v>
      </c>
      <c r="G13" s="286">
        <f ca="1">SUM('DA-1:DA-24'!G13)</f>
        <v>17.33959972770592</v>
      </c>
      <c r="H13" s="286">
        <f ca="1">SUM('DA-1:DA-24'!H13)</f>
        <v>17.33959972770592</v>
      </c>
      <c r="I13" s="286">
        <f ca="1">SUM('DA-1:DA-24'!I13)</f>
        <v>17.33959972770592</v>
      </c>
      <c r="J13" s="36"/>
      <c r="K13" s="21"/>
      <c r="L13" s="21"/>
    </row>
    <row r="14" spans="1:20" s="87" customFormat="1" ht="18" customHeight="1">
      <c r="A14" s="84" t="s">
        <v>71</v>
      </c>
      <c r="B14" s="287">
        <f t="shared" ref="B14:I14" ca="1" si="0">SUM(B8:B13)</f>
        <v>0</v>
      </c>
      <c r="C14" s="287">
        <f t="shared" ca="1" si="0"/>
        <v>0</v>
      </c>
      <c r="D14" s="287">
        <f t="shared" ca="1" si="0"/>
        <v>162.95899999999997</v>
      </c>
      <c r="E14" s="287">
        <f t="shared" ca="1" si="0"/>
        <v>162.95899999999997</v>
      </c>
      <c r="F14" s="287">
        <f t="shared" ca="1" si="0"/>
        <v>162.95899999999997</v>
      </c>
      <c r="G14" s="287">
        <f t="shared" ca="1" si="0"/>
        <v>162.95899999999997</v>
      </c>
      <c r="H14" s="287">
        <f t="shared" ca="1" si="0"/>
        <v>162.95899999999997</v>
      </c>
      <c r="I14" s="287">
        <f t="shared" ca="1" si="0"/>
        <v>162.95899999999997</v>
      </c>
      <c r="J14" s="308">
        <f ca="1">+J130</f>
        <v>0</v>
      </c>
      <c r="K14" s="86"/>
      <c r="L14" s="86"/>
    </row>
    <row r="15" spans="1:20" outlineLevel="1">
      <c r="A15" s="88"/>
      <c r="B15" s="89"/>
      <c r="C15" s="89"/>
      <c r="D15" s="89"/>
      <c r="E15" s="89"/>
      <c r="F15" s="89"/>
      <c r="G15" s="89"/>
      <c r="H15" s="89"/>
      <c r="I15" s="89"/>
      <c r="K15" s="21"/>
      <c r="L15" s="21"/>
    </row>
    <row r="16" spans="1:20" ht="18" outlineLevel="1">
      <c r="A16" s="207" t="s">
        <v>291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SUM('DA-1:DA-24'!C19)</f>
        <v>0</v>
      </c>
      <c r="D19" s="285">
        <f>SUM('DA-1:DA-24'!D19)</f>
        <v>6.2879041559697882E-2</v>
      </c>
      <c r="E19" s="285">
        <f>SUM('DA-1:DA-24'!E19)</f>
        <v>1.8759999999999999</v>
      </c>
      <c r="F19" s="285">
        <f>SUM('DA-1:DA-24'!F19)</f>
        <v>2.6239999999999997</v>
      </c>
      <c r="G19" s="285">
        <f>SUM('DA-1:DA-24'!G19)</f>
        <v>3</v>
      </c>
      <c r="H19" s="285">
        <f>SUM('DA-1:DA-24'!H19)</f>
        <v>2.8879999999999999</v>
      </c>
      <c r="I19" s="285">
        <f>SUM('DA-1:DA-24'!I19)</f>
        <v>3.0220000000000002</v>
      </c>
      <c r="J19" s="42"/>
      <c r="K19" s="21"/>
      <c r="L19" s="21"/>
    </row>
    <row r="20" spans="1:12" outlineLevel="1">
      <c r="A20" s="61" t="s">
        <v>69</v>
      </c>
      <c r="B20" s="289"/>
      <c r="C20" s="285">
        <f>SUM('DA-1:DA-24'!C20)</f>
        <v>0</v>
      </c>
      <c r="D20" s="285">
        <f>SUM('DA-1:DA-24'!D20)</f>
        <v>0</v>
      </c>
      <c r="E20" s="285">
        <f>SUM('DA-1:DA-24'!E20)</f>
        <v>0</v>
      </c>
      <c r="F20" s="285">
        <f>SUM('DA-1:DA-24'!F20)</f>
        <v>2.4E-2</v>
      </c>
      <c r="G20" s="285">
        <f>SUM('DA-1:DA-24'!G20)</f>
        <v>3.1E-2</v>
      </c>
      <c r="H20" s="285">
        <f>SUM('DA-1:DA-24'!H20)</f>
        <v>4.5999999999999999E-2</v>
      </c>
      <c r="I20" s="285">
        <f>SUM('DA-1:DA-24'!I20)</f>
        <v>4.2000000000000003E-2</v>
      </c>
      <c r="J20" s="42"/>
      <c r="K20" s="21"/>
      <c r="L20" s="21"/>
    </row>
    <row r="21" spans="1:12" s="759" customFormat="1" outlineLevel="1">
      <c r="A21" s="61" t="s">
        <v>646</v>
      </c>
      <c r="B21" s="289"/>
      <c r="C21" s="285">
        <f>SUM('DA-1:DA-24'!C21)</f>
        <v>0</v>
      </c>
      <c r="D21" s="285">
        <f>SUM('DA-1:DA-24'!D21)</f>
        <v>4.8220000000000001</v>
      </c>
      <c r="E21" s="285">
        <f>SUM('DA-1:DA-24'!E21)</f>
        <v>13.257999999999999</v>
      </c>
      <c r="F21" s="285">
        <f>SUM('DA-1:DA-24'!F21)</f>
        <v>11.481999999999999</v>
      </c>
      <c r="G21" s="285">
        <f>SUM('DA-1:DA-24'!G21)</f>
        <v>11.339</v>
      </c>
      <c r="H21" s="285">
        <f>SUM('DA-1:DA-24'!H21)</f>
        <v>11.161000000000001</v>
      </c>
      <c r="I21" s="285">
        <f>SUM('DA-1:DA-24'!I21)</f>
        <v>9.1430000000000007</v>
      </c>
      <c r="J21" s="42"/>
      <c r="K21" s="732"/>
      <c r="L21" s="732"/>
    </row>
    <row r="22" spans="1:12" outlineLevel="1">
      <c r="A22" s="61" t="s">
        <v>647</v>
      </c>
      <c r="B22" s="289"/>
      <c r="C22" s="285">
        <f>SUM('DA-1:DA-24'!C22)</f>
        <v>0</v>
      </c>
      <c r="D22" s="285">
        <f>SUM('DA-1:DA-24'!D22)</f>
        <v>9.6736987014919812E-2</v>
      </c>
      <c r="E22" s="285">
        <f>SUM('DA-1:DA-24'!E22)</f>
        <v>2.629</v>
      </c>
      <c r="F22" s="285">
        <f>SUM('DA-1:DA-24'!F22)</f>
        <v>8.6849999999999987</v>
      </c>
      <c r="G22" s="285">
        <f>SUM('DA-1:DA-24'!G22)</f>
        <v>3.54</v>
      </c>
      <c r="H22" s="285">
        <f>SUM('DA-1:DA-24'!H22)</f>
        <v>3.2119999999999993</v>
      </c>
      <c r="I22" s="285">
        <f>SUM('DA-1:DA-24'!I22)</f>
        <v>2.7709999999999999</v>
      </c>
      <c r="J22" s="42"/>
      <c r="K22" s="21"/>
      <c r="L22" s="21"/>
    </row>
    <row r="23" spans="1:12" s="759" customFormat="1" outlineLevel="1">
      <c r="A23" s="61" t="s">
        <v>575</v>
      </c>
      <c r="B23" s="289"/>
      <c r="C23" s="285">
        <f>SUM('DA-1:DA-24'!C23)</f>
        <v>0</v>
      </c>
      <c r="D23" s="285">
        <f>SUM('DA-1:DA-24'!D23)</f>
        <v>0</v>
      </c>
      <c r="E23" s="285">
        <f>SUM('DA-1:DA-24'!E23)</f>
        <v>0</v>
      </c>
      <c r="F23" s="285">
        <f>SUM('DA-1:DA-24'!F23)</f>
        <v>0</v>
      </c>
      <c r="G23" s="285">
        <f>SUM('DA-1:DA-24'!G23)</f>
        <v>0</v>
      </c>
      <c r="H23" s="285">
        <f>SUM('DA-1:DA-24'!H23)</f>
        <v>0</v>
      </c>
      <c r="I23" s="285">
        <f>SUM('DA-1:DA-24'!I23)</f>
        <v>0</v>
      </c>
      <c r="J23" s="42"/>
      <c r="K23" s="732"/>
      <c r="L23" s="732"/>
    </row>
    <row r="24" spans="1:12" outlineLevel="1">
      <c r="A24" s="83" t="s">
        <v>70</v>
      </c>
      <c r="B24" s="290"/>
      <c r="C24" s="286">
        <f>SUM('DA-1:DA-24'!C24)</f>
        <v>0</v>
      </c>
      <c r="D24" s="286">
        <f>SUM('DA-1:DA-24'!D24)</f>
        <v>0</v>
      </c>
      <c r="E24" s="286">
        <f>SUM('DA-1:DA-24'!E24)</f>
        <v>0</v>
      </c>
      <c r="F24" s="286">
        <f>SUM('DA-1:DA-24'!F24)</f>
        <v>0</v>
      </c>
      <c r="G24" s="286">
        <f>SUM('DA-1:DA-24'!G24)</f>
        <v>0</v>
      </c>
      <c r="H24" s="286">
        <f>SUM('DA-1:DA-24'!H24)</f>
        <v>0</v>
      </c>
      <c r="I24" s="286">
        <f>SUM('DA-1:DA-24'!I24)</f>
        <v>0</v>
      </c>
      <c r="J24" s="42"/>
      <c r="K24" s="21"/>
      <c r="L24" s="21"/>
    </row>
    <row r="25" spans="1:12" s="87" customFormat="1" ht="18" customHeight="1">
      <c r="A25" s="84" t="s">
        <v>72</v>
      </c>
      <c r="B25" s="291"/>
      <c r="C25" s="287">
        <f t="shared" ref="C25:I25" si="1">SUM(C19:C24)</f>
        <v>0</v>
      </c>
      <c r="D25" s="287">
        <f t="shared" si="1"/>
        <v>4.9816160285746172</v>
      </c>
      <c r="E25" s="287">
        <f t="shared" si="1"/>
        <v>17.762999999999998</v>
      </c>
      <c r="F25" s="287">
        <f t="shared" si="1"/>
        <v>22.814999999999998</v>
      </c>
      <c r="G25" s="287">
        <f t="shared" si="1"/>
        <v>17.91</v>
      </c>
      <c r="H25" s="287">
        <f t="shared" si="1"/>
        <v>17.306999999999999</v>
      </c>
      <c r="I25" s="287">
        <f t="shared" si="1"/>
        <v>14.978000000000002</v>
      </c>
      <c r="J25" s="308">
        <f>+J131</f>
        <v>0</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+'R2'!B8+'R2'!B19</f>
        <v>0</v>
      </c>
      <c r="C30" s="285">
        <f ca="1">+'R2'!C8+'R2'!C19</f>
        <v>0</v>
      </c>
      <c r="D30" s="285">
        <f ca="1">+'R2'!D8+'R2'!D19</f>
        <v>60.283729123638395</v>
      </c>
      <c r="E30" s="285">
        <f ca="1">+'R2'!E8+'R2'!E19</f>
        <v>62.096850082078696</v>
      </c>
      <c r="F30" s="285">
        <f ca="1">+'R2'!F8+'R2'!F19</f>
        <v>62.8448500820787</v>
      </c>
      <c r="G30" s="285">
        <f ca="1">+'R2'!G8+'R2'!G19</f>
        <v>63.220850082078698</v>
      </c>
      <c r="H30" s="285">
        <f ca="1">+'R2'!H8+'R2'!H19</f>
        <v>63.108850082078696</v>
      </c>
      <c r="I30" s="285">
        <f ca="1">+'R2'!I8+'R2'!I19</f>
        <v>63.242850082078697</v>
      </c>
      <c r="J30" s="42"/>
      <c r="K30" s="21"/>
      <c r="L30" s="21"/>
    </row>
    <row r="31" spans="1:12" outlineLevel="2">
      <c r="A31" s="61" t="s">
        <v>69</v>
      </c>
      <c r="B31" s="285">
        <f ca="1">+'R2'!B9+'R2'!B20</f>
        <v>0</v>
      </c>
      <c r="C31" s="285">
        <f ca="1">+'R2'!C9+'R2'!C20</f>
        <v>0</v>
      </c>
      <c r="D31" s="285">
        <f ca="1">+'R2'!D9+'R2'!D20</f>
        <v>0.27854793477535272</v>
      </c>
      <c r="E31" s="285">
        <f ca="1">+'R2'!E9+'R2'!E20</f>
        <v>0.27854793477535272</v>
      </c>
      <c r="F31" s="285">
        <f ca="1">+'R2'!F9+'R2'!F20</f>
        <v>0.30254793477535274</v>
      </c>
      <c r="G31" s="285">
        <f ca="1">+'R2'!G9+'R2'!G20</f>
        <v>0.3095479347753527</v>
      </c>
      <c r="H31" s="285">
        <f ca="1">+'R2'!H9+'R2'!H20</f>
        <v>0.32454793477535271</v>
      </c>
      <c r="I31" s="285">
        <f ca="1">+'R2'!I9+'R2'!I20</f>
        <v>0.32054793477535271</v>
      </c>
      <c r="J31" s="42"/>
      <c r="K31" s="21"/>
      <c r="L31" s="21"/>
    </row>
    <row r="32" spans="1:12" s="759" customFormat="1" outlineLevel="2">
      <c r="A32" s="61" t="s">
        <v>646</v>
      </c>
      <c r="B32" s="285">
        <f ca="1">+'R2'!B10+'R2'!B21</f>
        <v>0</v>
      </c>
      <c r="C32" s="285">
        <f ca="1">+'R2'!C10+'R2'!C21</f>
        <v>0</v>
      </c>
      <c r="D32" s="285">
        <f ca="1">+'R2'!D10+'R2'!D21</f>
        <v>59.316712114168574</v>
      </c>
      <c r="E32" s="285">
        <f ca="1">+'R2'!E10+'R2'!E21</f>
        <v>67.752712114168574</v>
      </c>
      <c r="F32" s="285">
        <f ca="1">+'R2'!F10+'R2'!F21</f>
        <v>65.976712114168578</v>
      </c>
      <c r="G32" s="285">
        <f ca="1">+'R2'!G10+'R2'!G21</f>
        <v>65.833712114168577</v>
      </c>
      <c r="H32" s="285">
        <f ca="1">+'R2'!H10+'R2'!H21</f>
        <v>65.65571211416858</v>
      </c>
      <c r="I32" s="285">
        <f ca="1">+'R2'!I10+'R2'!I21</f>
        <v>63.637712114168572</v>
      </c>
      <c r="J32" s="42"/>
      <c r="K32" s="732"/>
      <c r="L32" s="732"/>
    </row>
    <row r="33" spans="1:12" outlineLevel="2">
      <c r="A33" s="61" t="s">
        <v>647</v>
      </c>
      <c r="B33" s="285">
        <f ca="1">+'R2'!B11+'R2'!B22</f>
        <v>0</v>
      </c>
      <c r="C33" s="285">
        <f ca="1">+'R2'!C11+'R2'!C22</f>
        <v>0</v>
      </c>
      <c r="D33" s="285">
        <f ca="1">+'R2'!D11+'R2'!D22</f>
        <v>20.909027128286382</v>
      </c>
      <c r="E33" s="285">
        <f ca="1">+'R2'!E11+'R2'!E22</f>
        <v>23.441290141271462</v>
      </c>
      <c r="F33" s="285">
        <f ca="1">+'R2'!F11+'R2'!F22</f>
        <v>29.49729014127146</v>
      </c>
      <c r="G33" s="285">
        <f ca="1">+'R2'!G11+'R2'!G22</f>
        <v>24.35229014127146</v>
      </c>
      <c r="H33" s="285">
        <f ca="1">+'R2'!H11+'R2'!H22</f>
        <v>24.024290141271461</v>
      </c>
      <c r="I33" s="285">
        <f ca="1">+'R2'!I11+'R2'!I22</f>
        <v>23.583290141271462</v>
      </c>
      <c r="J33" s="42"/>
      <c r="K33" s="21"/>
      <c r="L33" s="21"/>
    </row>
    <row r="34" spans="1:12" s="759" customFormat="1" outlineLevel="2">
      <c r="A34" s="61" t="s">
        <v>575</v>
      </c>
      <c r="B34" s="285">
        <f ca="1">+'R2'!B12+'R2'!B23</f>
        <v>0</v>
      </c>
      <c r="C34" s="285">
        <f ca="1">+'R2'!C12+'R2'!C23</f>
        <v>0</v>
      </c>
      <c r="D34" s="285">
        <f ca="1">+'R2'!D12+'R2'!D23</f>
        <v>9.8130000000000006</v>
      </c>
      <c r="E34" s="285">
        <f ca="1">+'R2'!E12+'R2'!E23</f>
        <v>9.8130000000000006</v>
      </c>
      <c r="F34" s="285">
        <f ca="1">+'R2'!F12+'R2'!F23</f>
        <v>9.8130000000000006</v>
      </c>
      <c r="G34" s="285">
        <f ca="1">+'R2'!G12+'R2'!G23</f>
        <v>9.8130000000000006</v>
      </c>
      <c r="H34" s="285">
        <f ca="1">+'R2'!H12+'R2'!H23</f>
        <v>9.8130000000000006</v>
      </c>
      <c r="I34" s="285">
        <f ca="1">+'R2'!I12+'R2'!I23</f>
        <v>9.8130000000000006</v>
      </c>
      <c r="J34" s="42"/>
      <c r="K34" s="732"/>
      <c r="L34" s="732"/>
    </row>
    <row r="35" spans="1:12" outlineLevel="2">
      <c r="A35" s="83" t="s">
        <v>70</v>
      </c>
      <c r="B35" s="285">
        <f ca="1">+'R2'!B13+'R2'!B24</f>
        <v>0</v>
      </c>
      <c r="C35" s="285">
        <f ca="1">+'R2'!C13+'R2'!C24</f>
        <v>0</v>
      </c>
      <c r="D35" s="285">
        <f ca="1">+'R2'!D13+'R2'!D24</f>
        <v>17.33959972770592</v>
      </c>
      <c r="E35" s="285">
        <f ca="1">+'R2'!E13+'R2'!E24</f>
        <v>17.33959972770592</v>
      </c>
      <c r="F35" s="285">
        <f ca="1">+'R2'!F13+'R2'!F24</f>
        <v>17.33959972770592</v>
      </c>
      <c r="G35" s="285">
        <f ca="1">+'R2'!G13+'R2'!G24</f>
        <v>17.33959972770592</v>
      </c>
      <c r="H35" s="285">
        <f ca="1">+'R2'!H13+'R2'!H24</f>
        <v>17.33959972770592</v>
      </c>
      <c r="I35" s="285">
        <f ca="1">+'R2'!I13+'R2'!I24</f>
        <v>17.33959972770592</v>
      </c>
      <c r="J35" s="93"/>
      <c r="K35" s="21"/>
      <c r="L35" s="21"/>
    </row>
    <row r="36" spans="1:12" s="87" customFormat="1" ht="20.25" customHeight="1">
      <c r="A36" s="94" t="s">
        <v>128</v>
      </c>
      <c r="B36" s="294">
        <f t="shared" ref="B36:I36" ca="1" si="2">SUM(B30:B35)</f>
        <v>0</v>
      </c>
      <c r="C36" s="294">
        <f t="shared" ca="1" si="2"/>
        <v>0</v>
      </c>
      <c r="D36" s="294">
        <f t="shared" ca="1" si="2"/>
        <v>167.94061602857462</v>
      </c>
      <c r="E36" s="294">
        <f t="shared" ca="1" si="2"/>
        <v>180.72199999999998</v>
      </c>
      <c r="F36" s="294">
        <f t="shared" ca="1" si="2"/>
        <v>185.774</v>
      </c>
      <c r="G36" s="294">
        <f t="shared" ca="1" si="2"/>
        <v>180.869</v>
      </c>
      <c r="H36" s="294">
        <f t="shared" ca="1" si="2"/>
        <v>180.26599999999999</v>
      </c>
      <c r="I36" s="294">
        <f t="shared" ca="1" si="2"/>
        <v>177.93699999999998</v>
      </c>
      <c r="J36" s="308">
        <f ca="1">+J132</f>
        <v>0</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293</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ca="1">SUM('DA-1:DA-24'!C42)</f>
        <v>0</v>
      </c>
      <c r="D42" s="285">
        <f ca="1">SUM('DA-1:DA-24'!D42)</f>
        <v>0</v>
      </c>
      <c r="E42" s="285">
        <f ca="1">SUM('DA-1:DA-24'!E42)</f>
        <v>0.63894070703136963</v>
      </c>
      <c r="F42" s="285">
        <f ca="1">SUM('DA-1:DA-24'!F42)</f>
        <v>1.230974102867525</v>
      </c>
      <c r="G42" s="285">
        <f ca="1">SUM('DA-1:DA-24'!G42)</f>
        <v>1.8161925405769339</v>
      </c>
      <c r="H42" s="285">
        <f ca="1">SUM('DA-1:DA-24'!H42)</f>
        <v>2.4511075433717213</v>
      </c>
      <c r="I42" s="285">
        <f ca="1">SUM('DA-1:DA-24'!I42)</f>
        <v>3.0326944376559588</v>
      </c>
      <c r="K42" s="63"/>
      <c r="L42" s="63"/>
    </row>
    <row r="43" spans="1:12" outlineLevel="1">
      <c r="A43" s="61" t="s">
        <v>69</v>
      </c>
      <c r="B43" s="82"/>
      <c r="C43" s="285">
        <f ca="1">SUM('DA-1:DA-24'!C43)</f>
        <v>0</v>
      </c>
      <c r="D43" s="285">
        <f ca="1">SUM('DA-1:DA-24'!D43)</f>
        <v>0</v>
      </c>
      <c r="E43" s="285">
        <f ca="1">SUM('DA-1:DA-24'!E43)</f>
        <v>2.9553819672906963E-3</v>
      </c>
      <c r="F43" s="285">
        <f ca="1">SUM('DA-1:DA-24'!F43)</f>
        <v>5.6937969764351108E-3</v>
      </c>
      <c r="G43" s="285">
        <f ca="1">SUM('DA-1:DA-24'!G43)</f>
        <v>8.4006898049859505E-3</v>
      </c>
      <c r="H43" s="285">
        <f ca="1">SUM('DA-1:DA-24'!H43)</f>
        <v>1.1337451118473384E-2</v>
      </c>
      <c r="I43" s="285">
        <f ca="1">SUM('DA-1:DA-24'!I43)</f>
        <v>1.4027546460443591E-2</v>
      </c>
      <c r="K43" s="42"/>
      <c r="L43" s="21"/>
    </row>
    <row r="44" spans="1:12" s="759" customFormat="1" outlineLevel="1">
      <c r="A44" s="61" t="s">
        <v>646</v>
      </c>
      <c r="B44" s="82"/>
      <c r="C44" s="285">
        <f ca="1">SUM('DA-1:DA-24'!C44)</f>
        <v>0</v>
      </c>
      <c r="D44" s="285">
        <f ca="1">SUM('DA-1:DA-24'!D44)</f>
        <v>0</v>
      </c>
      <c r="E44" s="285">
        <f ca="1">SUM('DA-1:DA-24'!E44)</f>
        <v>0.57818662207924665</v>
      </c>
      <c r="F44" s="285">
        <f ca="1">SUM('DA-1:DA-24'!F44)</f>
        <v>1.1139261445883457</v>
      </c>
      <c r="G44" s="285">
        <f ca="1">SUM('DA-1:DA-24'!G44)</f>
        <v>1.6434987136140418</v>
      </c>
      <c r="H44" s="285">
        <f ca="1">SUM('DA-1:DA-24'!H44)</f>
        <v>2.2180424181135741</v>
      </c>
      <c r="I44" s="285">
        <f ca="1">SUM('DA-1:DA-24'!I44)</f>
        <v>2.744328751338629</v>
      </c>
      <c r="K44" s="42"/>
      <c r="L44" s="732"/>
    </row>
    <row r="45" spans="1:12" outlineLevel="1">
      <c r="A45" s="61" t="s">
        <v>647</v>
      </c>
      <c r="B45" s="82"/>
      <c r="C45" s="285">
        <f ca="1">SUM('DA-1:DA-24'!C45)</f>
        <v>0</v>
      </c>
      <c r="D45" s="285">
        <f ca="1">SUM('DA-1:DA-24'!D45)</f>
        <v>0</v>
      </c>
      <c r="E45" s="285">
        <f ca="1">SUM('DA-1:DA-24'!E45)</f>
        <v>0.2208175301358512</v>
      </c>
      <c r="F45" s="285">
        <f ca="1">SUM('DA-1:DA-24'!F45)</f>
        <v>0.42542392128892281</v>
      </c>
      <c r="G45" s="285">
        <f ca="1">SUM('DA-1:DA-24'!G45)</f>
        <v>0.62767506694743314</v>
      </c>
      <c r="H45" s="285">
        <f ca="1">SUM('DA-1:DA-24'!H45)</f>
        <v>0.84710131608209449</v>
      </c>
      <c r="I45" s="285">
        <f ca="1">SUM('DA-1:DA-24'!I45)</f>
        <v>1.0480974024825194</v>
      </c>
      <c r="K45" s="42"/>
      <c r="L45" s="21"/>
    </row>
    <row r="46" spans="1:12" s="759" customFormat="1" outlineLevel="1">
      <c r="A46" s="61" t="s">
        <v>575</v>
      </c>
      <c r="B46" s="82"/>
      <c r="C46" s="285">
        <f ca="1">SUM('DA-1:DA-24'!C46)</f>
        <v>0</v>
      </c>
      <c r="D46" s="285">
        <f ca="1">SUM('DA-1:DA-24'!D46)</f>
        <v>0</v>
      </c>
      <c r="E46" s="285">
        <f ca="1">SUM('DA-1:DA-24'!E46)</f>
        <v>0.10411552061376025</v>
      </c>
      <c r="F46" s="285">
        <f ca="1">SUM('DA-1:DA-24'!F46)</f>
        <v>0.20058748514800209</v>
      </c>
      <c r="G46" s="285">
        <f ca="1">SUM('DA-1:DA-24'!G46)</f>
        <v>0.29594895084327677</v>
      </c>
      <c r="H46" s="285">
        <f ca="1">SUM('DA-1:DA-24'!H46)</f>
        <v>0.39940848211746877</v>
      </c>
      <c r="I46" s="285">
        <f ca="1">SUM('DA-1:DA-24'!I46)</f>
        <v>0.49417818705907379</v>
      </c>
      <c r="K46" s="42"/>
      <c r="L46" s="732"/>
    </row>
    <row r="47" spans="1:12" outlineLevel="1">
      <c r="A47" s="83" t="s">
        <v>70</v>
      </c>
      <c r="B47" s="82"/>
      <c r="C47" s="286">
        <f ca="1">SUM('DA-1:DA-24'!C47)</f>
        <v>0</v>
      </c>
      <c r="D47" s="286">
        <f ca="1">SUM('DA-1:DA-24'!D47)</f>
        <v>0</v>
      </c>
      <c r="E47" s="286">
        <f ca="1">SUM('DA-1:DA-24'!E47)</f>
        <v>0.18397242972427572</v>
      </c>
      <c r="F47" s="286">
        <f ca="1">SUM('DA-1:DA-24'!F47)</f>
        <v>0.35443867347941638</v>
      </c>
      <c r="G47" s="286">
        <f ca="1">SUM('DA-1:DA-24'!G47)</f>
        <v>0.52294266253509991</v>
      </c>
      <c r="H47" s="286">
        <f ca="1">SUM('DA-1:DA-24'!H47)</f>
        <v>0.70575595717593975</v>
      </c>
      <c r="I47" s="286">
        <f ca="1">SUM('DA-1:DA-24'!I47)</f>
        <v>0.87321430324750049</v>
      </c>
      <c r="K47" s="42"/>
      <c r="L47" s="21"/>
    </row>
    <row r="48" spans="1:12" s="87" customFormat="1" ht="18" customHeight="1">
      <c r="A48" s="94" t="s">
        <v>74</v>
      </c>
      <c r="B48" s="294"/>
      <c r="C48" s="294">
        <f t="shared" ref="C48:I48" ca="1" si="3">SUM(C42:C47)</f>
        <v>0</v>
      </c>
      <c r="D48" s="294">
        <f t="shared" ca="1" si="3"/>
        <v>0</v>
      </c>
      <c r="E48" s="294">
        <f t="shared" ca="1" si="3"/>
        <v>1.7289881915517942</v>
      </c>
      <c r="F48" s="294">
        <f t="shared" ca="1" si="3"/>
        <v>3.3310441243486473</v>
      </c>
      <c r="G48" s="294">
        <f t="shared" ca="1" si="3"/>
        <v>4.9146586243217723</v>
      </c>
      <c r="H48" s="294">
        <f t="shared" ca="1" si="3"/>
        <v>6.6327531679792724</v>
      </c>
      <c r="I48" s="294">
        <f t="shared" ca="1" si="3"/>
        <v>8.2065406282441256</v>
      </c>
      <c r="J48" s="308">
        <f ca="1">+J133</f>
        <v>0</v>
      </c>
      <c r="L48" s="86"/>
    </row>
    <row r="49" spans="1:12" outlineLevel="1">
      <c r="A49" s="88"/>
      <c r="B49" s="89"/>
      <c r="C49" s="89"/>
      <c r="D49" s="89"/>
      <c r="E49" s="862"/>
      <c r="F49" s="862"/>
      <c r="G49" s="862"/>
      <c r="H49" s="862"/>
      <c r="I49" s="862"/>
      <c r="K49" s="42"/>
      <c r="L49" s="21"/>
    </row>
    <row r="50" spans="1:12" ht="18" outlineLevel="1">
      <c r="A50" s="207" t="s">
        <v>294</v>
      </c>
      <c r="B50" s="78"/>
      <c r="C50" s="78"/>
      <c r="D50" s="78"/>
      <c r="E50" s="78"/>
      <c r="F50" s="78"/>
      <c r="G50" s="78"/>
      <c r="H50" s="78"/>
      <c r="I50" s="78"/>
      <c r="K50" s="42"/>
    </row>
    <row r="51" spans="1:12" ht="8.25" customHeight="1"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ca="1">SUM('DA-1:DA-24'!C53)</f>
        <v>0</v>
      </c>
      <c r="D53" s="285">
        <f ca="1">SUM('DA-1:DA-24'!D53)</f>
        <v>0</v>
      </c>
      <c r="E53" s="285">
        <f ca="1">SUM('DA-1:DA-24'!E53)</f>
        <v>1.3059273155805506</v>
      </c>
      <c r="F53" s="285">
        <f ca="1">SUM('DA-1:DA-24'!F53)</f>
        <v>2.6655574382146567</v>
      </c>
      <c r="G53" s="285">
        <f ca="1">SUM('DA-1:DA-24'!G53)</f>
        <v>4.1559787843738807</v>
      </c>
      <c r="H53" s="285">
        <f ca="1">SUM('DA-1:DA-24'!H53)</f>
        <v>5.7120421100999828</v>
      </c>
      <c r="I53" s="285">
        <f ca="1">SUM('DA-1:DA-24'!I53)</f>
        <v>7.3271982894524008</v>
      </c>
      <c r="K53" s="63"/>
      <c r="L53" s="63"/>
    </row>
    <row r="54" spans="1:12" outlineLevel="1">
      <c r="A54" s="61" t="s">
        <v>69</v>
      </c>
      <c r="B54" s="285"/>
      <c r="C54" s="285">
        <f ca="1">SUM('DA-1:DA-24'!C54)</f>
        <v>0</v>
      </c>
      <c r="D54" s="285">
        <f ca="1">SUM('DA-1:DA-24'!D54)</f>
        <v>0</v>
      </c>
      <c r="E54" s="285">
        <f ca="1">SUM('DA-1:DA-24'!E54)</f>
        <v>0</v>
      </c>
      <c r="F54" s="285">
        <f ca="1">SUM('DA-1:DA-24'!F54)</f>
        <v>0</v>
      </c>
      <c r="G54" s="285">
        <f ca="1">SUM('DA-1:DA-24'!G54)</f>
        <v>0</v>
      </c>
      <c r="H54" s="285">
        <f ca="1">SUM('DA-1:DA-24'!H54)</f>
        <v>0</v>
      </c>
      <c r="I54" s="285">
        <f ca="1">SUM('DA-1:DA-24'!I54)</f>
        <v>0</v>
      </c>
      <c r="K54" s="42"/>
      <c r="L54" s="21"/>
    </row>
    <row r="55" spans="1:12" s="759" customFormat="1" outlineLevel="1">
      <c r="A55" s="61" t="s">
        <v>646</v>
      </c>
      <c r="B55" s="285"/>
      <c r="C55" s="285">
        <f ca="1">SUM('DA-1:DA-24'!C55)</f>
        <v>0</v>
      </c>
      <c r="D55" s="285">
        <f ca="1">SUM('DA-1:DA-24'!D55)</f>
        <v>0</v>
      </c>
      <c r="E55" s="285">
        <f ca="1">SUM('DA-1:DA-24'!E55)</f>
        <v>0.27536449368123322</v>
      </c>
      <c r="F55" s="285">
        <f ca="1">SUM('DA-1:DA-24'!F55)</f>
        <v>0.55747659854402298</v>
      </c>
      <c r="G55" s="285">
        <f ca="1">SUM('DA-1:DA-24'!G55)</f>
        <v>1.0730945310704736</v>
      </c>
      <c r="H55" s="285">
        <f ca="1">SUM('DA-1:DA-24'!H55)</f>
        <v>1.6909437950074508</v>
      </c>
      <c r="I55" s="285">
        <f ca="1">SUM('DA-1:DA-24'!I55)</f>
        <v>2.443456468782228</v>
      </c>
      <c r="K55" s="42"/>
      <c r="L55" s="732"/>
    </row>
    <row r="56" spans="1:12" outlineLevel="1">
      <c r="A56" s="61" t="s">
        <v>647</v>
      </c>
      <c r="B56" s="285"/>
      <c r="C56" s="285">
        <f ca="1">SUM('DA-1:DA-24'!C56)</f>
        <v>0</v>
      </c>
      <c r="D56" s="285">
        <f ca="1">SUM('DA-1:DA-24'!D56)</f>
        <v>0</v>
      </c>
      <c r="E56" s="285">
        <f ca="1">SUM('DA-1:DA-24'!E56)</f>
        <v>0.10516553835703431</v>
      </c>
      <c r="F56" s="285">
        <f ca="1">SUM('DA-1:DA-24'!F56)</f>
        <v>0.21290808347716206</v>
      </c>
      <c r="G56" s="285">
        <f ca="1">SUM('DA-1:DA-24'!G56)</f>
        <v>0.40982975894726553</v>
      </c>
      <c r="H56" s="285">
        <f ca="1">SUM('DA-1:DA-24'!H56)</f>
        <v>0.6457950048538329</v>
      </c>
      <c r="I56" s="285">
        <f ca="1">SUM('DA-1:DA-24'!I56)</f>
        <v>0.93319008400891024</v>
      </c>
      <c r="K56" s="42"/>
      <c r="L56" s="21"/>
    </row>
    <row r="57" spans="1:12" s="759" customFormat="1" outlineLevel="1">
      <c r="A57" s="61" t="s">
        <v>575</v>
      </c>
      <c r="B57" s="285"/>
      <c r="C57" s="285">
        <f ca="1">SUM('DA-1:DA-24'!C57)</f>
        <v>0</v>
      </c>
      <c r="D57" s="285">
        <f ca="1">SUM('DA-1:DA-24'!D57)</f>
        <v>0</v>
      </c>
      <c r="E57" s="285">
        <f ca="1">SUM('DA-1:DA-24'!E57)</f>
        <v>0.2128011266915944</v>
      </c>
      <c r="F57" s="285">
        <f ca="1">SUM('DA-1:DA-24'!F57)</f>
        <v>0.43435313692100475</v>
      </c>
      <c r="G57" s="285">
        <f ca="1">SUM('DA-1:DA-24'!G57)</f>
        <v>0.67721760412673948</v>
      </c>
      <c r="H57" s="285">
        <f ca="1">SUM('DA-1:DA-24'!H57)</f>
        <v>0.93077844550540301</v>
      </c>
      <c r="I57" s="285">
        <f ca="1">SUM('DA-1:DA-24'!I57)</f>
        <v>1.1939684796278536</v>
      </c>
      <c r="K57" s="42"/>
      <c r="L57" s="732"/>
    </row>
    <row r="58" spans="1:12" outlineLevel="1">
      <c r="A58" s="83" t="s">
        <v>70</v>
      </c>
      <c r="B58" s="286"/>
      <c r="C58" s="286">
        <f ca="1">SUM('DA-1:DA-24'!C58)</f>
        <v>0</v>
      </c>
      <c r="D58" s="286">
        <f ca="1">SUM('DA-1:DA-24'!D58)</f>
        <v>0</v>
      </c>
      <c r="E58" s="286">
        <f ca="1">SUM('DA-1:DA-24'!E58)</f>
        <v>0</v>
      </c>
      <c r="F58" s="286">
        <f ca="1">SUM('DA-1:DA-24'!F58)</f>
        <v>0</v>
      </c>
      <c r="G58" s="286">
        <f ca="1">SUM('DA-1:DA-24'!G58)</f>
        <v>0</v>
      </c>
      <c r="H58" s="286">
        <f ca="1">SUM('DA-1:DA-24'!H58)</f>
        <v>0</v>
      </c>
      <c r="I58" s="286">
        <f ca="1">SUM('DA-1:DA-24'!I58)</f>
        <v>0</v>
      </c>
      <c r="K58" s="42"/>
      <c r="L58" s="21"/>
    </row>
    <row r="59" spans="1:12" s="87" customFormat="1" ht="18" customHeight="1">
      <c r="A59" s="97" t="s">
        <v>73</v>
      </c>
      <c r="B59" s="295">
        <f>SUM(B54:B58)</f>
        <v>0</v>
      </c>
      <c r="C59" s="295">
        <f t="shared" ref="C59:I59" ca="1" si="4">SUM(C53:C58)</f>
        <v>0</v>
      </c>
      <c r="D59" s="295">
        <f t="shared" ca="1" si="4"/>
        <v>0</v>
      </c>
      <c r="E59" s="295">
        <f t="shared" ca="1" si="4"/>
        <v>1.8992584743104124</v>
      </c>
      <c r="F59" s="295">
        <f t="shared" ca="1" si="4"/>
        <v>3.8702952571568465</v>
      </c>
      <c r="G59" s="295">
        <f t="shared" ca="1" si="4"/>
        <v>6.3161206785183595</v>
      </c>
      <c r="H59" s="295">
        <f t="shared" ca="1" si="4"/>
        <v>8.9795593554666695</v>
      </c>
      <c r="I59" s="309">
        <f t="shared" ca="1" si="4"/>
        <v>11.897813321871393</v>
      </c>
      <c r="J59" s="308">
        <f ca="1">+J134</f>
        <v>0</v>
      </c>
      <c r="L59" s="86"/>
    </row>
    <row r="60" spans="1:12" outlineLevel="1">
      <c r="A60" s="88"/>
      <c r="B60" s="89"/>
      <c r="C60" s="89"/>
      <c r="D60" s="89"/>
      <c r="E60" s="89"/>
      <c r="F60" s="89"/>
      <c r="G60" s="89"/>
      <c r="H60" s="89"/>
      <c r="I60" s="89"/>
      <c r="K60" s="42"/>
      <c r="L60" s="21"/>
    </row>
    <row r="61" spans="1:12" ht="18.75" customHeight="1" outlineLevel="1">
      <c r="A61" s="207" t="s">
        <v>129</v>
      </c>
      <c r="B61" s="635" t="str">
        <f t="array" ref="B61:I61">LU_TemplateYearHeader</f>
        <v>2012/13</v>
      </c>
      <c r="C61" s="635" t="str">
        <v>2013/14</v>
      </c>
      <c r="D61" s="635" t="str">
        <v>2014/15</v>
      </c>
      <c r="E61" s="635" t="str">
        <v>2015/16</v>
      </c>
      <c r="F61" s="635" t="str">
        <v>2016/17</v>
      </c>
      <c r="G61" s="635" t="str">
        <v>2017/18</v>
      </c>
      <c r="H61" s="635" t="str">
        <v>2018/19</v>
      </c>
      <c r="I61" s="635" t="str">
        <v>2019/20</v>
      </c>
      <c r="J61" s="98"/>
      <c r="K61" s="42"/>
    </row>
    <row r="62" spans="1:12" ht="6.75" customHeight="1" outlineLevel="1">
      <c r="A62" s="207"/>
      <c r="B62" s="76"/>
      <c r="C62" s="76"/>
      <c r="D62" s="76"/>
      <c r="E62" s="76"/>
      <c r="F62" s="76"/>
      <c r="G62" s="76"/>
      <c r="H62" s="76"/>
      <c r="I62" s="76"/>
      <c r="J62" s="98"/>
      <c r="K62" s="42"/>
    </row>
    <row r="63" spans="1:12" ht="18.75" customHeight="1" outlineLevel="1">
      <c r="A63" s="58" t="s">
        <v>126</v>
      </c>
      <c r="B63" s="76"/>
      <c r="C63" s="76"/>
      <c r="D63" s="76"/>
      <c r="E63" s="76"/>
      <c r="F63" s="76"/>
      <c r="G63" s="76"/>
      <c r="H63" s="76"/>
      <c r="I63" s="76"/>
      <c r="K63" s="42"/>
    </row>
    <row r="64" spans="1:12" ht="18.75" customHeight="1" outlineLevel="1">
      <c r="A64" s="61" t="s">
        <v>68</v>
      </c>
      <c r="B64" s="285">
        <f t="shared" ref="B64:I65" ca="1" si="5">+B42+B30+B53</f>
        <v>0</v>
      </c>
      <c r="C64" s="285">
        <f t="shared" ca="1" si="5"/>
        <v>0</v>
      </c>
      <c r="D64" s="285">
        <f t="shared" ca="1" si="5"/>
        <v>60.283729123638395</v>
      </c>
      <c r="E64" s="285">
        <f t="shared" ca="1" si="5"/>
        <v>64.041718104690617</v>
      </c>
      <c r="F64" s="285">
        <f t="shared" ca="1" si="5"/>
        <v>66.741381623160891</v>
      </c>
      <c r="G64" s="285">
        <f t="shared" ca="1" si="5"/>
        <v>69.193021407029519</v>
      </c>
      <c r="H64" s="285">
        <f t="shared" ca="1" si="5"/>
        <v>71.271999735550409</v>
      </c>
      <c r="I64" s="285">
        <f t="shared" ca="1" si="5"/>
        <v>73.602742809187049</v>
      </c>
      <c r="K64" s="42"/>
    </row>
    <row r="65" spans="1:11" ht="18.75" customHeight="1" outlineLevel="1">
      <c r="A65" s="61" t="s">
        <v>69</v>
      </c>
      <c r="B65" s="285">
        <f t="shared" ca="1" si="5"/>
        <v>0</v>
      </c>
      <c r="C65" s="285">
        <f t="shared" ca="1" si="5"/>
        <v>0</v>
      </c>
      <c r="D65" s="285">
        <f t="shared" ca="1" si="5"/>
        <v>0.27854793477535272</v>
      </c>
      <c r="E65" s="285">
        <f t="shared" ca="1" si="5"/>
        <v>0.28150331674264339</v>
      </c>
      <c r="F65" s="285">
        <f t="shared" ca="1" si="5"/>
        <v>0.30824173175178787</v>
      </c>
      <c r="G65" s="285">
        <f t="shared" ca="1" si="5"/>
        <v>0.31794862458033862</v>
      </c>
      <c r="H65" s="285">
        <f t="shared" ca="1" si="5"/>
        <v>0.3358853858938261</v>
      </c>
      <c r="I65" s="285">
        <f t="shared" ca="1" si="5"/>
        <v>0.33457548123579628</v>
      </c>
      <c r="K65" s="42"/>
    </row>
    <row r="66" spans="1:11" s="759" customFormat="1" ht="18.75" customHeight="1" outlineLevel="1">
      <c r="A66" s="61" t="s">
        <v>646</v>
      </c>
      <c r="B66" s="285">
        <f t="shared" ref="B66:I66" ca="1" si="6">+B44+B32+B55</f>
        <v>0</v>
      </c>
      <c r="C66" s="285">
        <f t="shared" ca="1" si="6"/>
        <v>0</v>
      </c>
      <c r="D66" s="285">
        <f t="shared" ca="1" si="6"/>
        <v>59.316712114168574</v>
      </c>
      <c r="E66" s="285">
        <f t="shared" ca="1" si="6"/>
        <v>68.606263229929056</v>
      </c>
      <c r="F66" s="285">
        <f t="shared" ca="1" si="6"/>
        <v>67.648114857300953</v>
      </c>
      <c r="G66" s="285">
        <f t="shared" ca="1" si="6"/>
        <v>68.55030535885308</v>
      </c>
      <c r="H66" s="285">
        <f t="shared" ca="1" si="6"/>
        <v>69.564698327289605</v>
      </c>
      <c r="I66" s="285">
        <f t="shared" ca="1" si="6"/>
        <v>68.825497334289437</v>
      </c>
      <c r="K66" s="42"/>
    </row>
    <row r="67" spans="1:11" ht="18.75" customHeight="1" outlineLevel="1">
      <c r="A67" s="61" t="s">
        <v>647</v>
      </c>
      <c r="B67" s="285">
        <f t="shared" ref="B67:I67" ca="1" si="7">+B45+B33+B56</f>
        <v>0</v>
      </c>
      <c r="C67" s="285">
        <f t="shared" ca="1" si="7"/>
        <v>0</v>
      </c>
      <c r="D67" s="285">
        <f t="shared" ca="1" si="7"/>
        <v>20.909027128286382</v>
      </c>
      <c r="E67" s="285">
        <f t="shared" ca="1" si="7"/>
        <v>23.767273209764348</v>
      </c>
      <c r="F67" s="285">
        <f t="shared" ca="1" si="7"/>
        <v>30.135622146037544</v>
      </c>
      <c r="G67" s="285">
        <f t="shared" ca="1" si="7"/>
        <v>25.389794967166157</v>
      </c>
      <c r="H67" s="285">
        <f t="shared" ca="1" si="7"/>
        <v>25.517186462207391</v>
      </c>
      <c r="I67" s="285">
        <f t="shared" ca="1" si="7"/>
        <v>25.56457762776289</v>
      </c>
      <c r="K67" s="42"/>
    </row>
    <row r="68" spans="1:11" s="759" customFormat="1" ht="18.75" customHeight="1" outlineLevel="1">
      <c r="A68" s="61" t="s">
        <v>575</v>
      </c>
      <c r="B68" s="285">
        <f t="shared" ref="B68:I68" ca="1" si="8">+B46+B34+B57</f>
        <v>0</v>
      </c>
      <c r="C68" s="285">
        <f t="shared" ca="1" si="8"/>
        <v>0</v>
      </c>
      <c r="D68" s="285">
        <f t="shared" ca="1" si="8"/>
        <v>9.8130000000000006</v>
      </c>
      <c r="E68" s="285">
        <f t="shared" ca="1" si="8"/>
        <v>10.129916647305356</v>
      </c>
      <c r="F68" s="285">
        <f t="shared" ca="1" si="8"/>
        <v>10.447940622069007</v>
      </c>
      <c r="G68" s="285">
        <f t="shared" ca="1" si="8"/>
        <v>10.786166554970016</v>
      </c>
      <c r="H68" s="285">
        <f t="shared" ca="1" si="8"/>
        <v>11.143186927622873</v>
      </c>
      <c r="I68" s="285">
        <f t="shared" ca="1" si="8"/>
        <v>11.501146666686928</v>
      </c>
      <c r="K68" s="42"/>
    </row>
    <row r="69" spans="1:11" ht="18.75" customHeight="1" outlineLevel="1">
      <c r="A69" s="83" t="s">
        <v>70</v>
      </c>
      <c r="B69" s="285">
        <f t="shared" ref="B69:I69" ca="1" si="9">+B47+B35+B58</f>
        <v>0</v>
      </c>
      <c r="C69" s="285">
        <f t="shared" ca="1" si="9"/>
        <v>0</v>
      </c>
      <c r="D69" s="285">
        <f t="shared" ca="1" si="9"/>
        <v>17.33959972770592</v>
      </c>
      <c r="E69" s="285">
        <f t="shared" ca="1" si="9"/>
        <v>17.523572157430195</v>
      </c>
      <c r="F69" s="285">
        <f t="shared" ca="1" si="9"/>
        <v>17.694038401185338</v>
      </c>
      <c r="G69" s="285">
        <f t="shared" ca="1" si="9"/>
        <v>17.862542390241021</v>
      </c>
      <c r="H69" s="285">
        <f t="shared" ca="1" si="9"/>
        <v>18.045355684881859</v>
      </c>
      <c r="I69" s="285">
        <f t="shared" ca="1" si="9"/>
        <v>18.212814030953421</v>
      </c>
      <c r="K69" s="42"/>
    </row>
    <row r="70" spans="1:11" ht="18.75" customHeight="1">
      <c r="A70" s="99" t="s">
        <v>129</v>
      </c>
      <c r="B70" s="295">
        <f t="shared" ref="B70:I70" ca="1" si="10">SUM(B64:B69)</f>
        <v>0</v>
      </c>
      <c r="C70" s="295">
        <f t="shared" ca="1" si="10"/>
        <v>0</v>
      </c>
      <c r="D70" s="295">
        <f t="shared" ca="1" si="10"/>
        <v>167.94061602857462</v>
      </c>
      <c r="E70" s="295">
        <f t="shared" ca="1" si="10"/>
        <v>184.35024666586219</v>
      </c>
      <c r="F70" s="295">
        <f t="shared" ca="1" si="10"/>
        <v>192.97533938150553</v>
      </c>
      <c r="G70" s="295">
        <f t="shared" ca="1" si="10"/>
        <v>192.09977930284012</v>
      </c>
      <c r="H70" s="295">
        <f t="shared" ca="1" si="10"/>
        <v>195.878312523446</v>
      </c>
      <c r="I70" s="295">
        <f t="shared" ca="1" si="10"/>
        <v>198.04135395011554</v>
      </c>
      <c r="J70" s="308">
        <f ca="1">+J135</f>
        <v>0</v>
      </c>
      <c r="K70" s="42"/>
    </row>
    <row r="71" spans="1:11" ht="18.75" customHeight="1">
      <c r="A71" s="77"/>
      <c r="B71" s="76"/>
      <c r="C71" s="76"/>
      <c r="D71" s="76"/>
      <c r="E71" s="76"/>
      <c r="F71" s="76"/>
      <c r="G71" s="76"/>
      <c r="H71" s="76"/>
      <c r="I71" s="76"/>
      <c r="K71" s="42"/>
    </row>
    <row r="78" spans="1:11">
      <c r="A78" s="88"/>
      <c r="B78" s="89"/>
      <c r="C78" s="89"/>
      <c r="D78" s="89"/>
      <c r="E78" s="89"/>
      <c r="F78" s="89"/>
      <c r="G78" s="89"/>
      <c r="H78" s="89"/>
      <c r="I78" s="89"/>
      <c r="J78" s="100"/>
    </row>
    <row r="79" spans="1:11">
      <c r="A79" s="92"/>
      <c r="B79" s="95"/>
      <c r="C79" s="95"/>
      <c r="D79" s="95"/>
      <c r="E79" s="95"/>
      <c r="F79" s="95"/>
      <c r="G79" s="95"/>
      <c r="H79" s="95"/>
      <c r="I79" s="95"/>
      <c r="J79" s="100"/>
    </row>
    <row r="80" spans="1:11" ht="18">
      <c r="A80" s="206" t="s">
        <v>155</v>
      </c>
      <c r="B80" s="211"/>
      <c r="C80" s="211"/>
      <c r="D80" s="211"/>
      <c r="E80" s="211"/>
      <c r="F80" s="211"/>
      <c r="G80" s="211"/>
      <c r="H80" s="211"/>
      <c r="I80" s="211"/>
    </row>
    <row r="81" spans="1:9" ht="6" customHeight="1" thickBot="1">
      <c r="A81" s="238"/>
      <c r="B81" s="238"/>
      <c r="C81" s="238"/>
      <c r="D81" s="238"/>
      <c r="E81" s="238"/>
      <c r="F81" s="238"/>
      <c r="G81" s="238"/>
      <c r="H81" s="238"/>
      <c r="I81" s="238"/>
    </row>
    <row r="82" spans="1:9" outlineLevel="1">
      <c r="A82" s="2" t="s">
        <v>261</v>
      </c>
      <c r="B82" s="135" t="str">
        <f t="array" ref="B82:H82">LU_TemplateYearHeader3</f>
        <v>2005/06</v>
      </c>
      <c r="C82" s="135" t="str">
        <v>2006/07</v>
      </c>
      <c r="D82" s="135" t="str">
        <v>2007/08</v>
      </c>
      <c r="E82" s="135" t="str">
        <v>2008/09</v>
      </c>
      <c r="F82" s="135" t="str">
        <v>2009/10</v>
      </c>
      <c r="G82" s="135" t="str">
        <v>2010/11</v>
      </c>
      <c r="H82" s="135" t="str">
        <v>2011/12</v>
      </c>
    </row>
    <row r="83" spans="1:9" ht="13.5" outlineLevel="1" thickBot="1">
      <c r="A83" s="238" t="s">
        <v>263</v>
      </c>
      <c r="B83" s="82">
        <f>+'I-4 History'!E224</f>
        <v>0</v>
      </c>
      <c r="C83" s="82">
        <f>+'I-4 History'!F224</f>
        <v>0</v>
      </c>
      <c r="D83" s="82">
        <f>+'I-4 History'!G224</f>
        <v>0</v>
      </c>
      <c r="E83" s="82">
        <f>+'I-4 History'!H224</f>
        <v>0</v>
      </c>
      <c r="F83" s="82">
        <f>+'I-4 History'!I224</f>
        <v>0</v>
      </c>
      <c r="G83" s="82">
        <f>+'I-4 History'!J224</f>
        <v>0</v>
      </c>
      <c r="H83" s="82">
        <f>+'I-4 History'!K224</f>
        <v>0</v>
      </c>
      <c r="I83" s="82"/>
    </row>
    <row r="84" spans="1:9" outlineLevel="1">
      <c r="A84" s="2" t="s">
        <v>264</v>
      </c>
      <c r="B84" s="653" t="str">
        <f t="array" ref="B84:I84">LU_TemplateYearHeader</f>
        <v>2012/13</v>
      </c>
      <c r="C84" s="653" t="str">
        <v>2013/14</v>
      </c>
      <c r="D84" s="653" t="str">
        <v>2014/15</v>
      </c>
      <c r="E84" s="653" t="str">
        <v>2015/16</v>
      </c>
      <c r="F84" s="653" t="str">
        <v>2016/17</v>
      </c>
      <c r="G84" s="653" t="str">
        <v>2017/18</v>
      </c>
      <c r="H84" s="653" t="str">
        <v>2018/19</v>
      </c>
      <c r="I84" s="653" t="str">
        <v>2019/20</v>
      </c>
    </row>
    <row r="85" spans="1:9" outlineLevel="1">
      <c r="A85" t="s">
        <v>71</v>
      </c>
      <c r="B85" s="82">
        <f t="shared" ref="B85:I85" ca="1" si="11">+B14</f>
        <v>0</v>
      </c>
      <c r="C85" s="82">
        <f t="shared" ca="1" si="11"/>
        <v>0</v>
      </c>
      <c r="D85" s="82">
        <f t="shared" ca="1" si="11"/>
        <v>162.95899999999997</v>
      </c>
      <c r="E85" s="82">
        <f t="shared" ca="1" si="11"/>
        <v>162.95899999999997</v>
      </c>
      <c r="F85" s="82">
        <f t="shared" ca="1" si="11"/>
        <v>162.95899999999997</v>
      </c>
      <c r="G85" s="82">
        <f t="shared" ca="1" si="11"/>
        <v>162.95899999999997</v>
      </c>
      <c r="H85" s="82">
        <f t="shared" ca="1" si="11"/>
        <v>162.95899999999997</v>
      </c>
      <c r="I85" s="82">
        <f t="shared" ca="1" si="11"/>
        <v>162.95899999999997</v>
      </c>
    </row>
    <row r="86" spans="1:9" outlineLevel="1">
      <c r="A86" t="s">
        <v>156</v>
      </c>
      <c r="B86" s="82">
        <f t="shared" ref="B86:I86" ca="1" si="12">+B36</f>
        <v>0</v>
      </c>
      <c r="C86" s="82">
        <f t="shared" ca="1" si="12"/>
        <v>0</v>
      </c>
      <c r="D86" s="82">
        <f t="shared" ca="1" si="12"/>
        <v>167.94061602857462</v>
      </c>
      <c r="E86" s="82">
        <f t="shared" ca="1" si="12"/>
        <v>180.72199999999998</v>
      </c>
      <c r="F86" s="82">
        <f t="shared" ca="1" si="12"/>
        <v>185.774</v>
      </c>
      <c r="G86" s="82">
        <f t="shared" ca="1" si="12"/>
        <v>180.869</v>
      </c>
      <c r="H86" s="82">
        <f t="shared" ca="1" si="12"/>
        <v>180.26599999999999</v>
      </c>
      <c r="I86" s="82">
        <f t="shared" ca="1" si="12"/>
        <v>177.93699999999998</v>
      </c>
    </row>
    <row r="87" spans="1:9" outlineLevel="1">
      <c r="A87" t="s">
        <v>157</v>
      </c>
      <c r="B87" s="82">
        <f t="shared" ref="B87:I87" ca="1" si="13">+B36+B48</f>
        <v>0</v>
      </c>
      <c r="C87" s="82">
        <f t="shared" ca="1" si="13"/>
        <v>0</v>
      </c>
      <c r="D87" s="82">
        <f t="shared" ca="1" si="13"/>
        <v>167.94061602857462</v>
      </c>
      <c r="E87" s="82">
        <f t="shared" ca="1" si="13"/>
        <v>182.45098819155177</v>
      </c>
      <c r="F87" s="82">
        <f t="shared" ca="1" si="13"/>
        <v>189.10504412434864</v>
      </c>
      <c r="G87" s="82">
        <f t="shared" ca="1" si="13"/>
        <v>185.78365862432176</v>
      </c>
      <c r="H87" s="82">
        <f t="shared" ca="1" si="13"/>
        <v>186.89875316797927</v>
      </c>
      <c r="I87" s="82">
        <f t="shared" ca="1" si="13"/>
        <v>186.1435406282441</v>
      </c>
    </row>
    <row r="88" spans="1:9" outlineLevel="1">
      <c r="A88" t="s">
        <v>158</v>
      </c>
      <c r="B88" s="82">
        <f t="shared" ref="B88:I88" ca="1" si="14">+B70</f>
        <v>0</v>
      </c>
      <c r="C88" s="82">
        <f t="shared" ca="1" si="14"/>
        <v>0</v>
      </c>
      <c r="D88" s="82">
        <f t="shared" ca="1" si="14"/>
        <v>167.94061602857462</v>
      </c>
      <c r="E88" s="82">
        <f t="shared" ca="1" si="14"/>
        <v>184.35024666586219</v>
      </c>
      <c r="F88" s="82">
        <f t="shared" ca="1" si="14"/>
        <v>192.97533938150553</v>
      </c>
      <c r="G88" s="82">
        <f t="shared" ca="1" si="14"/>
        <v>192.09977930284012</v>
      </c>
      <c r="H88" s="82">
        <f t="shared" ca="1" si="14"/>
        <v>195.878312523446</v>
      </c>
      <c r="I88" s="82">
        <f t="shared" ca="1" si="14"/>
        <v>198.04135395011554</v>
      </c>
    </row>
    <row r="89" spans="1:9" outlineLevel="1"/>
    <row r="90" spans="1:9" outlineLevel="1"/>
    <row r="91" spans="1:9" outlineLevel="1"/>
    <row r="92" spans="1:9" outlineLevel="1"/>
    <row r="93" spans="1:9" outlineLevel="1"/>
    <row r="94" spans="1:9" outlineLevel="1"/>
    <row r="95" spans="1:9" outlineLevel="1"/>
    <row r="96" spans="1:9" outlineLevel="1"/>
    <row r="97" outlineLevel="1"/>
    <row r="98" outlineLevel="1"/>
    <row r="99" outlineLevel="1"/>
    <row r="100" outlineLevel="1"/>
    <row r="101" outlineLevel="1"/>
    <row r="102" outlineLevel="1"/>
    <row r="103" outlineLevel="1"/>
    <row r="104" outlineLevel="1"/>
    <row r="105" outlineLevel="1"/>
    <row r="106" outlineLevel="1"/>
    <row r="107" outlineLevel="1"/>
    <row r="108" outlineLevel="1"/>
    <row r="109" outlineLevel="1"/>
    <row r="110" outlineLevel="1"/>
    <row r="111" outlineLevel="1"/>
    <row r="112" outlineLevel="1"/>
    <row r="113" spans="1:9" outlineLevel="1"/>
    <row r="114" spans="1:9" outlineLevel="1"/>
    <row r="115" spans="1:9" outlineLevel="1"/>
    <row r="116" spans="1:9" outlineLevel="1"/>
    <row r="117" spans="1:9" outlineLevel="1"/>
    <row r="118" spans="1:9" outlineLevel="1"/>
    <row r="119" spans="1:9" outlineLevel="1"/>
    <row r="127" spans="1:9">
      <c r="A127" s="307" t="s">
        <v>288</v>
      </c>
      <c r="B127" s="3"/>
      <c r="C127" s="3"/>
      <c r="D127" s="3"/>
      <c r="E127" s="3"/>
      <c r="F127" s="3"/>
      <c r="G127" s="3"/>
      <c r="H127" s="3"/>
      <c r="I127" s="3"/>
    </row>
    <row r="128" spans="1:9">
      <c r="A128" s="2" t="s">
        <v>289</v>
      </c>
    </row>
    <row r="130" spans="1:11">
      <c r="A130" s="306" t="s">
        <v>290</v>
      </c>
      <c r="B130" s="286">
        <f ca="1">SUM('DA-1:DA-24'!B14)-B14</f>
        <v>0</v>
      </c>
      <c r="C130" s="286">
        <f ca="1">SUM('DA-1:DA-24'!C14)-C14</f>
        <v>0</v>
      </c>
      <c r="D130" s="286">
        <f ca="1">SUM('DA-1:DA-24'!D14)-D14</f>
        <v>0</v>
      </c>
      <c r="E130" s="286">
        <f ca="1">SUM('DA-1:DA-24'!E14)-E14</f>
        <v>0</v>
      </c>
      <c r="F130" s="286">
        <f ca="1">SUM('DA-1:DA-24'!F14)-F14</f>
        <v>0</v>
      </c>
      <c r="G130" s="286">
        <f ca="1">SUM('DA-1:DA-24'!G14)-G14</f>
        <v>0</v>
      </c>
      <c r="H130" s="286">
        <f ca="1">SUM('DA-1:DA-24'!H14)-H14</f>
        <v>0</v>
      </c>
      <c r="I130" s="286">
        <f ca="1">SUM('DA-1:DA-24'!I14)-I14</f>
        <v>0</v>
      </c>
      <c r="J130" s="286">
        <f t="shared" ref="J130:J135" ca="1" si="15">SUM(B130:I130)</f>
        <v>0</v>
      </c>
    </row>
    <row r="131" spans="1:11">
      <c r="A131" s="306" t="s">
        <v>291</v>
      </c>
      <c r="C131" s="286">
        <f>SUM('DA-1:DA-24'!C25)-C25</f>
        <v>0</v>
      </c>
      <c r="D131" s="286">
        <f>SUM('DA-1:DA-24'!D25)-D25</f>
        <v>0</v>
      </c>
      <c r="E131" s="286">
        <f>SUM('DA-1:DA-24'!E25)-E25</f>
        <v>0</v>
      </c>
      <c r="F131" s="286">
        <f>SUM('DA-1:DA-24'!F25)-F25</f>
        <v>0</v>
      </c>
      <c r="G131" s="286">
        <f>SUM('DA-1:DA-24'!G25)-G25</f>
        <v>0</v>
      </c>
      <c r="H131" s="286">
        <f>SUM('DA-1:DA-24'!H25)-H25</f>
        <v>0</v>
      </c>
      <c r="I131" s="286">
        <f>SUM('DA-1:DA-24'!I25)-I25</f>
        <v>0</v>
      </c>
      <c r="J131" s="286">
        <f t="shared" si="15"/>
        <v>0</v>
      </c>
    </row>
    <row r="132" spans="1:11">
      <c r="A132" s="306" t="s">
        <v>292</v>
      </c>
      <c r="C132" s="286">
        <f ca="1">SUM('DA-1:DA-24'!C36)-C36</f>
        <v>0</v>
      </c>
      <c r="D132" s="286">
        <f ca="1">SUM('DA-1:DA-24'!D36)-D36</f>
        <v>0</v>
      </c>
      <c r="E132" s="286">
        <f ca="1">SUM('DA-1:DA-24'!E36)-E36</f>
        <v>0</v>
      </c>
      <c r="F132" s="286">
        <f ca="1">SUM('DA-1:DA-24'!F36)-F36</f>
        <v>0</v>
      </c>
      <c r="G132" s="286">
        <f ca="1">SUM('DA-1:DA-24'!G36)-G36</f>
        <v>0</v>
      </c>
      <c r="H132" s="286">
        <f ca="1">SUM('DA-1:DA-24'!H36)-H36</f>
        <v>0</v>
      </c>
      <c r="I132" s="286">
        <f ca="1">SUM('DA-1:DA-24'!I36)-I36</f>
        <v>0</v>
      </c>
      <c r="J132" s="286">
        <f t="shared" ca="1" si="15"/>
        <v>0</v>
      </c>
    </row>
    <row r="133" spans="1:11">
      <c r="A133" s="306" t="s">
        <v>293</v>
      </c>
      <c r="C133" s="286">
        <f ca="1">SUM('DA-1:DA-24'!C48)-C48</f>
        <v>0</v>
      </c>
      <c r="D133" s="286">
        <f ca="1">SUM('DA-1:DA-24'!D48)-D48</f>
        <v>0</v>
      </c>
      <c r="E133" s="286">
        <f ca="1">SUM('DA-1:DA-24'!E48)-E48</f>
        <v>0</v>
      </c>
      <c r="F133" s="286">
        <f ca="1">SUM('DA-1:DA-24'!F48)-F48</f>
        <v>0</v>
      </c>
      <c r="G133" s="286">
        <f ca="1">SUM('DA-1:DA-24'!G48)-G48</f>
        <v>0</v>
      </c>
      <c r="H133" s="286">
        <f ca="1">SUM('DA-1:DA-24'!H48)-H48</f>
        <v>0</v>
      </c>
      <c r="I133" s="286">
        <f ca="1">SUM('DA-1:DA-24'!I48)-I48</f>
        <v>0</v>
      </c>
      <c r="J133" s="286">
        <f t="shared" ca="1" si="15"/>
        <v>0</v>
      </c>
    </row>
    <row r="134" spans="1:11">
      <c r="A134" s="306" t="s">
        <v>294</v>
      </c>
      <c r="C134" s="286">
        <f ca="1">SUM('DA-1:DA-24'!C59)-C59</f>
        <v>0</v>
      </c>
      <c r="D134" s="286">
        <f ca="1">SUM('DA-1:DA-24'!D59)-D59</f>
        <v>0</v>
      </c>
      <c r="E134" s="286">
        <f ca="1">SUM('DA-1:DA-24'!E59)-E59</f>
        <v>0</v>
      </c>
      <c r="F134" s="286">
        <f ca="1">SUM('DA-1:DA-24'!F59)-F59</f>
        <v>0</v>
      </c>
      <c r="G134" s="286">
        <f ca="1">SUM('DA-1:DA-24'!G59)-G59</f>
        <v>0</v>
      </c>
      <c r="H134" s="286">
        <f ca="1">SUM('DA-1:DA-24'!H59)-H59</f>
        <v>0</v>
      </c>
      <c r="I134" s="286">
        <f ca="1">SUM('DA-1:DA-24'!I59)-I59</f>
        <v>0</v>
      </c>
      <c r="J134" s="286">
        <f t="shared" ca="1" si="15"/>
        <v>0</v>
      </c>
    </row>
    <row r="135" spans="1:11">
      <c r="A135" s="306" t="s">
        <v>129</v>
      </c>
      <c r="C135" s="286">
        <f ca="1">SUM('DA-1:DA-24'!C70)-C70</f>
        <v>0</v>
      </c>
      <c r="D135" s="286">
        <f ca="1">SUM('DA-1:DA-24'!D70)-D70</f>
        <v>0</v>
      </c>
      <c r="E135" s="286">
        <f ca="1">SUM('DA-1:DA-24'!E70)-E70</f>
        <v>0</v>
      </c>
      <c r="F135" s="286">
        <f ca="1">SUM('DA-1:DA-24'!F70)-F70</f>
        <v>0</v>
      </c>
      <c r="G135" s="286">
        <f ca="1">SUM('DA-1:DA-24'!G70)-G70</f>
        <v>0</v>
      </c>
      <c r="H135" s="286">
        <f ca="1">SUM('DA-1:DA-24'!H70)-H70</f>
        <v>0</v>
      </c>
      <c r="I135" s="286">
        <f ca="1">SUM('DA-1:DA-24'!I70)-I70</f>
        <v>0</v>
      </c>
      <c r="J135" s="286">
        <f t="shared" ca="1" si="15"/>
        <v>0</v>
      </c>
    </row>
    <row r="138" spans="1:11" ht="18.75" customHeight="1" outlineLevel="1">
      <c r="A138" s="58" t="s">
        <v>126</v>
      </c>
      <c r="B138" s="76"/>
      <c r="C138" s="76"/>
      <c r="D138" s="76"/>
      <c r="E138" s="76"/>
      <c r="F138" s="76"/>
      <c r="G138" s="76"/>
      <c r="H138" s="76"/>
      <c r="I138" s="76"/>
      <c r="K138" s="42"/>
    </row>
    <row r="139" spans="1:11" ht="18.75" customHeight="1" outlineLevel="1">
      <c r="A139" s="61" t="s">
        <v>68</v>
      </c>
      <c r="B139" s="285">
        <f ca="1">SUM('DA-1:DA-24'!B64)-B64</f>
        <v>0</v>
      </c>
      <c r="C139" s="285">
        <f ca="1">SUM('DA-1:DA-24'!C64)-C64</f>
        <v>0</v>
      </c>
      <c r="D139" s="285">
        <f ca="1">SUM('DA-1:DA-24'!D64)-D64</f>
        <v>0</v>
      </c>
      <c r="E139" s="285">
        <f ca="1">SUM('DA-1:DA-24'!E64)-E64</f>
        <v>0</v>
      </c>
      <c r="F139" s="285">
        <f ca="1">SUM('DA-1:DA-24'!F64)-F64</f>
        <v>0</v>
      </c>
      <c r="G139" s="285">
        <f ca="1">SUM('DA-1:DA-24'!G64)-G64</f>
        <v>0</v>
      </c>
      <c r="H139" s="285">
        <f ca="1">SUM('DA-1:DA-24'!H64)-H64</f>
        <v>0</v>
      </c>
      <c r="I139" s="285">
        <f ca="1">SUM('DA-1:DA-24'!I64)-I64</f>
        <v>0</v>
      </c>
      <c r="J139" s="285">
        <f ca="1">SUM(B139:I139)</f>
        <v>0</v>
      </c>
      <c r="K139" s="42"/>
    </row>
    <row r="140" spans="1:11" ht="18.75" customHeight="1" outlineLevel="1">
      <c r="A140" s="61" t="s">
        <v>69</v>
      </c>
      <c r="B140" s="285">
        <f ca="1">SUM('DA-1:DA-24'!B65)-B65</f>
        <v>0</v>
      </c>
      <c r="C140" s="285">
        <f ca="1">SUM('DA-1:DA-24'!C65)-C65</f>
        <v>0</v>
      </c>
      <c r="D140" s="285">
        <f ca="1">SUM('DA-1:DA-24'!D65)-D65</f>
        <v>0</v>
      </c>
      <c r="E140" s="285">
        <f ca="1">SUM('DA-1:DA-24'!E65)-E65</f>
        <v>0</v>
      </c>
      <c r="F140" s="285">
        <f ca="1">SUM('DA-1:DA-24'!F65)-F65</f>
        <v>0</v>
      </c>
      <c r="G140" s="285">
        <f ca="1">SUM('DA-1:DA-24'!G65)-G65</f>
        <v>0</v>
      </c>
      <c r="H140" s="285">
        <f ca="1">SUM('DA-1:DA-24'!H65)-H65</f>
        <v>0</v>
      </c>
      <c r="I140" s="285">
        <f ca="1">SUM('DA-1:DA-24'!I65)-I65</f>
        <v>0</v>
      </c>
      <c r="J140" s="285">
        <f ca="1">SUM(B140:I140)</f>
        <v>0</v>
      </c>
      <c r="K140" s="42"/>
    </row>
    <row r="141" spans="1:11" s="780" customFormat="1" ht="18.75" customHeight="1" outlineLevel="1">
      <c r="A141" s="61" t="s">
        <v>646</v>
      </c>
      <c r="B141" s="285">
        <f ca="1">SUM('DA-1:DA-24'!B66)-B66</f>
        <v>0</v>
      </c>
      <c r="C141" s="285">
        <f ca="1">SUM('DA-1:DA-24'!C66)-C66</f>
        <v>0</v>
      </c>
      <c r="D141" s="285">
        <f ca="1">SUM('DA-1:DA-24'!D66)-D66</f>
        <v>0</v>
      </c>
      <c r="E141" s="285">
        <f ca="1">SUM('DA-1:DA-24'!E66)-E66</f>
        <v>0</v>
      </c>
      <c r="F141" s="285">
        <f ca="1">SUM('DA-1:DA-24'!F66)-F66</f>
        <v>0</v>
      </c>
      <c r="G141" s="285">
        <f ca="1">SUM('DA-1:DA-24'!G66)-G66</f>
        <v>0</v>
      </c>
      <c r="H141" s="285">
        <f ca="1">SUM('DA-1:DA-24'!H66)-H66</f>
        <v>0</v>
      </c>
      <c r="I141" s="285">
        <f ca="1">SUM('DA-1:DA-24'!I66)-I66</f>
        <v>0</v>
      </c>
      <c r="J141" s="285">
        <f t="shared" ref="J141:J143" ca="1" si="16">SUM(B141:I141)</f>
        <v>0</v>
      </c>
      <c r="K141" s="42"/>
    </row>
    <row r="142" spans="1:11" ht="18.75" customHeight="1" outlineLevel="1">
      <c r="A142" s="61" t="s">
        <v>647</v>
      </c>
      <c r="B142" s="285">
        <f ca="1">SUM('DA-1:DA-24'!B67)-B67</f>
        <v>0</v>
      </c>
      <c r="C142" s="285">
        <f ca="1">SUM('DA-1:DA-24'!C67)-C67</f>
        <v>0</v>
      </c>
      <c r="D142" s="285">
        <f ca="1">SUM('DA-1:DA-24'!D67)-D67</f>
        <v>0</v>
      </c>
      <c r="E142" s="285">
        <f ca="1">SUM('DA-1:DA-24'!E67)-E67</f>
        <v>0</v>
      </c>
      <c r="F142" s="285">
        <f ca="1">SUM('DA-1:DA-24'!F67)-F67</f>
        <v>0</v>
      </c>
      <c r="G142" s="285">
        <f ca="1">SUM('DA-1:DA-24'!G67)-G67</f>
        <v>0</v>
      </c>
      <c r="H142" s="285">
        <f ca="1">SUM('DA-1:DA-24'!H67)-H67</f>
        <v>0</v>
      </c>
      <c r="I142" s="285">
        <f ca="1">SUM('DA-1:DA-24'!I67)-I67</f>
        <v>0</v>
      </c>
      <c r="J142" s="285">
        <f t="shared" ca="1" si="16"/>
        <v>0</v>
      </c>
      <c r="K142" s="42"/>
    </row>
    <row r="143" spans="1:11" s="780" customFormat="1" ht="18.75" customHeight="1" outlineLevel="1">
      <c r="A143" s="61" t="s">
        <v>575</v>
      </c>
      <c r="B143" s="285">
        <f ca="1">SUM('DA-1:DA-24'!B68)-B68</f>
        <v>0</v>
      </c>
      <c r="C143" s="285">
        <f ca="1">SUM('DA-1:DA-24'!C68)-C68</f>
        <v>0</v>
      </c>
      <c r="D143" s="285">
        <f ca="1">SUM('DA-1:DA-24'!D68)-D68</f>
        <v>0</v>
      </c>
      <c r="E143" s="285">
        <f ca="1">SUM('DA-1:DA-24'!E68)-E68</f>
        <v>0</v>
      </c>
      <c r="F143" s="285">
        <f ca="1">SUM('DA-1:DA-24'!F68)-F68</f>
        <v>0</v>
      </c>
      <c r="G143" s="285">
        <f ca="1">SUM('DA-1:DA-24'!G68)-G68</f>
        <v>0</v>
      </c>
      <c r="H143" s="285">
        <f ca="1">SUM('DA-1:DA-24'!H68)-H68</f>
        <v>0</v>
      </c>
      <c r="I143" s="285">
        <f ca="1">SUM('DA-1:DA-24'!I68)-I68</f>
        <v>0</v>
      </c>
      <c r="J143" s="285">
        <f t="shared" ca="1" si="16"/>
        <v>0</v>
      </c>
      <c r="K143" s="42"/>
    </row>
    <row r="144" spans="1:11" ht="18.75" customHeight="1" outlineLevel="1">
      <c r="A144" s="83" t="s">
        <v>70</v>
      </c>
      <c r="B144" s="285">
        <f ca="1">SUM('DA-1:DA-24'!B69)-B69</f>
        <v>0</v>
      </c>
      <c r="C144" s="285">
        <f ca="1">SUM('DA-1:DA-24'!C69)-C69</f>
        <v>0</v>
      </c>
      <c r="D144" s="285">
        <f ca="1">SUM('DA-1:DA-24'!D69)-D69</f>
        <v>0</v>
      </c>
      <c r="E144" s="285">
        <f ca="1">SUM('DA-1:DA-24'!E69)-E69</f>
        <v>0</v>
      </c>
      <c r="F144" s="285">
        <f ca="1">SUM('DA-1:DA-24'!F69)-F69</f>
        <v>0</v>
      </c>
      <c r="G144" s="285">
        <f ca="1">SUM('DA-1:DA-24'!G69)-G69</f>
        <v>0</v>
      </c>
      <c r="H144" s="285">
        <f ca="1">SUM('DA-1:DA-24'!H69)-H69</f>
        <v>0</v>
      </c>
      <c r="I144" s="285">
        <f ca="1">SUM('DA-1:DA-24'!I69)-I69</f>
        <v>0</v>
      </c>
      <c r="J144" s="285">
        <f ca="1">SUM(B144:I144)</f>
        <v>0</v>
      </c>
      <c r="K144" s="42"/>
    </row>
    <row r="145" spans="1:11" ht="18.75" customHeight="1" outlineLevel="1">
      <c r="A145" s="99" t="s">
        <v>129</v>
      </c>
      <c r="B145" s="295">
        <f t="shared" ref="B145:I145" ca="1" si="17">SUM(B139:B144)</f>
        <v>0</v>
      </c>
      <c r="C145" s="295">
        <f t="shared" ca="1" si="17"/>
        <v>0</v>
      </c>
      <c r="D145" s="295">
        <f t="shared" ca="1" si="17"/>
        <v>0</v>
      </c>
      <c r="E145" s="295">
        <f t="shared" ca="1" si="17"/>
        <v>0</v>
      </c>
      <c r="F145" s="295">
        <f t="shared" ca="1" si="17"/>
        <v>0</v>
      </c>
      <c r="G145" s="295">
        <f t="shared" ca="1" si="17"/>
        <v>0</v>
      </c>
      <c r="H145" s="295">
        <f t="shared" ca="1" si="17"/>
        <v>0</v>
      </c>
      <c r="I145" s="295">
        <f t="shared" ca="1" si="17"/>
        <v>0</v>
      </c>
      <c r="J145" s="295">
        <f ca="1">SUM(B145:I145)</f>
        <v>0</v>
      </c>
      <c r="K145" s="42"/>
    </row>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J14 J37">
    <cfRule type="cellIs" dxfId="51" priority="3" stopIfTrue="1" operator="equal">
      <formula>"OK"</formula>
    </cfRule>
    <cfRule type="cellIs" dxfId="50" priority="4" stopIfTrue="1" operator="equal">
      <formula>"Warning Check Escalations"</formula>
    </cfRule>
  </conditionalFormatting>
  <conditionalFormatting sqref="B130:J130 C131:J135 J70 J59 J48 J36 J25 B139:J145">
    <cfRule type="cellIs" dxfId="49" priority="5" stopIfTrue="1" operator="equal">
      <formula>0</formula>
    </cfRule>
    <cfRule type="cellIs" dxfId="48" priority="6" stopIfTrue="1" operator="notEqual">
      <formula>0</formula>
    </cfRule>
  </conditionalFormatting>
  <conditionalFormatting sqref="J14">
    <cfRule type="cellIs" dxfId="47" priority="1" stopIfTrue="1" operator="equal">
      <formula>0</formula>
    </cfRule>
    <cfRule type="cellIs" dxfId="46" priority="2" stopIfTrue="1" operator="notEqual">
      <formula>0</formula>
    </cfRule>
  </conditionalFormatting>
  <dataValidations count="1">
    <dataValidation type="list" allowBlank="1" showInputMessage="1" showErrorMessage="1" sqref="D5">
      <formula1>"2007/08 Regulatory Accounts, Bottom Up"</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drawing r:id="rId7"/>
</worksheet>
</file>

<file path=xl/worksheets/sheet82.xml><?xml version="1.0" encoding="utf-8"?>
<worksheet xmlns="http://schemas.openxmlformats.org/spreadsheetml/2006/main" xmlns:r="http://schemas.openxmlformats.org/officeDocument/2006/relationships">
  <sheetPr codeName="Sheet94" enableFormatConditionsCalculation="0">
    <tabColor indexed="12"/>
    <pageSetUpPr fitToPage="1"/>
  </sheetPr>
  <dimension ref="A1:T153"/>
  <sheetViews>
    <sheetView showGridLines="0" topLeftCell="A22" zoomScaleNormal="100" workbookViewId="0">
      <selection activeCell="P52" sqref="P52"/>
    </sheetView>
  </sheetViews>
  <sheetFormatPr defaultRowHeight="12.75" outlineLevelRow="2"/>
  <cols>
    <col min="1" max="1" width="30" customWidth="1"/>
    <col min="2" max="9" width="11.5703125" customWidth="1"/>
    <col min="10" max="10" width="25.5703125" customWidth="1"/>
  </cols>
  <sheetData>
    <row r="1" spans="1:20" ht="18" customHeight="1">
      <c r="A1" s="183" t="s">
        <v>302</v>
      </c>
      <c r="B1" s="1"/>
      <c r="C1" s="72"/>
      <c r="D1" s="42"/>
      <c r="E1" s="42"/>
      <c r="F1" s="42"/>
      <c r="G1" s="42"/>
      <c r="H1" s="42"/>
      <c r="I1" s="474" t="str">
        <f>+LU_BaseYearDollars</f>
        <v>($M) 2013/14 dollars</v>
      </c>
      <c r="M1" s="282"/>
      <c r="N1" s="280"/>
      <c r="O1" s="280"/>
      <c r="P1" s="280"/>
      <c r="Q1" s="280"/>
      <c r="R1" s="280"/>
      <c r="S1" s="280"/>
      <c r="T1" s="280"/>
    </row>
    <row r="2" spans="1:20" ht="15.75">
      <c r="A2" s="184" t="s">
        <v>121</v>
      </c>
      <c r="B2" s="74" t="s">
        <v>273</v>
      </c>
      <c r="F2" s="284"/>
      <c r="H2" s="42"/>
      <c r="I2" s="283"/>
      <c r="L2" s="282"/>
      <c r="M2" s="282"/>
    </row>
    <row r="3" spans="1:20" ht="16.5" thickBot="1">
      <c r="A3" s="184" t="s">
        <v>118</v>
      </c>
      <c r="B3" s="236"/>
      <c r="C3" s="236"/>
      <c r="D3" s="236"/>
      <c r="E3" s="237" t="s">
        <v>122</v>
      </c>
      <c r="F3" s="242"/>
      <c r="G3" s="239"/>
      <c r="H3" s="237" t="s">
        <v>123</v>
      </c>
      <c r="I3" s="240"/>
      <c r="J3" s="42"/>
    </row>
    <row r="4" spans="1:20" ht="16.5" customHeight="1">
      <c r="A4" s="56"/>
      <c r="B4" s="635" t="str">
        <f t="array" ref="B4:I4">LU_TemplateYearHeader</f>
        <v>2012/13</v>
      </c>
      <c r="C4" s="635" t="str">
        <v>2013/14</v>
      </c>
      <c r="D4" s="635" t="str">
        <v>2014/15</v>
      </c>
      <c r="E4" s="635" t="str">
        <v>2015/16</v>
      </c>
      <c r="F4" s="635" t="str">
        <v>2016/17</v>
      </c>
      <c r="G4" s="635" t="str">
        <v>2017/18</v>
      </c>
      <c r="H4" s="635" t="str">
        <v>2018/19</v>
      </c>
      <c r="I4" s="635" t="str">
        <v>2019/20</v>
      </c>
      <c r="J4" s="76" t="s">
        <v>124</v>
      </c>
      <c r="K4" s="21"/>
      <c r="L4" s="21"/>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21"/>
      <c r="L6" s="21"/>
    </row>
    <row r="7" spans="1:20" s="64" customFormat="1" ht="14.25" outlineLevel="1">
      <c r="A7" s="58" t="s">
        <v>126</v>
      </c>
      <c r="B7"/>
      <c r="C7"/>
      <c r="D7"/>
      <c r="E7"/>
      <c r="F7" s="78"/>
      <c r="G7" s="78"/>
      <c r="H7" s="78"/>
      <c r="I7" s="78"/>
      <c r="J7" s="36"/>
      <c r="K7" s="63"/>
      <c r="L7" s="63"/>
    </row>
    <row r="8" spans="1:20" outlineLevel="1">
      <c r="A8" s="61" t="s">
        <v>68</v>
      </c>
      <c r="B8" s="285">
        <f ca="1">SUM('A-1:A-41'!B8)</f>
        <v>0</v>
      </c>
      <c r="C8" s="285">
        <f ca="1">SUM('A-1:A-41'!C8)</f>
        <v>0</v>
      </c>
      <c r="D8" s="285">
        <f ca="1">SUM('A-1:A-41'!D8)</f>
        <v>43.143000000000008</v>
      </c>
      <c r="E8" s="285">
        <f ca="1">SUM('A-1:A-41'!E8)</f>
        <v>43.143000000000008</v>
      </c>
      <c r="F8" s="285">
        <f ca="1">SUM('A-1:A-41'!F8)</f>
        <v>43.143000000000008</v>
      </c>
      <c r="G8" s="285">
        <f ca="1">SUM('A-1:A-41'!G8)</f>
        <v>43.143000000000008</v>
      </c>
      <c r="H8" s="285">
        <f ca="1">SUM('A-1:A-41'!H8)</f>
        <v>43.143000000000008</v>
      </c>
      <c r="I8" s="285">
        <f ca="1">SUM('A-1:A-41'!I8)</f>
        <v>43.143000000000008</v>
      </c>
      <c r="J8" s="81"/>
      <c r="K8" s="21"/>
      <c r="L8" s="21"/>
    </row>
    <row r="9" spans="1:20" outlineLevel="1">
      <c r="A9" s="61" t="s">
        <v>69</v>
      </c>
      <c r="B9" s="285">
        <f ca="1">SUM('A-1:A-41'!B9)</f>
        <v>0</v>
      </c>
      <c r="C9" s="285">
        <f ca="1">SUM('A-1:A-41'!C9)</f>
        <v>0</v>
      </c>
      <c r="D9" s="285">
        <f ca="1">SUM('A-1:A-41'!D9)</f>
        <v>1.1639999999999999</v>
      </c>
      <c r="E9" s="285">
        <f ca="1">SUM('A-1:A-41'!E9)</f>
        <v>1.1639999999999999</v>
      </c>
      <c r="F9" s="285">
        <f ca="1">SUM('A-1:A-41'!F9)</f>
        <v>1.1639999999999999</v>
      </c>
      <c r="G9" s="285">
        <f ca="1">SUM('A-1:A-41'!G9)</f>
        <v>1.1639999999999999</v>
      </c>
      <c r="H9" s="285">
        <f ca="1">SUM('A-1:A-41'!H9)</f>
        <v>1.1639999999999999</v>
      </c>
      <c r="I9" s="285">
        <f ca="1">SUM('A-1:A-41'!I9)</f>
        <v>1.1639999999999999</v>
      </c>
      <c r="J9" s="36"/>
      <c r="K9" s="21"/>
      <c r="L9" s="21"/>
    </row>
    <row r="10" spans="1:20" s="759" customFormat="1" outlineLevel="1">
      <c r="A10" s="61" t="s">
        <v>646</v>
      </c>
      <c r="B10" s="285">
        <f ca="1">SUM('A-1:A-41'!B10)</f>
        <v>0</v>
      </c>
      <c r="C10" s="285">
        <f ca="1">SUM('A-1:A-41'!C10)</f>
        <v>0</v>
      </c>
      <c r="D10" s="285">
        <f ca="1">SUM('A-1:A-41'!D10)</f>
        <v>0.10199999999999998</v>
      </c>
      <c r="E10" s="285">
        <f ca="1">SUM('A-1:A-41'!E10)</f>
        <v>0.10199999999999998</v>
      </c>
      <c r="F10" s="285">
        <f ca="1">SUM('A-1:A-41'!F10)</f>
        <v>0.10199999999999998</v>
      </c>
      <c r="G10" s="285">
        <f ca="1">SUM('A-1:A-41'!G10)</f>
        <v>0.10199999999999998</v>
      </c>
      <c r="H10" s="285">
        <f ca="1">SUM('A-1:A-41'!H10)</f>
        <v>0.10199999999999998</v>
      </c>
      <c r="I10" s="285">
        <f ca="1">SUM('A-1:A-41'!I10)</f>
        <v>0.10199999999999998</v>
      </c>
      <c r="J10" s="36"/>
      <c r="K10" s="732"/>
      <c r="L10" s="732"/>
    </row>
    <row r="11" spans="1:20" outlineLevel="1">
      <c r="A11" s="61" t="s">
        <v>647</v>
      </c>
      <c r="B11" s="285">
        <f ca="1">SUM('A-1:A-41'!B11)</f>
        <v>0</v>
      </c>
      <c r="C11" s="285">
        <f ca="1">SUM('A-1:A-41'!C11)</f>
        <v>0</v>
      </c>
      <c r="D11" s="285">
        <f ca="1">SUM('A-1:A-41'!D11)</f>
        <v>25.138999999999999</v>
      </c>
      <c r="E11" s="285">
        <f ca="1">SUM('A-1:A-41'!E11)</f>
        <v>25.138999999999999</v>
      </c>
      <c r="F11" s="285">
        <f ca="1">SUM('A-1:A-41'!F11)</f>
        <v>25.138999999999999</v>
      </c>
      <c r="G11" s="285">
        <f ca="1">SUM('A-1:A-41'!G11)</f>
        <v>25.138999999999999</v>
      </c>
      <c r="H11" s="285">
        <f ca="1">SUM('A-1:A-41'!H11)</f>
        <v>25.138999999999999</v>
      </c>
      <c r="I11" s="285">
        <f ca="1">SUM('A-1:A-41'!I11)</f>
        <v>25.138999999999999</v>
      </c>
      <c r="J11" s="36"/>
      <c r="K11" s="21"/>
      <c r="L11" s="21"/>
    </row>
    <row r="12" spans="1:20" s="759" customFormat="1" outlineLevel="1">
      <c r="A12" s="61" t="s">
        <v>575</v>
      </c>
      <c r="B12" s="285">
        <f ca="1">SUM('A-1:A-41'!B12)</f>
        <v>0</v>
      </c>
      <c r="C12" s="285">
        <f ca="1">SUM('A-1:A-41'!C12)</f>
        <v>0</v>
      </c>
      <c r="D12" s="285">
        <f ca="1">SUM('A-1:A-41'!D12)</f>
        <v>-6.5630000000000006</v>
      </c>
      <c r="E12" s="285">
        <f ca="1">SUM('A-1:A-41'!E12)</f>
        <v>-6.5630000000000006</v>
      </c>
      <c r="F12" s="285">
        <f ca="1">SUM('A-1:A-41'!F12)</f>
        <v>-6.5630000000000006</v>
      </c>
      <c r="G12" s="285">
        <f ca="1">SUM('A-1:A-41'!G12)</f>
        <v>-6.5630000000000006</v>
      </c>
      <c r="H12" s="285">
        <f ca="1">SUM('A-1:A-41'!H12)</f>
        <v>-6.5630000000000006</v>
      </c>
      <c r="I12" s="285">
        <f ca="1">SUM('A-1:A-41'!I12)</f>
        <v>-6.5630000000000006</v>
      </c>
      <c r="J12" s="36"/>
      <c r="K12" s="732"/>
      <c r="L12" s="732"/>
    </row>
    <row r="13" spans="1:20" outlineLevel="1">
      <c r="A13" s="83" t="s">
        <v>70</v>
      </c>
      <c r="B13" s="286">
        <f ca="1">SUM('A-1:A-41'!B13)</f>
        <v>0</v>
      </c>
      <c r="C13" s="286">
        <f ca="1">SUM('A-1:A-41'!C13)</f>
        <v>0</v>
      </c>
      <c r="D13" s="286">
        <f ca="1">SUM('A-1:A-41'!D13)</f>
        <v>7.3325539353381179</v>
      </c>
      <c r="E13" s="286">
        <f ca="1">SUM('A-1:A-41'!E13)</f>
        <v>5.3150000000000004</v>
      </c>
      <c r="F13" s="286">
        <f ca="1">SUM('A-1:A-41'!F13)</f>
        <v>5.3150000000000004</v>
      </c>
      <c r="G13" s="286">
        <f ca="1">SUM('A-1:A-41'!G13)</f>
        <v>5.3150000000000004</v>
      </c>
      <c r="H13" s="286">
        <f ca="1">SUM('A-1:A-41'!H13)</f>
        <v>5.3150000000000004</v>
      </c>
      <c r="I13" s="286">
        <f ca="1">SUM('A-1:A-41'!I13)</f>
        <v>5.3150000000000004</v>
      </c>
      <c r="J13" s="36"/>
      <c r="K13" s="21"/>
      <c r="L13" s="21"/>
    </row>
    <row r="14" spans="1:20" s="87" customFormat="1" ht="18" customHeight="1">
      <c r="A14" s="84" t="s">
        <v>71</v>
      </c>
      <c r="B14" s="287">
        <f t="shared" ref="B14:I14" ca="1" si="0">SUM(B8:B13)</f>
        <v>0</v>
      </c>
      <c r="C14" s="287">
        <f t="shared" ca="1" si="0"/>
        <v>0</v>
      </c>
      <c r="D14" s="287">
        <f t="shared" ca="1" si="0"/>
        <v>70.317553935338111</v>
      </c>
      <c r="E14" s="287">
        <f t="shared" ca="1" si="0"/>
        <v>68.3</v>
      </c>
      <c r="F14" s="287">
        <f t="shared" ca="1" si="0"/>
        <v>68.3</v>
      </c>
      <c r="G14" s="287">
        <f t="shared" ca="1" si="0"/>
        <v>68.3</v>
      </c>
      <c r="H14" s="287">
        <f t="shared" ca="1" si="0"/>
        <v>68.3</v>
      </c>
      <c r="I14" s="287">
        <f t="shared" ca="1" si="0"/>
        <v>68.3</v>
      </c>
      <c r="J14" s="308">
        <f ca="1">+J138</f>
        <v>0</v>
      </c>
      <c r="K14" s="86"/>
      <c r="L14" s="86"/>
    </row>
    <row r="15" spans="1:20" outlineLevel="1">
      <c r="A15" s="88"/>
      <c r="B15" s="89"/>
      <c r="C15" s="89"/>
      <c r="D15" s="89"/>
      <c r="E15" s="89"/>
      <c r="F15" s="89"/>
      <c r="G15" s="89"/>
      <c r="H15" s="89"/>
      <c r="I15" s="89"/>
      <c r="K15" s="21"/>
      <c r="L15" s="21"/>
    </row>
    <row r="16" spans="1:20" ht="18" outlineLevel="1">
      <c r="A16" s="207" t="s">
        <v>291</v>
      </c>
      <c r="B16" s="78"/>
      <c r="C16" s="78"/>
      <c r="D16" s="78"/>
      <c r="E16" s="78"/>
      <c r="F16" s="78"/>
      <c r="G16" s="78"/>
      <c r="H16" s="78"/>
      <c r="I16" s="78"/>
      <c r="J16" s="42"/>
    </row>
    <row r="17" spans="1:12" ht="18" outlineLevel="1">
      <c r="A17" s="77"/>
      <c r="B17" s="78"/>
      <c r="C17" s="78"/>
      <c r="D17" s="78"/>
      <c r="E17" s="78"/>
      <c r="F17" s="78"/>
      <c r="G17" s="78"/>
      <c r="H17" s="78"/>
      <c r="I17" s="78"/>
      <c r="J17" s="42"/>
    </row>
    <row r="18" spans="1:12" s="2" customFormat="1" outlineLevel="1">
      <c r="A18" s="58" t="s">
        <v>126</v>
      </c>
      <c r="B18" s="59"/>
      <c r="C18" s="59"/>
      <c r="D18" s="59"/>
      <c r="E18" s="59"/>
      <c r="F18" s="59"/>
      <c r="G18" s="59"/>
      <c r="H18" s="59"/>
      <c r="I18" s="59"/>
      <c r="J18" s="60"/>
      <c r="K18" s="60"/>
      <c r="L18" s="60"/>
    </row>
    <row r="19" spans="1:12" outlineLevel="1">
      <c r="A19" s="61" t="s">
        <v>68</v>
      </c>
      <c r="B19" s="288"/>
      <c r="C19" s="285">
        <f>SUM('A-1:A-41'!C19)</f>
        <v>0</v>
      </c>
      <c r="D19" s="285">
        <f>SUM('A-1:A-41'!D19)</f>
        <v>0.9064255683297987</v>
      </c>
      <c r="E19" s="285">
        <f>SUM('A-1:A-41'!E19)</f>
        <v>1.4450000000000001</v>
      </c>
      <c r="F19" s="285">
        <f>SUM('A-1:A-41'!F19)</f>
        <v>2.8209999999999997</v>
      </c>
      <c r="G19" s="285">
        <f>SUM('A-1:A-41'!G19)</f>
        <v>4.6900000000000004</v>
      </c>
      <c r="H19" s="285">
        <f>SUM('A-1:A-41'!H19)</f>
        <v>4.6900000000000004</v>
      </c>
      <c r="I19" s="285">
        <f>SUM('A-1:A-41'!I19)</f>
        <v>4.7910000000000004</v>
      </c>
      <c r="J19" s="42"/>
      <c r="K19" s="21"/>
      <c r="L19" s="21"/>
    </row>
    <row r="20" spans="1:12" outlineLevel="1">
      <c r="A20" s="61" t="s">
        <v>69</v>
      </c>
      <c r="B20" s="289"/>
      <c r="C20" s="285">
        <f>SUM('A-1:A-41'!C20)</f>
        <v>0</v>
      </c>
      <c r="D20" s="285">
        <f>SUM('A-1:A-41'!D20)</f>
        <v>0</v>
      </c>
      <c r="E20" s="285">
        <f>SUM('A-1:A-41'!E20)</f>
        <v>0.121</v>
      </c>
      <c r="F20" s="285">
        <f>SUM('A-1:A-41'!F20)</f>
        <v>0.29099999999999998</v>
      </c>
      <c r="G20" s="285">
        <f>SUM('A-1:A-41'!G20)</f>
        <v>0.3</v>
      </c>
      <c r="H20" s="285">
        <f>SUM('A-1:A-41'!H20)</f>
        <v>0.313</v>
      </c>
      <c r="I20" s="285">
        <f>SUM('A-1:A-41'!I20)</f>
        <v>0.313</v>
      </c>
      <c r="J20" s="42"/>
      <c r="K20" s="21"/>
      <c r="L20" s="21"/>
    </row>
    <row r="21" spans="1:12" s="759" customFormat="1" outlineLevel="1">
      <c r="A21" s="61" t="s">
        <v>646</v>
      </c>
      <c r="B21" s="289"/>
      <c r="C21" s="285">
        <f>SUM('A-1:A-41'!C21)</f>
        <v>0</v>
      </c>
      <c r="D21" s="285">
        <f>SUM('A-1:A-41'!D21)</f>
        <v>0</v>
      </c>
      <c r="E21" s="285">
        <f>SUM('A-1:A-41'!E21)</f>
        <v>0.88</v>
      </c>
      <c r="F21" s="285">
        <f>SUM('A-1:A-41'!F21)</f>
        <v>1.034</v>
      </c>
      <c r="G21" s="285">
        <f>SUM('A-1:A-41'!G21)</f>
        <v>1.224</v>
      </c>
      <c r="H21" s="285">
        <f>SUM('A-1:A-41'!H21)</f>
        <v>1.3180000000000001</v>
      </c>
      <c r="I21" s="285">
        <f>SUM('A-1:A-41'!I21)</f>
        <v>1.3180000000000001</v>
      </c>
      <c r="J21" s="42"/>
      <c r="K21" s="732"/>
      <c r="L21" s="732"/>
    </row>
    <row r="22" spans="1:12" outlineLevel="1">
      <c r="A22" s="61" t="s">
        <v>647</v>
      </c>
      <c r="B22" s="289"/>
      <c r="C22" s="285">
        <f>SUM('A-1:A-41'!C22)</f>
        <v>0</v>
      </c>
      <c r="D22" s="285">
        <f>SUM('A-1:A-41'!D22)</f>
        <v>1.1115079808014288</v>
      </c>
      <c r="E22" s="285">
        <f>SUM('A-1:A-41'!E22)</f>
        <v>4.2279999999999998</v>
      </c>
      <c r="F22" s="285">
        <f>SUM('A-1:A-41'!F22)</f>
        <v>3.198</v>
      </c>
      <c r="G22" s="285">
        <f>SUM('A-1:A-41'!G22)</f>
        <v>3.847</v>
      </c>
      <c r="H22" s="285">
        <f>SUM('A-1:A-41'!H22)</f>
        <v>3.7749999999999999</v>
      </c>
      <c r="I22" s="285">
        <f>SUM('A-1:A-41'!I22)</f>
        <v>4.0640000000000001</v>
      </c>
      <c r="J22" s="42"/>
      <c r="K22" s="21"/>
      <c r="L22" s="21"/>
    </row>
    <row r="23" spans="1:12" s="759" customFormat="1" outlineLevel="1">
      <c r="A23" s="61" t="s">
        <v>575</v>
      </c>
      <c r="B23" s="289"/>
      <c r="C23" s="285">
        <f>SUM('A-1:A-41'!C23)</f>
        <v>0</v>
      </c>
      <c r="D23" s="285">
        <f>SUM('A-1:A-41'!D23)</f>
        <v>0</v>
      </c>
      <c r="E23" s="285">
        <f>SUM('A-1:A-41'!E23)</f>
        <v>0</v>
      </c>
      <c r="F23" s="285">
        <f>SUM('A-1:A-41'!F23)</f>
        <v>0</v>
      </c>
      <c r="G23" s="285">
        <f>SUM('A-1:A-41'!G23)</f>
        <v>0</v>
      </c>
      <c r="H23" s="285">
        <f>SUM('A-1:A-41'!H23)</f>
        <v>0</v>
      </c>
      <c r="I23" s="285">
        <f>SUM('A-1:A-41'!I23)</f>
        <v>0</v>
      </c>
      <c r="J23" s="42"/>
      <c r="K23" s="732"/>
      <c r="L23" s="732"/>
    </row>
    <row r="24" spans="1:12" outlineLevel="1">
      <c r="A24" s="83" t="s">
        <v>70</v>
      </c>
      <c r="B24" s="290"/>
      <c r="C24" s="285">
        <f>SUM('A-1:A-41'!C24)</f>
        <v>0</v>
      </c>
      <c r="D24" s="285">
        <f>SUM('A-1:A-41'!D24)</f>
        <v>0</v>
      </c>
      <c r="E24" s="285">
        <f>SUM('A-1:A-41'!E24)</f>
        <v>0</v>
      </c>
      <c r="F24" s="285">
        <f>SUM('A-1:A-41'!F24)</f>
        <v>0</v>
      </c>
      <c r="G24" s="285">
        <f>SUM('A-1:A-41'!G24)</f>
        <v>0</v>
      </c>
      <c r="H24" s="285">
        <f>SUM('A-1:A-41'!H24)</f>
        <v>0</v>
      </c>
      <c r="I24" s="285">
        <f>SUM('A-1:A-41'!I24)</f>
        <v>0</v>
      </c>
      <c r="J24" s="42"/>
      <c r="K24" s="21"/>
      <c r="L24" s="21"/>
    </row>
    <row r="25" spans="1:12" s="87" customFormat="1" ht="18" customHeight="1">
      <c r="A25" s="84" t="s">
        <v>72</v>
      </c>
      <c r="B25" s="291"/>
      <c r="C25" s="295">
        <f t="shared" ref="C25:I25" si="1">SUM(C19:C24)</f>
        <v>0</v>
      </c>
      <c r="D25" s="295">
        <f t="shared" si="1"/>
        <v>2.0179335491312274</v>
      </c>
      <c r="E25" s="295">
        <f t="shared" si="1"/>
        <v>6.6739999999999995</v>
      </c>
      <c r="F25" s="295">
        <f t="shared" si="1"/>
        <v>7.3439999999999994</v>
      </c>
      <c r="G25" s="295">
        <f t="shared" si="1"/>
        <v>10.061</v>
      </c>
      <c r="H25" s="295">
        <f t="shared" si="1"/>
        <v>10.096</v>
      </c>
      <c r="I25" s="309">
        <f t="shared" si="1"/>
        <v>10.486000000000001</v>
      </c>
      <c r="J25" s="308">
        <f>+J139</f>
        <v>0</v>
      </c>
      <c r="K25" s="86"/>
      <c r="L25" s="86"/>
    </row>
    <row r="26" spans="1:12" outlineLevel="1">
      <c r="A26" s="88"/>
      <c r="B26" s="292"/>
      <c r="C26" s="292"/>
      <c r="D26" s="292"/>
      <c r="E26" s="292"/>
      <c r="F26" s="292"/>
      <c r="G26" s="292"/>
      <c r="H26" s="292"/>
      <c r="I26" s="292"/>
      <c r="J26" s="42"/>
      <c r="K26" s="21"/>
      <c r="L26" s="21"/>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21"/>
      <c r="L28" s="21"/>
    </row>
    <row r="29" spans="1:12" s="64" customFormat="1" ht="14.25" outlineLevel="2">
      <c r="A29" s="58" t="s">
        <v>126</v>
      </c>
      <c r="B29" s="285"/>
      <c r="C29" s="285"/>
      <c r="D29" s="285"/>
      <c r="E29" s="285"/>
      <c r="F29" s="285"/>
      <c r="G29" s="285"/>
      <c r="H29" s="285"/>
      <c r="I29" s="285"/>
      <c r="J29" s="63"/>
      <c r="K29" s="63"/>
      <c r="L29" s="63"/>
    </row>
    <row r="30" spans="1:12" outlineLevel="2">
      <c r="A30" s="61" t="s">
        <v>68</v>
      </c>
      <c r="B30" s="285">
        <f ca="1">+'R3'!B8+'R3'!B19</f>
        <v>0</v>
      </c>
      <c r="C30" s="285">
        <f ca="1">+'R3'!C8+'R3'!C19</f>
        <v>0</v>
      </c>
      <c r="D30" s="285">
        <f ca="1">+'R3'!D8+'R3'!D19</f>
        <v>44.049425568329809</v>
      </c>
      <c r="E30" s="285">
        <f ca="1">+'R3'!E8+'R3'!E19</f>
        <v>44.588000000000008</v>
      </c>
      <c r="F30" s="285">
        <f ca="1">+'R3'!F8+'R3'!F19</f>
        <v>45.964000000000006</v>
      </c>
      <c r="G30" s="285">
        <f ca="1">+'R3'!G8+'R3'!G19</f>
        <v>47.833000000000006</v>
      </c>
      <c r="H30" s="285">
        <f ca="1">+'R3'!H8+'R3'!H19</f>
        <v>47.833000000000006</v>
      </c>
      <c r="I30" s="285">
        <f ca="1">+'R3'!I8+'R3'!I19</f>
        <v>47.934000000000012</v>
      </c>
      <c r="J30" s="42"/>
      <c r="K30" s="21"/>
      <c r="L30" s="21"/>
    </row>
    <row r="31" spans="1:12" outlineLevel="2">
      <c r="A31" s="61" t="s">
        <v>69</v>
      </c>
      <c r="B31" s="285">
        <f ca="1">+'R3'!B9+'R3'!B20</f>
        <v>0</v>
      </c>
      <c r="C31" s="285">
        <f ca="1">+'R3'!C9+'R3'!C20</f>
        <v>0</v>
      </c>
      <c r="D31" s="285">
        <f ca="1">+'R3'!D9+'R3'!D20</f>
        <v>1.1639999999999999</v>
      </c>
      <c r="E31" s="285">
        <f ca="1">+'R3'!E9+'R3'!E20</f>
        <v>1.2849999999999999</v>
      </c>
      <c r="F31" s="285">
        <f ca="1">+'R3'!F9+'R3'!F20</f>
        <v>1.4549999999999998</v>
      </c>
      <c r="G31" s="285">
        <f ca="1">+'R3'!G9+'R3'!G20</f>
        <v>1.464</v>
      </c>
      <c r="H31" s="285">
        <f ca="1">+'R3'!H9+'R3'!H20</f>
        <v>1.4769999999999999</v>
      </c>
      <c r="I31" s="285">
        <f ca="1">+'R3'!I9+'R3'!I20</f>
        <v>1.4769999999999999</v>
      </c>
      <c r="J31" s="42"/>
      <c r="K31" s="21"/>
      <c r="L31" s="21"/>
    </row>
    <row r="32" spans="1:12" s="759" customFormat="1" outlineLevel="2">
      <c r="A32" s="61" t="s">
        <v>646</v>
      </c>
      <c r="B32" s="285">
        <f ca="1">+'R3'!B10+'R3'!B21</f>
        <v>0</v>
      </c>
      <c r="C32" s="285">
        <f ca="1">+'R3'!C10+'R3'!C21</f>
        <v>0</v>
      </c>
      <c r="D32" s="285">
        <f ca="1">+'R3'!D10+'R3'!D21</f>
        <v>0.10199999999999998</v>
      </c>
      <c r="E32" s="285">
        <f ca="1">+'R3'!E10+'R3'!E21</f>
        <v>0.98199999999999998</v>
      </c>
      <c r="F32" s="285">
        <f ca="1">+'R3'!F10+'R3'!F21</f>
        <v>1.1360000000000001</v>
      </c>
      <c r="G32" s="285">
        <f ca="1">+'R3'!G10+'R3'!G21</f>
        <v>1.3260000000000001</v>
      </c>
      <c r="H32" s="285">
        <f ca="1">+'R3'!H10+'R3'!H21</f>
        <v>1.42</v>
      </c>
      <c r="I32" s="285">
        <f ca="1">+'R3'!I10+'R3'!I21</f>
        <v>1.42</v>
      </c>
      <c r="J32" s="42"/>
      <c r="K32" s="732"/>
      <c r="L32" s="732"/>
    </row>
    <row r="33" spans="1:12" outlineLevel="2">
      <c r="A33" s="61" t="s">
        <v>647</v>
      </c>
      <c r="B33" s="285">
        <f ca="1">+'R3'!B11+'R3'!B22</f>
        <v>0</v>
      </c>
      <c r="C33" s="285">
        <f ca="1">+'R3'!C11+'R3'!C22</f>
        <v>0</v>
      </c>
      <c r="D33" s="285">
        <f ca="1">+'R3'!D11+'R3'!D22</f>
        <v>26.250507980801427</v>
      </c>
      <c r="E33" s="285">
        <f ca="1">+'R3'!E11+'R3'!E22</f>
        <v>29.366999999999997</v>
      </c>
      <c r="F33" s="285">
        <f ca="1">+'R3'!F11+'R3'!F22</f>
        <v>28.337</v>
      </c>
      <c r="G33" s="285">
        <f ca="1">+'R3'!G11+'R3'!G22</f>
        <v>28.986000000000001</v>
      </c>
      <c r="H33" s="285">
        <f ca="1">+'R3'!H11+'R3'!H22</f>
        <v>28.913999999999998</v>
      </c>
      <c r="I33" s="285">
        <f ca="1">+'R3'!I11+'R3'!I22</f>
        <v>29.202999999999999</v>
      </c>
      <c r="J33" s="42"/>
      <c r="K33" s="21"/>
      <c r="L33" s="21"/>
    </row>
    <row r="34" spans="1:12" s="759" customFormat="1" outlineLevel="2">
      <c r="A34" s="61" t="s">
        <v>575</v>
      </c>
      <c r="B34" s="285">
        <f ca="1">+'R3'!B12+'R3'!B23</f>
        <v>0</v>
      </c>
      <c r="C34" s="285">
        <f ca="1">+'R3'!C12+'R3'!C23</f>
        <v>0</v>
      </c>
      <c r="D34" s="285">
        <f ca="1">+'R3'!D12+'R3'!D23</f>
        <v>-6.5630000000000006</v>
      </c>
      <c r="E34" s="285">
        <f ca="1">+'R3'!E12+'R3'!E23</f>
        <v>-6.5630000000000006</v>
      </c>
      <c r="F34" s="285">
        <f ca="1">+'R3'!F12+'R3'!F23</f>
        <v>-6.5630000000000006</v>
      </c>
      <c r="G34" s="285">
        <f ca="1">+'R3'!G12+'R3'!G23</f>
        <v>-6.5630000000000006</v>
      </c>
      <c r="H34" s="285">
        <f ca="1">+'R3'!H12+'R3'!H23</f>
        <v>-6.5630000000000006</v>
      </c>
      <c r="I34" s="285">
        <f ca="1">+'R3'!I12+'R3'!I23</f>
        <v>-6.5630000000000006</v>
      </c>
      <c r="J34" s="42"/>
      <c r="K34" s="732"/>
      <c r="L34" s="732"/>
    </row>
    <row r="35" spans="1:12" outlineLevel="2">
      <c r="A35" s="83" t="s">
        <v>70</v>
      </c>
      <c r="B35" s="285">
        <f ca="1">+'R3'!B13+'R3'!B24</f>
        <v>0</v>
      </c>
      <c r="C35" s="285">
        <f ca="1">+'R3'!C13+'R3'!C24</f>
        <v>0</v>
      </c>
      <c r="D35" s="285">
        <f ca="1">+'R3'!D13+'R3'!D24</f>
        <v>7.3325539353381179</v>
      </c>
      <c r="E35" s="285">
        <f ca="1">+'R3'!E13+'R3'!E24</f>
        <v>5.3150000000000004</v>
      </c>
      <c r="F35" s="285">
        <f ca="1">+'R3'!F13+'R3'!F24</f>
        <v>5.3150000000000004</v>
      </c>
      <c r="G35" s="285">
        <f ca="1">+'R3'!G13+'R3'!G24</f>
        <v>5.3150000000000004</v>
      </c>
      <c r="H35" s="285">
        <f ca="1">+'R3'!H13+'R3'!H24</f>
        <v>5.3150000000000004</v>
      </c>
      <c r="I35" s="285">
        <f ca="1">+'R3'!I13+'R3'!I24</f>
        <v>5.3150000000000004</v>
      </c>
      <c r="J35" s="93"/>
      <c r="K35" s="21"/>
      <c r="L35" s="21"/>
    </row>
    <row r="36" spans="1:12" s="87" customFormat="1" ht="20.25" customHeight="1">
      <c r="A36" s="94" t="s">
        <v>128</v>
      </c>
      <c r="B36" s="294">
        <f t="shared" ref="B36:I36" ca="1" si="2">SUM(B30:B35)</f>
        <v>0</v>
      </c>
      <c r="C36" s="294">
        <f t="shared" ca="1" si="2"/>
        <v>0</v>
      </c>
      <c r="D36" s="294">
        <f t="shared" ca="1" si="2"/>
        <v>72.33548748446934</v>
      </c>
      <c r="E36" s="294">
        <f t="shared" ca="1" si="2"/>
        <v>74.974000000000004</v>
      </c>
      <c r="F36" s="294">
        <f t="shared" ca="1" si="2"/>
        <v>75.644000000000005</v>
      </c>
      <c r="G36" s="294">
        <f t="shared" ca="1" si="2"/>
        <v>78.361000000000004</v>
      </c>
      <c r="H36" s="294">
        <f t="shared" ca="1" si="2"/>
        <v>78.396000000000001</v>
      </c>
      <c r="I36" s="294">
        <f t="shared" ca="1" si="2"/>
        <v>78.786000000000001</v>
      </c>
      <c r="J36" s="308">
        <f ca="1">+J140</f>
        <v>0</v>
      </c>
      <c r="L36" s="86"/>
    </row>
    <row r="37" spans="1:12" ht="2.25" customHeight="1">
      <c r="A37" s="92"/>
      <c r="B37" s="95"/>
      <c r="C37" s="95"/>
      <c r="D37" s="95"/>
      <c r="E37" s="95"/>
      <c r="F37" s="95"/>
      <c r="G37" s="95"/>
      <c r="H37" s="95"/>
      <c r="I37" s="95"/>
      <c r="J37" s="96"/>
      <c r="L37" s="21"/>
    </row>
    <row r="38" spans="1:12" outlineLevel="1">
      <c r="A38" s="88"/>
      <c r="B38" s="89"/>
      <c r="C38" s="89"/>
      <c r="D38" s="89"/>
      <c r="E38" s="89"/>
      <c r="F38" s="89"/>
      <c r="G38" s="89"/>
      <c r="H38" s="89"/>
      <c r="I38" s="89"/>
      <c r="K38" s="42"/>
      <c r="L38" s="21"/>
    </row>
    <row r="39" spans="1:12" ht="18" outlineLevel="1">
      <c r="A39" s="207" t="s">
        <v>293</v>
      </c>
      <c r="B39" s="78"/>
      <c r="C39" s="78"/>
      <c r="D39" s="78"/>
      <c r="E39" s="78"/>
      <c r="F39" s="78"/>
      <c r="G39" s="78"/>
      <c r="H39" s="78"/>
      <c r="I39" s="78"/>
      <c r="K39" s="42"/>
    </row>
    <row r="40" spans="1:12" ht="18" outlineLevel="1">
      <c r="A40" s="77"/>
      <c r="B40" s="78"/>
      <c r="C40" s="78"/>
      <c r="D40" s="78"/>
      <c r="E40" s="78"/>
      <c r="F40" s="78"/>
      <c r="G40" s="78"/>
      <c r="H40" s="78"/>
      <c r="I40" s="78"/>
      <c r="K40" s="42"/>
    </row>
    <row r="41" spans="1:12" s="2" customFormat="1" outlineLevel="1">
      <c r="A41" s="58" t="s">
        <v>126</v>
      </c>
      <c r="B41" s="78"/>
      <c r="C41" s="78"/>
      <c r="D41" s="78"/>
      <c r="E41" s="78"/>
      <c r="F41" s="78"/>
      <c r="G41" s="78"/>
      <c r="H41" s="78"/>
      <c r="I41" s="78"/>
      <c r="K41" s="60"/>
      <c r="L41" s="60"/>
    </row>
    <row r="42" spans="1:12" s="64" customFormat="1" ht="14.25" outlineLevel="1">
      <c r="A42" s="61" t="s">
        <v>68</v>
      </c>
      <c r="B42" s="82"/>
      <c r="C42" s="285">
        <f ca="1">SUM('A-1:A-41'!C42)</f>
        <v>0</v>
      </c>
      <c r="D42" s="285">
        <f ca="1">SUM('A-1:A-41'!D42)</f>
        <v>0</v>
      </c>
      <c r="E42" s="285">
        <f ca="1">SUM('A-1:A-41'!E42)</f>
        <v>0.45774543012732688</v>
      </c>
      <c r="F42" s="285">
        <f ca="1">SUM('A-1:A-41'!F42)</f>
        <v>0.88188585261798158</v>
      </c>
      <c r="G42" s="285">
        <f ca="1">SUM('A-1:A-41'!G42)</f>
        <v>1.3011439504974518</v>
      </c>
      <c r="H42" s="285">
        <f ca="1">SUM('A-1:A-41'!H42)</f>
        <v>1.7560053137668354</v>
      </c>
      <c r="I42" s="285">
        <f ca="1">SUM('A-1:A-41'!I42)</f>
        <v>2.1726617267186001</v>
      </c>
      <c r="K42" s="63"/>
      <c r="L42" s="63"/>
    </row>
    <row r="43" spans="1:12" outlineLevel="1">
      <c r="A43" s="61" t="s">
        <v>69</v>
      </c>
      <c r="B43" s="82"/>
      <c r="C43" s="285">
        <f ca="1">SUM('A-1:A-41'!C43)</f>
        <v>0</v>
      </c>
      <c r="D43" s="285">
        <f ca="1">SUM('A-1:A-41'!D43)</f>
        <v>0</v>
      </c>
      <c r="E43" s="285">
        <f ca="1">SUM('A-1:A-41'!E43)</f>
        <v>1.234999143935768E-2</v>
      </c>
      <c r="F43" s="285">
        <f ca="1">SUM('A-1:A-41'!F43)</f>
        <v>2.379331832388408E-2</v>
      </c>
      <c r="G43" s="285">
        <f ca="1">SUM('A-1:A-41'!G43)</f>
        <v>3.5104919879911767E-2</v>
      </c>
      <c r="H43" s="285">
        <f ca="1">SUM('A-1:A-41'!H43)</f>
        <v>4.7377099071103011E-2</v>
      </c>
      <c r="I43" s="285">
        <f ca="1">SUM('A-1:A-41'!I43)</f>
        <v>5.8618507055616234E-2</v>
      </c>
      <c r="K43" s="42"/>
      <c r="L43" s="21"/>
    </row>
    <row r="44" spans="1:12" s="759" customFormat="1" outlineLevel="1">
      <c r="A44" s="61" t="s">
        <v>646</v>
      </c>
      <c r="B44" s="82"/>
      <c r="C44" s="285">
        <f ca="1">SUM('A-1:A-41'!C44)</f>
        <v>0</v>
      </c>
      <c r="D44" s="285">
        <f ca="1">SUM('A-1:A-41'!D44)</f>
        <v>0</v>
      </c>
      <c r="E44" s="285">
        <f ca="1">SUM('A-1:A-41'!E44)</f>
        <v>1.0822157446859818E-3</v>
      </c>
      <c r="F44" s="285">
        <f ca="1">SUM('A-1:A-41'!F44)</f>
        <v>2.0849815026083999E-3</v>
      </c>
      <c r="G44" s="285">
        <f ca="1">SUM('A-1:A-41'!G44)</f>
        <v>3.076204319373711E-3</v>
      </c>
      <c r="H44" s="285">
        <f ca="1">SUM('A-1:A-41'!H44)</f>
        <v>4.1516014649935614E-3</v>
      </c>
      <c r="I44" s="285">
        <f ca="1">SUM('A-1:A-41'!I44)</f>
        <v>5.1366732986880183E-3</v>
      </c>
      <c r="K44" s="42"/>
      <c r="L44" s="732"/>
    </row>
    <row r="45" spans="1:12" outlineLevel="1">
      <c r="A45" s="61" t="s">
        <v>647</v>
      </c>
      <c r="B45" s="82"/>
      <c r="C45" s="285">
        <f ca="1">SUM('A-1:A-41'!C45)</f>
        <v>0</v>
      </c>
      <c r="D45" s="285">
        <f ca="1">SUM('A-1:A-41'!D45)</f>
        <v>0</v>
      </c>
      <c r="E45" s="285">
        <f ca="1">SUM('A-1:A-41'!E45)</f>
        <v>0.26672374123196974</v>
      </c>
      <c r="F45" s="285">
        <f ca="1">SUM('A-1:A-41'!F45)</f>
        <v>0.51386617641247578</v>
      </c>
      <c r="G45" s="285">
        <f ca="1">SUM('A-1:A-41'!G45)</f>
        <v>0.75816372926211495</v>
      </c>
      <c r="H45" s="285">
        <f ca="1">SUM('A-1:A-41'!H45)</f>
        <v>1.0232069532203247</v>
      </c>
      <c r="I45" s="285">
        <f ca="1">SUM('A-1:A-41'!I45)</f>
        <v>1.2659885299580205</v>
      </c>
      <c r="K45" s="42"/>
      <c r="L45" s="21"/>
    </row>
    <row r="46" spans="1:12" s="759" customFormat="1" outlineLevel="1">
      <c r="A46" s="61" t="s">
        <v>575</v>
      </c>
      <c r="B46" s="82"/>
      <c r="C46" s="285">
        <f ca="1">SUM('A-1:A-41'!C46)</f>
        <v>0</v>
      </c>
      <c r="D46" s="285">
        <f ca="1">SUM('A-1:A-41'!D46)</f>
        <v>0</v>
      </c>
      <c r="E46" s="285">
        <f ca="1">SUM('A-1:A-41'!E46)</f>
        <v>-6.963315619974611E-2</v>
      </c>
      <c r="F46" s="285">
        <f ca="1">SUM('A-1:A-41'!F46)</f>
        <v>-0.13415425099626391</v>
      </c>
      <c r="G46" s="285">
        <f ca="1">SUM('A-1:A-41'!G46)</f>
        <v>-0.19793263674558503</v>
      </c>
      <c r="H46" s="285">
        <f ca="1">SUM('A-1:A-41'!H46)</f>
        <v>-0.26712706288973276</v>
      </c>
      <c r="I46" s="285">
        <f ca="1">SUM('A-1:A-41'!I46)</f>
        <v>-0.33050967509107321</v>
      </c>
      <c r="K46" s="42"/>
      <c r="L46" s="732"/>
    </row>
    <row r="47" spans="1:12" outlineLevel="1">
      <c r="A47" s="83" t="s">
        <v>70</v>
      </c>
      <c r="B47" s="82"/>
      <c r="C47" s="285">
        <f ca="1">SUM('A-1:A-41'!C47)</f>
        <v>0</v>
      </c>
      <c r="D47" s="285">
        <f ca="1">SUM('A-1:A-41'!D47)</f>
        <v>0</v>
      </c>
      <c r="E47" s="285">
        <f ca="1">SUM('A-1:A-41'!E47)</f>
        <v>5.6391928264764676E-2</v>
      </c>
      <c r="F47" s="285">
        <f ca="1">SUM('A-1:A-41'!F47)</f>
        <v>0.10864388908199646</v>
      </c>
      <c r="G47" s="285">
        <f ca="1">SUM('A-1:A-41'!G47)</f>
        <v>0.16029437213207134</v>
      </c>
      <c r="H47" s="285">
        <f ca="1">SUM('A-1:A-41'!H47)</f>
        <v>0.21633099790628213</v>
      </c>
      <c r="I47" s="285">
        <f ca="1">SUM('A-1:A-41'!I47)</f>
        <v>0.26766096649536097</v>
      </c>
      <c r="K47" s="42"/>
      <c r="L47" s="21"/>
    </row>
    <row r="48" spans="1:12" s="87" customFormat="1" ht="18" customHeight="1">
      <c r="A48" s="94" t="s">
        <v>74</v>
      </c>
      <c r="B48" s="294"/>
      <c r="C48" s="294">
        <f t="shared" ref="C48:I48" ca="1" si="3">SUM(C42:C47)</f>
        <v>0</v>
      </c>
      <c r="D48" s="294">
        <f t="shared" ca="1" si="3"/>
        <v>0</v>
      </c>
      <c r="E48" s="294">
        <f t="shared" ca="1" si="3"/>
        <v>0.72466015060835887</v>
      </c>
      <c r="F48" s="294">
        <f t="shared" ca="1" si="3"/>
        <v>1.3961199669426825</v>
      </c>
      <c r="G48" s="294">
        <f t="shared" ca="1" si="3"/>
        <v>2.0598505393453386</v>
      </c>
      <c r="H48" s="294">
        <f t="shared" ca="1" si="3"/>
        <v>2.779944902539806</v>
      </c>
      <c r="I48" s="294">
        <f t="shared" ca="1" si="3"/>
        <v>3.4395567284352127</v>
      </c>
      <c r="J48" s="308">
        <f ca="1">+J141</f>
        <v>0</v>
      </c>
      <c r="L48" s="86"/>
    </row>
    <row r="49" spans="1:12" outlineLevel="1">
      <c r="A49" s="88"/>
      <c r="B49" s="89"/>
      <c r="C49" s="89"/>
      <c r="D49" s="89"/>
      <c r="E49" s="862"/>
      <c r="F49" s="862"/>
      <c r="G49" s="862"/>
      <c r="H49" s="862"/>
      <c r="I49" s="862"/>
      <c r="K49" s="42"/>
      <c r="L49" s="21"/>
    </row>
    <row r="50" spans="1:12" ht="18" outlineLevel="1">
      <c r="A50" s="207" t="s">
        <v>294</v>
      </c>
      <c r="B50" s="78"/>
      <c r="C50" s="78"/>
      <c r="D50" s="78"/>
      <c r="E50" s="78"/>
      <c r="F50" s="78"/>
      <c r="G50" s="78"/>
      <c r="H50" s="78"/>
      <c r="I50" s="78"/>
      <c r="K50" s="42"/>
    </row>
    <row r="51" spans="1:12" ht="18" outlineLevel="1">
      <c r="A51" s="77"/>
      <c r="B51" s="78"/>
      <c r="C51" s="78"/>
      <c r="D51" s="78"/>
      <c r="E51" s="78"/>
      <c r="F51" s="78"/>
      <c r="G51" s="78"/>
      <c r="H51" s="78"/>
      <c r="I51" s="78"/>
      <c r="K51" s="42"/>
    </row>
    <row r="52" spans="1:12" s="2" customFormat="1" outlineLevel="1">
      <c r="A52" s="58" t="s">
        <v>126</v>
      </c>
      <c r="B52" s="78"/>
      <c r="C52" s="78"/>
      <c r="D52" s="78"/>
      <c r="E52" s="78"/>
      <c r="F52" s="78"/>
      <c r="G52" s="78"/>
      <c r="H52" s="78"/>
      <c r="I52" s="78"/>
      <c r="K52" s="60"/>
      <c r="L52" s="60"/>
    </row>
    <row r="53" spans="1:12" s="64" customFormat="1" ht="14.25" outlineLevel="1">
      <c r="A53" s="61" t="s">
        <v>68</v>
      </c>
      <c r="B53" s="285"/>
      <c r="C53" s="285">
        <f ca="1">SUM('A-1:A-41'!C53)</f>
        <v>0</v>
      </c>
      <c r="D53" s="285">
        <f ca="1">SUM('A-1:A-41'!D53)</f>
        <v>0</v>
      </c>
      <c r="E53" s="285">
        <f ca="1">SUM('A-1:A-41'!E53)</f>
        <v>0.93558330875934537</v>
      </c>
      <c r="F53" s="285">
        <f ca="1">SUM('A-1:A-41'!F53)</f>
        <v>1.9096400067444108</v>
      </c>
      <c r="G53" s="285">
        <f ca="1">SUM('A-1:A-41'!G53)</f>
        <v>2.9773972378314393</v>
      </c>
      <c r="H53" s="285">
        <f ca="1">SUM('A-1:A-41'!H53)</f>
        <v>4.0921812365677779</v>
      </c>
      <c r="I53" s="285">
        <f ca="1">SUM('A-1:A-41'!I53)</f>
        <v>5.2493001239768144</v>
      </c>
      <c r="K53" s="63"/>
      <c r="L53" s="63"/>
    </row>
    <row r="54" spans="1:12" outlineLevel="1">
      <c r="A54" s="61" t="s">
        <v>69</v>
      </c>
      <c r="B54" s="285"/>
      <c r="C54" s="285">
        <f ca="1">SUM('A-1:A-41'!C54)</f>
        <v>0</v>
      </c>
      <c r="D54" s="285">
        <f ca="1">SUM('A-1:A-41'!D54)</f>
        <v>0</v>
      </c>
      <c r="E54" s="285">
        <f ca="1">SUM('A-1:A-41'!E54)</f>
        <v>0</v>
      </c>
      <c r="F54" s="285">
        <f ca="1">SUM('A-1:A-41'!F54)</f>
        <v>0</v>
      </c>
      <c r="G54" s="285">
        <f ca="1">SUM('A-1:A-41'!G54)</f>
        <v>0</v>
      </c>
      <c r="H54" s="285">
        <f ca="1">SUM('A-1:A-41'!H54)</f>
        <v>0</v>
      </c>
      <c r="I54" s="285">
        <f ca="1">SUM('A-1:A-41'!I54)</f>
        <v>0</v>
      </c>
      <c r="K54" s="42"/>
      <c r="L54" s="21"/>
    </row>
    <row r="55" spans="1:12" s="759" customFormat="1" outlineLevel="1">
      <c r="A55" s="61" t="s">
        <v>646</v>
      </c>
      <c r="B55" s="285"/>
      <c r="C55" s="285">
        <f ca="1">SUM('A-1:A-41'!C55)</f>
        <v>0</v>
      </c>
      <c r="D55" s="285">
        <f ca="1">SUM('A-1:A-41'!D55)</f>
        <v>0</v>
      </c>
      <c r="E55" s="285">
        <f ca="1">SUM('A-1:A-41'!E55)</f>
        <v>5.1541107872341897E-4</v>
      </c>
      <c r="F55" s="285">
        <f ca="1">SUM('A-1:A-41'!F55)</f>
        <v>1.0434519395636217E-3</v>
      </c>
      <c r="G55" s="285">
        <f ca="1">SUM('A-1:A-41'!G55)</f>
        <v>2.0085552877107489E-3</v>
      </c>
      <c r="H55" s="285">
        <f ca="1">SUM('A-1:A-41'!H55)</f>
        <v>3.1650092348302588E-3</v>
      </c>
      <c r="I55" s="285">
        <f ca="1">SUM('A-1:A-41'!I55)</f>
        <v>4.5735182395979157E-3</v>
      </c>
      <c r="K55" s="42"/>
      <c r="L55" s="732"/>
    </row>
    <row r="56" spans="1:12" outlineLevel="1">
      <c r="A56" s="61" t="s">
        <v>647</v>
      </c>
      <c r="B56" s="285"/>
      <c r="C56" s="285">
        <f ca="1">SUM('A-1:A-41'!C56)</f>
        <v>0</v>
      </c>
      <c r="D56" s="285">
        <f ca="1">SUM('A-1:A-41'!D56)</f>
        <v>0</v>
      </c>
      <c r="E56" s="285">
        <f ca="1">SUM('A-1:A-41'!E56)</f>
        <v>0.12702861870615714</v>
      </c>
      <c r="F56" s="285">
        <f ca="1">SUM('A-1:A-41'!F56)</f>
        <v>0.25716998341852815</v>
      </c>
      <c r="G56" s="285">
        <f ca="1">SUM('A-1:A-41'!G56)</f>
        <v>0.49503011154667187</v>
      </c>
      <c r="H56" s="285">
        <f ca="1">SUM('A-1:A-41'!H56)</f>
        <v>0.78005065837645038</v>
      </c>
      <c r="I56" s="285">
        <f ca="1">SUM('A-1:A-41'!I56)</f>
        <v>1.1271928924044308</v>
      </c>
      <c r="K56" s="42"/>
      <c r="L56" s="21"/>
    </row>
    <row r="57" spans="1:12" s="759" customFormat="1" outlineLevel="1">
      <c r="A57" s="61" t="s">
        <v>575</v>
      </c>
      <c r="B57" s="285"/>
      <c r="C57" s="285">
        <f ca="1">SUM('A-1:A-41'!C57)</f>
        <v>0</v>
      </c>
      <c r="D57" s="285">
        <f ca="1">SUM('A-1:A-41'!D57)</f>
        <v>0</v>
      </c>
      <c r="E57" s="285">
        <f ca="1">SUM('A-1:A-41'!E57)</f>
        <v>-0.14232281610893041</v>
      </c>
      <c r="F57" s="285">
        <f ca="1">SUM('A-1:A-41'!F57)</f>
        <v>-0.29049828162769331</v>
      </c>
      <c r="G57" s="285">
        <f ca="1">SUM('A-1:A-41'!G57)</f>
        <v>-0.45292766084620312</v>
      </c>
      <c r="H57" s="285">
        <f ca="1">SUM('A-1:A-41'!H57)</f>
        <v>-0.62251084661693257</v>
      </c>
      <c r="I57" s="285">
        <f ca="1">SUM('A-1:A-41'!I57)</f>
        <v>-0.79853410086595367</v>
      </c>
      <c r="K57" s="42"/>
      <c r="L57" s="732"/>
    </row>
    <row r="58" spans="1:12" outlineLevel="1">
      <c r="A58" s="83" t="s">
        <v>70</v>
      </c>
      <c r="B58" s="286"/>
      <c r="C58" s="286">
        <f ca="1">SUM('A-1:A-41'!C58)</f>
        <v>0</v>
      </c>
      <c r="D58" s="286">
        <f ca="1">SUM('A-1:A-41'!D58)</f>
        <v>0</v>
      </c>
      <c r="E58" s="286">
        <f ca="1">SUM('A-1:A-41'!E58)</f>
        <v>0</v>
      </c>
      <c r="F58" s="286">
        <f ca="1">SUM('A-1:A-41'!F58)</f>
        <v>0</v>
      </c>
      <c r="G58" s="286">
        <f ca="1">SUM('A-1:A-41'!G58)</f>
        <v>0</v>
      </c>
      <c r="H58" s="286">
        <f ca="1">SUM('A-1:A-41'!H58)</f>
        <v>0</v>
      </c>
      <c r="I58" s="286">
        <f ca="1">SUM('A-1:A-41'!I58)</f>
        <v>0</v>
      </c>
      <c r="K58" s="42"/>
      <c r="L58" s="21"/>
    </row>
    <row r="59" spans="1:12" s="87" customFormat="1" ht="18" customHeight="1">
      <c r="A59" s="97" t="s">
        <v>73</v>
      </c>
      <c r="B59" s="295"/>
      <c r="C59" s="295">
        <f t="shared" ref="C59:I59" ca="1" si="4">SUM(C53:C58)</f>
        <v>0</v>
      </c>
      <c r="D59" s="295">
        <f t="shared" ca="1" si="4"/>
        <v>0</v>
      </c>
      <c r="E59" s="295">
        <f t="shared" ca="1" si="4"/>
        <v>0.92080452243529554</v>
      </c>
      <c r="F59" s="295">
        <f t="shared" ca="1" si="4"/>
        <v>1.8773551604748093</v>
      </c>
      <c r="G59" s="295">
        <f t="shared" ca="1" si="4"/>
        <v>3.021508243819619</v>
      </c>
      <c r="H59" s="295">
        <f t="shared" ca="1" si="4"/>
        <v>4.2528860575621259</v>
      </c>
      <c r="I59" s="309">
        <f t="shared" ca="1" si="4"/>
        <v>5.5825324337548885</v>
      </c>
      <c r="J59" s="308">
        <f ca="1">+J142</f>
        <v>0</v>
      </c>
      <c r="L59" s="86"/>
    </row>
    <row r="60" spans="1:12" outlineLevel="1">
      <c r="A60" s="88"/>
      <c r="B60" s="89"/>
      <c r="C60" s="89"/>
      <c r="D60" s="89"/>
      <c r="E60" s="89"/>
      <c r="F60" s="89"/>
      <c r="G60" s="89"/>
      <c r="H60" s="89"/>
      <c r="I60" s="89"/>
      <c r="K60" s="42"/>
      <c r="L60" s="21"/>
    </row>
    <row r="61" spans="1:12" ht="18.75" customHeight="1" outlineLevel="1">
      <c r="A61" s="207" t="s">
        <v>129</v>
      </c>
      <c r="B61" s="76" t="str">
        <f t="array" ref="B61:I61">LU_TemplateYearHeader</f>
        <v>2012/13</v>
      </c>
      <c r="C61" s="76" t="str">
        <v>2013/14</v>
      </c>
      <c r="D61" s="76" t="str">
        <v>2014/15</v>
      </c>
      <c r="E61" s="76" t="str">
        <v>2015/16</v>
      </c>
      <c r="F61" s="76" t="str">
        <v>2016/17</v>
      </c>
      <c r="G61" s="76" t="str">
        <v>2017/18</v>
      </c>
      <c r="H61" s="76" t="str">
        <v>2018/19</v>
      </c>
      <c r="I61" s="76" t="str">
        <v>2019/20</v>
      </c>
      <c r="J61" s="98"/>
      <c r="K61" s="42"/>
    </row>
    <row r="62" spans="1:12" ht="10.5" customHeight="1" outlineLevel="1">
      <c r="A62" s="207"/>
      <c r="B62" s="76"/>
      <c r="C62" s="76"/>
      <c r="D62" s="76"/>
      <c r="E62" s="76"/>
      <c r="F62" s="76"/>
      <c r="G62" s="76"/>
      <c r="H62" s="76"/>
      <c r="I62" s="76"/>
      <c r="J62" s="98"/>
      <c r="K62" s="42"/>
    </row>
    <row r="63" spans="1:12" ht="18.75" customHeight="1" outlineLevel="1">
      <c r="A63" s="58" t="s">
        <v>126</v>
      </c>
      <c r="B63" s="76"/>
      <c r="C63" s="76"/>
      <c r="D63" s="76"/>
      <c r="E63" s="76"/>
      <c r="F63" s="76"/>
      <c r="G63" s="76"/>
      <c r="H63" s="76"/>
      <c r="I63" s="76"/>
      <c r="K63" s="42"/>
    </row>
    <row r="64" spans="1:12" ht="18.75" customHeight="1" outlineLevel="1">
      <c r="A64" s="61" t="s">
        <v>68</v>
      </c>
      <c r="B64" s="285">
        <f t="shared" ref="B64:I65" ca="1" si="5">+B42+B30+B53</f>
        <v>0</v>
      </c>
      <c r="C64" s="285">
        <f t="shared" ca="1" si="5"/>
        <v>0</v>
      </c>
      <c r="D64" s="285">
        <f t="shared" ca="1" si="5"/>
        <v>44.049425568329809</v>
      </c>
      <c r="E64" s="285">
        <f t="shared" ca="1" si="5"/>
        <v>45.981328738886681</v>
      </c>
      <c r="F64" s="285">
        <f t="shared" ca="1" si="5"/>
        <v>48.7555258593624</v>
      </c>
      <c r="G64" s="285">
        <f t="shared" ca="1" si="5"/>
        <v>52.1115411883289</v>
      </c>
      <c r="H64" s="285">
        <f t="shared" ca="1" si="5"/>
        <v>53.681186550334616</v>
      </c>
      <c r="I64" s="285">
        <f t="shared" ca="1" si="5"/>
        <v>55.355961850695429</v>
      </c>
      <c r="K64" s="42"/>
    </row>
    <row r="65" spans="1:11" ht="18.75" customHeight="1" outlineLevel="1">
      <c r="A65" s="61" t="s">
        <v>69</v>
      </c>
      <c r="B65" s="285">
        <f t="shared" ca="1" si="5"/>
        <v>0</v>
      </c>
      <c r="C65" s="285">
        <f t="shared" ca="1" si="5"/>
        <v>0</v>
      </c>
      <c r="D65" s="285">
        <f t="shared" ca="1" si="5"/>
        <v>1.1639999999999999</v>
      </c>
      <c r="E65" s="285">
        <f t="shared" ca="1" si="5"/>
        <v>1.2973499914393576</v>
      </c>
      <c r="F65" s="285">
        <f t="shared" ca="1" si="5"/>
        <v>1.4787933183238839</v>
      </c>
      <c r="G65" s="285">
        <f t="shared" ca="1" si="5"/>
        <v>1.4991049198799118</v>
      </c>
      <c r="H65" s="285">
        <f t="shared" ca="1" si="5"/>
        <v>1.524377099071103</v>
      </c>
      <c r="I65" s="285">
        <f t="shared" ca="1" si="5"/>
        <v>1.5356185070556161</v>
      </c>
      <c r="K65" s="42"/>
    </row>
    <row r="66" spans="1:11" s="759" customFormat="1" ht="18.75" customHeight="1" outlineLevel="1">
      <c r="A66" s="61" t="s">
        <v>646</v>
      </c>
      <c r="B66" s="285">
        <f t="shared" ref="B66:I66" ca="1" si="6">+B44+B32+B55</f>
        <v>0</v>
      </c>
      <c r="C66" s="285">
        <f t="shared" ca="1" si="6"/>
        <v>0</v>
      </c>
      <c r="D66" s="285">
        <f t="shared" ca="1" si="6"/>
        <v>0.10199999999999998</v>
      </c>
      <c r="E66" s="285">
        <f t="shared" ca="1" si="6"/>
        <v>0.98359762682340945</v>
      </c>
      <c r="F66" s="285">
        <f t="shared" ca="1" si="6"/>
        <v>1.1391284334421723</v>
      </c>
      <c r="G66" s="285">
        <f t="shared" ca="1" si="6"/>
        <v>1.3310847596070845</v>
      </c>
      <c r="H66" s="285">
        <f t="shared" ca="1" si="6"/>
        <v>1.4273166106998239</v>
      </c>
      <c r="I66" s="285">
        <f t="shared" ca="1" si="6"/>
        <v>1.4297101915382857</v>
      </c>
      <c r="K66" s="42"/>
    </row>
    <row r="67" spans="1:11" ht="18.75" customHeight="1" outlineLevel="1">
      <c r="A67" s="61" t="s">
        <v>647</v>
      </c>
      <c r="B67" s="285">
        <f t="shared" ref="B67:I67" ca="1" si="7">+B45+B33+B56</f>
        <v>0</v>
      </c>
      <c r="C67" s="285">
        <f t="shared" ca="1" si="7"/>
        <v>0</v>
      </c>
      <c r="D67" s="285">
        <f t="shared" ca="1" si="7"/>
        <v>26.250507980801427</v>
      </c>
      <c r="E67" s="285">
        <f t="shared" ca="1" si="7"/>
        <v>29.760752359938124</v>
      </c>
      <c r="F67" s="285">
        <f t="shared" ca="1" si="7"/>
        <v>29.108036159831002</v>
      </c>
      <c r="G67" s="285">
        <f t="shared" ca="1" si="7"/>
        <v>30.239193840808788</v>
      </c>
      <c r="H67" s="285">
        <f t="shared" ca="1" si="7"/>
        <v>30.717257611596771</v>
      </c>
      <c r="I67" s="285">
        <f t="shared" ca="1" si="7"/>
        <v>31.596181422362449</v>
      </c>
      <c r="K67" s="42"/>
    </row>
    <row r="68" spans="1:11" s="759" customFormat="1" ht="18.75" customHeight="1" outlineLevel="1">
      <c r="A68" s="61" t="s">
        <v>575</v>
      </c>
      <c r="B68" s="285">
        <f t="shared" ref="B68:I68" ca="1" si="8">+B46+B34+B57</f>
        <v>0</v>
      </c>
      <c r="C68" s="285">
        <f t="shared" ca="1" si="8"/>
        <v>0</v>
      </c>
      <c r="D68" s="285">
        <f t="shared" ca="1" si="8"/>
        <v>-6.5630000000000006</v>
      </c>
      <c r="E68" s="285">
        <f t="shared" ca="1" si="8"/>
        <v>-6.7749559723086774</v>
      </c>
      <c r="F68" s="285">
        <f t="shared" ca="1" si="8"/>
        <v>-6.987652532623958</v>
      </c>
      <c r="G68" s="285">
        <f t="shared" ca="1" si="8"/>
        <v>-7.2138602975917889</v>
      </c>
      <c r="H68" s="285">
        <f t="shared" ca="1" si="8"/>
        <v>-7.4526379095066657</v>
      </c>
      <c r="I68" s="285">
        <f t="shared" ca="1" si="8"/>
        <v>-7.6920437759570275</v>
      </c>
      <c r="K68" s="42"/>
    </row>
    <row r="69" spans="1:11" ht="18.75" customHeight="1" outlineLevel="1">
      <c r="A69" s="83" t="s">
        <v>70</v>
      </c>
      <c r="B69" s="285">
        <f t="shared" ref="B69:I69" ca="1" si="9">+B47+B35+B58</f>
        <v>0</v>
      </c>
      <c r="C69" s="285">
        <f t="shared" ca="1" si="9"/>
        <v>0</v>
      </c>
      <c r="D69" s="285">
        <f t="shared" ca="1" si="9"/>
        <v>7.3325539353381179</v>
      </c>
      <c r="E69" s="285">
        <f t="shared" ca="1" si="9"/>
        <v>5.3713919282647646</v>
      </c>
      <c r="F69" s="285">
        <f t="shared" ca="1" si="9"/>
        <v>5.4236438890819967</v>
      </c>
      <c r="G69" s="285">
        <f t="shared" ca="1" si="9"/>
        <v>5.4752943721320717</v>
      </c>
      <c r="H69" s="285">
        <f t="shared" ca="1" si="9"/>
        <v>5.5313309979062826</v>
      </c>
      <c r="I69" s="285">
        <f t="shared" ca="1" si="9"/>
        <v>5.5826609664953617</v>
      </c>
      <c r="K69" s="42"/>
    </row>
    <row r="70" spans="1:11" ht="18.75" customHeight="1">
      <c r="A70" s="99" t="s">
        <v>129</v>
      </c>
      <c r="B70" s="295">
        <f t="shared" ref="B70:I70" ca="1" si="10">SUM(B64:B69)</f>
        <v>0</v>
      </c>
      <c r="C70" s="295">
        <f t="shared" ca="1" si="10"/>
        <v>0</v>
      </c>
      <c r="D70" s="295">
        <f t="shared" ca="1" si="10"/>
        <v>72.33548748446934</v>
      </c>
      <c r="E70" s="295">
        <f t="shared" ca="1" si="10"/>
        <v>76.619464673043666</v>
      </c>
      <c r="F70" s="295">
        <f t="shared" ca="1" si="10"/>
        <v>78.917475127417504</v>
      </c>
      <c r="G70" s="295">
        <f t="shared" ca="1" si="10"/>
        <v>83.442358783164963</v>
      </c>
      <c r="H70" s="295">
        <f t="shared" ca="1" si="10"/>
        <v>85.428830960101934</v>
      </c>
      <c r="I70" s="295">
        <f t="shared" ca="1" si="10"/>
        <v>87.808089162190115</v>
      </c>
      <c r="J70" s="308">
        <f ca="1">+J143</f>
        <v>0</v>
      </c>
      <c r="K70" s="42"/>
    </row>
    <row r="71" spans="1:11" ht="18.75" customHeight="1">
      <c r="A71" s="77"/>
      <c r="B71" s="76"/>
      <c r="C71" s="76"/>
      <c r="D71" s="76"/>
      <c r="E71" s="76"/>
      <c r="F71" s="76"/>
      <c r="G71" s="76"/>
      <c r="H71" s="76"/>
      <c r="I71" s="76"/>
      <c r="K71" s="42"/>
    </row>
    <row r="78" spans="1:11">
      <c r="A78" s="88"/>
      <c r="B78" s="89"/>
      <c r="C78" s="89"/>
      <c r="D78" s="89"/>
      <c r="E78" s="89"/>
      <c r="F78" s="89"/>
      <c r="G78" s="89"/>
      <c r="H78" s="89"/>
      <c r="I78" s="89"/>
      <c r="J78" s="100"/>
    </row>
    <row r="79" spans="1:11">
      <c r="A79" s="92"/>
      <c r="B79" s="95"/>
      <c r="C79" s="95"/>
      <c r="D79" s="95"/>
      <c r="E79" s="95"/>
      <c r="F79" s="95"/>
      <c r="G79" s="95"/>
      <c r="H79" s="95"/>
      <c r="I79" s="95"/>
      <c r="J79" s="100"/>
    </row>
    <row r="80" spans="1:11" ht="18">
      <c r="A80" s="206" t="s">
        <v>155</v>
      </c>
      <c r="B80" s="211"/>
      <c r="C80" s="211"/>
      <c r="D80" s="211"/>
      <c r="E80" s="211"/>
      <c r="F80" s="211"/>
      <c r="G80" s="211"/>
      <c r="H80" s="211"/>
      <c r="I80" s="211"/>
    </row>
    <row r="81" spans="1:9" ht="6" customHeight="1" thickBot="1">
      <c r="A81" s="238"/>
      <c r="B81" s="238"/>
      <c r="C81" s="238"/>
      <c r="D81" s="238"/>
      <c r="E81" s="238"/>
      <c r="F81" s="238"/>
      <c r="G81" s="238"/>
      <c r="H81" s="238"/>
      <c r="I81" s="238"/>
    </row>
    <row r="82" spans="1:9" outlineLevel="1">
      <c r="A82" s="2" t="s">
        <v>261</v>
      </c>
      <c r="B82" s="135" t="str">
        <f t="array" ref="B82:H82">LU_TemplateYearHeader3</f>
        <v>2005/06</v>
      </c>
      <c r="C82" s="135" t="str">
        <v>2006/07</v>
      </c>
      <c r="D82" s="135" t="str">
        <v>2007/08</v>
      </c>
      <c r="E82" s="135" t="str">
        <v>2008/09</v>
      </c>
      <c r="F82" s="135" t="str">
        <v>2009/10</v>
      </c>
      <c r="G82" s="135" t="str">
        <v>2010/11</v>
      </c>
      <c r="H82" s="135" t="str">
        <v>2011/12</v>
      </c>
    </row>
    <row r="83" spans="1:9" ht="13.5" outlineLevel="1" thickBot="1">
      <c r="A83" s="238" t="s">
        <v>263</v>
      </c>
      <c r="B83" s="82">
        <f>+'I-4 History'!E598</f>
        <v>0</v>
      </c>
      <c r="C83" s="82">
        <f>+'I-4 History'!F598</f>
        <v>0</v>
      </c>
      <c r="D83" s="82">
        <f>+'I-4 History'!G598</f>
        <v>0</v>
      </c>
      <c r="E83" s="82">
        <f>+'I-4 History'!H598</f>
        <v>0</v>
      </c>
      <c r="F83" s="82">
        <f>+'I-4 History'!I598</f>
        <v>0</v>
      </c>
      <c r="G83" s="82">
        <f>+'I-4 History'!J598</f>
        <v>0</v>
      </c>
      <c r="H83" s="82">
        <f>+'I-4 History'!K598</f>
        <v>0</v>
      </c>
      <c r="I83" s="82"/>
    </row>
    <row r="84" spans="1:9" outlineLevel="1">
      <c r="A84" s="2" t="s">
        <v>264</v>
      </c>
      <c r="B84" s="57" t="str">
        <f t="array" ref="B84:I84">LU_TemplateYearHeader</f>
        <v>2012/13</v>
      </c>
      <c r="C84" s="57" t="str">
        <v>2013/14</v>
      </c>
      <c r="D84" s="57" t="str">
        <v>2014/15</v>
      </c>
      <c r="E84" s="57" t="str">
        <v>2015/16</v>
      </c>
      <c r="F84" s="57" t="str">
        <v>2016/17</v>
      </c>
      <c r="G84" s="57" t="str">
        <v>2017/18</v>
      </c>
      <c r="H84" s="57" t="str">
        <v>2018/19</v>
      </c>
      <c r="I84" s="57" t="str">
        <v>2019/20</v>
      </c>
    </row>
    <row r="85" spans="1:9" outlineLevel="1">
      <c r="A85" t="s">
        <v>71</v>
      </c>
      <c r="B85" s="82">
        <f t="shared" ref="B85:I85" ca="1" si="11">+B14</f>
        <v>0</v>
      </c>
      <c r="C85" s="82">
        <f t="shared" ca="1" si="11"/>
        <v>0</v>
      </c>
      <c r="D85" s="82">
        <f t="shared" ca="1" si="11"/>
        <v>70.317553935338111</v>
      </c>
      <c r="E85" s="82">
        <f t="shared" ca="1" si="11"/>
        <v>68.3</v>
      </c>
      <c r="F85" s="82">
        <f t="shared" ca="1" si="11"/>
        <v>68.3</v>
      </c>
      <c r="G85" s="82">
        <f t="shared" ca="1" si="11"/>
        <v>68.3</v>
      </c>
      <c r="H85" s="82">
        <f t="shared" ca="1" si="11"/>
        <v>68.3</v>
      </c>
      <c r="I85" s="82">
        <f t="shared" ca="1" si="11"/>
        <v>68.3</v>
      </c>
    </row>
    <row r="86" spans="1:9" outlineLevel="1">
      <c r="A86" t="s">
        <v>156</v>
      </c>
      <c r="B86" s="82">
        <f t="shared" ref="B86:I86" ca="1" si="12">+B36</f>
        <v>0</v>
      </c>
      <c r="C86" s="82">
        <f t="shared" ca="1" si="12"/>
        <v>0</v>
      </c>
      <c r="D86" s="82">
        <f t="shared" ca="1" si="12"/>
        <v>72.33548748446934</v>
      </c>
      <c r="E86" s="82">
        <f t="shared" ca="1" si="12"/>
        <v>74.974000000000004</v>
      </c>
      <c r="F86" s="82">
        <f t="shared" ca="1" si="12"/>
        <v>75.644000000000005</v>
      </c>
      <c r="G86" s="82">
        <f t="shared" ca="1" si="12"/>
        <v>78.361000000000004</v>
      </c>
      <c r="H86" s="82">
        <f t="shared" ca="1" si="12"/>
        <v>78.396000000000001</v>
      </c>
      <c r="I86" s="82">
        <f t="shared" ca="1" si="12"/>
        <v>78.786000000000001</v>
      </c>
    </row>
    <row r="87" spans="1:9" outlineLevel="1">
      <c r="A87" t="s">
        <v>157</v>
      </c>
      <c r="B87" s="82">
        <f t="shared" ref="B87:I87" ca="1" si="13">+B36+B48</f>
        <v>0</v>
      </c>
      <c r="C87" s="82">
        <f t="shared" ca="1" si="13"/>
        <v>0</v>
      </c>
      <c r="D87" s="82">
        <f t="shared" ca="1" si="13"/>
        <v>72.33548748446934</v>
      </c>
      <c r="E87" s="82">
        <f t="shared" ca="1" si="13"/>
        <v>75.698660150608362</v>
      </c>
      <c r="F87" s="82">
        <f t="shared" ca="1" si="13"/>
        <v>77.040119966942683</v>
      </c>
      <c r="G87" s="82">
        <f t="shared" ca="1" si="13"/>
        <v>80.420850539345338</v>
      </c>
      <c r="H87" s="82">
        <f t="shared" ca="1" si="13"/>
        <v>81.175944902539811</v>
      </c>
      <c r="I87" s="82">
        <f t="shared" ca="1" si="13"/>
        <v>82.225556728435208</v>
      </c>
    </row>
    <row r="88" spans="1:9" s="759" customFormat="1" outlineLevel="1">
      <c r="B88" s="82"/>
      <c r="C88" s="82"/>
      <c r="D88" s="82"/>
      <c r="E88" s="82"/>
      <c r="F88" s="82"/>
      <c r="G88" s="82"/>
      <c r="H88" s="82"/>
      <c r="I88" s="82"/>
    </row>
    <row r="89" spans="1:9" outlineLevel="1">
      <c r="A89" t="s">
        <v>158</v>
      </c>
      <c r="B89" s="82">
        <f t="shared" ref="B89:I89" ca="1" si="14">+B70</f>
        <v>0</v>
      </c>
      <c r="C89" s="82">
        <f t="shared" ca="1" si="14"/>
        <v>0</v>
      </c>
      <c r="D89" s="82">
        <f t="shared" ca="1" si="14"/>
        <v>72.33548748446934</v>
      </c>
      <c r="E89" s="82">
        <f t="shared" ca="1" si="14"/>
        <v>76.619464673043666</v>
      </c>
      <c r="F89" s="82">
        <f t="shared" ca="1" si="14"/>
        <v>78.917475127417504</v>
      </c>
      <c r="G89" s="82">
        <f t="shared" ca="1" si="14"/>
        <v>83.442358783164963</v>
      </c>
      <c r="H89" s="82">
        <f t="shared" ca="1" si="14"/>
        <v>85.428830960101934</v>
      </c>
      <c r="I89" s="82">
        <f t="shared" ca="1" si="14"/>
        <v>87.808089162190115</v>
      </c>
    </row>
    <row r="90" spans="1:9" s="759" customFormat="1" outlineLevel="1">
      <c r="B90" s="82"/>
      <c r="C90" s="82"/>
      <c r="D90" s="82"/>
      <c r="E90" s="82"/>
      <c r="F90" s="82"/>
      <c r="G90" s="82"/>
      <c r="H90" s="82"/>
      <c r="I90" s="82"/>
    </row>
    <row r="91" spans="1:9" outlineLevel="1"/>
    <row r="92" spans="1:9" outlineLevel="1"/>
    <row r="93" spans="1:9" outlineLevel="1"/>
    <row r="94" spans="1:9" outlineLevel="1"/>
    <row r="95" spans="1:9" outlineLevel="1"/>
    <row r="96" spans="1:9" outlineLevel="1"/>
    <row r="97" outlineLevel="1"/>
    <row r="98" outlineLevel="1"/>
    <row r="99" outlineLevel="1"/>
    <row r="100" s="759" customFormat="1" outlineLevel="1"/>
    <row r="101" outlineLevel="1"/>
    <row r="102" s="759" customFormat="1" outlineLevel="1"/>
    <row r="103" outlineLevel="1"/>
    <row r="104" outlineLevel="1"/>
    <row r="105" outlineLevel="1"/>
    <row r="106" outlineLevel="1"/>
    <row r="107" outlineLevel="1"/>
    <row r="108" outlineLevel="1"/>
    <row r="109" outlineLevel="1"/>
    <row r="110" outlineLevel="1"/>
    <row r="111" outlineLevel="1"/>
    <row r="112" outlineLevel="1"/>
    <row r="113" outlineLevel="1"/>
    <row r="114" outlineLevel="1"/>
    <row r="115" outlineLevel="1"/>
    <row r="116" outlineLevel="1"/>
    <row r="117" outlineLevel="1"/>
    <row r="118" outlineLevel="1"/>
    <row r="119" outlineLevel="1"/>
    <row r="120" outlineLevel="1"/>
    <row r="121" s="759" customFormat="1" outlineLevel="1"/>
    <row r="122" outlineLevel="1"/>
    <row r="123" s="759" customFormat="1" outlineLevel="1"/>
    <row r="124" outlineLevel="1"/>
    <row r="125" outlineLevel="1"/>
    <row r="133" spans="1:10" s="759" customFormat="1"/>
    <row r="134" spans="1:10">
      <c r="A134" s="307" t="s">
        <v>288</v>
      </c>
      <c r="B134" s="3"/>
      <c r="C134" s="3"/>
      <c r="D134" s="3"/>
      <c r="E134" s="3"/>
      <c r="F134" s="3"/>
      <c r="G134" s="3"/>
      <c r="H134" s="3"/>
      <c r="I134" s="3"/>
    </row>
    <row r="135" spans="1:10" s="759" customFormat="1">
      <c r="A135" s="307"/>
      <c r="B135" s="544"/>
      <c r="C135" s="544"/>
      <c r="D135" s="544"/>
      <c r="E135" s="544"/>
      <c r="F135" s="544"/>
      <c r="G135" s="544"/>
      <c r="H135" s="544"/>
      <c r="I135" s="544"/>
    </row>
    <row r="136" spans="1:10">
      <c r="A136" s="2" t="s">
        <v>289</v>
      </c>
    </row>
    <row r="138" spans="1:10">
      <c r="A138" s="306" t="s">
        <v>290</v>
      </c>
      <c r="B138" s="286">
        <f ca="1">SUM('A-1:A-41'!B14)-B14</f>
        <v>0</v>
      </c>
      <c r="C138" s="286">
        <f ca="1">SUM('A-1:A-41'!C14)-C14</f>
        <v>0</v>
      </c>
      <c r="D138" s="286">
        <f ca="1">SUM('A-1:A-41'!D14)-D14</f>
        <v>0</v>
      </c>
      <c r="E138" s="286">
        <f ca="1">SUM('A-1:A-41'!E14)-E14</f>
        <v>0</v>
      </c>
      <c r="F138" s="286">
        <f ca="1">SUM('A-1:A-41'!F14)-F14</f>
        <v>0</v>
      </c>
      <c r="G138" s="286">
        <f ca="1">SUM('A-1:A-41'!G14)-G14</f>
        <v>0</v>
      </c>
      <c r="H138" s="286">
        <f ca="1">SUM('A-1:A-41'!H14)-H14</f>
        <v>0</v>
      </c>
      <c r="I138" s="286">
        <f ca="1">SUM('A-1:A-41'!I14)-I14</f>
        <v>0</v>
      </c>
      <c r="J138" s="286">
        <f t="shared" ref="J138:J143" ca="1" si="15">SUM(B138:I138)</f>
        <v>0</v>
      </c>
    </row>
    <row r="139" spans="1:10">
      <c r="A139" s="306" t="s">
        <v>291</v>
      </c>
      <c r="C139" s="286">
        <f>SUM('A-1:A-41'!C25)-C25</f>
        <v>0</v>
      </c>
      <c r="D139" s="286">
        <f>SUM('A-1:A-41'!D25)-D25</f>
        <v>0</v>
      </c>
      <c r="E139" s="286">
        <f>SUM('A-1:A-41'!E25)-E25</f>
        <v>0</v>
      </c>
      <c r="F139" s="286">
        <f>SUM('A-1:A-41'!F25)-F25</f>
        <v>0</v>
      </c>
      <c r="G139" s="286">
        <f>SUM('A-1:A-41'!G25)-G25</f>
        <v>0</v>
      </c>
      <c r="H139" s="286">
        <f>SUM('A-1:A-41'!H25)-H25</f>
        <v>0</v>
      </c>
      <c r="I139" s="286">
        <f>SUM('A-1:A-41'!I25)-I25</f>
        <v>0</v>
      </c>
      <c r="J139" s="286">
        <f t="shared" si="15"/>
        <v>0</v>
      </c>
    </row>
    <row r="140" spans="1:10">
      <c r="A140" s="306" t="s">
        <v>292</v>
      </c>
      <c r="C140" s="286">
        <f ca="1">SUM('A-1:A-41'!C36)-C36</f>
        <v>0</v>
      </c>
      <c r="D140" s="286">
        <f ca="1">SUM('A-1:A-41'!D36)-D36</f>
        <v>0</v>
      </c>
      <c r="E140" s="286">
        <f ca="1">SUM('A-1:A-41'!E36)-E36</f>
        <v>0</v>
      </c>
      <c r="F140" s="286">
        <f ca="1">SUM('A-1:A-41'!F36)-F36</f>
        <v>0</v>
      </c>
      <c r="G140" s="286">
        <f ca="1">SUM('A-1:A-41'!G36)-G36</f>
        <v>0</v>
      </c>
      <c r="H140" s="286">
        <f ca="1">SUM('A-1:A-41'!H36)-H36</f>
        <v>0</v>
      </c>
      <c r="I140" s="286">
        <f ca="1">SUM('A-1:A-41'!I36)-I36</f>
        <v>0</v>
      </c>
      <c r="J140" s="286">
        <f t="shared" ca="1" si="15"/>
        <v>0</v>
      </c>
    </row>
    <row r="141" spans="1:10">
      <c r="A141" s="306" t="s">
        <v>293</v>
      </c>
      <c r="C141" s="286">
        <f ca="1">SUM('A-1:A-41'!C48)-C48</f>
        <v>0</v>
      </c>
      <c r="D141" s="286">
        <f ca="1">SUM('A-1:A-41'!D48)-D48</f>
        <v>0</v>
      </c>
      <c r="E141" s="286">
        <f ca="1">SUM('A-1:A-41'!E48)-E48</f>
        <v>0</v>
      </c>
      <c r="F141" s="286">
        <f ca="1">SUM('A-1:A-41'!F48)-F48</f>
        <v>0</v>
      </c>
      <c r="G141" s="286">
        <f ca="1">SUM('A-1:A-41'!G48)-G48</f>
        <v>0</v>
      </c>
      <c r="H141" s="286">
        <f ca="1">SUM('A-1:A-41'!H48)-H48</f>
        <v>0</v>
      </c>
      <c r="I141" s="286">
        <f ca="1">SUM('A-1:A-41'!I48)-I48</f>
        <v>0</v>
      </c>
      <c r="J141" s="286">
        <f t="shared" ca="1" si="15"/>
        <v>0</v>
      </c>
    </row>
    <row r="142" spans="1:10">
      <c r="A142" s="306" t="s">
        <v>294</v>
      </c>
      <c r="C142" s="286">
        <f ca="1">SUM('A-1:A-41'!C59)-C59</f>
        <v>0</v>
      </c>
      <c r="D142" s="286">
        <f ca="1">SUM('A-1:A-41'!D59)-D59</f>
        <v>0</v>
      </c>
      <c r="E142" s="286">
        <f ca="1">SUM('A-1:A-41'!E59)-E59</f>
        <v>0</v>
      </c>
      <c r="F142" s="286">
        <f ca="1">SUM('A-1:A-41'!F59)-F59</f>
        <v>0</v>
      </c>
      <c r="G142" s="286">
        <f ca="1">SUM('A-1:A-41'!G59)-G59</f>
        <v>0</v>
      </c>
      <c r="H142" s="286">
        <f ca="1">SUM('A-1:A-41'!H59)-H59</f>
        <v>0</v>
      </c>
      <c r="I142" s="286">
        <f ca="1">SUM('A-1:A-41'!I59)-I59</f>
        <v>0</v>
      </c>
      <c r="J142" s="286">
        <f t="shared" ca="1" si="15"/>
        <v>0</v>
      </c>
    </row>
    <row r="143" spans="1:10">
      <c r="A143" s="306" t="s">
        <v>129</v>
      </c>
      <c r="C143" s="286">
        <f ca="1">ROUND(SUM('A-1:A-41'!C70)-C70,4)</f>
        <v>0</v>
      </c>
      <c r="D143" s="286">
        <f ca="1">ROUND(SUM('A-1:A-41'!D70)-D70,4)</f>
        <v>0</v>
      </c>
      <c r="E143" s="286">
        <f ca="1">ROUND(SUM('A-1:A-41'!E70)-E70,4)</f>
        <v>0</v>
      </c>
      <c r="F143" s="286">
        <f ca="1">ROUND(SUM('A-1:A-41'!F70)-F70,4)</f>
        <v>0</v>
      </c>
      <c r="G143" s="286">
        <f ca="1">ROUND(SUM('A-1:A-41'!G70)-G70,4)</f>
        <v>0</v>
      </c>
      <c r="H143" s="286">
        <f ca="1">ROUND(SUM('A-1:A-41'!H70)-H70,4)</f>
        <v>0</v>
      </c>
      <c r="I143" s="286">
        <f ca="1">ROUND(SUM('A-1:A-41'!I70)-I70,4)</f>
        <v>0</v>
      </c>
      <c r="J143" s="286">
        <f t="shared" ca="1" si="15"/>
        <v>0</v>
      </c>
    </row>
    <row r="146" spans="1:11" ht="18.75" customHeight="1" outlineLevel="1">
      <c r="A146" s="58" t="s">
        <v>126</v>
      </c>
      <c r="B146" s="76"/>
      <c r="C146" s="76"/>
      <c r="D146" s="76"/>
      <c r="E146" s="76"/>
      <c r="F146" s="76"/>
      <c r="G146" s="76"/>
      <c r="H146" s="76"/>
      <c r="I146" s="76"/>
      <c r="K146" s="42"/>
    </row>
    <row r="147" spans="1:11" ht="18.75" customHeight="1" outlineLevel="1">
      <c r="A147" s="61" t="s">
        <v>68</v>
      </c>
      <c r="B147" s="285">
        <f ca="1">ROUND(SUM('A-1:A-41'!B64)-B64,4)</f>
        <v>0</v>
      </c>
      <c r="C147" s="285">
        <f ca="1">ROUND(SUM('A-1:A-41'!C64)-C64,4)</f>
        <v>0</v>
      </c>
      <c r="D147" s="285">
        <f ca="1">ROUND(SUM('A-1:A-41'!D64)-D64,4)</f>
        <v>0</v>
      </c>
      <c r="E147" s="285">
        <f ca="1">ROUND(SUM('A-1:A-41'!E64)-E64,4)</f>
        <v>0</v>
      </c>
      <c r="F147" s="285">
        <f ca="1">ROUND(SUM('A-1:A-41'!F64)-F64,4)</f>
        <v>0</v>
      </c>
      <c r="G147" s="285">
        <f ca="1">ROUND(SUM('A-1:A-41'!G64)-G64,4)</f>
        <v>0</v>
      </c>
      <c r="H147" s="285">
        <f ca="1">ROUND(SUM('A-1:A-41'!H64)-H64,4)</f>
        <v>0</v>
      </c>
      <c r="I147" s="285">
        <f ca="1">ROUND(SUM('A-1:A-41'!I64)-I64,4)</f>
        <v>0</v>
      </c>
      <c r="J147" s="285">
        <f t="shared" ref="J147:J153" ca="1" si="16">SUM(B147:I147)</f>
        <v>0</v>
      </c>
      <c r="K147" s="42"/>
    </row>
    <row r="148" spans="1:11" s="759" customFormat="1" ht="18.75" customHeight="1" outlineLevel="1">
      <c r="A148" s="61" t="s">
        <v>69</v>
      </c>
      <c r="B148" s="285">
        <f ca="1">ROUND(SUM('A-1:A-41'!B65)-B65,4)</f>
        <v>0</v>
      </c>
      <c r="C148" s="285">
        <f ca="1">ROUND(SUM('A-1:A-41'!C65)-C65,4)</f>
        <v>0</v>
      </c>
      <c r="D148" s="285">
        <f ca="1">ROUND(SUM('A-1:A-41'!D65)-D65,4)</f>
        <v>0</v>
      </c>
      <c r="E148" s="285">
        <f ca="1">ROUND(SUM('A-1:A-41'!E65)-E65,4)</f>
        <v>0</v>
      </c>
      <c r="F148" s="285">
        <f ca="1">ROUND(SUM('A-1:A-41'!F65)-F65,4)</f>
        <v>0</v>
      </c>
      <c r="G148" s="285">
        <f ca="1">ROUND(SUM('A-1:A-41'!G65)-G65,4)</f>
        <v>0</v>
      </c>
      <c r="H148" s="285">
        <f ca="1">ROUND(SUM('A-1:A-41'!H65)-H65,4)</f>
        <v>0</v>
      </c>
      <c r="I148" s="285">
        <f ca="1">ROUND(SUM('A-1:A-41'!I65)-I65,4)</f>
        <v>0</v>
      </c>
      <c r="J148" s="285">
        <f t="shared" ca="1" si="16"/>
        <v>0</v>
      </c>
      <c r="K148" s="42"/>
    </row>
    <row r="149" spans="1:11" ht="18.75" customHeight="1" outlineLevel="1">
      <c r="A149" s="61" t="s">
        <v>646</v>
      </c>
      <c r="B149" s="285">
        <f ca="1">ROUND(SUM('A-1:A-41'!B66)-B66,4)</f>
        <v>0</v>
      </c>
      <c r="C149" s="285">
        <f ca="1">ROUND(SUM('A-1:A-41'!C66)-C66,4)</f>
        <v>0</v>
      </c>
      <c r="D149" s="285">
        <f ca="1">ROUND(SUM('A-1:A-41'!D66)-D66,4)</f>
        <v>0</v>
      </c>
      <c r="E149" s="285">
        <f ca="1">ROUND(SUM('A-1:A-41'!E66)-E66,4)</f>
        <v>0</v>
      </c>
      <c r="F149" s="285">
        <f ca="1">ROUND(SUM('A-1:A-41'!F66)-F66,4)</f>
        <v>0</v>
      </c>
      <c r="G149" s="285">
        <f ca="1">ROUND(SUM('A-1:A-41'!G66)-G66,4)</f>
        <v>0</v>
      </c>
      <c r="H149" s="285">
        <f ca="1">ROUND(SUM('A-1:A-41'!H66)-H66,4)</f>
        <v>0</v>
      </c>
      <c r="I149" s="285">
        <f ca="1">ROUND(SUM('A-1:A-41'!I66)-I66,4)</f>
        <v>0</v>
      </c>
      <c r="J149" s="285">
        <f t="shared" ca="1" si="16"/>
        <v>0</v>
      </c>
      <c r="K149" s="42"/>
    </row>
    <row r="150" spans="1:11" s="759" customFormat="1" ht="18.75" customHeight="1" outlineLevel="1">
      <c r="A150" s="61" t="s">
        <v>647</v>
      </c>
      <c r="B150" s="285">
        <f ca="1">ROUND(SUM('A-1:A-41'!B67)-B67,4)</f>
        <v>0</v>
      </c>
      <c r="C150" s="285">
        <f ca="1">ROUND(SUM('A-1:A-41'!C67)-C67,4)</f>
        <v>0</v>
      </c>
      <c r="D150" s="285">
        <f ca="1">ROUND(SUM('A-1:A-41'!D67)-D67,4)</f>
        <v>0</v>
      </c>
      <c r="E150" s="285">
        <f ca="1">ROUND(SUM('A-1:A-41'!E67)-E67,4)</f>
        <v>0</v>
      </c>
      <c r="F150" s="285">
        <f ca="1">ROUND(SUM('A-1:A-41'!F67)-F67,4)</f>
        <v>0</v>
      </c>
      <c r="G150" s="285">
        <f ca="1">ROUND(SUM('A-1:A-41'!G67)-G67,4)</f>
        <v>0</v>
      </c>
      <c r="H150" s="285">
        <f ca="1">ROUND(SUM('A-1:A-41'!H67)-H67,4)</f>
        <v>0</v>
      </c>
      <c r="I150" s="285">
        <f ca="1">ROUND(SUM('A-1:A-41'!I67)-I67,4)</f>
        <v>0</v>
      </c>
      <c r="J150" s="285">
        <f t="shared" ca="1" si="16"/>
        <v>0</v>
      </c>
      <c r="K150" s="42"/>
    </row>
    <row r="151" spans="1:11" ht="18.75" customHeight="1" outlineLevel="1">
      <c r="A151" s="61" t="s">
        <v>575</v>
      </c>
      <c r="B151" s="285">
        <f ca="1">ROUND(SUM('A-1:A-41'!B68)-B68,4)</f>
        <v>0</v>
      </c>
      <c r="C151" s="285">
        <f ca="1">ROUND(SUM('A-1:A-41'!C68)-C68,4)</f>
        <v>0</v>
      </c>
      <c r="D151" s="285">
        <f ca="1">ROUND(SUM('A-1:A-41'!D68)-D68,4)</f>
        <v>0</v>
      </c>
      <c r="E151" s="285">
        <f ca="1">ROUND(SUM('A-1:A-41'!E68)-E68,4)</f>
        <v>0</v>
      </c>
      <c r="F151" s="285">
        <f ca="1">ROUND(SUM('A-1:A-41'!F68)-F68,4)</f>
        <v>0</v>
      </c>
      <c r="G151" s="285">
        <f ca="1">ROUND(SUM('A-1:A-41'!G68)-G68,4)</f>
        <v>0</v>
      </c>
      <c r="H151" s="285">
        <f ca="1">ROUND(SUM('A-1:A-41'!H68)-H68,4)</f>
        <v>0</v>
      </c>
      <c r="I151" s="285">
        <f ca="1">ROUND(SUM('A-1:A-41'!I68)-I68,4)</f>
        <v>0</v>
      </c>
      <c r="J151" s="285">
        <f t="shared" ca="1" si="16"/>
        <v>0</v>
      </c>
      <c r="K151" s="42"/>
    </row>
    <row r="152" spans="1:11" ht="18.75" customHeight="1" outlineLevel="1">
      <c r="A152" s="83" t="s">
        <v>70</v>
      </c>
      <c r="B152" s="285">
        <f ca="1">ROUND(SUM('A-1:A-41'!B69)-B69,4)</f>
        <v>0</v>
      </c>
      <c r="C152" s="285">
        <f ca="1">ROUND(SUM('A-1:A-41'!C69)-C69,4)</f>
        <v>0</v>
      </c>
      <c r="D152" s="285">
        <f ca="1">ROUND(SUM('A-1:A-41'!D69)-D69,4)</f>
        <v>0</v>
      </c>
      <c r="E152" s="285">
        <f ca="1">ROUND(SUM('A-1:A-41'!E69)-E69,4)</f>
        <v>0</v>
      </c>
      <c r="F152" s="285">
        <f ca="1">ROUND(SUM('A-1:A-41'!F69)-F69,4)</f>
        <v>0</v>
      </c>
      <c r="G152" s="285">
        <f ca="1">ROUND(SUM('A-1:A-41'!G69)-G69,4)</f>
        <v>0</v>
      </c>
      <c r="H152" s="285">
        <f ca="1">ROUND(SUM('A-1:A-41'!H69)-H69,4)</f>
        <v>0</v>
      </c>
      <c r="I152" s="285">
        <f ca="1">ROUND(SUM('A-1:A-41'!I69)-I69,4)</f>
        <v>0</v>
      </c>
      <c r="J152" s="285">
        <f t="shared" ca="1" si="16"/>
        <v>0</v>
      </c>
      <c r="K152" s="42"/>
    </row>
    <row r="153" spans="1:11" ht="18.75" customHeight="1" outlineLevel="1">
      <c r="A153" s="99" t="s">
        <v>129</v>
      </c>
      <c r="B153" s="295">
        <f t="shared" ref="B153:I153" ca="1" si="17">SUM(B147:B152)</f>
        <v>0</v>
      </c>
      <c r="C153" s="295">
        <f t="shared" ca="1" si="17"/>
        <v>0</v>
      </c>
      <c r="D153" s="295">
        <f t="shared" ca="1" si="17"/>
        <v>0</v>
      </c>
      <c r="E153" s="295">
        <f t="shared" ca="1" si="17"/>
        <v>0</v>
      </c>
      <c r="F153" s="295">
        <f t="shared" ca="1" si="17"/>
        <v>0</v>
      </c>
      <c r="G153" s="295">
        <f t="shared" ca="1" si="17"/>
        <v>0</v>
      </c>
      <c r="H153" s="295">
        <f t="shared" ca="1" si="17"/>
        <v>0</v>
      </c>
      <c r="I153" s="295">
        <f t="shared" ca="1" si="17"/>
        <v>0</v>
      </c>
      <c r="J153" s="295">
        <f t="shared" ca="1" si="16"/>
        <v>0</v>
      </c>
      <c r="K153" s="42"/>
    </row>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phoneticPr fontId="10" type="noConversion"/>
  <conditionalFormatting sqref="J14 J37">
    <cfRule type="cellIs" dxfId="45" priority="3" stopIfTrue="1" operator="equal">
      <formula>"OK"</formula>
    </cfRule>
    <cfRule type="cellIs" dxfId="44" priority="4" stopIfTrue="1" operator="equal">
      <formula>"Warning Check Escalations"</formula>
    </cfRule>
  </conditionalFormatting>
  <conditionalFormatting sqref="B138:J138 J70 J59 J48 J36 J25 C139:J143 B147:J153">
    <cfRule type="cellIs" dxfId="43" priority="5" stopIfTrue="1" operator="equal">
      <formula>0</formula>
    </cfRule>
    <cfRule type="cellIs" dxfId="42" priority="6" stopIfTrue="1" operator="notEqual">
      <formula>0</formula>
    </cfRule>
  </conditionalFormatting>
  <conditionalFormatting sqref="J14">
    <cfRule type="cellIs" dxfId="41" priority="1" stopIfTrue="1" operator="equal">
      <formula>0</formula>
    </cfRule>
    <cfRule type="cellIs" dxfId="40" priority="2" stopIfTrue="1" operator="notEqual">
      <formula>0</formula>
    </cfRule>
  </conditionalFormatting>
  <dataValidations count="1">
    <dataValidation type="list" allowBlank="1" showInputMessage="1" showErrorMessage="1" sqref="D5">
      <formula1>"2007/08 Regulatory Accounts, Bottom Up"</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drawing r:id="rId7"/>
</worksheet>
</file>

<file path=xl/worksheets/sheet83.xml><?xml version="1.0" encoding="utf-8"?>
<worksheet xmlns="http://schemas.openxmlformats.org/spreadsheetml/2006/main" xmlns:r="http://schemas.openxmlformats.org/officeDocument/2006/relationships">
  <sheetPr codeName="Sheet96" enableFormatConditionsCalculation="0">
    <tabColor indexed="12"/>
    <pageSetUpPr fitToPage="1"/>
  </sheetPr>
  <dimension ref="A1:N824"/>
  <sheetViews>
    <sheetView showGridLines="0" topLeftCell="A748" zoomScale="75" zoomScaleNormal="75" workbookViewId="0">
      <selection activeCell="F799" sqref="F799"/>
    </sheetView>
  </sheetViews>
  <sheetFormatPr defaultRowHeight="12.75"/>
  <cols>
    <col min="1" max="1" width="6" customWidth="1"/>
    <col min="2" max="2" width="9.85546875" customWidth="1"/>
    <col min="3" max="3" width="41.85546875" customWidth="1"/>
    <col min="4" max="5" width="9.28515625" hidden="1" customWidth="1"/>
    <col min="6" max="11" width="9.28515625" customWidth="1"/>
    <col min="12" max="12" width="56.28515625" customWidth="1"/>
    <col min="13" max="13" width="51" customWidth="1"/>
    <col min="14" max="14" width="17.28515625" bestFit="1" customWidth="1"/>
  </cols>
  <sheetData>
    <row r="1" spans="1:14" ht="20.25">
      <c r="A1" s="7" t="s">
        <v>14</v>
      </c>
      <c r="B1" s="7" t="s">
        <v>332</v>
      </c>
    </row>
    <row r="2" spans="1:14" ht="13.5" thickBot="1">
      <c r="K2" s="474" t="str">
        <f>+LU_BaseYearDollars</f>
        <v>($M) 2013/14 dollars</v>
      </c>
    </row>
    <row r="3" spans="1:14" ht="13.5" thickBot="1">
      <c r="D3" s="8"/>
      <c r="E3" s="9"/>
      <c r="F3" s="9"/>
      <c r="G3" s="9"/>
      <c r="H3" s="9"/>
      <c r="I3" s="9"/>
      <c r="J3" s="9"/>
      <c r="K3" s="71"/>
    </row>
    <row r="4" spans="1:14" ht="13.5" thickBot="1">
      <c r="B4" s="253" t="s">
        <v>265</v>
      </c>
      <c r="C4" s="10"/>
      <c r="D4" s="644" t="str">
        <f t="array" ref="D4:K4">LU_TemplateYearHeader</f>
        <v>2012/13</v>
      </c>
      <c r="E4" s="644" t="str">
        <v>2013/14</v>
      </c>
      <c r="F4" s="845" t="str">
        <v>2014/15</v>
      </c>
      <c r="G4" s="644" t="str">
        <v>2015/16</v>
      </c>
      <c r="H4" s="644" t="str">
        <v>2016/17</v>
      </c>
      <c r="I4" s="644" t="str">
        <v>2017/18</v>
      </c>
      <c r="J4" s="644" t="str">
        <v>2018/19</v>
      </c>
      <c r="K4" s="644" t="str">
        <v>2019/20</v>
      </c>
      <c r="L4" s="514" t="s">
        <v>117</v>
      </c>
      <c r="M4" s="503" t="s">
        <v>417</v>
      </c>
      <c r="N4" s="503" t="s">
        <v>111</v>
      </c>
    </row>
    <row r="5" spans="1:14" ht="18">
      <c r="B5" s="259"/>
      <c r="C5" s="260" t="s">
        <v>266</v>
      </c>
      <c r="D5" s="302"/>
      <c r="E5" s="505"/>
      <c r="F5" s="302"/>
      <c r="G5" s="302"/>
      <c r="H5" s="302"/>
      <c r="I5" s="302"/>
      <c r="J5" s="302"/>
      <c r="K5" s="505"/>
      <c r="L5" s="515"/>
      <c r="M5" s="450"/>
      <c r="N5" s="450"/>
    </row>
    <row r="6" spans="1:14" ht="18">
      <c r="B6" s="252"/>
      <c r="C6" s="248" t="s">
        <v>95</v>
      </c>
      <c r="D6" s="244"/>
      <c r="E6" s="506"/>
      <c r="F6" s="244"/>
      <c r="G6" s="244"/>
      <c r="H6" s="244"/>
      <c r="I6" s="244"/>
      <c r="J6" s="244"/>
      <c r="K6" s="506"/>
      <c r="L6" s="515"/>
      <c r="M6" s="450"/>
      <c r="N6" s="450"/>
    </row>
    <row r="7" spans="1:14">
      <c r="A7" s="5"/>
      <c r="B7" s="249" t="str">
        <f ca="1">+'I-4 History'!B7</f>
        <v>DA-1</v>
      </c>
      <c r="C7" s="381" t="str">
        <f ca="1">+'I-4 History'!C7</f>
        <v>Distribution Licence Fee</v>
      </c>
      <c r="D7" s="11"/>
      <c r="E7" s="507"/>
      <c r="F7" s="11"/>
      <c r="G7" s="11"/>
      <c r="H7" s="11"/>
      <c r="I7" s="11"/>
      <c r="J7" s="11"/>
      <c r="K7" s="507"/>
      <c r="L7" s="515"/>
      <c r="M7" s="450"/>
      <c r="N7" s="450"/>
    </row>
    <row r="8" spans="1:14">
      <c r="A8" s="5"/>
      <c r="B8" s="249"/>
      <c r="C8" s="384" t="str">
        <f t="array" ref="C8:K17" ca="1">+'DA-1'!$A$160:$I$169</f>
        <v>Step Change</v>
      </c>
      <c r="D8" s="491">
        <f ca="1"/>
        <v>0</v>
      </c>
      <c r="E8" s="508">
        <f ca="1"/>
        <v>0</v>
      </c>
      <c r="F8" s="491">
        <f ca="1"/>
        <v>0</v>
      </c>
      <c r="G8" s="492">
        <f ca="1"/>
        <v>-0.74099999999999999</v>
      </c>
      <c r="H8" s="492">
        <f ca="1"/>
        <v>-1.028</v>
      </c>
      <c r="I8" s="492">
        <f ca="1"/>
        <v>-1.028</v>
      </c>
      <c r="J8" s="492">
        <f ca="1"/>
        <v>-1.028</v>
      </c>
      <c r="K8" s="508">
        <f ca="1"/>
        <v>-1.028</v>
      </c>
      <c r="L8" s="515" t="str">
        <f t="array" ref="L8:N17" ca="1">+'DA-1'!$K$160:$M$169</f>
        <v>Proposal Step Change</v>
      </c>
      <c r="M8" s="450" t="str">
        <f ca="1"/>
        <v>Refer Opex Workings</v>
      </c>
      <c r="N8" s="450" t="str">
        <f ca="1"/>
        <v>Proposal, October 2014</v>
      </c>
    </row>
    <row r="9" spans="1:14">
      <c r="A9" s="5"/>
      <c r="B9" s="249"/>
      <c r="C9" s="384" t="str">
        <f ca="1"/>
        <v/>
      </c>
      <c r="D9" s="491" t="str">
        <f ca="1"/>
        <v/>
      </c>
      <c r="E9" s="508" t="str">
        <f ca="1"/>
        <v/>
      </c>
      <c r="F9" s="491" t="str">
        <f ca="1"/>
        <v/>
      </c>
      <c r="G9" s="492" t="str">
        <f ca="1"/>
        <v/>
      </c>
      <c r="H9" s="492" t="str">
        <f ca="1"/>
        <v/>
      </c>
      <c r="I9" s="492" t="str">
        <f ca="1"/>
        <v/>
      </c>
      <c r="J9" s="492" t="str">
        <f ca="1"/>
        <v/>
      </c>
      <c r="K9" s="508" t="str">
        <f ca="1"/>
        <v/>
      </c>
      <c r="L9" s="515" t="str">
        <f ca="1"/>
        <v/>
      </c>
      <c r="M9" s="450" t="str">
        <f ca="1"/>
        <v/>
      </c>
      <c r="N9" s="450" t="str">
        <f ca="1"/>
        <v/>
      </c>
    </row>
    <row r="10" spans="1:14">
      <c r="A10" s="5"/>
      <c r="B10" s="249"/>
      <c r="C10" s="384" t="str">
        <f ca="1"/>
        <v/>
      </c>
      <c r="D10" s="491" t="str">
        <f ca="1"/>
        <v/>
      </c>
      <c r="E10" s="508" t="str">
        <f ca="1"/>
        <v/>
      </c>
      <c r="F10" s="491" t="str">
        <f ca="1"/>
        <v/>
      </c>
      <c r="G10" s="492" t="str">
        <f ca="1"/>
        <v/>
      </c>
      <c r="H10" s="492" t="str">
        <f ca="1"/>
        <v/>
      </c>
      <c r="I10" s="492" t="str">
        <f ca="1"/>
        <v/>
      </c>
      <c r="J10" s="492" t="str">
        <f ca="1"/>
        <v/>
      </c>
      <c r="K10" s="508" t="str">
        <f ca="1"/>
        <v/>
      </c>
      <c r="L10" s="515" t="str">
        <f ca="1"/>
        <v/>
      </c>
      <c r="M10" s="450" t="str">
        <f ca="1"/>
        <v/>
      </c>
      <c r="N10" s="450" t="str">
        <f ca="1"/>
        <v/>
      </c>
    </row>
    <row r="11" spans="1:14">
      <c r="A11" s="5"/>
      <c r="B11" s="249"/>
      <c r="C11" s="384" t="str">
        <f ca="1"/>
        <v/>
      </c>
      <c r="D11" s="491" t="str">
        <f ca="1"/>
        <v/>
      </c>
      <c r="E11" s="508" t="str">
        <f ca="1"/>
        <v/>
      </c>
      <c r="F11" s="491" t="str">
        <f ca="1"/>
        <v/>
      </c>
      <c r="G11" s="492" t="str">
        <f ca="1"/>
        <v/>
      </c>
      <c r="H11" s="492" t="str">
        <f ca="1"/>
        <v/>
      </c>
      <c r="I11" s="492" t="str">
        <f ca="1"/>
        <v/>
      </c>
      <c r="J11" s="492" t="str">
        <f ca="1"/>
        <v/>
      </c>
      <c r="K11" s="508" t="str">
        <f ca="1"/>
        <v/>
      </c>
      <c r="L11" s="515" t="str">
        <f ca="1"/>
        <v/>
      </c>
      <c r="M11" s="450" t="str">
        <f ca="1"/>
        <v/>
      </c>
      <c r="N11" s="450" t="str">
        <f ca="1"/>
        <v/>
      </c>
    </row>
    <row r="12" spans="1:14">
      <c r="A12" s="5"/>
      <c r="B12" s="249"/>
      <c r="C12" s="384" t="str">
        <f ca="1"/>
        <v/>
      </c>
      <c r="D12" s="491" t="str">
        <f ca="1"/>
        <v/>
      </c>
      <c r="E12" s="508" t="str">
        <f ca="1"/>
        <v/>
      </c>
      <c r="F12" s="491" t="str">
        <f ca="1"/>
        <v/>
      </c>
      <c r="G12" s="492" t="str">
        <f ca="1"/>
        <v/>
      </c>
      <c r="H12" s="492" t="str">
        <f ca="1"/>
        <v/>
      </c>
      <c r="I12" s="492" t="str">
        <f ca="1"/>
        <v/>
      </c>
      <c r="J12" s="492" t="str">
        <f ca="1"/>
        <v/>
      </c>
      <c r="K12" s="508" t="str">
        <f ca="1"/>
        <v/>
      </c>
      <c r="L12" s="515" t="str">
        <f ca="1"/>
        <v/>
      </c>
      <c r="M12" s="450" t="str">
        <f ca="1"/>
        <v/>
      </c>
      <c r="N12" s="450" t="str">
        <f ca="1"/>
        <v/>
      </c>
    </row>
    <row r="13" spans="1:14">
      <c r="A13" s="5"/>
      <c r="B13" s="249"/>
      <c r="C13" s="384" t="str">
        <f ca="1"/>
        <v/>
      </c>
      <c r="D13" s="491" t="str">
        <f ca="1"/>
        <v/>
      </c>
      <c r="E13" s="508" t="str">
        <f ca="1"/>
        <v/>
      </c>
      <c r="F13" s="491" t="str">
        <f ca="1"/>
        <v/>
      </c>
      <c r="G13" s="492" t="str">
        <f ca="1"/>
        <v/>
      </c>
      <c r="H13" s="492" t="str">
        <f ca="1"/>
        <v/>
      </c>
      <c r="I13" s="492" t="str">
        <f ca="1"/>
        <v/>
      </c>
      <c r="J13" s="492" t="str">
        <f ca="1"/>
        <v/>
      </c>
      <c r="K13" s="508" t="str">
        <f ca="1"/>
        <v/>
      </c>
      <c r="L13" s="515" t="str">
        <f ca="1"/>
        <v/>
      </c>
      <c r="M13" s="450" t="str">
        <f ca="1"/>
        <v/>
      </c>
      <c r="N13" s="450" t="str">
        <f ca="1"/>
        <v/>
      </c>
    </row>
    <row r="14" spans="1:14">
      <c r="A14" s="5"/>
      <c r="B14" s="249"/>
      <c r="C14" s="384" t="str">
        <f ca="1"/>
        <v/>
      </c>
      <c r="D14" s="491" t="str">
        <f ca="1"/>
        <v/>
      </c>
      <c r="E14" s="508" t="str">
        <f ca="1"/>
        <v/>
      </c>
      <c r="F14" s="491" t="str">
        <f ca="1"/>
        <v/>
      </c>
      <c r="G14" s="492" t="str">
        <f ca="1"/>
        <v/>
      </c>
      <c r="H14" s="492" t="str">
        <f ca="1"/>
        <v/>
      </c>
      <c r="I14" s="492" t="str">
        <f ca="1"/>
        <v/>
      </c>
      <c r="J14" s="492" t="str">
        <f ca="1"/>
        <v/>
      </c>
      <c r="K14" s="508" t="str">
        <f ca="1"/>
        <v/>
      </c>
      <c r="L14" s="515" t="str">
        <f ca="1"/>
        <v/>
      </c>
      <c r="M14" s="450" t="str">
        <f ca="1"/>
        <v/>
      </c>
      <c r="N14" s="450" t="str">
        <f ca="1"/>
        <v/>
      </c>
    </row>
    <row r="15" spans="1:14">
      <c r="A15" s="5"/>
      <c r="B15" s="249"/>
      <c r="C15" s="384" t="str">
        <f ca="1"/>
        <v/>
      </c>
      <c r="D15" s="491" t="str">
        <f ca="1"/>
        <v/>
      </c>
      <c r="E15" s="508" t="str">
        <f ca="1"/>
        <v/>
      </c>
      <c r="F15" s="491" t="str">
        <f ca="1"/>
        <v/>
      </c>
      <c r="G15" s="492" t="str">
        <f ca="1"/>
        <v/>
      </c>
      <c r="H15" s="492" t="str">
        <f ca="1"/>
        <v/>
      </c>
      <c r="I15" s="492" t="str">
        <f ca="1"/>
        <v/>
      </c>
      <c r="J15" s="492" t="str">
        <f ca="1"/>
        <v/>
      </c>
      <c r="K15" s="508" t="str">
        <f ca="1"/>
        <v/>
      </c>
      <c r="L15" s="515" t="str">
        <f ca="1"/>
        <v/>
      </c>
      <c r="M15" s="450" t="str">
        <f ca="1"/>
        <v/>
      </c>
      <c r="N15" s="450" t="str">
        <f ca="1"/>
        <v/>
      </c>
    </row>
    <row r="16" spans="1:14">
      <c r="A16" s="5"/>
      <c r="B16" s="249"/>
      <c r="C16" s="384" t="str">
        <f ca="1"/>
        <v/>
      </c>
      <c r="D16" s="491" t="str">
        <f ca="1"/>
        <v/>
      </c>
      <c r="E16" s="508" t="str">
        <f ca="1"/>
        <v/>
      </c>
      <c r="F16" s="491" t="str">
        <f ca="1"/>
        <v/>
      </c>
      <c r="G16" s="492" t="str">
        <f ca="1"/>
        <v/>
      </c>
      <c r="H16" s="492" t="str">
        <f ca="1"/>
        <v/>
      </c>
      <c r="I16" s="492" t="str">
        <f ca="1"/>
        <v/>
      </c>
      <c r="J16" s="492" t="str">
        <f ca="1"/>
        <v/>
      </c>
      <c r="K16" s="508" t="str">
        <f ca="1"/>
        <v/>
      </c>
      <c r="L16" s="515" t="str">
        <f ca="1"/>
        <v/>
      </c>
      <c r="M16" s="450" t="str">
        <f ca="1"/>
        <v/>
      </c>
      <c r="N16" s="450" t="str">
        <f ca="1"/>
        <v/>
      </c>
    </row>
    <row r="17" spans="1:14">
      <c r="A17" s="5"/>
      <c r="B17" s="249"/>
      <c r="C17" s="384" t="str">
        <f ca="1"/>
        <v/>
      </c>
      <c r="D17" s="491" t="str">
        <f ca="1"/>
        <v/>
      </c>
      <c r="E17" s="508" t="str">
        <f ca="1"/>
        <v/>
      </c>
      <c r="F17" s="491" t="str">
        <f ca="1"/>
        <v/>
      </c>
      <c r="G17" s="492" t="str">
        <f ca="1"/>
        <v/>
      </c>
      <c r="H17" s="492" t="str">
        <f ca="1"/>
        <v/>
      </c>
      <c r="I17" s="492" t="str">
        <f ca="1"/>
        <v/>
      </c>
      <c r="J17" s="492" t="str">
        <f ca="1"/>
        <v/>
      </c>
      <c r="K17" s="508" t="str">
        <f ca="1"/>
        <v/>
      </c>
      <c r="L17" s="515" t="str">
        <f ca="1"/>
        <v/>
      </c>
      <c r="M17" s="450" t="str">
        <f ca="1"/>
        <v/>
      </c>
      <c r="N17" s="450" t="str">
        <f ca="1"/>
        <v/>
      </c>
    </row>
    <row r="18" spans="1:14">
      <c r="A18" s="5"/>
      <c r="B18" s="249"/>
      <c r="C18" s="12"/>
      <c r="D18" s="491"/>
      <c r="E18" s="508"/>
      <c r="F18" s="491"/>
      <c r="G18" s="492"/>
      <c r="H18" s="492"/>
      <c r="I18" s="492"/>
      <c r="J18" s="492"/>
      <c r="K18" s="508"/>
      <c r="L18" s="515"/>
      <c r="M18" s="450"/>
      <c r="N18" s="450"/>
    </row>
    <row r="19" spans="1:14">
      <c r="A19" s="5"/>
      <c r="B19" s="249" t="str">
        <f ca="1">+'I-4 History'!B16</f>
        <v>DA-2</v>
      </c>
      <c r="C19" s="14" t="str">
        <f ca="1">+'I-4 History'!C16</f>
        <v>Network Access, Monitoring and Control</v>
      </c>
      <c r="D19" s="491"/>
      <c r="E19" s="508"/>
      <c r="F19" s="491"/>
      <c r="G19" s="492"/>
      <c r="H19" s="492"/>
      <c r="I19" s="492"/>
      <c r="J19" s="492"/>
      <c r="K19" s="508"/>
      <c r="L19" s="515"/>
      <c r="M19" s="450"/>
      <c r="N19" s="450"/>
    </row>
    <row r="20" spans="1:14">
      <c r="A20" s="5"/>
      <c r="B20" s="249"/>
      <c r="C20" s="384" t="str">
        <f t="array" ref="C20:K29" ca="1">+'DA-2'!$A$160:$I$169</f>
        <v>Step Change</v>
      </c>
      <c r="D20" s="491">
        <f ca="1"/>
        <v>0</v>
      </c>
      <c r="E20" s="508">
        <f ca="1"/>
        <v>0</v>
      </c>
      <c r="F20" s="491">
        <f ca="1"/>
        <v>0</v>
      </c>
      <c r="G20" s="492">
        <f ca="1"/>
        <v>0</v>
      </c>
      <c r="H20" s="492">
        <f ca="1"/>
        <v>0</v>
      </c>
      <c r="I20" s="492">
        <f ca="1"/>
        <v>0</v>
      </c>
      <c r="J20" s="492">
        <f ca="1"/>
        <v>0</v>
      </c>
      <c r="K20" s="508">
        <f ca="1"/>
        <v>0</v>
      </c>
      <c r="L20" s="515" t="str">
        <f t="array" ref="L20:N29" ca="1">+'DA-2'!$K$160:$M$169</f>
        <v>Proposal Step Change</v>
      </c>
      <c r="M20" s="450" t="str">
        <f ca="1"/>
        <v>Refer Opex Workings</v>
      </c>
      <c r="N20" s="450" t="str">
        <f ca="1"/>
        <v>Proposal, October 2014</v>
      </c>
    </row>
    <row r="21" spans="1:14">
      <c r="A21" s="5"/>
      <c r="B21" s="249"/>
      <c r="C21" s="384" t="str">
        <f ca="1"/>
        <v/>
      </c>
      <c r="D21" s="491" t="str">
        <f ca="1"/>
        <v/>
      </c>
      <c r="E21" s="508" t="str">
        <f ca="1"/>
        <v/>
      </c>
      <c r="F21" s="491" t="str">
        <f ca="1"/>
        <v/>
      </c>
      <c r="G21" s="492" t="str">
        <f ca="1"/>
        <v/>
      </c>
      <c r="H21" s="492" t="str">
        <f ca="1"/>
        <v/>
      </c>
      <c r="I21" s="492" t="str">
        <f ca="1"/>
        <v/>
      </c>
      <c r="J21" s="492" t="str">
        <f ca="1"/>
        <v/>
      </c>
      <c r="K21" s="508" t="str">
        <f ca="1"/>
        <v/>
      </c>
      <c r="L21" s="515" t="str">
        <f ca="1"/>
        <v/>
      </c>
      <c r="M21" s="450" t="str">
        <f ca="1"/>
        <v/>
      </c>
      <c r="N21" s="450" t="str">
        <f ca="1"/>
        <v/>
      </c>
    </row>
    <row r="22" spans="1:14">
      <c r="A22" s="5"/>
      <c r="B22" s="249"/>
      <c r="C22" s="384" t="str">
        <f ca="1"/>
        <v/>
      </c>
      <c r="D22" s="491" t="str">
        <f ca="1"/>
        <v/>
      </c>
      <c r="E22" s="508" t="str">
        <f ca="1"/>
        <v/>
      </c>
      <c r="F22" s="491" t="str">
        <f ca="1"/>
        <v/>
      </c>
      <c r="G22" s="492" t="str">
        <f ca="1"/>
        <v/>
      </c>
      <c r="H22" s="492" t="str">
        <f ca="1"/>
        <v/>
      </c>
      <c r="I22" s="492" t="str">
        <f ca="1"/>
        <v/>
      </c>
      <c r="J22" s="492" t="str">
        <f ca="1"/>
        <v/>
      </c>
      <c r="K22" s="508" t="str">
        <f ca="1"/>
        <v/>
      </c>
      <c r="L22" s="515" t="str">
        <f ca="1"/>
        <v/>
      </c>
      <c r="M22" s="450" t="str">
        <f ca="1"/>
        <v/>
      </c>
      <c r="N22" s="450" t="str">
        <f ca="1"/>
        <v/>
      </c>
    </row>
    <row r="23" spans="1:14">
      <c r="A23" s="5"/>
      <c r="B23" s="249"/>
      <c r="C23" s="384" t="str">
        <f ca="1"/>
        <v/>
      </c>
      <c r="D23" s="491" t="str">
        <f ca="1"/>
        <v/>
      </c>
      <c r="E23" s="508" t="str">
        <f ca="1"/>
        <v/>
      </c>
      <c r="F23" s="491" t="str">
        <f ca="1"/>
        <v/>
      </c>
      <c r="G23" s="492" t="str">
        <f ca="1"/>
        <v/>
      </c>
      <c r="H23" s="492" t="str">
        <f ca="1"/>
        <v/>
      </c>
      <c r="I23" s="492" t="str">
        <f ca="1"/>
        <v/>
      </c>
      <c r="J23" s="492" t="str">
        <f ca="1"/>
        <v/>
      </c>
      <c r="K23" s="508" t="str">
        <f ca="1"/>
        <v/>
      </c>
      <c r="L23" s="515" t="str">
        <f ca="1"/>
        <v/>
      </c>
      <c r="M23" s="450" t="str">
        <f ca="1"/>
        <v/>
      </c>
      <c r="N23" s="450" t="str">
        <f ca="1"/>
        <v/>
      </c>
    </row>
    <row r="24" spans="1:14">
      <c r="A24" s="5"/>
      <c r="B24" s="249"/>
      <c r="C24" s="384" t="str">
        <f ca="1"/>
        <v/>
      </c>
      <c r="D24" s="491" t="str">
        <f ca="1"/>
        <v/>
      </c>
      <c r="E24" s="508" t="str">
        <f ca="1"/>
        <v/>
      </c>
      <c r="F24" s="491" t="str">
        <f ca="1"/>
        <v/>
      </c>
      <c r="G24" s="492" t="str">
        <f ca="1"/>
        <v/>
      </c>
      <c r="H24" s="492" t="str">
        <f ca="1"/>
        <v/>
      </c>
      <c r="I24" s="492" t="str">
        <f ca="1"/>
        <v/>
      </c>
      <c r="J24" s="492" t="str">
        <f ca="1"/>
        <v/>
      </c>
      <c r="K24" s="508" t="str">
        <f ca="1"/>
        <v/>
      </c>
      <c r="L24" s="515" t="str">
        <f ca="1"/>
        <v/>
      </c>
      <c r="M24" s="450" t="str">
        <f ca="1"/>
        <v/>
      </c>
      <c r="N24" s="450" t="str">
        <f ca="1"/>
        <v/>
      </c>
    </row>
    <row r="25" spans="1:14">
      <c r="A25" s="5"/>
      <c r="B25" s="249"/>
      <c r="C25" s="384" t="str">
        <f ca="1"/>
        <v/>
      </c>
      <c r="D25" s="491" t="str">
        <f ca="1"/>
        <v/>
      </c>
      <c r="E25" s="508" t="str">
        <f ca="1"/>
        <v/>
      </c>
      <c r="F25" s="491" t="str">
        <f ca="1"/>
        <v/>
      </c>
      <c r="G25" s="492" t="str">
        <f ca="1"/>
        <v/>
      </c>
      <c r="H25" s="492" t="str">
        <f ca="1"/>
        <v/>
      </c>
      <c r="I25" s="492" t="str">
        <f ca="1"/>
        <v/>
      </c>
      <c r="J25" s="492" t="str">
        <f ca="1"/>
        <v/>
      </c>
      <c r="K25" s="508" t="str">
        <f ca="1"/>
        <v/>
      </c>
      <c r="L25" s="515" t="str">
        <f ca="1"/>
        <v/>
      </c>
      <c r="M25" s="450" t="str">
        <f ca="1"/>
        <v/>
      </c>
      <c r="N25" s="450" t="str">
        <f ca="1"/>
        <v/>
      </c>
    </row>
    <row r="26" spans="1:14">
      <c r="A26" s="5"/>
      <c r="B26" s="249"/>
      <c r="C26" s="384" t="str">
        <f ca="1"/>
        <v/>
      </c>
      <c r="D26" s="491" t="str">
        <f ca="1"/>
        <v/>
      </c>
      <c r="E26" s="508" t="str">
        <f ca="1"/>
        <v/>
      </c>
      <c r="F26" s="491" t="str">
        <f ca="1"/>
        <v/>
      </c>
      <c r="G26" s="492" t="str">
        <f ca="1"/>
        <v/>
      </c>
      <c r="H26" s="492" t="str">
        <f ca="1"/>
        <v/>
      </c>
      <c r="I26" s="492" t="str">
        <f ca="1"/>
        <v/>
      </c>
      <c r="J26" s="492" t="str">
        <f ca="1"/>
        <v/>
      </c>
      <c r="K26" s="508" t="str">
        <f ca="1"/>
        <v/>
      </c>
      <c r="L26" s="515" t="str">
        <f ca="1"/>
        <v/>
      </c>
      <c r="M26" s="450" t="str">
        <f ca="1"/>
        <v/>
      </c>
      <c r="N26" s="450" t="str">
        <f ca="1"/>
        <v/>
      </c>
    </row>
    <row r="27" spans="1:14">
      <c r="A27" s="5"/>
      <c r="B27" s="249"/>
      <c r="C27" s="384" t="str">
        <f ca="1"/>
        <v/>
      </c>
      <c r="D27" s="491" t="str">
        <f ca="1"/>
        <v/>
      </c>
      <c r="E27" s="508" t="str">
        <f ca="1"/>
        <v/>
      </c>
      <c r="F27" s="491" t="str">
        <f ca="1"/>
        <v/>
      </c>
      <c r="G27" s="492" t="str">
        <f ca="1"/>
        <v/>
      </c>
      <c r="H27" s="492" t="str">
        <f ca="1"/>
        <v/>
      </c>
      <c r="I27" s="492" t="str">
        <f ca="1"/>
        <v/>
      </c>
      <c r="J27" s="492" t="str">
        <f ca="1"/>
        <v/>
      </c>
      <c r="K27" s="508" t="str">
        <f ca="1"/>
        <v/>
      </c>
      <c r="L27" s="515" t="str">
        <f ca="1"/>
        <v/>
      </c>
      <c r="M27" s="450" t="str">
        <f ca="1"/>
        <v/>
      </c>
      <c r="N27" s="450" t="str">
        <f ca="1"/>
        <v/>
      </c>
    </row>
    <row r="28" spans="1:14">
      <c r="A28" s="5"/>
      <c r="B28" s="249"/>
      <c r="C28" s="384" t="str">
        <f ca="1"/>
        <v/>
      </c>
      <c r="D28" s="491" t="str">
        <f ca="1"/>
        <v/>
      </c>
      <c r="E28" s="508" t="str">
        <f ca="1"/>
        <v/>
      </c>
      <c r="F28" s="491" t="str">
        <f ca="1"/>
        <v/>
      </c>
      <c r="G28" s="492" t="str">
        <f ca="1"/>
        <v/>
      </c>
      <c r="H28" s="492" t="str">
        <f ca="1"/>
        <v/>
      </c>
      <c r="I28" s="492" t="str">
        <f ca="1"/>
        <v/>
      </c>
      <c r="J28" s="492" t="str">
        <f ca="1"/>
        <v/>
      </c>
      <c r="K28" s="508" t="str">
        <f ca="1"/>
        <v/>
      </c>
      <c r="L28" s="515" t="str">
        <f ca="1"/>
        <v/>
      </c>
      <c r="M28" s="450" t="str">
        <f ca="1"/>
        <v/>
      </c>
      <c r="N28" s="450" t="str">
        <f ca="1"/>
        <v/>
      </c>
    </row>
    <row r="29" spans="1:14">
      <c r="A29" s="5"/>
      <c r="B29" s="249"/>
      <c r="C29" s="384" t="str">
        <f ca="1"/>
        <v/>
      </c>
      <c r="D29" s="491" t="str">
        <f ca="1"/>
        <v/>
      </c>
      <c r="E29" s="508" t="str">
        <f ca="1"/>
        <v/>
      </c>
      <c r="F29" s="491" t="str">
        <f ca="1"/>
        <v/>
      </c>
      <c r="G29" s="492" t="str">
        <f ca="1"/>
        <v/>
      </c>
      <c r="H29" s="492" t="str">
        <f ca="1"/>
        <v/>
      </c>
      <c r="I29" s="492" t="str">
        <f ca="1"/>
        <v/>
      </c>
      <c r="J29" s="492" t="str">
        <f ca="1"/>
        <v/>
      </c>
      <c r="K29" s="508" t="str">
        <f ca="1"/>
        <v/>
      </c>
      <c r="L29" s="515" t="str">
        <f ca="1"/>
        <v/>
      </c>
      <c r="M29" s="450" t="str">
        <f ca="1"/>
        <v/>
      </c>
      <c r="N29" s="450" t="str">
        <f ca="1"/>
        <v/>
      </c>
    </row>
    <row r="30" spans="1:14">
      <c r="A30" s="5"/>
      <c r="B30" s="249"/>
      <c r="C30" s="12"/>
      <c r="D30" s="491"/>
      <c r="E30" s="508"/>
      <c r="F30" s="491"/>
      <c r="G30" s="492"/>
      <c r="H30" s="492"/>
      <c r="I30" s="492"/>
      <c r="J30" s="492"/>
      <c r="K30" s="508"/>
      <c r="L30" s="515"/>
      <c r="M30" s="450"/>
      <c r="N30" s="450"/>
    </row>
    <row r="31" spans="1:14">
      <c r="A31" s="5"/>
      <c r="B31" s="249" t="str">
        <f ca="1">+'I-4 History'!B25</f>
        <v>DA-3</v>
      </c>
      <c r="C31" s="14" t="str">
        <f ca="1">+'I-4 History'!C25</f>
        <v>Customer Service</v>
      </c>
      <c r="D31" s="491"/>
      <c r="E31" s="508"/>
      <c r="F31" s="491"/>
      <c r="G31" s="492"/>
      <c r="H31" s="492"/>
      <c r="I31" s="492"/>
      <c r="J31" s="492"/>
      <c r="K31" s="508"/>
      <c r="L31" s="515"/>
      <c r="M31" s="450"/>
      <c r="N31" s="450"/>
    </row>
    <row r="32" spans="1:14">
      <c r="A32" s="5"/>
      <c r="B32" s="249"/>
      <c r="C32" s="384" t="str">
        <f t="array" ref="C32:K41" ca="1">+'DA-3'!$A$160:$I$169</f>
        <v>Step Change</v>
      </c>
      <c r="D32" s="491">
        <f ca="1"/>
        <v>0</v>
      </c>
      <c r="E32" s="508">
        <f ca="1"/>
        <v>0</v>
      </c>
      <c r="F32" s="491">
        <f ca="1"/>
        <v>6.2879041559697882E-2</v>
      </c>
      <c r="G32" s="492">
        <f ca="1"/>
        <v>0.25</v>
      </c>
      <c r="H32" s="492">
        <f ca="1"/>
        <v>0.25</v>
      </c>
      <c r="I32" s="492">
        <f ca="1"/>
        <v>0.25</v>
      </c>
      <c r="J32" s="492">
        <f ca="1"/>
        <v>0.25</v>
      </c>
      <c r="K32" s="508">
        <f ca="1"/>
        <v>0.25</v>
      </c>
      <c r="L32" s="515" t="str">
        <f t="array" ref="L32:N41" ca="1">+'DA-3'!$K$160:$M$169</f>
        <v>Proposal Step Change</v>
      </c>
      <c r="M32" s="450" t="str">
        <f ca="1"/>
        <v>Refer Opex Workings</v>
      </c>
      <c r="N32" s="450" t="str">
        <f ca="1"/>
        <v>Proposal, October 2014</v>
      </c>
    </row>
    <row r="33" spans="1:14">
      <c r="A33" s="5"/>
      <c r="B33" s="249"/>
      <c r="C33" s="384" t="str">
        <f ca="1"/>
        <v/>
      </c>
      <c r="D33" s="491" t="str">
        <f ca="1"/>
        <v/>
      </c>
      <c r="E33" s="508" t="str">
        <f ca="1"/>
        <v/>
      </c>
      <c r="F33" s="491" t="str">
        <f ca="1"/>
        <v/>
      </c>
      <c r="G33" s="492" t="str">
        <f ca="1"/>
        <v/>
      </c>
      <c r="H33" s="492" t="str">
        <f ca="1"/>
        <v/>
      </c>
      <c r="I33" s="492" t="str">
        <f ca="1"/>
        <v/>
      </c>
      <c r="J33" s="492" t="str">
        <f ca="1"/>
        <v/>
      </c>
      <c r="K33" s="508" t="str">
        <f ca="1"/>
        <v/>
      </c>
      <c r="L33" s="515" t="str">
        <f ca="1"/>
        <v/>
      </c>
      <c r="M33" s="450" t="str">
        <f ca="1"/>
        <v/>
      </c>
      <c r="N33" s="450" t="str">
        <f ca="1"/>
        <v/>
      </c>
    </row>
    <row r="34" spans="1:14">
      <c r="A34" s="5"/>
      <c r="B34" s="249"/>
      <c r="C34" s="384" t="str">
        <f ca="1"/>
        <v/>
      </c>
      <c r="D34" s="491" t="str">
        <f ca="1"/>
        <v/>
      </c>
      <c r="E34" s="508" t="str">
        <f ca="1"/>
        <v/>
      </c>
      <c r="F34" s="491" t="str">
        <f ca="1"/>
        <v/>
      </c>
      <c r="G34" s="492" t="str">
        <f ca="1"/>
        <v/>
      </c>
      <c r="H34" s="492" t="str">
        <f ca="1"/>
        <v/>
      </c>
      <c r="I34" s="492" t="str">
        <f ca="1"/>
        <v/>
      </c>
      <c r="J34" s="492" t="str">
        <f ca="1"/>
        <v/>
      </c>
      <c r="K34" s="508" t="str">
        <f ca="1"/>
        <v/>
      </c>
      <c r="L34" s="515" t="str">
        <f ca="1"/>
        <v/>
      </c>
      <c r="M34" s="450" t="str">
        <f ca="1"/>
        <v/>
      </c>
      <c r="N34" s="450" t="str">
        <f ca="1"/>
        <v/>
      </c>
    </row>
    <row r="35" spans="1:14">
      <c r="A35" s="5"/>
      <c r="B35" s="249"/>
      <c r="C35" s="384" t="str">
        <f ca="1"/>
        <v/>
      </c>
      <c r="D35" s="491" t="str">
        <f ca="1"/>
        <v/>
      </c>
      <c r="E35" s="508" t="str">
        <f ca="1"/>
        <v/>
      </c>
      <c r="F35" s="491" t="str">
        <f ca="1"/>
        <v/>
      </c>
      <c r="G35" s="492" t="str">
        <f ca="1"/>
        <v/>
      </c>
      <c r="H35" s="492" t="str">
        <f ca="1"/>
        <v/>
      </c>
      <c r="I35" s="492" t="str">
        <f ca="1"/>
        <v/>
      </c>
      <c r="J35" s="492" t="str">
        <f ca="1"/>
        <v/>
      </c>
      <c r="K35" s="508" t="str">
        <f ca="1"/>
        <v/>
      </c>
      <c r="L35" s="515" t="str">
        <f ca="1"/>
        <v/>
      </c>
      <c r="M35" s="450" t="str">
        <f ca="1"/>
        <v/>
      </c>
      <c r="N35" s="450" t="str">
        <f ca="1"/>
        <v/>
      </c>
    </row>
    <row r="36" spans="1:14">
      <c r="A36" s="5"/>
      <c r="B36" s="249"/>
      <c r="C36" s="384" t="str">
        <f ca="1"/>
        <v/>
      </c>
      <c r="D36" s="491" t="str">
        <f ca="1"/>
        <v/>
      </c>
      <c r="E36" s="508" t="str">
        <f ca="1"/>
        <v/>
      </c>
      <c r="F36" s="491" t="str">
        <f ca="1"/>
        <v/>
      </c>
      <c r="G36" s="492" t="str">
        <f ca="1"/>
        <v/>
      </c>
      <c r="H36" s="492" t="str">
        <f ca="1"/>
        <v/>
      </c>
      <c r="I36" s="492" t="str">
        <f ca="1"/>
        <v/>
      </c>
      <c r="J36" s="492" t="str">
        <f ca="1"/>
        <v/>
      </c>
      <c r="K36" s="508" t="str">
        <f ca="1"/>
        <v/>
      </c>
      <c r="L36" s="515" t="str">
        <f ca="1"/>
        <v/>
      </c>
      <c r="M36" s="450" t="str">
        <f ca="1"/>
        <v/>
      </c>
      <c r="N36" s="450" t="str">
        <f ca="1"/>
        <v/>
      </c>
    </row>
    <row r="37" spans="1:14">
      <c r="A37" s="5"/>
      <c r="B37" s="249"/>
      <c r="C37" s="384" t="str">
        <f ca="1"/>
        <v/>
      </c>
      <c r="D37" s="491" t="str">
        <f ca="1"/>
        <v/>
      </c>
      <c r="E37" s="508" t="str">
        <f ca="1"/>
        <v/>
      </c>
      <c r="F37" s="491" t="str">
        <f ca="1"/>
        <v/>
      </c>
      <c r="G37" s="492" t="str">
        <f ca="1"/>
        <v/>
      </c>
      <c r="H37" s="492" t="str">
        <f ca="1"/>
        <v/>
      </c>
      <c r="I37" s="492" t="str">
        <f ca="1"/>
        <v/>
      </c>
      <c r="J37" s="492" t="str">
        <f ca="1"/>
        <v/>
      </c>
      <c r="K37" s="508" t="str">
        <f ca="1"/>
        <v/>
      </c>
      <c r="L37" s="515" t="str">
        <f ca="1"/>
        <v/>
      </c>
      <c r="M37" s="450" t="str">
        <f ca="1"/>
        <v/>
      </c>
      <c r="N37" s="450" t="str">
        <f ca="1"/>
        <v/>
      </c>
    </row>
    <row r="38" spans="1:14">
      <c r="A38" s="5"/>
      <c r="B38" s="249"/>
      <c r="C38" s="384" t="str">
        <f ca="1"/>
        <v/>
      </c>
      <c r="D38" s="491" t="str">
        <f ca="1"/>
        <v/>
      </c>
      <c r="E38" s="508" t="str">
        <f ca="1"/>
        <v/>
      </c>
      <c r="F38" s="491" t="str">
        <f ca="1"/>
        <v/>
      </c>
      <c r="G38" s="492" t="str">
        <f ca="1"/>
        <v/>
      </c>
      <c r="H38" s="492" t="str">
        <f ca="1"/>
        <v/>
      </c>
      <c r="I38" s="492" t="str">
        <f ca="1"/>
        <v/>
      </c>
      <c r="J38" s="492" t="str">
        <f ca="1"/>
        <v/>
      </c>
      <c r="K38" s="508" t="str">
        <f ca="1"/>
        <v/>
      </c>
      <c r="L38" s="515" t="str">
        <f ca="1"/>
        <v/>
      </c>
      <c r="M38" s="450" t="str">
        <f ca="1"/>
        <v/>
      </c>
      <c r="N38" s="450" t="str">
        <f ca="1"/>
        <v/>
      </c>
    </row>
    <row r="39" spans="1:14">
      <c r="A39" s="5"/>
      <c r="B39" s="249"/>
      <c r="C39" s="384" t="str">
        <f ca="1"/>
        <v/>
      </c>
      <c r="D39" s="491" t="str">
        <f ca="1"/>
        <v/>
      </c>
      <c r="E39" s="508" t="str">
        <f ca="1"/>
        <v/>
      </c>
      <c r="F39" s="491" t="str">
        <f ca="1"/>
        <v/>
      </c>
      <c r="G39" s="492" t="str">
        <f ca="1"/>
        <v/>
      </c>
      <c r="H39" s="492" t="str">
        <f ca="1"/>
        <v/>
      </c>
      <c r="I39" s="492" t="str">
        <f ca="1"/>
        <v/>
      </c>
      <c r="J39" s="492" t="str">
        <f ca="1"/>
        <v/>
      </c>
      <c r="K39" s="508" t="str">
        <f ca="1"/>
        <v/>
      </c>
      <c r="L39" s="515" t="str">
        <f ca="1"/>
        <v/>
      </c>
      <c r="M39" s="450" t="str">
        <f ca="1"/>
        <v/>
      </c>
      <c r="N39" s="450" t="str">
        <f ca="1"/>
        <v/>
      </c>
    </row>
    <row r="40" spans="1:14">
      <c r="A40" s="5"/>
      <c r="B40" s="249"/>
      <c r="C40" s="384" t="str">
        <f ca="1"/>
        <v/>
      </c>
      <c r="D40" s="491" t="str">
        <f ca="1"/>
        <v/>
      </c>
      <c r="E40" s="508" t="str">
        <f ca="1"/>
        <v/>
      </c>
      <c r="F40" s="491" t="str">
        <f ca="1"/>
        <v/>
      </c>
      <c r="G40" s="492" t="str">
        <f ca="1"/>
        <v/>
      </c>
      <c r="H40" s="492" t="str">
        <f ca="1"/>
        <v/>
      </c>
      <c r="I40" s="492" t="str">
        <f ca="1"/>
        <v/>
      </c>
      <c r="J40" s="492" t="str">
        <f ca="1"/>
        <v/>
      </c>
      <c r="K40" s="508" t="str">
        <f ca="1"/>
        <v/>
      </c>
      <c r="L40" s="515" t="str">
        <f ca="1"/>
        <v/>
      </c>
      <c r="M40" s="450" t="str">
        <f ca="1"/>
        <v/>
      </c>
      <c r="N40" s="450" t="str">
        <f ca="1"/>
        <v/>
      </c>
    </row>
    <row r="41" spans="1:14">
      <c r="A41" s="5"/>
      <c r="B41" s="249"/>
      <c r="C41" s="384" t="str">
        <f ca="1"/>
        <v/>
      </c>
      <c r="D41" s="491" t="str">
        <f ca="1"/>
        <v/>
      </c>
      <c r="E41" s="508" t="str">
        <f ca="1"/>
        <v/>
      </c>
      <c r="F41" s="491" t="str">
        <f ca="1"/>
        <v/>
      </c>
      <c r="G41" s="492" t="str">
        <f ca="1"/>
        <v/>
      </c>
      <c r="H41" s="492" t="str">
        <f ca="1"/>
        <v/>
      </c>
      <c r="I41" s="492" t="str">
        <f ca="1"/>
        <v/>
      </c>
      <c r="J41" s="492" t="str">
        <f ca="1"/>
        <v/>
      </c>
      <c r="K41" s="508" t="str">
        <f ca="1"/>
        <v/>
      </c>
      <c r="L41" s="515" t="str">
        <f ca="1"/>
        <v/>
      </c>
      <c r="M41" s="450" t="str">
        <f ca="1"/>
        <v/>
      </c>
      <c r="N41" s="450" t="str">
        <f ca="1"/>
        <v/>
      </c>
    </row>
    <row r="42" spans="1:14">
      <c r="A42" s="5"/>
      <c r="B42" s="249"/>
      <c r="C42" s="12"/>
      <c r="D42" s="491"/>
      <c r="E42" s="508"/>
      <c r="F42" s="491"/>
      <c r="G42" s="492"/>
      <c r="H42" s="492"/>
      <c r="I42" s="492"/>
      <c r="J42" s="492"/>
      <c r="K42" s="508"/>
      <c r="L42" s="515"/>
      <c r="M42" s="450"/>
      <c r="N42" s="450"/>
    </row>
    <row r="43" spans="1:14">
      <c r="A43" s="5"/>
      <c r="B43" s="249" t="str">
        <f ca="1">+'I-4 History'!B34</f>
        <v>DA-4</v>
      </c>
      <c r="C43" s="14" t="str">
        <f ca="1">+'I-4 History'!C34</f>
        <v>Standards Development and Maintenance</v>
      </c>
      <c r="D43" s="328"/>
      <c r="E43" s="509"/>
      <c r="F43" s="328"/>
      <c r="G43" s="328"/>
      <c r="H43" s="328"/>
      <c r="I43" s="328"/>
      <c r="J43" s="328"/>
      <c r="K43" s="509"/>
      <c r="L43" s="515"/>
      <c r="M43" s="450"/>
      <c r="N43" s="450"/>
    </row>
    <row r="44" spans="1:14">
      <c r="A44" s="5"/>
      <c r="B44" s="249"/>
      <c r="C44" s="381" t="str">
        <f t="array" ref="C44:K53" ca="1">+'DA-4'!$A$160:$I$169</f>
        <v>Step Change</v>
      </c>
      <c r="D44" s="491">
        <f ca="1"/>
        <v>0</v>
      </c>
      <c r="E44" s="508">
        <f ca="1"/>
        <v>0</v>
      </c>
      <c r="F44" s="491">
        <f ca="1"/>
        <v>0</v>
      </c>
      <c r="G44" s="492">
        <f ca="1"/>
        <v>0</v>
      </c>
      <c r="H44" s="492">
        <f ca="1"/>
        <v>0</v>
      </c>
      <c r="I44" s="492">
        <f ca="1"/>
        <v>0</v>
      </c>
      <c r="J44" s="492">
        <f ca="1"/>
        <v>0</v>
      </c>
      <c r="K44" s="508">
        <f ca="1"/>
        <v>0</v>
      </c>
      <c r="L44" s="515" t="str">
        <f t="array" ref="L44:N53" ca="1">+'DA-4'!$K$160:$M$169</f>
        <v>Proposal Step Change</v>
      </c>
      <c r="M44" s="450" t="str">
        <f ca="1"/>
        <v>Refer Opex Workings</v>
      </c>
      <c r="N44" s="450" t="str">
        <f ca="1"/>
        <v>Proposal, October 2014</v>
      </c>
    </row>
    <row r="45" spans="1:14">
      <c r="A45" s="5"/>
      <c r="B45" s="249"/>
      <c r="C45" s="384" t="str">
        <f ca="1"/>
        <v/>
      </c>
      <c r="D45" s="491" t="str">
        <f ca="1"/>
        <v/>
      </c>
      <c r="E45" s="508" t="str">
        <f ca="1"/>
        <v/>
      </c>
      <c r="F45" s="491" t="str">
        <f ca="1"/>
        <v/>
      </c>
      <c r="G45" s="492" t="str">
        <f ca="1"/>
        <v/>
      </c>
      <c r="H45" s="492" t="str">
        <f ca="1"/>
        <v/>
      </c>
      <c r="I45" s="492" t="str">
        <f ca="1"/>
        <v/>
      </c>
      <c r="J45" s="492" t="str">
        <f ca="1"/>
        <v/>
      </c>
      <c r="K45" s="508" t="str">
        <f ca="1"/>
        <v/>
      </c>
      <c r="L45" s="515">
        <v>0</v>
      </c>
      <c r="M45" s="450" t="str">
        <f ca="1"/>
        <v/>
      </c>
      <c r="N45" s="450" t="str">
        <f ca="1"/>
        <v/>
      </c>
    </row>
    <row r="46" spans="1:14">
      <c r="A46" s="5"/>
      <c r="B46" s="249"/>
      <c r="C46" s="384" t="str">
        <f ca="1"/>
        <v/>
      </c>
      <c r="D46" s="491" t="str">
        <f ca="1"/>
        <v/>
      </c>
      <c r="E46" s="508" t="str">
        <f ca="1"/>
        <v/>
      </c>
      <c r="F46" s="491" t="str">
        <f ca="1"/>
        <v/>
      </c>
      <c r="G46" s="492" t="str">
        <f ca="1"/>
        <v/>
      </c>
      <c r="H46" s="492" t="str">
        <f ca="1"/>
        <v/>
      </c>
      <c r="I46" s="492" t="str">
        <f ca="1"/>
        <v/>
      </c>
      <c r="J46" s="492" t="str">
        <f ca="1"/>
        <v/>
      </c>
      <c r="K46" s="508" t="str">
        <f ca="1"/>
        <v/>
      </c>
      <c r="L46" s="515" t="str">
        <f ca="1"/>
        <v/>
      </c>
      <c r="M46" s="450" t="str">
        <f ca="1"/>
        <v/>
      </c>
      <c r="N46" s="450" t="str">
        <f ca="1"/>
        <v/>
      </c>
    </row>
    <row r="47" spans="1:14">
      <c r="A47" s="5"/>
      <c r="B47" s="249"/>
      <c r="C47" s="384" t="str">
        <f ca="1"/>
        <v/>
      </c>
      <c r="D47" s="491" t="str">
        <f ca="1"/>
        <v/>
      </c>
      <c r="E47" s="508" t="str">
        <f ca="1"/>
        <v/>
      </c>
      <c r="F47" s="491" t="str">
        <f ca="1"/>
        <v/>
      </c>
      <c r="G47" s="492" t="str">
        <f ca="1"/>
        <v/>
      </c>
      <c r="H47" s="492" t="str">
        <f ca="1"/>
        <v/>
      </c>
      <c r="I47" s="492" t="str">
        <f ca="1"/>
        <v/>
      </c>
      <c r="J47" s="492" t="str">
        <f ca="1"/>
        <v/>
      </c>
      <c r="K47" s="508" t="str">
        <f ca="1"/>
        <v/>
      </c>
      <c r="L47" s="515" t="str">
        <f ca="1"/>
        <v/>
      </c>
      <c r="M47" s="450" t="str">
        <f ca="1"/>
        <v/>
      </c>
      <c r="N47" s="450" t="str">
        <f ca="1"/>
        <v/>
      </c>
    </row>
    <row r="48" spans="1:14">
      <c r="A48" s="5"/>
      <c r="B48" s="249"/>
      <c r="C48" s="384" t="str">
        <f ca="1"/>
        <v/>
      </c>
      <c r="D48" s="491" t="str">
        <f ca="1"/>
        <v/>
      </c>
      <c r="E48" s="508" t="str">
        <f ca="1"/>
        <v/>
      </c>
      <c r="F48" s="491" t="str">
        <f ca="1"/>
        <v/>
      </c>
      <c r="G48" s="492" t="str">
        <f ca="1"/>
        <v/>
      </c>
      <c r="H48" s="492" t="str">
        <f ca="1"/>
        <v/>
      </c>
      <c r="I48" s="492" t="str">
        <f ca="1"/>
        <v/>
      </c>
      <c r="J48" s="492" t="str">
        <f ca="1"/>
        <v/>
      </c>
      <c r="K48" s="508" t="str">
        <f ca="1"/>
        <v/>
      </c>
      <c r="L48" s="515" t="str">
        <f ca="1"/>
        <v/>
      </c>
      <c r="M48" s="450" t="str">
        <f ca="1"/>
        <v/>
      </c>
      <c r="N48" s="450" t="str">
        <f ca="1"/>
        <v/>
      </c>
    </row>
    <row r="49" spans="1:14">
      <c r="A49" s="5"/>
      <c r="B49" s="249"/>
      <c r="C49" s="384" t="str">
        <f ca="1"/>
        <v/>
      </c>
      <c r="D49" s="493" t="str">
        <f ca="1"/>
        <v/>
      </c>
      <c r="E49" s="510" t="str">
        <f ca="1"/>
        <v/>
      </c>
      <c r="F49" s="493" t="str">
        <f ca="1"/>
        <v/>
      </c>
      <c r="G49" s="494" t="str">
        <f ca="1"/>
        <v/>
      </c>
      <c r="H49" s="494" t="str">
        <f ca="1"/>
        <v/>
      </c>
      <c r="I49" s="494" t="str">
        <f ca="1"/>
        <v/>
      </c>
      <c r="J49" s="494" t="str">
        <f ca="1"/>
        <v/>
      </c>
      <c r="K49" s="510" t="str">
        <f ca="1"/>
        <v/>
      </c>
      <c r="L49" s="515" t="str">
        <f ca="1"/>
        <v/>
      </c>
      <c r="M49" s="450" t="str">
        <f ca="1"/>
        <v/>
      </c>
      <c r="N49" s="450" t="str">
        <f ca="1"/>
        <v/>
      </c>
    </row>
    <row r="50" spans="1:14">
      <c r="A50" s="5"/>
      <c r="B50" s="249"/>
      <c r="C50" s="384" t="str">
        <f ca="1"/>
        <v/>
      </c>
      <c r="D50" s="493" t="str">
        <f ca="1"/>
        <v/>
      </c>
      <c r="E50" s="510" t="str">
        <f ca="1"/>
        <v/>
      </c>
      <c r="F50" s="493" t="str">
        <f ca="1"/>
        <v/>
      </c>
      <c r="G50" s="494" t="str">
        <f ca="1"/>
        <v/>
      </c>
      <c r="H50" s="494" t="str">
        <f ca="1"/>
        <v/>
      </c>
      <c r="I50" s="494" t="str">
        <f ca="1"/>
        <v/>
      </c>
      <c r="J50" s="494" t="str">
        <f ca="1"/>
        <v/>
      </c>
      <c r="K50" s="510" t="str">
        <f ca="1"/>
        <v/>
      </c>
      <c r="L50" s="515" t="str">
        <f ca="1"/>
        <v/>
      </c>
      <c r="M50" s="450" t="str">
        <f ca="1"/>
        <v/>
      </c>
      <c r="N50" s="450" t="str">
        <f ca="1"/>
        <v/>
      </c>
    </row>
    <row r="51" spans="1:14">
      <c r="A51" s="5"/>
      <c r="B51" s="249"/>
      <c r="C51" s="384" t="str">
        <f ca="1"/>
        <v/>
      </c>
      <c r="D51" s="493" t="str">
        <f ca="1"/>
        <v/>
      </c>
      <c r="E51" s="510" t="str">
        <f ca="1"/>
        <v/>
      </c>
      <c r="F51" s="493" t="str">
        <f ca="1"/>
        <v/>
      </c>
      <c r="G51" s="494" t="str">
        <f ca="1"/>
        <v/>
      </c>
      <c r="H51" s="494" t="str">
        <f ca="1"/>
        <v/>
      </c>
      <c r="I51" s="494" t="str">
        <f ca="1"/>
        <v/>
      </c>
      <c r="J51" s="494" t="str">
        <f ca="1"/>
        <v/>
      </c>
      <c r="K51" s="510" t="str">
        <f ca="1"/>
        <v/>
      </c>
      <c r="L51" s="515" t="str">
        <f ca="1"/>
        <v/>
      </c>
      <c r="M51" s="450" t="str">
        <f ca="1"/>
        <v/>
      </c>
      <c r="N51" s="450" t="str">
        <f ca="1"/>
        <v/>
      </c>
    </row>
    <row r="52" spans="1:14">
      <c r="A52" s="5"/>
      <c r="B52" s="249"/>
      <c r="C52" s="384" t="str">
        <f ca="1"/>
        <v/>
      </c>
      <c r="D52" s="493" t="str">
        <f ca="1"/>
        <v/>
      </c>
      <c r="E52" s="510" t="str">
        <f ca="1"/>
        <v/>
      </c>
      <c r="F52" s="493" t="str">
        <f ca="1"/>
        <v/>
      </c>
      <c r="G52" s="494" t="str">
        <f ca="1"/>
        <v/>
      </c>
      <c r="H52" s="494" t="str">
        <f ca="1"/>
        <v/>
      </c>
      <c r="I52" s="494" t="str">
        <f ca="1"/>
        <v/>
      </c>
      <c r="J52" s="494" t="str">
        <f ca="1"/>
        <v/>
      </c>
      <c r="K52" s="510" t="str">
        <f ca="1"/>
        <v/>
      </c>
      <c r="L52" s="515" t="str">
        <f ca="1"/>
        <v/>
      </c>
      <c r="M52" s="450" t="str">
        <f ca="1"/>
        <v/>
      </c>
      <c r="N52" s="450" t="str">
        <f ca="1"/>
        <v/>
      </c>
    </row>
    <row r="53" spans="1:14">
      <c r="A53" s="5"/>
      <c r="B53" s="249"/>
      <c r="C53" s="384" t="str">
        <f ca="1"/>
        <v/>
      </c>
      <c r="D53" s="493" t="str">
        <f ca="1"/>
        <v/>
      </c>
      <c r="E53" s="510" t="str">
        <f ca="1"/>
        <v/>
      </c>
      <c r="F53" s="493" t="str">
        <f ca="1"/>
        <v/>
      </c>
      <c r="G53" s="494" t="str">
        <f ca="1"/>
        <v/>
      </c>
      <c r="H53" s="494" t="str">
        <f ca="1"/>
        <v/>
      </c>
      <c r="I53" s="494" t="str">
        <f ca="1"/>
        <v/>
      </c>
      <c r="J53" s="494" t="str">
        <f ca="1"/>
        <v/>
      </c>
      <c r="K53" s="510" t="str">
        <f ca="1"/>
        <v/>
      </c>
      <c r="L53" s="515" t="str">
        <f ca="1"/>
        <v/>
      </c>
      <c r="M53" s="450" t="str">
        <f ca="1"/>
        <v/>
      </c>
      <c r="N53" s="450" t="str">
        <f ca="1"/>
        <v/>
      </c>
    </row>
    <row r="54" spans="1:14">
      <c r="A54" s="5"/>
      <c r="B54" s="249"/>
      <c r="C54" s="384"/>
      <c r="D54" s="328"/>
      <c r="E54" s="509"/>
      <c r="F54" s="328"/>
      <c r="G54" s="328"/>
      <c r="H54" s="328"/>
      <c r="I54" s="328"/>
      <c r="J54" s="328"/>
      <c r="K54" s="509"/>
      <c r="L54" s="515"/>
      <c r="M54" s="450"/>
      <c r="N54" s="450"/>
    </row>
    <row r="55" spans="1:14">
      <c r="A55" s="5"/>
      <c r="B55" s="249" t="str">
        <f ca="1">+'I-4 History'!B43</f>
        <v>DA-5</v>
      </c>
      <c r="C55" s="14" t="str">
        <f ca="1">+'I-4 History'!C43</f>
        <v>Strategic Asset Management</v>
      </c>
      <c r="D55" s="328"/>
      <c r="E55" s="509"/>
      <c r="F55" s="328"/>
      <c r="G55" s="328"/>
      <c r="H55" s="328"/>
      <c r="I55" s="328"/>
      <c r="J55" s="328"/>
      <c r="K55" s="509"/>
      <c r="L55" s="515"/>
      <c r="M55" s="450"/>
      <c r="N55" s="450"/>
    </row>
    <row r="56" spans="1:14">
      <c r="A56" s="5"/>
      <c r="B56" s="249"/>
      <c r="C56" s="381" t="str">
        <f t="array" ref="C56:K65" ca="1">+'DA-5'!$A$160:$I$169</f>
        <v>Step Change</v>
      </c>
      <c r="D56" s="491">
        <f ca="1"/>
        <v>0</v>
      </c>
      <c r="E56" s="508">
        <f ca="1"/>
        <v>0</v>
      </c>
      <c r="F56" s="491">
        <f ca="1"/>
        <v>0</v>
      </c>
      <c r="G56" s="492">
        <f ca="1"/>
        <v>0</v>
      </c>
      <c r="H56" s="492">
        <f ca="1"/>
        <v>0</v>
      </c>
      <c r="I56" s="492">
        <f ca="1"/>
        <v>0</v>
      </c>
      <c r="J56" s="492">
        <f ca="1"/>
        <v>0</v>
      </c>
      <c r="K56" s="508">
        <f ca="1"/>
        <v>0</v>
      </c>
      <c r="L56" s="515" t="str">
        <f t="array" ref="L56:N65" ca="1">+'DA-5'!$K$160:$M$169</f>
        <v>Proposal Step Change</v>
      </c>
      <c r="M56" s="450" t="str">
        <f ca="1"/>
        <v>Refer Opex Workings</v>
      </c>
      <c r="N56" s="450" t="str">
        <f ca="1"/>
        <v>Proposal, October 2014</v>
      </c>
    </row>
    <row r="57" spans="1:14">
      <c r="A57" s="5"/>
      <c r="B57" s="249"/>
      <c r="C57" s="384" t="str">
        <f ca="1"/>
        <v/>
      </c>
      <c r="D57" s="491" t="str">
        <f ca="1"/>
        <v/>
      </c>
      <c r="E57" s="508" t="str">
        <f ca="1"/>
        <v/>
      </c>
      <c r="F57" s="491" t="str">
        <f ca="1"/>
        <v/>
      </c>
      <c r="G57" s="492" t="str">
        <f ca="1"/>
        <v/>
      </c>
      <c r="H57" s="492" t="str">
        <f ca="1"/>
        <v/>
      </c>
      <c r="I57" s="492" t="str">
        <f ca="1"/>
        <v/>
      </c>
      <c r="J57" s="492" t="str">
        <f ca="1"/>
        <v/>
      </c>
      <c r="K57" s="508" t="str">
        <f ca="1"/>
        <v/>
      </c>
      <c r="L57" s="515" t="str">
        <f ca="1"/>
        <v/>
      </c>
      <c r="M57" s="450" t="str">
        <f ca="1"/>
        <v/>
      </c>
      <c r="N57" s="450" t="str">
        <f ca="1"/>
        <v/>
      </c>
    </row>
    <row r="58" spans="1:14">
      <c r="A58" s="5"/>
      <c r="B58" s="249"/>
      <c r="C58" s="384" t="str">
        <f ca="1"/>
        <v/>
      </c>
      <c r="D58" s="491" t="str">
        <f ca="1"/>
        <v/>
      </c>
      <c r="E58" s="508" t="str">
        <f ca="1"/>
        <v/>
      </c>
      <c r="F58" s="491" t="str">
        <f ca="1"/>
        <v/>
      </c>
      <c r="G58" s="492" t="str">
        <f ca="1"/>
        <v/>
      </c>
      <c r="H58" s="492" t="str">
        <f ca="1"/>
        <v/>
      </c>
      <c r="I58" s="492" t="str">
        <f ca="1"/>
        <v/>
      </c>
      <c r="J58" s="492" t="str">
        <f ca="1"/>
        <v/>
      </c>
      <c r="K58" s="508" t="str">
        <f ca="1"/>
        <v/>
      </c>
      <c r="L58" s="515" t="str">
        <f ca="1"/>
        <v/>
      </c>
      <c r="M58" s="450" t="str">
        <f ca="1"/>
        <v/>
      </c>
      <c r="N58" s="450" t="str">
        <f ca="1"/>
        <v/>
      </c>
    </row>
    <row r="59" spans="1:14">
      <c r="A59" s="5"/>
      <c r="B59" s="249"/>
      <c r="C59" s="384" t="str">
        <f ca="1"/>
        <v/>
      </c>
      <c r="D59" s="491" t="str">
        <f ca="1"/>
        <v/>
      </c>
      <c r="E59" s="508" t="str">
        <f ca="1"/>
        <v/>
      </c>
      <c r="F59" s="491" t="str">
        <f ca="1"/>
        <v/>
      </c>
      <c r="G59" s="492" t="str">
        <f ca="1"/>
        <v/>
      </c>
      <c r="H59" s="492" t="str">
        <f ca="1"/>
        <v/>
      </c>
      <c r="I59" s="492" t="str">
        <f ca="1"/>
        <v/>
      </c>
      <c r="J59" s="492" t="str">
        <f ca="1"/>
        <v/>
      </c>
      <c r="K59" s="508" t="str">
        <f ca="1"/>
        <v/>
      </c>
      <c r="L59" s="515" t="str">
        <f ca="1"/>
        <v/>
      </c>
      <c r="M59" s="450" t="str">
        <f ca="1"/>
        <v/>
      </c>
      <c r="N59" s="450" t="str">
        <f ca="1"/>
        <v/>
      </c>
    </row>
    <row r="60" spans="1:14">
      <c r="A60" s="5"/>
      <c r="B60" s="249"/>
      <c r="C60" s="384" t="str">
        <f ca="1"/>
        <v/>
      </c>
      <c r="D60" s="491" t="str">
        <f ca="1"/>
        <v/>
      </c>
      <c r="E60" s="508" t="str">
        <f ca="1"/>
        <v/>
      </c>
      <c r="F60" s="491" t="str">
        <f ca="1"/>
        <v/>
      </c>
      <c r="G60" s="492" t="str">
        <f ca="1"/>
        <v/>
      </c>
      <c r="H60" s="492" t="str">
        <f ca="1"/>
        <v/>
      </c>
      <c r="I60" s="492" t="str">
        <f ca="1"/>
        <v/>
      </c>
      <c r="J60" s="492" t="str">
        <f ca="1"/>
        <v/>
      </c>
      <c r="K60" s="508" t="str">
        <f ca="1"/>
        <v/>
      </c>
      <c r="L60" s="515" t="str">
        <f ca="1"/>
        <v/>
      </c>
      <c r="M60" s="450" t="str">
        <f ca="1"/>
        <v/>
      </c>
      <c r="N60" s="450" t="str">
        <f ca="1"/>
        <v/>
      </c>
    </row>
    <row r="61" spans="1:14">
      <c r="A61" s="5"/>
      <c r="B61" s="249"/>
      <c r="C61" s="384" t="str">
        <f ca="1"/>
        <v/>
      </c>
      <c r="D61" s="491" t="str">
        <f ca="1"/>
        <v/>
      </c>
      <c r="E61" s="508" t="str">
        <f ca="1"/>
        <v/>
      </c>
      <c r="F61" s="491" t="str">
        <f ca="1"/>
        <v/>
      </c>
      <c r="G61" s="492" t="str">
        <f ca="1"/>
        <v/>
      </c>
      <c r="H61" s="492" t="str">
        <f ca="1"/>
        <v/>
      </c>
      <c r="I61" s="492" t="str">
        <f ca="1"/>
        <v/>
      </c>
      <c r="J61" s="492" t="str">
        <f ca="1"/>
        <v/>
      </c>
      <c r="K61" s="508" t="str">
        <f ca="1"/>
        <v/>
      </c>
      <c r="L61" s="515" t="str">
        <f ca="1"/>
        <v/>
      </c>
      <c r="M61" s="450" t="str">
        <f ca="1"/>
        <v/>
      </c>
      <c r="N61" s="450" t="str">
        <f ca="1"/>
        <v/>
      </c>
    </row>
    <row r="62" spans="1:14">
      <c r="A62" s="5"/>
      <c r="B62" s="249"/>
      <c r="C62" s="384" t="str">
        <f ca="1"/>
        <v/>
      </c>
      <c r="D62" s="491" t="str">
        <f ca="1"/>
        <v/>
      </c>
      <c r="E62" s="508" t="str">
        <f ca="1"/>
        <v/>
      </c>
      <c r="F62" s="491" t="str">
        <f ca="1"/>
        <v/>
      </c>
      <c r="G62" s="492" t="str">
        <f ca="1"/>
        <v/>
      </c>
      <c r="H62" s="492" t="str">
        <f ca="1"/>
        <v/>
      </c>
      <c r="I62" s="492" t="str">
        <f ca="1"/>
        <v/>
      </c>
      <c r="J62" s="492" t="str">
        <f ca="1"/>
        <v/>
      </c>
      <c r="K62" s="508" t="str">
        <f ca="1"/>
        <v/>
      </c>
      <c r="L62" s="515" t="str">
        <f ca="1"/>
        <v/>
      </c>
      <c r="M62" s="450" t="str">
        <f ca="1"/>
        <v/>
      </c>
      <c r="N62" s="450" t="str">
        <f ca="1"/>
        <v/>
      </c>
    </row>
    <row r="63" spans="1:14">
      <c r="A63" s="5"/>
      <c r="B63" s="249"/>
      <c r="C63" s="384" t="str">
        <f ca="1"/>
        <v/>
      </c>
      <c r="D63" s="491" t="str">
        <f ca="1"/>
        <v/>
      </c>
      <c r="E63" s="508" t="str">
        <f ca="1"/>
        <v/>
      </c>
      <c r="F63" s="491" t="str">
        <f ca="1"/>
        <v/>
      </c>
      <c r="G63" s="492" t="str">
        <f ca="1"/>
        <v/>
      </c>
      <c r="H63" s="492" t="str">
        <f ca="1"/>
        <v/>
      </c>
      <c r="I63" s="492" t="str">
        <f ca="1"/>
        <v/>
      </c>
      <c r="J63" s="492" t="str">
        <f ca="1"/>
        <v/>
      </c>
      <c r="K63" s="508" t="str">
        <f ca="1"/>
        <v/>
      </c>
      <c r="L63" s="515" t="str">
        <f ca="1"/>
        <v/>
      </c>
      <c r="M63" s="450" t="str">
        <f ca="1"/>
        <v/>
      </c>
      <c r="N63" s="450" t="str">
        <f ca="1"/>
        <v/>
      </c>
    </row>
    <row r="64" spans="1:14">
      <c r="A64" s="5"/>
      <c r="B64" s="249"/>
      <c r="C64" s="384" t="str">
        <f ca="1"/>
        <v/>
      </c>
      <c r="D64" s="491" t="str">
        <f ca="1"/>
        <v/>
      </c>
      <c r="E64" s="508" t="str">
        <f ca="1"/>
        <v/>
      </c>
      <c r="F64" s="491" t="str">
        <f ca="1"/>
        <v/>
      </c>
      <c r="G64" s="492" t="str">
        <f ca="1"/>
        <v/>
      </c>
      <c r="H64" s="492" t="str">
        <f ca="1"/>
        <v/>
      </c>
      <c r="I64" s="492" t="str">
        <f ca="1"/>
        <v/>
      </c>
      <c r="J64" s="492" t="str">
        <f ca="1"/>
        <v/>
      </c>
      <c r="K64" s="508" t="str">
        <f ca="1"/>
        <v/>
      </c>
      <c r="L64" s="515" t="str">
        <f ca="1"/>
        <v/>
      </c>
      <c r="M64" s="450" t="str">
        <f ca="1"/>
        <v/>
      </c>
      <c r="N64" s="450" t="str">
        <f ca="1"/>
        <v/>
      </c>
    </row>
    <row r="65" spans="1:14">
      <c r="A65" s="5"/>
      <c r="B65" s="249"/>
      <c r="C65" s="384" t="str">
        <f ca="1"/>
        <v/>
      </c>
      <c r="D65" s="491" t="str">
        <f ca="1"/>
        <v/>
      </c>
      <c r="E65" s="508" t="str">
        <f ca="1"/>
        <v/>
      </c>
      <c r="F65" s="491" t="str">
        <f ca="1"/>
        <v/>
      </c>
      <c r="G65" s="492" t="str">
        <f ca="1"/>
        <v/>
      </c>
      <c r="H65" s="492" t="str">
        <f ca="1"/>
        <v/>
      </c>
      <c r="I65" s="492" t="str">
        <f ca="1"/>
        <v/>
      </c>
      <c r="J65" s="492" t="str">
        <f ca="1"/>
        <v/>
      </c>
      <c r="K65" s="508" t="str">
        <f ca="1"/>
        <v/>
      </c>
      <c r="L65" s="515" t="str">
        <f ca="1"/>
        <v/>
      </c>
      <c r="M65" s="450" t="str">
        <f ca="1"/>
        <v/>
      </c>
      <c r="N65" s="450" t="str">
        <f ca="1"/>
        <v/>
      </c>
    </row>
    <row r="66" spans="1:14">
      <c r="A66" s="5"/>
      <c r="B66" s="249"/>
      <c r="C66" s="384"/>
      <c r="D66" s="491"/>
      <c r="E66" s="508"/>
      <c r="F66" s="491"/>
      <c r="G66" s="492"/>
      <c r="H66" s="492"/>
      <c r="I66" s="492"/>
      <c r="J66" s="492"/>
      <c r="K66" s="508"/>
      <c r="L66" s="515"/>
      <c r="M66" s="450"/>
      <c r="N66" s="450"/>
    </row>
    <row r="67" spans="1:14" ht="14.25" customHeight="1">
      <c r="A67" s="5"/>
      <c r="B67" s="249" t="str">
        <f ca="1">+'I-4 History'!B52</f>
        <v>DA-6</v>
      </c>
      <c r="C67" s="14" t="str">
        <f ca="1">+'I-4 History'!C52</f>
        <v>Operational Asset Management</v>
      </c>
      <c r="D67" s="491"/>
      <c r="E67" s="508"/>
      <c r="F67" s="491"/>
      <c r="G67" s="492"/>
      <c r="H67" s="492"/>
      <c r="I67" s="492"/>
      <c r="J67" s="492"/>
      <c r="K67" s="508"/>
      <c r="L67" s="515"/>
      <c r="M67" s="450"/>
      <c r="N67" s="450"/>
    </row>
    <row r="68" spans="1:14">
      <c r="A68" s="5"/>
      <c r="B68" s="249"/>
      <c r="C68" s="384" t="str">
        <f t="array" ref="C68:K77" ca="1">+'DA-6'!$A$160:$I$169</f>
        <v>Step Change</v>
      </c>
      <c r="D68" s="491">
        <f ca="1"/>
        <v>0</v>
      </c>
      <c r="E68" s="508">
        <f ca="1"/>
        <v>0</v>
      </c>
      <c r="F68" s="491">
        <f ca="1"/>
        <v>0</v>
      </c>
      <c r="G68" s="492">
        <f ca="1"/>
        <v>0</v>
      </c>
      <c r="H68" s="492">
        <f ca="1"/>
        <v>0</v>
      </c>
      <c r="I68" s="492">
        <f ca="1"/>
        <v>0</v>
      </c>
      <c r="J68" s="492">
        <f ca="1"/>
        <v>0</v>
      </c>
      <c r="K68" s="508">
        <f ca="1"/>
        <v>0</v>
      </c>
      <c r="L68" s="515" t="str">
        <f t="array" ref="L68:N77" ca="1">+'DA-6'!$K$160:$M$169</f>
        <v>Proposal Step Change</v>
      </c>
      <c r="M68" s="450" t="str">
        <f ca="1"/>
        <v>Refer Opex Workings</v>
      </c>
      <c r="N68" s="450" t="str">
        <f ca="1"/>
        <v>Proposal, October 2014</v>
      </c>
    </row>
    <row r="69" spans="1:14">
      <c r="A69" s="5"/>
      <c r="B69" s="249"/>
      <c r="C69" s="384" t="str">
        <f ca="1"/>
        <v/>
      </c>
      <c r="D69" s="491" t="str">
        <f ca="1"/>
        <v/>
      </c>
      <c r="E69" s="508" t="str">
        <f ca="1"/>
        <v/>
      </c>
      <c r="F69" s="491" t="str">
        <f ca="1"/>
        <v/>
      </c>
      <c r="G69" s="492" t="str">
        <f ca="1"/>
        <v/>
      </c>
      <c r="H69" s="492" t="str">
        <f ca="1"/>
        <v/>
      </c>
      <c r="I69" s="492" t="str">
        <f ca="1"/>
        <v/>
      </c>
      <c r="J69" s="492" t="str">
        <f ca="1"/>
        <v/>
      </c>
      <c r="K69" s="508" t="str">
        <f ca="1"/>
        <v/>
      </c>
      <c r="L69" s="515" t="str">
        <f ca="1"/>
        <v/>
      </c>
      <c r="M69" s="450" t="str">
        <f ca="1"/>
        <v/>
      </c>
      <c r="N69" s="450" t="str">
        <f ca="1"/>
        <v/>
      </c>
    </row>
    <row r="70" spans="1:14">
      <c r="A70" s="5"/>
      <c r="B70" s="249"/>
      <c r="C70" s="384" t="str">
        <f ca="1"/>
        <v/>
      </c>
      <c r="D70" s="491" t="str">
        <f ca="1"/>
        <v/>
      </c>
      <c r="E70" s="508" t="str">
        <f ca="1"/>
        <v/>
      </c>
      <c r="F70" s="491" t="str">
        <f ca="1"/>
        <v/>
      </c>
      <c r="G70" s="492" t="str">
        <f ca="1"/>
        <v/>
      </c>
      <c r="H70" s="492" t="str">
        <f ca="1"/>
        <v/>
      </c>
      <c r="I70" s="492" t="str">
        <f ca="1"/>
        <v/>
      </c>
      <c r="J70" s="492" t="str">
        <f ca="1"/>
        <v/>
      </c>
      <c r="K70" s="508" t="str">
        <f ca="1"/>
        <v/>
      </c>
      <c r="L70" s="515" t="str">
        <f ca="1"/>
        <v/>
      </c>
      <c r="M70" s="450" t="str">
        <f ca="1"/>
        <v/>
      </c>
      <c r="N70" s="450" t="str">
        <f ca="1"/>
        <v/>
      </c>
    </row>
    <row r="71" spans="1:14">
      <c r="A71" s="5"/>
      <c r="B71" s="249"/>
      <c r="C71" s="384" t="str">
        <f ca="1"/>
        <v/>
      </c>
      <c r="D71" s="491" t="str">
        <f ca="1"/>
        <v/>
      </c>
      <c r="E71" s="508" t="str">
        <f ca="1"/>
        <v/>
      </c>
      <c r="F71" s="491" t="str">
        <f ca="1"/>
        <v/>
      </c>
      <c r="G71" s="492" t="str">
        <f ca="1"/>
        <v/>
      </c>
      <c r="H71" s="492" t="str">
        <f ca="1"/>
        <v/>
      </c>
      <c r="I71" s="492" t="str">
        <f ca="1"/>
        <v/>
      </c>
      <c r="J71" s="492" t="str">
        <f ca="1"/>
        <v/>
      </c>
      <c r="K71" s="508" t="str">
        <f ca="1"/>
        <v/>
      </c>
      <c r="L71" s="515" t="str">
        <f ca="1"/>
        <v/>
      </c>
      <c r="M71" s="450" t="str">
        <f ca="1"/>
        <v/>
      </c>
      <c r="N71" s="450" t="str">
        <f ca="1"/>
        <v/>
      </c>
    </row>
    <row r="72" spans="1:14">
      <c r="A72" s="5"/>
      <c r="B72" s="249"/>
      <c r="C72" s="384" t="str">
        <f ca="1"/>
        <v/>
      </c>
      <c r="D72" s="491" t="str">
        <f ca="1"/>
        <v/>
      </c>
      <c r="E72" s="508" t="str">
        <f ca="1"/>
        <v/>
      </c>
      <c r="F72" s="491" t="str">
        <f ca="1"/>
        <v/>
      </c>
      <c r="G72" s="492" t="str">
        <f ca="1"/>
        <v/>
      </c>
      <c r="H72" s="492" t="str">
        <f ca="1"/>
        <v/>
      </c>
      <c r="I72" s="492" t="str">
        <f ca="1"/>
        <v/>
      </c>
      <c r="J72" s="492" t="str">
        <f ca="1"/>
        <v/>
      </c>
      <c r="K72" s="508" t="str">
        <f ca="1"/>
        <v/>
      </c>
      <c r="L72" s="515" t="str">
        <f ca="1"/>
        <v/>
      </c>
      <c r="M72" s="450" t="str">
        <f ca="1"/>
        <v/>
      </c>
      <c r="N72" s="450" t="str">
        <f ca="1"/>
        <v/>
      </c>
    </row>
    <row r="73" spans="1:14">
      <c r="A73" s="5"/>
      <c r="B73" s="249"/>
      <c r="C73" s="384" t="str">
        <f ca="1"/>
        <v/>
      </c>
      <c r="D73" s="491" t="str">
        <f ca="1"/>
        <v/>
      </c>
      <c r="E73" s="508" t="str">
        <f ca="1"/>
        <v/>
      </c>
      <c r="F73" s="491" t="str">
        <f ca="1"/>
        <v/>
      </c>
      <c r="G73" s="492" t="str">
        <f ca="1"/>
        <v/>
      </c>
      <c r="H73" s="492" t="str">
        <f ca="1"/>
        <v/>
      </c>
      <c r="I73" s="492" t="str">
        <f ca="1"/>
        <v/>
      </c>
      <c r="J73" s="492" t="str">
        <f ca="1"/>
        <v/>
      </c>
      <c r="K73" s="508" t="str">
        <f ca="1"/>
        <v/>
      </c>
      <c r="L73" s="515" t="str">
        <f ca="1"/>
        <v/>
      </c>
      <c r="M73" s="450" t="str">
        <f ca="1"/>
        <v/>
      </c>
      <c r="N73" s="450" t="str">
        <f ca="1"/>
        <v/>
      </c>
    </row>
    <row r="74" spans="1:14">
      <c r="A74" s="5"/>
      <c r="B74" s="249"/>
      <c r="C74" s="384" t="str">
        <f ca="1"/>
        <v/>
      </c>
      <c r="D74" s="491" t="str">
        <f ca="1"/>
        <v/>
      </c>
      <c r="E74" s="508" t="str">
        <f ca="1"/>
        <v/>
      </c>
      <c r="F74" s="491" t="str">
        <f ca="1"/>
        <v/>
      </c>
      <c r="G74" s="492" t="str">
        <f ca="1"/>
        <v/>
      </c>
      <c r="H74" s="492" t="str">
        <f ca="1"/>
        <v/>
      </c>
      <c r="I74" s="492" t="str">
        <f ca="1"/>
        <v/>
      </c>
      <c r="J74" s="492" t="str">
        <f ca="1"/>
        <v/>
      </c>
      <c r="K74" s="508" t="str">
        <f ca="1"/>
        <v/>
      </c>
      <c r="L74" s="515" t="str">
        <f ca="1"/>
        <v/>
      </c>
      <c r="M74" s="450" t="str">
        <f ca="1"/>
        <v/>
      </c>
      <c r="N74" s="450" t="str">
        <f ca="1"/>
        <v/>
      </c>
    </row>
    <row r="75" spans="1:14">
      <c r="A75" s="5"/>
      <c r="B75" s="249"/>
      <c r="C75" s="384" t="str">
        <f ca="1"/>
        <v/>
      </c>
      <c r="D75" s="491" t="str">
        <f ca="1"/>
        <v/>
      </c>
      <c r="E75" s="508" t="str">
        <f ca="1"/>
        <v/>
      </c>
      <c r="F75" s="491" t="str">
        <f ca="1"/>
        <v/>
      </c>
      <c r="G75" s="492" t="str">
        <f ca="1"/>
        <v/>
      </c>
      <c r="H75" s="492" t="str">
        <f ca="1"/>
        <v/>
      </c>
      <c r="I75" s="492" t="str">
        <f ca="1"/>
        <v/>
      </c>
      <c r="J75" s="492" t="str">
        <f ca="1"/>
        <v/>
      </c>
      <c r="K75" s="508" t="str">
        <f ca="1"/>
        <v/>
      </c>
      <c r="L75" s="515" t="str">
        <f ca="1"/>
        <v/>
      </c>
      <c r="M75" s="450" t="str">
        <f ca="1"/>
        <v/>
      </c>
      <c r="N75" s="450" t="str">
        <f ca="1"/>
        <v/>
      </c>
    </row>
    <row r="76" spans="1:14">
      <c r="A76" s="5"/>
      <c r="B76" s="249"/>
      <c r="C76" s="384" t="str">
        <f ca="1"/>
        <v/>
      </c>
      <c r="D76" s="491" t="str">
        <f ca="1"/>
        <v/>
      </c>
      <c r="E76" s="508" t="str">
        <f ca="1"/>
        <v/>
      </c>
      <c r="F76" s="491" t="str">
        <f ca="1"/>
        <v/>
      </c>
      <c r="G76" s="492" t="str">
        <f ca="1"/>
        <v/>
      </c>
      <c r="H76" s="492" t="str">
        <f ca="1"/>
        <v/>
      </c>
      <c r="I76" s="492" t="str">
        <f ca="1"/>
        <v/>
      </c>
      <c r="J76" s="492" t="str">
        <f ca="1"/>
        <v/>
      </c>
      <c r="K76" s="508" t="str">
        <f ca="1"/>
        <v/>
      </c>
      <c r="L76" s="515" t="str">
        <f ca="1"/>
        <v/>
      </c>
      <c r="M76" s="450" t="str">
        <f ca="1"/>
        <v/>
      </c>
      <c r="N76" s="450" t="str">
        <f ca="1"/>
        <v/>
      </c>
    </row>
    <row r="77" spans="1:14">
      <c r="A77" s="5"/>
      <c r="B77" s="249"/>
      <c r="C77" s="384" t="str">
        <f ca="1"/>
        <v/>
      </c>
      <c r="D77" s="491" t="str">
        <f ca="1"/>
        <v/>
      </c>
      <c r="E77" s="508" t="str">
        <f ca="1"/>
        <v/>
      </c>
      <c r="F77" s="491" t="str">
        <f ca="1"/>
        <v/>
      </c>
      <c r="G77" s="492" t="str">
        <f ca="1"/>
        <v/>
      </c>
      <c r="H77" s="492" t="str">
        <f ca="1"/>
        <v/>
      </c>
      <c r="I77" s="492" t="str">
        <f ca="1"/>
        <v/>
      </c>
      <c r="J77" s="492" t="str">
        <f ca="1"/>
        <v/>
      </c>
      <c r="K77" s="508" t="str">
        <f ca="1"/>
        <v/>
      </c>
      <c r="L77" s="515" t="str">
        <f ca="1"/>
        <v/>
      </c>
      <c r="M77" s="450" t="str">
        <f ca="1"/>
        <v/>
      </c>
      <c r="N77" s="450" t="str">
        <f ca="1"/>
        <v/>
      </c>
    </row>
    <row r="78" spans="1:14">
      <c r="A78" s="5"/>
      <c r="B78" s="249"/>
      <c r="C78" s="12"/>
      <c r="D78" s="491"/>
      <c r="E78" s="508"/>
      <c r="F78" s="491"/>
      <c r="G78" s="492"/>
      <c r="H78" s="492"/>
      <c r="I78" s="492"/>
      <c r="J78" s="492"/>
      <c r="K78" s="508"/>
      <c r="L78" s="515"/>
      <c r="M78" s="450"/>
      <c r="N78" s="450"/>
    </row>
    <row r="79" spans="1:14">
      <c r="A79" s="5"/>
      <c r="B79" s="249" t="str">
        <f ca="1">+'I-4 History'!B61</f>
        <v>DA-7</v>
      </c>
      <c r="C79" s="14" t="str">
        <f ca="1">+'I-4 History'!C61</f>
        <v>Maintenance of Asset Information</v>
      </c>
      <c r="D79" s="491"/>
      <c r="E79" s="508"/>
      <c r="F79" s="491"/>
      <c r="G79" s="492"/>
      <c r="H79" s="492"/>
      <c r="I79" s="492"/>
      <c r="J79" s="492"/>
      <c r="K79" s="508"/>
      <c r="L79" s="515"/>
      <c r="M79" s="450"/>
      <c r="N79" s="450"/>
    </row>
    <row r="80" spans="1:14">
      <c r="A80" s="5"/>
      <c r="B80" s="249"/>
      <c r="C80" s="384" t="str">
        <f t="array" ref="C80:K89" ca="1">+'DA-7'!$A$160:$I$169</f>
        <v>Step Change</v>
      </c>
      <c r="D80" s="491">
        <f ca="1"/>
        <v>0</v>
      </c>
      <c r="E80" s="508">
        <f ca="1"/>
        <v>0</v>
      </c>
      <c r="F80" s="491">
        <f ca="1"/>
        <v>0</v>
      </c>
      <c r="G80" s="492">
        <f ca="1"/>
        <v>0</v>
      </c>
      <c r="H80" s="492">
        <f ca="1"/>
        <v>0</v>
      </c>
      <c r="I80" s="492">
        <f ca="1"/>
        <v>0</v>
      </c>
      <c r="J80" s="492">
        <f ca="1"/>
        <v>0</v>
      </c>
      <c r="K80" s="508">
        <f ca="1"/>
        <v>0</v>
      </c>
      <c r="L80" s="515" t="str">
        <f t="array" ref="L80:N89" ca="1">+'DA-7'!$K$160:$M$169</f>
        <v>Proposal Step Change</v>
      </c>
      <c r="M80" s="450" t="str">
        <f ca="1"/>
        <v>Refer Opex Workings</v>
      </c>
      <c r="N80" s="450" t="str">
        <f ca="1"/>
        <v>Proposal, October 2014</v>
      </c>
    </row>
    <row r="81" spans="1:14">
      <c r="A81" s="5"/>
      <c r="B81" s="249"/>
      <c r="C81" s="384" t="str">
        <f ca="1"/>
        <v/>
      </c>
      <c r="D81" s="491" t="str">
        <f ca="1"/>
        <v/>
      </c>
      <c r="E81" s="508" t="str">
        <f ca="1"/>
        <v/>
      </c>
      <c r="F81" s="491" t="str">
        <f ca="1"/>
        <v/>
      </c>
      <c r="G81" s="492" t="str">
        <f ca="1"/>
        <v/>
      </c>
      <c r="H81" s="492" t="str">
        <f ca="1"/>
        <v/>
      </c>
      <c r="I81" s="492" t="str">
        <f ca="1"/>
        <v/>
      </c>
      <c r="J81" s="492" t="str">
        <f ca="1"/>
        <v/>
      </c>
      <c r="K81" s="508" t="str">
        <f ca="1"/>
        <v/>
      </c>
      <c r="L81" s="515" t="str">
        <f ca="1"/>
        <v/>
      </c>
      <c r="M81" s="450" t="str">
        <f ca="1"/>
        <v/>
      </c>
      <c r="N81" s="450" t="str">
        <f ca="1"/>
        <v/>
      </c>
    </row>
    <row r="82" spans="1:14">
      <c r="A82" s="5"/>
      <c r="B82" s="249"/>
      <c r="C82" s="384" t="str">
        <f ca="1"/>
        <v/>
      </c>
      <c r="D82" s="491" t="str">
        <f ca="1"/>
        <v/>
      </c>
      <c r="E82" s="508" t="str">
        <f ca="1"/>
        <v/>
      </c>
      <c r="F82" s="491" t="str">
        <f ca="1"/>
        <v/>
      </c>
      <c r="G82" s="492" t="str">
        <f ca="1"/>
        <v/>
      </c>
      <c r="H82" s="492" t="str">
        <f ca="1"/>
        <v/>
      </c>
      <c r="I82" s="492" t="str">
        <f ca="1"/>
        <v/>
      </c>
      <c r="J82" s="492" t="str">
        <f ca="1"/>
        <v/>
      </c>
      <c r="K82" s="508" t="str">
        <f ca="1"/>
        <v/>
      </c>
      <c r="L82" s="515" t="str">
        <f ca="1"/>
        <v/>
      </c>
      <c r="M82" s="450" t="str">
        <f ca="1"/>
        <v/>
      </c>
      <c r="N82" s="450" t="str">
        <f ca="1"/>
        <v/>
      </c>
    </row>
    <row r="83" spans="1:14">
      <c r="A83" s="5"/>
      <c r="B83" s="249"/>
      <c r="C83" s="384" t="str">
        <f ca="1"/>
        <v/>
      </c>
      <c r="D83" s="491" t="str">
        <f ca="1"/>
        <v/>
      </c>
      <c r="E83" s="508" t="str">
        <f ca="1"/>
        <v/>
      </c>
      <c r="F83" s="491" t="str">
        <f ca="1"/>
        <v/>
      </c>
      <c r="G83" s="492" t="str">
        <f ca="1"/>
        <v/>
      </c>
      <c r="H83" s="492" t="str">
        <f ca="1"/>
        <v/>
      </c>
      <c r="I83" s="492" t="str">
        <f ca="1"/>
        <v/>
      </c>
      <c r="J83" s="492" t="str">
        <f ca="1"/>
        <v/>
      </c>
      <c r="K83" s="508" t="str">
        <f ca="1"/>
        <v/>
      </c>
      <c r="L83" s="515" t="str">
        <f ca="1"/>
        <v/>
      </c>
      <c r="M83" s="450" t="str">
        <f ca="1"/>
        <v/>
      </c>
      <c r="N83" s="450" t="str">
        <f ca="1"/>
        <v/>
      </c>
    </row>
    <row r="84" spans="1:14">
      <c r="A84" s="5"/>
      <c r="B84" s="249"/>
      <c r="C84" s="384" t="str">
        <f ca="1"/>
        <v/>
      </c>
      <c r="D84" s="491" t="str">
        <f ca="1"/>
        <v/>
      </c>
      <c r="E84" s="508" t="str">
        <f ca="1"/>
        <v/>
      </c>
      <c r="F84" s="491" t="str">
        <f ca="1"/>
        <v/>
      </c>
      <c r="G84" s="492" t="str">
        <f ca="1"/>
        <v/>
      </c>
      <c r="H84" s="492" t="str">
        <f ca="1"/>
        <v/>
      </c>
      <c r="I84" s="492" t="str">
        <f ca="1"/>
        <v/>
      </c>
      <c r="J84" s="492" t="str">
        <f ca="1"/>
        <v/>
      </c>
      <c r="K84" s="508" t="str">
        <f ca="1"/>
        <v/>
      </c>
      <c r="L84" s="515" t="str">
        <f ca="1"/>
        <v/>
      </c>
      <c r="M84" s="450" t="str">
        <f ca="1"/>
        <v/>
      </c>
      <c r="N84" s="450" t="str">
        <f ca="1"/>
        <v/>
      </c>
    </row>
    <row r="85" spans="1:14">
      <c r="A85" s="5"/>
      <c r="B85" s="249"/>
      <c r="C85" s="384" t="str">
        <f ca="1"/>
        <v/>
      </c>
      <c r="D85" s="491" t="str">
        <f ca="1"/>
        <v/>
      </c>
      <c r="E85" s="508" t="str">
        <f ca="1"/>
        <v/>
      </c>
      <c r="F85" s="491" t="str">
        <f ca="1"/>
        <v/>
      </c>
      <c r="G85" s="492" t="str">
        <f ca="1"/>
        <v/>
      </c>
      <c r="H85" s="492" t="str">
        <f ca="1"/>
        <v/>
      </c>
      <c r="I85" s="492" t="str">
        <f ca="1"/>
        <v/>
      </c>
      <c r="J85" s="492" t="str">
        <f ca="1"/>
        <v/>
      </c>
      <c r="K85" s="508" t="str">
        <f ca="1"/>
        <v/>
      </c>
      <c r="L85" s="515" t="str">
        <f ca="1"/>
        <v/>
      </c>
      <c r="M85" s="450" t="str">
        <f ca="1"/>
        <v/>
      </c>
      <c r="N85" s="450" t="str">
        <f ca="1"/>
        <v/>
      </c>
    </row>
    <row r="86" spans="1:14">
      <c r="A86" s="5"/>
      <c r="B86" s="249"/>
      <c r="C86" s="384" t="str">
        <f ca="1"/>
        <v/>
      </c>
      <c r="D86" s="491" t="str">
        <f ca="1"/>
        <v/>
      </c>
      <c r="E86" s="508" t="str">
        <f ca="1"/>
        <v/>
      </c>
      <c r="F86" s="491" t="str">
        <f ca="1"/>
        <v/>
      </c>
      <c r="G86" s="492" t="str">
        <f ca="1"/>
        <v/>
      </c>
      <c r="H86" s="492" t="str">
        <f ca="1"/>
        <v/>
      </c>
      <c r="I86" s="492" t="str">
        <f ca="1"/>
        <v/>
      </c>
      <c r="J86" s="492" t="str">
        <f ca="1"/>
        <v/>
      </c>
      <c r="K86" s="508" t="str">
        <f ca="1"/>
        <v/>
      </c>
      <c r="L86" s="515" t="str">
        <f ca="1"/>
        <v/>
      </c>
      <c r="M86" s="450" t="str">
        <f ca="1"/>
        <v/>
      </c>
      <c r="N86" s="450" t="str">
        <f ca="1"/>
        <v/>
      </c>
    </row>
    <row r="87" spans="1:14">
      <c r="A87" s="5"/>
      <c r="B87" s="249"/>
      <c r="C87" s="384" t="str">
        <f ca="1"/>
        <v/>
      </c>
      <c r="D87" s="491" t="str">
        <f ca="1"/>
        <v/>
      </c>
      <c r="E87" s="508" t="str">
        <f ca="1"/>
        <v/>
      </c>
      <c r="F87" s="491" t="str">
        <f ca="1"/>
        <v/>
      </c>
      <c r="G87" s="492" t="str">
        <f ca="1"/>
        <v/>
      </c>
      <c r="H87" s="492" t="str">
        <f ca="1"/>
        <v/>
      </c>
      <c r="I87" s="492" t="str">
        <f ca="1"/>
        <v/>
      </c>
      <c r="J87" s="492" t="str">
        <f ca="1"/>
        <v/>
      </c>
      <c r="K87" s="508" t="str">
        <f ca="1"/>
        <v/>
      </c>
      <c r="L87" s="515" t="str">
        <f ca="1"/>
        <v/>
      </c>
      <c r="M87" s="450" t="str">
        <f ca="1"/>
        <v/>
      </c>
      <c r="N87" s="450" t="str">
        <f ca="1"/>
        <v/>
      </c>
    </row>
    <row r="88" spans="1:14">
      <c r="A88" s="5"/>
      <c r="B88" s="249"/>
      <c r="C88" s="384" t="str">
        <f ca="1"/>
        <v/>
      </c>
      <c r="D88" s="491" t="str">
        <f ca="1"/>
        <v/>
      </c>
      <c r="E88" s="508" t="str">
        <f ca="1"/>
        <v/>
      </c>
      <c r="F88" s="491" t="str">
        <f ca="1"/>
        <v/>
      </c>
      <c r="G88" s="492" t="str">
        <f ca="1"/>
        <v/>
      </c>
      <c r="H88" s="492" t="str">
        <f ca="1"/>
        <v/>
      </c>
      <c r="I88" s="492" t="str">
        <f ca="1"/>
        <v/>
      </c>
      <c r="J88" s="492" t="str">
        <f ca="1"/>
        <v/>
      </c>
      <c r="K88" s="508" t="str">
        <f ca="1"/>
        <v/>
      </c>
      <c r="L88" s="515" t="str">
        <f ca="1"/>
        <v/>
      </c>
      <c r="M88" s="450" t="str">
        <f ca="1"/>
        <v/>
      </c>
      <c r="N88" s="450" t="str">
        <f ca="1"/>
        <v/>
      </c>
    </row>
    <row r="89" spans="1:14">
      <c r="A89" s="5"/>
      <c r="B89" s="249"/>
      <c r="C89" s="384" t="str">
        <f ca="1"/>
        <v/>
      </c>
      <c r="D89" s="491" t="str">
        <f ca="1"/>
        <v/>
      </c>
      <c r="E89" s="508" t="str">
        <f ca="1"/>
        <v/>
      </c>
      <c r="F89" s="491" t="str">
        <f ca="1"/>
        <v/>
      </c>
      <c r="G89" s="492" t="str">
        <f ca="1"/>
        <v/>
      </c>
      <c r="H89" s="492" t="str">
        <f ca="1"/>
        <v/>
      </c>
      <c r="I89" s="492" t="str">
        <f ca="1"/>
        <v/>
      </c>
      <c r="J89" s="492" t="str">
        <f ca="1"/>
        <v/>
      </c>
      <c r="K89" s="508" t="str">
        <f ca="1"/>
        <v/>
      </c>
      <c r="L89" s="515" t="str">
        <f ca="1"/>
        <v/>
      </c>
      <c r="M89" s="450" t="str">
        <f ca="1"/>
        <v/>
      </c>
      <c r="N89" s="450" t="str">
        <f ca="1"/>
        <v/>
      </c>
    </row>
    <row r="90" spans="1:14">
      <c r="A90" s="5"/>
      <c r="B90" s="249"/>
      <c r="C90" s="12"/>
      <c r="D90" s="491"/>
      <c r="E90" s="508"/>
      <c r="F90" s="491"/>
      <c r="G90" s="492"/>
      <c r="H90" s="492"/>
      <c r="I90" s="492"/>
      <c r="J90" s="492"/>
      <c r="K90" s="508"/>
      <c r="L90" s="515"/>
      <c r="M90" s="450"/>
      <c r="N90" s="450"/>
    </row>
    <row r="91" spans="1:14">
      <c r="A91" s="5"/>
      <c r="B91" s="249" t="str">
        <f ca="1">+'I-4 History'!B70</f>
        <v>DA-8</v>
      </c>
      <c r="C91" s="14" t="str">
        <f ca="1">+'I-4 History'!C70</f>
        <v>Network Telephony</v>
      </c>
      <c r="D91" s="491"/>
      <c r="E91" s="508"/>
      <c r="F91" s="491"/>
      <c r="G91" s="492"/>
      <c r="H91" s="492"/>
      <c r="I91" s="492"/>
      <c r="J91" s="492"/>
      <c r="K91" s="508"/>
      <c r="L91" s="515"/>
      <c r="M91" s="450"/>
      <c r="N91" s="450"/>
    </row>
    <row r="92" spans="1:14">
      <c r="A92" s="5"/>
      <c r="B92" s="249"/>
      <c r="C92" s="384" t="str">
        <f t="array" ref="C92:K101" ca="1">+'DA-8'!$A$160:$I$169</f>
        <v>Step Change</v>
      </c>
      <c r="D92" s="491">
        <f ca="1"/>
        <v>0</v>
      </c>
      <c r="E92" s="508">
        <f ca="1"/>
        <v>0</v>
      </c>
      <c r="F92" s="491">
        <f ca="1"/>
        <v>0</v>
      </c>
      <c r="G92" s="492">
        <f ca="1"/>
        <v>0.17099999999999999</v>
      </c>
      <c r="H92" s="492">
        <f ca="1"/>
        <v>7.35</v>
      </c>
      <c r="I92" s="492">
        <f ca="1"/>
        <v>2.6029999999999998</v>
      </c>
      <c r="J92" s="492">
        <f ca="1"/>
        <v>2.6030000000000002</v>
      </c>
      <c r="K92" s="508">
        <f ca="1"/>
        <v>2.6040000000000001</v>
      </c>
      <c r="L92" s="515" t="str">
        <f t="array" ref="L92:N101" ca="1">+'DA-8'!$K$160:$M$169</f>
        <v>Proposal Step Change</v>
      </c>
      <c r="M92" s="450" t="str">
        <f ca="1"/>
        <v>Refer Opex Workings</v>
      </c>
      <c r="N92" s="450" t="str">
        <f ca="1"/>
        <v>Proposal, October 2014</v>
      </c>
    </row>
    <row r="93" spans="1:14">
      <c r="A93" s="5"/>
      <c r="B93" s="249"/>
      <c r="C93" s="384" t="str">
        <f ca="1"/>
        <v/>
      </c>
      <c r="D93" s="491" t="str">
        <f ca="1"/>
        <v/>
      </c>
      <c r="E93" s="508" t="str">
        <f ca="1"/>
        <v/>
      </c>
      <c r="F93" s="491" t="str">
        <f ca="1"/>
        <v/>
      </c>
      <c r="G93" s="492" t="str">
        <f ca="1"/>
        <v/>
      </c>
      <c r="H93" s="492" t="str">
        <f ca="1"/>
        <v/>
      </c>
      <c r="I93" s="492" t="str">
        <f ca="1"/>
        <v/>
      </c>
      <c r="J93" s="492" t="str">
        <f ca="1"/>
        <v/>
      </c>
      <c r="K93" s="508" t="str">
        <f ca="1"/>
        <v/>
      </c>
      <c r="L93" s="515" t="str">
        <f ca="1"/>
        <v/>
      </c>
      <c r="M93" s="450" t="str">
        <f ca="1"/>
        <v/>
      </c>
      <c r="N93" s="450" t="str">
        <f ca="1"/>
        <v/>
      </c>
    </row>
    <row r="94" spans="1:14">
      <c r="A94" s="5"/>
      <c r="B94" s="249"/>
      <c r="C94" s="384" t="str">
        <f ca="1"/>
        <v/>
      </c>
      <c r="D94" s="491" t="str">
        <f ca="1"/>
        <v/>
      </c>
      <c r="E94" s="508" t="str">
        <f ca="1"/>
        <v/>
      </c>
      <c r="F94" s="491" t="str">
        <f ca="1"/>
        <v/>
      </c>
      <c r="G94" s="492" t="str">
        <f ca="1"/>
        <v/>
      </c>
      <c r="H94" s="492" t="str">
        <f ca="1"/>
        <v/>
      </c>
      <c r="I94" s="492" t="str">
        <f ca="1"/>
        <v/>
      </c>
      <c r="J94" s="492" t="str">
        <f ca="1"/>
        <v/>
      </c>
      <c r="K94" s="508" t="str">
        <f ca="1"/>
        <v/>
      </c>
      <c r="L94" s="515" t="str">
        <f ca="1"/>
        <v/>
      </c>
      <c r="M94" s="450" t="str">
        <f ca="1"/>
        <v/>
      </c>
      <c r="N94" s="450" t="str">
        <f ca="1"/>
        <v/>
      </c>
    </row>
    <row r="95" spans="1:14">
      <c r="A95" s="5"/>
      <c r="B95" s="249"/>
      <c r="C95" s="384" t="str">
        <f ca="1"/>
        <v/>
      </c>
      <c r="D95" s="491" t="str">
        <f ca="1"/>
        <v/>
      </c>
      <c r="E95" s="508" t="str">
        <f ca="1"/>
        <v/>
      </c>
      <c r="F95" s="491" t="str">
        <f ca="1"/>
        <v/>
      </c>
      <c r="G95" s="492" t="str">
        <f ca="1"/>
        <v/>
      </c>
      <c r="H95" s="492" t="str">
        <f ca="1"/>
        <v/>
      </c>
      <c r="I95" s="492" t="str">
        <f ca="1"/>
        <v/>
      </c>
      <c r="J95" s="492" t="str">
        <f ca="1"/>
        <v/>
      </c>
      <c r="K95" s="508" t="str">
        <f ca="1"/>
        <v/>
      </c>
      <c r="L95" s="515" t="str">
        <f ca="1"/>
        <v/>
      </c>
      <c r="M95" s="450" t="str">
        <f ca="1"/>
        <v/>
      </c>
      <c r="N95" s="450" t="str">
        <f ca="1"/>
        <v/>
      </c>
    </row>
    <row r="96" spans="1:14">
      <c r="A96" s="5"/>
      <c r="B96" s="249"/>
      <c r="C96" s="384" t="str">
        <f ca="1"/>
        <v/>
      </c>
      <c r="D96" s="491" t="str">
        <f ca="1"/>
        <v/>
      </c>
      <c r="E96" s="508" t="str">
        <f ca="1"/>
        <v/>
      </c>
      <c r="F96" s="491" t="str">
        <f ca="1"/>
        <v/>
      </c>
      <c r="G96" s="492" t="str">
        <f ca="1"/>
        <v/>
      </c>
      <c r="H96" s="492" t="str">
        <f ca="1"/>
        <v/>
      </c>
      <c r="I96" s="492" t="str">
        <f ca="1"/>
        <v/>
      </c>
      <c r="J96" s="492" t="str">
        <f ca="1"/>
        <v/>
      </c>
      <c r="K96" s="508" t="str">
        <f ca="1"/>
        <v/>
      </c>
      <c r="L96" s="515" t="str">
        <f ca="1"/>
        <v/>
      </c>
      <c r="M96" s="450" t="str">
        <f ca="1"/>
        <v/>
      </c>
      <c r="N96" s="450" t="str">
        <f ca="1"/>
        <v/>
      </c>
    </row>
    <row r="97" spans="1:14">
      <c r="A97" s="5"/>
      <c r="B97" s="249"/>
      <c r="C97" s="384" t="str">
        <f ca="1"/>
        <v/>
      </c>
      <c r="D97" s="491" t="str">
        <f ca="1"/>
        <v/>
      </c>
      <c r="E97" s="508" t="str">
        <f ca="1"/>
        <v/>
      </c>
      <c r="F97" s="491" t="str">
        <f ca="1"/>
        <v/>
      </c>
      <c r="G97" s="492" t="str">
        <f ca="1"/>
        <v/>
      </c>
      <c r="H97" s="492" t="str">
        <f ca="1"/>
        <v/>
      </c>
      <c r="I97" s="492" t="str">
        <f ca="1"/>
        <v/>
      </c>
      <c r="J97" s="492" t="str">
        <f ca="1"/>
        <v/>
      </c>
      <c r="K97" s="508" t="str">
        <f ca="1"/>
        <v/>
      </c>
      <c r="L97" s="515" t="str">
        <f ca="1"/>
        <v/>
      </c>
      <c r="M97" s="450" t="str">
        <f ca="1"/>
        <v/>
      </c>
      <c r="N97" s="450" t="str">
        <f ca="1"/>
        <v/>
      </c>
    </row>
    <row r="98" spans="1:14">
      <c r="A98" s="5"/>
      <c r="B98" s="249"/>
      <c r="C98" s="384" t="str">
        <f ca="1"/>
        <v/>
      </c>
      <c r="D98" s="491" t="str">
        <f ca="1"/>
        <v/>
      </c>
      <c r="E98" s="508" t="str">
        <f ca="1"/>
        <v/>
      </c>
      <c r="F98" s="491" t="str">
        <f ca="1"/>
        <v/>
      </c>
      <c r="G98" s="492" t="str">
        <f ca="1"/>
        <v/>
      </c>
      <c r="H98" s="492" t="str">
        <f ca="1"/>
        <v/>
      </c>
      <c r="I98" s="492" t="str">
        <f ca="1"/>
        <v/>
      </c>
      <c r="J98" s="492" t="str">
        <f ca="1"/>
        <v/>
      </c>
      <c r="K98" s="508" t="str">
        <f ca="1"/>
        <v/>
      </c>
      <c r="L98" s="515" t="str">
        <f ca="1"/>
        <v/>
      </c>
      <c r="M98" s="450" t="str">
        <f ca="1"/>
        <v/>
      </c>
      <c r="N98" s="450" t="str">
        <f ca="1"/>
        <v/>
      </c>
    </row>
    <row r="99" spans="1:14">
      <c r="A99" s="5"/>
      <c r="B99" s="249"/>
      <c r="C99" s="384" t="str">
        <f ca="1"/>
        <v/>
      </c>
      <c r="D99" s="491" t="str">
        <f ca="1"/>
        <v/>
      </c>
      <c r="E99" s="508" t="str">
        <f ca="1"/>
        <v/>
      </c>
      <c r="F99" s="491" t="str">
        <f ca="1"/>
        <v/>
      </c>
      <c r="G99" s="492" t="str">
        <f ca="1"/>
        <v/>
      </c>
      <c r="H99" s="492" t="str">
        <f ca="1"/>
        <v/>
      </c>
      <c r="I99" s="492" t="str">
        <f ca="1"/>
        <v/>
      </c>
      <c r="J99" s="492" t="str">
        <f ca="1"/>
        <v/>
      </c>
      <c r="K99" s="508" t="str">
        <f ca="1"/>
        <v/>
      </c>
      <c r="L99" s="515" t="str">
        <f ca="1"/>
        <v/>
      </c>
      <c r="M99" s="450" t="str">
        <f ca="1"/>
        <v/>
      </c>
      <c r="N99" s="450" t="str">
        <f ca="1"/>
        <v/>
      </c>
    </row>
    <row r="100" spans="1:14">
      <c r="A100" s="5"/>
      <c r="B100" s="249"/>
      <c r="C100" s="384" t="str">
        <f ca="1"/>
        <v/>
      </c>
      <c r="D100" s="491" t="str">
        <f ca="1"/>
        <v/>
      </c>
      <c r="E100" s="508" t="str">
        <f ca="1"/>
        <v/>
      </c>
      <c r="F100" s="491" t="str">
        <f ca="1"/>
        <v/>
      </c>
      <c r="G100" s="492" t="str">
        <f ca="1"/>
        <v/>
      </c>
      <c r="H100" s="492" t="str">
        <f ca="1"/>
        <v/>
      </c>
      <c r="I100" s="492" t="str">
        <f ca="1"/>
        <v/>
      </c>
      <c r="J100" s="492" t="str">
        <f ca="1"/>
        <v/>
      </c>
      <c r="K100" s="508" t="str">
        <f ca="1"/>
        <v/>
      </c>
      <c r="L100" s="515" t="str">
        <f ca="1"/>
        <v/>
      </c>
      <c r="M100" s="450" t="str">
        <f ca="1"/>
        <v/>
      </c>
      <c r="N100" s="450" t="str">
        <f ca="1"/>
        <v/>
      </c>
    </row>
    <row r="101" spans="1:14">
      <c r="A101" s="5"/>
      <c r="B101" s="249"/>
      <c r="C101" s="384" t="str">
        <f ca="1"/>
        <v/>
      </c>
      <c r="D101" s="491" t="str">
        <f ca="1"/>
        <v/>
      </c>
      <c r="E101" s="508" t="str">
        <f ca="1"/>
        <v/>
      </c>
      <c r="F101" s="491" t="str">
        <f ca="1"/>
        <v/>
      </c>
      <c r="G101" s="492" t="str">
        <f ca="1"/>
        <v/>
      </c>
      <c r="H101" s="492" t="str">
        <f ca="1"/>
        <v/>
      </c>
      <c r="I101" s="492" t="str">
        <f ca="1"/>
        <v/>
      </c>
      <c r="J101" s="492" t="str">
        <f ca="1"/>
        <v/>
      </c>
      <c r="K101" s="508" t="str">
        <f ca="1"/>
        <v/>
      </c>
      <c r="L101" s="515" t="str">
        <f ca="1"/>
        <v/>
      </c>
      <c r="M101" s="450" t="str">
        <f ca="1"/>
        <v/>
      </c>
      <c r="N101" s="450" t="str">
        <f ca="1"/>
        <v/>
      </c>
    </row>
    <row r="102" spans="1:14">
      <c r="A102" s="5"/>
      <c r="B102" s="249"/>
      <c r="C102" s="12"/>
      <c r="D102" s="491"/>
      <c r="E102" s="508"/>
      <c r="F102" s="491"/>
      <c r="G102" s="492"/>
      <c r="H102" s="492"/>
      <c r="I102" s="492"/>
      <c r="J102" s="492"/>
      <c r="K102" s="508"/>
      <c r="L102" s="515"/>
      <c r="M102" s="450"/>
      <c r="N102" s="450"/>
    </row>
    <row r="103" spans="1:14">
      <c r="A103" s="5"/>
      <c r="B103" s="249" t="str">
        <f ca="1">+'I-4 History'!B79</f>
        <v>DA-9</v>
      </c>
      <c r="C103" s="14" t="str">
        <f ca="1">+'I-4 History'!C79</f>
        <v>Feed-in Tariffs</v>
      </c>
      <c r="D103" s="491"/>
      <c r="E103" s="508"/>
      <c r="F103" s="491"/>
      <c r="G103" s="492"/>
      <c r="H103" s="492"/>
      <c r="I103" s="492"/>
      <c r="J103" s="492"/>
      <c r="K103" s="508"/>
      <c r="L103" s="515"/>
      <c r="M103" s="450"/>
      <c r="N103" s="450"/>
    </row>
    <row r="104" spans="1:14">
      <c r="A104" s="5"/>
      <c r="B104" s="249"/>
      <c r="C104" s="384" t="str">
        <f t="array" ref="C104:K113" ca="1">+'DA-9'!$A$160:$I$169</f>
        <v>Step Change</v>
      </c>
      <c r="D104" s="491">
        <f ca="1"/>
        <v>0</v>
      </c>
      <c r="E104" s="508">
        <f ca="1"/>
        <v>0</v>
      </c>
      <c r="F104" s="491">
        <f ca="1"/>
        <v>0</v>
      </c>
      <c r="G104" s="492">
        <f ca="1"/>
        <v>0</v>
      </c>
      <c r="H104" s="492">
        <f ca="1"/>
        <v>0</v>
      </c>
      <c r="I104" s="492">
        <f ca="1"/>
        <v>0</v>
      </c>
      <c r="J104" s="492">
        <f ca="1"/>
        <v>0</v>
      </c>
      <c r="K104" s="508">
        <f ca="1"/>
        <v>0</v>
      </c>
      <c r="L104" s="515" t="str">
        <f t="array" ref="L104:N113" ca="1">+'DA-9'!$K$160:$M$169</f>
        <v>Proposal Step Change</v>
      </c>
      <c r="M104" s="450" t="str">
        <f ca="1"/>
        <v>Refer Opex Workings</v>
      </c>
      <c r="N104" s="450" t="str">
        <f ca="1"/>
        <v>Proposal, October 2014</v>
      </c>
    </row>
    <row r="105" spans="1:14">
      <c r="A105" s="5"/>
      <c r="B105" s="249"/>
      <c r="C105" s="384" t="str">
        <f ca="1"/>
        <v/>
      </c>
      <c r="D105" s="491" t="str">
        <f ca="1"/>
        <v/>
      </c>
      <c r="E105" s="508" t="str">
        <f ca="1"/>
        <v/>
      </c>
      <c r="F105" s="491" t="str">
        <f ca="1"/>
        <v/>
      </c>
      <c r="G105" s="492" t="str">
        <f ca="1"/>
        <v/>
      </c>
      <c r="H105" s="492" t="str">
        <f ca="1"/>
        <v/>
      </c>
      <c r="I105" s="492" t="str">
        <f ca="1"/>
        <v/>
      </c>
      <c r="J105" s="492" t="str">
        <f ca="1"/>
        <v/>
      </c>
      <c r="K105" s="508" t="str">
        <f ca="1"/>
        <v/>
      </c>
      <c r="L105" s="515" t="str">
        <f ca="1"/>
        <v/>
      </c>
      <c r="M105" s="450" t="str">
        <f ca="1"/>
        <v/>
      </c>
      <c r="N105" s="450" t="str">
        <f ca="1"/>
        <v/>
      </c>
    </row>
    <row r="106" spans="1:14">
      <c r="A106" s="5"/>
      <c r="B106" s="249"/>
      <c r="C106" s="384" t="str">
        <f ca="1"/>
        <v/>
      </c>
      <c r="D106" s="491" t="str">
        <f ca="1"/>
        <v/>
      </c>
      <c r="E106" s="508" t="str">
        <f ca="1"/>
        <v/>
      </c>
      <c r="F106" s="491" t="str">
        <f ca="1"/>
        <v/>
      </c>
      <c r="G106" s="492" t="str">
        <f ca="1"/>
        <v/>
      </c>
      <c r="H106" s="492" t="str">
        <f ca="1"/>
        <v/>
      </c>
      <c r="I106" s="492" t="str">
        <f ca="1"/>
        <v/>
      </c>
      <c r="J106" s="492" t="str">
        <f ca="1"/>
        <v/>
      </c>
      <c r="K106" s="508" t="str">
        <f ca="1"/>
        <v/>
      </c>
      <c r="L106" s="515" t="str">
        <f ca="1"/>
        <v/>
      </c>
      <c r="M106" s="450" t="str">
        <f ca="1"/>
        <v/>
      </c>
      <c r="N106" s="450" t="str">
        <f ca="1"/>
        <v/>
      </c>
    </row>
    <row r="107" spans="1:14">
      <c r="A107" s="5"/>
      <c r="B107" s="249"/>
      <c r="C107" s="384" t="str">
        <f ca="1"/>
        <v/>
      </c>
      <c r="D107" s="491" t="str">
        <f ca="1"/>
        <v/>
      </c>
      <c r="E107" s="508" t="str">
        <f ca="1"/>
        <v/>
      </c>
      <c r="F107" s="491" t="str">
        <f ca="1"/>
        <v/>
      </c>
      <c r="G107" s="492" t="str">
        <f ca="1"/>
        <v/>
      </c>
      <c r="H107" s="492" t="str">
        <f ca="1"/>
        <v/>
      </c>
      <c r="I107" s="492" t="str">
        <f ca="1"/>
        <v/>
      </c>
      <c r="J107" s="492" t="str">
        <f ca="1"/>
        <v/>
      </c>
      <c r="K107" s="508" t="str">
        <f ca="1"/>
        <v/>
      </c>
      <c r="L107" s="515" t="str">
        <f ca="1"/>
        <v/>
      </c>
      <c r="M107" s="450" t="str">
        <f ca="1"/>
        <v/>
      </c>
      <c r="N107" s="450" t="str">
        <f ca="1"/>
        <v/>
      </c>
    </row>
    <row r="108" spans="1:14">
      <c r="A108" s="5"/>
      <c r="B108" s="249"/>
      <c r="C108" s="384" t="str">
        <f ca="1"/>
        <v/>
      </c>
      <c r="D108" s="491" t="str">
        <f ca="1"/>
        <v/>
      </c>
      <c r="E108" s="508" t="str">
        <f ca="1"/>
        <v/>
      </c>
      <c r="F108" s="491" t="str">
        <f ca="1"/>
        <v/>
      </c>
      <c r="G108" s="492" t="str">
        <f ca="1"/>
        <v/>
      </c>
      <c r="H108" s="492" t="str">
        <f ca="1"/>
        <v/>
      </c>
      <c r="I108" s="492" t="str">
        <f ca="1"/>
        <v/>
      </c>
      <c r="J108" s="492" t="str">
        <f ca="1"/>
        <v/>
      </c>
      <c r="K108" s="508" t="str">
        <f ca="1"/>
        <v/>
      </c>
      <c r="L108" s="515" t="str">
        <f ca="1"/>
        <v/>
      </c>
      <c r="M108" s="450" t="str">
        <f ca="1"/>
        <v/>
      </c>
      <c r="N108" s="450" t="str">
        <f ca="1"/>
        <v/>
      </c>
    </row>
    <row r="109" spans="1:14">
      <c r="A109" s="5"/>
      <c r="B109" s="249"/>
      <c r="C109" s="384" t="str">
        <f ca="1"/>
        <v/>
      </c>
      <c r="D109" s="491" t="str">
        <f ca="1"/>
        <v/>
      </c>
      <c r="E109" s="508" t="str">
        <f ca="1"/>
        <v/>
      </c>
      <c r="F109" s="491" t="str">
        <f ca="1"/>
        <v/>
      </c>
      <c r="G109" s="492" t="str">
        <f ca="1"/>
        <v/>
      </c>
      <c r="H109" s="492" t="str">
        <f ca="1"/>
        <v/>
      </c>
      <c r="I109" s="492" t="str">
        <f ca="1"/>
        <v/>
      </c>
      <c r="J109" s="492" t="str">
        <f ca="1"/>
        <v/>
      </c>
      <c r="K109" s="508" t="str">
        <f ca="1"/>
        <v/>
      </c>
      <c r="L109" s="515" t="str">
        <f ca="1"/>
        <v/>
      </c>
      <c r="M109" s="450" t="str">
        <f ca="1"/>
        <v/>
      </c>
      <c r="N109" s="450" t="str">
        <f ca="1"/>
        <v/>
      </c>
    </row>
    <row r="110" spans="1:14">
      <c r="A110" s="5"/>
      <c r="B110" s="249"/>
      <c r="C110" s="384" t="str">
        <f ca="1"/>
        <v/>
      </c>
      <c r="D110" s="491" t="str">
        <f ca="1"/>
        <v/>
      </c>
      <c r="E110" s="508" t="str">
        <f ca="1"/>
        <v/>
      </c>
      <c r="F110" s="491" t="str">
        <f ca="1"/>
        <v/>
      </c>
      <c r="G110" s="492" t="str">
        <f ca="1"/>
        <v/>
      </c>
      <c r="H110" s="492" t="str">
        <f ca="1"/>
        <v/>
      </c>
      <c r="I110" s="492" t="str">
        <f ca="1"/>
        <v/>
      </c>
      <c r="J110" s="492" t="str">
        <f ca="1"/>
        <v/>
      </c>
      <c r="K110" s="508" t="str">
        <f ca="1"/>
        <v/>
      </c>
      <c r="L110" s="515" t="str">
        <f ca="1"/>
        <v/>
      </c>
      <c r="M110" s="450" t="str">
        <f ca="1"/>
        <v/>
      </c>
      <c r="N110" s="450" t="str">
        <f ca="1"/>
        <v/>
      </c>
    </row>
    <row r="111" spans="1:14">
      <c r="A111" s="5"/>
      <c r="B111" s="249"/>
      <c r="C111" s="384" t="str">
        <f ca="1"/>
        <v/>
      </c>
      <c r="D111" s="491" t="str">
        <f ca="1"/>
        <v/>
      </c>
      <c r="E111" s="508" t="str">
        <f ca="1"/>
        <v/>
      </c>
      <c r="F111" s="491" t="str">
        <f ca="1"/>
        <v/>
      </c>
      <c r="G111" s="492" t="str">
        <f ca="1"/>
        <v/>
      </c>
      <c r="H111" s="492" t="str">
        <f ca="1"/>
        <v/>
      </c>
      <c r="I111" s="492" t="str">
        <f ca="1"/>
        <v/>
      </c>
      <c r="J111" s="492" t="str">
        <f ca="1"/>
        <v/>
      </c>
      <c r="K111" s="508" t="str">
        <f ca="1"/>
        <v/>
      </c>
      <c r="L111" s="515" t="str">
        <f ca="1"/>
        <v/>
      </c>
      <c r="M111" s="450" t="str">
        <f ca="1"/>
        <v/>
      </c>
      <c r="N111" s="450" t="str">
        <f ca="1"/>
        <v/>
      </c>
    </row>
    <row r="112" spans="1:14">
      <c r="A112" s="5"/>
      <c r="B112" s="249"/>
      <c r="C112" s="384" t="str">
        <f ca="1"/>
        <v/>
      </c>
      <c r="D112" s="491" t="str">
        <f ca="1"/>
        <v/>
      </c>
      <c r="E112" s="508" t="str">
        <f ca="1"/>
        <v/>
      </c>
      <c r="F112" s="491" t="str">
        <f ca="1"/>
        <v/>
      </c>
      <c r="G112" s="492" t="str">
        <f ca="1"/>
        <v/>
      </c>
      <c r="H112" s="492" t="str">
        <f ca="1"/>
        <v/>
      </c>
      <c r="I112" s="492" t="str">
        <f ca="1"/>
        <v/>
      </c>
      <c r="J112" s="492" t="str">
        <f ca="1"/>
        <v/>
      </c>
      <c r="K112" s="508" t="str">
        <f ca="1"/>
        <v/>
      </c>
      <c r="L112" s="515" t="str">
        <f ca="1"/>
        <v/>
      </c>
      <c r="M112" s="450" t="str">
        <f ca="1"/>
        <v/>
      </c>
      <c r="N112" s="450" t="str">
        <f ca="1"/>
        <v/>
      </c>
    </row>
    <row r="113" spans="1:14">
      <c r="A113" s="5"/>
      <c r="B113" s="249"/>
      <c r="C113" s="384" t="str">
        <f ca="1"/>
        <v/>
      </c>
      <c r="D113" s="491" t="str">
        <f ca="1"/>
        <v/>
      </c>
      <c r="E113" s="508" t="str">
        <f ca="1"/>
        <v/>
      </c>
      <c r="F113" s="491" t="str">
        <f ca="1"/>
        <v/>
      </c>
      <c r="G113" s="492" t="str">
        <f ca="1"/>
        <v/>
      </c>
      <c r="H113" s="492" t="str">
        <f ca="1"/>
        <v/>
      </c>
      <c r="I113" s="492" t="str">
        <f ca="1"/>
        <v/>
      </c>
      <c r="J113" s="492" t="str">
        <f ca="1"/>
        <v/>
      </c>
      <c r="K113" s="508" t="str">
        <f ca="1"/>
        <v/>
      </c>
      <c r="L113" s="515" t="str">
        <f ca="1"/>
        <v/>
      </c>
      <c r="M113" s="450" t="str">
        <f ca="1"/>
        <v/>
      </c>
      <c r="N113" s="450" t="str">
        <f ca="1"/>
        <v/>
      </c>
    </row>
    <row r="114" spans="1:14">
      <c r="A114" s="5"/>
      <c r="B114" s="249"/>
      <c r="C114" s="12"/>
      <c r="D114" s="491"/>
      <c r="E114" s="508"/>
      <c r="F114" s="491"/>
      <c r="G114" s="492"/>
      <c r="H114" s="492"/>
      <c r="I114" s="492"/>
      <c r="J114" s="492"/>
      <c r="K114" s="508"/>
      <c r="L114" s="515"/>
      <c r="M114" s="450"/>
      <c r="N114" s="450"/>
    </row>
    <row r="115" spans="1:14">
      <c r="A115" s="5"/>
      <c r="B115" s="249" t="str">
        <f ca="1">+'I-4 History'!B88</f>
        <v>DA-10</v>
      </c>
      <c r="C115" s="14" t="str">
        <f ca="1">+'I-4 History'!C88</f>
        <v>Regulatory Compliance</v>
      </c>
      <c r="D115" s="491"/>
      <c r="E115" s="508"/>
      <c r="F115" s="491"/>
      <c r="G115" s="492"/>
      <c r="H115" s="492"/>
      <c r="I115" s="492"/>
      <c r="J115" s="492"/>
      <c r="K115" s="508"/>
      <c r="L115" s="515"/>
      <c r="M115" s="450"/>
      <c r="N115" s="450"/>
    </row>
    <row r="116" spans="1:14">
      <c r="A116" s="5"/>
      <c r="B116" s="249"/>
      <c r="C116" s="384" t="str">
        <f t="array" ref="C116:K125" ca="1">+'DA-10'!$A$160:$I$169</f>
        <v>Step Change</v>
      </c>
      <c r="D116" s="491">
        <f ca="1"/>
        <v>0</v>
      </c>
      <c r="E116" s="508">
        <f ca="1"/>
        <v>0</v>
      </c>
      <c r="F116" s="491">
        <f ca="1"/>
        <v>0</v>
      </c>
      <c r="G116" s="492">
        <f ca="1"/>
        <v>0</v>
      </c>
      <c r="H116" s="492">
        <f ca="1"/>
        <v>0</v>
      </c>
      <c r="I116" s="492">
        <f ca="1"/>
        <v>0</v>
      </c>
      <c r="J116" s="492">
        <f ca="1"/>
        <v>0</v>
      </c>
      <c r="K116" s="508">
        <f ca="1"/>
        <v>0</v>
      </c>
      <c r="L116" s="515" t="str">
        <f t="array" ref="L116:N125" ca="1">+'DA-10'!$K$160:$M$169</f>
        <v>Proposal Step Change</v>
      </c>
      <c r="M116" s="450" t="str">
        <f ca="1"/>
        <v>Refer Opex Workings</v>
      </c>
      <c r="N116" s="450" t="str">
        <f ca="1"/>
        <v>Proposal, October 2014</v>
      </c>
    </row>
    <row r="117" spans="1:14">
      <c r="A117" s="5"/>
      <c r="B117" s="249"/>
      <c r="C117" s="384" t="str">
        <f ca="1"/>
        <v/>
      </c>
      <c r="D117" s="491" t="str">
        <f ca="1"/>
        <v/>
      </c>
      <c r="E117" s="508" t="str">
        <f ca="1"/>
        <v/>
      </c>
      <c r="F117" s="491" t="str">
        <f ca="1"/>
        <v/>
      </c>
      <c r="G117" s="492" t="str">
        <f ca="1"/>
        <v/>
      </c>
      <c r="H117" s="492" t="str">
        <f ca="1"/>
        <v/>
      </c>
      <c r="I117" s="492" t="str">
        <f ca="1"/>
        <v/>
      </c>
      <c r="J117" s="492" t="str">
        <f ca="1"/>
        <v/>
      </c>
      <c r="K117" s="508" t="str">
        <f ca="1"/>
        <v/>
      </c>
      <c r="L117" s="515" t="str">
        <f ca="1"/>
        <v/>
      </c>
      <c r="M117" s="450" t="str">
        <f ca="1"/>
        <v/>
      </c>
      <c r="N117" s="450" t="str">
        <f ca="1"/>
        <v/>
      </c>
    </row>
    <row r="118" spans="1:14">
      <c r="A118" s="5"/>
      <c r="B118" s="249"/>
      <c r="C118" s="384" t="str">
        <f ca="1"/>
        <v/>
      </c>
      <c r="D118" s="491" t="str">
        <f ca="1"/>
        <v/>
      </c>
      <c r="E118" s="508" t="str">
        <f ca="1"/>
        <v/>
      </c>
      <c r="F118" s="491" t="str">
        <f ca="1"/>
        <v/>
      </c>
      <c r="G118" s="492" t="str">
        <f ca="1"/>
        <v/>
      </c>
      <c r="H118" s="492" t="str">
        <f ca="1"/>
        <v/>
      </c>
      <c r="I118" s="492" t="str">
        <f ca="1"/>
        <v/>
      </c>
      <c r="J118" s="492" t="str">
        <f ca="1"/>
        <v/>
      </c>
      <c r="K118" s="508" t="str">
        <f ca="1"/>
        <v/>
      </c>
      <c r="L118" s="515" t="str">
        <f ca="1"/>
        <v/>
      </c>
      <c r="M118" s="450" t="str">
        <f ca="1"/>
        <v/>
      </c>
      <c r="N118" s="450" t="str">
        <f ca="1"/>
        <v/>
      </c>
    </row>
    <row r="119" spans="1:14">
      <c r="A119" s="5"/>
      <c r="B119" s="249"/>
      <c r="C119" s="384" t="str">
        <f ca="1"/>
        <v/>
      </c>
      <c r="D119" s="491" t="str">
        <f ca="1"/>
        <v/>
      </c>
      <c r="E119" s="508" t="str">
        <f ca="1"/>
        <v/>
      </c>
      <c r="F119" s="491" t="str">
        <f ca="1"/>
        <v/>
      </c>
      <c r="G119" s="492" t="str">
        <f ca="1"/>
        <v/>
      </c>
      <c r="H119" s="492" t="str">
        <f ca="1"/>
        <v/>
      </c>
      <c r="I119" s="492" t="str">
        <f ca="1"/>
        <v/>
      </c>
      <c r="J119" s="492" t="str">
        <f ca="1"/>
        <v/>
      </c>
      <c r="K119" s="508" t="str">
        <f ca="1"/>
        <v/>
      </c>
      <c r="L119" s="515" t="str">
        <f ca="1"/>
        <v/>
      </c>
      <c r="M119" s="450" t="str">
        <f ca="1"/>
        <v/>
      </c>
      <c r="N119" s="450" t="str">
        <f ca="1"/>
        <v/>
      </c>
    </row>
    <row r="120" spans="1:14">
      <c r="A120" s="5"/>
      <c r="B120" s="249"/>
      <c r="C120" s="384" t="str">
        <f ca="1"/>
        <v/>
      </c>
      <c r="D120" s="491" t="str">
        <f ca="1"/>
        <v/>
      </c>
      <c r="E120" s="508" t="str">
        <f ca="1"/>
        <v/>
      </c>
      <c r="F120" s="491" t="str">
        <f ca="1"/>
        <v/>
      </c>
      <c r="G120" s="492" t="str">
        <f ca="1"/>
        <v/>
      </c>
      <c r="H120" s="492" t="str">
        <f ca="1"/>
        <v/>
      </c>
      <c r="I120" s="492" t="str">
        <f ca="1"/>
        <v/>
      </c>
      <c r="J120" s="492" t="str">
        <f ca="1"/>
        <v/>
      </c>
      <c r="K120" s="508" t="str">
        <f ca="1"/>
        <v/>
      </c>
      <c r="L120" s="515" t="str">
        <f ca="1"/>
        <v/>
      </c>
      <c r="M120" s="450" t="str">
        <f ca="1"/>
        <v/>
      </c>
      <c r="N120" s="450" t="str">
        <f ca="1"/>
        <v/>
      </c>
    </row>
    <row r="121" spans="1:14">
      <c r="A121" s="5"/>
      <c r="B121" s="249"/>
      <c r="C121" s="384" t="str">
        <f ca="1"/>
        <v/>
      </c>
      <c r="D121" s="491" t="str">
        <f ca="1"/>
        <v/>
      </c>
      <c r="E121" s="508" t="str">
        <f ca="1"/>
        <v/>
      </c>
      <c r="F121" s="491" t="str">
        <f ca="1"/>
        <v/>
      </c>
      <c r="G121" s="492" t="str">
        <f ca="1"/>
        <v/>
      </c>
      <c r="H121" s="492" t="str">
        <f ca="1"/>
        <v/>
      </c>
      <c r="I121" s="492" t="str">
        <f ca="1"/>
        <v/>
      </c>
      <c r="J121" s="492" t="str">
        <f ca="1"/>
        <v/>
      </c>
      <c r="K121" s="508" t="str">
        <f ca="1"/>
        <v/>
      </c>
      <c r="L121" s="515" t="str">
        <f ca="1"/>
        <v/>
      </c>
      <c r="M121" s="450" t="str">
        <f ca="1"/>
        <v/>
      </c>
      <c r="N121" s="450" t="str">
        <f ca="1"/>
        <v/>
      </c>
    </row>
    <row r="122" spans="1:14">
      <c r="A122" s="5"/>
      <c r="B122" s="249"/>
      <c r="C122" s="384" t="str">
        <f ca="1"/>
        <v/>
      </c>
      <c r="D122" s="491" t="str">
        <f ca="1"/>
        <v/>
      </c>
      <c r="E122" s="508" t="str">
        <f ca="1"/>
        <v/>
      </c>
      <c r="F122" s="491" t="str">
        <f ca="1"/>
        <v/>
      </c>
      <c r="G122" s="492" t="str">
        <f ca="1"/>
        <v/>
      </c>
      <c r="H122" s="492" t="str">
        <f ca="1"/>
        <v/>
      </c>
      <c r="I122" s="492" t="str">
        <f ca="1"/>
        <v/>
      </c>
      <c r="J122" s="492" t="str">
        <f ca="1"/>
        <v/>
      </c>
      <c r="K122" s="508" t="str">
        <f ca="1"/>
        <v/>
      </c>
      <c r="L122" s="515" t="str">
        <f ca="1"/>
        <v/>
      </c>
      <c r="M122" s="450" t="str">
        <f ca="1"/>
        <v/>
      </c>
      <c r="N122" s="450" t="str">
        <f ca="1"/>
        <v/>
      </c>
    </row>
    <row r="123" spans="1:14">
      <c r="A123" s="5"/>
      <c r="B123" s="249"/>
      <c r="C123" s="384" t="str">
        <f ca="1"/>
        <v/>
      </c>
      <c r="D123" s="491" t="str">
        <f ca="1"/>
        <v/>
      </c>
      <c r="E123" s="508" t="str">
        <f ca="1"/>
        <v/>
      </c>
      <c r="F123" s="491" t="str">
        <f ca="1"/>
        <v/>
      </c>
      <c r="G123" s="492" t="str">
        <f ca="1"/>
        <v/>
      </c>
      <c r="H123" s="492" t="str">
        <f ca="1"/>
        <v/>
      </c>
      <c r="I123" s="492" t="str">
        <f ca="1"/>
        <v/>
      </c>
      <c r="J123" s="492" t="str">
        <f ca="1"/>
        <v/>
      </c>
      <c r="K123" s="508" t="str">
        <f ca="1"/>
        <v/>
      </c>
      <c r="L123" s="515" t="str">
        <f ca="1"/>
        <v/>
      </c>
      <c r="M123" s="450" t="str">
        <f ca="1"/>
        <v/>
      </c>
      <c r="N123" s="450" t="str">
        <f ca="1"/>
        <v/>
      </c>
    </row>
    <row r="124" spans="1:14">
      <c r="A124" s="5"/>
      <c r="B124" s="249"/>
      <c r="C124" s="384" t="str">
        <f ca="1"/>
        <v/>
      </c>
      <c r="D124" s="491" t="str">
        <f ca="1"/>
        <v/>
      </c>
      <c r="E124" s="508" t="str">
        <f ca="1"/>
        <v/>
      </c>
      <c r="F124" s="491" t="str">
        <f ca="1"/>
        <v/>
      </c>
      <c r="G124" s="492" t="str">
        <f ca="1"/>
        <v/>
      </c>
      <c r="H124" s="492" t="str">
        <f ca="1"/>
        <v/>
      </c>
      <c r="I124" s="492" t="str">
        <f ca="1"/>
        <v/>
      </c>
      <c r="J124" s="492" t="str">
        <f ca="1"/>
        <v/>
      </c>
      <c r="K124" s="508" t="str">
        <f ca="1"/>
        <v/>
      </c>
      <c r="L124" s="515" t="str">
        <f ca="1"/>
        <v/>
      </c>
      <c r="M124" s="450" t="str">
        <f ca="1"/>
        <v/>
      </c>
      <c r="N124" s="450" t="str">
        <f ca="1"/>
        <v/>
      </c>
    </row>
    <row r="125" spans="1:14">
      <c r="A125" s="5"/>
      <c r="B125" s="249"/>
      <c r="C125" s="384" t="str">
        <f ca="1"/>
        <v/>
      </c>
      <c r="D125" s="491" t="str">
        <f ca="1"/>
        <v/>
      </c>
      <c r="E125" s="508" t="str">
        <f ca="1"/>
        <v/>
      </c>
      <c r="F125" s="491" t="str">
        <f ca="1"/>
        <v/>
      </c>
      <c r="G125" s="492" t="str">
        <f ca="1"/>
        <v/>
      </c>
      <c r="H125" s="492" t="str">
        <f ca="1"/>
        <v/>
      </c>
      <c r="I125" s="492" t="str">
        <f ca="1"/>
        <v/>
      </c>
      <c r="J125" s="492" t="str">
        <f ca="1"/>
        <v/>
      </c>
      <c r="K125" s="508" t="str">
        <f ca="1"/>
        <v/>
      </c>
      <c r="L125" s="515" t="str">
        <f ca="1"/>
        <v/>
      </c>
      <c r="M125" s="450" t="str">
        <f ca="1"/>
        <v/>
      </c>
      <c r="N125" s="450" t="str">
        <f ca="1"/>
        <v/>
      </c>
    </row>
    <row r="126" spans="1:14">
      <c r="A126" s="5"/>
      <c r="B126" s="249"/>
      <c r="C126" s="12"/>
      <c r="D126" s="491"/>
      <c r="E126" s="508"/>
      <c r="F126" s="491"/>
      <c r="G126" s="492"/>
      <c r="H126" s="492"/>
      <c r="I126" s="492"/>
      <c r="J126" s="492"/>
      <c r="K126" s="508"/>
      <c r="L126" s="515"/>
      <c r="M126" s="450"/>
      <c r="N126" s="450"/>
    </row>
    <row r="127" spans="1:14" ht="13.5" thickBot="1">
      <c r="A127" s="5"/>
      <c r="B127" s="250"/>
      <c r="C127" s="269" t="s">
        <v>270</v>
      </c>
      <c r="D127" s="486">
        <f t="shared" ref="D127:K127" ca="1" si="0">SUBTOTAL(9,D8:D125)</f>
        <v>0</v>
      </c>
      <c r="E127" s="511">
        <f t="shared" ca="1" si="0"/>
        <v>0</v>
      </c>
      <c r="F127" s="486">
        <f t="shared" ca="1" si="0"/>
        <v>6.2879041559697882E-2</v>
      </c>
      <c r="G127" s="486">
        <f t="shared" ca="1" si="0"/>
        <v>-0.32</v>
      </c>
      <c r="H127" s="486">
        <f t="shared" ca="1" si="0"/>
        <v>6.5719999999999992</v>
      </c>
      <c r="I127" s="486">
        <f t="shared" ca="1" si="0"/>
        <v>1.8249999999999997</v>
      </c>
      <c r="J127" s="486">
        <f t="shared" ca="1" si="0"/>
        <v>1.8250000000000002</v>
      </c>
      <c r="K127" s="511">
        <f t="shared" ca="1" si="0"/>
        <v>1.8260000000000001</v>
      </c>
      <c r="L127" s="515"/>
      <c r="M127" s="450"/>
      <c r="N127" s="450"/>
    </row>
    <row r="128" spans="1:14" ht="18">
      <c r="A128" s="5"/>
      <c r="B128" s="252"/>
      <c r="C128" s="248" t="s">
        <v>168</v>
      </c>
      <c r="D128" s="329"/>
      <c r="E128" s="512"/>
      <c r="F128" s="329"/>
      <c r="G128" s="329"/>
      <c r="H128" s="329"/>
      <c r="I128" s="329"/>
      <c r="J128" s="329"/>
      <c r="K128" s="512"/>
      <c r="L128" s="515"/>
      <c r="M128" s="450"/>
      <c r="N128" s="450"/>
    </row>
    <row r="129" spans="1:14">
      <c r="A129" s="5"/>
      <c r="B129" s="249" t="str">
        <f ca="1">+'I-4 History'!B97</f>
        <v>DA-11</v>
      </c>
      <c r="C129" s="14" t="str">
        <f ca="1">+'I-4 History'!C97</f>
        <v>Outage Management System</v>
      </c>
      <c r="D129" s="328"/>
      <c r="E129" s="509"/>
      <c r="F129" s="328"/>
      <c r="G129" s="328"/>
      <c r="H129" s="328"/>
      <c r="I129" s="328"/>
      <c r="J129" s="328"/>
      <c r="K129" s="509"/>
      <c r="L129" s="515"/>
      <c r="M129" s="450"/>
      <c r="N129" s="450"/>
    </row>
    <row r="130" spans="1:14">
      <c r="A130" s="5"/>
      <c r="B130" s="249"/>
      <c r="C130" s="384" t="str">
        <f t="array" ref="C130:K139" ca="1">+'DA-11'!$A$160:$I$169</f>
        <v>Step Change</v>
      </c>
      <c r="D130" s="491">
        <f ca="1"/>
        <v>0</v>
      </c>
      <c r="E130" s="508">
        <f ca="1"/>
        <v>0</v>
      </c>
      <c r="F130" s="491">
        <f ca="1"/>
        <v>0</v>
      </c>
      <c r="G130" s="492">
        <f ca="1"/>
        <v>0</v>
      </c>
      <c r="H130" s="492">
        <f ca="1"/>
        <v>0</v>
      </c>
      <c r="I130" s="492">
        <f ca="1"/>
        <v>0</v>
      </c>
      <c r="J130" s="492">
        <f ca="1"/>
        <v>0</v>
      </c>
      <c r="K130" s="508">
        <f ca="1"/>
        <v>0</v>
      </c>
      <c r="L130" s="515" t="str">
        <f t="array" ref="L130:N139" ca="1">+'DA-11'!$K$160:$M$169</f>
        <v>Proposal Step Change</v>
      </c>
      <c r="M130" s="450" t="str">
        <f ca="1"/>
        <v>Refer Opex Workings</v>
      </c>
      <c r="N130" s="450" t="str">
        <f ca="1"/>
        <v>Proposal, October 2014</v>
      </c>
    </row>
    <row r="131" spans="1:14">
      <c r="A131" s="5"/>
      <c r="B131" s="249"/>
      <c r="C131" s="384" t="str">
        <f ca="1"/>
        <v/>
      </c>
      <c r="D131" s="491" t="str">
        <f ca="1"/>
        <v/>
      </c>
      <c r="E131" s="508" t="str">
        <f ca="1"/>
        <v/>
      </c>
      <c r="F131" s="491" t="str">
        <f ca="1"/>
        <v/>
      </c>
      <c r="G131" s="492" t="str">
        <f ca="1"/>
        <v/>
      </c>
      <c r="H131" s="492" t="str">
        <f ca="1"/>
        <v/>
      </c>
      <c r="I131" s="492" t="str">
        <f ca="1"/>
        <v/>
      </c>
      <c r="J131" s="492" t="str">
        <f ca="1"/>
        <v/>
      </c>
      <c r="K131" s="508" t="str">
        <f ca="1"/>
        <v/>
      </c>
      <c r="L131" s="515" t="str">
        <f ca="1"/>
        <v/>
      </c>
      <c r="M131" s="450" t="str">
        <f ca="1"/>
        <v/>
      </c>
      <c r="N131" s="450" t="str">
        <f ca="1"/>
        <v/>
      </c>
    </row>
    <row r="132" spans="1:14">
      <c r="A132" s="5"/>
      <c r="B132" s="249"/>
      <c r="C132" s="384" t="str">
        <f ca="1"/>
        <v/>
      </c>
      <c r="D132" s="491" t="str">
        <f ca="1"/>
        <v/>
      </c>
      <c r="E132" s="508" t="str">
        <f ca="1"/>
        <v/>
      </c>
      <c r="F132" s="491" t="str">
        <f ca="1"/>
        <v/>
      </c>
      <c r="G132" s="492" t="str">
        <f ca="1"/>
        <v/>
      </c>
      <c r="H132" s="492" t="str">
        <f ca="1"/>
        <v/>
      </c>
      <c r="I132" s="492" t="str">
        <f ca="1"/>
        <v/>
      </c>
      <c r="J132" s="492" t="str">
        <f ca="1"/>
        <v/>
      </c>
      <c r="K132" s="508" t="str">
        <f ca="1"/>
        <v/>
      </c>
      <c r="L132" s="515" t="str">
        <f ca="1"/>
        <v/>
      </c>
      <c r="M132" s="450" t="str">
        <f ca="1"/>
        <v/>
      </c>
      <c r="N132" s="450" t="str">
        <f ca="1"/>
        <v/>
      </c>
    </row>
    <row r="133" spans="1:14">
      <c r="A133" s="5"/>
      <c r="B133" s="249"/>
      <c r="C133" s="384" t="str">
        <f ca="1"/>
        <v/>
      </c>
      <c r="D133" s="491" t="str">
        <f ca="1"/>
        <v/>
      </c>
      <c r="E133" s="508" t="str">
        <f ca="1"/>
        <v/>
      </c>
      <c r="F133" s="491" t="str">
        <f ca="1"/>
        <v/>
      </c>
      <c r="G133" s="492" t="str">
        <f ca="1"/>
        <v/>
      </c>
      <c r="H133" s="492" t="str">
        <f ca="1"/>
        <v/>
      </c>
      <c r="I133" s="492" t="str">
        <f ca="1"/>
        <v/>
      </c>
      <c r="J133" s="492" t="str">
        <f ca="1"/>
        <v/>
      </c>
      <c r="K133" s="508" t="str">
        <f ca="1"/>
        <v/>
      </c>
      <c r="L133" s="515" t="str">
        <f ca="1"/>
        <v/>
      </c>
      <c r="M133" s="450" t="str">
        <f ca="1"/>
        <v/>
      </c>
      <c r="N133" s="450" t="str">
        <f ca="1"/>
        <v/>
      </c>
    </row>
    <row r="134" spans="1:14">
      <c r="A134" s="5"/>
      <c r="B134" s="249"/>
      <c r="C134" s="384" t="str">
        <f ca="1"/>
        <v/>
      </c>
      <c r="D134" s="491" t="str">
        <f ca="1"/>
        <v/>
      </c>
      <c r="E134" s="508" t="str">
        <f ca="1"/>
        <v/>
      </c>
      <c r="F134" s="491" t="str">
        <f ca="1"/>
        <v/>
      </c>
      <c r="G134" s="492" t="str">
        <f ca="1"/>
        <v/>
      </c>
      <c r="H134" s="492" t="str">
        <f ca="1"/>
        <v/>
      </c>
      <c r="I134" s="492" t="str">
        <f ca="1"/>
        <v/>
      </c>
      <c r="J134" s="492" t="str">
        <f ca="1"/>
        <v/>
      </c>
      <c r="K134" s="508" t="str">
        <f ca="1"/>
        <v/>
      </c>
      <c r="L134" s="515" t="str">
        <f ca="1"/>
        <v/>
      </c>
      <c r="M134" s="450" t="str">
        <f ca="1"/>
        <v/>
      </c>
      <c r="N134" s="450" t="str">
        <f ca="1"/>
        <v/>
      </c>
    </row>
    <row r="135" spans="1:14">
      <c r="A135" s="5"/>
      <c r="B135" s="249"/>
      <c r="C135" s="384" t="str">
        <f ca="1"/>
        <v/>
      </c>
      <c r="D135" s="491" t="str">
        <f ca="1"/>
        <v/>
      </c>
      <c r="E135" s="508" t="str">
        <f ca="1"/>
        <v/>
      </c>
      <c r="F135" s="491" t="str">
        <f ca="1"/>
        <v/>
      </c>
      <c r="G135" s="492" t="str">
        <f ca="1"/>
        <v/>
      </c>
      <c r="H135" s="492" t="str">
        <f ca="1"/>
        <v/>
      </c>
      <c r="I135" s="492" t="str">
        <f ca="1"/>
        <v/>
      </c>
      <c r="J135" s="492" t="str">
        <f ca="1"/>
        <v/>
      </c>
      <c r="K135" s="508" t="str">
        <f ca="1"/>
        <v/>
      </c>
      <c r="L135" s="515" t="str">
        <f ca="1"/>
        <v/>
      </c>
      <c r="M135" s="450" t="str">
        <f ca="1"/>
        <v/>
      </c>
      <c r="N135" s="450" t="str">
        <f ca="1"/>
        <v/>
      </c>
    </row>
    <row r="136" spans="1:14">
      <c r="B136" s="249"/>
      <c r="C136" s="384" t="str">
        <f ca="1"/>
        <v/>
      </c>
      <c r="D136" s="491" t="str">
        <f ca="1"/>
        <v/>
      </c>
      <c r="E136" s="508" t="str">
        <f ca="1"/>
        <v/>
      </c>
      <c r="F136" s="491" t="str">
        <f ca="1"/>
        <v/>
      </c>
      <c r="G136" s="492" t="str">
        <f ca="1"/>
        <v/>
      </c>
      <c r="H136" s="492" t="str">
        <f ca="1"/>
        <v/>
      </c>
      <c r="I136" s="492" t="str">
        <f ca="1"/>
        <v/>
      </c>
      <c r="J136" s="492" t="str">
        <f ca="1"/>
        <v/>
      </c>
      <c r="K136" s="508" t="str">
        <f ca="1"/>
        <v/>
      </c>
      <c r="L136" s="515" t="str">
        <f ca="1"/>
        <v/>
      </c>
      <c r="M136" s="450" t="str">
        <f ca="1"/>
        <v/>
      </c>
      <c r="N136" s="450" t="str">
        <f ca="1"/>
        <v/>
      </c>
    </row>
    <row r="137" spans="1:14">
      <c r="B137" s="249"/>
      <c r="C137" s="384" t="str">
        <f ca="1"/>
        <v/>
      </c>
      <c r="D137" s="491" t="str">
        <f ca="1"/>
        <v/>
      </c>
      <c r="E137" s="508" t="str">
        <f ca="1"/>
        <v/>
      </c>
      <c r="F137" s="491" t="str">
        <f ca="1"/>
        <v/>
      </c>
      <c r="G137" s="492" t="str">
        <f ca="1"/>
        <v/>
      </c>
      <c r="H137" s="492" t="str">
        <f ca="1"/>
        <v/>
      </c>
      <c r="I137" s="492" t="str">
        <f ca="1"/>
        <v/>
      </c>
      <c r="J137" s="492" t="str">
        <f ca="1"/>
        <v/>
      </c>
      <c r="K137" s="508" t="str">
        <f ca="1"/>
        <v/>
      </c>
      <c r="L137" s="515" t="str">
        <f ca="1"/>
        <v/>
      </c>
      <c r="M137" s="450" t="str">
        <f ca="1"/>
        <v/>
      </c>
      <c r="N137" s="450" t="str">
        <f ca="1"/>
        <v/>
      </c>
    </row>
    <row r="138" spans="1:14">
      <c r="B138" s="249"/>
      <c r="C138" s="384" t="str">
        <f ca="1"/>
        <v/>
      </c>
      <c r="D138" s="491" t="str">
        <f ca="1"/>
        <v/>
      </c>
      <c r="E138" s="508" t="str">
        <f ca="1"/>
        <v/>
      </c>
      <c r="F138" s="491" t="str">
        <f ca="1"/>
        <v/>
      </c>
      <c r="G138" s="492" t="str">
        <f ca="1"/>
        <v/>
      </c>
      <c r="H138" s="492" t="str">
        <f ca="1"/>
        <v/>
      </c>
      <c r="I138" s="492" t="str">
        <f ca="1"/>
        <v/>
      </c>
      <c r="J138" s="492" t="str">
        <f ca="1"/>
        <v/>
      </c>
      <c r="K138" s="508" t="str">
        <f ca="1"/>
        <v/>
      </c>
      <c r="L138" s="515" t="str">
        <f ca="1"/>
        <v/>
      </c>
      <c r="M138" s="450" t="str">
        <f ca="1"/>
        <v/>
      </c>
      <c r="N138" s="450" t="str">
        <f ca="1"/>
        <v/>
      </c>
    </row>
    <row r="139" spans="1:14">
      <c r="B139" s="249"/>
      <c r="C139" s="384" t="str">
        <f ca="1"/>
        <v/>
      </c>
      <c r="D139" s="491" t="str">
        <f ca="1"/>
        <v/>
      </c>
      <c r="E139" s="508" t="str">
        <f ca="1"/>
        <v/>
      </c>
      <c r="F139" s="491" t="str">
        <f ca="1"/>
        <v/>
      </c>
      <c r="G139" s="492" t="str">
        <f ca="1"/>
        <v/>
      </c>
      <c r="H139" s="492" t="str">
        <f ca="1"/>
        <v/>
      </c>
      <c r="I139" s="492" t="str">
        <f ca="1"/>
        <v/>
      </c>
      <c r="J139" s="492" t="str">
        <f ca="1"/>
        <v/>
      </c>
      <c r="K139" s="508" t="str">
        <f ca="1"/>
        <v/>
      </c>
      <c r="L139" s="515" t="str">
        <f ca="1"/>
        <v/>
      </c>
      <c r="M139" s="450" t="str">
        <f ca="1"/>
        <v/>
      </c>
      <c r="N139" s="450" t="str">
        <f ca="1"/>
        <v/>
      </c>
    </row>
    <row r="140" spans="1:14">
      <c r="B140" s="249"/>
      <c r="C140" s="12"/>
      <c r="D140" s="491"/>
      <c r="E140" s="508"/>
      <c r="F140" s="491"/>
      <c r="G140" s="492"/>
      <c r="H140" s="492"/>
      <c r="I140" s="492"/>
      <c r="J140" s="492"/>
      <c r="K140" s="508"/>
      <c r="L140" s="515"/>
      <c r="M140" s="450"/>
      <c r="N140" s="450"/>
    </row>
    <row r="141" spans="1:14">
      <c r="A141" s="5"/>
      <c r="B141" s="249" t="str">
        <f ca="1">+'I-4 History'!B106</f>
        <v>DA-12</v>
      </c>
      <c r="C141" s="14" t="str">
        <f ca="1">+'I-4 History'!C106</f>
        <v>Asset Assessment</v>
      </c>
      <c r="D141" s="491"/>
      <c r="E141" s="508"/>
      <c r="F141" s="491"/>
      <c r="G141" s="492"/>
      <c r="H141" s="492"/>
      <c r="I141" s="492"/>
      <c r="J141" s="492"/>
      <c r="K141" s="508"/>
      <c r="L141" s="515"/>
      <c r="M141" s="450"/>
      <c r="N141" s="450"/>
    </row>
    <row r="142" spans="1:14">
      <c r="A142" s="5"/>
      <c r="B142" s="249"/>
      <c r="C142" s="381" t="str">
        <f t="array" ref="C142:K151" ca="1">+'DA-12'!$A$160:$I$169</f>
        <v>Step Change</v>
      </c>
      <c r="D142" s="491">
        <f ca="1"/>
        <v>0</v>
      </c>
      <c r="E142" s="508">
        <f ca="1"/>
        <v>0</v>
      </c>
      <c r="F142" s="491">
        <f ca="1"/>
        <v>2.1539999999999999</v>
      </c>
      <c r="G142" s="492">
        <f ca="1"/>
        <v>7.3710000000000004</v>
      </c>
      <c r="H142" s="492">
        <f ca="1"/>
        <v>7.6410000000000009</v>
      </c>
      <c r="I142" s="492">
        <f ca="1"/>
        <v>7.7110000000000003</v>
      </c>
      <c r="J142" s="492">
        <f ca="1"/>
        <v>7.7420000000000009</v>
      </c>
      <c r="K142" s="508">
        <f ca="1"/>
        <v>5.9310000000000009</v>
      </c>
      <c r="L142" s="515" t="str">
        <f t="array" ref="L142:N151" ca="1">+'DA-12'!$K$160:$M$169</f>
        <v>Proposal Step Change</v>
      </c>
      <c r="M142" s="450" t="str">
        <f ca="1"/>
        <v>Refer Opex Workings</v>
      </c>
      <c r="N142" s="450" t="str">
        <f ca="1"/>
        <v>Proposal, October 2014</v>
      </c>
    </row>
    <row r="143" spans="1:14">
      <c r="A143" s="5"/>
      <c r="B143" s="249"/>
      <c r="C143" s="384" t="str">
        <f ca="1"/>
        <v/>
      </c>
      <c r="D143" s="491" t="str">
        <f ca="1"/>
        <v/>
      </c>
      <c r="E143" s="508" t="str">
        <f ca="1"/>
        <v/>
      </c>
      <c r="F143" s="491" t="str">
        <f ca="1"/>
        <v/>
      </c>
      <c r="G143" s="492" t="str">
        <f ca="1"/>
        <v/>
      </c>
      <c r="H143" s="492" t="str">
        <f ca="1"/>
        <v/>
      </c>
      <c r="I143" s="492" t="str">
        <f ca="1"/>
        <v/>
      </c>
      <c r="J143" s="492" t="str">
        <f ca="1"/>
        <v/>
      </c>
      <c r="K143" s="508" t="str">
        <f ca="1"/>
        <v/>
      </c>
      <c r="L143" s="515" t="str">
        <f ca="1"/>
        <v/>
      </c>
      <c r="M143" s="450" t="str">
        <f ca="1"/>
        <v/>
      </c>
      <c r="N143" s="450" t="str">
        <f ca="1"/>
        <v/>
      </c>
    </row>
    <row r="144" spans="1:14">
      <c r="A144" s="5"/>
      <c r="B144" s="249"/>
      <c r="C144" s="384" t="str">
        <f ca="1"/>
        <v/>
      </c>
      <c r="D144" s="491" t="str">
        <f ca="1"/>
        <v/>
      </c>
      <c r="E144" s="508" t="str">
        <f ca="1"/>
        <v/>
      </c>
      <c r="F144" s="491" t="str">
        <f ca="1"/>
        <v/>
      </c>
      <c r="G144" s="492" t="str">
        <f ca="1"/>
        <v/>
      </c>
      <c r="H144" s="492" t="str">
        <f ca="1"/>
        <v/>
      </c>
      <c r="I144" s="492" t="str">
        <f ca="1"/>
        <v/>
      </c>
      <c r="J144" s="492" t="str">
        <f ca="1"/>
        <v/>
      </c>
      <c r="K144" s="508" t="str">
        <f ca="1"/>
        <v/>
      </c>
      <c r="L144" s="515" t="str">
        <f ca="1"/>
        <v/>
      </c>
      <c r="M144" s="450" t="str">
        <f ca="1"/>
        <v/>
      </c>
      <c r="N144" s="450" t="str">
        <f ca="1"/>
        <v/>
      </c>
    </row>
    <row r="145" spans="1:14">
      <c r="A145" s="5"/>
      <c r="B145" s="249"/>
      <c r="C145" s="384" t="str">
        <f ca="1"/>
        <v/>
      </c>
      <c r="D145" s="491" t="str">
        <f ca="1"/>
        <v/>
      </c>
      <c r="E145" s="508" t="str">
        <f ca="1"/>
        <v/>
      </c>
      <c r="F145" s="491" t="str">
        <f ca="1"/>
        <v/>
      </c>
      <c r="G145" s="492" t="str">
        <f ca="1"/>
        <v/>
      </c>
      <c r="H145" s="492" t="str">
        <f ca="1"/>
        <v/>
      </c>
      <c r="I145" s="492" t="str">
        <f ca="1"/>
        <v/>
      </c>
      <c r="J145" s="492" t="str">
        <f ca="1"/>
        <v/>
      </c>
      <c r="K145" s="508" t="str">
        <f ca="1"/>
        <v/>
      </c>
      <c r="L145" s="515" t="str">
        <f ca="1"/>
        <v/>
      </c>
      <c r="M145" s="450" t="str">
        <f ca="1"/>
        <v/>
      </c>
      <c r="N145" s="450" t="str">
        <f ca="1"/>
        <v/>
      </c>
    </row>
    <row r="146" spans="1:14">
      <c r="A146" s="5"/>
      <c r="B146" s="249"/>
      <c r="C146" s="384" t="str">
        <f ca="1"/>
        <v/>
      </c>
      <c r="D146" s="491" t="str">
        <f ca="1"/>
        <v/>
      </c>
      <c r="E146" s="508" t="str">
        <f ca="1"/>
        <v/>
      </c>
      <c r="F146" s="491" t="str">
        <f ca="1"/>
        <v/>
      </c>
      <c r="G146" s="492" t="str">
        <f ca="1"/>
        <v/>
      </c>
      <c r="H146" s="492" t="str">
        <f ca="1"/>
        <v/>
      </c>
      <c r="I146" s="492" t="str">
        <f ca="1"/>
        <v/>
      </c>
      <c r="J146" s="492" t="str">
        <f ca="1"/>
        <v/>
      </c>
      <c r="K146" s="508" t="str">
        <f ca="1"/>
        <v/>
      </c>
      <c r="L146" s="515" t="str">
        <f ca="1"/>
        <v/>
      </c>
      <c r="M146" s="450" t="str">
        <f ca="1"/>
        <v/>
      </c>
      <c r="N146" s="450" t="str">
        <f ca="1"/>
        <v/>
      </c>
    </row>
    <row r="147" spans="1:14">
      <c r="B147" s="249"/>
      <c r="C147" s="384" t="str">
        <f ca="1"/>
        <v/>
      </c>
      <c r="D147" s="491" t="str">
        <f ca="1"/>
        <v/>
      </c>
      <c r="E147" s="508" t="str">
        <f ca="1"/>
        <v/>
      </c>
      <c r="F147" s="491" t="str">
        <f ca="1"/>
        <v/>
      </c>
      <c r="G147" s="492" t="str">
        <f ca="1"/>
        <v/>
      </c>
      <c r="H147" s="492" t="str">
        <f ca="1"/>
        <v/>
      </c>
      <c r="I147" s="492" t="str">
        <f ca="1"/>
        <v/>
      </c>
      <c r="J147" s="492" t="str">
        <f ca="1"/>
        <v/>
      </c>
      <c r="K147" s="508" t="str">
        <f ca="1"/>
        <v/>
      </c>
      <c r="L147" s="515" t="str">
        <f ca="1"/>
        <v/>
      </c>
      <c r="M147" s="450" t="str">
        <f ca="1"/>
        <v/>
      </c>
      <c r="N147" s="450" t="str">
        <f ca="1"/>
        <v/>
      </c>
    </row>
    <row r="148" spans="1:14">
      <c r="B148" s="249"/>
      <c r="C148" s="384" t="str">
        <f ca="1"/>
        <v/>
      </c>
      <c r="D148" s="491" t="str">
        <f ca="1"/>
        <v/>
      </c>
      <c r="E148" s="508" t="str">
        <f ca="1"/>
        <v/>
      </c>
      <c r="F148" s="491" t="str">
        <f ca="1"/>
        <v/>
      </c>
      <c r="G148" s="492" t="str">
        <f ca="1"/>
        <v/>
      </c>
      <c r="H148" s="492" t="str">
        <f ca="1"/>
        <v/>
      </c>
      <c r="I148" s="492" t="str">
        <f ca="1"/>
        <v/>
      </c>
      <c r="J148" s="492" t="str">
        <f ca="1"/>
        <v/>
      </c>
      <c r="K148" s="508" t="str">
        <f ca="1"/>
        <v/>
      </c>
      <c r="L148" s="515" t="str">
        <f ca="1"/>
        <v/>
      </c>
      <c r="M148" s="450" t="str">
        <f ca="1"/>
        <v/>
      </c>
      <c r="N148" s="450" t="str">
        <f ca="1"/>
        <v/>
      </c>
    </row>
    <row r="149" spans="1:14">
      <c r="B149" s="249"/>
      <c r="C149" s="384" t="str">
        <f ca="1"/>
        <v/>
      </c>
      <c r="D149" s="491" t="str">
        <f ca="1"/>
        <v/>
      </c>
      <c r="E149" s="508" t="str">
        <f ca="1"/>
        <v/>
      </c>
      <c r="F149" s="491" t="str">
        <f ca="1"/>
        <v/>
      </c>
      <c r="G149" s="492" t="str">
        <f ca="1"/>
        <v/>
      </c>
      <c r="H149" s="492" t="str">
        <f ca="1"/>
        <v/>
      </c>
      <c r="I149" s="492" t="str">
        <f ca="1"/>
        <v/>
      </c>
      <c r="J149" s="492" t="str">
        <f ca="1"/>
        <v/>
      </c>
      <c r="K149" s="508" t="str">
        <f ca="1"/>
        <v/>
      </c>
      <c r="L149" s="515" t="str">
        <f ca="1"/>
        <v/>
      </c>
      <c r="M149" s="450" t="str">
        <f ca="1"/>
        <v/>
      </c>
      <c r="N149" s="450" t="str">
        <f ca="1"/>
        <v/>
      </c>
    </row>
    <row r="150" spans="1:14">
      <c r="B150" s="249"/>
      <c r="C150" s="384" t="str">
        <f ca="1"/>
        <v/>
      </c>
      <c r="D150" s="491" t="str">
        <f ca="1"/>
        <v/>
      </c>
      <c r="E150" s="508" t="str">
        <f ca="1"/>
        <v/>
      </c>
      <c r="F150" s="491" t="str">
        <f ca="1"/>
        <v/>
      </c>
      <c r="G150" s="492" t="str">
        <f ca="1"/>
        <v/>
      </c>
      <c r="H150" s="492" t="str">
        <f ca="1"/>
        <v/>
      </c>
      <c r="I150" s="492" t="str">
        <f ca="1"/>
        <v/>
      </c>
      <c r="J150" s="492" t="str">
        <f ca="1"/>
        <v/>
      </c>
      <c r="K150" s="508" t="str">
        <f ca="1"/>
        <v/>
      </c>
      <c r="L150" s="515" t="str">
        <f ca="1"/>
        <v/>
      </c>
      <c r="M150" s="450" t="str">
        <f ca="1"/>
        <v/>
      </c>
      <c r="N150" s="450" t="str">
        <f ca="1"/>
        <v/>
      </c>
    </row>
    <row r="151" spans="1:14">
      <c r="B151" s="249"/>
      <c r="C151" s="384" t="str">
        <f ca="1"/>
        <v/>
      </c>
      <c r="D151" s="491" t="str">
        <f ca="1"/>
        <v/>
      </c>
      <c r="E151" s="508" t="str">
        <f ca="1"/>
        <v/>
      </c>
      <c r="F151" s="491" t="str">
        <f ca="1"/>
        <v/>
      </c>
      <c r="G151" s="492" t="str">
        <f ca="1"/>
        <v/>
      </c>
      <c r="H151" s="492" t="str">
        <f ca="1"/>
        <v/>
      </c>
      <c r="I151" s="492" t="str">
        <f ca="1"/>
        <v/>
      </c>
      <c r="J151" s="492" t="str">
        <f ca="1"/>
        <v/>
      </c>
      <c r="K151" s="508" t="str">
        <f ca="1"/>
        <v/>
      </c>
      <c r="L151" s="515" t="str">
        <f ca="1"/>
        <v/>
      </c>
      <c r="M151" s="450" t="str">
        <f ca="1"/>
        <v/>
      </c>
      <c r="N151" s="450" t="str">
        <f ca="1"/>
        <v/>
      </c>
    </row>
    <row r="152" spans="1:14">
      <c r="B152" s="249"/>
      <c r="C152" s="384"/>
      <c r="D152" s="491"/>
      <c r="E152" s="508"/>
      <c r="F152" s="491"/>
      <c r="G152" s="492"/>
      <c r="H152" s="492"/>
      <c r="I152" s="492"/>
      <c r="J152" s="492"/>
      <c r="K152" s="508"/>
      <c r="L152" s="515"/>
      <c r="M152" s="450"/>
      <c r="N152" s="450"/>
    </row>
    <row r="153" spans="1:14">
      <c r="A153" s="5"/>
      <c r="B153" s="249" t="str">
        <f ca="1">+'I-4 History'!B115</f>
        <v>DA-13</v>
      </c>
      <c r="C153" s="14" t="str">
        <f ca="1">+'I-4 History'!C115</f>
        <v>Asset Maintenance</v>
      </c>
      <c r="D153" s="491"/>
      <c r="E153" s="508"/>
      <c r="F153" s="491"/>
      <c r="G153" s="492"/>
      <c r="H153" s="492"/>
      <c r="I153" s="492"/>
      <c r="J153" s="492"/>
      <c r="K153" s="508"/>
      <c r="L153" s="515"/>
      <c r="M153" s="450"/>
      <c r="N153" s="450"/>
    </row>
    <row r="154" spans="1:14">
      <c r="A154" s="5"/>
      <c r="B154" s="249"/>
      <c r="C154" s="381" t="str">
        <f t="array" ref="C154:K163" ca="1">+'DA-13'!$A$160:$I$169</f>
        <v>Step Change</v>
      </c>
      <c r="D154" s="491">
        <f ca="1"/>
        <v>0</v>
      </c>
      <c r="E154" s="508">
        <f ca="1"/>
        <v>0</v>
      </c>
      <c r="F154" s="491">
        <f ca="1"/>
        <v>0</v>
      </c>
      <c r="G154" s="492">
        <f ca="1"/>
        <v>0</v>
      </c>
      <c r="H154" s="492">
        <f ca="1"/>
        <v>0</v>
      </c>
      <c r="I154" s="492">
        <f ca="1"/>
        <v>0</v>
      </c>
      <c r="J154" s="492">
        <f ca="1"/>
        <v>0</v>
      </c>
      <c r="K154" s="508">
        <f ca="1"/>
        <v>0</v>
      </c>
      <c r="L154" s="515" t="str">
        <f t="array" ref="L154:N163" ca="1">+'DA-13'!$K$160:$M$169</f>
        <v>Proposal Step Change</v>
      </c>
      <c r="M154" s="450" t="str">
        <f ca="1"/>
        <v>Refer Opex Workings</v>
      </c>
      <c r="N154" s="450" t="str">
        <f ca="1"/>
        <v>Proposal, October 2014</v>
      </c>
    </row>
    <row r="155" spans="1:14">
      <c r="A155" s="5"/>
      <c r="B155" s="249"/>
      <c r="C155" s="384" t="str">
        <f ca="1"/>
        <v/>
      </c>
      <c r="D155" s="491" t="str">
        <f ca="1"/>
        <v/>
      </c>
      <c r="E155" s="508" t="str">
        <f ca="1"/>
        <v/>
      </c>
      <c r="F155" s="491" t="str">
        <f ca="1"/>
        <v/>
      </c>
      <c r="G155" s="492" t="str">
        <f ca="1"/>
        <v/>
      </c>
      <c r="H155" s="492" t="str">
        <f ca="1"/>
        <v/>
      </c>
      <c r="I155" s="492" t="str">
        <f ca="1"/>
        <v/>
      </c>
      <c r="J155" s="492" t="str">
        <f ca="1"/>
        <v/>
      </c>
      <c r="K155" s="508" t="str">
        <f ca="1"/>
        <v/>
      </c>
      <c r="L155" s="515" t="str">
        <f ca="1"/>
        <v/>
      </c>
      <c r="M155" s="450" t="str">
        <f ca="1"/>
        <v/>
      </c>
      <c r="N155" s="450" t="str">
        <f ca="1"/>
        <v/>
      </c>
    </row>
    <row r="156" spans="1:14">
      <c r="A156" s="5"/>
      <c r="B156" s="249"/>
      <c r="C156" s="384" t="str">
        <f ca="1"/>
        <v/>
      </c>
      <c r="D156" s="491" t="str">
        <f ca="1"/>
        <v/>
      </c>
      <c r="E156" s="508" t="str">
        <f ca="1"/>
        <v/>
      </c>
      <c r="F156" s="491" t="str">
        <f ca="1"/>
        <v/>
      </c>
      <c r="G156" s="492" t="str">
        <f ca="1"/>
        <v/>
      </c>
      <c r="H156" s="492" t="str">
        <f ca="1"/>
        <v/>
      </c>
      <c r="I156" s="492" t="str">
        <f ca="1"/>
        <v/>
      </c>
      <c r="J156" s="492" t="str">
        <f ca="1"/>
        <v/>
      </c>
      <c r="K156" s="508" t="str">
        <f ca="1"/>
        <v/>
      </c>
      <c r="L156" s="515" t="str">
        <f ca="1"/>
        <v/>
      </c>
      <c r="M156" s="450" t="str">
        <f ca="1"/>
        <v/>
      </c>
      <c r="N156" s="450" t="str">
        <f ca="1"/>
        <v/>
      </c>
    </row>
    <row r="157" spans="1:14">
      <c r="A157" s="5"/>
      <c r="B157" s="249"/>
      <c r="C157" s="384" t="str">
        <f ca="1"/>
        <v/>
      </c>
      <c r="D157" s="491" t="str">
        <f ca="1"/>
        <v/>
      </c>
      <c r="E157" s="508" t="str">
        <f ca="1"/>
        <v/>
      </c>
      <c r="F157" s="491" t="str">
        <f ca="1"/>
        <v/>
      </c>
      <c r="G157" s="492" t="str">
        <f ca="1"/>
        <v/>
      </c>
      <c r="H157" s="492" t="str">
        <f ca="1"/>
        <v/>
      </c>
      <c r="I157" s="492" t="str">
        <f ca="1"/>
        <v/>
      </c>
      <c r="J157" s="492" t="str">
        <f ca="1"/>
        <v/>
      </c>
      <c r="K157" s="508" t="str">
        <f ca="1"/>
        <v/>
      </c>
      <c r="L157" s="515" t="str">
        <f ca="1"/>
        <v/>
      </c>
      <c r="M157" s="450" t="str">
        <f ca="1"/>
        <v/>
      </c>
      <c r="N157" s="450" t="str">
        <f ca="1"/>
        <v/>
      </c>
    </row>
    <row r="158" spans="1:14">
      <c r="A158" s="5"/>
      <c r="B158" s="249"/>
      <c r="C158" s="384" t="str">
        <f ca="1"/>
        <v/>
      </c>
      <c r="D158" s="491" t="str">
        <f ca="1"/>
        <v/>
      </c>
      <c r="E158" s="508" t="str">
        <f ca="1"/>
        <v/>
      </c>
      <c r="F158" s="491" t="str">
        <f ca="1"/>
        <v/>
      </c>
      <c r="G158" s="492" t="str">
        <f ca="1"/>
        <v/>
      </c>
      <c r="H158" s="492" t="str">
        <f ca="1"/>
        <v/>
      </c>
      <c r="I158" s="492" t="str">
        <f ca="1"/>
        <v/>
      </c>
      <c r="J158" s="492" t="str">
        <f ca="1"/>
        <v/>
      </c>
      <c r="K158" s="508" t="str">
        <f ca="1"/>
        <v/>
      </c>
      <c r="L158" s="515" t="str">
        <f ca="1"/>
        <v/>
      </c>
      <c r="M158" s="450" t="str">
        <f ca="1"/>
        <v/>
      </c>
      <c r="N158" s="450" t="str">
        <f ca="1"/>
        <v/>
      </c>
    </row>
    <row r="159" spans="1:14">
      <c r="B159" s="249"/>
      <c r="C159" s="384" t="str">
        <f ca="1"/>
        <v/>
      </c>
      <c r="D159" s="491" t="str">
        <f ca="1"/>
        <v/>
      </c>
      <c r="E159" s="508" t="str">
        <f ca="1"/>
        <v/>
      </c>
      <c r="F159" s="491" t="str">
        <f ca="1"/>
        <v/>
      </c>
      <c r="G159" s="492" t="str">
        <f ca="1"/>
        <v/>
      </c>
      <c r="H159" s="492" t="str">
        <f ca="1"/>
        <v/>
      </c>
      <c r="I159" s="492" t="str">
        <f ca="1"/>
        <v/>
      </c>
      <c r="J159" s="492" t="str">
        <f ca="1"/>
        <v/>
      </c>
      <c r="K159" s="508" t="str">
        <f ca="1"/>
        <v/>
      </c>
      <c r="L159" s="515" t="str">
        <f ca="1"/>
        <v/>
      </c>
      <c r="M159" s="450" t="str">
        <f ca="1"/>
        <v/>
      </c>
      <c r="N159" s="450" t="str">
        <f ca="1"/>
        <v/>
      </c>
    </row>
    <row r="160" spans="1:14">
      <c r="B160" s="249"/>
      <c r="C160" s="384" t="str">
        <f ca="1"/>
        <v/>
      </c>
      <c r="D160" s="491" t="str">
        <f ca="1"/>
        <v/>
      </c>
      <c r="E160" s="508" t="str">
        <f ca="1"/>
        <v/>
      </c>
      <c r="F160" s="491" t="str">
        <f ca="1"/>
        <v/>
      </c>
      <c r="G160" s="492" t="str">
        <f ca="1"/>
        <v/>
      </c>
      <c r="H160" s="492" t="str">
        <f ca="1"/>
        <v/>
      </c>
      <c r="I160" s="492" t="str">
        <f ca="1"/>
        <v/>
      </c>
      <c r="J160" s="492" t="str">
        <f ca="1"/>
        <v/>
      </c>
      <c r="K160" s="508" t="str">
        <f ca="1"/>
        <v/>
      </c>
      <c r="L160" s="515" t="str">
        <f ca="1"/>
        <v/>
      </c>
      <c r="M160" s="450" t="str">
        <f ca="1"/>
        <v/>
      </c>
      <c r="N160" s="450" t="str">
        <f ca="1"/>
        <v/>
      </c>
    </row>
    <row r="161" spans="1:14">
      <c r="B161" s="249"/>
      <c r="C161" s="384" t="str">
        <f ca="1"/>
        <v/>
      </c>
      <c r="D161" s="491" t="str">
        <f ca="1"/>
        <v/>
      </c>
      <c r="E161" s="508" t="str">
        <f ca="1"/>
        <v/>
      </c>
      <c r="F161" s="491" t="str">
        <f ca="1"/>
        <v/>
      </c>
      <c r="G161" s="492" t="str">
        <f ca="1"/>
        <v/>
      </c>
      <c r="H161" s="492" t="str">
        <f ca="1"/>
        <v/>
      </c>
      <c r="I161" s="492" t="str">
        <f ca="1"/>
        <v/>
      </c>
      <c r="J161" s="492" t="str">
        <f ca="1"/>
        <v/>
      </c>
      <c r="K161" s="508" t="str">
        <f ca="1"/>
        <v/>
      </c>
      <c r="L161" s="515" t="str">
        <f ca="1"/>
        <v/>
      </c>
      <c r="M161" s="450" t="str">
        <f ca="1"/>
        <v/>
      </c>
      <c r="N161" s="450" t="str">
        <f ca="1"/>
        <v/>
      </c>
    </row>
    <row r="162" spans="1:14">
      <c r="B162" s="249"/>
      <c r="C162" s="384" t="str">
        <f ca="1"/>
        <v/>
      </c>
      <c r="D162" s="491" t="str">
        <f ca="1"/>
        <v/>
      </c>
      <c r="E162" s="508" t="str">
        <f ca="1"/>
        <v/>
      </c>
      <c r="F162" s="491" t="str">
        <f ca="1"/>
        <v/>
      </c>
      <c r="G162" s="492" t="str">
        <f ca="1"/>
        <v/>
      </c>
      <c r="H162" s="492" t="str">
        <f ca="1"/>
        <v/>
      </c>
      <c r="I162" s="492" t="str">
        <f ca="1"/>
        <v/>
      </c>
      <c r="J162" s="492" t="str">
        <f ca="1"/>
        <v/>
      </c>
      <c r="K162" s="508" t="str">
        <f ca="1"/>
        <v/>
      </c>
      <c r="L162" s="515" t="str">
        <f ca="1"/>
        <v/>
      </c>
      <c r="M162" s="450" t="str">
        <f ca="1"/>
        <v/>
      </c>
      <c r="N162" s="450" t="str">
        <f ca="1"/>
        <v/>
      </c>
    </row>
    <row r="163" spans="1:14">
      <c r="B163" s="249"/>
      <c r="C163" s="384" t="str">
        <f ca="1"/>
        <v/>
      </c>
      <c r="D163" s="491" t="str">
        <f ca="1"/>
        <v/>
      </c>
      <c r="E163" s="508" t="str">
        <f ca="1"/>
        <v/>
      </c>
      <c r="F163" s="491" t="str">
        <f ca="1"/>
        <v/>
      </c>
      <c r="G163" s="492" t="str">
        <f ca="1"/>
        <v/>
      </c>
      <c r="H163" s="492" t="str">
        <f ca="1"/>
        <v/>
      </c>
      <c r="I163" s="492" t="str">
        <f ca="1"/>
        <v/>
      </c>
      <c r="J163" s="492" t="str">
        <f ca="1"/>
        <v/>
      </c>
      <c r="K163" s="508" t="str">
        <f ca="1"/>
        <v/>
      </c>
      <c r="L163" s="515" t="str">
        <f ca="1"/>
        <v/>
      </c>
      <c r="M163" s="450" t="str">
        <f ca="1"/>
        <v/>
      </c>
      <c r="N163" s="450" t="str">
        <f ca="1"/>
        <v/>
      </c>
    </row>
    <row r="164" spans="1:14">
      <c r="B164" s="249"/>
      <c r="C164" s="384"/>
      <c r="D164" s="491"/>
      <c r="E164" s="508"/>
      <c r="F164" s="491"/>
      <c r="G164" s="492"/>
      <c r="H164" s="492"/>
      <c r="I164" s="492"/>
      <c r="J164" s="492"/>
      <c r="K164" s="508"/>
      <c r="L164" s="515"/>
      <c r="M164" s="450"/>
      <c r="N164" s="450"/>
    </row>
    <row r="165" spans="1:14">
      <c r="A165" s="5"/>
      <c r="B165" s="249" t="str">
        <f ca="1">+'I-4 History'!B124</f>
        <v>DA-14</v>
      </c>
      <c r="C165" s="14" t="str">
        <f ca="1">+'I-4 History'!C124</f>
        <v>Vegetation Management</v>
      </c>
      <c r="D165" s="491"/>
      <c r="E165" s="508"/>
      <c r="F165" s="491"/>
      <c r="G165" s="492"/>
      <c r="H165" s="492"/>
      <c r="I165" s="492"/>
      <c r="J165" s="492"/>
      <c r="K165" s="508"/>
      <c r="L165" s="515"/>
      <c r="M165" s="450"/>
      <c r="N165" s="450"/>
    </row>
    <row r="166" spans="1:14">
      <c r="A166" s="5"/>
      <c r="B166" s="249"/>
      <c r="C166" s="384" t="str">
        <f t="array" ref="C166:K175" ca="1">+'DA-14'!$A$160:$I$169</f>
        <v>Step Change</v>
      </c>
      <c r="D166" s="491">
        <f ca="1"/>
        <v>0</v>
      </c>
      <c r="E166" s="508">
        <f ca="1"/>
        <v>0</v>
      </c>
      <c r="F166" s="491">
        <f ca="1"/>
        <v>2.6680000000000001</v>
      </c>
      <c r="G166" s="492">
        <f ca="1"/>
        <v>9.3480000000000008</v>
      </c>
      <c r="H166" s="492">
        <f ca="1"/>
        <v>6.8450000000000006</v>
      </c>
      <c r="I166" s="492">
        <f ca="1"/>
        <v>6.1669999999999998</v>
      </c>
      <c r="J166" s="492">
        <f ca="1"/>
        <v>5.49</v>
      </c>
      <c r="K166" s="508">
        <f ca="1"/>
        <v>4.8109999999999999</v>
      </c>
      <c r="L166" s="515" t="str">
        <f t="array" ref="L166:N175" ca="1">+'DA-14'!$K$160:$M$169</f>
        <v>Proposal Step Change</v>
      </c>
      <c r="M166" s="450" t="str">
        <f ca="1"/>
        <v>Refer Opex Workings</v>
      </c>
      <c r="N166" s="450" t="str">
        <f ca="1"/>
        <v>Proposal, October 2014</v>
      </c>
    </row>
    <row r="167" spans="1:14">
      <c r="A167" s="5"/>
      <c r="B167" s="249"/>
      <c r="C167" s="384" t="str">
        <f ca="1"/>
        <v/>
      </c>
      <c r="D167" s="491" t="str">
        <f ca="1"/>
        <v/>
      </c>
      <c r="E167" s="508" t="str">
        <f ca="1"/>
        <v/>
      </c>
      <c r="F167" s="491" t="str">
        <f ca="1"/>
        <v/>
      </c>
      <c r="G167" s="492" t="str">
        <f ca="1"/>
        <v/>
      </c>
      <c r="H167" s="492" t="str">
        <f ca="1"/>
        <v/>
      </c>
      <c r="I167" s="492" t="str">
        <f ca="1"/>
        <v/>
      </c>
      <c r="J167" s="492" t="str">
        <f ca="1"/>
        <v/>
      </c>
      <c r="K167" s="508" t="str">
        <f ca="1"/>
        <v/>
      </c>
      <c r="L167" s="515" t="str">
        <f ca="1"/>
        <v/>
      </c>
      <c r="M167" s="450" t="str">
        <f ca="1"/>
        <v/>
      </c>
      <c r="N167" s="450" t="str">
        <f ca="1"/>
        <v/>
      </c>
    </row>
    <row r="168" spans="1:14">
      <c r="A168" s="5"/>
      <c r="B168" s="249"/>
      <c r="C168" s="384" t="str">
        <f ca="1"/>
        <v/>
      </c>
      <c r="D168" s="491" t="str">
        <f ca="1"/>
        <v/>
      </c>
      <c r="E168" s="508" t="str">
        <f ca="1"/>
        <v/>
      </c>
      <c r="F168" s="491" t="str">
        <f ca="1"/>
        <v/>
      </c>
      <c r="G168" s="492" t="str">
        <f ca="1"/>
        <v/>
      </c>
      <c r="H168" s="492" t="str">
        <f ca="1"/>
        <v/>
      </c>
      <c r="I168" s="492" t="str">
        <f ca="1"/>
        <v/>
      </c>
      <c r="J168" s="492" t="str">
        <f ca="1"/>
        <v/>
      </c>
      <c r="K168" s="508" t="str">
        <f ca="1"/>
        <v/>
      </c>
      <c r="L168" s="515" t="str">
        <f ca="1"/>
        <v/>
      </c>
      <c r="M168" s="450" t="str">
        <f ca="1"/>
        <v/>
      </c>
      <c r="N168" s="450" t="str">
        <f ca="1"/>
        <v/>
      </c>
    </row>
    <row r="169" spans="1:14">
      <c r="A169" s="5"/>
      <c r="B169" s="249"/>
      <c r="C169" s="384" t="str">
        <f ca="1"/>
        <v/>
      </c>
      <c r="D169" s="491" t="str">
        <f ca="1"/>
        <v/>
      </c>
      <c r="E169" s="508" t="str">
        <f ca="1"/>
        <v/>
      </c>
      <c r="F169" s="491" t="str">
        <f ca="1"/>
        <v/>
      </c>
      <c r="G169" s="492" t="str">
        <f ca="1"/>
        <v/>
      </c>
      <c r="H169" s="492" t="str">
        <f ca="1"/>
        <v/>
      </c>
      <c r="I169" s="492" t="str">
        <f ca="1"/>
        <v/>
      </c>
      <c r="J169" s="492" t="str">
        <f ca="1"/>
        <v/>
      </c>
      <c r="K169" s="508" t="str">
        <f ca="1"/>
        <v/>
      </c>
      <c r="L169" s="515" t="str">
        <f ca="1"/>
        <v/>
      </c>
      <c r="M169" s="450" t="str">
        <f ca="1"/>
        <v/>
      </c>
      <c r="N169" s="450" t="str">
        <f ca="1"/>
        <v/>
      </c>
    </row>
    <row r="170" spans="1:14">
      <c r="A170" s="5"/>
      <c r="B170" s="249"/>
      <c r="C170" s="384" t="str">
        <f ca="1"/>
        <v/>
      </c>
      <c r="D170" s="491" t="str">
        <f ca="1"/>
        <v/>
      </c>
      <c r="E170" s="508" t="str">
        <f ca="1"/>
        <v/>
      </c>
      <c r="F170" s="491" t="str">
        <f ca="1"/>
        <v/>
      </c>
      <c r="G170" s="492" t="str">
        <f ca="1"/>
        <v/>
      </c>
      <c r="H170" s="492" t="str">
        <f ca="1"/>
        <v/>
      </c>
      <c r="I170" s="492" t="str">
        <f ca="1"/>
        <v/>
      </c>
      <c r="J170" s="492" t="str">
        <f ca="1"/>
        <v/>
      </c>
      <c r="K170" s="508" t="str">
        <f ca="1"/>
        <v/>
      </c>
      <c r="L170" s="515" t="str">
        <f ca="1"/>
        <v/>
      </c>
      <c r="M170" s="450" t="str">
        <f ca="1"/>
        <v/>
      </c>
      <c r="N170" s="450" t="str">
        <f ca="1"/>
        <v/>
      </c>
    </row>
    <row r="171" spans="1:14">
      <c r="A171" s="5"/>
      <c r="B171" s="249"/>
      <c r="C171" s="384" t="str">
        <f ca="1"/>
        <v/>
      </c>
      <c r="D171" s="491" t="str">
        <f ca="1"/>
        <v/>
      </c>
      <c r="E171" s="508" t="str">
        <f ca="1"/>
        <v/>
      </c>
      <c r="F171" s="491" t="str">
        <f ca="1"/>
        <v/>
      </c>
      <c r="G171" s="492" t="str">
        <f ca="1"/>
        <v/>
      </c>
      <c r="H171" s="492" t="str">
        <f ca="1"/>
        <v/>
      </c>
      <c r="I171" s="492" t="str">
        <f ca="1"/>
        <v/>
      </c>
      <c r="J171" s="492" t="str">
        <f ca="1"/>
        <v/>
      </c>
      <c r="K171" s="508" t="str">
        <f ca="1"/>
        <v/>
      </c>
      <c r="L171" s="515" t="str">
        <f ca="1"/>
        <v/>
      </c>
      <c r="M171" s="450" t="str">
        <f ca="1"/>
        <v/>
      </c>
      <c r="N171" s="450" t="str">
        <f ca="1"/>
        <v/>
      </c>
    </row>
    <row r="172" spans="1:14">
      <c r="A172" s="5"/>
      <c r="B172" s="249"/>
      <c r="C172" s="384" t="str">
        <f ca="1"/>
        <v/>
      </c>
      <c r="D172" s="491" t="str">
        <f ca="1"/>
        <v/>
      </c>
      <c r="E172" s="508" t="str">
        <f ca="1"/>
        <v/>
      </c>
      <c r="F172" s="491" t="str">
        <f ca="1"/>
        <v/>
      </c>
      <c r="G172" s="492" t="str">
        <f ca="1"/>
        <v/>
      </c>
      <c r="H172" s="492" t="str">
        <f ca="1"/>
        <v/>
      </c>
      <c r="I172" s="492" t="str">
        <f ca="1"/>
        <v/>
      </c>
      <c r="J172" s="492" t="str">
        <f ca="1"/>
        <v/>
      </c>
      <c r="K172" s="508" t="str">
        <f ca="1"/>
        <v/>
      </c>
      <c r="L172" s="515" t="str">
        <f ca="1"/>
        <v/>
      </c>
      <c r="M172" s="450" t="str">
        <f ca="1"/>
        <v/>
      </c>
      <c r="N172" s="450" t="str">
        <f ca="1"/>
        <v/>
      </c>
    </row>
    <row r="173" spans="1:14">
      <c r="A173" s="5"/>
      <c r="B173" s="249"/>
      <c r="C173" s="384" t="str">
        <f ca="1"/>
        <v/>
      </c>
      <c r="D173" s="491" t="str">
        <f ca="1"/>
        <v/>
      </c>
      <c r="E173" s="508" t="str">
        <f ca="1"/>
        <v/>
      </c>
      <c r="F173" s="491" t="str">
        <f ca="1"/>
        <v/>
      </c>
      <c r="G173" s="492" t="str">
        <f ca="1"/>
        <v/>
      </c>
      <c r="H173" s="492" t="str">
        <f ca="1"/>
        <v/>
      </c>
      <c r="I173" s="492" t="str">
        <f ca="1"/>
        <v/>
      </c>
      <c r="J173" s="492" t="str">
        <f ca="1"/>
        <v/>
      </c>
      <c r="K173" s="508" t="str">
        <f ca="1"/>
        <v/>
      </c>
      <c r="L173" s="515" t="str">
        <f ca="1"/>
        <v/>
      </c>
      <c r="M173" s="450" t="str">
        <f ca="1"/>
        <v/>
      </c>
      <c r="N173" s="450" t="str">
        <f ca="1"/>
        <v/>
      </c>
    </row>
    <row r="174" spans="1:14">
      <c r="A174" s="5"/>
      <c r="B174" s="249"/>
      <c r="C174" s="384" t="str">
        <f ca="1"/>
        <v/>
      </c>
      <c r="D174" s="491" t="str">
        <f ca="1"/>
        <v/>
      </c>
      <c r="E174" s="508" t="str">
        <f ca="1"/>
        <v/>
      </c>
      <c r="F174" s="491" t="str">
        <f ca="1"/>
        <v/>
      </c>
      <c r="G174" s="492" t="str">
        <f ca="1"/>
        <v/>
      </c>
      <c r="H174" s="492" t="str">
        <f ca="1"/>
        <v/>
      </c>
      <c r="I174" s="492" t="str">
        <f ca="1"/>
        <v/>
      </c>
      <c r="J174" s="492" t="str">
        <f ca="1"/>
        <v/>
      </c>
      <c r="K174" s="508" t="str">
        <f ca="1"/>
        <v/>
      </c>
      <c r="L174" s="515" t="str">
        <f ca="1"/>
        <v/>
      </c>
      <c r="M174" s="450" t="str">
        <f ca="1"/>
        <v/>
      </c>
      <c r="N174" s="450" t="str">
        <f ca="1"/>
        <v/>
      </c>
    </row>
    <row r="175" spans="1:14">
      <c r="A175" s="5"/>
      <c r="B175" s="249"/>
      <c r="C175" s="384" t="str">
        <f ca="1"/>
        <v/>
      </c>
      <c r="D175" s="491" t="str">
        <f ca="1"/>
        <v/>
      </c>
      <c r="E175" s="508" t="str">
        <f ca="1"/>
        <v/>
      </c>
      <c r="F175" s="491" t="str">
        <f ca="1"/>
        <v/>
      </c>
      <c r="G175" s="492" t="str">
        <f ca="1"/>
        <v/>
      </c>
      <c r="H175" s="492" t="str">
        <f ca="1"/>
        <v/>
      </c>
      <c r="I175" s="492" t="str">
        <f ca="1"/>
        <v/>
      </c>
      <c r="J175" s="492" t="str">
        <f ca="1"/>
        <v/>
      </c>
      <c r="K175" s="508" t="str">
        <f ca="1"/>
        <v/>
      </c>
      <c r="L175" s="515" t="str">
        <f ca="1"/>
        <v/>
      </c>
      <c r="M175" s="450" t="str">
        <f ca="1"/>
        <v/>
      </c>
      <c r="N175" s="450" t="str">
        <f ca="1"/>
        <v/>
      </c>
    </row>
    <row r="176" spans="1:14">
      <c r="A176" s="5"/>
      <c r="B176" s="249"/>
      <c r="C176" s="12"/>
      <c r="D176" s="491"/>
      <c r="E176" s="508"/>
      <c r="F176" s="491"/>
      <c r="G176" s="492"/>
      <c r="H176" s="492"/>
      <c r="I176" s="492"/>
      <c r="J176" s="492"/>
      <c r="K176" s="508"/>
      <c r="L176" s="515"/>
      <c r="M176" s="450"/>
      <c r="N176" s="450"/>
    </row>
    <row r="177" spans="1:14">
      <c r="A177" s="5"/>
      <c r="B177" s="249" t="str">
        <f ca="1">+'I-4 History'!B133</f>
        <v>DA-15</v>
      </c>
      <c r="C177" s="14" t="str">
        <f ca="1">+'I-4 History'!C133</f>
        <v>Emergency Response</v>
      </c>
      <c r="D177" s="491"/>
      <c r="E177" s="508"/>
      <c r="F177" s="491"/>
      <c r="G177" s="492"/>
      <c r="H177" s="492"/>
      <c r="I177" s="492"/>
      <c r="J177" s="492"/>
      <c r="K177" s="508"/>
      <c r="L177" s="515"/>
      <c r="M177" s="450"/>
      <c r="N177" s="450"/>
    </row>
    <row r="178" spans="1:14">
      <c r="A178" s="5"/>
      <c r="B178" s="249"/>
      <c r="C178" s="384" t="str">
        <f t="array" ref="C178:K187" ca="1">+'DA-15'!$A$160:$I$169</f>
        <v>Step Change</v>
      </c>
      <c r="D178" s="491">
        <f ca="1"/>
        <v>0</v>
      </c>
      <c r="E178" s="508">
        <f ca="1"/>
        <v>0</v>
      </c>
      <c r="F178" s="491">
        <f ca="1"/>
        <v>0</v>
      </c>
      <c r="G178" s="492">
        <f ca="1"/>
        <v>0</v>
      </c>
      <c r="H178" s="492">
        <f ca="1"/>
        <v>0</v>
      </c>
      <c r="I178" s="492">
        <f ca="1"/>
        <v>0</v>
      </c>
      <c r="J178" s="492">
        <f ca="1"/>
        <v>0</v>
      </c>
      <c r="K178" s="508">
        <f ca="1"/>
        <v>0</v>
      </c>
      <c r="L178" s="515" t="str">
        <f t="array" ref="L178:N187" ca="1">+'DA-15'!$K$160:$M$169</f>
        <v>Proposal Step Change</v>
      </c>
      <c r="M178" s="450" t="str">
        <f ca="1"/>
        <v>Refer Opex Workings</v>
      </c>
      <c r="N178" s="450" t="str">
        <f ca="1"/>
        <v>Proposal, October 2014</v>
      </c>
    </row>
    <row r="179" spans="1:14">
      <c r="A179" s="5"/>
      <c r="B179" s="249"/>
      <c r="C179" s="384" t="str">
        <f ca="1"/>
        <v/>
      </c>
      <c r="D179" s="491" t="str">
        <f ca="1"/>
        <v/>
      </c>
      <c r="E179" s="508" t="str">
        <f ca="1"/>
        <v/>
      </c>
      <c r="F179" s="491" t="str">
        <f ca="1"/>
        <v/>
      </c>
      <c r="G179" s="492" t="str">
        <f ca="1"/>
        <v/>
      </c>
      <c r="H179" s="492" t="str">
        <f ca="1"/>
        <v/>
      </c>
      <c r="I179" s="492" t="str">
        <f ca="1"/>
        <v/>
      </c>
      <c r="J179" s="492" t="str">
        <f ca="1"/>
        <v/>
      </c>
      <c r="K179" s="508" t="str">
        <f ca="1"/>
        <v/>
      </c>
      <c r="L179" s="515" t="str">
        <f ca="1"/>
        <v/>
      </c>
      <c r="M179" s="450" t="str">
        <f ca="1"/>
        <v/>
      </c>
      <c r="N179" s="450" t="str">
        <f ca="1"/>
        <v/>
      </c>
    </row>
    <row r="180" spans="1:14">
      <c r="A180" s="5"/>
      <c r="B180" s="249"/>
      <c r="C180" s="384" t="str">
        <f ca="1"/>
        <v/>
      </c>
      <c r="D180" s="491" t="str">
        <f ca="1"/>
        <v/>
      </c>
      <c r="E180" s="508" t="str">
        <f ca="1"/>
        <v/>
      </c>
      <c r="F180" s="491" t="str">
        <f ca="1"/>
        <v/>
      </c>
      <c r="G180" s="492" t="str">
        <f ca="1"/>
        <v/>
      </c>
      <c r="H180" s="492" t="str">
        <f ca="1"/>
        <v/>
      </c>
      <c r="I180" s="492" t="str">
        <f ca="1"/>
        <v/>
      </c>
      <c r="J180" s="492" t="str">
        <f ca="1"/>
        <v/>
      </c>
      <c r="K180" s="508" t="str">
        <f ca="1"/>
        <v/>
      </c>
      <c r="L180" s="515" t="str">
        <f ca="1"/>
        <v/>
      </c>
      <c r="M180" s="450" t="str">
        <f ca="1"/>
        <v/>
      </c>
      <c r="N180" s="450" t="str">
        <f ca="1"/>
        <v/>
      </c>
    </row>
    <row r="181" spans="1:14">
      <c r="A181" s="5"/>
      <c r="B181" s="249"/>
      <c r="C181" s="384" t="str">
        <f ca="1"/>
        <v/>
      </c>
      <c r="D181" s="491" t="str">
        <f ca="1"/>
        <v/>
      </c>
      <c r="E181" s="508" t="str">
        <f ca="1"/>
        <v/>
      </c>
      <c r="F181" s="491" t="str">
        <f ca="1"/>
        <v/>
      </c>
      <c r="G181" s="492" t="str">
        <f ca="1"/>
        <v/>
      </c>
      <c r="H181" s="492" t="str">
        <f ca="1"/>
        <v/>
      </c>
      <c r="I181" s="492" t="str">
        <f ca="1"/>
        <v/>
      </c>
      <c r="J181" s="492" t="str">
        <f ca="1"/>
        <v/>
      </c>
      <c r="K181" s="508" t="str">
        <f ca="1"/>
        <v/>
      </c>
      <c r="L181" s="515" t="str">
        <f ca="1"/>
        <v/>
      </c>
      <c r="M181" s="450" t="str">
        <f ca="1"/>
        <v/>
      </c>
      <c r="N181" s="450" t="str">
        <f ca="1"/>
        <v/>
      </c>
    </row>
    <row r="182" spans="1:14">
      <c r="A182" s="5"/>
      <c r="B182" s="249"/>
      <c r="C182" s="384" t="str">
        <f ca="1"/>
        <v/>
      </c>
      <c r="D182" s="491" t="str">
        <f ca="1"/>
        <v/>
      </c>
      <c r="E182" s="508" t="str">
        <f ca="1"/>
        <v/>
      </c>
      <c r="F182" s="491" t="str">
        <f ca="1"/>
        <v/>
      </c>
      <c r="G182" s="492" t="str">
        <f ca="1"/>
        <v/>
      </c>
      <c r="H182" s="492" t="str">
        <f ca="1"/>
        <v/>
      </c>
      <c r="I182" s="492" t="str">
        <f ca="1"/>
        <v/>
      </c>
      <c r="J182" s="492" t="str">
        <f ca="1"/>
        <v/>
      </c>
      <c r="K182" s="508" t="str">
        <f ca="1"/>
        <v/>
      </c>
      <c r="L182" s="515" t="str">
        <f ca="1"/>
        <v/>
      </c>
      <c r="M182" s="450" t="str">
        <f ca="1"/>
        <v/>
      </c>
      <c r="N182" s="450" t="str">
        <f ca="1"/>
        <v/>
      </c>
    </row>
    <row r="183" spans="1:14">
      <c r="A183" s="5"/>
      <c r="B183" s="249"/>
      <c r="C183" s="384" t="str">
        <f ca="1"/>
        <v/>
      </c>
      <c r="D183" s="491" t="str">
        <f ca="1"/>
        <v/>
      </c>
      <c r="E183" s="508" t="str">
        <f ca="1"/>
        <v/>
      </c>
      <c r="F183" s="491" t="str">
        <f ca="1"/>
        <v/>
      </c>
      <c r="G183" s="492" t="str">
        <f ca="1"/>
        <v/>
      </c>
      <c r="H183" s="492" t="str">
        <f ca="1"/>
        <v/>
      </c>
      <c r="I183" s="492" t="str">
        <f ca="1"/>
        <v/>
      </c>
      <c r="J183" s="492" t="str">
        <f ca="1"/>
        <v/>
      </c>
      <c r="K183" s="508" t="str">
        <f ca="1"/>
        <v/>
      </c>
      <c r="L183" s="515" t="str">
        <f ca="1"/>
        <v/>
      </c>
      <c r="M183" s="450" t="str">
        <f ca="1"/>
        <v/>
      </c>
      <c r="N183" s="450" t="str">
        <f ca="1"/>
        <v/>
      </c>
    </row>
    <row r="184" spans="1:14">
      <c r="A184" s="5"/>
      <c r="B184" s="249"/>
      <c r="C184" s="384" t="str">
        <f ca="1"/>
        <v/>
      </c>
      <c r="D184" s="491" t="str">
        <f ca="1"/>
        <v/>
      </c>
      <c r="E184" s="508" t="str">
        <f ca="1"/>
        <v/>
      </c>
      <c r="F184" s="491" t="str">
        <f ca="1"/>
        <v/>
      </c>
      <c r="G184" s="492" t="str">
        <f ca="1"/>
        <v/>
      </c>
      <c r="H184" s="492" t="str">
        <f ca="1"/>
        <v/>
      </c>
      <c r="I184" s="492" t="str">
        <f ca="1"/>
        <v/>
      </c>
      <c r="J184" s="492" t="str">
        <f ca="1"/>
        <v/>
      </c>
      <c r="K184" s="508" t="str">
        <f ca="1"/>
        <v/>
      </c>
      <c r="L184" s="515" t="str">
        <f ca="1"/>
        <v/>
      </c>
      <c r="M184" s="450" t="str">
        <f ca="1"/>
        <v/>
      </c>
      <c r="N184" s="450" t="str">
        <f ca="1"/>
        <v/>
      </c>
    </row>
    <row r="185" spans="1:14">
      <c r="A185" s="5"/>
      <c r="B185" s="249"/>
      <c r="C185" s="384" t="str">
        <f ca="1"/>
        <v/>
      </c>
      <c r="D185" s="491" t="str">
        <f ca="1"/>
        <v/>
      </c>
      <c r="E185" s="508" t="str">
        <f ca="1"/>
        <v/>
      </c>
      <c r="F185" s="491" t="str">
        <f ca="1"/>
        <v/>
      </c>
      <c r="G185" s="492" t="str">
        <f ca="1"/>
        <v/>
      </c>
      <c r="H185" s="492" t="str">
        <f ca="1"/>
        <v/>
      </c>
      <c r="I185" s="492" t="str">
        <f ca="1"/>
        <v/>
      </c>
      <c r="J185" s="492" t="str">
        <f ca="1"/>
        <v/>
      </c>
      <c r="K185" s="508" t="str">
        <f ca="1"/>
        <v/>
      </c>
      <c r="L185" s="515" t="str">
        <f ca="1"/>
        <v/>
      </c>
      <c r="M185" s="450" t="str">
        <f ca="1"/>
        <v/>
      </c>
      <c r="N185" s="450" t="str">
        <f ca="1"/>
        <v/>
      </c>
    </row>
    <row r="186" spans="1:14">
      <c r="A186" s="5"/>
      <c r="B186" s="249"/>
      <c r="C186" s="384" t="str">
        <f ca="1"/>
        <v/>
      </c>
      <c r="D186" s="491" t="str">
        <f ca="1"/>
        <v/>
      </c>
      <c r="E186" s="508" t="str">
        <f ca="1"/>
        <v/>
      </c>
      <c r="F186" s="491" t="str">
        <f ca="1"/>
        <v/>
      </c>
      <c r="G186" s="492" t="str">
        <f ca="1"/>
        <v/>
      </c>
      <c r="H186" s="492" t="str">
        <f ca="1"/>
        <v/>
      </c>
      <c r="I186" s="492" t="str">
        <f ca="1"/>
        <v/>
      </c>
      <c r="J186" s="492" t="str">
        <f ca="1"/>
        <v/>
      </c>
      <c r="K186" s="508" t="str">
        <f ca="1"/>
        <v/>
      </c>
      <c r="L186" s="515" t="str">
        <f ca="1"/>
        <v/>
      </c>
      <c r="M186" s="450" t="str">
        <f ca="1"/>
        <v/>
      </c>
      <c r="N186" s="450" t="str">
        <f ca="1"/>
        <v/>
      </c>
    </row>
    <row r="187" spans="1:14">
      <c r="A187" s="5"/>
      <c r="B187" s="249"/>
      <c r="C187" s="384" t="str">
        <f ca="1"/>
        <v/>
      </c>
      <c r="D187" s="491" t="str">
        <f ca="1"/>
        <v/>
      </c>
      <c r="E187" s="508" t="str">
        <f ca="1"/>
        <v/>
      </c>
      <c r="F187" s="491" t="str">
        <f ca="1"/>
        <v/>
      </c>
      <c r="G187" s="492" t="str">
        <f ca="1"/>
        <v/>
      </c>
      <c r="H187" s="492" t="str">
        <f ca="1"/>
        <v/>
      </c>
      <c r="I187" s="492" t="str">
        <f ca="1"/>
        <v/>
      </c>
      <c r="J187" s="492" t="str">
        <f ca="1"/>
        <v/>
      </c>
      <c r="K187" s="508" t="str">
        <f ca="1"/>
        <v/>
      </c>
      <c r="L187" s="515" t="str">
        <f ca="1"/>
        <v/>
      </c>
      <c r="M187" s="450" t="str">
        <f ca="1"/>
        <v/>
      </c>
      <c r="N187" s="450" t="str">
        <f ca="1"/>
        <v/>
      </c>
    </row>
    <row r="188" spans="1:14">
      <c r="A188" s="5"/>
      <c r="B188" s="249"/>
      <c r="C188" s="12"/>
      <c r="D188" s="491"/>
      <c r="E188" s="508"/>
      <c r="F188" s="491"/>
      <c r="G188" s="492"/>
      <c r="H188" s="492"/>
      <c r="I188" s="492"/>
      <c r="J188" s="492"/>
      <c r="K188" s="508"/>
      <c r="L188" s="515"/>
      <c r="M188" s="450"/>
      <c r="N188" s="450"/>
    </row>
    <row r="189" spans="1:14">
      <c r="A189" s="5"/>
      <c r="B189" s="249" t="str">
        <f ca="1">+'I-4 History'!B142</f>
        <v>DA-16</v>
      </c>
      <c r="C189" s="14" t="str">
        <f ca="1">+'I-4 History'!C142</f>
        <v>Meter Reading Charges</v>
      </c>
      <c r="D189" s="491"/>
      <c r="E189" s="508"/>
      <c r="F189" s="491"/>
      <c r="G189" s="492"/>
      <c r="H189" s="492"/>
      <c r="I189" s="492"/>
      <c r="J189" s="492"/>
      <c r="K189" s="508"/>
      <c r="L189" s="515"/>
      <c r="M189" s="450"/>
      <c r="N189" s="450"/>
    </row>
    <row r="190" spans="1:14">
      <c r="A190" s="5"/>
      <c r="B190" s="249"/>
      <c r="C190" s="384" t="str">
        <f t="array" ref="C190:K199" ca="1">+'DA-16'!$A$160:$I$169</f>
        <v>Step Change</v>
      </c>
      <c r="D190" s="491">
        <f ca="1"/>
        <v>0</v>
      </c>
      <c r="E190" s="508">
        <f ca="1"/>
        <v>0</v>
      </c>
      <c r="F190" s="491">
        <f ca="1"/>
        <v>0</v>
      </c>
      <c r="G190" s="492">
        <f ca="1"/>
        <v>0</v>
      </c>
      <c r="H190" s="492">
        <f ca="1"/>
        <v>0</v>
      </c>
      <c r="I190" s="492">
        <f ca="1"/>
        <v>0</v>
      </c>
      <c r="J190" s="492">
        <f ca="1"/>
        <v>0</v>
      </c>
      <c r="K190" s="508">
        <f ca="1"/>
        <v>0</v>
      </c>
      <c r="L190" s="515" t="str">
        <f t="array" ref="L190:N199" ca="1">+'DA-16'!$K$160:$M$169</f>
        <v>Proposal Step Change</v>
      </c>
      <c r="M190" s="450" t="str">
        <f ca="1"/>
        <v>Refer Opex Workings</v>
      </c>
      <c r="N190" s="450" t="str">
        <f ca="1"/>
        <v>Proposal, October 2014</v>
      </c>
    </row>
    <row r="191" spans="1:14">
      <c r="A191" s="5"/>
      <c r="B191" s="249"/>
      <c r="C191" s="382" t="str">
        <f ca="1"/>
        <v/>
      </c>
      <c r="D191" s="491" t="str">
        <f ca="1"/>
        <v/>
      </c>
      <c r="E191" s="508" t="str">
        <f ca="1"/>
        <v/>
      </c>
      <c r="F191" s="491" t="str">
        <f ca="1"/>
        <v/>
      </c>
      <c r="G191" s="492" t="str">
        <f ca="1"/>
        <v/>
      </c>
      <c r="H191" s="492" t="str">
        <f ca="1"/>
        <v/>
      </c>
      <c r="I191" s="492" t="str">
        <f ca="1"/>
        <v/>
      </c>
      <c r="J191" s="492" t="str">
        <f ca="1"/>
        <v/>
      </c>
      <c r="K191" s="508" t="str">
        <f ca="1"/>
        <v/>
      </c>
      <c r="L191" s="515" t="str">
        <f ca="1"/>
        <v/>
      </c>
      <c r="M191" s="450" t="str">
        <f ca="1"/>
        <v/>
      </c>
      <c r="N191" s="450" t="str">
        <f ca="1"/>
        <v/>
      </c>
    </row>
    <row r="192" spans="1:14">
      <c r="A192" s="5"/>
      <c r="B192" s="249"/>
      <c r="C192" s="382" t="str">
        <f ca="1"/>
        <v/>
      </c>
      <c r="D192" s="491" t="str">
        <f ca="1"/>
        <v/>
      </c>
      <c r="E192" s="508" t="str">
        <f ca="1"/>
        <v/>
      </c>
      <c r="F192" s="491" t="str">
        <f ca="1"/>
        <v/>
      </c>
      <c r="G192" s="492" t="str">
        <f ca="1"/>
        <v/>
      </c>
      <c r="H192" s="492" t="str">
        <f ca="1"/>
        <v/>
      </c>
      <c r="I192" s="492" t="str">
        <f ca="1"/>
        <v/>
      </c>
      <c r="J192" s="492" t="str">
        <f ca="1"/>
        <v/>
      </c>
      <c r="K192" s="508" t="str">
        <f ca="1"/>
        <v/>
      </c>
      <c r="L192" s="515" t="str">
        <f ca="1"/>
        <v/>
      </c>
      <c r="M192" s="450" t="str">
        <f ca="1"/>
        <v/>
      </c>
      <c r="N192" s="450" t="str">
        <f ca="1"/>
        <v/>
      </c>
    </row>
    <row r="193" spans="1:14">
      <c r="A193" s="5"/>
      <c r="B193" s="249"/>
      <c r="C193" s="382" t="str">
        <f ca="1"/>
        <v/>
      </c>
      <c r="D193" s="491" t="str">
        <f ca="1"/>
        <v/>
      </c>
      <c r="E193" s="508" t="str">
        <f ca="1"/>
        <v/>
      </c>
      <c r="F193" s="491" t="str">
        <f ca="1"/>
        <v/>
      </c>
      <c r="G193" s="492" t="str">
        <f ca="1"/>
        <v/>
      </c>
      <c r="H193" s="492" t="str">
        <f ca="1"/>
        <v/>
      </c>
      <c r="I193" s="492" t="str">
        <f ca="1"/>
        <v/>
      </c>
      <c r="J193" s="492" t="str">
        <f ca="1"/>
        <v/>
      </c>
      <c r="K193" s="508" t="str">
        <f ca="1"/>
        <v/>
      </c>
      <c r="L193" s="515" t="str">
        <f ca="1"/>
        <v/>
      </c>
      <c r="M193" s="450" t="str">
        <f ca="1"/>
        <v/>
      </c>
      <c r="N193" s="450" t="str">
        <f ca="1"/>
        <v/>
      </c>
    </row>
    <row r="194" spans="1:14">
      <c r="A194" s="5"/>
      <c r="B194" s="249"/>
      <c r="C194" s="382" t="str">
        <f ca="1"/>
        <v/>
      </c>
      <c r="D194" s="491" t="str">
        <f ca="1"/>
        <v/>
      </c>
      <c r="E194" s="508" t="str">
        <f ca="1"/>
        <v/>
      </c>
      <c r="F194" s="491" t="str">
        <f ca="1"/>
        <v/>
      </c>
      <c r="G194" s="492" t="str">
        <f ca="1"/>
        <v/>
      </c>
      <c r="H194" s="492" t="str">
        <f ca="1"/>
        <v/>
      </c>
      <c r="I194" s="492" t="str">
        <f ca="1"/>
        <v/>
      </c>
      <c r="J194" s="492" t="str">
        <f ca="1"/>
        <v/>
      </c>
      <c r="K194" s="508" t="str">
        <f ca="1"/>
        <v/>
      </c>
      <c r="L194" s="515" t="str">
        <f ca="1"/>
        <v/>
      </c>
      <c r="M194" s="450" t="str">
        <f ca="1"/>
        <v/>
      </c>
      <c r="N194" s="450" t="str">
        <f ca="1"/>
        <v/>
      </c>
    </row>
    <row r="195" spans="1:14">
      <c r="A195" s="5"/>
      <c r="B195" s="249"/>
      <c r="C195" s="384" t="str">
        <f ca="1"/>
        <v/>
      </c>
      <c r="D195" s="491" t="str">
        <f ca="1"/>
        <v/>
      </c>
      <c r="E195" s="508" t="str">
        <f ca="1"/>
        <v/>
      </c>
      <c r="F195" s="491" t="str">
        <f ca="1"/>
        <v/>
      </c>
      <c r="G195" s="492" t="str">
        <f ca="1"/>
        <v/>
      </c>
      <c r="H195" s="492" t="str">
        <f ca="1"/>
        <v/>
      </c>
      <c r="I195" s="492" t="str">
        <f ca="1"/>
        <v/>
      </c>
      <c r="J195" s="492" t="str">
        <f ca="1"/>
        <v/>
      </c>
      <c r="K195" s="508" t="str">
        <f ca="1"/>
        <v/>
      </c>
      <c r="L195" s="515" t="str">
        <f ca="1"/>
        <v/>
      </c>
      <c r="M195" s="450" t="str">
        <f ca="1"/>
        <v/>
      </c>
      <c r="N195" s="450" t="str">
        <f ca="1"/>
        <v/>
      </c>
    </row>
    <row r="196" spans="1:14">
      <c r="A196" s="5"/>
      <c r="B196" s="249"/>
      <c r="C196" s="384" t="str">
        <f ca="1"/>
        <v/>
      </c>
      <c r="D196" s="491" t="str">
        <f ca="1"/>
        <v/>
      </c>
      <c r="E196" s="508" t="str">
        <f ca="1"/>
        <v/>
      </c>
      <c r="F196" s="491" t="str">
        <f ca="1"/>
        <v/>
      </c>
      <c r="G196" s="492" t="str">
        <f ca="1"/>
        <v/>
      </c>
      <c r="H196" s="492" t="str">
        <f ca="1"/>
        <v/>
      </c>
      <c r="I196" s="492" t="str">
        <f ca="1"/>
        <v/>
      </c>
      <c r="J196" s="492" t="str">
        <f ca="1"/>
        <v/>
      </c>
      <c r="K196" s="508" t="str">
        <f ca="1"/>
        <v/>
      </c>
      <c r="L196" s="515" t="str">
        <f ca="1"/>
        <v/>
      </c>
      <c r="M196" s="450" t="str">
        <f ca="1"/>
        <v/>
      </c>
      <c r="N196" s="450" t="str">
        <f ca="1"/>
        <v/>
      </c>
    </row>
    <row r="197" spans="1:14">
      <c r="A197" s="5"/>
      <c r="B197" s="249"/>
      <c r="C197" s="384" t="str">
        <f ca="1"/>
        <v/>
      </c>
      <c r="D197" s="491" t="str">
        <f ca="1"/>
        <v/>
      </c>
      <c r="E197" s="508" t="str">
        <f ca="1"/>
        <v/>
      </c>
      <c r="F197" s="491" t="str">
        <f ca="1"/>
        <v/>
      </c>
      <c r="G197" s="492" t="str">
        <f ca="1"/>
        <v/>
      </c>
      <c r="H197" s="492" t="str">
        <f ca="1"/>
        <v/>
      </c>
      <c r="I197" s="492" t="str">
        <f ca="1"/>
        <v/>
      </c>
      <c r="J197" s="492" t="str">
        <f ca="1"/>
        <v/>
      </c>
      <c r="K197" s="508" t="str">
        <f ca="1"/>
        <v/>
      </c>
      <c r="L197" s="515" t="str">
        <f ca="1"/>
        <v/>
      </c>
      <c r="M197" s="450" t="str">
        <f ca="1"/>
        <v/>
      </c>
      <c r="N197" s="450" t="str">
        <f ca="1"/>
        <v/>
      </c>
    </row>
    <row r="198" spans="1:14">
      <c r="A198" s="5"/>
      <c r="B198" s="249"/>
      <c r="C198" s="384" t="str">
        <f ca="1"/>
        <v/>
      </c>
      <c r="D198" s="491" t="str">
        <f ca="1"/>
        <v/>
      </c>
      <c r="E198" s="508" t="str">
        <f ca="1"/>
        <v/>
      </c>
      <c r="F198" s="491" t="str">
        <f ca="1"/>
        <v/>
      </c>
      <c r="G198" s="492" t="str">
        <f ca="1"/>
        <v/>
      </c>
      <c r="H198" s="492" t="str">
        <f ca="1"/>
        <v/>
      </c>
      <c r="I198" s="492" t="str">
        <f ca="1"/>
        <v/>
      </c>
      <c r="J198" s="492" t="str">
        <f ca="1"/>
        <v/>
      </c>
      <c r="K198" s="508" t="str">
        <f ca="1"/>
        <v/>
      </c>
      <c r="L198" s="515" t="str">
        <f ca="1"/>
        <v/>
      </c>
      <c r="M198" s="450" t="str">
        <f ca="1"/>
        <v/>
      </c>
      <c r="N198" s="450" t="str">
        <f ca="1"/>
        <v/>
      </c>
    </row>
    <row r="199" spans="1:14">
      <c r="A199" s="5"/>
      <c r="B199" s="249"/>
      <c r="C199" s="384" t="str">
        <f ca="1"/>
        <v/>
      </c>
      <c r="D199" s="491" t="str">
        <f ca="1"/>
        <v/>
      </c>
      <c r="E199" s="508" t="str">
        <f ca="1"/>
        <v/>
      </c>
      <c r="F199" s="491" t="str">
        <f ca="1"/>
        <v/>
      </c>
      <c r="G199" s="492" t="str">
        <f ca="1"/>
        <v/>
      </c>
      <c r="H199" s="492" t="str">
        <f ca="1"/>
        <v/>
      </c>
      <c r="I199" s="492" t="str">
        <f ca="1"/>
        <v/>
      </c>
      <c r="J199" s="492" t="str">
        <f ca="1"/>
        <v/>
      </c>
      <c r="K199" s="508" t="str">
        <f ca="1"/>
        <v/>
      </c>
      <c r="L199" s="515" t="str">
        <f ca="1"/>
        <v/>
      </c>
      <c r="M199" s="450" t="str">
        <f ca="1"/>
        <v/>
      </c>
      <c r="N199" s="450" t="str">
        <f ca="1"/>
        <v/>
      </c>
    </row>
    <row r="200" spans="1:14">
      <c r="A200" s="5"/>
      <c r="B200" s="249"/>
      <c r="C200" s="12"/>
      <c r="D200" s="491"/>
      <c r="E200" s="508"/>
      <c r="F200" s="491"/>
      <c r="G200" s="492"/>
      <c r="H200" s="492"/>
      <c r="I200" s="492"/>
      <c r="J200" s="492"/>
      <c r="K200" s="508"/>
      <c r="L200" s="515"/>
      <c r="M200" s="450"/>
      <c r="N200" s="450"/>
    </row>
    <row r="201" spans="1:14">
      <c r="A201" s="5"/>
      <c r="B201" s="249" t="str">
        <f ca="1">+'I-4 History'!B151</f>
        <v>DA-17</v>
      </c>
      <c r="C201" s="14" t="str">
        <f ca="1">+'I-4 History'!C151</f>
        <v>Call Centre Charges</v>
      </c>
      <c r="D201" s="491"/>
      <c r="E201" s="508"/>
      <c r="F201" s="491"/>
      <c r="G201" s="492"/>
      <c r="H201" s="492"/>
      <c r="I201" s="492"/>
      <c r="J201" s="492"/>
      <c r="K201" s="508"/>
      <c r="L201" s="515"/>
      <c r="M201" s="450"/>
      <c r="N201" s="450"/>
    </row>
    <row r="202" spans="1:14">
      <c r="A202" s="5"/>
      <c r="B202" s="249"/>
      <c r="C202" s="384" t="str">
        <f t="array" ref="C202:K211" ca="1">+'DA-17'!$A$160:$I$169</f>
        <v>Step Change</v>
      </c>
      <c r="D202" s="491">
        <f ca="1"/>
        <v>0</v>
      </c>
      <c r="E202" s="508">
        <f ca="1"/>
        <v>0</v>
      </c>
      <c r="F202" s="491">
        <f ca="1"/>
        <v>0</v>
      </c>
      <c r="G202" s="492">
        <f ca="1"/>
        <v>0</v>
      </c>
      <c r="H202" s="492">
        <f ca="1"/>
        <v>0</v>
      </c>
      <c r="I202" s="492">
        <f ca="1"/>
        <v>0</v>
      </c>
      <c r="J202" s="492">
        <f ca="1"/>
        <v>0</v>
      </c>
      <c r="K202" s="508">
        <f ca="1"/>
        <v>0</v>
      </c>
      <c r="L202" s="515" t="str">
        <f t="array" ref="L202:N211" ca="1">+'DA-17'!$K$160:$M$169</f>
        <v>Proposal Step Change</v>
      </c>
      <c r="M202" s="450" t="str">
        <f ca="1"/>
        <v>Refer Opex Workings</v>
      </c>
      <c r="N202" s="450" t="str">
        <f ca="1"/>
        <v>Proposal, October 2014</v>
      </c>
    </row>
    <row r="203" spans="1:14">
      <c r="A203" s="5"/>
      <c r="B203" s="249"/>
      <c r="C203" s="382" t="str">
        <f ca="1"/>
        <v/>
      </c>
      <c r="D203" s="491" t="str">
        <f ca="1"/>
        <v/>
      </c>
      <c r="E203" s="508" t="str">
        <f ca="1"/>
        <v/>
      </c>
      <c r="F203" s="491" t="str">
        <f ca="1"/>
        <v/>
      </c>
      <c r="G203" s="492" t="str">
        <f ca="1"/>
        <v/>
      </c>
      <c r="H203" s="492" t="str">
        <f ca="1"/>
        <v/>
      </c>
      <c r="I203" s="492" t="str">
        <f ca="1"/>
        <v/>
      </c>
      <c r="J203" s="492" t="str">
        <f ca="1"/>
        <v/>
      </c>
      <c r="K203" s="508" t="str">
        <f ca="1"/>
        <v/>
      </c>
      <c r="L203" s="515" t="str">
        <f ca="1"/>
        <v/>
      </c>
      <c r="M203" s="450" t="str">
        <f ca="1"/>
        <v/>
      </c>
      <c r="N203" s="450" t="str">
        <f ca="1"/>
        <v/>
      </c>
    </row>
    <row r="204" spans="1:14">
      <c r="A204" s="5"/>
      <c r="B204" s="249"/>
      <c r="C204" s="382" t="str">
        <f ca="1"/>
        <v/>
      </c>
      <c r="D204" s="491" t="str">
        <f ca="1"/>
        <v/>
      </c>
      <c r="E204" s="508" t="str">
        <f ca="1"/>
        <v/>
      </c>
      <c r="F204" s="491" t="str">
        <f ca="1"/>
        <v/>
      </c>
      <c r="G204" s="492" t="str">
        <f ca="1"/>
        <v/>
      </c>
      <c r="H204" s="492" t="str">
        <f ca="1"/>
        <v/>
      </c>
      <c r="I204" s="492" t="str">
        <f ca="1"/>
        <v/>
      </c>
      <c r="J204" s="492" t="str">
        <f ca="1"/>
        <v/>
      </c>
      <c r="K204" s="508" t="str">
        <f ca="1"/>
        <v/>
      </c>
      <c r="L204" s="515" t="str">
        <f ca="1"/>
        <v/>
      </c>
      <c r="M204" s="450" t="str">
        <f ca="1"/>
        <v/>
      </c>
      <c r="N204" s="450" t="str">
        <f ca="1"/>
        <v/>
      </c>
    </row>
    <row r="205" spans="1:14">
      <c r="A205" s="5"/>
      <c r="B205" s="249"/>
      <c r="C205" s="382" t="str">
        <f ca="1"/>
        <v/>
      </c>
      <c r="D205" s="491" t="str">
        <f ca="1"/>
        <v/>
      </c>
      <c r="E205" s="508" t="str">
        <f ca="1"/>
        <v/>
      </c>
      <c r="F205" s="491" t="str">
        <f ca="1"/>
        <v/>
      </c>
      <c r="G205" s="492" t="str">
        <f ca="1"/>
        <v/>
      </c>
      <c r="H205" s="492" t="str">
        <f ca="1"/>
        <v/>
      </c>
      <c r="I205" s="492" t="str">
        <f ca="1"/>
        <v/>
      </c>
      <c r="J205" s="492" t="str">
        <f ca="1"/>
        <v/>
      </c>
      <c r="K205" s="508" t="str">
        <f ca="1"/>
        <v/>
      </c>
      <c r="L205" s="515" t="str">
        <f ca="1"/>
        <v/>
      </c>
      <c r="M205" s="450" t="str">
        <f ca="1"/>
        <v/>
      </c>
      <c r="N205" s="450" t="str">
        <f ca="1"/>
        <v/>
      </c>
    </row>
    <row r="206" spans="1:14">
      <c r="A206" s="5"/>
      <c r="B206" s="249"/>
      <c r="C206" s="382" t="str">
        <f ca="1"/>
        <v/>
      </c>
      <c r="D206" s="491" t="str">
        <f ca="1"/>
        <v/>
      </c>
      <c r="E206" s="508" t="str">
        <f ca="1"/>
        <v/>
      </c>
      <c r="F206" s="491" t="str">
        <f ca="1"/>
        <v/>
      </c>
      <c r="G206" s="492" t="str">
        <f ca="1"/>
        <v/>
      </c>
      <c r="H206" s="492" t="str">
        <f ca="1"/>
        <v/>
      </c>
      <c r="I206" s="492" t="str">
        <f ca="1"/>
        <v/>
      </c>
      <c r="J206" s="492" t="str">
        <f ca="1"/>
        <v/>
      </c>
      <c r="K206" s="508" t="str">
        <f ca="1"/>
        <v/>
      </c>
      <c r="L206" s="515" t="str">
        <f ca="1"/>
        <v/>
      </c>
      <c r="M206" s="450" t="str">
        <f ca="1"/>
        <v/>
      </c>
      <c r="N206" s="450" t="str">
        <f ca="1"/>
        <v/>
      </c>
    </row>
    <row r="207" spans="1:14">
      <c r="A207" s="5"/>
      <c r="B207" s="249"/>
      <c r="C207" s="384" t="str">
        <f ca="1"/>
        <v/>
      </c>
      <c r="D207" s="491" t="str">
        <f ca="1"/>
        <v/>
      </c>
      <c r="E207" s="508" t="str">
        <f ca="1"/>
        <v/>
      </c>
      <c r="F207" s="491" t="str">
        <f ca="1"/>
        <v/>
      </c>
      <c r="G207" s="492" t="str">
        <f ca="1"/>
        <v/>
      </c>
      <c r="H207" s="492" t="str">
        <f ca="1"/>
        <v/>
      </c>
      <c r="I207" s="492" t="str">
        <f ca="1"/>
        <v/>
      </c>
      <c r="J207" s="492" t="str">
        <f ca="1"/>
        <v/>
      </c>
      <c r="K207" s="508" t="str">
        <f ca="1"/>
        <v/>
      </c>
      <c r="L207" s="515" t="str">
        <f ca="1"/>
        <v/>
      </c>
      <c r="M207" s="450" t="str">
        <f ca="1"/>
        <v/>
      </c>
      <c r="N207" s="450" t="str">
        <f ca="1"/>
        <v/>
      </c>
    </row>
    <row r="208" spans="1:14">
      <c r="A208" s="5"/>
      <c r="B208" s="249"/>
      <c r="C208" s="384" t="str">
        <f ca="1"/>
        <v/>
      </c>
      <c r="D208" s="491" t="str">
        <f ca="1"/>
        <v/>
      </c>
      <c r="E208" s="508" t="str">
        <f ca="1"/>
        <v/>
      </c>
      <c r="F208" s="491" t="str">
        <f ca="1"/>
        <v/>
      </c>
      <c r="G208" s="492" t="str">
        <f ca="1"/>
        <v/>
      </c>
      <c r="H208" s="492" t="str">
        <f ca="1"/>
        <v/>
      </c>
      <c r="I208" s="492" t="str">
        <f ca="1"/>
        <v/>
      </c>
      <c r="J208" s="492" t="str">
        <f ca="1"/>
        <v/>
      </c>
      <c r="K208" s="508" t="str">
        <f ca="1"/>
        <v/>
      </c>
      <c r="L208" s="515" t="str">
        <f ca="1"/>
        <v/>
      </c>
      <c r="M208" s="450" t="str">
        <f ca="1"/>
        <v/>
      </c>
      <c r="N208" s="450" t="str">
        <f ca="1"/>
        <v/>
      </c>
    </row>
    <row r="209" spans="1:14">
      <c r="A209" s="5"/>
      <c r="B209" s="249"/>
      <c r="C209" s="384" t="str">
        <f ca="1"/>
        <v/>
      </c>
      <c r="D209" s="491" t="str">
        <f ca="1"/>
        <v/>
      </c>
      <c r="E209" s="508" t="str">
        <f ca="1"/>
        <v/>
      </c>
      <c r="F209" s="491" t="str">
        <f ca="1"/>
        <v/>
      </c>
      <c r="G209" s="492" t="str">
        <f ca="1"/>
        <v/>
      </c>
      <c r="H209" s="492" t="str">
        <f ca="1"/>
        <v/>
      </c>
      <c r="I209" s="492" t="str">
        <f ca="1"/>
        <v/>
      </c>
      <c r="J209" s="492" t="str">
        <f ca="1"/>
        <v/>
      </c>
      <c r="K209" s="508" t="str">
        <f ca="1"/>
        <v/>
      </c>
      <c r="L209" s="515" t="str">
        <f ca="1"/>
        <v/>
      </c>
      <c r="M209" s="450" t="str">
        <f ca="1"/>
        <v/>
      </c>
      <c r="N209" s="450" t="str">
        <f ca="1"/>
        <v/>
      </c>
    </row>
    <row r="210" spans="1:14">
      <c r="A210" s="5"/>
      <c r="B210" s="249"/>
      <c r="C210" s="384" t="str">
        <f ca="1"/>
        <v/>
      </c>
      <c r="D210" s="491" t="str">
        <f ca="1"/>
        <v/>
      </c>
      <c r="E210" s="508" t="str">
        <f ca="1"/>
        <v/>
      </c>
      <c r="F210" s="491" t="str">
        <f ca="1"/>
        <v/>
      </c>
      <c r="G210" s="492" t="str">
        <f ca="1"/>
        <v/>
      </c>
      <c r="H210" s="492" t="str">
        <f ca="1"/>
        <v/>
      </c>
      <c r="I210" s="492" t="str">
        <f ca="1"/>
        <v/>
      </c>
      <c r="J210" s="492" t="str">
        <f ca="1"/>
        <v/>
      </c>
      <c r="K210" s="508" t="str">
        <f ca="1"/>
        <v/>
      </c>
      <c r="L210" s="515" t="str">
        <f ca="1"/>
        <v/>
      </c>
      <c r="M210" s="450" t="str">
        <f ca="1"/>
        <v/>
      </c>
      <c r="N210" s="450" t="str">
        <f ca="1"/>
        <v/>
      </c>
    </row>
    <row r="211" spans="1:14">
      <c r="A211" s="5"/>
      <c r="B211" s="249"/>
      <c r="C211" s="384" t="str">
        <f ca="1"/>
        <v/>
      </c>
      <c r="D211" s="491" t="str">
        <f ca="1"/>
        <v/>
      </c>
      <c r="E211" s="508" t="str">
        <f ca="1"/>
        <v/>
      </c>
      <c r="F211" s="491" t="str">
        <f ca="1"/>
        <v/>
      </c>
      <c r="G211" s="492" t="str">
        <f ca="1"/>
        <v/>
      </c>
      <c r="H211" s="492" t="str">
        <f ca="1"/>
        <v/>
      </c>
      <c r="I211" s="492" t="str">
        <f ca="1"/>
        <v/>
      </c>
      <c r="J211" s="492" t="str">
        <f ca="1"/>
        <v/>
      </c>
      <c r="K211" s="508" t="str">
        <f ca="1"/>
        <v/>
      </c>
      <c r="L211" s="515" t="str">
        <f ca="1"/>
        <v/>
      </c>
      <c r="M211" s="450" t="str">
        <f ca="1"/>
        <v/>
      </c>
      <c r="N211" s="450" t="str">
        <f ca="1"/>
        <v/>
      </c>
    </row>
    <row r="212" spans="1:14">
      <c r="A212" s="5"/>
      <c r="B212" s="249"/>
      <c r="C212" s="12"/>
      <c r="D212" s="491"/>
      <c r="E212" s="508"/>
      <c r="F212" s="491"/>
      <c r="G212" s="492"/>
      <c r="H212" s="492"/>
      <c r="I212" s="492"/>
      <c r="J212" s="492"/>
      <c r="K212" s="508"/>
      <c r="L212" s="515"/>
      <c r="M212" s="450"/>
      <c r="N212" s="450"/>
    </row>
    <row r="213" spans="1:14">
      <c r="A213" s="5"/>
      <c r="B213" s="249" t="str">
        <f ca="1">+'I-4 History'!B160</f>
        <v>DA-18</v>
      </c>
      <c r="C213" s="14" t="str">
        <f ca="1">+'I-4 History'!C160</f>
        <v>Demand Management</v>
      </c>
      <c r="D213" s="491"/>
      <c r="E213" s="508"/>
      <c r="F213" s="491"/>
      <c r="G213" s="492"/>
      <c r="H213" s="492"/>
      <c r="I213" s="492"/>
      <c r="J213" s="492"/>
      <c r="K213" s="508"/>
      <c r="L213" s="515"/>
      <c r="M213" s="450"/>
      <c r="N213" s="450"/>
    </row>
    <row r="214" spans="1:14">
      <c r="A214" s="5"/>
      <c r="B214" s="249"/>
      <c r="C214" s="384" t="str">
        <f t="array" ref="C214:K223" ca="1">+'DA-18'!$A$160:$I$169</f>
        <v>Step Change</v>
      </c>
      <c r="D214" s="491">
        <f ca="1"/>
        <v>0</v>
      </c>
      <c r="E214" s="508">
        <f ca="1"/>
        <v>0</v>
      </c>
      <c r="F214" s="491">
        <f ca="1"/>
        <v>0</v>
      </c>
      <c r="G214" s="492">
        <f ca="1"/>
        <v>0</v>
      </c>
      <c r="H214" s="492">
        <f ca="1"/>
        <v>0</v>
      </c>
      <c r="I214" s="492">
        <f ca="1"/>
        <v>0</v>
      </c>
      <c r="J214" s="492">
        <f ca="1"/>
        <v>0</v>
      </c>
      <c r="K214" s="508">
        <f ca="1"/>
        <v>0</v>
      </c>
      <c r="L214" s="515" t="str">
        <f t="array" ref="L214:N223" ca="1">+'DA-18'!$K$160:$M$169</f>
        <v>Proposal Step Change</v>
      </c>
      <c r="M214" s="450" t="str">
        <f ca="1"/>
        <v>Refer Opex Workings</v>
      </c>
      <c r="N214" s="450" t="str">
        <f ca="1"/>
        <v>Proposal, October 2014</v>
      </c>
    </row>
    <row r="215" spans="1:14">
      <c r="A215" s="5"/>
      <c r="B215" s="249"/>
      <c r="C215" s="382" t="str">
        <f ca="1"/>
        <v/>
      </c>
      <c r="D215" s="491" t="str">
        <f ca="1"/>
        <v/>
      </c>
      <c r="E215" s="508" t="str">
        <f ca="1"/>
        <v/>
      </c>
      <c r="F215" s="491" t="str">
        <f ca="1"/>
        <v/>
      </c>
      <c r="G215" s="492" t="str">
        <f ca="1"/>
        <v/>
      </c>
      <c r="H215" s="492" t="str">
        <f ca="1"/>
        <v/>
      </c>
      <c r="I215" s="492" t="str">
        <f ca="1"/>
        <v/>
      </c>
      <c r="J215" s="492" t="str">
        <f ca="1"/>
        <v/>
      </c>
      <c r="K215" s="508" t="str">
        <f ca="1"/>
        <v/>
      </c>
      <c r="L215" s="515" t="str">
        <f ca="1"/>
        <v/>
      </c>
      <c r="M215" s="450" t="str">
        <f ca="1"/>
        <v/>
      </c>
      <c r="N215" s="450" t="str">
        <f ca="1"/>
        <v/>
      </c>
    </row>
    <row r="216" spans="1:14">
      <c r="A216" s="5"/>
      <c r="B216" s="249"/>
      <c r="C216" s="382" t="str">
        <f ca="1"/>
        <v/>
      </c>
      <c r="D216" s="491" t="str">
        <f ca="1"/>
        <v/>
      </c>
      <c r="E216" s="508" t="str">
        <f ca="1"/>
        <v/>
      </c>
      <c r="F216" s="491" t="str">
        <f ca="1"/>
        <v/>
      </c>
      <c r="G216" s="492" t="str">
        <f ca="1"/>
        <v/>
      </c>
      <c r="H216" s="492" t="str">
        <f ca="1"/>
        <v/>
      </c>
      <c r="I216" s="492" t="str">
        <f ca="1"/>
        <v/>
      </c>
      <c r="J216" s="492" t="str">
        <f ca="1"/>
        <v/>
      </c>
      <c r="K216" s="508" t="str">
        <f ca="1"/>
        <v/>
      </c>
      <c r="L216" s="515" t="str">
        <f ca="1"/>
        <v/>
      </c>
      <c r="M216" s="450" t="str">
        <f ca="1"/>
        <v/>
      </c>
      <c r="N216" s="450" t="str">
        <f ca="1"/>
        <v/>
      </c>
    </row>
    <row r="217" spans="1:14">
      <c r="A217" s="5"/>
      <c r="B217" s="249"/>
      <c r="C217" s="382" t="str">
        <f ca="1"/>
        <v/>
      </c>
      <c r="D217" s="491" t="str">
        <f ca="1"/>
        <v/>
      </c>
      <c r="E217" s="508" t="str">
        <f ca="1"/>
        <v/>
      </c>
      <c r="F217" s="491" t="str">
        <f ca="1"/>
        <v/>
      </c>
      <c r="G217" s="492" t="str">
        <f ca="1"/>
        <v/>
      </c>
      <c r="H217" s="492" t="str">
        <f ca="1"/>
        <v/>
      </c>
      <c r="I217" s="492" t="str">
        <f ca="1"/>
        <v/>
      </c>
      <c r="J217" s="492" t="str">
        <f ca="1"/>
        <v/>
      </c>
      <c r="K217" s="508" t="str">
        <f ca="1"/>
        <v/>
      </c>
      <c r="L217" s="515" t="str">
        <f ca="1"/>
        <v/>
      </c>
      <c r="M217" s="450" t="str">
        <f ca="1"/>
        <v/>
      </c>
      <c r="N217" s="450" t="str">
        <f ca="1"/>
        <v/>
      </c>
    </row>
    <row r="218" spans="1:14">
      <c r="A218" s="5"/>
      <c r="B218" s="249"/>
      <c r="C218" s="382" t="str">
        <f ca="1"/>
        <v/>
      </c>
      <c r="D218" s="491" t="str">
        <f ca="1"/>
        <v/>
      </c>
      <c r="E218" s="508" t="str">
        <f ca="1"/>
        <v/>
      </c>
      <c r="F218" s="491" t="str">
        <f ca="1"/>
        <v/>
      </c>
      <c r="G218" s="492" t="str">
        <f ca="1"/>
        <v/>
      </c>
      <c r="H218" s="492" t="str">
        <f ca="1"/>
        <v/>
      </c>
      <c r="I218" s="492" t="str">
        <f ca="1"/>
        <v/>
      </c>
      <c r="J218" s="492" t="str">
        <f ca="1"/>
        <v/>
      </c>
      <c r="K218" s="508" t="str">
        <f ca="1"/>
        <v/>
      </c>
      <c r="L218" s="515" t="str">
        <f ca="1"/>
        <v/>
      </c>
      <c r="M218" s="450" t="str">
        <f ca="1"/>
        <v/>
      </c>
      <c r="N218" s="450" t="str">
        <f ca="1"/>
        <v/>
      </c>
    </row>
    <row r="219" spans="1:14">
      <c r="B219" s="249"/>
      <c r="C219" s="384" t="str">
        <f ca="1"/>
        <v/>
      </c>
      <c r="D219" s="491" t="str">
        <f ca="1"/>
        <v/>
      </c>
      <c r="E219" s="508" t="str">
        <f ca="1"/>
        <v/>
      </c>
      <c r="F219" s="491" t="str">
        <f ca="1"/>
        <v/>
      </c>
      <c r="G219" s="492" t="str">
        <f ca="1"/>
        <v/>
      </c>
      <c r="H219" s="492" t="str">
        <f ca="1"/>
        <v/>
      </c>
      <c r="I219" s="492" t="str">
        <f ca="1"/>
        <v/>
      </c>
      <c r="J219" s="492" t="str">
        <f ca="1"/>
        <v/>
      </c>
      <c r="K219" s="508" t="str">
        <f ca="1"/>
        <v/>
      </c>
      <c r="L219" s="515" t="str">
        <f ca="1"/>
        <v/>
      </c>
      <c r="M219" s="450" t="str">
        <f ca="1"/>
        <v/>
      </c>
      <c r="N219" s="450" t="str">
        <f ca="1"/>
        <v/>
      </c>
    </row>
    <row r="220" spans="1:14">
      <c r="B220" s="249"/>
      <c r="C220" s="384" t="str">
        <f ca="1"/>
        <v/>
      </c>
      <c r="D220" s="491" t="str">
        <f ca="1"/>
        <v/>
      </c>
      <c r="E220" s="508" t="str">
        <f ca="1"/>
        <v/>
      </c>
      <c r="F220" s="491" t="str">
        <f ca="1"/>
        <v/>
      </c>
      <c r="G220" s="492" t="str">
        <f ca="1"/>
        <v/>
      </c>
      <c r="H220" s="492" t="str">
        <f ca="1"/>
        <v/>
      </c>
      <c r="I220" s="492" t="str">
        <f ca="1"/>
        <v/>
      </c>
      <c r="J220" s="492" t="str">
        <f ca="1"/>
        <v/>
      </c>
      <c r="K220" s="508" t="str">
        <f ca="1"/>
        <v/>
      </c>
      <c r="L220" s="515" t="str">
        <f ca="1"/>
        <v/>
      </c>
      <c r="M220" s="450" t="str">
        <f ca="1"/>
        <v/>
      </c>
      <c r="N220" s="450" t="str">
        <f ca="1"/>
        <v/>
      </c>
    </row>
    <row r="221" spans="1:14">
      <c r="B221" s="249"/>
      <c r="C221" s="384" t="str">
        <f ca="1"/>
        <v/>
      </c>
      <c r="D221" s="491" t="str">
        <f ca="1"/>
        <v/>
      </c>
      <c r="E221" s="508" t="str">
        <f ca="1"/>
        <v/>
      </c>
      <c r="F221" s="491" t="str">
        <f ca="1"/>
        <v/>
      </c>
      <c r="G221" s="492" t="str">
        <f ca="1"/>
        <v/>
      </c>
      <c r="H221" s="492" t="str">
        <f ca="1"/>
        <v/>
      </c>
      <c r="I221" s="492" t="str">
        <f ca="1"/>
        <v/>
      </c>
      <c r="J221" s="492" t="str">
        <f ca="1"/>
        <v/>
      </c>
      <c r="K221" s="508" t="str">
        <f ca="1"/>
        <v/>
      </c>
      <c r="L221" s="515" t="str">
        <f ca="1"/>
        <v/>
      </c>
      <c r="M221" s="450" t="str">
        <f ca="1"/>
        <v/>
      </c>
      <c r="N221" s="450" t="str">
        <f ca="1"/>
        <v/>
      </c>
    </row>
    <row r="222" spans="1:14">
      <c r="B222" s="249"/>
      <c r="C222" s="384" t="str">
        <f ca="1"/>
        <v/>
      </c>
      <c r="D222" s="491" t="str">
        <f ca="1"/>
        <v/>
      </c>
      <c r="E222" s="508" t="str">
        <f ca="1"/>
        <v/>
      </c>
      <c r="F222" s="491" t="str">
        <f ca="1"/>
        <v/>
      </c>
      <c r="G222" s="492" t="str">
        <f ca="1"/>
        <v/>
      </c>
      <c r="H222" s="492" t="str">
        <f ca="1"/>
        <v/>
      </c>
      <c r="I222" s="492" t="str">
        <f ca="1"/>
        <v/>
      </c>
      <c r="J222" s="492" t="str">
        <f ca="1"/>
        <v/>
      </c>
      <c r="K222" s="508" t="str">
        <f ca="1"/>
        <v/>
      </c>
      <c r="L222" s="515" t="str">
        <f ca="1"/>
        <v/>
      </c>
      <c r="M222" s="450" t="str">
        <f ca="1"/>
        <v/>
      </c>
      <c r="N222" s="450" t="str">
        <f ca="1"/>
        <v/>
      </c>
    </row>
    <row r="223" spans="1:14">
      <c r="B223" s="249"/>
      <c r="C223" s="384" t="str">
        <f ca="1"/>
        <v/>
      </c>
      <c r="D223" s="491" t="str">
        <f ca="1"/>
        <v/>
      </c>
      <c r="E223" s="508" t="str">
        <f ca="1"/>
        <v/>
      </c>
      <c r="F223" s="491" t="str">
        <f ca="1"/>
        <v/>
      </c>
      <c r="G223" s="492" t="str">
        <f ca="1"/>
        <v/>
      </c>
      <c r="H223" s="492" t="str">
        <f ca="1"/>
        <v/>
      </c>
      <c r="I223" s="492" t="str">
        <f ca="1"/>
        <v/>
      </c>
      <c r="J223" s="492" t="str">
        <f ca="1"/>
        <v/>
      </c>
      <c r="K223" s="508" t="str">
        <f ca="1"/>
        <v/>
      </c>
      <c r="L223" s="515" t="str">
        <f ca="1"/>
        <v/>
      </c>
      <c r="M223" s="450" t="str">
        <f ca="1"/>
        <v/>
      </c>
      <c r="N223" s="450" t="str">
        <f ca="1"/>
        <v/>
      </c>
    </row>
    <row r="224" spans="1:14">
      <c r="B224" s="249"/>
      <c r="C224" s="12"/>
      <c r="D224" s="491"/>
      <c r="E224" s="508"/>
      <c r="F224" s="491"/>
      <c r="G224" s="492"/>
      <c r="H224" s="492"/>
      <c r="I224" s="492"/>
      <c r="J224" s="492"/>
      <c r="K224" s="508"/>
      <c r="L224" s="515"/>
      <c r="M224" s="450"/>
      <c r="N224" s="450"/>
    </row>
    <row r="225" spans="1:14">
      <c r="A225" s="5"/>
      <c r="B225" s="249" t="str">
        <f ca="1">+'I-4 History'!B169</f>
        <v>DA-19</v>
      </c>
      <c r="C225" s="14" t="str">
        <f ca="1">+'I-4 History'!C169</f>
        <v>Demand Management Innovation Fund</v>
      </c>
      <c r="D225" s="491"/>
      <c r="E225" s="508"/>
      <c r="F225" s="491"/>
      <c r="G225" s="492"/>
      <c r="H225" s="492"/>
      <c r="I225" s="492"/>
      <c r="J225" s="492"/>
      <c r="K225" s="508"/>
      <c r="L225" s="515"/>
      <c r="M225" s="450"/>
      <c r="N225" s="450"/>
    </row>
    <row r="226" spans="1:14">
      <c r="A226" s="5"/>
      <c r="B226" s="249"/>
      <c r="C226" s="384" t="str">
        <f t="array" ref="C226:K235" ca="1">+'DA-19'!$A$160:$I$169</f>
        <v>Step Change</v>
      </c>
      <c r="D226" s="491">
        <f ca="1"/>
        <v>0</v>
      </c>
      <c r="E226" s="508">
        <f ca="1"/>
        <v>0</v>
      </c>
      <c r="F226" s="491">
        <f ca="1"/>
        <v>0</v>
      </c>
      <c r="G226" s="492">
        <f ca="1"/>
        <v>0</v>
      </c>
      <c r="H226" s="492">
        <f ca="1"/>
        <v>0</v>
      </c>
      <c r="I226" s="492">
        <f ca="1"/>
        <v>0</v>
      </c>
      <c r="J226" s="492">
        <f ca="1"/>
        <v>0</v>
      </c>
      <c r="K226" s="508">
        <f ca="1"/>
        <v>0</v>
      </c>
      <c r="L226" s="515" t="str">
        <f t="array" ref="L226:N235" ca="1">+'DA-19'!$K$160:$M$169</f>
        <v>Proposal Step Change</v>
      </c>
      <c r="M226" s="450" t="str">
        <f ca="1"/>
        <v>Refer Opex Workings</v>
      </c>
      <c r="N226" s="450" t="str">
        <f ca="1"/>
        <v>Proposal, October 2014</v>
      </c>
    </row>
    <row r="227" spans="1:14">
      <c r="A227" s="5"/>
      <c r="B227" s="249"/>
      <c r="C227" s="382" t="str">
        <f ca="1"/>
        <v/>
      </c>
      <c r="D227" s="491" t="str">
        <f ca="1"/>
        <v/>
      </c>
      <c r="E227" s="508" t="str">
        <f ca="1"/>
        <v/>
      </c>
      <c r="F227" s="491" t="str">
        <f ca="1"/>
        <v/>
      </c>
      <c r="G227" s="492" t="str">
        <f ca="1"/>
        <v/>
      </c>
      <c r="H227" s="492" t="str">
        <f ca="1"/>
        <v/>
      </c>
      <c r="I227" s="492" t="str">
        <f ca="1"/>
        <v/>
      </c>
      <c r="J227" s="492" t="str">
        <f ca="1"/>
        <v/>
      </c>
      <c r="K227" s="508" t="str">
        <f ca="1"/>
        <v/>
      </c>
      <c r="L227" s="515" t="str">
        <f ca="1"/>
        <v/>
      </c>
      <c r="M227" s="450" t="str">
        <f ca="1"/>
        <v/>
      </c>
      <c r="N227" s="450" t="str">
        <f ca="1"/>
        <v/>
      </c>
    </row>
    <row r="228" spans="1:14">
      <c r="A228" s="5"/>
      <c r="B228" s="249"/>
      <c r="C228" s="382" t="str">
        <f ca="1"/>
        <v/>
      </c>
      <c r="D228" s="491" t="str">
        <f ca="1"/>
        <v/>
      </c>
      <c r="E228" s="508" t="str">
        <f ca="1"/>
        <v/>
      </c>
      <c r="F228" s="491" t="str">
        <f ca="1"/>
        <v/>
      </c>
      <c r="G228" s="492" t="str">
        <f ca="1"/>
        <v/>
      </c>
      <c r="H228" s="492" t="str">
        <f ca="1"/>
        <v/>
      </c>
      <c r="I228" s="492" t="str">
        <f ca="1"/>
        <v/>
      </c>
      <c r="J228" s="492" t="str">
        <f ca="1"/>
        <v/>
      </c>
      <c r="K228" s="508" t="str">
        <f ca="1"/>
        <v/>
      </c>
      <c r="L228" s="515" t="str">
        <f ca="1"/>
        <v/>
      </c>
      <c r="M228" s="450" t="str">
        <f ca="1"/>
        <v/>
      </c>
      <c r="N228" s="450" t="str">
        <f ca="1"/>
        <v/>
      </c>
    </row>
    <row r="229" spans="1:14">
      <c r="A229" s="5"/>
      <c r="B229" s="249"/>
      <c r="C229" s="382" t="str">
        <f ca="1"/>
        <v/>
      </c>
      <c r="D229" s="491" t="str">
        <f ca="1"/>
        <v/>
      </c>
      <c r="E229" s="508" t="str">
        <f ca="1"/>
        <v/>
      </c>
      <c r="F229" s="491" t="str">
        <f ca="1"/>
        <v/>
      </c>
      <c r="G229" s="492" t="str">
        <f ca="1"/>
        <v/>
      </c>
      <c r="H229" s="492" t="str">
        <f ca="1"/>
        <v/>
      </c>
      <c r="I229" s="492" t="str">
        <f ca="1"/>
        <v/>
      </c>
      <c r="J229" s="492" t="str">
        <f ca="1"/>
        <v/>
      </c>
      <c r="K229" s="508" t="str">
        <f ca="1"/>
        <v/>
      </c>
      <c r="L229" s="515" t="str">
        <f ca="1"/>
        <v/>
      </c>
      <c r="M229" s="450" t="str">
        <f ca="1"/>
        <v/>
      </c>
      <c r="N229" s="450" t="str">
        <f ca="1"/>
        <v/>
      </c>
    </row>
    <row r="230" spans="1:14">
      <c r="A230" s="5"/>
      <c r="B230" s="249"/>
      <c r="C230" s="382" t="str">
        <f ca="1"/>
        <v/>
      </c>
      <c r="D230" s="491" t="str">
        <f ca="1"/>
        <v/>
      </c>
      <c r="E230" s="508" t="str">
        <f ca="1"/>
        <v/>
      </c>
      <c r="F230" s="491" t="str">
        <f ca="1"/>
        <v/>
      </c>
      <c r="G230" s="492" t="str">
        <f ca="1"/>
        <v/>
      </c>
      <c r="H230" s="492" t="str">
        <f ca="1"/>
        <v/>
      </c>
      <c r="I230" s="492" t="str">
        <f ca="1"/>
        <v/>
      </c>
      <c r="J230" s="492" t="str">
        <f ca="1"/>
        <v/>
      </c>
      <c r="K230" s="508" t="str">
        <f ca="1"/>
        <v/>
      </c>
      <c r="L230" s="515" t="str">
        <f ca="1"/>
        <v/>
      </c>
      <c r="M230" s="450" t="str">
        <f ca="1"/>
        <v/>
      </c>
      <c r="N230" s="450" t="str">
        <f ca="1"/>
        <v/>
      </c>
    </row>
    <row r="231" spans="1:14">
      <c r="A231" s="5"/>
      <c r="B231" s="249"/>
      <c r="C231" s="384" t="str">
        <f ca="1"/>
        <v/>
      </c>
      <c r="D231" s="491" t="str">
        <f ca="1"/>
        <v/>
      </c>
      <c r="E231" s="508" t="str">
        <f ca="1"/>
        <v/>
      </c>
      <c r="F231" s="491" t="str">
        <f ca="1"/>
        <v/>
      </c>
      <c r="G231" s="492" t="str">
        <f ca="1"/>
        <v/>
      </c>
      <c r="H231" s="492" t="str">
        <f ca="1"/>
        <v/>
      </c>
      <c r="I231" s="492" t="str">
        <f ca="1"/>
        <v/>
      </c>
      <c r="J231" s="492" t="str">
        <f ca="1"/>
        <v/>
      </c>
      <c r="K231" s="508" t="str">
        <f ca="1"/>
        <v/>
      </c>
      <c r="L231" s="515" t="str">
        <f ca="1"/>
        <v/>
      </c>
      <c r="M231" s="450" t="str">
        <f ca="1"/>
        <v/>
      </c>
      <c r="N231" s="450" t="str">
        <f ca="1"/>
        <v/>
      </c>
    </row>
    <row r="232" spans="1:14">
      <c r="A232" s="5"/>
      <c r="B232" s="249"/>
      <c r="C232" s="384" t="str">
        <f ca="1"/>
        <v/>
      </c>
      <c r="D232" s="491" t="str">
        <f ca="1"/>
        <v/>
      </c>
      <c r="E232" s="508" t="str">
        <f ca="1"/>
        <v/>
      </c>
      <c r="F232" s="491" t="str">
        <f ca="1"/>
        <v/>
      </c>
      <c r="G232" s="492" t="str">
        <f ca="1"/>
        <v/>
      </c>
      <c r="H232" s="492" t="str">
        <f ca="1"/>
        <v/>
      </c>
      <c r="I232" s="492" t="str">
        <f ca="1"/>
        <v/>
      </c>
      <c r="J232" s="492" t="str">
        <f ca="1"/>
        <v/>
      </c>
      <c r="K232" s="508" t="str">
        <f ca="1"/>
        <v/>
      </c>
      <c r="L232" s="515" t="str">
        <f ca="1"/>
        <v/>
      </c>
      <c r="M232" s="450" t="str">
        <f ca="1"/>
        <v/>
      </c>
      <c r="N232" s="450" t="str">
        <f ca="1"/>
        <v/>
      </c>
    </row>
    <row r="233" spans="1:14">
      <c r="A233" s="5"/>
      <c r="B233" s="249"/>
      <c r="C233" s="384" t="str">
        <f ca="1"/>
        <v/>
      </c>
      <c r="D233" s="491" t="str">
        <f ca="1"/>
        <v/>
      </c>
      <c r="E233" s="508" t="str">
        <f ca="1"/>
        <v/>
      </c>
      <c r="F233" s="491" t="str">
        <f ca="1"/>
        <v/>
      </c>
      <c r="G233" s="492" t="str">
        <f ca="1"/>
        <v/>
      </c>
      <c r="H233" s="492" t="str">
        <f ca="1"/>
        <v/>
      </c>
      <c r="I233" s="492" t="str">
        <f ca="1"/>
        <v/>
      </c>
      <c r="J233" s="492" t="str">
        <f ca="1"/>
        <v/>
      </c>
      <c r="K233" s="508" t="str">
        <f ca="1"/>
        <v/>
      </c>
      <c r="L233" s="515" t="str">
        <f ca="1"/>
        <v/>
      </c>
      <c r="M233" s="450" t="str">
        <f ca="1"/>
        <v/>
      </c>
      <c r="N233" s="450" t="str">
        <f ca="1"/>
        <v/>
      </c>
    </row>
    <row r="234" spans="1:14">
      <c r="A234" s="5"/>
      <c r="B234" s="249"/>
      <c r="C234" s="384" t="str">
        <f ca="1"/>
        <v/>
      </c>
      <c r="D234" s="491" t="str">
        <f ca="1"/>
        <v/>
      </c>
      <c r="E234" s="508" t="str">
        <f ca="1"/>
        <v/>
      </c>
      <c r="F234" s="491" t="str">
        <f ca="1"/>
        <v/>
      </c>
      <c r="G234" s="492" t="str">
        <f ca="1"/>
        <v/>
      </c>
      <c r="H234" s="492" t="str">
        <f ca="1"/>
        <v/>
      </c>
      <c r="I234" s="492" t="str">
        <f ca="1"/>
        <v/>
      </c>
      <c r="J234" s="492" t="str">
        <f ca="1"/>
        <v/>
      </c>
      <c r="K234" s="508" t="str">
        <f ca="1"/>
        <v/>
      </c>
      <c r="L234" s="515" t="str">
        <f ca="1"/>
        <v/>
      </c>
      <c r="M234" s="450" t="str">
        <f ca="1"/>
        <v/>
      </c>
      <c r="N234" s="450" t="str">
        <f ca="1"/>
        <v/>
      </c>
    </row>
    <row r="235" spans="1:14">
      <c r="A235" s="5"/>
      <c r="B235" s="249"/>
      <c r="C235" s="384" t="str">
        <f ca="1"/>
        <v/>
      </c>
      <c r="D235" s="491" t="str">
        <f ca="1"/>
        <v/>
      </c>
      <c r="E235" s="508" t="str">
        <f ca="1"/>
        <v/>
      </c>
      <c r="F235" s="491" t="str">
        <f ca="1"/>
        <v/>
      </c>
      <c r="G235" s="492" t="str">
        <f ca="1"/>
        <v/>
      </c>
      <c r="H235" s="492" t="str">
        <f ca="1"/>
        <v/>
      </c>
      <c r="I235" s="492" t="str">
        <f ca="1"/>
        <v/>
      </c>
      <c r="J235" s="492" t="str">
        <f ca="1"/>
        <v/>
      </c>
      <c r="K235" s="508" t="str">
        <f ca="1"/>
        <v/>
      </c>
      <c r="L235" s="515" t="str">
        <f ca="1"/>
        <v/>
      </c>
      <c r="M235" s="450" t="str">
        <f ca="1"/>
        <v/>
      </c>
      <c r="N235" s="450" t="str">
        <f ca="1"/>
        <v/>
      </c>
    </row>
    <row r="236" spans="1:14">
      <c r="A236" s="5"/>
      <c r="B236" s="249"/>
      <c r="C236" s="12"/>
      <c r="D236" s="491"/>
      <c r="E236" s="508"/>
      <c r="F236" s="491"/>
      <c r="G236" s="492"/>
      <c r="H236" s="492"/>
      <c r="I236" s="492"/>
      <c r="J236" s="492"/>
      <c r="K236" s="508"/>
      <c r="L236" s="515"/>
      <c r="M236" s="450"/>
      <c r="N236" s="450"/>
    </row>
    <row r="237" spans="1:14">
      <c r="A237" s="5"/>
      <c r="B237" s="249" t="str">
        <f ca="1">+'I-4 History'!B178</f>
        <v>DA-20</v>
      </c>
      <c r="C237" s="14" t="str">
        <f ca="1">+'I-4 History'!C178</f>
        <v>Guaranteed Service Level Payments</v>
      </c>
      <c r="D237" s="491"/>
      <c r="E237" s="508"/>
      <c r="F237" s="491"/>
      <c r="G237" s="492"/>
      <c r="H237" s="492"/>
      <c r="I237" s="492"/>
      <c r="J237" s="492"/>
      <c r="K237" s="508"/>
      <c r="L237" s="515"/>
      <c r="M237" s="450"/>
      <c r="N237" s="450"/>
    </row>
    <row r="238" spans="1:14">
      <c r="A238" s="5"/>
      <c r="B238" s="249"/>
      <c r="C238" s="384" t="str">
        <f t="array" ref="C238:K247" ca="1">+'DA-20'!$A$160:$I$169</f>
        <v>Step Change</v>
      </c>
      <c r="D238" s="491">
        <f ca="1"/>
        <v>0</v>
      </c>
      <c r="E238" s="508">
        <f ca="1"/>
        <v>0</v>
      </c>
      <c r="F238" s="491">
        <f ca="1"/>
        <v>0</v>
      </c>
      <c r="G238" s="492">
        <f ca="1"/>
        <v>0</v>
      </c>
      <c r="H238" s="492">
        <f ca="1"/>
        <v>0</v>
      </c>
      <c r="I238" s="492">
        <f ca="1"/>
        <v>0</v>
      </c>
      <c r="J238" s="492">
        <f ca="1"/>
        <v>0</v>
      </c>
      <c r="K238" s="508">
        <f ca="1"/>
        <v>0</v>
      </c>
      <c r="L238" s="515" t="str">
        <f t="array" ref="L238:N247" ca="1">+'DA-20'!$K$160:$M$169</f>
        <v>Proposal Step Change</v>
      </c>
      <c r="M238" s="450" t="str">
        <f ca="1"/>
        <v>Refer Opex Workings</v>
      </c>
      <c r="N238" s="450" t="str">
        <f ca="1"/>
        <v>Proposal, October 2014</v>
      </c>
    </row>
    <row r="239" spans="1:14">
      <c r="A239" s="5"/>
      <c r="B239" s="249"/>
      <c r="C239" s="382" t="str">
        <f ca="1"/>
        <v/>
      </c>
      <c r="D239" s="491" t="str">
        <f ca="1"/>
        <v/>
      </c>
      <c r="E239" s="508" t="str">
        <f ca="1"/>
        <v/>
      </c>
      <c r="F239" s="491" t="str">
        <f ca="1"/>
        <v/>
      </c>
      <c r="G239" s="492" t="str">
        <f ca="1"/>
        <v/>
      </c>
      <c r="H239" s="492" t="str">
        <f ca="1"/>
        <v/>
      </c>
      <c r="I239" s="492" t="str">
        <f ca="1"/>
        <v/>
      </c>
      <c r="J239" s="492" t="str">
        <f ca="1"/>
        <v/>
      </c>
      <c r="K239" s="508" t="str">
        <f ca="1"/>
        <v/>
      </c>
      <c r="L239" s="515" t="str">
        <f ca="1"/>
        <v/>
      </c>
      <c r="M239" s="450" t="str">
        <f ca="1"/>
        <v/>
      </c>
      <c r="N239" s="450" t="str">
        <f ca="1"/>
        <v/>
      </c>
    </row>
    <row r="240" spans="1:14">
      <c r="A240" s="5"/>
      <c r="B240" s="249"/>
      <c r="C240" s="382" t="str">
        <f ca="1"/>
        <v/>
      </c>
      <c r="D240" s="491" t="str">
        <f ca="1"/>
        <v/>
      </c>
      <c r="E240" s="508" t="str">
        <f ca="1"/>
        <v/>
      </c>
      <c r="F240" s="491" t="str">
        <f ca="1"/>
        <v/>
      </c>
      <c r="G240" s="492" t="str">
        <f ca="1"/>
        <v/>
      </c>
      <c r="H240" s="492" t="str">
        <f ca="1"/>
        <v/>
      </c>
      <c r="I240" s="492" t="str">
        <f ca="1"/>
        <v/>
      </c>
      <c r="J240" s="492" t="str">
        <f ca="1"/>
        <v/>
      </c>
      <c r="K240" s="508" t="str">
        <f ca="1"/>
        <v/>
      </c>
      <c r="L240" s="515" t="str">
        <f ca="1"/>
        <v/>
      </c>
      <c r="M240" s="450" t="str">
        <f ca="1"/>
        <v/>
      </c>
      <c r="N240" s="450" t="str">
        <f ca="1"/>
        <v/>
      </c>
    </row>
    <row r="241" spans="1:14">
      <c r="A241" s="5"/>
      <c r="B241" s="249"/>
      <c r="C241" s="382" t="str">
        <f ca="1"/>
        <v/>
      </c>
      <c r="D241" s="491" t="str">
        <f ca="1"/>
        <v/>
      </c>
      <c r="E241" s="508" t="str">
        <f ca="1"/>
        <v/>
      </c>
      <c r="F241" s="491" t="str">
        <f ca="1"/>
        <v/>
      </c>
      <c r="G241" s="492" t="str">
        <f ca="1"/>
        <v/>
      </c>
      <c r="H241" s="492" t="str">
        <f ca="1"/>
        <v/>
      </c>
      <c r="I241" s="492" t="str">
        <f ca="1"/>
        <v/>
      </c>
      <c r="J241" s="492" t="str">
        <f ca="1"/>
        <v/>
      </c>
      <c r="K241" s="508" t="str">
        <f ca="1"/>
        <v/>
      </c>
      <c r="L241" s="515" t="str">
        <f ca="1"/>
        <v/>
      </c>
      <c r="M241" s="450" t="str">
        <f ca="1"/>
        <v/>
      </c>
      <c r="N241" s="450" t="str">
        <f ca="1"/>
        <v/>
      </c>
    </row>
    <row r="242" spans="1:14">
      <c r="A242" s="5"/>
      <c r="B242" s="249"/>
      <c r="C242" s="382" t="str">
        <f ca="1"/>
        <v/>
      </c>
      <c r="D242" s="491" t="str">
        <f ca="1"/>
        <v/>
      </c>
      <c r="E242" s="508" t="str">
        <f ca="1"/>
        <v/>
      </c>
      <c r="F242" s="491" t="str">
        <f ca="1"/>
        <v/>
      </c>
      <c r="G242" s="492" t="str">
        <f ca="1"/>
        <v/>
      </c>
      <c r="H242" s="492" t="str">
        <f ca="1"/>
        <v/>
      </c>
      <c r="I242" s="492" t="str">
        <f ca="1"/>
        <v/>
      </c>
      <c r="J242" s="492" t="str">
        <f ca="1"/>
        <v/>
      </c>
      <c r="K242" s="508" t="str">
        <f ca="1"/>
        <v/>
      </c>
      <c r="L242" s="515" t="str">
        <f ca="1"/>
        <v/>
      </c>
      <c r="M242" s="450" t="str">
        <f ca="1"/>
        <v/>
      </c>
      <c r="N242" s="450" t="str">
        <f ca="1"/>
        <v/>
      </c>
    </row>
    <row r="243" spans="1:14">
      <c r="A243" s="5"/>
      <c r="B243" s="249"/>
      <c r="C243" s="384" t="str">
        <f ca="1"/>
        <v/>
      </c>
      <c r="D243" s="491" t="str">
        <f ca="1"/>
        <v/>
      </c>
      <c r="E243" s="508" t="str">
        <f ca="1"/>
        <v/>
      </c>
      <c r="F243" s="491" t="str">
        <f ca="1"/>
        <v/>
      </c>
      <c r="G243" s="492" t="str">
        <f ca="1"/>
        <v/>
      </c>
      <c r="H243" s="492" t="str">
        <f ca="1"/>
        <v/>
      </c>
      <c r="I243" s="492" t="str">
        <f ca="1"/>
        <v/>
      </c>
      <c r="J243" s="492" t="str">
        <f ca="1"/>
        <v/>
      </c>
      <c r="K243" s="508" t="str">
        <f ca="1"/>
        <v/>
      </c>
      <c r="L243" s="515" t="str">
        <f ca="1"/>
        <v/>
      </c>
      <c r="M243" s="450" t="str">
        <f ca="1"/>
        <v/>
      </c>
      <c r="N243" s="450" t="str">
        <f ca="1"/>
        <v/>
      </c>
    </row>
    <row r="244" spans="1:14">
      <c r="A244" s="5"/>
      <c r="B244" s="249"/>
      <c r="C244" s="384" t="str">
        <f ca="1"/>
        <v/>
      </c>
      <c r="D244" s="491" t="str">
        <f ca="1"/>
        <v/>
      </c>
      <c r="E244" s="508" t="str">
        <f ca="1"/>
        <v/>
      </c>
      <c r="F244" s="491" t="str">
        <f ca="1"/>
        <v/>
      </c>
      <c r="G244" s="492" t="str">
        <f ca="1"/>
        <v/>
      </c>
      <c r="H244" s="492" t="str">
        <f ca="1"/>
        <v/>
      </c>
      <c r="I244" s="492" t="str">
        <f ca="1"/>
        <v/>
      </c>
      <c r="J244" s="492" t="str">
        <f ca="1"/>
        <v/>
      </c>
      <c r="K244" s="508" t="str">
        <f ca="1"/>
        <v/>
      </c>
      <c r="L244" s="515" t="str">
        <f ca="1"/>
        <v/>
      </c>
      <c r="M244" s="450" t="str">
        <f ca="1"/>
        <v/>
      </c>
      <c r="N244" s="450" t="str">
        <f ca="1"/>
        <v/>
      </c>
    </row>
    <row r="245" spans="1:14">
      <c r="A245" s="5"/>
      <c r="B245" s="249"/>
      <c r="C245" s="384" t="str">
        <f ca="1"/>
        <v/>
      </c>
      <c r="D245" s="491" t="str">
        <f ca="1"/>
        <v/>
      </c>
      <c r="E245" s="508" t="str">
        <f ca="1"/>
        <v/>
      </c>
      <c r="F245" s="491" t="str">
        <f ca="1"/>
        <v/>
      </c>
      <c r="G245" s="492" t="str">
        <f ca="1"/>
        <v/>
      </c>
      <c r="H245" s="492" t="str">
        <f ca="1"/>
        <v/>
      </c>
      <c r="I245" s="492" t="str">
        <f ca="1"/>
        <v/>
      </c>
      <c r="J245" s="492" t="str">
        <f ca="1"/>
        <v/>
      </c>
      <c r="K245" s="508" t="str">
        <f ca="1"/>
        <v/>
      </c>
      <c r="L245" s="515" t="str">
        <f ca="1"/>
        <v/>
      </c>
      <c r="M245" s="450" t="str">
        <f ca="1"/>
        <v/>
      </c>
      <c r="N245" s="450" t="str">
        <f ca="1"/>
        <v/>
      </c>
    </row>
    <row r="246" spans="1:14">
      <c r="A246" s="5"/>
      <c r="B246" s="249"/>
      <c r="C246" s="384" t="str">
        <f ca="1"/>
        <v/>
      </c>
      <c r="D246" s="491" t="str">
        <f ca="1"/>
        <v/>
      </c>
      <c r="E246" s="508" t="str">
        <f ca="1"/>
        <v/>
      </c>
      <c r="F246" s="491" t="str">
        <f ca="1"/>
        <v/>
      </c>
      <c r="G246" s="492" t="str">
        <f ca="1"/>
        <v/>
      </c>
      <c r="H246" s="492" t="str">
        <f ca="1"/>
        <v/>
      </c>
      <c r="I246" s="492" t="str">
        <f ca="1"/>
        <v/>
      </c>
      <c r="J246" s="492" t="str">
        <f ca="1"/>
        <v/>
      </c>
      <c r="K246" s="508" t="str">
        <f ca="1"/>
        <v/>
      </c>
      <c r="L246" s="515" t="str">
        <f ca="1"/>
        <v/>
      </c>
      <c r="M246" s="450" t="str">
        <f ca="1"/>
        <v/>
      </c>
      <c r="N246" s="450" t="str">
        <f ca="1"/>
        <v/>
      </c>
    </row>
    <row r="247" spans="1:14">
      <c r="A247" s="5"/>
      <c r="B247" s="249"/>
      <c r="C247" s="384" t="str">
        <f ca="1"/>
        <v/>
      </c>
      <c r="D247" s="491" t="str">
        <f ca="1"/>
        <v/>
      </c>
      <c r="E247" s="508" t="str">
        <f ca="1"/>
        <v/>
      </c>
      <c r="F247" s="491" t="str">
        <f ca="1"/>
        <v/>
      </c>
      <c r="G247" s="492" t="str">
        <f ca="1"/>
        <v/>
      </c>
      <c r="H247" s="492" t="str">
        <f ca="1"/>
        <v/>
      </c>
      <c r="I247" s="492" t="str">
        <f ca="1"/>
        <v/>
      </c>
      <c r="J247" s="492" t="str">
        <f ca="1"/>
        <v/>
      </c>
      <c r="K247" s="508" t="str">
        <f ca="1"/>
        <v/>
      </c>
      <c r="L247" s="515" t="str">
        <f ca="1"/>
        <v/>
      </c>
      <c r="M247" s="450" t="str">
        <f ca="1"/>
        <v/>
      </c>
      <c r="N247" s="450" t="str">
        <f ca="1"/>
        <v/>
      </c>
    </row>
    <row r="248" spans="1:14">
      <c r="A248" s="5"/>
      <c r="B248" s="249"/>
      <c r="C248" s="12"/>
      <c r="D248" s="491"/>
      <c r="E248" s="508"/>
      <c r="F248" s="491"/>
      <c r="G248" s="492"/>
      <c r="H248" s="492"/>
      <c r="I248" s="492"/>
      <c r="J248" s="492"/>
      <c r="K248" s="508"/>
      <c r="L248" s="515"/>
      <c r="M248" s="450"/>
      <c r="N248" s="450"/>
    </row>
    <row r="249" spans="1:14">
      <c r="A249" s="5"/>
      <c r="B249" s="249" t="str">
        <f ca="1">+'I-4 History'!B187</f>
        <v>DA-21</v>
      </c>
      <c r="C249" s="14" t="str">
        <f ca="1">+'I-4 History'!C187</f>
        <v>Property – Substation Sites</v>
      </c>
      <c r="D249" s="491"/>
      <c r="E249" s="508"/>
      <c r="F249" s="491"/>
      <c r="G249" s="492"/>
      <c r="H249" s="492"/>
      <c r="I249" s="492"/>
      <c r="J249" s="492"/>
      <c r="K249" s="508"/>
      <c r="L249" s="515"/>
      <c r="M249" s="450"/>
      <c r="N249" s="450"/>
    </row>
    <row r="250" spans="1:14">
      <c r="A250" s="5"/>
      <c r="B250" s="249"/>
      <c r="C250" s="384" t="str">
        <f t="array" ref="C250:K259" ca="1">+'DA-21'!$A$160:$I$169</f>
        <v>Step Change</v>
      </c>
      <c r="D250" s="491">
        <f ca="1"/>
        <v>0</v>
      </c>
      <c r="E250" s="508">
        <f ca="1"/>
        <v>0</v>
      </c>
      <c r="F250" s="491">
        <f ca="1"/>
        <v>0</v>
      </c>
      <c r="G250" s="492">
        <f ca="1"/>
        <v>0</v>
      </c>
      <c r="H250" s="492">
        <f ca="1"/>
        <v>0</v>
      </c>
      <c r="I250" s="492">
        <f ca="1"/>
        <v>0</v>
      </c>
      <c r="J250" s="492">
        <f ca="1"/>
        <v>0</v>
      </c>
      <c r="K250" s="508">
        <f ca="1"/>
        <v>0</v>
      </c>
      <c r="L250" s="515" t="str">
        <f t="array" ref="L250:N259" ca="1">+'DA-21'!$K$160:$M$169</f>
        <v>Proposal Step Change</v>
      </c>
      <c r="M250" s="450" t="str">
        <f ca="1"/>
        <v>Refer Opex Workings</v>
      </c>
      <c r="N250" s="450" t="str">
        <f ca="1"/>
        <v>Proposal, October 2014</v>
      </c>
    </row>
    <row r="251" spans="1:14">
      <c r="A251" s="5"/>
      <c r="B251" s="249"/>
      <c r="C251" s="382" t="str">
        <f ca="1"/>
        <v/>
      </c>
      <c r="D251" s="491" t="str">
        <f ca="1"/>
        <v/>
      </c>
      <c r="E251" s="508" t="str">
        <f ca="1"/>
        <v/>
      </c>
      <c r="F251" s="491" t="str">
        <f ca="1"/>
        <v/>
      </c>
      <c r="G251" s="492" t="str">
        <f ca="1"/>
        <v/>
      </c>
      <c r="H251" s="492" t="str">
        <f ca="1"/>
        <v/>
      </c>
      <c r="I251" s="492" t="str">
        <f ca="1"/>
        <v/>
      </c>
      <c r="J251" s="492" t="str">
        <f ca="1"/>
        <v/>
      </c>
      <c r="K251" s="508" t="str">
        <f ca="1"/>
        <v/>
      </c>
      <c r="L251" s="515" t="str">
        <f ca="1"/>
        <v/>
      </c>
      <c r="M251" s="450" t="str">
        <f ca="1"/>
        <v/>
      </c>
      <c r="N251" s="450" t="str">
        <f ca="1"/>
        <v/>
      </c>
    </row>
    <row r="252" spans="1:14">
      <c r="A252" s="5"/>
      <c r="B252" s="249"/>
      <c r="C252" s="382" t="str">
        <f ca="1"/>
        <v/>
      </c>
      <c r="D252" s="491" t="str">
        <f ca="1"/>
        <v/>
      </c>
      <c r="E252" s="508" t="str">
        <f ca="1"/>
        <v/>
      </c>
      <c r="F252" s="491" t="str">
        <f ca="1"/>
        <v/>
      </c>
      <c r="G252" s="492" t="str">
        <f ca="1"/>
        <v/>
      </c>
      <c r="H252" s="492" t="str">
        <f ca="1"/>
        <v/>
      </c>
      <c r="I252" s="492" t="str">
        <f ca="1"/>
        <v/>
      </c>
      <c r="J252" s="492" t="str">
        <f ca="1"/>
        <v/>
      </c>
      <c r="K252" s="508" t="str">
        <f ca="1"/>
        <v/>
      </c>
      <c r="L252" s="515" t="str">
        <f ca="1"/>
        <v/>
      </c>
      <c r="M252" s="450" t="str">
        <f ca="1"/>
        <v/>
      </c>
      <c r="N252" s="450" t="str">
        <f ca="1"/>
        <v/>
      </c>
    </row>
    <row r="253" spans="1:14">
      <c r="A253" s="5"/>
      <c r="B253" s="249"/>
      <c r="C253" s="382" t="str">
        <f ca="1"/>
        <v/>
      </c>
      <c r="D253" s="491" t="str">
        <f ca="1"/>
        <v/>
      </c>
      <c r="E253" s="508" t="str">
        <f ca="1"/>
        <v/>
      </c>
      <c r="F253" s="491" t="str">
        <f ca="1"/>
        <v/>
      </c>
      <c r="G253" s="492" t="str">
        <f ca="1"/>
        <v/>
      </c>
      <c r="H253" s="492" t="str">
        <f ca="1"/>
        <v/>
      </c>
      <c r="I253" s="492" t="str">
        <f ca="1"/>
        <v/>
      </c>
      <c r="J253" s="492" t="str">
        <f ca="1"/>
        <v/>
      </c>
      <c r="K253" s="508" t="str">
        <f ca="1"/>
        <v/>
      </c>
      <c r="L253" s="515" t="str">
        <f ca="1"/>
        <v/>
      </c>
      <c r="M253" s="450" t="str">
        <f ca="1"/>
        <v/>
      </c>
      <c r="N253" s="450" t="str">
        <f ca="1"/>
        <v/>
      </c>
    </row>
    <row r="254" spans="1:14">
      <c r="A254" s="5"/>
      <c r="B254" s="249"/>
      <c r="C254" s="382" t="str">
        <f ca="1"/>
        <v/>
      </c>
      <c r="D254" s="491" t="str">
        <f ca="1"/>
        <v/>
      </c>
      <c r="E254" s="508" t="str">
        <f ca="1"/>
        <v/>
      </c>
      <c r="F254" s="491" t="str">
        <f ca="1"/>
        <v/>
      </c>
      <c r="G254" s="492" t="str">
        <f ca="1"/>
        <v/>
      </c>
      <c r="H254" s="492" t="str">
        <f ca="1"/>
        <v/>
      </c>
      <c r="I254" s="492" t="str">
        <f ca="1"/>
        <v/>
      </c>
      <c r="J254" s="492" t="str">
        <f ca="1"/>
        <v/>
      </c>
      <c r="K254" s="508" t="str">
        <f ca="1"/>
        <v/>
      </c>
      <c r="L254" s="515" t="str">
        <f ca="1"/>
        <v/>
      </c>
      <c r="M254" s="450" t="str">
        <f ca="1"/>
        <v/>
      </c>
      <c r="N254" s="450" t="str">
        <f ca="1"/>
        <v/>
      </c>
    </row>
    <row r="255" spans="1:14">
      <c r="A255" s="5"/>
      <c r="B255" s="249"/>
      <c r="C255" s="384" t="str">
        <f ca="1"/>
        <v/>
      </c>
      <c r="D255" s="491" t="str">
        <f ca="1"/>
        <v/>
      </c>
      <c r="E255" s="508" t="str">
        <f ca="1"/>
        <v/>
      </c>
      <c r="F255" s="491" t="str">
        <f ca="1"/>
        <v/>
      </c>
      <c r="G255" s="492" t="str">
        <f ca="1"/>
        <v/>
      </c>
      <c r="H255" s="492" t="str">
        <f ca="1"/>
        <v/>
      </c>
      <c r="I255" s="492" t="str">
        <f ca="1"/>
        <v/>
      </c>
      <c r="J255" s="492" t="str">
        <f ca="1"/>
        <v/>
      </c>
      <c r="K255" s="508" t="str">
        <f ca="1"/>
        <v/>
      </c>
      <c r="L255" s="515" t="str">
        <f ca="1"/>
        <v/>
      </c>
      <c r="M255" s="450" t="str">
        <f ca="1"/>
        <v/>
      </c>
      <c r="N255" s="450" t="str">
        <f ca="1"/>
        <v/>
      </c>
    </row>
    <row r="256" spans="1:14">
      <c r="A256" s="5"/>
      <c r="B256" s="249"/>
      <c r="C256" s="384" t="str">
        <f ca="1"/>
        <v/>
      </c>
      <c r="D256" s="491" t="str">
        <f ca="1"/>
        <v/>
      </c>
      <c r="E256" s="508" t="str">
        <f ca="1"/>
        <v/>
      </c>
      <c r="F256" s="491" t="str">
        <f ca="1"/>
        <v/>
      </c>
      <c r="G256" s="492" t="str">
        <f ca="1"/>
        <v/>
      </c>
      <c r="H256" s="492" t="str">
        <f ca="1"/>
        <v/>
      </c>
      <c r="I256" s="492" t="str">
        <f ca="1"/>
        <v/>
      </c>
      <c r="J256" s="492" t="str">
        <f ca="1"/>
        <v/>
      </c>
      <c r="K256" s="508" t="str">
        <f ca="1"/>
        <v/>
      </c>
      <c r="L256" s="515" t="str">
        <f ca="1"/>
        <v/>
      </c>
      <c r="M256" s="450" t="str">
        <f ca="1"/>
        <v/>
      </c>
      <c r="N256" s="450" t="str">
        <f ca="1"/>
        <v/>
      </c>
    </row>
    <row r="257" spans="1:14">
      <c r="A257" s="5"/>
      <c r="B257" s="249"/>
      <c r="C257" s="384" t="str">
        <f ca="1"/>
        <v/>
      </c>
      <c r="D257" s="491" t="str">
        <f ca="1"/>
        <v/>
      </c>
      <c r="E257" s="508" t="str">
        <f ca="1"/>
        <v/>
      </c>
      <c r="F257" s="491" t="str">
        <f ca="1"/>
        <v/>
      </c>
      <c r="G257" s="492" t="str">
        <f ca="1"/>
        <v/>
      </c>
      <c r="H257" s="492" t="str">
        <f ca="1"/>
        <v/>
      </c>
      <c r="I257" s="492" t="str">
        <f ca="1"/>
        <v/>
      </c>
      <c r="J257" s="492" t="str">
        <f ca="1"/>
        <v/>
      </c>
      <c r="K257" s="508" t="str">
        <f ca="1"/>
        <v/>
      </c>
      <c r="L257" s="515" t="str">
        <f ca="1"/>
        <v/>
      </c>
      <c r="M257" s="450" t="str">
        <f ca="1"/>
        <v/>
      </c>
      <c r="N257" s="450" t="str">
        <f ca="1"/>
        <v/>
      </c>
    </row>
    <row r="258" spans="1:14">
      <c r="A258" s="5"/>
      <c r="B258" s="249"/>
      <c r="C258" s="384" t="str">
        <f ca="1"/>
        <v/>
      </c>
      <c r="D258" s="491" t="str">
        <f ca="1"/>
        <v/>
      </c>
      <c r="E258" s="508" t="str">
        <f ca="1"/>
        <v/>
      </c>
      <c r="F258" s="491" t="str">
        <f ca="1"/>
        <v/>
      </c>
      <c r="G258" s="492" t="str">
        <f ca="1"/>
        <v/>
      </c>
      <c r="H258" s="492" t="str">
        <f ca="1"/>
        <v/>
      </c>
      <c r="I258" s="492" t="str">
        <f ca="1"/>
        <v/>
      </c>
      <c r="J258" s="492" t="str">
        <f ca="1"/>
        <v/>
      </c>
      <c r="K258" s="508" t="str">
        <f ca="1"/>
        <v/>
      </c>
      <c r="L258" s="515" t="str">
        <f ca="1"/>
        <v/>
      </c>
      <c r="M258" s="450" t="str">
        <f ca="1"/>
        <v/>
      </c>
      <c r="N258" s="450" t="str">
        <f ca="1"/>
        <v/>
      </c>
    </row>
    <row r="259" spans="1:14">
      <c r="A259" s="5"/>
      <c r="B259" s="249"/>
      <c r="C259" s="384" t="str">
        <f ca="1"/>
        <v/>
      </c>
      <c r="D259" s="491" t="str">
        <f ca="1"/>
        <v/>
      </c>
      <c r="E259" s="508" t="str">
        <f ca="1"/>
        <v/>
      </c>
      <c r="F259" s="491" t="str">
        <f ca="1"/>
        <v/>
      </c>
      <c r="G259" s="492" t="str">
        <f ca="1"/>
        <v/>
      </c>
      <c r="H259" s="492" t="str">
        <f ca="1"/>
        <v/>
      </c>
      <c r="I259" s="492" t="str">
        <f ca="1"/>
        <v/>
      </c>
      <c r="J259" s="492" t="str">
        <f ca="1"/>
        <v/>
      </c>
      <c r="K259" s="508" t="str">
        <f ca="1"/>
        <v/>
      </c>
      <c r="L259" s="515" t="str">
        <f ca="1"/>
        <v/>
      </c>
      <c r="M259" s="450" t="str">
        <f ca="1"/>
        <v/>
      </c>
      <c r="N259" s="450" t="str">
        <f ca="1"/>
        <v/>
      </c>
    </row>
    <row r="260" spans="1:14">
      <c r="A260" s="5"/>
      <c r="B260" s="249"/>
      <c r="C260" s="12"/>
      <c r="D260" s="491"/>
      <c r="E260" s="508"/>
      <c r="F260" s="491"/>
      <c r="G260" s="492"/>
      <c r="H260" s="492"/>
      <c r="I260" s="492"/>
      <c r="J260" s="492"/>
      <c r="K260" s="508"/>
      <c r="L260" s="515"/>
      <c r="M260" s="450"/>
      <c r="N260" s="450"/>
    </row>
    <row r="261" spans="1:14">
      <c r="A261" s="5"/>
      <c r="B261" s="249" t="str">
        <f ca="1">+'I-4 History'!B196</f>
        <v>DA-22</v>
      </c>
      <c r="C261" s="14" t="str">
        <f ca="1">+'I-4 History'!C196</f>
        <v>Network Insurance</v>
      </c>
      <c r="D261" s="491"/>
      <c r="E261" s="508"/>
      <c r="F261" s="491"/>
      <c r="G261" s="492"/>
      <c r="H261" s="492"/>
      <c r="I261" s="492"/>
      <c r="J261" s="492"/>
      <c r="K261" s="508"/>
      <c r="L261" s="515"/>
      <c r="M261" s="450"/>
      <c r="N261" s="450"/>
    </row>
    <row r="262" spans="1:14">
      <c r="A262" s="5"/>
      <c r="B262" s="249"/>
      <c r="C262" s="384" t="str">
        <f t="array" ref="C262:K271" ca="1">+'DA-22'!$A$160:$I$169</f>
        <v>Step Change</v>
      </c>
      <c r="D262" s="491">
        <f ca="1"/>
        <v>0</v>
      </c>
      <c r="E262" s="508">
        <f ca="1"/>
        <v>0</v>
      </c>
      <c r="F262" s="491">
        <f ca="1"/>
        <v>0</v>
      </c>
      <c r="G262" s="492">
        <f ca="1"/>
        <v>0</v>
      </c>
      <c r="H262" s="492">
        <f ca="1"/>
        <v>0</v>
      </c>
      <c r="I262" s="492">
        <f ca="1"/>
        <v>0</v>
      </c>
      <c r="J262" s="492">
        <f ca="1"/>
        <v>0</v>
      </c>
      <c r="K262" s="508">
        <f ca="1"/>
        <v>0</v>
      </c>
      <c r="L262" s="515" t="str">
        <f t="array" ref="L262:N271" ca="1">+'DA-22'!$K$160:$M$169</f>
        <v>Proposal Step Change</v>
      </c>
      <c r="M262" s="450" t="str">
        <f ca="1"/>
        <v>Refer Opex Workings</v>
      </c>
      <c r="N262" s="450" t="str">
        <f ca="1"/>
        <v>Proposal, October 2014</v>
      </c>
    </row>
    <row r="263" spans="1:14">
      <c r="A263" s="5"/>
      <c r="B263" s="249"/>
      <c r="C263" s="382" t="str">
        <f ca="1"/>
        <v/>
      </c>
      <c r="D263" s="491" t="str">
        <f ca="1"/>
        <v/>
      </c>
      <c r="E263" s="508" t="str">
        <f ca="1"/>
        <v/>
      </c>
      <c r="F263" s="491" t="str">
        <f ca="1"/>
        <v/>
      </c>
      <c r="G263" s="492" t="str">
        <f ca="1"/>
        <v/>
      </c>
      <c r="H263" s="492" t="str">
        <f ca="1"/>
        <v/>
      </c>
      <c r="I263" s="492" t="str">
        <f ca="1"/>
        <v/>
      </c>
      <c r="J263" s="492" t="str">
        <f ca="1"/>
        <v/>
      </c>
      <c r="K263" s="508" t="str">
        <f ca="1"/>
        <v/>
      </c>
      <c r="L263" s="515" t="str">
        <f ca="1"/>
        <v/>
      </c>
      <c r="M263" s="450" t="str">
        <f ca="1"/>
        <v/>
      </c>
      <c r="N263" s="450" t="str">
        <f ca="1"/>
        <v/>
      </c>
    </row>
    <row r="264" spans="1:14">
      <c r="A264" s="5"/>
      <c r="B264" s="249"/>
      <c r="C264" s="382" t="str">
        <f ca="1"/>
        <v/>
      </c>
      <c r="D264" s="491" t="str">
        <f ca="1"/>
        <v/>
      </c>
      <c r="E264" s="508" t="str">
        <f ca="1"/>
        <v/>
      </c>
      <c r="F264" s="491" t="str">
        <f ca="1"/>
        <v/>
      </c>
      <c r="G264" s="492" t="str">
        <f ca="1"/>
        <v/>
      </c>
      <c r="H264" s="492" t="str">
        <f ca="1"/>
        <v/>
      </c>
      <c r="I264" s="492" t="str">
        <f ca="1"/>
        <v/>
      </c>
      <c r="J264" s="492" t="str">
        <f ca="1"/>
        <v/>
      </c>
      <c r="K264" s="508" t="str">
        <f ca="1"/>
        <v/>
      </c>
      <c r="L264" s="515" t="str">
        <f ca="1"/>
        <v/>
      </c>
      <c r="M264" s="450" t="str">
        <f ca="1"/>
        <v/>
      </c>
      <c r="N264" s="450" t="str">
        <f ca="1"/>
        <v/>
      </c>
    </row>
    <row r="265" spans="1:14">
      <c r="A265" s="5"/>
      <c r="B265" s="249"/>
      <c r="C265" s="382" t="str">
        <f ca="1"/>
        <v/>
      </c>
      <c r="D265" s="491" t="str">
        <f ca="1"/>
        <v/>
      </c>
      <c r="E265" s="508" t="str">
        <f ca="1"/>
        <v/>
      </c>
      <c r="F265" s="491" t="str">
        <f ca="1"/>
        <v/>
      </c>
      <c r="G265" s="492" t="str">
        <f ca="1"/>
        <v/>
      </c>
      <c r="H265" s="492" t="str">
        <f ca="1"/>
        <v/>
      </c>
      <c r="I265" s="492" t="str">
        <f ca="1"/>
        <v/>
      </c>
      <c r="J265" s="492" t="str">
        <f ca="1"/>
        <v/>
      </c>
      <c r="K265" s="508" t="str">
        <f ca="1"/>
        <v/>
      </c>
      <c r="L265" s="515" t="str">
        <f ca="1"/>
        <v/>
      </c>
      <c r="M265" s="450" t="str">
        <f ca="1"/>
        <v/>
      </c>
      <c r="N265" s="450" t="str">
        <f ca="1"/>
        <v/>
      </c>
    </row>
    <row r="266" spans="1:14">
      <c r="A266" s="5"/>
      <c r="B266" s="249"/>
      <c r="C266" s="382" t="str">
        <f ca="1"/>
        <v/>
      </c>
      <c r="D266" s="491" t="str">
        <f ca="1"/>
        <v/>
      </c>
      <c r="E266" s="508" t="str">
        <f ca="1"/>
        <v/>
      </c>
      <c r="F266" s="491" t="str">
        <f ca="1"/>
        <v/>
      </c>
      <c r="G266" s="492" t="str">
        <f ca="1"/>
        <v/>
      </c>
      <c r="H266" s="492" t="str">
        <f ca="1"/>
        <v/>
      </c>
      <c r="I266" s="492" t="str">
        <f ca="1"/>
        <v/>
      </c>
      <c r="J266" s="492" t="str">
        <f ca="1"/>
        <v/>
      </c>
      <c r="K266" s="508" t="str">
        <f ca="1"/>
        <v/>
      </c>
      <c r="L266" s="515" t="str">
        <f ca="1"/>
        <v/>
      </c>
      <c r="M266" s="450" t="str">
        <f ca="1"/>
        <v/>
      </c>
      <c r="N266" s="450" t="str">
        <f ca="1"/>
        <v/>
      </c>
    </row>
    <row r="267" spans="1:14">
      <c r="A267" s="5"/>
      <c r="B267" s="249"/>
      <c r="C267" s="384" t="str">
        <f ca="1"/>
        <v/>
      </c>
      <c r="D267" s="491" t="str">
        <f ca="1"/>
        <v/>
      </c>
      <c r="E267" s="508" t="str">
        <f ca="1"/>
        <v/>
      </c>
      <c r="F267" s="491" t="str">
        <f ca="1"/>
        <v/>
      </c>
      <c r="G267" s="492" t="str">
        <f ca="1"/>
        <v/>
      </c>
      <c r="H267" s="492" t="str">
        <f ca="1"/>
        <v/>
      </c>
      <c r="I267" s="492" t="str">
        <f ca="1"/>
        <v/>
      </c>
      <c r="J267" s="492" t="str">
        <f ca="1"/>
        <v/>
      </c>
      <c r="K267" s="508" t="str">
        <f ca="1"/>
        <v/>
      </c>
      <c r="L267" s="515" t="str">
        <f ca="1"/>
        <v/>
      </c>
      <c r="M267" s="450" t="str">
        <f ca="1"/>
        <v/>
      </c>
      <c r="N267" s="450" t="str">
        <f ca="1"/>
        <v/>
      </c>
    </row>
    <row r="268" spans="1:14">
      <c r="A268" s="5"/>
      <c r="B268" s="249"/>
      <c r="C268" s="384" t="str">
        <f ca="1"/>
        <v/>
      </c>
      <c r="D268" s="491" t="str">
        <f ca="1"/>
        <v/>
      </c>
      <c r="E268" s="508" t="str">
        <f ca="1"/>
        <v/>
      </c>
      <c r="F268" s="491" t="str">
        <f ca="1"/>
        <v/>
      </c>
      <c r="G268" s="492" t="str">
        <f ca="1"/>
        <v/>
      </c>
      <c r="H268" s="492" t="str">
        <f ca="1"/>
        <v/>
      </c>
      <c r="I268" s="492" t="str">
        <f ca="1"/>
        <v/>
      </c>
      <c r="J268" s="492" t="str">
        <f ca="1"/>
        <v/>
      </c>
      <c r="K268" s="508" t="str">
        <f ca="1"/>
        <v/>
      </c>
      <c r="L268" s="515" t="str">
        <f ca="1"/>
        <v/>
      </c>
      <c r="M268" s="450" t="str">
        <f ca="1"/>
        <v/>
      </c>
      <c r="N268" s="450" t="str">
        <f ca="1"/>
        <v/>
      </c>
    </row>
    <row r="269" spans="1:14">
      <c r="A269" s="5"/>
      <c r="B269" s="249"/>
      <c r="C269" s="384" t="str">
        <f ca="1"/>
        <v/>
      </c>
      <c r="D269" s="491" t="str">
        <f ca="1"/>
        <v/>
      </c>
      <c r="E269" s="508" t="str">
        <f ca="1"/>
        <v/>
      </c>
      <c r="F269" s="491" t="str">
        <f ca="1"/>
        <v/>
      </c>
      <c r="G269" s="492" t="str">
        <f ca="1"/>
        <v/>
      </c>
      <c r="H269" s="492" t="str">
        <f ca="1"/>
        <v/>
      </c>
      <c r="I269" s="492" t="str">
        <f ca="1"/>
        <v/>
      </c>
      <c r="J269" s="492" t="str">
        <f ca="1"/>
        <v/>
      </c>
      <c r="K269" s="508" t="str">
        <f ca="1"/>
        <v/>
      </c>
      <c r="L269" s="515" t="str">
        <f ca="1"/>
        <v/>
      </c>
      <c r="M269" s="450" t="str">
        <f ca="1"/>
        <v/>
      </c>
      <c r="N269" s="450" t="str">
        <f ca="1"/>
        <v/>
      </c>
    </row>
    <row r="270" spans="1:14">
      <c r="A270" s="5"/>
      <c r="B270" s="249"/>
      <c r="C270" s="384" t="str">
        <f ca="1"/>
        <v/>
      </c>
      <c r="D270" s="491" t="str">
        <f ca="1"/>
        <v/>
      </c>
      <c r="E270" s="508" t="str">
        <f ca="1"/>
        <v/>
      </c>
      <c r="F270" s="491" t="str">
        <f ca="1"/>
        <v/>
      </c>
      <c r="G270" s="492" t="str">
        <f ca="1"/>
        <v/>
      </c>
      <c r="H270" s="492" t="str">
        <f ca="1"/>
        <v/>
      </c>
      <c r="I270" s="492" t="str">
        <f ca="1"/>
        <v/>
      </c>
      <c r="J270" s="492" t="str">
        <f ca="1"/>
        <v/>
      </c>
      <c r="K270" s="508" t="str">
        <f ca="1"/>
        <v/>
      </c>
      <c r="L270" s="515" t="str">
        <f ca="1"/>
        <v/>
      </c>
      <c r="M270" s="450" t="str">
        <f ca="1"/>
        <v/>
      </c>
      <c r="N270" s="450" t="str">
        <f ca="1"/>
        <v/>
      </c>
    </row>
    <row r="271" spans="1:14">
      <c r="A271" s="5"/>
      <c r="B271" s="249"/>
      <c r="C271" s="384" t="str">
        <f ca="1"/>
        <v/>
      </c>
      <c r="D271" s="491" t="str">
        <f ca="1"/>
        <v/>
      </c>
      <c r="E271" s="508" t="str">
        <f ca="1"/>
        <v/>
      </c>
      <c r="F271" s="491" t="str">
        <f ca="1"/>
        <v/>
      </c>
      <c r="G271" s="492" t="str">
        <f ca="1"/>
        <v/>
      </c>
      <c r="H271" s="492" t="str">
        <f ca="1"/>
        <v/>
      </c>
      <c r="I271" s="492" t="str">
        <f ca="1"/>
        <v/>
      </c>
      <c r="J271" s="492" t="str">
        <f ca="1"/>
        <v/>
      </c>
      <c r="K271" s="508" t="str">
        <f ca="1"/>
        <v/>
      </c>
      <c r="L271" s="515" t="str">
        <f ca="1"/>
        <v/>
      </c>
      <c r="M271" s="450" t="str">
        <f ca="1"/>
        <v/>
      </c>
      <c r="N271" s="450" t="str">
        <f ca="1"/>
        <v/>
      </c>
    </row>
    <row r="272" spans="1:14">
      <c r="A272" s="5"/>
      <c r="B272" s="249"/>
      <c r="C272" s="12"/>
      <c r="D272" s="491"/>
      <c r="E272" s="508"/>
      <c r="F272" s="491"/>
      <c r="G272" s="492"/>
      <c r="H272" s="492"/>
      <c r="I272" s="492"/>
      <c r="J272" s="492"/>
      <c r="K272" s="508"/>
      <c r="L272" s="515"/>
      <c r="M272" s="450"/>
      <c r="N272" s="450"/>
    </row>
    <row r="273" spans="1:14">
      <c r="A273" s="5"/>
      <c r="B273" s="249" t="str">
        <f ca="1">+'I-4 History'!B205</f>
        <v>DA-23</v>
      </c>
      <c r="C273" s="14" t="str">
        <f ca="1">+'I-4 History'!C205</f>
        <v>Retail Contestability</v>
      </c>
      <c r="D273" s="491"/>
      <c r="E273" s="508"/>
      <c r="F273" s="491"/>
      <c r="G273" s="492"/>
      <c r="H273" s="492"/>
      <c r="I273" s="492"/>
      <c r="J273" s="492"/>
      <c r="K273" s="508"/>
      <c r="L273" s="515"/>
      <c r="M273" s="450"/>
      <c r="N273" s="450"/>
    </row>
    <row r="274" spans="1:14">
      <c r="A274" s="5"/>
      <c r="B274" s="249"/>
      <c r="C274" s="384" t="str">
        <f t="array" ref="C274:K283" ca="1">+'DA-23'!$A$160:$I$169</f>
        <v>Step Change</v>
      </c>
      <c r="D274" s="491">
        <f ca="1"/>
        <v>0</v>
      </c>
      <c r="E274" s="508">
        <f ca="1"/>
        <v>0</v>
      </c>
      <c r="F274" s="491">
        <f ca="1"/>
        <v>0</v>
      </c>
      <c r="G274" s="492">
        <f ca="1"/>
        <v>1.214</v>
      </c>
      <c r="H274" s="492">
        <f ca="1"/>
        <v>1.5569999999999999</v>
      </c>
      <c r="I274" s="492">
        <f ca="1"/>
        <v>1.9570000000000001</v>
      </c>
      <c r="J274" s="492">
        <f ca="1"/>
        <v>1.9500000000000002</v>
      </c>
      <c r="K274" s="508">
        <f ca="1"/>
        <v>2.06</v>
      </c>
      <c r="L274" s="515" t="str">
        <f t="array" ref="L274:N283" ca="1">+'DA-23'!$K$160:$M$169</f>
        <v>Proposal Step Change</v>
      </c>
      <c r="M274" s="450" t="str">
        <f ca="1"/>
        <v>Refer Opex Workings</v>
      </c>
      <c r="N274" s="450" t="str">
        <f ca="1"/>
        <v>Proposal, October 2014</v>
      </c>
    </row>
    <row r="275" spans="1:14">
      <c r="A275" s="5"/>
      <c r="B275" s="249"/>
      <c r="C275" s="382" t="str">
        <f ca="1"/>
        <v/>
      </c>
      <c r="D275" s="491" t="str">
        <f ca="1"/>
        <v/>
      </c>
      <c r="E275" s="508" t="str">
        <f ca="1"/>
        <v/>
      </c>
      <c r="F275" s="491" t="str">
        <f ca="1"/>
        <v/>
      </c>
      <c r="G275" s="492" t="str">
        <f ca="1"/>
        <v/>
      </c>
      <c r="H275" s="492" t="str">
        <f ca="1"/>
        <v/>
      </c>
      <c r="I275" s="492" t="str">
        <f ca="1"/>
        <v/>
      </c>
      <c r="J275" s="492" t="str">
        <f ca="1"/>
        <v/>
      </c>
      <c r="K275" s="508" t="str">
        <f ca="1"/>
        <v/>
      </c>
      <c r="L275" s="515" t="str">
        <f ca="1"/>
        <v/>
      </c>
      <c r="M275" s="450" t="str">
        <f ca="1"/>
        <v/>
      </c>
      <c r="N275" s="450" t="str">
        <f ca="1"/>
        <v/>
      </c>
    </row>
    <row r="276" spans="1:14">
      <c r="A276" s="5"/>
      <c r="B276" s="249"/>
      <c r="C276" s="382" t="str">
        <f ca="1"/>
        <v/>
      </c>
      <c r="D276" s="491" t="str">
        <f ca="1"/>
        <v/>
      </c>
      <c r="E276" s="508" t="str">
        <f ca="1"/>
        <v/>
      </c>
      <c r="F276" s="491" t="str">
        <f ca="1"/>
        <v/>
      </c>
      <c r="G276" s="492" t="str">
        <f ca="1"/>
        <v/>
      </c>
      <c r="H276" s="492" t="str">
        <f ca="1"/>
        <v/>
      </c>
      <c r="I276" s="492" t="str">
        <f ca="1"/>
        <v/>
      </c>
      <c r="J276" s="492" t="str">
        <f ca="1"/>
        <v/>
      </c>
      <c r="K276" s="508" t="str">
        <f ca="1"/>
        <v/>
      </c>
      <c r="L276" s="515" t="str">
        <f ca="1"/>
        <v/>
      </c>
      <c r="M276" s="450" t="str">
        <f ca="1"/>
        <v/>
      </c>
      <c r="N276" s="450" t="str">
        <f ca="1"/>
        <v/>
      </c>
    </row>
    <row r="277" spans="1:14">
      <c r="A277" s="5"/>
      <c r="B277" s="249"/>
      <c r="C277" s="382" t="str">
        <f ca="1"/>
        <v/>
      </c>
      <c r="D277" s="491" t="str">
        <f ca="1"/>
        <v/>
      </c>
      <c r="E277" s="508" t="str">
        <f ca="1"/>
        <v/>
      </c>
      <c r="F277" s="491" t="str">
        <f ca="1"/>
        <v/>
      </c>
      <c r="G277" s="492" t="str">
        <f ca="1"/>
        <v/>
      </c>
      <c r="H277" s="492" t="str">
        <f ca="1"/>
        <v/>
      </c>
      <c r="I277" s="492" t="str">
        <f ca="1"/>
        <v/>
      </c>
      <c r="J277" s="492" t="str">
        <f ca="1"/>
        <v/>
      </c>
      <c r="K277" s="508" t="str">
        <f ca="1"/>
        <v/>
      </c>
      <c r="L277" s="515" t="str">
        <f ca="1"/>
        <v/>
      </c>
      <c r="M277" s="450" t="str">
        <f ca="1"/>
        <v/>
      </c>
      <c r="N277" s="450" t="str">
        <f ca="1"/>
        <v/>
      </c>
    </row>
    <row r="278" spans="1:14">
      <c r="A278" s="5"/>
      <c r="B278" s="249"/>
      <c r="C278" s="382" t="str">
        <f ca="1"/>
        <v/>
      </c>
      <c r="D278" s="491" t="str">
        <f ca="1"/>
        <v/>
      </c>
      <c r="E278" s="508" t="str">
        <f ca="1"/>
        <v/>
      </c>
      <c r="F278" s="491" t="str">
        <f ca="1"/>
        <v/>
      </c>
      <c r="G278" s="492" t="str">
        <f ca="1"/>
        <v/>
      </c>
      <c r="H278" s="492" t="str">
        <f ca="1"/>
        <v/>
      </c>
      <c r="I278" s="492" t="str">
        <f ca="1"/>
        <v/>
      </c>
      <c r="J278" s="492" t="str">
        <f ca="1"/>
        <v/>
      </c>
      <c r="K278" s="508" t="str">
        <f ca="1"/>
        <v/>
      </c>
      <c r="L278" s="515" t="str">
        <f ca="1"/>
        <v/>
      </c>
      <c r="M278" s="450" t="str">
        <f ca="1"/>
        <v/>
      </c>
      <c r="N278" s="450" t="str">
        <f ca="1"/>
        <v/>
      </c>
    </row>
    <row r="279" spans="1:14">
      <c r="B279" s="249"/>
      <c r="C279" s="384" t="str">
        <f ca="1"/>
        <v/>
      </c>
      <c r="D279" s="491" t="str">
        <f ca="1"/>
        <v/>
      </c>
      <c r="E279" s="508" t="str">
        <f ca="1"/>
        <v/>
      </c>
      <c r="F279" s="491" t="str">
        <f ca="1"/>
        <v/>
      </c>
      <c r="G279" s="492" t="str">
        <f ca="1"/>
        <v/>
      </c>
      <c r="H279" s="492" t="str">
        <f ca="1"/>
        <v/>
      </c>
      <c r="I279" s="492" t="str">
        <f ca="1"/>
        <v/>
      </c>
      <c r="J279" s="492" t="str">
        <f ca="1"/>
        <v/>
      </c>
      <c r="K279" s="508" t="str">
        <f ca="1"/>
        <v/>
      </c>
      <c r="L279" s="515" t="str">
        <f ca="1"/>
        <v/>
      </c>
      <c r="M279" s="450" t="str">
        <f ca="1"/>
        <v/>
      </c>
      <c r="N279" s="450" t="str">
        <f ca="1"/>
        <v/>
      </c>
    </row>
    <row r="280" spans="1:14">
      <c r="B280" s="249"/>
      <c r="C280" s="384" t="str">
        <f ca="1"/>
        <v/>
      </c>
      <c r="D280" s="491" t="str">
        <f ca="1"/>
        <v/>
      </c>
      <c r="E280" s="508" t="str">
        <f ca="1"/>
        <v/>
      </c>
      <c r="F280" s="491" t="str">
        <f ca="1"/>
        <v/>
      </c>
      <c r="G280" s="492" t="str">
        <f ca="1"/>
        <v/>
      </c>
      <c r="H280" s="492" t="str">
        <f ca="1"/>
        <v/>
      </c>
      <c r="I280" s="492" t="str">
        <f ca="1"/>
        <v/>
      </c>
      <c r="J280" s="492" t="str">
        <f ca="1"/>
        <v/>
      </c>
      <c r="K280" s="508" t="str">
        <f ca="1"/>
        <v/>
      </c>
      <c r="L280" s="515" t="str">
        <f ca="1"/>
        <v/>
      </c>
      <c r="M280" s="450" t="str">
        <f ca="1"/>
        <v/>
      </c>
      <c r="N280" s="450" t="str">
        <f ca="1"/>
        <v/>
      </c>
    </row>
    <row r="281" spans="1:14">
      <c r="B281" s="249"/>
      <c r="C281" s="384" t="str">
        <f ca="1"/>
        <v/>
      </c>
      <c r="D281" s="491" t="str">
        <f ca="1"/>
        <v/>
      </c>
      <c r="E281" s="508" t="str">
        <f ca="1"/>
        <v/>
      </c>
      <c r="F281" s="491" t="str">
        <f ca="1"/>
        <v/>
      </c>
      <c r="G281" s="492" t="str">
        <f ca="1"/>
        <v/>
      </c>
      <c r="H281" s="492" t="str">
        <f ca="1"/>
        <v/>
      </c>
      <c r="I281" s="492" t="str">
        <f ca="1"/>
        <v/>
      </c>
      <c r="J281" s="492" t="str">
        <f ca="1"/>
        <v/>
      </c>
      <c r="K281" s="508" t="str">
        <f ca="1"/>
        <v/>
      </c>
      <c r="L281" s="515" t="str">
        <f ca="1"/>
        <v/>
      </c>
      <c r="M281" s="450" t="str">
        <f ca="1"/>
        <v/>
      </c>
      <c r="N281" s="450" t="str">
        <f ca="1"/>
        <v/>
      </c>
    </row>
    <row r="282" spans="1:14">
      <c r="B282" s="249"/>
      <c r="C282" s="384" t="str">
        <f ca="1"/>
        <v/>
      </c>
      <c r="D282" s="491" t="str">
        <f ca="1"/>
        <v/>
      </c>
      <c r="E282" s="508" t="str">
        <f ca="1"/>
        <v/>
      </c>
      <c r="F282" s="491" t="str">
        <f ca="1"/>
        <v/>
      </c>
      <c r="G282" s="492" t="str">
        <f ca="1"/>
        <v/>
      </c>
      <c r="H282" s="492" t="str">
        <f ca="1"/>
        <v/>
      </c>
      <c r="I282" s="492" t="str">
        <f ca="1"/>
        <v/>
      </c>
      <c r="J282" s="492" t="str">
        <f ca="1"/>
        <v/>
      </c>
      <c r="K282" s="508" t="str">
        <f ca="1"/>
        <v/>
      </c>
      <c r="L282" s="515" t="str">
        <f ca="1"/>
        <v/>
      </c>
      <c r="M282" s="450" t="str">
        <f ca="1"/>
        <v/>
      </c>
      <c r="N282" s="450" t="str">
        <f ca="1"/>
        <v/>
      </c>
    </row>
    <row r="283" spans="1:14">
      <c r="B283" s="249"/>
      <c r="C283" s="384" t="str">
        <f ca="1"/>
        <v/>
      </c>
      <c r="D283" s="491" t="str">
        <f ca="1"/>
        <v/>
      </c>
      <c r="E283" s="508" t="str">
        <f ca="1"/>
        <v/>
      </c>
      <c r="F283" s="491" t="str">
        <f ca="1"/>
        <v/>
      </c>
      <c r="G283" s="492" t="str">
        <f ca="1"/>
        <v/>
      </c>
      <c r="H283" s="492" t="str">
        <f ca="1"/>
        <v/>
      </c>
      <c r="I283" s="492" t="str">
        <f ca="1"/>
        <v/>
      </c>
      <c r="J283" s="492" t="str">
        <f ca="1"/>
        <v/>
      </c>
      <c r="K283" s="508" t="str">
        <f ca="1"/>
        <v/>
      </c>
      <c r="L283" s="515" t="str">
        <f ca="1"/>
        <v/>
      </c>
      <c r="M283" s="450" t="str">
        <f ca="1"/>
        <v/>
      </c>
      <c r="N283" s="450" t="str">
        <f ca="1"/>
        <v/>
      </c>
    </row>
    <row r="284" spans="1:14" ht="18">
      <c r="B284" s="252"/>
      <c r="C284" s="297" t="s">
        <v>70</v>
      </c>
      <c r="D284" s="329"/>
      <c r="E284" s="512"/>
      <c r="F284" s="329"/>
      <c r="G284" s="329"/>
      <c r="H284" s="329"/>
      <c r="I284" s="329"/>
      <c r="J284" s="329"/>
      <c r="K284" s="512"/>
      <c r="L284" s="515"/>
      <c r="M284" s="450"/>
      <c r="N284" s="450"/>
    </row>
    <row r="285" spans="1:14">
      <c r="A285" s="5"/>
      <c r="B285" s="249" t="str">
        <f ca="1">+'I-4 History'!B214</f>
        <v>DA-24</v>
      </c>
      <c r="C285" s="14" t="str">
        <f ca="1">+'I-4 History'!C214</f>
        <v>Non Network Solutions</v>
      </c>
      <c r="D285" s="491"/>
      <c r="E285" s="508"/>
      <c r="F285" s="491"/>
      <c r="G285" s="492"/>
      <c r="H285" s="492"/>
      <c r="I285" s="492"/>
      <c r="J285" s="492"/>
      <c r="K285" s="508"/>
      <c r="L285" s="515"/>
      <c r="M285" s="450"/>
      <c r="N285" s="450"/>
    </row>
    <row r="286" spans="1:14">
      <c r="A286" s="5"/>
      <c r="B286" s="249"/>
      <c r="C286" s="384" t="str">
        <f t="array" ref="C286:K295" ca="1">+'DA-24'!$A$160:$I$169</f>
        <v>Step Change</v>
      </c>
      <c r="D286" s="491">
        <f ca="1"/>
        <v>0</v>
      </c>
      <c r="E286" s="508">
        <f ca="1"/>
        <v>0</v>
      </c>
      <c r="F286" s="491">
        <f ca="1"/>
        <v>9.6736987014919812E-2</v>
      </c>
      <c r="G286" s="492">
        <f ca="1"/>
        <v>0.15</v>
      </c>
      <c r="H286" s="492">
        <f ca="1"/>
        <v>0.2</v>
      </c>
      <c r="I286" s="492">
        <f ca="1"/>
        <v>0.25</v>
      </c>
      <c r="J286" s="492">
        <f ca="1"/>
        <v>0.3</v>
      </c>
      <c r="K286" s="508">
        <f ca="1"/>
        <v>0.35</v>
      </c>
      <c r="L286" s="515" t="str">
        <f t="array" ref="L286:N295" ca="1">+'DA-24'!$K$160:$M$169</f>
        <v>Proposal Step Change</v>
      </c>
      <c r="M286" s="450" t="str">
        <f ca="1"/>
        <v>Refer Opex Workings</v>
      </c>
      <c r="N286" s="450" t="str">
        <f ca="1"/>
        <v>Proposal, October 2014</v>
      </c>
    </row>
    <row r="287" spans="1:14">
      <c r="A287" s="5"/>
      <c r="B287" s="249"/>
      <c r="C287" s="382" t="str">
        <f ca="1"/>
        <v/>
      </c>
      <c r="D287" s="491" t="str">
        <f ca="1"/>
        <v/>
      </c>
      <c r="E287" s="508" t="str">
        <f ca="1"/>
        <v/>
      </c>
      <c r="F287" s="491" t="str">
        <f ca="1"/>
        <v/>
      </c>
      <c r="G287" s="492" t="str">
        <f ca="1"/>
        <v/>
      </c>
      <c r="H287" s="492" t="str">
        <f ca="1"/>
        <v/>
      </c>
      <c r="I287" s="492" t="str">
        <f ca="1"/>
        <v/>
      </c>
      <c r="J287" s="492" t="str">
        <f ca="1"/>
        <v/>
      </c>
      <c r="K287" s="508" t="str">
        <f ca="1"/>
        <v/>
      </c>
      <c r="L287" s="515" t="str">
        <f ca="1"/>
        <v/>
      </c>
      <c r="M287" s="450" t="str">
        <f ca="1"/>
        <v/>
      </c>
      <c r="N287" s="450" t="str">
        <f ca="1"/>
        <v/>
      </c>
    </row>
    <row r="288" spans="1:14">
      <c r="A288" s="5"/>
      <c r="B288" s="249"/>
      <c r="C288" s="382" t="str">
        <f ca="1"/>
        <v/>
      </c>
      <c r="D288" s="491" t="str">
        <f ca="1"/>
        <v/>
      </c>
      <c r="E288" s="508" t="str">
        <f ca="1"/>
        <v/>
      </c>
      <c r="F288" s="491" t="str">
        <f ca="1"/>
        <v/>
      </c>
      <c r="G288" s="492" t="str">
        <f ca="1"/>
        <v/>
      </c>
      <c r="H288" s="492" t="str">
        <f ca="1"/>
        <v/>
      </c>
      <c r="I288" s="492" t="str">
        <f ca="1"/>
        <v/>
      </c>
      <c r="J288" s="492" t="str">
        <f ca="1"/>
        <v/>
      </c>
      <c r="K288" s="508" t="str">
        <f ca="1"/>
        <v/>
      </c>
      <c r="L288" s="515" t="str">
        <f ca="1"/>
        <v/>
      </c>
      <c r="M288" s="450" t="str">
        <f ca="1"/>
        <v/>
      </c>
      <c r="N288" s="450" t="str">
        <f ca="1"/>
        <v/>
      </c>
    </row>
    <row r="289" spans="1:14">
      <c r="A289" s="5"/>
      <c r="B289" s="249"/>
      <c r="C289" s="382" t="str">
        <f ca="1"/>
        <v/>
      </c>
      <c r="D289" s="491" t="str">
        <f ca="1"/>
        <v/>
      </c>
      <c r="E289" s="508" t="str">
        <f ca="1"/>
        <v/>
      </c>
      <c r="F289" s="491" t="str">
        <f ca="1"/>
        <v/>
      </c>
      <c r="G289" s="492" t="str">
        <f ca="1"/>
        <v/>
      </c>
      <c r="H289" s="492" t="str">
        <f ca="1"/>
        <v/>
      </c>
      <c r="I289" s="492" t="str">
        <f ca="1"/>
        <v/>
      </c>
      <c r="J289" s="492" t="str">
        <f ca="1"/>
        <v/>
      </c>
      <c r="K289" s="508" t="str">
        <f ca="1"/>
        <v/>
      </c>
      <c r="L289" s="515" t="str">
        <f ca="1"/>
        <v/>
      </c>
      <c r="M289" s="450" t="str">
        <f ca="1"/>
        <v/>
      </c>
      <c r="N289" s="450" t="str">
        <f ca="1"/>
        <v/>
      </c>
    </row>
    <row r="290" spans="1:14">
      <c r="A290" s="5"/>
      <c r="B290" s="249"/>
      <c r="C290" s="382" t="str">
        <f ca="1"/>
        <v/>
      </c>
      <c r="D290" s="491" t="str">
        <f ca="1"/>
        <v/>
      </c>
      <c r="E290" s="508" t="str">
        <f ca="1"/>
        <v/>
      </c>
      <c r="F290" s="491" t="str">
        <f ca="1"/>
        <v/>
      </c>
      <c r="G290" s="492" t="str">
        <f ca="1"/>
        <v/>
      </c>
      <c r="H290" s="492" t="str">
        <f ca="1"/>
        <v/>
      </c>
      <c r="I290" s="492" t="str">
        <f ca="1"/>
        <v/>
      </c>
      <c r="J290" s="492" t="str">
        <f ca="1"/>
        <v/>
      </c>
      <c r="K290" s="508" t="str">
        <f ca="1"/>
        <v/>
      </c>
      <c r="L290" s="515" t="str">
        <f ca="1"/>
        <v/>
      </c>
      <c r="M290" s="450" t="str">
        <f ca="1"/>
        <v/>
      </c>
      <c r="N290" s="450" t="str">
        <f ca="1"/>
        <v/>
      </c>
    </row>
    <row r="291" spans="1:14">
      <c r="B291" s="249"/>
      <c r="C291" s="384" t="str">
        <f ca="1"/>
        <v/>
      </c>
      <c r="D291" s="491" t="str">
        <f ca="1"/>
        <v/>
      </c>
      <c r="E291" s="508" t="str">
        <f ca="1"/>
        <v/>
      </c>
      <c r="F291" s="491" t="str">
        <f ca="1"/>
        <v/>
      </c>
      <c r="G291" s="492" t="str">
        <f ca="1"/>
        <v/>
      </c>
      <c r="H291" s="492" t="str">
        <f ca="1"/>
        <v/>
      </c>
      <c r="I291" s="492" t="str">
        <f ca="1"/>
        <v/>
      </c>
      <c r="J291" s="492" t="str">
        <f ca="1"/>
        <v/>
      </c>
      <c r="K291" s="508" t="str">
        <f ca="1"/>
        <v/>
      </c>
      <c r="L291" s="515" t="str">
        <f ca="1"/>
        <v/>
      </c>
      <c r="M291" s="450" t="str">
        <f ca="1"/>
        <v/>
      </c>
      <c r="N291" s="450" t="str">
        <f ca="1"/>
        <v/>
      </c>
    </row>
    <row r="292" spans="1:14">
      <c r="B292" s="249"/>
      <c r="C292" s="384" t="str">
        <f ca="1"/>
        <v/>
      </c>
      <c r="D292" s="491" t="str">
        <f ca="1"/>
        <v/>
      </c>
      <c r="E292" s="508" t="str">
        <f ca="1"/>
        <v/>
      </c>
      <c r="F292" s="491" t="str">
        <f ca="1"/>
        <v/>
      </c>
      <c r="G292" s="492" t="str">
        <f ca="1"/>
        <v/>
      </c>
      <c r="H292" s="492" t="str">
        <f ca="1"/>
        <v/>
      </c>
      <c r="I292" s="492" t="str">
        <f ca="1"/>
        <v/>
      </c>
      <c r="J292" s="492" t="str">
        <f ca="1"/>
        <v/>
      </c>
      <c r="K292" s="508" t="str">
        <f ca="1"/>
        <v/>
      </c>
      <c r="L292" s="515" t="str">
        <f ca="1"/>
        <v/>
      </c>
      <c r="M292" s="450" t="str">
        <f ca="1"/>
        <v/>
      </c>
      <c r="N292" s="450" t="str">
        <f ca="1"/>
        <v/>
      </c>
    </row>
    <row r="293" spans="1:14">
      <c r="B293" s="249"/>
      <c r="C293" s="384" t="str">
        <f ca="1"/>
        <v/>
      </c>
      <c r="D293" s="491" t="str">
        <f ca="1"/>
        <v/>
      </c>
      <c r="E293" s="508" t="str">
        <f ca="1"/>
        <v/>
      </c>
      <c r="F293" s="491" t="str">
        <f ca="1"/>
        <v/>
      </c>
      <c r="G293" s="492" t="str">
        <f ca="1"/>
        <v/>
      </c>
      <c r="H293" s="492" t="str">
        <f ca="1"/>
        <v/>
      </c>
      <c r="I293" s="492" t="str">
        <f ca="1"/>
        <v/>
      </c>
      <c r="J293" s="492" t="str">
        <f ca="1"/>
        <v/>
      </c>
      <c r="K293" s="508" t="str">
        <f ca="1"/>
        <v/>
      </c>
      <c r="L293" s="515" t="str">
        <f ca="1"/>
        <v/>
      </c>
      <c r="M293" s="450" t="str">
        <f ca="1"/>
        <v/>
      </c>
      <c r="N293" s="450" t="str">
        <f ca="1"/>
        <v/>
      </c>
    </row>
    <row r="294" spans="1:14">
      <c r="B294" s="249"/>
      <c r="C294" s="384" t="str">
        <f ca="1"/>
        <v/>
      </c>
      <c r="D294" s="491" t="str">
        <f ca="1"/>
        <v/>
      </c>
      <c r="E294" s="508" t="str">
        <f ca="1"/>
        <v/>
      </c>
      <c r="F294" s="491" t="str">
        <f ca="1"/>
        <v/>
      </c>
      <c r="G294" s="492" t="str">
        <f ca="1"/>
        <v/>
      </c>
      <c r="H294" s="492" t="str">
        <f ca="1"/>
        <v/>
      </c>
      <c r="I294" s="492" t="str">
        <f ca="1"/>
        <v/>
      </c>
      <c r="J294" s="492" t="str">
        <f ca="1"/>
        <v/>
      </c>
      <c r="K294" s="508" t="str">
        <f ca="1"/>
        <v/>
      </c>
      <c r="L294" s="515" t="str">
        <f ca="1"/>
        <v/>
      </c>
      <c r="M294" s="450" t="str">
        <f ca="1"/>
        <v/>
      </c>
      <c r="N294" s="450" t="str">
        <f ca="1"/>
        <v/>
      </c>
    </row>
    <row r="295" spans="1:14">
      <c r="B295" s="249"/>
      <c r="C295" s="384" t="str">
        <f ca="1"/>
        <v/>
      </c>
      <c r="D295" s="491" t="str">
        <f ca="1"/>
        <v/>
      </c>
      <c r="E295" s="508" t="str">
        <f ca="1"/>
        <v/>
      </c>
      <c r="F295" s="491" t="str">
        <f ca="1"/>
        <v/>
      </c>
      <c r="G295" s="492" t="str">
        <f ca="1"/>
        <v/>
      </c>
      <c r="H295" s="492" t="str">
        <f ca="1"/>
        <v/>
      </c>
      <c r="I295" s="492" t="str">
        <f ca="1"/>
        <v/>
      </c>
      <c r="J295" s="492" t="str">
        <f ca="1"/>
        <v/>
      </c>
      <c r="K295" s="508" t="str">
        <f ca="1"/>
        <v/>
      </c>
      <c r="L295" s="515" t="str">
        <f ca="1"/>
        <v/>
      </c>
      <c r="M295" s="450" t="str">
        <f ca="1"/>
        <v/>
      </c>
      <c r="N295" s="450" t="str">
        <f ca="1"/>
        <v/>
      </c>
    </row>
    <row r="296" spans="1:14">
      <c r="B296" s="249"/>
      <c r="C296" s="13"/>
      <c r="D296" s="491"/>
      <c r="E296" s="508"/>
      <c r="F296" s="491"/>
      <c r="G296" s="492"/>
      <c r="H296" s="492"/>
      <c r="I296" s="492"/>
      <c r="J296" s="492"/>
      <c r="K296" s="508"/>
      <c r="L296" s="515"/>
      <c r="M296" s="450"/>
      <c r="N296" s="450"/>
    </row>
    <row r="297" spans="1:14" ht="26.25" thickBot="1">
      <c r="B297" s="250"/>
      <c r="C297" s="269" t="s">
        <v>271</v>
      </c>
      <c r="D297" s="311">
        <f t="shared" ref="D297:K297" ca="1" si="1">SUBTOTAL(9,D129:D296)</f>
        <v>0</v>
      </c>
      <c r="E297" s="513">
        <f t="shared" ca="1" si="1"/>
        <v>0</v>
      </c>
      <c r="F297" s="313">
        <f t="shared" ca="1" si="1"/>
        <v>4.9187369870149196</v>
      </c>
      <c r="G297" s="311">
        <f ca="1">SUBTOTAL(9,G129:G296)</f>
        <v>18.082999999999998</v>
      </c>
      <c r="H297" s="311">
        <f t="shared" ca="1" si="1"/>
        <v>16.242999999999999</v>
      </c>
      <c r="I297" s="311">
        <f t="shared" ca="1" si="1"/>
        <v>16.085000000000001</v>
      </c>
      <c r="J297" s="311">
        <f t="shared" ca="1" si="1"/>
        <v>15.482000000000003</v>
      </c>
      <c r="K297" s="513">
        <f t="shared" ca="1" si="1"/>
        <v>13.152000000000001</v>
      </c>
      <c r="L297" s="515"/>
      <c r="M297" s="450"/>
      <c r="N297" s="450"/>
    </row>
    <row r="298" spans="1:14" ht="15.75">
      <c r="B298" s="270"/>
      <c r="C298" s="272" t="s">
        <v>272</v>
      </c>
      <c r="D298" s="330">
        <f t="shared" ref="D298:K298" ca="1" si="2">SUBTOTAL(9,D9:D297)</f>
        <v>0</v>
      </c>
      <c r="E298" s="497">
        <f t="shared" ca="1" si="2"/>
        <v>0</v>
      </c>
      <c r="F298" s="330">
        <f t="shared" ca="1" si="2"/>
        <v>4.9816160285746172</v>
      </c>
      <c r="G298" s="330">
        <f t="shared" ca="1" si="2"/>
        <v>18.503999999999998</v>
      </c>
      <c r="H298" s="330">
        <f t="shared" ca="1" si="2"/>
        <v>23.842999999999996</v>
      </c>
      <c r="I298" s="330">
        <f t="shared" ca="1" si="2"/>
        <v>18.938000000000002</v>
      </c>
      <c r="J298" s="330">
        <f t="shared" ca="1" si="2"/>
        <v>18.335000000000001</v>
      </c>
      <c r="K298" s="497">
        <f t="shared" ca="1" si="2"/>
        <v>16.006</v>
      </c>
      <c r="L298" s="515"/>
      <c r="M298" s="450"/>
      <c r="N298" s="504"/>
    </row>
    <row r="299" spans="1:14">
      <c r="B299" s="274"/>
      <c r="C299" s="275"/>
      <c r="D299" s="487"/>
      <c r="E299" s="487"/>
      <c r="F299" s="846"/>
      <c r="G299" s="487"/>
      <c r="H299" s="487"/>
      <c r="I299" s="487"/>
      <c r="J299" s="487"/>
      <c r="K299" s="487"/>
      <c r="L299" s="515"/>
      <c r="M299" s="450"/>
      <c r="N299" s="450"/>
    </row>
    <row r="300" spans="1:14" ht="18">
      <c r="B300" s="270"/>
      <c r="C300" s="273" t="s">
        <v>268</v>
      </c>
      <c r="D300" s="331"/>
      <c r="E300" s="498"/>
      <c r="F300" s="331"/>
      <c r="G300" s="331"/>
      <c r="H300" s="331"/>
      <c r="I300" s="331"/>
      <c r="J300" s="331"/>
      <c r="K300" s="498"/>
      <c r="L300" s="515"/>
      <c r="M300" s="450"/>
      <c r="N300" s="450"/>
    </row>
    <row r="301" spans="1:14" ht="18">
      <c r="B301" s="252"/>
      <c r="C301" s="248" t="str">
        <f>+'I-3 Allocated'!A5</f>
        <v>Office of the CEO</v>
      </c>
      <c r="D301" s="329"/>
      <c r="E301" s="512"/>
      <c r="F301" s="329"/>
      <c r="G301" s="329"/>
      <c r="H301" s="329"/>
      <c r="I301" s="329"/>
      <c r="J301" s="329"/>
      <c r="K301" s="512"/>
      <c r="L301" s="515"/>
      <c r="M301" s="450"/>
      <c r="N301" s="450"/>
    </row>
    <row r="302" spans="1:14">
      <c r="A302" s="5"/>
      <c r="B302" s="249" t="str">
        <f ca="1">+'I-4 History'!B228</f>
        <v>A-1</v>
      </c>
      <c r="C302" s="14" t="str">
        <f ca="1">+'I-4 History'!C228</f>
        <v>CEO</v>
      </c>
      <c r="D302" s="491"/>
      <c r="E302" s="508"/>
      <c r="F302" s="491"/>
      <c r="G302" s="492"/>
      <c r="H302" s="492"/>
      <c r="I302" s="492"/>
      <c r="J302" s="492"/>
      <c r="K302" s="508"/>
      <c r="L302" s="515"/>
      <c r="M302" s="450"/>
      <c r="N302" s="450"/>
    </row>
    <row r="303" spans="1:14">
      <c r="A303" s="5"/>
      <c r="B303" s="249"/>
      <c r="C303" s="384" t="str">
        <f t="array" ref="C303:K312" ca="1">+'A-1'!$A$160:$I$169</f>
        <v>Step Change</v>
      </c>
      <c r="D303" s="491">
        <f ca="1"/>
        <v>0</v>
      </c>
      <c r="E303" s="508">
        <f ca="1"/>
        <v>0</v>
      </c>
      <c r="F303" s="491">
        <f ca="1"/>
        <v>0</v>
      </c>
      <c r="G303" s="492">
        <f ca="1"/>
        <v>0</v>
      </c>
      <c r="H303" s="492">
        <f ca="1"/>
        <v>0</v>
      </c>
      <c r="I303" s="492">
        <f ca="1"/>
        <v>0</v>
      </c>
      <c r="J303" s="492">
        <f ca="1"/>
        <v>0</v>
      </c>
      <c r="K303" s="508">
        <f ca="1"/>
        <v>0</v>
      </c>
      <c r="L303" s="515" t="str">
        <f t="array" ref="L303:N312" ca="1">+'A-1'!$K$160:$M$169</f>
        <v>Proposal Step Change</v>
      </c>
      <c r="M303" s="450" t="str">
        <f ca="1"/>
        <v>Refer Opex Workings</v>
      </c>
      <c r="N303" s="450" t="str">
        <f ca="1"/>
        <v>Proposal, October 2014</v>
      </c>
    </row>
    <row r="304" spans="1:14">
      <c r="A304" s="5"/>
      <c r="B304" s="249"/>
      <c r="C304" s="382" t="str">
        <f ca="1"/>
        <v/>
      </c>
      <c r="D304" s="491" t="str">
        <f ca="1"/>
        <v/>
      </c>
      <c r="E304" s="508" t="str">
        <f ca="1"/>
        <v/>
      </c>
      <c r="F304" s="491" t="str">
        <f ca="1"/>
        <v/>
      </c>
      <c r="G304" s="492" t="str">
        <f ca="1"/>
        <v/>
      </c>
      <c r="H304" s="492" t="str">
        <f ca="1"/>
        <v/>
      </c>
      <c r="I304" s="492" t="str">
        <f ca="1"/>
        <v/>
      </c>
      <c r="J304" s="492" t="str">
        <f ca="1"/>
        <v/>
      </c>
      <c r="K304" s="508" t="str">
        <f ca="1"/>
        <v/>
      </c>
      <c r="L304" s="515" t="str">
        <f ca="1"/>
        <v/>
      </c>
      <c r="M304" s="450" t="str">
        <f ca="1"/>
        <v/>
      </c>
      <c r="N304" s="450" t="str">
        <f ca="1"/>
        <v/>
      </c>
    </row>
    <row r="305" spans="1:14">
      <c r="A305" s="5"/>
      <c r="B305" s="249"/>
      <c r="C305" s="382" t="str">
        <f ca="1"/>
        <v/>
      </c>
      <c r="D305" s="491" t="str">
        <f ca="1"/>
        <v/>
      </c>
      <c r="E305" s="508" t="str">
        <f ca="1"/>
        <v/>
      </c>
      <c r="F305" s="491" t="str">
        <f ca="1"/>
        <v/>
      </c>
      <c r="G305" s="492" t="str">
        <f ca="1"/>
        <v/>
      </c>
      <c r="H305" s="492" t="str">
        <f ca="1"/>
        <v/>
      </c>
      <c r="I305" s="492" t="str">
        <f ca="1"/>
        <v/>
      </c>
      <c r="J305" s="492" t="str">
        <f ca="1"/>
        <v/>
      </c>
      <c r="K305" s="508" t="str">
        <f ca="1"/>
        <v/>
      </c>
      <c r="L305" s="515" t="str">
        <f ca="1"/>
        <v/>
      </c>
      <c r="M305" s="450" t="str">
        <f ca="1"/>
        <v/>
      </c>
      <c r="N305" s="450" t="str">
        <f ca="1"/>
        <v/>
      </c>
    </row>
    <row r="306" spans="1:14">
      <c r="A306" s="5"/>
      <c r="B306" s="249"/>
      <c r="C306" s="382" t="str">
        <f ca="1"/>
        <v/>
      </c>
      <c r="D306" s="491" t="str">
        <f ca="1"/>
        <v/>
      </c>
      <c r="E306" s="508" t="str">
        <f ca="1"/>
        <v/>
      </c>
      <c r="F306" s="491" t="str">
        <f ca="1"/>
        <v/>
      </c>
      <c r="G306" s="492" t="str">
        <f ca="1"/>
        <v/>
      </c>
      <c r="H306" s="492" t="str">
        <f ca="1"/>
        <v/>
      </c>
      <c r="I306" s="492" t="str">
        <f ca="1"/>
        <v/>
      </c>
      <c r="J306" s="492" t="str">
        <f ca="1"/>
        <v/>
      </c>
      <c r="K306" s="508" t="str">
        <f ca="1"/>
        <v/>
      </c>
      <c r="L306" s="515" t="str">
        <f ca="1"/>
        <v/>
      </c>
      <c r="M306" s="450" t="str">
        <f ca="1"/>
        <v/>
      </c>
      <c r="N306" s="450" t="str">
        <f ca="1"/>
        <v/>
      </c>
    </row>
    <row r="307" spans="1:14">
      <c r="A307" s="5"/>
      <c r="B307" s="249"/>
      <c r="C307" s="382" t="str">
        <f ca="1"/>
        <v/>
      </c>
      <c r="D307" s="491" t="str">
        <f ca="1"/>
        <v/>
      </c>
      <c r="E307" s="508" t="str">
        <f ca="1"/>
        <v/>
      </c>
      <c r="F307" s="491" t="str">
        <f ca="1"/>
        <v/>
      </c>
      <c r="G307" s="492" t="str">
        <f ca="1"/>
        <v/>
      </c>
      <c r="H307" s="492" t="str">
        <f ca="1"/>
        <v/>
      </c>
      <c r="I307" s="492" t="str">
        <f ca="1"/>
        <v/>
      </c>
      <c r="J307" s="492" t="str">
        <f ca="1"/>
        <v/>
      </c>
      <c r="K307" s="508" t="str">
        <f ca="1"/>
        <v/>
      </c>
      <c r="L307" s="515" t="str">
        <f ca="1"/>
        <v/>
      </c>
      <c r="M307" s="450" t="str">
        <f ca="1"/>
        <v/>
      </c>
      <c r="N307" s="450" t="str">
        <f ca="1"/>
        <v/>
      </c>
    </row>
    <row r="308" spans="1:14">
      <c r="A308" s="5"/>
      <c r="B308" s="249"/>
      <c r="C308" s="384" t="str">
        <f ca="1"/>
        <v/>
      </c>
      <c r="D308" s="491" t="str">
        <f ca="1"/>
        <v/>
      </c>
      <c r="E308" s="508" t="str">
        <f ca="1"/>
        <v/>
      </c>
      <c r="F308" s="491" t="str">
        <f ca="1"/>
        <v/>
      </c>
      <c r="G308" s="492" t="str">
        <f ca="1"/>
        <v/>
      </c>
      <c r="H308" s="492" t="str">
        <f ca="1"/>
        <v/>
      </c>
      <c r="I308" s="492" t="str">
        <f ca="1"/>
        <v/>
      </c>
      <c r="J308" s="492" t="str">
        <f ca="1"/>
        <v/>
      </c>
      <c r="K308" s="508" t="str">
        <f ca="1"/>
        <v/>
      </c>
      <c r="L308" s="515" t="str">
        <f ca="1"/>
        <v/>
      </c>
      <c r="M308" s="450" t="str">
        <f ca="1"/>
        <v/>
      </c>
      <c r="N308" s="450" t="str">
        <f ca="1"/>
        <v/>
      </c>
    </row>
    <row r="309" spans="1:14">
      <c r="A309" s="5"/>
      <c r="B309" s="249"/>
      <c r="C309" s="384" t="str">
        <f ca="1"/>
        <v/>
      </c>
      <c r="D309" s="491" t="str">
        <f ca="1"/>
        <v/>
      </c>
      <c r="E309" s="508" t="str">
        <f ca="1"/>
        <v/>
      </c>
      <c r="F309" s="491" t="str">
        <f ca="1"/>
        <v/>
      </c>
      <c r="G309" s="492" t="str">
        <f ca="1"/>
        <v/>
      </c>
      <c r="H309" s="492" t="str">
        <f ca="1"/>
        <v/>
      </c>
      <c r="I309" s="492" t="str">
        <f ca="1"/>
        <v/>
      </c>
      <c r="J309" s="492" t="str">
        <f ca="1"/>
        <v/>
      </c>
      <c r="K309" s="508" t="str">
        <f ca="1"/>
        <v/>
      </c>
      <c r="L309" s="515" t="str">
        <f ca="1"/>
        <v/>
      </c>
      <c r="M309" s="450" t="str">
        <f ca="1"/>
        <v/>
      </c>
      <c r="N309" s="450" t="str">
        <f ca="1"/>
        <v/>
      </c>
    </row>
    <row r="310" spans="1:14">
      <c r="A310" s="5"/>
      <c r="B310" s="249"/>
      <c r="C310" s="384" t="str">
        <f ca="1"/>
        <v/>
      </c>
      <c r="D310" s="491" t="str">
        <f ca="1"/>
        <v/>
      </c>
      <c r="E310" s="508" t="str">
        <f ca="1"/>
        <v/>
      </c>
      <c r="F310" s="491" t="str">
        <f ca="1"/>
        <v/>
      </c>
      <c r="G310" s="492" t="str">
        <f ca="1"/>
        <v/>
      </c>
      <c r="H310" s="492" t="str">
        <f ca="1"/>
        <v/>
      </c>
      <c r="I310" s="492" t="str">
        <f ca="1"/>
        <v/>
      </c>
      <c r="J310" s="492" t="str">
        <f ca="1"/>
        <v/>
      </c>
      <c r="K310" s="508" t="str">
        <f ca="1"/>
        <v/>
      </c>
      <c r="L310" s="515" t="str">
        <f ca="1"/>
        <v/>
      </c>
      <c r="M310" s="450" t="str">
        <f ca="1"/>
        <v/>
      </c>
      <c r="N310" s="450" t="str">
        <f ca="1"/>
        <v/>
      </c>
    </row>
    <row r="311" spans="1:14">
      <c r="A311" s="5"/>
      <c r="B311" s="249"/>
      <c r="C311" s="384" t="str">
        <f ca="1"/>
        <v/>
      </c>
      <c r="D311" s="491" t="str">
        <f ca="1"/>
        <v/>
      </c>
      <c r="E311" s="508" t="str">
        <f ca="1"/>
        <v/>
      </c>
      <c r="F311" s="491" t="str">
        <f ca="1"/>
        <v/>
      </c>
      <c r="G311" s="492" t="str">
        <f ca="1"/>
        <v/>
      </c>
      <c r="H311" s="492" t="str">
        <f ca="1"/>
        <v/>
      </c>
      <c r="I311" s="492" t="str">
        <f ca="1"/>
        <v/>
      </c>
      <c r="J311" s="492" t="str">
        <f ca="1"/>
        <v/>
      </c>
      <c r="K311" s="508" t="str">
        <f ca="1"/>
        <v/>
      </c>
      <c r="L311" s="515" t="str">
        <f ca="1"/>
        <v/>
      </c>
      <c r="M311" s="450" t="str">
        <f ca="1"/>
        <v/>
      </c>
      <c r="N311" s="450" t="str">
        <f ca="1"/>
        <v/>
      </c>
    </row>
    <row r="312" spans="1:14">
      <c r="A312" s="5"/>
      <c r="B312" s="249"/>
      <c r="C312" s="384" t="str">
        <f ca="1"/>
        <v/>
      </c>
      <c r="D312" s="491" t="str">
        <f ca="1"/>
        <v/>
      </c>
      <c r="E312" s="508" t="str">
        <f ca="1"/>
        <v/>
      </c>
      <c r="F312" s="491" t="str">
        <f ca="1"/>
        <v/>
      </c>
      <c r="G312" s="492" t="str">
        <f ca="1"/>
        <v/>
      </c>
      <c r="H312" s="492" t="str">
        <f ca="1"/>
        <v/>
      </c>
      <c r="I312" s="492" t="str">
        <f ca="1"/>
        <v/>
      </c>
      <c r="J312" s="492" t="str">
        <f ca="1"/>
        <v/>
      </c>
      <c r="K312" s="508" t="str">
        <f ca="1"/>
        <v/>
      </c>
      <c r="L312" s="515" t="str">
        <f ca="1"/>
        <v/>
      </c>
      <c r="M312" s="450" t="str">
        <f ca="1"/>
        <v/>
      </c>
      <c r="N312" s="450" t="str">
        <f ca="1"/>
        <v/>
      </c>
    </row>
    <row r="313" spans="1:14">
      <c r="A313" s="5"/>
      <c r="B313" s="249"/>
      <c r="C313" s="12"/>
      <c r="D313" s="491"/>
      <c r="E313" s="508"/>
      <c r="F313" s="491"/>
      <c r="G313" s="492"/>
      <c r="H313" s="492"/>
      <c r="I313" s="492"/>
      <c r="J313" s="492"/>
      <c r="K313" s="508"/>
      <c r="L313" s="515"/>
      <c r="M313" s="450"/>
      <c r="N313" s="450"/>
    </row>
    <row r="314" spans="1:14">
      <c r="A314" s="5"/>
      <c r="B314" s="249" t="str">
        <f ca="1">+'I-4 History'!B237</f>
        <v>A-2</v>
      </c>
      <c r="C314" s="14" t="str">
        <f ca="1">+'I-4 History'!C237</f>
        <v xml:space="preserve">Strategic Planning  </v>
      </c>
      <c r="D314" s="491"/>
      <c r="E314" s="508"/>
      <c r="F314" s="491"/>
      <c r="G314" s="492"/>
      <c r="H314" s="492"/>
      <c r="I314" s="492"/>
      <c r="J314" s="492"/>
      <c r="K314" s="508"/>
      <c r="L314" s="515"/>
      <c r="M314" s="450"/>
      <c r="N314" s="450"/>
    </row>
    <row r="315" spans="1:14">
      <c r="A315" s="5"/>
      <c r="B315" s="249"/>
      <c r="C315" s="384" t="str">
        <f t="array" ref="C315:K324" ca="1">+'A-2'!$A$160:$I$169</f>
        <v>Step Change</v>
      </c>
      <c r="D315" s="491">
        <f ca="1"/>
        <v>0</v>
      </c>
      <c r="E315" s="508">
        <f ca="1"/>
        <v>0</v>
      </c>
      <c r="F315" s="491">
        <f ca="1"/>
        <v>0</v>
      </c>
      <c r="G315" s="492">
        <f ca="1"/>
        <v>0</v>
      </c>
      <c r="H315" s="492">
        <f ca="1"/>
        <v>0</v>
      </c>
      <c r="I315" s="492">
        <f ca="1"/>
        <v>0</v>
      </c>
      <c r="J315" s="492">
        <f ca="1"/>
        <v>0</v>
      </c>
      <c r="K315" s="508">
        <f ca="1"/>
        <v>0</v>
      </c>
      <c r="L315" s="515" t="str">
        <f t="array" ref="L315:N324" ca="1">+'A-2'!$K$160:$M$169</f>
        <v>Proposal Step Change</v>
      </c>
      <c r="M315" s="450" t="str">
        <f ca="1"/>
        <v>Refer Opex Workings</v>
      </c>
      <c r="N315" s="450" t="str">
        <f ca="1"/>
        <v>Proposal, October 2014</v>
      </c>
    </row>
    <row r="316" spans="1:14">
      <c r="A316" s="5"/>
      <c r="B316" s="249"/>
      <c r="C316" s="382" t="str">
        <f ca="1"/>
        <v/>
      </c>
      <c r="D316" s="491" t="str">
        <f ca="1"/>
        <v/>
      </c>
      <c r="E316" s="508" t="str">
        <f ca="1"/>
        <v/>
      </c>
      <c r="F316" s="491" t="str">
        <f ca="1"/>
        <v/>
      </c>
      <c r="G316" s="492" t="str">
        <f ca="1"/>
        <v/>
      </c>
      <c r="H316" s="492" t="str">
        <f ca="1"/>
        <v/>
      </c>
      <c r="I316" s="492" t="str">
        <f ca="1"/>
        <v/>
      </c>
      <c r="J316" s="492" t="str">
        <f ca="1"/>
        <v/>
      </c>
      <c r="K316" s="508" t="str">
        <f ca="1"/>
        <v/>
      </c>
      <c r="L316" s="515" t="str">
        <f ca="1"/>
        <v/>
      </c>
      <c r="M316" s="450" t="str">
        <f ca="1"/>
        <v/>
      </c>
      <c r="N316" s="450" t="str">
        <f ca="1"/>
        <v/>
      </c>
    </row>
    <row r="317" spans="1:14">
      <c r="A317" s="5"/>
      <c r="B317" s="249"/>
      <c r="C317" s="382" t="str">
        <f ca="1"/>
        <v/>
      </c>
      <c r="D317" s="491" t="str">
        <f ca="1"/>
        <v/>
      </c>
      <c r="E317" s="508" t="str">
        <f ca="1"/>
        <v/>
      </c>
      <c r="F317" s="491" t="str">
        <f ca="1"/>
        <v/>
      </c>
      <c r="G317" s="492" t="str">
        <f ca="1"/>
        <v/>
      </c>
      <c r="H317" s="492" t="str">
        <f ca="1"/>
        <v/>
      </c>
      <c r="I317" s="492" t="str">
        <f ca="1"/>
        <v/>
      </c>
      <c r="J317" s="492" t="str">
        <f ca="1"/>
        <v/>
      </c>
      <c r="K317" s="508" t="str">
        <f ca="1"/>
        <v/>
      </c>
      <c r="L317" s="515" t="str">
        <f ca="1"/>
        <v/>
      </c>
      <c r="M317" s="450" t="str">
        <f ca="1"/>
        <v/>
      </c>
      <c r="N317" s="450" t="str">
        <f ca="1"/>
        <v/>
      </c>
    </row>
    <row r="318" spans="1:14">
      <c r="A318" s="5"/>
      <c r="B318" s="249"/>
      <c r="C318" s="382" t="str">
        <f ca="1"/>
        <v/>
      </c>
      <c r="D318" s="491" t="str">
        <f ca="1"/>
        <v/>
      </c>
      <c r="E318" s="508" t="str">
        <f ca="1"/>
        <v/>
      </c>
      <c r="F318" s="491" t="str">
        <f ca="1"/>
        <v/>
      </c>
      <c r="G318" s="492" t="str">
        <f ca="1"/>
        <v/>
      </c>
      <c r="H318" s="492" t="str">
        <f ca="1"/>
        <v/>
      </c>
      <c r="I318" s="492" t="str">
        <f ca="1"/>
        <v/>
      </c>
      <c r="J318" s="492" t="str">
        <f ca="1"/>
        <v/>
      </c>
      <c r="K318" s="508" t="str">
        <f ca="1"/>
        <v/>
      </c>
      <c r="L318" s="515" t="str">
        <f ca="1"/>
        <v/>
      </c>
      <c r="M318" s="450" t="str">
        <f ca="1"/>
        <v/>
      </c>
      <c r="N318" s="450" t="str">
        <f ca="1"/>
        <v/>
      </c>
    </row>
    <row r="319" spans="1:14">
      <c r="A319" s="5"/>
      <c r="B319" s="249"/>
      <c r="C319" s="382" t="str">
        <f ca="1"/>
        <v/>
      </c>
      <c r="D319" s="491" t="str">
        <f ca="1"/>
        <v/>
      </c>
      <c r="E319" s="508" t="str">
        <f ca="1"/>
        <v/>
      </c>
      <c r="F319" s="491" t="str">
        <f ca="1"/>
        <v/>
      </c>
      <c r="G319" s="492" t="str">
        <f ca="1"/>
        <v/>
      </c>
      <c r="H319" s="492" t="str">
        <f ca="1"/>
        <v/>
      </c>
      <c r="I319" s="492" t="str">
        <f ca="1"/>
        <v/>
      </c>
      <c r="J319" s="492" t="str">
        <f ca="1"/>
        <v/>
      </c>
      <c r="K319" s="508" t="str">
        <f ca="1"/>
        <v/>
      </c>
      <c r="L319" s="515" t="str">
        <f ca="1"/>
        <v/>
      </c>
      <c r="M319" s="450" t="str">
        <f ca="1"/>
        <v/>
      </c>
      <c r="N319" s="450" t="str">
        <f ca="1"/>
        <v/>
      </c>
    </row>
    <row r="320" spans="1:14">
      <c r="A320" s="5"/>
      <c r="B320" s="249"/>
      <c r="C320" s="384" t="str">
        <f ca="1"/>
        <v/>
      </c>
      <c r="D320" s="491" t="str">
        <f ca="1"/>
        <v/>
      </c>
      <c r="E320" s="508" t="str">
        <f ca="1"/>
        <v/>
      </c>
      <c r="F320" s="491" t="str">
        <f ca="1"/>
        <v/>
      </c>
      <c r="G320" s="492" t="str">
        <f ca="1"/>
        <v/>
      </c>
      <c r="H320" s="492" t="str">
        <f ca="1"/>
        <v/>
      </c>
      <c r="I320" s="492" t="str">
        <f ca="1"/>
        <v/>
      </c>
      <c r="J320" s="492" t="str">
        <f ca="1"/>
        <v/>
      </c>
      <c r="K320" s="508" t="str">
        <f ca="1"/>
        <v/>
      </c>
      <c r="L320" s="515" t="str">
        <f ca="1"/>
        <v/>
      </c>
      <c r="M320" s="450" t="str">
        <f ca="1"/>
        <v/>
      </c>
      <c r="N320" s="450" t="str">
        <f ca="1"/>
        <v/>
      </c>
    </row>
    <row r="321" spans="1:14">
      <c r="A321" s="5"/>
      <c r="B321" s="249"/>
      <c r="C321" s="384" t="str">
        <f ca="1"/>
        <v/>
      </c>
      <c r="D321" s="491" t="str">
        <f ca="1"/>
        <v/>
      </c>
      <c r="E321" s="508" t="str">
        <f ca="1"/>
        <v/>
      </c>
      <c r="F321" s="491" t="str">
        <f ca="1"/>
        <v/>
      </c>
      <c r="G321" s="492" t="str">
        <f ca="1"/>
        <v/>
      </c>
      <c r="H321" s="492" t="str">
        <f ca="1"/>
        <v/>
      </c>
      <c r="I321" s="492" t="str">
        <f ca="1"/>
        <v/>
      </c>
      <c r="J321" s="492" t="str">
        <f ca="1"/>
        <v/>
      </c>
      <c r="K321" s="508" t="str">
        <f ca="1"/>
        <v/>
      </c>
      <c r="L321" s="515" t="str">
        <f ca="1"/>
        <v/>
      </c>
      <c r="M321" s="450" t="str">
        <f ca="1"/>
        <v/>
      </c>
      <c r="N321" s="450" t="str">
        <f ca="1"/>
        <v/>
      </c>
    </row>
    <row r="322" spans="1:14">
      <c r="A322" s="5"/>
      <c r="B322" s="249"/>
      <c r="C322" s="384" t="str">
        <f ca="1"/>
        <v/>
      </c>
      <c r="D322" s="491" t="str">
        <f ca="1"/>
        <v/>
      </c>
      <c r="E322" s="508" t="str">
        <f ca="1"/>
        <v/>
      </c>
      <c r="F322" s="491" t="str">
        <f ca="1"/>
        <v/>
      </c>
      <c r="G322" s="492" t="str">
        <f ca="1"/>
        <v/>
      </c>
      <c r="H322" s="492" t="str">
        <f ca="1"/>
        <v/>
      </c>
      <c r="I322" s="492" t="str">
        <f ca="1"/>
        <v/>
      </c>
      <c r="J322" s="492" t="str">
        <f ca="1"/>
        <v/>
      </c>
      <c r="K322" s="508" t="str">
        <f ca="1"/>
        <v/>
      </c>
      <c r="L322" s="515" t="str">
        <f ca="1"/>
        <v/>
      </c>
      <c r="M322" s="450" t="str">
        <f ca="1"/>
        <v/>
      </c>
      <c r="N322" s="450" t="str">
        <f ca="1"/>
        <v/>
      </c>
    </row>
    <row r="323" spans="1:14">
      <c r="A323" s="5"/>
      <c r="B323" s="249"/>
      <c r="C323" s="384" t="str">
        <f ca="1"/>
        <v/>
      </c>
      <c r="D323" s="491" t="str">
        <f ca="1"/>
        <v/>
      </c>
      <c r="E323" s="508" t="str">
        <f ca="1"/>
        <v/>
      </c>
      <c r="F323" s="491" t="str">
        <f ca="1"/>
        <v/>
      </c>
      <c r="G323" s="492" t="str">
        <f ca="1"/>
        <v/>
      </c>
      <c r="H323" s="492" t="str">
        <f ca="1"/>
        <v/>
      </c>
      <c r="I323" s="492" t="str">
        <f ca="1"/>
        <v/>
      </c>
      <c r="J323" s="492" t="str">
        <f ca="1"/>
        <v/>
      </c>
      <c r="K323" s="508" t="str">
        <f ca="1"/>
        <v/>
      </c>
      <c r="L323" s="515" t="str">
        <f ca="1"/>
        <v/>
      </c>
      <c r="M323" s="450" t="str">
        <f ca="1"/>
        <v/>
      </c>
      <c r="N323" s="450" t="str">
        <f ca="1"/>
        <v/>
      </c>
    </row>
    <row r="324" spans="1:14">
      <c r="A324" s="5"/>
      <c r="B324" s="249"/>
      <c r="C324" s="384" t="str">
        <f ca="1"/>
        <v/>
      </c>
      <c r="D324" s="491" t="str">
        <f ca="1"/>
        <v/>
      </c>
      <c r="E324" s="508" t="str">
        <f ca="1"/>
        <v/>
      </c>
      <c r="F324" s="491" t="str">
        <f ca="1"/>
        <v/>
      </c>
      <c r="G324" s="492" t="str">
        <f ca="1"/>
        <v/>
      </c>
      <c r="H324" s="492" t="str">
        <f ca="1"/>
        <v/>
      </c>
      <c r="I324" s="492" t="str">
        <f ca="1"/>
        <v/>
      </c>
      <c r="J324" s="492" t="str">
        <f ca="1"/>
        <v/>
      </c>
      <c r="K324" s="508" t="str">
        <f ca="1"/>
        <v/>
      </c>
      <c r="L324" s="515" t="str">
        <f ca="1"/>
        <v/>
      </c>
      <c r="M324" s="450" t="str">
        <f ca="1"/>
        <v/>
      </c>
      <c r="N324" s="450" t="str">
        <f ca="1"/>
        <v/>
      </c>
    </row>
    <row r="325" spans="1:14">
      <c r="A325" s="5"/>
      <c r="B325" s="249"/>
      <c r="C325" s="12"/>
      <c r="D325" s="491"/>
      <c r="E325" s="508"/>
      <c r="F325" s="491"/>
      <c r="G325" s="492"/>
      <c r="H325" s="492"/>
      <c r="I325" s="492"/>
      <c r="J325" s="492"/>
      <c r="K325" s="508"/>
      <c r="L325" s="515"/>
      <c r="M325" s="450"/>
      <c r="N325" s="450"/>
    </row>
    <row r="326" spans="1:14">
      <c r="A326" s="5"/>
      <c r="B326" s="249" t="str">
        <f ca="1">+'I-4 History'!B246</f>
        <v>A-3</v>
      </c>
      <c r="C326" s="14" t="str">
        <f ca="1">+'I-4 History'!C246</f>
        <v>Communications</v>
      </c>
      <c r="D326" s="491"/>
      <c r="E326" s="508"/>
      <c r="F326" s="491"/>
      <c r="G326" s="492"/>
      <c r="H326" s="492"/>
      <c r="I326" s="492"/>
      <c r="J326" s="492"/>
      <c r="K326" s="508"/>
      <c r="L326" s="515"/>
      <c r="M326" s="450"/>
      <c r="N326" s="450"/>
    </row>
    <row r="327" spans="1:14">
      <c r="A327" s="5"/>
      <c r="B327" s="249"/>
      <c r="C327" s="384" t="str">
        <f t="array" ref="C327:K336" ca="1">+'A-3'!$A$160:$I$169</f>
        <v>Step Change</v>
      </c>
      <c r="D327" s="491">
        <f ca="1"/>
        <v>0</v>
      </c>
      <c r="E327" s="508">
        <f ca="1"/>
        <v>0</v>
      </c>
      <c r="F327" s="491">
        <f ca="1"/>
        <v>0</v>
      </c>
      <c r="G327" s="492">
        <f ca="1"/>
        <v>2.8820000000000001</v>
      </c>
      <c r="H327" s="492">
        <f ca="1"/>
        <v>2.0169999999999999</v>
      </c>
      <c r="I327" s="492">
        <f ca="1"/>
        <v>1.9419999999999999</v>
      </c>
      <c r="J327" s="492">
        <f ca="1"/>
        <v>1.7330000000000001</v>
      </c>
      <c r="K327" s="508">
        <f ca="1"/>
        <v>1.9670000000000001</v>
      </c>
      <c r="L327" s="515" t="str">
        <f t="array" ref="L327:N336" ca="1">+'A-3'!$K$160:$M$169</f>
        <v>Proposal Step Change</v>
      </c>
      <c r="M327" s="450" t="str">
        <f ca="1"/>
        <v>Refer Opex Workings</v>
      </c>
      <c r="N327" s="450" t="str">
        <f ca="1"/>
        <v>Proposal, October 2014</v>
      </c>
    </row>
    <row r="328" spans="1:14">
      <c r="A328" s="5"/>
      <c r="B328" s="249"/>
      <c r="C328" s="382" t="str">
        <f ca="1"/>
        <v/>
      </c>
      <c r="D328" s="491" t="str">
        <f ca="1"/>
        <v/>
      </c>
      <c r="E328" s="508" t="str">
        <f ca="1"/>
        <v/>
      </c>
      <c r="F328" s="491" t="str">
        <f ca="1"/>
        <v/>
      </c>
      <c r="G328" s="492" t="str">
        <f ca="1"/>
        <v/>
      </c>
      <c r="H328" s="492" t="str">
        <f ca="1"/>
        <v/>
      </c>
      <c r="I328" s="492" t="str">
        <f ca="1"/>
        <v/>
      </c>
      <c r="J328" s="492" t="str">
        <f ca="1"/>
        <v/>
      </c>
      <c r="K328" s="508" t="str">
        <f ca="1"/>
        <v/>
      </c>
      <c r="L328" s="515" t="str">
        <f ca="1"/>
        <v/>
      </c>
      <c r="M328" s="450" t="str">
        <f ca="1"/>
        <v/>
      </c>
      <c r="N328" s="450" t="str">
        <f ca="1"/>
        <v/>
      </c>
    </row>
    <row r="329" spans="1:14">
      <c r="A329" s="5"/>
      <c r="B329" s="249"/>
      <c r="C329" s="382" t="str">
        <f ca="1"/>
        <v/>
      </c>
      <c r="D329" s="491" t="str">
        <f ca="1"/>
        <v/>
      </c>
      <c r="E329" s="508" t="str">
        <f ca="1"/>
        <v/>
      </c>
      <c r="F329" s="491" t="str">
        <f ca="1"/>
        <v/>
      </c>
      <c r="G329" s="492" t="str">
        <f ca="1"/>
        <v/>
      </c>
      <c r="H329" s="492" t="str">
        <f ca="1"/>
        <v/>
      </c>
      <c r="I329" s="492" t="str">
        <f ca="1"/>
        <v/>
      </c>
      <c r="J329" s="492" t="str">
        <f ca="1"/>
        <v/>
      </c>
      <c r="K329" s="508" t="str">
        <f ca="1"/>
        <v/>
      </c>
      <c r="L329" s="515" t="str">
        <f ca="1"/>
        <v/>
      </c>
      <c r="M329" s="450" t="str">
        <f ca="1"/>
        <v/>
      </c>
      <c r="N329" s="450" t="str">
        <f ca="1"/>
        <v/>
      </c>
    </row>
    <row r="330" spans="1:14">
      <c r="A330" s="5"/>
      <c r="B330" s="249"/>
      <c r="C330" s="382" t="str">
        <f ca="1"/>
        <v/>
      </c>
      <c r="D330" s="491" t="str">
        <f ca="1"/>
        <v/>
      </c>
      <c r="E330" s="508" t="str">
        <f ca="1"/>
        <v/>
      </c>
      <c r="F330" s="491" t="str">
        <f ca="1"/>
        <v/>
      </c>
      <c r="G330" s="492" t="str">
        <f ca="1"/>
        <v/>
      </c>
      <c r="H330" s="492" t="str">
        <f ca="1"/>
        <v/>
      </c>
      <c r="I330" s="492" t="str">
        <f ca="1"/>
        <v/>
      </c>
      <c r="J330" s="492" t="str">
        <f ca="1"/>
        <v/>
      </c>
      <c r="K330" s="508" t="str">
        <f ca="1"/>
        <v/>
      </c>
      <c r="L330" s="515" t="str">
        <f ca="1"/>
        <v/>
      </c>
      <c r="M330" s="450" t="str">
        <f ca="1"/>
        <v/>
      </c>
      <c r="N330" s="450" t="str">
        <f ca="1"/>
        <v/>
      </c>
    </row>
    <row r="331" spans="1:14">
      <c r="A331" s="5"/>
      <c r="B331" s="249"/>
      <c r="C331" s="382" t="str">
        <f ca="1"/>
        <v/>
      </c>
      <c r="D331" s="491" t="str">
        <f ca="1"/>
        <v/>
      </c>
      <c r="E331" s="508" t="str">
        <f ca="1"/>
        <v/>
      </c>
      <c r="F331" s="491" t="str">
        <f ca="1"/>
        <v/>
      </c>
      <c r="G331" s="492" t="str">
        <f ca="1"/>
        <v/>
      </c>
      <c r="H331" s="492" t="str">
        <f ca="1"/>
        <v/>
      </c>
      <c r="I331" s="492" t="str">
        <f ca="1"/>
        <v/>
      </c>
      <c r="J331" s="492" t="str">
        <f ca="1"/>
        <v/>
      </c>
      <c r="K331" s="508" t="str">
        <f ca="1"/>
        <v/>
      </c>
      <c r="L331" s="515" t="str">
        <f ca="1"/>
        <v/>
      </c>
      <c r="M331" s="450" t="str">
        <f ca="1"/>
        <v/>
      </c>
      <c r="N331" s="450" t="str">
        <f ca="1"/>
        <v/>
      </c>
    </row>
    <row r="332" spans="1:14">
      <c r="A332" s="5"/>
      <c r="B332" s="249"/>
      <c r="C332" s="384" t="str">
        <f ca="1"/>
        <v/>
      </c>
      <c r="D332" s="491" t="str">
        <f ca="1"/>
        <v/>
      </c>
      <c r="E332" s="508" t="str">
        <f ca="1"/>
        <v/>
      </c>
      <c r="F332" s="491" t="str">
        <f ca="1"/>
        <v/>
      </c>
      <c r="G332" s="492" t="str">
        <f ca="1"/>
        <v/>
      </c>
      <c r="H332" s="492" t="str">
        <f ca="1"/>
        <v/>
      </c>
      <c r="I332" s="492" t="str">
        <f ca="1"/>
        <v/>
      </c>
      <c r="J332" s="492" t="str">
        <f ca="1"/>
        <v/>
      </c>
      <c r="K332" s="508" t="str">
        <f ca="1"/>
        <v/>
      </c>
      <c r="L332" s="515" t="str">
        <f ca="1"/>
        <v/>
      </c>
      <c r="M332" s="450" t="str">
        <f ca="1"/>
        <v/>
      </c>
      <c r="N332" s="450" t="str">
        <f ca="1"/>
        <v/>
      </c>
    </row>
    <row r="333" spans="1:14">
      <c r="A333" s="5"/>
      <c r="B333" s="249"/>
      <c r="C333" s="384" t="str">
        <f ca="1"/>
        <v/>
      </c>
      <c r="D333" s="491" t="str">
        <f ca="1"/>
        <v/>
      </c>
      <c r="E333" s="508" t="str">
        <f ca="1"/>
        <v/>
      </c>
      <c r="F333" s="491" t="str">
        <f ca="1"/>
        <v/>
      </c>
      <c r="G333" s="492" t="str">
        <f ca="1"/>
        <v/>
      </c>
      <c r="H333" s="492" t="str">
        <f ca="1"/>
        <v/>
      </c>
      <c r="I333" s="492" t="str">
        <f ca="1"/>
        <v/>
      </c>
      <c r="J333" s="492" t="str">
        <f ca="1"/>
        <v/>
      </c>
      <c r="K333" s="508" t="str">
        <f ca="1"/>
        <v/>
      </c>
      <c r="L333" s="515" t="str">
        <f ca="1"/>
        <v/>
      </c>
      <c r="M333" s="450" t="str">
        <f ca="1"/>
        <v/>
      </c>
      <c r="N333" s="450" t="str">
        <f ca="1"/>
        <v/>
      </c>
    </row>
    <row r="334" spans="1:14">
      <c r="A334" s="5"/>
      <c r="B334" s="249"/>
      <c r="C334" s="384" t="str">
        <f ca="1"/>
        <v/>
      </c>
      <c r="D334" s="491" t="str">
        <f ca="1"/>
        <v/>
      </c>
      <c r="E334" s="508" t="str">
        <f ca="1"/>
        <v/>
      </c>
      <c r="F334" s="491" t="str">
        <f ca="1"/>
        <v/>
      </c>
      <c r="G334" s="492" t="str">
        <f ca="1"/>
        <v/>
      </c>
      <c r="H334" s="492" t="str">
        <f ca="1"/>
        <v/>
      </c>
      <c r="I334" s="492" t="str">
        <f ca="1"/>
        <v/>
      </c>
      <c r="J334" s="492" t="str">
        <f ca="1"/>
        <v/>
      </c>
      <c r="K334" s="508" t="str">
        <f ca="1"/>
        <v/>
      </c>
      <c r="L334" s="515" t="str">
        <f ca="1"/>
        <v/>
      </c>
      <c r="M334" s="450" t="str">
        <f ca="1"/>
        <v/>
      </c>
      <c r="N334" s="450" t="str">
        <f ca="1"/>
        <v/>
      </c>
    </row>
    <row r="335" spans="1:14">
      <c r="A335" s="5"/>
      <c r="B335" s="249"/>
      <c r="C335" s="384" t="str">
        <f ca="1"/>
        <v/>
      </c>
      <c r="D335" s="491" t="str">
        <f ca="1"/>
        <v/>
      </c>
      <c r="E335" s="508" t="str">
        <f ca="1"/>
        <v/>
      </c>
      <c r="F335" s="491" t="str">
        <f ca="1"/>
        <v/>
      </c>
      <c r="G335" s="492" t="str">
        <f ca="1"/>
        <v/>
      </c>
      <c r="H335" s="492" t="str">
        <f ca="1"/>
        <v/>
      </c>
      <c r="I335" s="492" t="str">
        <f ca="1"/>
        <v/>
      </c>
      <c r="J335" s="492" t="str">
        <f ca="1"/>
        <v/>
      </c>
      <c r="K335" s="508" t="str">
        <f ca="1"/>
        <v/>
      </c>
      <c r="L335" s="515" t="str">
        <f ca="1"/>
        <v/>
      </c>
      <c r="M335" s="450" t="str">
        <f ca="1"/>
        <v/>
      </c>
      <c r="N335" s="450" t="str">
        <f ca="1"/>
        <v/>
      </c>
    </row>
    <row r="336" spans="1:14">
      <c r="A336" s="5"/>
      <c r="B336" s="249"/>
      <c r="C336" s="384" t="str">
        <f ca="1"/>
        <v/>
      </c>
      <c r="D336" s="491" t="str">
        <f ca="1"/>
        <v/>
      </c>
      <c r="E336" s="508" t="str">
        <f ca="1"/>
        <v/>
      </c>
      <c r="F336" s="491" t="str">
        <f ca="1"/>
        <v/>
      </c>
      <c r="G336" s="492" t="str">
        <f ca="1"/>
        <v/>
      </c>
      <c r="H336" s="492" t="str">
        <f ca="1"/>
        <v/>
      </c>
      <c r="I336" s="492" t="str">
        <f ca="1"/>
        <v/>
      </c>
      <c r="J336" s="492" t="str">
        <f ca="1"/>
        <v/>
      </c>
      <c r="K336" s="508" t="str">
        <f ca="1"/>
        <v/>
      </c>
      <c r="L336" s="515" t="str">
        <f ca="1"/>
        <v/>
      </c>
      <c r="M336" s="450" t="str">
        <f ca="1"/>
        <v/>
      </c>
      <c r="N336" s="450" t="str">
        <f ca="1"/>
        <v/>
      </c>
    </row>
    <row r="337" spans="1:14">
      <c r="A337" s="5"/>
      <c r="B337" s="249"/>
      <c r="C337" s="12"/>
      <c r="D337" s="491"/>
      <c r="E337" s="508"/>
      <c r="F337" s="491"/>
      <c r="G337" s="492"/>
      <c r="H337" s="492"/>
      <c r="I337" s="492"/>
      <c r="J337" s="492"/>
      <c r="K337" s="508"/>
      <c r="L337" s="515"/>
      <c r="M337" s="450"/>
      <c r="N337" s="450"/>
    </row>
    <row r="338" spans="1:14">
      <c r="A338" s="5"/>
      <c r="B338" s="249" t="str">
        <f ca="1">+'I-4 History'!B255</f>
        <v>A-4</v>
      </c>
      <c r="C338" s="14" t="str">
        <f ca="1">+'I-4 History'!C255</f>
        <v>Audit Services</v>
      </c>
      <c r="D338" s="491"/>
      <c r="E338" s="508"/>
      <c r="F338" s="491"/>
      <c r="G338" s="492"/>
      <c r="H338" s="492"/>
      <c r="I338" s="492"/>
      <c r="J338" s="492"/>
      <c r="K338" s="508"/>
      <c r="L338" s="515"/>
      <c r="M338" s="450"/>
      <c r="N338" s="450"/>
    </row>
    <row r="339" spans="1:14">
      <c r="A339" s="5"/>
      <c r="B339" s="249"/>
      <c r="C339" s="384" t="str">
        <f t="array" ref="C339:K348" ca="1">+'A-4'!$A$160:$I$169</f>
        <v>Step Change</v>
      </c>
      <c r="D339" s="491">
        <f ca="1"/>
        <v>0</v>
      </c>
      <c r="E339" s="508">
        <f ca="1"/>
        <v>0</v>
      </c>
      <c r="F339" s="491">
        <f ca="1"/>
        <v>0</v>
      </c>
      <c r="G339" s="492">
        <f ca="1"/>
        <v>0.20499999999999999</v>
      </c>
      <c r="H339" s="492">
        <f ca="1"/>
        <v>0.20499999999999999</v>
      </c>
      <c r="I339" s="492">
        <f ca="1"/>
        <v>0.20499999999999999</v>
      </c>
      <c r="J339" s="492">
        <f ca="1"/>
        <v>0.20499999999999999</v>
      </c>
      <c r="K339" s="508">
        <f ca="1"/>
        <v>0.20499999999999999</v>
      </c>
      <c r="L339" s="515" t="str">
        <f t="array" ref="L339:N348" ca="1">+'A-4'!$K$160:$M$169</f>
        <v>Proposal Step Change</v>
      </c>
      <c r="M339" s="450" t="str">
        <f ca="1"/>
        <v>Refer Opex Workings</v>
      </c>
      <c r="N339" s="450" t="str">
        <f ca="1"/>
        <v>Proposal, October 2014</v>
      </c>
    </row>
    <row r="340" spans="1:14">
      <c r="A340" s="5"/>
      <c r="B340" s="249"/>
      <c r="C340" s="382" t="str">
        <f ca="1"/>
        <v/>
      </c>
      <c r="D340" s="491" t="str">
        <f ca="1"/>
        <v/>
      </c>
      <c r="E340" s="508" t="str">
        <f ca="1"/>
        <v/>
      </c>
      <c r="F340" s="491" t="str">
        <f ca="1"/>
        <v/>
      </c>
      <c r="G340" s="492" t="str">
        <f ca="1"/>
        <v/>
      </c>
      <c r="H340" s="492" t="str">
        <f ca="1"/>
        <v/>
      </c>
      <c r="I340" s="492" t="str">
        <f ca="1"/>
        <v/>
      </c>
      <c r="J340" s="492" t="str">
        <f ca="1"/>
        <v/>
      </c>
      <c r="K340" s="508" t="str">
        <f ca="1"/>
        <v/>
      </c>
      <c r="L340" s="515" t="str">
        <f ca="1"/>
        <v/>
      </c>
      <c r="M340" s="450" t="str">
        <f ca="1"/>
        <v/>
      </c>
      <c r="N340" s="450" t="str">
        <f ca="1"/>
        <v/>
      </c>
    </row>
    <row r="341" spans="1:14">
      <c r="A341" s="5"/>
      <c r="B341" s="249"/>
      <c r="C341" s="382" t="str">
        <f ca="1"/>
        <v/>
      </c>
      <c r="D341" s="491" t="str">
        <f ca="1"/>
        <v/>
      </c>
      <c r="E341" s="508" t="str">
        <f ca="1"/>
        <v/>
      </c>
      <c r="F341" s="491" t="str">
        <f ca="1"/>
        <v/>
      </c>
      <c r="G341" s="492" t="str">
        <f ca="1"/>
        <v/>
      </c>
      <c r="H341" s="492" t="str">
        <f ca="1"/>
        <v/>
      </c>
      <c r="I341" s="492" t="str">
        <f ca="1"/>
        <v/>
      </c>
      <c r="J341" s="492" t="str">
        <f ca="1"/>
        <v/>
      </c>
      <c r="K341" s="508" t="str">
        <f ca="1"/>
        <v/>
      </c>
      <c r="L341" s="515" t="str">
        <f ca="1"/>
        <v/>
      </c>
      <c r="M341" s="450" t="str">
        <f ca="1"/>
        <v/>
      </c>
      <c r="N341" s="450" t="str">
        <f ca="1"/>
        <v/>
      </c>
    </row>
    <row r="342" spans="1:14">
      <c r="A342" s="5"/>
      <c r="B342" s="249"/>
      <c r="C342" s="382" t="str">
        <f ca="1"/>
        <v/>
      </c>
      <c r="D342" s="491" t="str">
        <f ca="1"/>
        <v/>
      </c>
      <c r="E342" s="508" t="str">
        <f ca="1"/>
        <v/>
      </c>
      <c r="F342" s="491" t="str">
        <f ca="1"/>
        <v/>
      </c>
      <c r="G342" s="492" t="str">
        <f ca="1"/>
        <v/>
      </c>
      <c r="H342" s="492" t="str">
        <f ca="1"/>
        <v/>
      </c>
      <c r="I342" s="492" t="str">
        <f ca="1"/>
        <v/>
      </c>
      <c r="J342" s="492" t="str">
        <f ca="1"/>
        <v/>
      </c>
      <c r="K342" s="508" t="str">
        <f ca="1"/>
        <v/>
      </c>
      <c r="L342" s="515" t="str">
        <f ca="1"/>
        <v/>
      </c>
      <c r="M342" s="450" t="str">
        <f ca="1"/>
        <v/>
      </c>
      <c r="N342" s="450" t="str">
        <f ca="1"/>
        <v/>
      </c>
    </row>
    <row r="343" spans="1:14">
      <c r="A343" s="5"/>
      <c r="B343" s="249"/>
      <c r="C343" s="382" t="str">
        <f ca="1"/>
        <v/>
      </c>
      <c r="D343" s="491" t="str">
        <f ca="1"/>
        <v/>
      </c>
      <c r="E343" s="508" t="str">
        <f ca="1"/>
        <v/>
      </c>
      <c r="F343" s="491" t="str">
        <f ca="1"/>
        <v/>
      </c>
      <c r="G343" s="492" t="str">
        <f ca="1"/>
        <v/>
      </c>
      <c r="H343" s="492" t="str">
        <f ca="1"/>
        <v/>
      </c>
      <c r="I343" s="492" t="str">
        <f ca="1"/>
        <v/>
      </c>
      <c r="J343" s="492" t="str">
        <f ca="1"/>
        <v/>
      </c>
      <c r="K343" s="508" t="str">
        <f ca="1"/>
        <v/>
      </c>
      <c r="L343" s="515" t="str">
        <f ca="1"/>
        <v/>
      </c>
      <c r="M343" s="450" t="str">
        <f ca="1"/>
        <v/>
      </c>
      <c r="N343" s="450" t="str">
        <f ca="1"/>
        <v/>
      </c>
    </row>
    <row r="344" spans="1:14">
      <c r="A344" s="5"/>
      <c r="B344" s="249"/>
      <c r="C344" s="384" t="str">
        <f ca="1"/>
        <v/>
      </c>
      <c r="D344" s="491" t="str">
        <f ca="1"/>
        <v/>
      </c>
      <c r="E344" s="508" t="str">
        <f ca="1"/>
        <v/>
      </c>
      <c r="F344" s="491" t="str">
        <f ca="1"/>
        <v/>
      </c>
      <c r="G344" s="492" t="str">
        <f ca="1"/>
        <v/>
      </c>
      <c r="H344" s="492" t="str">
        <f ca="1"/>
        <v/>
      </c>
      <c r="I344" s="492" t="str">
        <f ca="1"/>
        <v/>
      </c>
      <c r="J344" s="492" t="str">
        <f ca="1"/>
        <v/>
      </c>
      <c r="K344" s="508" t="str">
        <f ca="1"/>
        <v/>
      </c>
      <c r="L344" s="515" t="str">
        <f ca="1"/>
        <v/>
      </c>
      <c r="M344" s="450" t="str">
        <f ca="1"/>
        <v/>
      </c>
      <c r="N344" s="450" t="str">
        <f ca="1"/>
        <v/>
      </c>
    </row>
    <row r="345" spans="1:14">
      <c r="A345" s="5"/>
      <c r="B345" s="249"/>
      <c r="C345" s="384" t="str">
        <f ca="1"/>
        <v/>
      </c>
      <c r="D345" s="491" t="str">
        <f ca="1"/>
        <v/>
      </c>
      <c r="E345" s="508" t="str">
        <f ca="1"/>
        <v/>
      </c>
      <c r="F345" s="491" t="str">
        <f ca="1"/>
        <v/>
      </c>
      <c r="G345" s="492" t="str">
        <f ca="1"/>
        <v/>
      </c>
      <c r="H345" s="492" t="str">
        <f ca="1"/>
        <v/>
      </c>
      <c r="I345" s="492" t="str">
        <f ca="1"/>
        <v/>
      </c>
      <c r="J345" s="492" t="str">
        <f ca="1"/>
        <v/>
      </c>
      <c r="K345" s="508" t="str">
        <f ca="1"/>
        <v/>
      </c>
      <c r="L345" s="515" t="str">
        <f ca="1"/>
        <v/>
      </c>
      <c r="M345" s="450" t="str">
        <f ca="1"/>
        <v/>
      </c>
      <c r="N345" s="450" t="str">
        <f ca="1"/>
        <v/>
      </c>
    </row>
    <row r="346" spans="1:14">
      <c r="A346" s="5"/>
      <c r="B346" s="249"/>
      <c r="C346" s="384" t="str">
        <f ca="1"/>
        <v/>
      </c>
      <c r="D346" s="491" t="str">
        <f ca="1"/>
        <v/>
      </c>
      <c r="E346" s="508" t="str">
        <f ca="1"/>
        <v/>
      </c>
      <c r="F346" s="491" t="str">
        <f ca="1"/>
        <v/>
      </c>
      <c r="G346" s="492" t="str">
        <f ca="1"/>
        <v/>
      </c>
      <c r="H346" s="492" t="str">
        <f ca="1"/>
        <v/>
      </c>
      <c r="I346" s="492" t="str">
        <f ca="1"/>
        <v/>
      </c>
      <c r="J346" s="492" t="str">
        <f ca="1"/>
        <v/>
      </c>
      <c r="K346" s="508" t="str">
        <f ca="1"/>
        <v/>
      </c>
      <c r="L346" s="515" t="str">
        <f ca="1"/>
        <v/>
      </c>
      <c r="M346" s="450" t="str">
        <f ca="1"/>
        <v/>
      </c>
      <c r="N346" s="450" t="str">
        <f ca="1"/>
        <v/>
      </c>
    </row>
    <row r="347" spans="1:14">
      <c r="A347" s="5"/>
      <c r="B347" s="249"/>
      <c r="C347" s="384" t="str">
        <f ca="1"/>
        <v/>
      </c>
      <c r="D347" s="491" t="str">
        <f ca="1"/>
        <v/>
      </c>
      <c r="E347" s="508" t="str">
        <f ca="1"/>
        <v/>
      </c>
      <c r="F347" s="491" t="str">
        <f ca="1"/>
        <v/>
      </c>
      <c r="G347" s="492" t="str">
        <f ca="1"/>
        <v/>
      </c>
      <c r="H347" s="492" t="str">
        <f ca="1"/>
        <v/>
      </c>
      <c r="I347" s="492" t="str">
        <f ca="1"/>
        <v/>
      </c>
      <c r="J347" s="492" t="str">
        <f ca="1"/>
        <v/>
      </c>
      <c r="K347" s="508" t="str">
        <f ca="1"/>
        <v/>
      </c>
      <c r="L347" s="515" t="str">
        <f ca="1"/>
        <v/>
      </c>
      <c r="M347" s="450" t="str">
        <f ca="1"/>
        <v/>
      </c>
      <c r="N347" s="450" t="str">
        <f ca="1"/>
        <v/>
      </c>
    </row>
    <row r="348" spans="1:14">
      <c r="A348" s="5"/>
      <c r="B348" s="249"/>
      <c r="C348" s="384" t="str">
        <f ca="1"/>
        <v/>
      </c>
      <c r="D348" s="491" t="str">
        <f ca="1"/>
        <v/>
      </c>
      <c r="E348" s="508" t="str">
        <f ca="1"/>
        <v/>
      </c>
      <c r="F348" s="491" t="str">
        <f ca="1"/>
        <v/>
      </c>
      <c r="G348" s="492" t="str">
        <f ca="1"/>
        <v/>
      </c>
      <c r="H348" s="492" t="str">
        <f ca="1"/>
        <v/>
      </c>
      <c r="I348" s="492" t="str">
        <f ca="1"/>
        <v/>
      </c>
      <c r="J348" s="492" t="str">
        <f ca="1"/>
        <v/>
      </c>
      <c r="K348" s="508" t="str">
        <f ca="1"/>
        <v/>
      </c>
      <c r="L348" s="515" t="str">
        <f ca="1"/>
        <v/>
      </c>
      <c r="M348" s="450" t="str">
        <f ca="1"/>
        <v/>
      </c>
      <c r="N348" s="450" t="str">
        <f ca="1"/>
        <v/>
      </c>
    </row>
    <row r="349" spans="1:14" ht="17.25" customHeight="1" thickBot="1">
      <c r="A349" s="5"/>
      <c r="B349" s="250"/>
      <c r="C349" s="269" t="str">
        <f>CONCATENATE("Total ", +C301)</f>
        <v>Total Office of the CEO</v>
      </c>
      <c r="D349" s="491">
        <f ca="1">SUBTOTAL(9,D303:D347)</f>
        <v>0</v>
      </c>
      <c r="E349" s="508">
        <f t="shared" ref="E349:K349" ca="1" si="3">SUBTOTAL(9,E303:E347)</f>
        <v>0</v>
      </c>
      <c r="F349" s="491">
        <f t="shared" ca="1" si="3"/>
        <v>0</v>
      </c>
      <c r="G349" s="492">
        <f t="shared" ca="1" si="3"/>
        <v>3.0870000000000002</v>
      </c>
      <c r="H349" s="492">
        <f t="shared" ca="1" si="3"/>
        <v>2.222</v>
      </c>
      <c r="I349" s="492">
        <f t="shared" ca="1" si="3"/>
        <v>2.1469999999999998</v>
      </c>
      <c r="J349" s="492">
        <f t="shared" ca="1" si="3"/>
        <v>1.9380000000000002</v>
      </c>
      <c r="K349" s="508">
        <f t="shared" ca="1" si="3"/>
        <v>2.1720000000000002</v>
      </c>
      <c r="L349" s="515"/>
      <c r="M349" s="450"/>
      <c r="N349" s="450"/>
    </row>
    <row r="350" spans="1:14" ht="18">
      <c r="B350" s="251"/>
      <c r="C350" s="254" t="str">
        <f>+'I-3 Allocated'!A9</f>
        <v>Regulation and Company Secretary</v>
      </c>
      <c r="D350" s="332"/>
      <c r="E350" s="499"/>
      <c r="F350" s="332"/>
      <c r="G350" s="332"/>
      <c r="H350" s="332"/>
      <c r="I350" s="332"/>
      <c r="J350" s="332"/>
      <c r="K350" s="499"/>
      <c r="L350" s="515"/>
      <c r="M350" s="450"/>
      <c r="N350" s="450"/>
    </row>
    <row r="351" spans="1:14" ht="25.5">
      <c r="A351" s="5"/>
      <c r="B351" s="249" t="str">
        <f ca="1">+'I-4 History'!B264</f>
        <v>A-5</v>
      </c>
      <c r="C351" s="14" t="str">
        <f ca="1">+'I-4 History'!C264</f>
        <v>General Manager Regulation &amp; Company Secretary</v>
      </c>
      <c r="D351" s="491"/>
      <c r="E351" s="508"/>
      <c r="F351" s="491"/>
      <c r="G351" s="492"/>
      <c r="H351" s="492"/>
      <c r="I351" s="492"/>
      <c r="J351" s="492"/>
      <c r="K351" s="508"/>
      <c r="L351" s="515"/>
      <c r="M351" s="450"/>
      <c r="N351" s="450"/>
    </row>
    <row r="352" spans="1:14">
      <c r="A352" s="5"/>
      <c r="B352" s="249"/>
      <c r="C352" s="384" t="str">
        <f t="array" ref="C352:K361" ca="1">+'A-5'!$A$160:$I$169</f>
        <v>Step Change</v>
      </c>
      <c r="D352" s="491">
        <f ca="1"/>
        <v>0</v>
      </c>
      <c r="E352" s="508">
        <f ca="1"/>
        <v>0</v>
      </c>
      <c r="F352" s="491">
        <f ca="1"/>
        <v>0</v>
      </c>
      <c r="G352" s="492">
        <f ca="1"/>
        <v>0</v>
      </c>
      <c r="H352" s="492">
        <f ca="1"/>
        <v>0</v>
      </c>
      <c r="I352" s="492">
        <f ca="1"/>
        <v>0</v>
      </c>
      <c r="J352" s="492">
        <f ca="1"/>
        <v>0</v>
      </c>
      <c r="K352" s="508">
        <f ca="1"/>
        <v>0</v>
      </c>
      <c r="L352" s="515" t="str">
        <f t="array" ref="L352:N361" ca="1">+'A-5'!$K$160:$M$169</f>
        <v>Proposal Step Change</v>
      </c>
      <c r="M352" s="450" t="str">
        <f ca="1"/>
        <v>Refer Opex Workings</v>
      </c>
      <c r="N352" s="450" t="str">
        <f ca="1"/>
        <v>Proposal, October 2014</v>
      </c>
    </row>
    <row r="353" spans="1:14">
      <c r="A353" s="5"/>
      <c r="B353" s="249"/>
      <c r="C353" s="382" t="str">
        <f ca="1"/>
        <v/>
      </c>
      <c r="D353" s="491" t="str">
        <f ca="1"/>
        <v/>
      </c>
      <c r="E353" s="508" t="str">
        <f ca="1"/>
        <v/>
      </c>
      <c r="F353" s="491" t="str">
        <f ca="1"/>
        <v/>
      </c>
      <c r="G353" s="492" t="str">
        <f ca="1"/>
        <v/>
      </c>
      <c r="H353" s="492" t="str">
        <f ca="1"/>
        <v/>
      </c>
      <c r="I353" s="492" t="str">
        <f ca="1"/>
        <v/>
      </c>
      <c r="J353" s="492" t="str">
        <f ca="1"/>
        <v/>
      </c>
      <c r="K353" s="508" t="str">
        <f ca="1"/>
        <v/>
      </c>
      <c r="L353" s="515" t="str">
        <f ca="1"/>
        <v/>
      </c>
      <c r="M353" s="450" t="str">
        <f ca="1"/>
        <v/>
      </c>
      <c r="N353" s="450" t="str">
        <f ca="1"/>
        <v/>
      </c>
    </row>
    <row r="354" spans="1:14">
      <c r="A354" s="5"/>
      <c r="B354" s="249"/>
      <c r="C354" s="382" t="str">
        <f ca="1"/>
        <v/>
      </c>
      <c r="D354" s="491" t="str">
        <f ca="1"/>
        <v/>
      </c>
      <c r="E354" s="508" t="str">
        <f ca="1"/>
        <v/>
      </c>
      <c r="F354" s="491" t="str">
        <f ca="1"/>
        <v/>
      </c>
      <c r="G354" s="492" t="str">
        <f ca="1"/>
        <v/>
      </c>
      <c r="H354" s="492" t="str">
        <f ca="1"/>
        <v/>
      </c>
      <c r="I354" s="492" t="str">
        <f ca="1"/>
        <v/>
      </c>
      <c r="J354" s="492" t="str">
        <f ca="1"/>
        <v/>
      </c>
      <c r="K354" s="508" t="str">
        <f ca="1"/>
        <v/>
      </c>
      <c r="L354" s="515" t="str">
        <f ca="1"/>
        <v/>
      </c>
      <c r="M354" s="450" t="str">
        <f ca="1"/>
        <v/>
      </c>
      <c r="N354" s="450" t="str">
        <f ca="1"/>
        <v/>
      </c>
    </row>
    <row r="355" spans="1:14">
      <c r="A355" s="5"/>
      <c r="B355" s="249"/>
      <c r="C355" s="382" t="str">
        <f ca="1"/>
        <v/>
      </c>
      <c r="D355" s="491" t="str">
        <f ca="1"/>
        <v/>
      </c>
      <c r="E355" s="508" t="str">
        <f ca="1"/>
        <v/>
      </c>
      <c r="F355" s="491" t="str">
        <f ca="1"/>
        <v/>
      </c>
      <c r="G355" s="492" t="str">
        <f ca="1"/>
        <v/>
      </c>
      <c r="H355" s="492" t="str">
        <f ca="1"/>
        <v/>
      </c>
      <c r="I355" s="492" t="str">
        <f ca="1"/>
        <v/>
      </c>
      <c r="J355" s="492" t="str">
        <f ca="1"/>
        <v/>
      </c>
      <c r="K355" s="508" t="str">
        <f ca="1"/>
        <v/>
      </c>
      <c r="L355" s="515" t="str">
        <f ca="1"/>
        <v/>
      </c>
      <c r="M355" s="450" t="str">
        <f ca="1"/>
        <v/>
      </c>
      <c r="N355" s="450" t="str">
        <f ca="1"/>
        <v/>
      </c>
    </row>
    <row r="356" spans="1:14">
      <c r="A356" s="5"/>
      <c r="B356" s="249"/>
      <c r="C356" s="382" t="str">
        <f ca="1"/>
        <v/>
      </c>
      <c r="D356" s="491" t="str">
        <f ca="1"/>
        <v/>
      </c>
      <c r="E356" s="508" t="str">
        <f ca="1"/>
        <v/>
      </c>
      <c r="F356" s="491" t="str">
        <f ca="1"/>
        <v/>
      </c>
      <c r="G356" s="492" t="str">
        <f ca="1"/>
        <v/>
      </c>
      <c r="H356" s="492" t="str">
        <f ca="1"/>
        <v/>
      </c>
      <c r="I356" s="492" t="str">
        <f ca="1"/>
        <v/>
      </c>
      <c r="J356" s="492" t="str">
        <f ca="1"/>
        <v/>
      </c>
      <c r="K356" s="508" t="str">
        <f ca="1"/>
        <v/>
      </c>
      <c r="L356" s="515" t="str">
        <f ca="1"/>
        <v/>
      </c>
      <c r="M356" s="450" t="str">
        <f ca="1"/>
        <v/>
      </c>
      <c r="N356" s="450" t="str">
        <f ca="1"/>
        <v/>
      </c>
    </row>
    <row r="357" spans="1:14">
      <c r="A357" s="5"/>
      <c r="B357" s="249"/>
      <c r="C357" s="384" t="str">
        <f ca="1"/>
        <v/>
      </c>
      <c r="D357" s="491" t="str">
        <f ca="1"/>
        <v/>
      </c>
      <c r="E357" s="508" t="str">
        <f ca="1"/>
        <v/>
      </c>
      <c r="F357" s="491" t="str">
        <f ca="1"/>
        <v/>
      </c>
      <c r="G357" s="492" t="str">
        <f ca="1"/>
        <v/>
      </c>
      <c r="H357" s="492" t="str">
        <f ca="1"/>
        <v/>
      </c>
      <c r="I357" s="492" t="str">
        <f ca="1"/>
        <v/>
      </c>
      <c r="J357" s="492" t="str">
        <f ca="1"/>
        <v/>
      </c>
      <c r="K357" s="508" t="str">
        <f ca="1"/>
        <v/>
      </c>
      <c r="L357" s="515" t="str">
        <f ca="1"/>
        <v/>
      </c>
      <c r="M357" s="450" t="str">
        <f ca="1"/>
        <v/>
      </c>
      <c r="N357" s="450" t="str">
        <f ca="1"/>
        <v/>
      </c>
    </row>
    <row r="358" spans="1:14">
      <c r="A358" s="5"/>
      <c r="B358" s="249"/>
      <c r="C358" s="384" t="str">
        <f ca="1"/>
        <v/>
      </c>
      <c r="D358" s="491" t="str">
        <f ca="1"/>
        <v/>
      </c>
      <c r="E358" s="508" t="str">
        <f ca="1"/>
        <v/>
      </c>
      <c r="F358" s="491" t="str">
        <f ca="1"/>
        <v/>
      </c>
      <c r="G358" s="492" t="str">
        <f ca="1"/>
        <v/>
      </c>
      <c r="H358" s="492" t="str">
        <f ca="1"/>
        <v/>
      </c>
      <c r="I358" s="492" t="str">
        <f ca="1"/>
        <v/>
      </c>
      <c r="J358" s="492" t="str">
        <f ca="1"/>
        <v/>
      </c>
      <c r="K358" s="508" t="str">
        <f ca="1"/>
        <v/>
      </c>
      <c r="L358" s="515" t="str">
        <f ca="1"/>
        <v/>
      </c>
      <c r="M358" s="450" t="str">
        <f ca="1"/>
        <v/>
      </c>
      <c r="N358" s="450" t="str">
        <f ca="1"/>
        <v/>
      </c>
    </row>
    <row r="359" spans="1:14">
      <c r="A359" s="5"/>
      <c r="B359" s="249"/>
      <c r="C359" s="384" t="str">
        <f ca="1"/>
        <v/>
      </c>
      <c r="D359" s="491" t="str">
        <f ca="1"/>
        <v/>
      </c>
      <c r="E359" s="508" t="str">
        <f ca="1"/>
        <v/>
      </c>
      <c r="F359" s="491" t="str">
        <f ca="1"/>
        <v/>
      </c>
      <c r="G359" s="492" t="str">
        <f ca="1"/>
        <v/>
      </c>
      <c r="H359" s="492" t="str">
        <f ca="1"/>
        <v/>
      </c>
      <c r="I359" s="492" t="str">
        <f ca="1"/>
        <v/>
      </c>
      <c r="J359" s="492" t="str">
        <f ca="1"/>
        <v/>
      </c>
      <c r="K359" s="508" t="str">
        <f ca="1"/>
        <v/>
      </c>
      <c r="L359" s="515" t="str">
        <f ca="1"/>
        <v/>
      </c>
      <c r="M359" s="450" t="str">
        <f ca="1"/>
        <v/>
      </c>
      <c r="N359" s="450" t="str">
        <f ca="1"/>
        <v/>
      </c>
    </row>
    <row r="360" spans="1:14">
      <c r="A360" s="5"/>
      <c r="B360" s="249"/>
      <c r="C360" s="384" t="str">
        <f ca="1"/>
        <v/>
      </c>
      <c r="D360" s="491" t="str">
        <f ca="1"/>
        <v/>
      </c>
      <c r="E360" s="508" t="str">
        <f ca="1"/>
        <v/>
      </c>
      <c r="F360" s="491" t="str">
        <f ca="1"/>
        <v/>
      </c>
      <c r="G360" s="492" t="str">
        <f ca="1"/>
        <v/>
      </c>
      <c r="H360" s="492" t="str">
        <f ca="1"/>
        <v/>
      </c>
      <c r="I360" s="492" t="str">
        <f ca="1"/>
        <v/>
      </c>
      <c r="J360" s="492" t="str">
        <f ca="1"/>
        <v/>
      </c>
      <c r="K360" s="508" t="str">
        <f ca="1"/>
        <v/>
      </c>
      <c r="L360" s="515" t="str">
        <f ca="1"/>
        <v/>
      </c>
      <c r="M360" s="450" t="str">
        <f ca="1"/>
        <v/>
      </c>
      <c r="N360" s="450" t="str">
        <f ca="1"/>
        <v/>
      </c>
    </row>
    <row r="361" spans="1:14">
      <c r="A361" s="5"/>
      <c r="B361" s="249"/>
      <c r="C361" s="384" t="str">
        <f ca="1"/>
        <v/>
      </c>
      <c r="D361" s="491" t="str">
        <f ca="1"/>
        <v/>
      </c>
      <c r="E361" s="508" t="str">
        <f ca="1"/>
        <v/>
      </c>
      <c r="F361" s="491" t="str">
        <f ca="1"/>
        <v/>
      </c>
      <c r="G361" s="492" t="str">
        <f ca="1"/>
        <v/>
      </c>
      <c r="H361" s="492" t="str">
        <f ca="1"/>
        <v/>
      </c>
      <c r="I361" s="492" t="str">
        <f ca="1"/>
        <v/>
      </c>
      <c r="J361" s="492" t="str">
        <f ca="1"/>
        <v/>
      </c>
      <c r="K361" s="508" t="str">
        <f ca="1"/>
        <v/>
      </c>
      <c r="L361" s="515" t="str">
        <f ca="1"/>
        <v/>
      </c>
      <c r="M361" s="450" t="str">
        <f ca="1"/>
        <v/>
      </c>
      <c r="N361" s="450" t="str">
        <f ca="1"/>
        <v/>
      </c>
    </row>
    <row r="362" spans="1:14">
      <c r="A362" s="5"/>
      <c r="B362" s="249"/>
      <c r="C362" s="14"/>
      <c r="D362" s="491"/>
      <c r="E362" s="508"/>
      <c r="F362" s="491"/>
      <c r="G362" s="492"/>
      <c r="H362" s="492"/>
      <c r="I362" s="492"/>
      <c r="J362" s="492"/>
      <c r="K362" s="508"/>
      <c r="L362" s="515"/>
      <c r="M362" s="450"/>
      <c r="N362" s="450"/>
    </row>
    <row r="363" spans="1:14">
      <c r="A363" s="5"/>
      <c r="B363" s="249" t="str">
        <f ca="1">+'I-4 History'!B273</f>
        <v>A-6</v>
      </c>
      <c r="C363" s="14" t="str">
        <f ca="1">+'I-4 History'!C273</f>
        <v>Regulation</v>
      </c>
      <c r="D363" s="491"/>
      <c r="E363" s="508"/>
      <c r="F363" s="491"/>
      <c r="G363" s="492"/>
      <c r="H363" s="492"/>
      <c r="I363" s="492"/>
      <c r="J363" s="492"/>
      <c r="K363" s="508"/>
      <c r="L363" s="515"/>
      <c r="M363" s="450"/>
      <c r="N363" s="450"/>
    </row>
    <row r="364" spans="1:14">
      <c r="A364" s="5"/>
      <c r="B364" s="249"/>
      <c r="C364" s="384" t="str">
        <f t="array" ref="C364:K373" ca="1">+'A-6'!$A$160:$I$169</f>
        <v>Step Change</v>
      </c>
      <c r="D364" s="491">
        <f ca="1"/>
        <v>0</v>
      </c>
      <c r="E364" s="508">
        <f ca="1"/>
        <v>0</v>
      </c>
      <c r="F364" s="491">
        <f ca="1"/>
        <v>0</v>
      </c>
      <c r="G364" s="492">
        <f ca="1"/>
        <v>0</v>
      </c>
      <c r="H364" s="492">
        <f ca="1"/>
        <v>0</v>
      </c>
      <c r="I364" s="492">
        <f ca="1"/>
        <v>1.133</v>
      </c>
      <c r="J364" s="492">
        <f ca="1"/>
        <v>1.133</v>
      </c>
      <c r="K364" s="508">
        <f ca="1"/>
        <v>1.133</v>
      </c>
      <c r="L364" s="515" t="str">
        <f t="array" ref="L364:N373" ca="1">+'A-6'!$K$160:$M$169</f>
        <v>Proposal Step Change</v>
      </c>
      <c r="M364" s="450" t="str">
        <f ca="1"/>
        <v>Refer Opex Workings</v>
      </c>
      <c r="N364" s="450" t="str">
        <f ca="1"/>
        <v>Proposal, October 2014</v>
      </c>
    </row>
    <row r="365" spans="1:14">
      <c r="A365" s="5"/>
      <c r="B365" s="249"/>
      <c r="C365" s="382" t="str">
        <f ca="1"/>
        <v/>
      </c>
      <c r="D365" s="491" t="str">
        <f ca="1"/>
        <v/>
      </c>
      <c r="E365" s="508" t="str">
        <f ca="1"/>
        <v/>
      </c>
      <c r="F365" s="491" t="str">
        <f ca="1"/>
        <v/>
      </c>
      <c r="G365" s="492" t="str">
        <f ca="1"/>
        <v/>
      </c>
      <c r="H365" s="492" t="str">
        <f ca="1"/>
        <v/>
      </c>
      <c r="I365" s="492" t="str">
        <f ca="1"/>
        <v/>
      </c>
      <c r="J365" s="492" t="str">
        <f ca="1"/>
        <v/>
      </c>
      <c r="K365" s="508" t="str">
        <f ca="1"/>
        <v/>
      </c>
      <c r="L365" s="515" t="str">
        <f ca="1"/>
        <v/>
      </c>
      <c r="M365" s="450" t="str">
        <f ca="1"/>
        <v/>
      </c>
      <c r="N365" s="450" t="str">
        <f ca="1"/>
        <v/>
      </c>
    </row>
    <row r="366" spans="1:14">
      <c r="A366" s="5"/>
      <c r="B366" s="249"/>
      <c r="C366" s="382" t="str">
        <f ca="1"/>
        <v/>
      </c>
      <c r="D366" s="491" t="str">
        <f ca="1"/>
        <v/>
      </c>
      <c r="E366" s="508" t="str">
        <f ca="1"/>
        <v/>
      </c>
      <c r="F366" s="491" t="str">
        <f ca="1"/>
        <v/>
      </c>
      <c r="G366" s="492" t="str">
        <f ca="1"/>
        <v/>
      </c>
      <c r="H366" s="492" t="str">
        <f ca="1"/>
        <v/>
      </c>
      <c r="I366" s="492" t="str">
        <f ca="1"/>
        <v/>
      </c>
      <c r="J366" s="492" t="str">
        <f ca="1"/>
        <v/>
      </c>
      <c r="K366" s="508" t="str">
        <f ca="1"/>
        <v/>
      </c>
      <c r="L366" s="515" t="str">
        <f ca="1"/>
        <v/>
      </c>
      <c r="M366" s="450" t="str">
        <f ca="1"/>
        <v/>
      </c>
      <c r="N366" s="450" t="str">
        <f ca="1"/>
        <v/>
      </c>
    </row>
    <row r="367" spans="1:14">
      <c r="A367" s="5"/>
      <c r="B367" s="249"/>
      <c r="C367" s="382" t="str">
        <f ca="1"/>
        <v/>
      </c>
      <c r="D367" s="491" t="str">
        <f ca="1"/>
        <v/>
      </c>
      <c r="E367" s="508" t="str">
        <f ca="1"/>
        <v/>
      </c>
      <c r="F367" s="491" t="str">
        <f ca="1"/>
        <v/>
      </c>
      <c r="G367" s="492" t="str">
        <f ca="1"/>
        <v/>
      </c>
      <c r="H367" s="492" t="str">
        <f ca="1"/>
        <v/>
      </c>
      <c r="I367" s="492" t="str">
        <f ca="1"/>
        <v/>
      </c>
      <c r="J367" s="492" t="str">
        <f ca="1"/>
        <v/>
      </c>
      <c r="K367" s="508" t="str">
        <f ca="1"/>
        <v/>
      </c>
      <c r="L367" s="515" t="str">
        <f ca="1"/>
        <v/>
      </c>
      <c r="M367" s="450" t="str">
        <f ca="1"/>
        <v/>
      </c>
      <c r="N367" s="450" t="str">
        <f ca="1"/>
        <v/>
      </c>
    </row>
    <row r="368" spans="1:14">
      <c r="A368" s="5"/>
      <c r="B368" s="249"/>
      <c r="C368" s="382" t="str">
        <f ca="1"/>
        <v/>
      </c>
      <c r="D368" s="491" t="str">
        <f ca="1"/>
        <v/>
      </c>
      <c r="E368" s="508" t="str">
        <f ca="1"/>
        <v/>
      </c>
      <c r="F368" s="491" t="str">
        <f ca="1"/>
        <v/>
      </c>
      <c r="G368" s="492" t="str">
        <f ca="1"/>
        <v/>
      </c>
      <c r="H368" s="492" t="str">
        <f ca="1"/>
        <v/>
      </c>
      <c r="I368" s="492" t="str">
        <f ca="1"/>
        <v/>
      </c>
      <c r="J368" s="492" t="str">
        <f ca="1"/>
        <v/>
      </c>
      <c r="K368" s="508" t="str">
        <f ca="1"/>
        <v/>
      </c>
      <c r="L368" s="515" t="str">
        <f ca="1"/>
        <v/>
      </c>
      <c r="M368" s="450" t="str">
        <f ca="1"/>
        <v/>
      </c>
      <c r="N368" s="450" t="str">
        <f ca="1"/>
        <v/>
      </c>
    </row>
    <row r="369" spans="1:14">
      <c r="A369" s="5"/>
      <c r="B369" s="249"/>
      <c r="C369" s="384" t="str">
        <f ca="1"/>
        <v/>
      </c>
      <c r="D369" s="491" t="str">
        <f ca="1"/>
        <v/>
      </c>
      <c r="E369" s="508" t="str">
        <f ca="1"/>
        <v/>
      </c>
      <c r="F369" s="491" t="str">
        <f ca="1"/>
        <v/>
      </c>
      <c r="G369" s="492" t="str">
        <f ca="1"/>
        <v/>
      </c>
      <c r="H369" s="492" t="str">
        <f ca="1"/>
        <v/>
      </c>
      <c r="I369" s="492" t="str">
        <f ca="1"/>
        <v/>
      </c>
      <c r="J369" s="492" t="str">
        <f ca="1"/>
        <v/>
      </c>
      <c r="K369" s="508" t="str">
        <f ca="1"/>
        <v/>
      </c>
      <c r="L369" s="515" t="str">
        <f ca="1"/>
        <v/>
      </c>
      <c r="M369" s="450" t="str">
        <f ca="1"/>
        <v/>
      </c>
      <c r="N369" s="450" t="str">
        <f ca="1"/>
        <v/>
      </c>
    </row>
    <row r="370" spans="1:14">
      <c r="A370" s="5"/>
      <c r="B370" s="249"/>
      <c r="C370" s="384" t="str">
        <f ca="1"/>
        <v/>
      </c>
      <c r="D370" s="491" t="str">
        <f ca="1"/>
        <v/>
      </c>
      <c r="E370" s="508" t="str">
        <f ca="1"/>
        <v/>
      </c>
      <c r="F370" s="491" t="str">
        <f ca="1"/>
        <v/>
      </c>
      <c r="G370" s="492" t="str">
        <f ca="1"/>
        <v/>
      </c>
      <c r="H370" s="492" t="str">
        <f ca="1"/>
        <v/>
      </c>
      <c r="I370" s="492" t="str">
        <f ca="1"/>
        <v/>
      </c>
      <c r="J370" s="492" t="str">
        <f ca="1"/>
        <v/>
      </c>
      <c r="K370" s="508" t="str">
        <f ca="1"/>
        <v/>
      </c>
      <c r="L370" s="515" t="str">
        <f ca="1"/>
        <v/>
      </c>
      <c r="M370" s="450" t="str">
        <f ca="1"/>
        <v/>
      </c>
      <c r="N370" s="450" t="str">
        <f ca="1"/>
        <v/>
      </c>
    </row>
    <row r="371" spans="1:14">
      <c r="A371" s="5"/>
      <c r="B371" s="249"/>
      <c r="C371" s="384" t="str">
        <f ca="1"/>
        <v/>
      </c>
      <c r="D371" s="491" t="str">
        <f ca="1"/>
        <v/>
      </c>
      <c r="E371" s="508" t="str">
        <f ca="1"/>
        <v/>
      </c>
      <c r="F371" s="491" t="str">
        <f ca="1"/>
        <v/>
      </c>
      <c r="G371" s="492" t="str">
        <f ca="1"/>
        <v/>
      </c>
      <c r="H371" s="492" t="str">
        <f ca="1"/>
        <v/>
      </c>
      <c r="I371" s="492" t="str">
        <f ca="1"/>
        <v/>
      </c>
      <c r="J371" s="492" t="str">
        <f ca="1"/>
        <v/>
      </c>
      <c r="K371" s="508" t="str">
        <f ca="1"/>
        <v/>
      </c>
      <c r="L371" s="515" t="str">
        <f ca="1"/>
        <v/>
      </c>
      <c r="M371" s="450" t="str">
        <f ca="1"/>
        <v/>
      </c>
      <c r="N371" s="450" t="str">
        <f ca="1"/>
        <v/>
      </c>
    </row>
    <row r="372" spans="1:14">
      <c r="A372" s="5"/>
      <c r="B372" s="249"/>
      <c r="C372" s="384" t="str">
        <f ca="1"/>
        <v/>
      </c>
      <c r="D372" s="491" t="str">
        <f ca="1"/>
        <v/>
      </c>
      <c r="E372" s="508" t="str">
        <f ca="1"/>
        <v/>
      </c>
      <c r="F372" s="491" t="str">
        <f ca="1"/>
        <v/>
      </c>
      <c r="G372" s="492" t="str">
        <f ca="1"/>
        <v/>
      </c>
      <c r="H372" s="492" t="str">
        <f ca="1"/>
        <v/>
      </c>
      <c r="I372" s="492" t="str">
        <f ca="1"/>
        <v/>
      </c>
      <c r="J372" s="492" t="str">
        <f ca="1"/>
        <v/>
      </c>
      <c r="K372" s="508" t="str">
        <f ca="1"/>
        <v/>
      </c>
      <c r="L372" s="515" t="str">
        <f ca="1"/>
        <v/>
      </c>
      <c r="M372" s="450" t="str">
        <f ca="1"/>
        <v/>
      </c>
      <c r="N372" s="450" t="str">
        <f ca="1"/>
        <v/>
      </c>
    </row>
    <row r="373" spans="1:14">
      <c r="A373" s="5"/>
      <c r="B373" s="249"/>
      <c r="C373" s="384" t="str">
        <f ca="1"/>
        <v/>
      </c>
      <c r="D373" s="491" t="str">
        <f ca="1"/>
        <v/>
      </c>
      <c r="E373" s="508" t="str">
        <f ca="1"/>
        <v/>
      </c>
      <c r="F373" s="491" t="str">
        <f ca="1"/>
        <v/>
      </c>
      <c r="G373" s="492" t="str">
        <f ca="1"/>
        <v/>
      </c>
      <c r="H373" s="492" t="str">
        <f ca="1"/>
        <v/>
      </c>
      <c r="I373" s="492" t="str">
        <f ca="1"/>
        <v/>
      </c>
      <c r="J373" s="492" t="str">
        <f ca="1"/>
        <v/>
      </c>
      <c r="K373" s="508" t="str">
        <f ca="1"/>
        <v/>
      </c>
      <c r="L373" s="515" t="str">
        <f ca="1"/>
        <v/>
      </c>
      <c r="M373" s="450" t="str">
        <f ca="1"/>
        <v/>
      </c>
      <c r="N373" s="450" t="str">
        <f ca="1"/>
        <v/>
      </c>
    </row>
    <row r="374" spans="1:14" ht="17.25" customHeight="1" thickBot="1">
      <c r="A374" s="5"/>
      <c r="B374" s="250"/>
      <c r="C374" s="269" t="str">
        <f>CONCATENATE("Total ", +C350)</f>
        <v>Total Regulation and Company Secretary</v>
      </c>
      <c r="D374" s="315">
        <f ca="1">SUBTOTAL(9,D351:D372)</f>
        <v>0</v>
      </c>
      <c r="E374" s="500">
        <f t="shared" ref="E374:K374" ca="1" si="4">SUBTOTAL(9,E351:E372)</f>
        <v>0</v>
      </c>
      <c r="F374" s="314">
        <f t="shared" ca="1" si="4"/>
        <v>0</v>
      </c>
      <c r="G374" s="315">
        <f t="shared" ca="1" si="4"/>
        <v>0</v>
      </c>
      <c r="H374" s="315">
        <f t="shared" ca="1" si="4"/>
        <v>0</v>
      </c>
      <c r="I374" s="315">
        <f t="shared" ca="1" si="4"/>
        <v>1.133</v>
      </c>
      <c r="J374" s="315">
        <f t="shared" ca="1" si="4"/>
        <v>1.133</v>
      </c>
      <c r="K374" s="500">
        <f t="shared" ca="1" si="4"/>
        <v>1.133</v>
      </c>
      <c r="L374" s="515"/>
      <c r="M374" s="450"/>
      <c r="N374" s="450"/>
    </row>
    <row r="375" spans="1:14" ht="18">
      <c r="B375" s="251"/>
      <c r="C375" s="255" t="str">
        <f>+'I-3 Allocated'!A11</f>
        <v>Finance</v>
      </c>
      <c r="D375" s="332"/>
      <c r="E375" s="499"/>
      <c r="F375" s="332"/>
      <c r="G375" s="332"/>
      <c r="H375" s="332"/>
      <c r="I375" s="332"/>
      <c r="J375" s="332"/>
      <c r="K375" s="499"/>
      <c r="L375" s="515"/>
      <c r="M375" s="450"/>
      <c r="N375" s="450"/>
    </row>
    <row r="376" spans="1:14">
      <c r="A376" s="5"/>
      <c r="B376" s="249" t="str">
        <f ca="1">+'I-4 History'!B282</f>
        <v>A-7</v>
      </c>
      <c r="C376" s="14" t="str">
        <f ca="1">+'I-4 History'!C282</f>
        <v>CFO</v>
      </c>
      <c r="D376" s="491"/>
      <c r="E376" s="508"/>
      <c r="F376" s="491"/>
      <c r="G376" s="492"/>
      <c r="H376" s="492"/>
      <c r="I376" s="492"/>
      <c r="J376" s="492"/>
      <c r="K376" s="508"/>
      <c r="L376" s="515"/>
      <c r="M376" s="450"/>
      <c r="N376" s="450"/>
    </row>
    <row r="377" spans="1:14">
      <c r="A377" s="5"/>
      <c r="B377" s="249"/>
      <c r="C377" s="384" t="str">
        <f t="array" ref="C377:K386" ca="1">+'A-7'!$A$160:$I$169</f>
        <v>Step Change</v>
      </c>
      <c r="D377" s="491">
        <f ca="1"/>
        <v>0</v>
      </c>
      <c r="E377" s="508">
        <f ca="1"/>
        <v>0</v>
      </c>
      <c r="F377" s="491">
        <f ca="1"/>
        <v>0</v>
      </c>
      <c r="G377" s="492">
        <f ca="1"/>
        <v>0</v>
      </c>
      <c r="H377" s="492">
        <f ca="1"/>
        <v>0</v>
      </c>
      <c r="I377" s="492">
        <f ca="1"/>
        <v>0</v>
      </c>
      <c r="J377" s="492">
        <f ca="1"/>
        <v>0</v>
      </c>
      <c r="K377" s="508">
        <f ca="1"/>
        <v>0</v>
      </c>
      <c r="L377" s="515" t="str">
        <f t="array" ref="L377:N386" ca="1">+'A-7'!$K$160:$M$169</f>
        <v>Proposal Step Change</v>
      </c>
      <c r="M377" s="450" t="str">
        <f ca="1"/>
        <v>Refer Opex Workings</v>
      </c>
      <c r="N377" s="450" t="str">
        <f ca="1"/>
        <v>Proposal, October 2014</v>
      </c>
    </row>
    <row r="378" spans="1:14">
      <c r="A378" s="5"/>
      <c r="B378" s="249"/>
      <c r="C378" s="382" t="str">
        <f ca="1"/>
        <v/>
      </c>
      <c r="D378" s="491" t="str">
        <f ca="1"/>
        <v/>
      </c>
      <c r="E378" s="508" t="str">
        <f ca="1"/>
        <v/>
      </c>
      <c r="F378" s="491" t="str">
        <f ca="1"/>
        <v/>
      </c>
      <c r="G378" s="492" t="str">
        <f ca="1"/>
        <v/>
      </c>
      <c r="H378" s="492" t="str">
        <f ca="1"/>
        <v/>
      </c>
      <c r="I378" s="492" t="str">
        <f ca="1"/>
        <v/>
      </c>
      <c r="J378" s="492" t="str">
        <f ca="1"/>
        <v/>
      </c>
      <c r="K378" s="508" t="str">
        <f ca="1"/>
        <v/>
      </c>
      <c r="L378" s="515" t="str">
        <f ca="1"/>
        <v/>
      </c>
      <c r="M378" s="450" t="str">
        <f ca="1"/>
        <v/>
      </c>
      <c r="N378" s="450" t="str">
        <f ca="1"/>
        <v/>
      </c>
    </row>
    <row r="379" spans="1:14">
      <c r="A379" s="5"/>
      <c r="B379" s="249"/>
      <c r="C379" s="382" t="str">
        <f ca="1"/>
        <v/>
      </c>
      <c r="D379" s="491" t="str">
        <f ca="1"/>
        <v/>
      </c>
      <c r="E379" s="508" t="str">
        <f ca="1"/>
        <v/>
      </c>
      <c r="F379" s="491" t="str">
        <f ca="1"/>
        <v/>
      </c>
      <c r="G379" s="492" t="str">
        <f ca="1"/>
        <v/>
      </c>
      <c r="H379" s="492" t="str">
        <f ca="1"/>
        <v/>
      </c>
      <c r="I379" s="492" t="str">
        <f ca="1"/>
        <v/>
      </c>
      <c r="J379" s="492" t="str">
        <f ca="1"/>
        <v/>
      </c>
      <c r="K379" s="508" t="str">
        <f ca="1"/>
        <v/>
      </c>
      <c r="L379" s="515" t="str">
        <f ca="1"/>
        <v/>
      </c>
      <c r="M379" s="450" t="str">
        <f ca="1"/>
        <v/>
      </c>
      <c r="N379" s="450" t="str">
        <f ca="1"/>
        <v/>
      </c>
    </row>
    <row r="380" spans="1:14">
      <c r="A380" s="5"/>
      <c r="B380" s="249"/>
      <c r="C380" s="382" t="str">
        <f ca="1"/>
        <v/>
      </c>
      <c r="D380" s="491" t="str">
        <f ca="1"/>
        <v/>
      </c>
      <c r="E380" s="508" t="str">
        <f ca="1"/>
        <v/>
      </c>
      <c r="F380" s="491" t="str">
        <f ca="1"/>
        <v/>
      </c>
      <c r="G380" s="492" t="str">
        <f ca="1"/>
        <v/>
      </c>
      <c r="H380" s="492" t="str">
        <f ca="1"/>
        <v/>
      </c>
      <c r="I380" s="492" t="str">
        <f ca="1"/>
        <v/>
      </c>
      <c r="J380" s="492" t="str">
        <f ca="1"/>
        <v/>
      </c>
      <c r="K380" s="508" t="str">
        <f ca="1"/>
        <v/>
      </c>
      <c r="L380" s="515" t="str">
        <f ca="1"/>
        <v/>
      </c>
      <c r="M380" s="450" t="str">
        <f ca="1"/>
        <v/>
      </c>
      <c r="N380" s="450" t="str">
        <f ca="1"/>
        <v/>
      </c>
    </row>
    <row r="381" spans="1:14">
      <c r="A381" s="5"/>
      <c r="B381" s="249"/>
      <c r="C381" s="382" t="str">
        <f ca="1"/>
        <v/>
      </c>
      <c r="D381" s="491" t="str">
        <f ca="1"/>
        <v/>
      </c>
      <c r="E381" s="508" t="str">
        <f ca="1"/>
        <v/>
      </c>
      <c r="F381" s="491" t="str">
        <f ca="1"/>
        <v/>
      </c>
      <c r="G381" s="492" t="str">
        <f ca="1"/>
        <v/>
      </c>
      <c r="H381" s="492" t="str">
        <f ca="1"/>
        <v/>
      </c>
      <c r="I381" s="492" t="str">
        <f ca="1"/>
        <v/>
      </c>
      <c r="J381" s="492" t="str">
        <f ca="1"/>
        <v/>
      </c>
      <c r="K381" s="508" t="str">
        <f ca="1"/>
        <v/>
      </c>
      <c r="L381" s="515" t="str">
        <f ca="1"/>
        <v/>
      </c>
      <c r="M381" s="450" t="str">
        <f ca="1"/>
        <v/>
      </c>
      <c r="N381" s="450" t="str">
        <f ca="1"/>
        <v/>
      </c>
    </row>
    <row r="382" spans="1:14">
      <c r="A382" s="5"/>
      <c r="B382" s="249"/>
      <c r="C382" s="384" t="str">
        <f ca="1"/>
        <v/>
      </c>
      <c r="D382" s="491" t="str">
        <f ca="1"/>
        <v/>
      </c>
      <c r="E382" s="508" t="str">
        <f ca="1"/>
        <v/>
      </c>
      <c r="F382" s="491" t="str">
        <f ca="1"/>
        <v/>
      </c>
      <c r="G382" s="492" t="str">
        <f ca="1"/>
        <v/>
      </c>
      <c r="H382" s="492" t="str">
        <f ca="1"/>
        <v/>
      </c>
      <c r="I382" s="492" t="str">
        <f ca="1"/>
        <v/>
      </c>
      <c r="J382" s="492" t="str">
        <f ca="1"/>
        <v/>
      </c>
      <c r="K382" s="508" t="str">
        <f ca="1"/>
        <v/>
      </c>
      <c r="L382" s="515" t="str">
        <f ca="1"/>
        <v/>
      </c>
      <c r="M382" s="450" t="str">
        <f ca="1"/>
        <v/>
      </c>
      <c r="N382" s="450" t="str">
        <f ca="1"/>
        <v/>
      </c>
    </row>
    <row r="383" spans="1:14">
      <c r="A383" s="5"/>
      <c r="B383" s="249"/>
      <c r="C383" s="384" t="str">
        <f ca="1"/>
        <v/>
      </c>
      <c r="D383" s="491" t="str">
        <f ca="1"/>
        <v/>
      </c>
      <c r="E383" s="508" t="str">
        <f ca="1"/>
        <v/>
      </c>
      <c r="F383" s="491" t="str">
        <f ca="1"/>
        <v/>
      </c>
      <c r="G383" s="492" t="str">
        <f ca="1"/>
        <v/>
      </c>
      <c r="H383" s="492" t="str">
        <f ca="1"/>
        <v/>
      </c>
      <c r="I383" s="492" t="str">
        <f ca="1"/>
        <v/>
      </c>
      <c r="J383" s="492" t="str">
        <f ca="1"/>
        <v/>
      </c>
      <c r="K383" s="508" t="str">
        <f ca="1"/>
        <v/>
      </c>
      <c r="L383" s="515" t="str">
        <f ca="1"/>
        <v/>
      </c>
      <c r="M383" s="450" t="str">
        <f ca="1"/>
        <v/>
      </c>
      <c r="N383" s="450" t="str">
        <f ca="1"/>
        <v/>
      </c>
    </row>
    <row r="384" spans="1:14">
      <c r="A384" s="5"/>
      <c r="B384" s="249"/>
      <c r="C384" s="384" t="str">
        <f ca="1"/>
        <v/>
      </c>
      <c r="D384" s="491" t="str">
        <f ca="1"/>
        <v/>
      </c>
      <c r="E384" s="508" t="str">
        <f ca="1"/>
        <v/>
      </c>
      <c r="F384" s="491" t="str">
        <f ca="1"/>
        <v/>
      </c>
      <c r="G384" s="492" t="str">
        <f ca="1"/>
        <v/>
      </c>
      <c r="H384" s="492" t="str">
        <f ca="1"/>
        <v/>
      </c>
      <c r="I384" s="492" t="str">
        <f ca="1"/>
        <v/>
      </c>
      <c r="J384" s="492" t="str">
        <f ca="1"/>
        <v/>
      </c>
      <c r="K384" s="508" t="str">
        <f ca="1"/>
        <v/>
      </c>
      <c r="L384" s="515" t="str">
        <f ca="1"/>
        <v/>
      </c>
      <c r="M384" s="450" t="str">
        <f ca="1"/>
        <v/>
      </c>
      <c r="N384" s="450" t="str">
        <f ca="1"/>
        <v/>
      </c>
    </row>
    <row r="385" spans="1:14">
      <c r="A385" s="5"/>
      <c r="B385" s="249"/>
      <c r="C385" s="384" t="str">
        <f ca="1"/>
        <v/>
      </c>
      <c r="D385" s="491" t="str">
        <f ca="1"/>
        <v/>
      </c>
      <c r="E385" s="508" t="str">
        <f ca="1"/>
        <v/>
      </c>
      <c r="F385" s="491" t="str">
        <f ca="1"/>
        <v/>
      </c>
      <c r="G385" s="492" t="str">
        <f ca="1"/>
        <v/>
      </c>
      <c r="H385" s="492" t="str">
        <f ca="1"/>
        <v/>
      </c>
      <c r="I385" s="492" t="str">
        <f ca="1"/>
        <v/>
      </c>
      <c r="J385" s="492" t="str">
        <f ca="1"/>
        <v/>
      </c>
      <c r="K385" s="508" t="str">
        <f ca="1"/>
        <v/>
      </c>
      <c r="L385" s="515" t="str">
        <f ca="1"/>
        <v/>
      </c>
      <c r="M385" s="450" t="str">
        <f ca="1"/>
        <v/>
      </c>
      <c r="N385" s="450" t="str">
        <f ca="1"/>
        <v/>
      </c>
    </row>
    <row r="386" spans="1:14">
      <c r="A386" s="5"/>
      <c r="B386" s="249"/>
      <c r="C386" s="384" t="str">
        <f ca="1"/>
        <v/>
      </c>
      <c r="D386" s="491" t="str">
        <f ca="1"/>
        <v/>
      </c>
      <c r="E386" s="508" t="str">
        <f ca="1"/>
        <v/>
      </c>
      <c r="F386" s="491" t="str">
        <f ca="1"/>
        <v/>
      </c>
      <c r="G386" s="492" t="str">
        <f ca="1"/>
        <v/>
      </c>
      <c r="H386" s="492" t="str">
        <f ca="1"/>
        <v/>
      </c>
      <c r="I386" s="492" t="str">
        <f ca="1"/>
        <v/>
      </c>
      <c r="J386" s="492" t="str">
        <f ca="1"/>
        <v/>
      </c>
      <c r="K386" s="508" t="str">
        <f ca="1"/>
        <v/>
      </c>
      <c r="L386" s="515" t="str">
        <f ca="1"/>
        <v/>
      </c>
      <c r="M386" s="450" t="str">
        <f ca="1"/>
        <v/>
      </c>
      <c r="N386" s="450" t="str">
        <f ca="1"/>
        <v/>
      </c>
    </row>
    <row r="387" spans="1:14">
      <c r="A387" s="5"/>
      <c r="B387" s="249"/>
      <c r="C387" s="12"/>
      <c r="D387" s="491"/>
      <c r="E387" s="508"/>
      <c r="F387" s="491"/>
      <c r="G387" s="492"/>
      <c r="H387" s="492"/>
      <c r="I387" s="492"/>
      <c r="J387" s="492"/>
      <c r="K387" s="508"/>
      <c r="L387" s="515"/>
      <c r="M387" s="450"/>
      <c r="N387" s="450"/>
    </row>
    <row r="388" spans="1:14">
      <c r="A388" s="5"/>
      <c r="B388" s="249" t="str">
        <f ca="1">+'I-4 History'!B291</f>
        <v>A-8</v>
      </c>
      <c r="C388" s="14" t="str">
        <f ca="1">+'I-4 History'!C291</f>
        <v>Accounts Receivable – Asset Damage</v>
      </c>
      <c r="D388" s="491"/>
      <c r="E388" s="508"/>
      <c r="F388" s="491"/>
      <c r="G388" s="492"/>
      <c r="H388" s="492"/>
      <c r="I388" s="492"/>
      <c r="J388" s="492"/>
      <c r="K388" s="508"/>
      <c r="L388" s="515"/>
      <c r="M388" s="450"/>
      <c r="N388" s="450"/>
    </row>
    <row r="389" spans="1:14">
      <c r="A389" s="5"/>
      <c r="B389" s="249"/>
      <c r="C389" s="384" t="str">
        <f t="array" ref="C389:K398" ca="1">+'A-8'!$A$160:$I$169</f>
        <v>Step Change</v>
      </c>
      <c r="D389" s="491">
        <f ca="1"/>
        <v>0</v>
      </c>
      <c r="E389" s="508">
        <f ca="1"/>
        <v>0</v>
      </c>
      <c r="F389" s="491">
        <f ca="1"/>
        <v>0</v>
      </c>
      <c r="G389" s="492">
        <f ca="1"/>
        <v>0</v>
      </c>
      <c r="H389" s="492">
        <f ca="1"/>
        <v>0</v>
      </c>
      <c r="I389" s="492">
        <f ca="1"/>
        <v>0</v>
      </c>
      <c r="J389" s="492">
        <f ca="1"/>
        <v>0</v>
      </c>
      <c r="K389" s="508">
        <f ca="1"/>
        <v>0</v>
      </c>
      <c r="L389" s="515" t="str">
        <f t="array" ref="L389:N398" ca="1">+'A-8'!$K$160:$M$169</f>
        <v>Proposal Step Change</v>
      </c>
      <c r="M389" s="450" t="str">
        <f ca="1"/>
        <v>Refer Opex Workings</v>
      </c>
      <c r="N389" s="450" t="str">
        <f ca="1"/>
        <v>Proposal, October 2014</v>
      </c>
    </row>
    <row r="390" spans="1:14">
      <c r="A390" s="5"/>
      <c r="B390" s="249"/>
      <c r="C390" s="382" t="str">
        <f ca="1"/>
        <v/>
      </c>
      <c r="D390" s="491" t="str">
        <f ca="1"/>
        <v/>
      </c>
      <c r="E390" s="508" t="str">
        <f ca="1"/>
        <v/>
      </c>
      <c r="F390" s="491" t="str">
        <f ca="1"/>
        <v/>
      </c>
      <c r="G390" s="492" t="str">
        <f ca="1"/>
        <v/>
      </c>
      <c r="H390" s="492" t="str">
        <f ca="1"/>
        <v/>
      </c>
      <c r="I390" s="492" t="str">
        <f ca="1"/>
        <v/>
      </c>
      <c r="J390" s="492" t="str">
        <f ca="1"/>
        <v/>
      </c>
      <c r="K390" s="508" t="str">
        <f ca="1"/>
        <v/>
      </c>
      <c r="L390" s="515" t="str">
        <f ca="1"/>
        <v/>
      </c>
      <c r="M390" s="450" t="str">
        <f ca="1"/>
        <v/>
      </c>
      <c r="N390" s="450" t="str">
        <f ca="1"/>
        <v/>
      </c>
    </row>
    <row r="391" spans="1:14">
      <c r="A391" s="5"/>
      <c r="B391" s="249"/>
      <c r="C391" s="382" t="str">
        <f ca="1"/>
        <v/>
      </c>
      <c r="D391" s="491" t="str">
        <f ca="1"/>
        <v/>
      </c>
      <c r="E391" s="508" t="str">
        <f ca="1"/>
        <v/>
      </c>
      <c r="F391" s="491" t="str">
        <f ca="1"/>
        <v/>
      </c>
      <c r="G391" s="492" t="str">
        <f ca="1"/>
        <v/>
      </c>
      <c r="H391" s="492" t="str">
        <f ca="1"/>
        <v/>
      </c>
      <c r="I391" s="492" t="str">
        <f ca="1"/>
        <v/>
      </c>
      <c r="J391" s="492" t="str">
        <f ca="1"/>
        <v/>
      </c>
      <c r="K391" s="508" t="str">
        <f ca="1"/>
        <v/>
      </c>
      <c r="L391" s="515" t="str">
        <f ca="1"/>
        <v/>
      </c>
      <c r="M391" s="450" t="str">
        <f ca="1"/>
        <v/>
      </c>
      <c r="N391" s="450" t="str">
        <f ca="1"/>
        <v/>
      </c>
    </row>
    <row r="392" spans="1:14">
      <c r="A392" s="5"/>
      <c r="B392" s="249"/>
      <c r="C392" s="382" t="str">
        <f ca="1"/>
        <v/>
      </c>
      <c r="D392" s="491" t="str">
        <f ca="1"/>
        <v/>
      </c>
      <c r="E392" s="508" t="str">
        <f ca="1"/>
        <v/>
      </c>
      <c r="F392" s="491" t="str">
        <f ca="1"/>
        <v/>
      </c>
      <c r="G392" s="492" t="str">
        <f ca="1"/>
        <v/>
      </c>
      <c r="H392" s="492" t="str">
        <f ca="1"/>
        <v/>
      </c>
      <c r="I392" s="492" t="str">
        <f ca="1"/>
        <v/>
      </c>
      <c r="J392" s="492" t="str">
        <f ca="1"/>
        <v/>
      </c>
      <c r="K392" s="508" t="str">
        <f ca="1"/>
        <v/>
      </c>
      <c r="L392" s="515" t="str">
        <f ca="1"/>
        <v/>
      </c>
      <c r="M392" s="450" t="str">
        <f ca="1"/>
        <v/>
      </c>
      <c r="N392" s="450" t="str">
        <f ca="1"/>
        <v/>
      </c>
    </row>
    <row r="393" spans="1:14">
      <c r="A393" s="5"/>
      <c r="B393" s="249"/>
      <c r="C393" s="382" t="str">
        <f ca="1"/>
        <v/>
      </c>
      <c r="D393" s="491" t="str">
        <f ca="1"/>
        <v/>
      </c>
      <c r="E393" s="508" t="str">
        <f ca="1"/>
        <v/>
      </c>
      <c r="F393" s="491" t="str">
        <f ca="1"/>
        <v/>
      </c>
      <c r="G393" s="492" t="str">
        <f ca="1"/>
        <v/>
      </c>
      <c r="H393" s="492" t="str">
        <f ca="1"/>
        <v/>
      </c>
      <c r="I393" s="492" t="str">
        <f ca="1"/>
        <v/>
      </c>
      <c r="J393" s="492" t="str">
        <f ca="1"/>
        <v/>
      </c>
      <c r="K393" s="508" t="str">
        <f ca="1"/>
        <v/>
      </c>
      <c r="L393" s="515" t="str">
        <f ca="1"/>
        <v/>
      </c>
      <c r="M393" s="450" t="str">
        <f ca="1"/>
        <v/>
      </c>
      <c r="N393" s="450" t="str">
        <f ca="1"/>
        <v/>
      </c>
    </row>
    <row r="394" spans="1:14">
      <c r="A394" s="5"/>
      <c r="B394" s="249"/>
      <c r="C394" s="384" t="str">
        <f ca="1"/>
        <v/>
      </c>
      <c r="D394" s="491" t="str">
        <f ca="1"/>
        <v/>
      </c>
      <c r="E394" s="508" t="str">
        <f ca="1"/>
        <v/>
      </c>
      <c r="F394" s="491" t="str">
        <f ca="1"/>
        <v/>
      </c>
      <c r="G394" s="492" t="str">
        <f ca="1"/>
        <v/>
      </c>
      <c r="H394" s="492" t="str">
        <f ca="1"/>
        <v/>
      </c>
      <c r="I394" s="492" t="str">
        <f ca="1"/>
        <v/>
      </c>
      <c r="J394" s="492" t="str">
        <f ca="1"/>
        <v/>
      </c>
      <c r="K394" s="508" t="str">
        <f ca="1"/>
        <v/>
      </c>
      <c r="L394" s="515" t="str">
        <f ca="1"/>
        <v/>
      </c>
      <c r="M394" s="450" t="str">
        <f ca="1"/>
        <v/>
      </c>
      <c r="N394" s="450" t="str">
        <f ca="1"/>
        <v/>
      </c>
    </row>
    <row r="395" spans="1:14">
      <c r="A395" s="5"/>
      <c r="B395" s="249"/>
      <c r="C395" s="384" t="str">
        <f ca="1"/>
        <v/>
      </c>
      <c r="D395" s="491" t="str">
        <f ca="1"/>
        <v/>
      </c>
      <c r="E395" s="508" t="str">
        <f ca="1"/>
        <v/>
      </c>
      <c r="F395" s="491" t="str">
        <f ca="1"/>
        <v/>
      </c>
      <c r="G395" s="492" t="str">
        <f ca="1"/>
        <v/>
      </c>
      <c r="H395" s="492" t="str">
        <f ca="1"/>
        <v/>
      </c>
      <c r="I395" s="492" t="str">
        <f ca="1"/>
        <v/>
      </c>
      <c r="J395" s="492" t="str">
        <f ca="1"/>
        <v/>
      </c>
      <c r="K395" s="508" t="str">
        <f ca="1"/>
        <v/>
      </c>
      <c r="L395" s="515" t="str">
        <f ca="1"/>
        <v/>
      </c>
      <c r="M395" s="450" t="str">
        <f ca="1"/>
        <v/>
      </c>
      <c r="N395" s="450" t="str">
        <f ca="1"/>
        <v/>
      </c>
    </row>
    <row r="396" spans="1:14">
      <c r="A396" s="5"/>
      <c r="B396" s="249"/>
      <c r="C396" s="384" t="str">
        <f ca="1"/>
        <v/>
      </c>
      <c r="D396" s="491" t="str">
        <f ca="1"/>
        <v/>
      </c>
      <c r="E396" s="508" t="str">
        <f ca="1"/>
        <v/>
      </c>
      <c r="F396" s="491" t="str">
        <f ca="1"/>
        <v/>
      </c>
      <c r="G396" s="492" t="str">
        <f ca="1"/>
        <v/>
      </c>
      <c r="H396" s="492" t="str">
        <f ca="1"/>
        <v/>
      </c>
      <c r="I396" s="492" t="str">
        <f ca="1"/>
        <v/>
      </c>
      <c r="J396" s="492" t="str">
        <f ca="1"/>
        <v/>
      </c>
      <c r="K396" s="508" t="str">
        <f ca="1"/>
        <v/>
      </c>
      <c r="L396" s="515" t="str">
        <f ca="1"/>
        <v/>
      </c>
      <c r="M396" s="450" t="str">
        <f ca="1"/>
        <v/>
      </c>
      <c r="N396" s="450" t="str">
        <f ca="1"/>
        <v/>
      </c>
    </row>
    <row r="397" spans="1:14">
      <c r="A397" s="5"/>
      <c r="B397" s="249"/>
      <c r="C397" s="384" t="str">
        <f ca="1"/>
        <v/>
      </c>
      <c r="D397" s="491" t="str">
        <f ca="1"/>
        <v/>
      </c>
      <c r="E397" s="508" t="str">
        <f ca="1"/>
        <v/>
      </c>
      <c r="F397" s="491" t="str">
        <f ca="1"/>
        <v/>
      </c>
      <c r="G397" s="492" t="str">
        <f ca="1"/>
        <v/>
      </c>
      <c r="H397" s="492" t="str">
        <f ca="1"/>
        <v/>
      </c>
      <c r="I397" s="492" t="str">
        <f ca="1"/>
        <v/>
      </c>
      <c r="J397" s="492" t="str">
        <f ca="1"/>
        <v/>
      </c>
      <c r="K397" s="508" t="str">
        <f ca="1"/>
        <v/>
      </c>
      <c r="L397" s="515" t="str">
        <f ca="1"/>
        <v/>
      </c>
      <c r="M397" s="450" t="str">
        <f ca="1"/>
        <v/>
      </c>
      <c r="N397" s="450" t="str">
        <f ca="1"/>
        <v/>
      </c>
    </row>
    <row r="398" spans="1:14">
      <c r="A398" s="5"/>
      <c r="B398" s="249"/>
      <c r="C398" s="384" t="str">
        <f ca="1"/>
        <v/>
      </c>
      <c r="D398" s="491" t="str">
        <f ca="1"/>
        <v/>
      </c>
      <c r="E398" s="508" t="str">
        <f ca="1"/>
        <v/>
      </c>
      <c r="F398" s="491" t="str">
        <f ca="1"/>
        <v/>
      </c>
      <c r="G398" s="492" t="str">
        <f ca="1"/>
        <v/>
      </c>
      <c r="H398" s="492" t="str">
        <f ca="1"/>
        <v/>
      </c>
      <c r="I398" s="492" t="str">
        <f ca="1"/>
        <v/>
      </c>
      <c r="J398" s="492" t="str">
        <f ca="1"/>
        <v/>
      </c>
      <c r="K398" s="508" t="str">
        <f ca="1"/>
        <v/>
      </c>
      <c r="L398" s="515" t="str">
        <f ca="1"/>
        <v/>
      </c>
      <c r="M398" s="450" t="str">
        <f ca="1"/>
        <v/>
      </c>
      <c r="N398" s="450" t="str">
        <f ca="1"/>
        <v/>
      </c>
    </row>
    <row r="399" spans="1:14">
      <c r="A399" s="5"/>
      <c r="B399" s="249"/>
      <c r="C399" s="12"/>
      <c r="D399" s="491"/>
      <c r="E399" s="508"/>
      <c r="F399" s="491"/>
      <c r="G399" s="492"/>
      <c r="H399" s="492"/>
      <c r="I399" s="492"/>
      <c r="J399" s="492"/>
      <c r="K399" s="508"/>
      <c r="L399" s="515"/>
      <c r="M399" s="450"/>
      <c r="N399" s="450"/>
    </row>
    <row r="400" spans="1:14">
      <c r="A400" s="5"/>
      <c r="B400" s="249" t="str">
        <f ca="1">+'I-4 History'!B300</f>
        <v>A-9</v>
      </c>
      <c r="C400" s="14" t="str">
        <f ca="1">+'I-4 History'!C300</f>
        <v>Taxation – Specific Allocation</v>
      </c>
      <c r="D400" s="491"/>
      <c r="E400" s="508"/>
      <c r="F400" s="491"/>
      <c r="G400" s="492"/>
      <c r="H400" s="492"/>
      <c r="I400" s="492"/>
      <c r="J400" s="492"/>
      <c r="K400" s="508"/>
      <c r="L400" s="515"/>
      <c r="M400" s="450"/>
      <c r="N400" s="450"/>
    </row>
    <row r="401" spans="1:14">
      <c r="A401" s="5"/>
      <c r="B401" s="249"/>
      <c r="C401" s="384" t="str">
        <f t="array" ref="C401:K410" ca="1">+'A-9'!$A$160:$I$169</f>
        <v>Step Change</v>
      </c>
      <c r="D401" s="491">
        <f ca="1"/>
        <v>0</v>
      </c>
      <c r="E401" s="508">
        <f ca="1"/>
        <v>0</v>
      </c>
      <c r="F401" s="491">
        <f ca="1"/>
        <v>0</v>
      </c>
      <c r="G401" s="492">
        <f ca="1"/>
        <v>0</v>
      </c>
      <c r="H401" s="492">
        <f ca="1"/>
        <v>0</v>
      </c>
      <c r="I401" s="492">
        <f ca="1"/>
        <v>0</v>
      </c>
      <c r="J401" s="492">
        <f ca="1"/>
        <v>0</v>
      </c>
      <c r="K401" s="508">
        <f ca="1"/>
        <v>0</v>
      </c>
      <c r="L401" s="515" t="str">
        <f t="array" ref="L401:N410" ca="1">+'A-9'!$K$160:$M$169</f>
        <v>Proposal Step Change</v>
      </c>
      <c r="M401" s="450" t="str">
        <f ca="1"/>
        <v>Refer Opex Workings</v>
      </c>
      <c r="N401" s="450" t="str">
        <f ca="1"/>
        <v>Proposal, October 2014</v>
      </c>
    </row>
    <row r="402" spans="1:14">
      <c r="A402" s="5"/>
      <c r="B402" s="249"/>
      <c r="C402" s="382" t="str">
        <f ca="1"/>
        <v/>
      </c>
      <c r="D402" s="491" t="str">
        <f ca="1"/>
        <v/>
      </c>
      <c r="E402" s="508" t="str">
        <f ca="1"/>
        <v/>
      </c>
      <c r="F402" s="491" t="str">
        <f ca="1"/>
        <v/>
      </c>
      <c r="G402" s="492" t="str">
        <f ca="1"/>
        <v/>
      </c>
      <c r="H402" s="492" t="str">
        <f ca="1"/>
        <v/>
      </c>
      <c r="I402" s="492" t="str">
        <f ca="1"/>
        <v/>
      </c>
      <c r="J402" s="492" t="str">
        <f ca="1"/>
        <v/>
      </c>
      <c r="K402" s="508" t="str">
        <f ca="1"/>
        <v/>
      </c>
      <c r="L402" s="515" t="str">
        <f ca="1"/>
        <v/>
      </c>
      <c r="M402" s="450" t="str">
        <f ca="1"/>
        <v/>
      </c>
      <c r="N402" s="450" t="str">
        <f ca="1"/>
        <v/>
      </c>
    </row>
    <row r="403" spans="1:14">
      <c r="A403" s="5"/>
      <c r="B403" s="249"/>
      <c r="C403" s="382" t="str">
        <f ca="1"/>
        <v/>
      </c>
      <c r="D403" s="491" t="str">
        <f ca="1"/>
        <v/>
      </c>
      <c r="E403" s="508" t="str">
        <f ca="1"/>
        <v/>
      </c>
      <c r="F403" s="491" t="str">
        <f ca="1"/>
        <v/>
      </c>
      <c r="G403" s="492" t="str">
        <f ca="1"/>
        <v/>
      </c>
      <c r="H403" s="492" t="str">
        <f ca="1"/>
        <v/>
      </c>
      <c r="I403" s="492" t="str">
        <f ca="1"/>
        <v/>
      </c>
      <c r="J403" s="492" t="str">
        <f ca="1"/>
        <v/>
      </c>
      <c r="K403" s="508" t="str">
        <f ca="1"/>
        <v/>
      </c>
      <c r="L403" s="515" t="str">
        <f ca="1"/>
        <v/>
      </c>
      <c r="M403" s="450" t="str">
        <f ca="1"/>
        <v/>
      </c>
      <c r="N403" s="450" t="str">
        <f ca="1"/>
        <v/>
      </c>
    </row>
    <row r="404" spans="1:14">
      <c r="A404" s="5"/>
      <c r="B404" s="249"/>
      <c r="C404" s="382" t="str">
        <f ca="1"/>
        <v/>
      </c>
      <c r="D404" s="491" t="str">
        <f ca="1"/>
        <v/>
      </c>
      <c r="E404" s="508" t="str">
        <f ca="1"/>
        <v/>
      </c>
      <c r="F404" s="491" t="str">
        <f ca="1"/>
        <v/>
      </c>
      <c r="G404" s="492" t="str">
        <f ca="1"/>
        <v/>
      </c>
      <c r="H404" s="492" t="str">
        <f ca="1"/>
        <v/>
      </c>
      <c r="I404" s="492" t="str">
        <f ca="1"/>
        <v/>
      </c>
      <c r="J404" s="492" t="str">
        <f ca="1"/>
        <v/>
      </c>
      <c r="K404" s="508" t="str">
        <f ca="1"/>
        <v/>
      </c>
      <c r="L404" s="515" t="str">
        <f ca="1"/>
        <v/>
      </c>
      <c r="M404" s="450" t="str">
        <f ca="1"/>
        <v/>
      </c>
      <c r="N404" s="450" t="str">
        <f ca="1"/>
        <v/>
      </c>
    </row>
    <row r="405" spans="1:14">
      <c r="A405" s="5"/>
      <c r="B405" s="249"/>
      <c r="C405" s="382" t="str">
        <f ca="1"/>
        <v/>
      </c>
      <c r="D405" s="491" t="str">
        <f ca="1"/>
        <v/>
      </c>
      <c r="E405" s="508" t="str">
        <f ca="1"/>
        <v/>
      </c>
      <c r="F405" s="491" t="str">
        <f ca="1"/>
        <v/>
      </c>
      <c r="G405" s="492" t="str">
        <f ca="1"/>
        <v/>
      </c>
      <c r="H405" s="492" t="str">
        <f ca="1"/>
        <v/>
      </c>
      <c r="I405" s="492" t="str">
        <f ca="1"/>
        <v/>
      </c>
      <c r="J405" s="492" t="str">
        <f ca="1"/>
        <v/>
      </c>
      <c r="K405" s="508" t="str">
        <f ca="1"/>
        <v/>
      </c>
      <c r="L405" s="515" t="str">
        <f ca="1"/>
        <v/>
      </c>
      <c r="M405" s="450" t="str">
        <f ca="1"/>
        <v/>
      </c>
      <c r="N405" s="450" t="str">
        <f ca="1"/>
        <v/>
      </c>
    </row>
    <row r="406" spans="1:14">
      <c r="A406" s="5"/>
      <c r="B406" s="249"/>
      <c r="C406" s="384" t="str">
        <f ca="1"/>
        <v/>
      </c>
      <c r="D406" s="491" t="str">
        <f ca="1"/>
        <v/>
      </c>
      <c r="E406" s="508" t="str">
        <f ca="1"/>
        <v/>
      </c>
      <c r="F406" s="491" t="str">
        <f ca="1"/>
        <v/>
      </c>
      <c r="G406" s="492" t="str">
        <f ca="1"/>
        <v/>
      </c>
      <c r="H406" s="492" t="str">
        <f ca="1"/>
        <v/>
      </c>
      <c r="I406" s="492" t="str">
        <f ca="1"/>
        <v/>
      </c>
      <c r="J406" s="492" t="str">
        <f ca="1"/>
        <v/>
      </c>
      <c r="K406" s="508" t="str">
        <f ca="1"/>
        <v/>
      </c>
      <c r="L406" s="515" t="str">
        <f ca="1"/>
        <v/>
      </c>
      <c r="M406" s="450" t="str">
        <f ca="1"/>
        <v/>
      </c>
      <c r="N406" s="450" t="str">
        <f ca="1"/>
        <v/>
      </c>
    </row>
    <row r="407" spans="1:14">
      <c r="A407" s="5"/>
      <c r="B407" s="249"/>
      <c r="C407" s="384" t="str">
        <f ca="1"/>
        <v/>
      </c>
      <c r="D407" s="491" t="str">
        <f ca="1"/>
        <v/>
      </c>
      <c r="E407" s="508" t="str">
        <f ca="1"/>
        <v/>
      </c>
      <c r="F407" s="491" t="str">
        <f ca="1"/>
        <v/>
      </c>
      <c r="G407" s="492" t="str">
        <f ca="1"/>
        <v/>
      </c>
      <c r="H407" s="492" t="str">
        <f ca="1"/>
        <v/>
      </c>
      <c r="I407" s="492" t="str">
        <f ca="1"/>
        <v/>
      </c>
      <c r="J407" s="492" t="str">
        <f ca="1"/>
        <v/>
      </c>
      <c r="K407" s="508" t="str">
        <f ca="1"/>
        <v/>
      </c>
      <c r="L407" s="515" t="str">
        <f ca="1"/>
        <v/>
      </c>
      <c r="M407" s="450" t="str">
        <f ca="1"/>
        <v/>
      </c>
      <c r="N407" s="450" t="str">
        <f ca="1"/>
        <v/>
      </c>
    </row>
    <row r="408" spans="1:14">
      <c r="A408" s="5"/>
      <c r="B408" s="249"/>
      <c r="C408" s="384" t="str">
        <f ca="1"/>
        <v/>
      </c>
      <c r="D408" s="491" t="str">
        <f ca="1"/>
        <v/>
      </c>
      <c r="E408" s="508" t="str">
        <f ca="1"/>
        <v/>
      </c>
      <c r="F408" s="491" t="str">
        <f ca="1"/>
        <v/>
      </c>
      <c r="G408" s="492" t="str">
        <f ca="1"/>
        <v/>
      </c>
      <c r="H408" s="492" t="str">
        <f ca="1"/>
        <v/>
      </c>
      <c r="I408" s="492" t="str">
        <f ca="1"/>
        <v/>
      </c>
      <c r="J408" s="492" t="str">
        <f ca="1"/>
        <v/>
      </c>
      <c r="K408" s="508" t="str">
        <f ca="1"/>
        <v/>
      </c>
      <c r="L408" s="515" t="str">
        <f ca="1"/>
        <v/>
      </c>
      <c r="M408" s="450" t="str">
        <f ca="1"/>
        <v/>
      </c>
      <c r="N408" s="450" t="str">
        <f ca="1"/>
        <v/>
      </c>
    </row>
    <row r="409" spans="1:14">
      <c r="A409" s="5"/>
      <c r="B409" s="249"/>
      <c r="C409" s="384" t="str">
        <f ca="1"/>
        <v/>
      </c>
      <c r="D409" s="491" t="str">
        <f ca="1"/>
        <v/>
      </c>
      <c r="E409" s="508" t="str">
        <f ca="1"/>
        <v/>
      </c>
      <c r="F409" s="491" t="str">
        <f ca="1"/>
        <v/>
      </c>
      <c r="G409" s="492" t="str">
        <f ca="1"/>
        <v/>
      </c>
      <c r="H409" s="492" t="str">
        <f ca="1"/>
        <v/>
      </c>
      <c r="I409" s="492" t="str">
        <f ca="1"/>
        <v/>
      </c>
      <c r="J409" s="492" t="str">
        <f ca="1"/>
        <v/>
      </c>
      <c r="K409" s="508" t="str">
        <f ca="1"/>
        <v/>
      </c>
      <c r="L409" s="515" t="str">
        <f ca="1"/>
        <v/>
      </c>
      <c r="M409" s="450" t="str">
        <f ca="1"/>
        <v/>
      </c>
      <c r="N409" s="450" t="str">
        <f ca="1"/>
        <v/>
      </c>
    </row>
    <row r="410" spans="1:14">
      <c r="A410" s="5"/>
      <c r="B410" s="249"/>
      <c r="C410" s="384" t="str">
        <f ca="1"/>
        <v/>
      </c>
      <c r="D410" s="491" t="str">
        <f ca="1"/>
        <v/>
      </c>
      <c r="E410" s="508" t="str">
        <f ca="1"/>
        <v/>
      </c>
      <c r="F410" s="491" t="str">
        <f ca="1"/>
        <v/>
      </c>
      <c r="G410" s="492" t="str">
        <f ca="1"/>
        <v/>
      </c>
      <c r="H410" s="492" t="str">
        <f ca="1"/>
        <v/>
      </c>
      <c r="I410" s="492" t="str">
        <f ca="1"/>
        <v/>
      </c>
      <c r="J410" s="492" t="str">
        <f ca="1"/>
        <v/>
      </c>
      <c r="K410" s="508" t="str">
        <f ca="1"/>
        <v/>
      </c>
      <c r="L410" s="515" t="str">
        <f ca="1"/>
        <v/>
      </c>
      <c r="M410" s="450" t="str">
        <f ca="1"/>
        <v/>
      </c>
      <c r="N410" s="450" t="str">
        <f ca="1"/>
        <v/>
      </c>
    </row>
    <row r="411" spans="1:14">
      <c r="A411" s="5"/>
      <c r="B411" s="249"/>
      <c r="C411" s="12"/>
      <c r="D411" s="491"/>
      <c r="E411" s="508"/>
      <c r="F411" s="491"/>
      <c r="G411" s="492"/>
      <c r="H411" s="492"/>
      <c r="I411" s="492"/>
      <c r="J411" s="492"/>
      <c r="K411" s="508"/>
      <c r="L411" s="515"/>
      <c r="M411" s="450"/>
      <c r="N411" s="450"/>
    </row>
    <row r="412" spans="1:14">
      <c r="A412" s="5"/>
      <c r="B412" s="249" t="str">
        <f ca="1">+'I-4 History'!B309</f>
        <v>A-10</v>
      </c>
      <c r="C412" s="14" t="str">
        <f ca="1">+'I-4 History'!C309</f>
        <v>Corporate Finance</v>
      </c>
      <c r="D412" s="491"/>
      <c r="E412" s="508"/>
      <c r="F412" s="491"/>
      <c r="G412" s="492"/>
      <c r="H412" s="492"/>
      <c r="I412" s="492"/>
      <c r="J412" s="492"/>
      <c r="K412" s="508"/>
      <c r="L412" s="515"/>
      <c r="M412" s="450"/>
      <c r="N412" s="450"/>
    </row>
    <row r="413" spans="1:14">
      <c r="A413" s="5"/>
      <c r="B413" s="249"/>
      <c r="C413" s="384" t="str">
        <f t="array" ref="C413:K422" ca="1">+'A-10'!$A$160:$I$169</f>
        <v>Step Change</v>
      </c>
      <c r="D413" s="491">
        <f ca="1"/>
        <v>0</v>
      </c>
      <c r="E413" s="508">
        <f ca="1"/>
        <v>0</v>
      </c>
      <c r="F413" s="491">
        <f ca="1"/>
        <v>0</v>
      </c>
      <c r="G413" s="492">
        <f ca="1"/>
        <v>0</v>
      </c>
      <c r="H413" s="492">
        <f ca="1"/>
        <v>0</v>
      </c>
      <c r="I413" s="492">
        <f ca="1"/>
        <v>0</v>
      </c>
      <c r="J413" s="492">
        <f ca="1"/>
        <v>0</v>
      </c>
      <c r="K413" s="508">
        <f ca="1"/>
        <v>0</v>
      </c>
      <c r="L413" s="515" t="str">
        <f t="array" ref="L413:N422" ca="1">+'A-10'!$K$160:$M$169</f>
        <v>Proposal Step Change</v>
      </c>
      <c r="M413" s="450" t="str">
        <f ca="1"/>
        <v>Refer Opex Workings</v>
      </c>
      <c r="N413" s="450" t="str">
        <f ca="1"/>
        <v>Proposal, October 2014</v>
      </c>
    </row>
    <row r="414" spans="1:14">
      <c r="A414" s="5"/>
      <c r="B414" s="249"/>
      <c r="C414" s="382" t="str">
        <f ca="1"/>
        <v/>
      </c>
      <c r="D414" s="491" t="str">
        <f ca="1"/>
        <v/>
      </c>
      <c r="E414" s="508" t="str">
        <f ca="1"/>
        <v/>
      </c>
      <c r="F414" s="491" t="str">
        <f ca="1"/>
        <v/>
      </c>
      <c r="G414" s="492" t="str">
        <f ca="1"/>
        <v/>
      </c>
      <c r="H414" s="492" t="str">
        <f ca="1"/>
        <v/>
      </c>
      <c r="I414" s="492" t="str">
        <f ca="1"/>
        <v/>
      </c>
      <c r="J414" s="492" t="str">
        <f ca="1"/>
        <v/>
      </c>
      <c r="K414" s="508" t="str">
        <f ca="1"/>
        <v/>
      </c>
      <c r="L414" s="515" t="str">
        <f ca="1"/>
        <v/>
      </c>
      <c r="M414" s="450" t="str">
        <f ca="1"/>
        <v/>
      </c>
      <c r="N414" s="450" t="str">
        <f ca="1"/>
        <v/>
      </c>
    </row>
    <row r="415" spans="1:14">
      <c r="A415" s="5"/>
      <c r="B415" s="249"/>
      <c r="C415" s="382" t="str">
        <f ca="1"/>
        <v/>
      </c>
      <c r="D415" s="491" t="str">
        <f ca="1"/>
        <v/>
      </c>
      <c r="E415" s="508" t="str">
        <f ca="1"/>
        <v/>
      </c>
      <c r="F415" s="491" t="str">
        <f ca="1"/>
        <v/>
      </c>
      <c r="G415" s="492" t="str">
        <f ca="1"/>
        <v/>
      </c>
      <c r="H415" s="492" t="str">
        <f ca="1"/>
        <v/>
      </c>
      <c r="I415" s="492" t="str">
        <f ca="1"/>
        <v/>
      </c>
      <c r="J415" s="492" t="str">
        <f ca="1"/>
        <v/>
      </c>
      <c r="K415" s="508" t="str">
        <f ca="1"/>
        <v/>
      </c>
      <c r="L415" s="515" t="str">
        <f ca="1"/>
        <v/>
      </c>
      <c r="M415" s="450" t="str">
        <f ca="1"/>
        <v/>
      </c>
      <c r="N415" s="450" t="str">
        <f ca="1"/>
        <v/>
      </c>
    </row>
    <row r="416" spans="1:14">
      <c r="A416" s="5"/>
      <c r="B416" s="249"/>
      <c r="C416" s="382" t="str">
        <f ca="1"/>
        <v/>
      </c>
      <c r="D416" s="491" t="str">
        <f ca="1"/>
        <v/>
      </c>
      <c r="E416" s="508" t="str">
        <f ca="1"/>
        <v/>
      </c>
      <c r="F416" s="491" t="str">
        <f ca="1"/>
        <v/>
      </c>
      <c r="G416" s="492" t="str">
        <f ca="1"/>
        <v/>
      </c>
      <c r="H416" s="492" t="str">
        <f ca="1"/>
        <v/>
      </c>
      <c r="I416" s="492" t="str">
        <f ca="1"/>
        <v/>
      </c>
      <c r="J416" s="492" t="str">
        <f ca="1"/>
        <v/>
      </c>
      <c r="K416" s="508" t="str">
        <f ca="1"/>
        <v/>
      </c>
      <c r="L416" s="515" t="str">
        <f ca="1"/>
        <v/>
      </c>
      <c r="M416" s="450" t="str">
        <f ca="1"/>
        <v/>
      </c>
      <c r="N416" s="450" t="str">
        <f ca="1"/>
        <v/>
      </c>
    </row>
    <row r="417" spans="1:14">
      <c r="A417" s="5"/>
      <c r="B417" s="249"/>
      <c r="C417" s="382" t="str">
        <f ca="1"/>
        <v/>
      </c>
      <c r="D417" s="491" t="str">
        <f ca="1"/>
        <v/>
      </c>
      <c r="E417" s="508" t="str">
        <f ca="1"/>
        <v/>
      </c>
      <c r="F417" s="491" t="str">
        <f ca="1"/>
        <v/>
      </c>
      <c r="G417" s="492" t="str">
        <f ca="1"/>
        <v/>
      </c>
      <c r="H417" s="492" t="str">
        <f ca="1"/>
        <v/>
      </c>
      <c r="I417" s="492" t="str">
        <f ca="1"/>
        <v/>
      </c>
      <c r="J417" s="492" t="str">
        <f ca="1"/>
        <v/>
      </c>
      <c r="K417" s="508" t="str">
        <f ca="1"/>
        <v/>
      </c>
      <c r="L417" s="515" t="str">
        <f ca="1"/>
        <v/>
      </c>
      <c r="M417" s="450" t="str">
        <f ca="1"/>
        <v/>
      </c>
      <c r="N417" s="450" t="str">
        <f ca="1"/>
        <v/>
      </c>
    </row>
    <row r="418" spans="1:14">
      <c r="B418" s="249"/>
      <c r="C418" s="384" t="str">
        <f ca="1"/>
        <v/>
      </c>
      <c r="D418" s="491" t="str">
        <f ca="1"/>
        <v/>
      </c>
      <c r="E418" s="508" t="str">
        <f ca="1"/>
        <v/>
      </c>
      <c r="F418" s="491" t="str">
        <f ca="1"/>
        <v/>
      </c>
      <c r="G418" s="492" t="str">
        <f ca="1"/>
        <v/>
      </c>
      <c r="H418" s="492" t="str">
        <f ca="1"/>
        <v/>
      </c>
      <c r="I418" s="492" t="str">
        <f ca="1"/>
        <v/>
      </c>
      <c r="J418" s="492" t="str">
        <f ca="1"/>
        <v/>
      </c>
      <c r="K418" s="508" t="str">
        <f ca="1"/>
        <v/>
      </c>
      <c r="L418" s="515" t="str">
        <f ca="1"/>
        <v/>
      </c>
      <c r="M418" s="450" t="str">
        <f ca="1"/>
        <v/>
      </c>
      <c r="N418" s="450" t="str">
        <f ca="1"/>
        <v/>
      </c>
    </row>
    <row r="419" spans="1:14">
      <c r="B419" s="249"/>
      <c r="C419" s="384" t="str">
        <f ca="1"/>
        <v/>
      </c>
      <c r="D419" s="491" t="str">
        <f ca="1"/>
        <v/>
      </c>
      <c r="E419" s="508" t="str">
        <f ca="1"/>
        <v/>
      </c>
      <c r="F419" s="491" t="str">
        <f ca="1"/>
        <v/>
      </c>
      <c r="G419" s="492" t="str">
        <f ca="1"/>
        <v/>
      </c>
      <c r="H419" s="492" t="str">
        <f ca="1"/>
        <v/>
      </c>
      <c r="I419" s="492" t="str">
        <f ca="1"/>
        <v/>
      </c>
      <c r="J419" s="492" t="str">
        <f ca="1"/>
        <v/>
      </c>
      <c r="K419" s="508" t="str">
        <f ca="1"/>
        <v/>
      </c>
      <c r="L419" s="515" t="str">
        <f ca="1"/>
        <v/>
      </c>
      <c r="M419" s="450" t="str">
        <f ca="1"/>
        <v/>
      </c>
      <c r="N419" s="450" t="str">
        <f ca="1"/>
        <v/>
      </c>
    </row>
    <row r="420" spans="1:14">
      <c r="B420" s="249"/>
      <c r="C420" s="384" t="str">
        <f ca="1"/>
        <v/>
      </c>
      <c r="D420" s="491" t="str">
        <f ca="1"/>
        <v/>
      </c>
      <c r="E420" s="508" t="str">
        <f ca="1"/>
        <v/>
      </c>
      <c r="F420" s="491" t="str">
        <f ca="1"/>
        <v/>
      </c>
      <c r="G420" s="492" t="str">
        <f ca="1"/>
        <v/>
      </c>
      <c r="H420" s="492" t="str">
        <f ca="1"/>
        <v/>
      </c>
      <c r="I420" s="492" t="str">
        <f ca="1"/>
        <v/>
      </c>
      <c r="J420" s="492" t="str">
        <f ca="1"/>
        <v/>
      </c>
      <c r="K420" s="508" t="str">
        <f ca="1"/>
        <v/>
      </c>
      <c r="L420" s="515" t="str">
        <f ca="1"/>
        <v/>
      </c>
      <c r="M420" s="450" t="str">
        <f ca="1"/>
        <v/>
      </c>
      <c r="N420" s="450" t="str">
        <f ca="1"/>
        <v/>
      </c>
    </row>
    <row r="421" spans="1:14">
      <c r="B421" s="249"/>
      <c r="C421" s="384" t="str">
        <f ca="1"/>
        <v/>
      </c>
      <c r="D421" s="491" t="str">
        <f ca="1"/>
        <v/>
      </c>
      <c r="E421" s="508" t="str">
        <f ca="1"/>
        <v/>
      </c>
      <c r="F421" s="491" t="str">
        <f ca="1"/>
        <v/>
      </c>
      <c r="G421" s="492" t="str">
        <f ca="1"/>
        <v/>
      </c>
      <c r="H421" s="492" t="str">
        <f ca="1"/>
        <v/>
      </c>
      <c r="I421" s="492" t="str">
        <f ca="1"/>
        <v/>
      </c>
      <c r="J421" s="492" t="str">
        <f ca="1"/>
        <v/>
      </c>
      <c r="K421" s="508" t="str">
        <f ca="1"/>
        <v/>
      </c>
      <c r="L421" s="515" t="str">
        <f ca="1"/>
        <v/>
      </c>
      <c r="M421" s="450" t="str">
        <f ca="1"/>
        <v/>
      </c>
      <c r="N421" s="450" t="str">
        <f ca="1"/>
        <v/>
      </c>
    </row>
    <row r="422" spans="1:14">
      <c r="B422" s="249"/>
      <c r="C422" s="384" t="str">
        <f ca="1"/>
        <v/>
      </c>
      <c r="D422" s="491" t="str">
        <f ca="1"/>
        <v/>
      </c>
      <c r="E422" s="508" t="str">
        <f ca="1"/>
        <v/>
      </c>
      <c r="F422" s="491" t="str">
        <f ca="1"/>
        <v/>
      </c>
      <c r="G422" s="492" t="str">
        <f ca="1"/>
        <v/>
      </c>
      <c r="H422" s="492" t="str">
        <f ca="1"/>
        <v/>
      </c>
      <c r="I422" s="492" t="str">
        <f ca="1"/>
        <v/>
      </c>
      <c r="J422" s="492" t="str">
        <f ca="1"/>
        <v/>
      </c>
      <c r="K422" s="508" t="str">
        <f ca="1"/>
        <v/>
      </c>
      <c r="L422" s="515" t="str">
        <f ca="1"/>
        <v/>
      </c>
      <c r="M422" s="450" t="str">
        <f ca="1"/>
        <v/>
      </c>
      <c r="N422" s="450" t="str">
        <f ca="1"/>
        <v/>
      </c>
    </row>
    <row r="423" spans="1:14">
      <c r="B423" s="249"/>
      <c r="C423" s="15"/>
      <c r="D423" s="491"/>
      <c r="E423" s="508"/>
      <c r="F423" s="491"/>
      <c r="G423" s="492"/>
      <c r="H423" s="492"/>
      <c r="I423" s="492"/>
      <c r="J423" s="492"/>
      <c r="K423" s="508"/>
      <c r="L423" s="515"/>
      <c r="M423" s="450"/>
      <c r="N423" s="450"/>
    </row>
    <row r="424" spans="1:14">
      <c r="A424" s="5"/>
      <c r="B424" s="249" t="str">
        <f ca="1">+'I-4 History'!B318</f>
        <v>A-11</v>
      </c>
      <c r="C424" s="14" t="str">
        <f ca="1">+'I-4 History'!C318</f>
        <v>Operational Finance</v>
      </c>
      <c r="D424" s="491"/>
      <c r="E424" s="508"/>
      <c r="F424" s="491"/>
      <c r="G424" s="492"/>
      <c r="H424" s="492"/>
      <c r="I424" s="492"/>
      <c r="J424" s="492"/>
      <c r="K424" s="508"/>
      <c r="L424" s="515"/>
      <c r="M424" s="450"/>
      <c r="N424" s="450"/>
    </row>
    <row r="425" spans="1:14">
      <c r="A425" s="5"/>
      <c r="B425" s="249"/>
      <c r="C425" s="384" t="str">
        <f t="array" ref="C425:K434" ca="1">+'A-11'!$A$160:$I$169</f>
        <v>Step Change</v>
      </c>
      <c r="D425" s="491">
        <f ca="1"/>
        <v>0</v>
      </c>
      <c r="E425" s="508">
        <f ca="1"/>
        <v>0</v>
      </c>
      <c r="F425" s="491">
        <f ca="1"/>
        <v>0</v>
      </c>
      <c r="G425" s="492">
        <f ca="1"/>
        <v>0</v>
      </c>
      <c r="H425" s="492">
        <f ca="1"/>
        <v>0</v>
      </c>
      <c r="I425" s="492">
        <f ca="1"/>
        <v>0</v>
      </c>
      <c r="J425" s="492">
        <f ca="1"/>
        <v>0</v>
      </c>
      <c r="K425" s="508">
        <f ca="1"/>
        <v>0</v>
      </c>
      <c r="L425" s="515" t="str">
        <f t="array" ref="L425:N434" ca="1">+'A-11'!$K$160:$M$169</f>
        <v>Proposal Step Change</v>
      </c>
      <c r="M425" s="450" t="str">
        <f ca="1"/>
        <v>Refer Opex Workings</v>
      </c>
      <c r="N425" s="450" t="str">
        <f ca="1"/>
        <v>Proposal, October 2014</v>
      </c>
    </row>
    <row r="426" spans="1:14">
      <c r="A426" s="5"/>
      <c r="B426" s="249"/>
      <c r="C426" s="382" t="str">
        <f ca="1"/>
        <v/>
      </c>
      <c r="D426" s="491" t="str">
        <f ca="1"/>
        <v/>
      </c>
      <c r="E426" s="508" t="str">
        <f ca="1"/>
        <v/>
      </c>
      <c r="F426" s="491" t="str">
        <f ca="1"/>
        <v/>
      </c>
      <c r="G426" s="492" t="str">
        <f ca="1"/>
        <v/>
      </c>
      <c r="H426" s="492" t="str">
        <f ca="1"/>
        <v/>
      </c>
      <c r="I426" s="492" t="str">
        <f ca="1"/>
        <v/>
      </c>
      <c r="J426" s="492" t="str">
        <f ca="1"/>
        <v/>
      </c>
      <c r="K426" s="508" t="str">
        <f ca="1"/>
        <v/>
      </c>
      <c r="L426" s="515" t="str">
        <f ca="1"/>
        <v/>
      </c>
      <c r="M426" s="450" t="str">
        <f ca="1"/>
        <v/>
      </c>
      <c r="N426" s="450" t="str">
        <f ca="1"/>
        <v/>
      </c>
    </row>
    <row r="427" spans="1:14">
      <c r="A427" s="5"/>
      <c r="B427" s="249"/>
      <c r="C427" s="382" t="str">
        <f ca="1"/>
        <v/>
      </c>
      <c r="D427" s="491" t="str">
        <f ca="1"/>
        <v/>
      </c>
      <c r="E427" s="508" t="str">
        <f ca="1"/>
        <v/>
      </c>
      <c r="F427" s="491" t="str">
        <f ca="1"/>
        <v/>
      </c>
      <c r="G427" s="492" t="str">
        <f ca="1"/>
        <v/>
      </c>
      <c r="H427" s="492" t="str">
        <f ca="1"/>
        <v/>
      </c>
      <c r="I427" s="492" t="str">
        <f ca="1"/>
        <v/>
      </c>
      <c r="J427" s="492" t="str">
        <f ca="1"/>
        <v/>
      </c>
      <c r="K427" s="508" t="str">
        <f ca="1"/>
        <v/>
      </c>
      <c r="L427" s="515" t="str">
        <f ca="1"/>
        <v/>
      </c>
      <c r="M427" s="450" t="str">
        <f ca="1"/>
        <v/>
      </c>
      <c r="N427" s="450" t="str">
        <f ca="1"/>
        <v/>
      </c>
    </row>
    <row r="428" spans="1:14">
      <c r="A428" s="5"/>
      <c r="B428" s="249"/>
      <c r="C428" s="382" t="str">
        <f ca="1"/>
        <v/>
      </c>
      <c r="D428" s="491" t="str">
        <f ca="1"/>
        <v/>
      </c>
      <c r="E428" s="508" t="str">
        <f ca="1"/>
        <v/>
      </c>
      <c r="F428" s="491" t="str">
        <f ca="1"/>
        <v/>
      </c>
      <c r="G428" s="492" t="str">
        <f ca="1"/>
        <v/>
      </c>
      <c r="H428" s="492" t="str">
        <f ca="1"/>
        <v/>
      </c>
      <c r="I428" s="492" t="str">
        <f ca="1"/>
        <v/>
      </c>
      <c r="J428" s="492" t="str">
        <f ca="1"/>
        <v/>
      </c>
      <c r="K428" s="508" t="str">
        <f ca="1"/>
        <v/>
      </c>
      <c r="L428" s="515" t="str">
        <f ca="1"/>
        <v/>
      </c>
      <c r="M428" s="450" t="str">
        <f ca="1"/>
        <v/>
      </c>
      <c r="N428" s="450" t="str">
        <f ca="1"/>
        <v/>
      </c>
    </row>
    <row r="429" spans="1:14">
      <c r="A429" s="5"/>
      <c r="B429" s="249"/>
      <c r="C429" s="382" t="str">
        <f ca="1"/>
        <v/>
      </c>
      <c r="D429" s="491" t="str">
        <f ca="1"/>
        <v/>
      </c>
      <c r="E429" s="508" t="str">
        <f ca="1"/>
        <v/>
      </c>
      <c r="F429" s="491" t="str">
        <f ca="1"/>
        <v/>
      </c>
      <c r="G429" s="492" t="str">
        <f ca="1"/>
        <v/>
      </c>
      <c r="H429" s="492" t="str">
        <f ca="1"/>
        <v/>
      </c>
      <c r="I429" s="492" t="str">
        <f ca="1"/>
        <v/>
      </c>
      <c r="J429" s="492" t="str">
        <f ca="1"/>
        <v/>
      </c>
      <c r="K429" s="508" t="str">
        <f ca="1"/>
        <v/>
      </c>
      <c r="L429" s="515" t="str">
        <f ca="1"/>
        <v/>
      </c>
      <c r="M429" s="450" t="str">
        <f ca="1"/>
        <v/>
      </c>
      <c r="N429" s="450" t="str">
        <f ca="1"/>
        <v/>
      </c>
    </row>
    <row r="430" spans="1:14">
      <c r="A430" s="5"/>
      <c r="B430" s="249"/>
      <c r="C430" s="384" t="str">
        <f ca="1"/>
        <v/>
      </c>
      <c r="D430" s="491" t="str">
        <f ca="1"/>
        <v/>
      </c>
      <c r="E430" s="508" t="str">
        <f ca="1"/>
        <v/>
      </c>
      <c r="F430" s="491" t="str">
        <f ca="1"/>
        <v/>
      </c>
      <c r="G430" s="492" t="str">
        <f ca="1"/>
        <v/>
      </c>
      <c r="H430" s="492" t="str">
        <f ca="1"/>
        <v/>
      </c>
      <c r="I430" s="492" t="str">
        <f ca="1"/>
        <v/>
      </c>
      <c r="J430" s="492" t="str">
        <f ca="1"/>
        <v/>
      </c>
      <c r="K430" s="508" t="str">
        <f ca="1"/>
        <v/>
      </c>
      <c r="L430" s="515" t="str">
        <f ca="1"/>
        <v/>
      </c>
      <c r="M430" s="450" t="str">
        <f ca="1"/>
        <v/>
      </c>
      <c r="N430" s="450" t="str">
        <f ca="1"/>
        <v/>
      </c>
    </row>
    <row r="431" spans="1:14">
      <c r="A431" s="5"/>
      <c r="B431" s="249"/>
      <c r="C431" s="384" t="str">
        <f ca="1"/>
        <v/>
      </c>
      <c r="D431" s="491" t="str">
        <f ca="1"/>
        <v/>
      </c>
      <c r="E431" s="508" t="str">
        <f ca="1"/>
        <v/>
      </c>
      <c r="F431" s="491" t="str">
        <f ca="1"/>
        <v/>
      </c>
      <c r="G431" s="492" t="str">
        <f ca="1"/>
        <v/>
      </c>
      <c r="H431" s="492" t="str">
        <f ca="1"/>
        <v/>
      </c>
      <c r="I431" s="492" t="str">
        <f ca="1"/>
        <v/>
      </c>
      <c r="J431" s="492" t="str">
        <f ca="1"/>
        <v/>
      </c>
      <c r="K431" s="508" t="str">
        <f ca="1"/>
        <v/>
      </c>
      <c r="L431" s="515" t="str">
        <f ca="1"/>
        <v/>
      </c>
      <c r="M431" s="450" t="str">
        <f ca="1"/>
        <v/>
      </c>
      <c r="N431" s="450" t="str">
        <f ca="1"/>
        <v/>
      </c>
    </row>
    <row r="432" spans="1:14">
      <c r="A432" s="5"/>
      <c r="B432" s="249"/>
      <c r="C432" s="384" t="str">
        <f ca="1"/>
        <v/>
      </c>
      <c r="D432" s="491" t="str">
        <f ca="1"/>
        <v/>
      </c>
      <c r="E432" s="508" t="str">
        <f ca="1"/>
        <v/>
      </c>
      <c r="F432" s="491" t="str">
        <f ca="1"/>
        <v/>
      </c>
      <c r="G432" s="492" t="str">
        <f ca="1"/>
        <v/>
      </c>
      <c r="H432" s="492" t="str">
        <f ca="1"/>
        <v/>
      </c>
      <c r="I432" s="492" t="str">
        <f ca="1"/>
        <v/>
      </c>
      <c r="J432" s="492" t="str">
        <f ca="1"/>
        <v/>
      </c>
      <c r="K432" s="508" t="str">
        <f ca="1"/>
        <v/>
      </c>
      <c r="L432" s="515" t="str">
        <f ca="1"/>
        <v/>
      </c>
      <c r="M432" s="450" t="str">
        <f ca="1"/>
        <v/>
      </c>
      <c r="N432" s="450" t="str">
        <f ca="1"/>
        <v/>
      </c>
    </row>
    <row r="433" spans="1:14">
      <c r="A433" s="5"/>
      <c r="B433" s="249"/>
      <c r="C433" s="384" t="str">
        <f ca="1"/>
        <v/>
      </c>
      <c r="D433" s="491" t="str">
        <f ca="1"/>
        <v/>
      </c>
      <c r="E433" s="508" t="str">
        <f ca="1"/>
        <v/>
      </c>
      <c r="F433" s="491" t="str">
        <f ca="1"/>
        <v/>
      </c>
      <c r="G433" s="492" t="str">
        <f ca="1"/>
        <v/>
      </c>
      <c r="H433" s="492" t="str">
        <f ca="1"/>
        <v/>
      </c>
      <c r="I433" s="492" t="str">
        <f ca="1"/>
        <v/>
      </c>
      <c r="J433" s="492" t="str">
        <f ca="1"/>
        <v/>
      </c>
      <c r="K433" s="508" t="str">
        <f ca="1"/>
        <v/>
      </c>
      <c r="L433" s="515" t="str">
        <f ca="1"/>
        <v/>
      </c>
      <c r="M433" s="450" t="str">
        <f ca="1"/>
        <v/>
      </c>
      <c r="N433" s="450" t="str">
        <f ca="1"/>
        <v/>
      </c>
    </row>
    <row r="434" spans="1:14">
      <c r="A434" s="5"/>
      <c r="B434" s="249"/>
      <c r="C434" s="384" t="str">
        <f ca="1"/>
        <v/>
      </c>
      <c r="D434" s="491" t="str">
        <f ca="1"/>
        <v/>
      </c>
      <c r="E434" s="508" t="str">
        <f ca="1"/>
        <v/>
      </c>
      <c r="F434" s="491" t="str">
        <f ca="1"/>
        <v/>
      </c>
      <c r="G434" s="492" t="str">
        <f ca="1"/>
        <v/>
      </c>
      <c r="H434" s="492" t="str">
        <f ca="1"/>
        <v/>
      </c>
      <c r="I434" s="492" t="str">
        <f ca="1"/>
        <v/>
      </c>
      <c r="J434" s="492" t="str">
        <f ca="1"/>
        <v/>
      </c>
      <c r="K434" s="508" t="str">
        <f ca="1"/>
        <v/>
      </c>
      <c r="L434" s="515" t="str">
        <f ca="1"/>
        <v/>
      </c>
      <c r="M434" s="450" t="str">
        <f ca="1"/>
        <v/>
      </c>
      <c r="N434" s="450" t="str">
        <f ca="1"/>
        <v/>
      </c>
    </row>
    <row r="435" spans="1:14">
      <c r="A435" s="5"/>
      <c r="B435" s="249"/>
      <c r="C435" s="12"/>
      <c r="D435" s="491"/>
      <c r="E435" s="508"/>
      <c r="F435" s="491"/>
      <c r="G435" s="492"/>
      <c r="H435" s="492"/>
      <c r="I435" s="492"/>
      <c r="J435" s="492"/>
      <c r="K435" s="508"/>
      <c r="L435" s="515"/>
      <c r="M435" s="450"/>
      <c r="N435" s="450"/>
    </row>
    <row r="436" spans="1:14">
      <c r="A436" s="5"/>
      <c r="B436" s="249" t="str">
        <f ca="1">+'I-4 History'!B327</f>
        <v>A-12</v>
      </c>
      <c r="C436" s="14" t="str">
        <f ca="1">+'I-4 History'!C327</f>
        <v>Regulatory Finance</v>
      </c>
      <c r="D436" s="491"/>
      <c r="E436" s="508"/>
      <c r="F436" s="491"/>
      <c r="G436" s="492"/>
      <c r="H436" s="492"/>
      <c r="I436" s="492"/>
      <c r="J436" s="492"/>
      <c r="K436" s="508"/>
      <c r="L436" s="515"/>
      <c r="M436" s="450"/>
      <c r="N436" s="450"/>
    </row>
    <row r="437" spans="1:14">
      <c r="A437" s="5"/>
      <c r="B437" s="249"/>
      <c r="C437" s="384" t="str">
        <f t="array" ref="C437:K446" ca="1">+'A-12'!$A$160:$I$169</f>
        <v>Step Change</v>
      </c>
      <c r="D437" s="491">
        <f ca="1"/>
        <v>0</v>
      </c>
      <c r="E437" s="508">
        <f ca="1"/>
        <v>0</v>
      </c>
      <c r="F437" s="491">
        <f ca="1"/>
        <v>0</v>
      </c>
      <c r="G437" s="492">
        <f ca="1"/>
        <v>0</v>
      </c>
      <c r="H437" s="492">
        <f ca="1"/>
        <v>0</v>
      </c>
      <c r="I437" s="492">
        <f ca="1"/>
        <v>0</v>
      </c>
      <c r="J437" s="492">
        <f ca="1"/>
        <v>0</v>
      </c>
      <c r="K437" s="508">
        <f ca="1"/>
        <v>0</v>
      </c>
      <c r="L437" s="515" t="str">
        <f t="array" ref="L437:N446" ca="1">+'A-12'!$K$160:$M$169</f>
        <v>Proposal Step Change</v>
      </c>
      <c r="M437" s="450" t="str">
        <f ca="1"/>
        <v>Refer Opex Workings</v>
      </c>
      <c r="N437" s="450" t="str">
        <f ca="1"/>
        <v>Proposal, October 2014</v>
      </c>
    </row>
    <row r="438" spans="1:14">
      <c r="A438" s="5"/>
      <c r="B438" s="249"/>
      <c r="C438" s="382" t="str">
        <f ca="1"/>
        <v/>
      </c>
      <c r="D438" s="491" t="str">
        <f ca="1"/>
        <v/>
      </c>
      <c r="E438" s="508" t="str">
        <f ca="1"/>
        <v/>
      </c>
      <c r="F438" s="491" t="str">
        <f ca="1"/>
        <v/>
      </c>
      <c r="G438" s="492" t="str">
        <f ca="1"/>
        <v/>
      </c>
      <c r="H438" s="492" t="str">
        <f ca="1"/>
        <v/>
      </c>
      <c r="I438" s="492" t="str">
        <f ca="1"/>
        <v/>
      </c>
      <c r="J438" s="492" t="str">
        <f ca="1"/>
        <v/>
      </c>
      <c r="K438" s="508" t="str">
        <f ca="1"/>
        <v/>
      </c>
      <c r="L438" s="515" t="str">
        <f ca="1"/>
        <v/>
      </c>
      <c r="M438" s="450" t="str">
        <f ca="1"/>
        <v/>
      </c>
      <c r="N438" s="450" t="str">
        <f ca="1"/>
        <v/>
      </c>
    </row>
    <row r="439" spans="1:14">
      <c r="A439" s="5"/>
      <c r="B439" s="249"/>
      <c r="C439" s="382" t="str">
        <f ca="1"/>
        <v/>
      </c>
      <c r="D439" s="491" t="str">
        <f ca="1"/>
        <v/>
      </c>
      <c r="E439" s="508" t="str">
        <f ca="1"/>
        <v/>
      </c>
      <c r="F439" s="491" t="str">
        <f ca="1"/>
        <v/>
      </c>
      <c r="G439" s="492" t="str">
        <f ca="1"/>
        <v/>
      </c>
      <c r="H439" s="492" t="str">
        <f ca="1"/>
        <v/>
      </c>
      <c r="I439" s="492" t="str">
        <f ca="1"/>
        <v/>
      </c>
      <c r="J439" s="492" t="str">
        <f ca="1"/>
        <v/>
      </c>
      <c r="K439" s="508" t="str">
        <f ca="1"/>
        <v/>
      </c>
      <c r="L439" s="515" t="str">
        <f ca="1"/>
        <v/>
      </c>
      <c r="M439" s="450" t="str">
        <f ca="1"/>
        <v/>
      </c>
      <c r="N439" s="450" t="str">
        <f ca="1"/>
        <v/>
      </c>
    </row>
    <row r="440" spans="1:14">
      <c r="A440" s="5"/>
      <c r="B440" s="249"/>
      <c r="C440" s="382" t="str">
        <f ca="1"/>
        <v/>
      </c>
      <c r="D440" s="491" t="str">
        <f ca="1"/>
        <v/>
      </c>
      <c r="E440" s="508" t="str">
        <f ca="1"/>
        <v/>
      </c>
      <c r="F440" s="491" t="str">
        <f ca="1"/>
        <v/>
      </c>
      <c r="G440" s="492" t="str">
        <f ca="1"/>
        <v/>
      </c>
      <c r="H440" s="492" t="str">
        <f ca="1"/>
        <v/>
      </c>
      <c r="I440" s="492" t="str">
        <f ca="1"/>
        <v/>
      </c>
      <c r="J440" s="492" t="str">
        <f ca="1"/>
        <v/>
      </c>
      <c r="K440" s="508" t="str">
        <f ca="1"/>
        <v/>
      </c>
      <c r="L440" s="515" t="str">
        <f ca="1"/>
        <v/>
      </c>
      <c r="M440" s="450" t="str">
        <f ca="1"/>
        <v/>
      </c>
      <c r="N440" s="450" t="str">
        <f ca="1"/>
        <v/>
      </c>
    </row>
    <row r="441" spans="1:14">
      <c r="A441" s="5"/>
      <c r="B441" s="249"/>
      <c r="C441" s="382" t="str">
        <f ca="1"/>
        <v/>
      </c>
      <c r="D441" s="491" t="str">
        <f ca="1"/>
        <v/>
      </c>
      <c r="E441" s="508" t="str">
        <f ca="1"/>
        <v/>
      </c>
      <c r="F441" s="491" t="str">
        <f ca="1"/>
        <v/>
      </c>
      <c r="G441" s="492" t="str">
        <f ca="1"/>
        <v/>
      </c>
      <c r="H441" s="492" t="str">
        <f ca="1"/>
        <v/>
      </c>
      <c r="I441" s="492" t="str">
        <f ca="1"/>
        <v/>
      </c>
      <c r="J441" s="492" t="str">
        <f ca="1"/>
        <v/>
      </c>
      <c r="K441" s="508" t="str">
        <f ca="1"/>
        <v/>
      </c>
      <c r="L441" s="515" t="str">
        <f ca="1"/>
        <v/>
      </c>
      <c r="M441" s="450" t="str">
        <f ca="1"/>
        <v/>
      </c>
      <c r="N441" s="450" t="str">
        <f ca="1"/>
        <v/>
      </c>
    </row>
    <row r="442" spans="1:14">
      <c r="A442" s="5"/>
      <c r="B442" s="249"/>
      <c r="C442" s="384" t="str">
        <f ca="1"/>
        <v/>
      </c>
      <c r="D442" s="491" t="str">
        <f ca="1"/>
        <v/>
      </c>
      <c r="E442" s="508" t="str">
        <f ca="1"/>
        <v/>
      </c>
      <c r="F442" s="491" t="str">
        <f ca="1"/>
        <v/>
      </c>
      <c r="G442" s="492" t="str">
        <f ca="1"/>
        <v/>
      </c>
      <c r="H442" s="492" t="str">
        <f ca="1"/>
        <v/>
      </c>
      <c r="I442" s="492" t="str">
        <f ca="1"/>
        <v/>
      </c>
      <c r="J442" s="492" t="str">
        <f ca="1"/>
        <v/>
      </c>
      <c r="K442" s="508" t="str">
        <f ca="1"/>
        <v/>
      </c>
      <c r="L442" s="515" t="str">
        <f ca="1"/>
        <v/>
      </c>
      <c r="M442" s="450" t="str">
        <f ca="1"/>
        <v/>
      </c>
      <c r="N442" s="450" t="str">
        <f ca="1"/>
        <v/>
      </c>
    </row>
    <row r="443" spans="1:14">
      <c r="A443" s="5"/>
      <c r="B443" s="249"/>
      <c r="C443" s="384" t="str">
        <f ca="1"/>
        <v/>
      </c>
      <c r="D443" s="491" t="str">
        <f ca="1"/>
        <v/>
      </c>
      <c r="E443" s="508" t="str">
        <f ca="1"/>
        <v/>
      </c>
      <c r="F443" s="491" t="str">
        <f ca="1"/>
        <v/>
      </c>
      <c r="G443" s="492" t="str">
        <f ca="1"/>
        <v/>
      </c>
      <c r="H443" s="492" t="str">
        <f ca="1"/>
        <v/>
      </c>
      <c r="I443" s="492" t="str">
        <f ca="1"/>
        <v/>
      </c>
      <c r="J443" s="492" t="str">
        <f ca="1"/>
        <v/>
      </c>
      <c r="K443" s="508" t="str">
        <f ca="1"/>
        <v/>
      </c>
      <c r="L443" s="515" t="str">
        <f ca="1"/>
        <v/>
      </c>
      <c r="M443" s="450" t="str">
        <f ca="1"/>
        <v/>
      </c>
      <c r="N443" s="450" t="str">
        <f ca="1"/>
        <v/>
      </c>
    </row>
    <row r="444" spans="1:14">
      <c r="A444" s="5"/>
      <c r="B444" s="249"/>
      <c r="C444" s="384" t="str">
        <f ca="1"/>
        <v/>
      </c>
      <c r="D444" s="491" t="str">
        <f ca="1"/>
        <v/>
      </c>
      <c r="E444" s="508" t="str">
        <f ca="1"/>
        <v/>
      </c>
      <c r="F444" s="491" t="str">
        <f ca="1"/>
        <v/>
      </c>
      <c r="G444" s="492" t="str">
        <f ca="1"/>
        <v/>
      </c>
      <c r="H444" s="492" t="str">
        <f ca="1"/>
        <v/>
      </c>
      <c r="I444" s="492" t="str">
        <f ca="1"/>
        <v/>
      </c>
      <c r="J444" s="492" t="str">
        <f ca="1"/>
        <v/>
      </c>
      <c r="K444" s="508" t="str">
        <f ca="1"/>
        <v/>
      </c>
      <c r="L444" s="515" t="str">
        <f ca="1"/>
        <v/>
      </c>
      <c r="M444" s="450" t="str">
        <f ca="1"/>
        <v/>
      </c>
      <c r="N444" s="450" t="str">
        <f ca="1"/>
        <v/>
      </c>
    </row>
    <row r="445" spans="1:14">
      <c r="A445" s="5"/>
      <c r="B445" s="249"/>
      <c r="C445" s="384" t="str">
        <f ca="1"/>
        <v/>
      </c>
      <c r="D445" s="491" t="str">
        <f ca="1"/>
        <v/>
      </c>
      <c r="E445" s="508" t="str">
        <f ca="1"/>
        <v/>
      </c>
      <c r="F445" s="491" t="str">
        <f ca="1"/>
        <v/>
      </c>
      <c r="G445" s="492" t="str">
        <f ca="1"/>
        <v/>
      </c>
      <c r="H445" s="492" t="str">
        <f ca="1"/>
        <v/>
      </c>
      <c r="I445" s="492" t="str">
        <f ca="1"/>
        <v/>
      </c>
      <c r="J445" s="492" t="str">
        <f ca="1"/>
        <v/>
      </c>
      <c r="K445" s="508" t="str">
        <f ca="1"/>
        <v/>
      </c>
      <c r="L445" s="515" t="str">
        <f ca="1"/>
        <v/>
      </c>
      <c r="M445" s="450" t="str">
        <f ca="1"/>
        <v/>
      </c>
      <c r="N445" s="450" t="str">
        <f ca="1"/>
        <v/>
      </c>
    </row>
    <row r="446" spans="1:14">
      <c r="A446" s="5"/>
      <c r="B446" s="249"/>
      <c r="C446" s="384" t="str">
        <f ca="1"/>
        <v/>
      </c>
      <c r="D446" s="491" t="str">
        <f ca="1"/>
        <v/>
      </c>
      <c r="E446" s="508" t="str">
        <f ca="1"/>
        <v/>
      </c>
      <c r="F446" s="491" t="str">
        <f ca="1"/>
        <v/>
      </c>
      <c r="G446" s="492" t="str">
        <f ca="1"/>
        <v/>
      </c>
      <c r="H446" s="492" t="str">
        <f ca="1"/>
        <v/>
      </c>
      <c r="I446" s="492" t="str">
        <f ca="1"/>
        <v/>
      </c>
      <c r="J446" s="492" t="str">
        <f ca="1"/>
        <v/>
      </c>
      <c r="K446" s="508" t="str">
        <f ca="1"/>
        <v/>
      </c>
      <c r="L446" s="515" t="str">
        <f ca="1"/>
        <v/>
      </c>
      <c r="M446" s="450" t="str">
        <f ca="1"/>
        <v/>
      </c>
      <c r="N446" s="450" t="str">
        <f ca="1"/>
        <v/>
      </c>
    </row>
    <row r="447" spans="1:14">
      <c r="A447" s="5"/>
      <c r="B447" s="249"/>
      <c r="C447" s="12"/>
      <c r="D447" s="491"/>
      <c r="E447" s="508"/>
      <c r="F447" s="491"/>
      <c r="G447" s="492"/>
      <c r="H447" s="492"/>
      <c r="I447" s="492"/>
      <c r="J447" s="492"/>
      <c r="K447" s="508"/>
      <c r="L447" s="515"/>
      <c r="M447" s="450"/>
      <c r="N447" s="450"/>
    </row>
    <row r="448" spans="1:14">
      <c r="A448" s="5"/>
      <c r="B448" s="249" t="str">
        <f ca="1">+'I-4 History'!B336</f>
        <v>A-13</v>
      </c>
      <c r="C448" s="14" t="str">
        <f ca="1">+'I-4 History'!C336</f>
        <v>Accounts Payable</v>
      </c>
      <c r="D448" s="491"/>
      <c r="E448" s="508"/>
      <c r="F448" s="491"/>
      <c r="G448" s="492"/>
      <c r="H448" s="492"/>
      <c r="I448" s="492"/>
      <c r="J448" s="492"/>
      <c r="K448" s="508"/>
      <c r="L448" s="515"/>
      <c r="M448" s="450"/>
      <c r="N448" s="450"/>
    </row>
    <row r="449" spans="1:14">
      <c r="A449" s="5"/>
      <c r="B449" s="249"/>
      <c r="C449" s="384" t="str">
        <f t="array" ref="C449:K458" ca="1">+'A-13'!$A$160:$I$169</f>
        <v>Step Change</v>
      </c>
      <c r="D449" s="491">
        <f ca="1"/>
        <v>0</v>
      </c>
      <c r="E449" s="508">
        <f ca="1"/>
        <v>0</v>
      </c>
      <c r="F449" s="491">
        <f ca="1"/>
        <v>0</v>
      </c>
      <c r="G449" s="492">
        <f ca="1"/>
        <v>0</v>
      </c>
      <c r="H449" s="492">
        <f ca="1"/>
        <v>0</v>
      </c>
      <c r="I449" s="492">
        <f ca="1"/>
        <v>0</v>
      </c>
      <c r="J449" s="492">
        <f ca="1"/>
        <v>0</v>
      </c>
      <c r="K449" s="508">
        <f ca="1"/>
        <v>0</v>
      </c>
      <c r="L449" s="515" t="str">
        <f t="array" ref="L449:N458" ca="1">+'A-13'!$K$160:$M$169</f>
        <v>Proposal Step Change</v>
      </c>
      <c r="M449" s="450" t="str">
        <f ca="1"/>
        <v>Refer Opex Workings</v>
      </c>
      <c r="N449" s="450" t="str">
        <f ca="1"/>
        <v>Proposal, October 2014</v>
      </c>
    </row>
    <row r="450" spans="1:14">
      <c r="A450" s="5"/>
      <c r="B450" s="249"/>
      <c r="C450" s="382" t="str">
        <f ca="1"/>
        <v/>
      </c>
      <c r="D450" s="491" t="str">
        <f ca="1"/>
        <v/>
      </c>
      <c r="E450" s="508" t="str">
        <f ca="1"/>
        <v/>
      </c>
      <c r="F450" s="491" t="str">
        <f ca="1"/>
        <v/>
      </c>
      <c r="G450" s="492" t="str">
        <f ca="1"/>
        <v/>
      </c>
      <c r="H450" s="492" t="str">
        <f ca="1"/>
        <v/>
      </c>
      <c r="I450" s="492" t="str">
        <f ca="1"/>
        <v/>
      </c>
      <c r="J450" s="492" t="str">
        <f ca="1"/>
        <v/>
      </c>
      <c r="K450" s="508" t="str">
        <f ca="1"/>
        <v/>
      </c>
      <c r="L450" s="515" t="str">
        <f ca="1"/>
        <v/>
      </c>
      <c r="M450" s="450" t="str">
        <f ca="1"/>
        <v/>
      </c>
      <c r="N450" s="450" t="str">
        <f ca="1"/>
        <v/>
      </c>
    </row>
    <row r="451" spans="1:14">
      <c r="A451" s="5"/>
      <c r="B451" s="249"/>
      <c r="C451" s="382" t="str">
        <f ca="1"/>
        <v/>
      </c>
      <c r="D451" s="491" t="str">
        <f ca="1"/>
        <v/>
      </c>
      <c r="E451" s="508" t="str">
        <f ca="1"/>
        <v/>
      </c>
      <c r="F451" s="491" t="str">
        <f ca="1"/>
        <v/>
      </c>
      <c r="G451" s="492" t="str">
        <f ca="1"/>
        <v/>
      </c>
      <c r="H451" s="492" t="str">
        <f ca="1"/>
        <v/>
      </c>
      <c r="I451" s="492" t="str">
        <f ca="1"/>
        <v/>
      </c>
      <c r="J451" s="492" t="str">
        <f ca="1"/>
        <v/>
      </c>
      <c r="K451" s="508" t="str">
        <f ca="1"/>
        <v/>
      </c>
      <c r="L451" s="515" t="str">
        <f ca="1"/>
        <v/>
      </c>
      <c r="M451" s="450" t="str">
        <f ca="1"/>
        <v/>
      </c>
      <c r="N451" s="450" t="str">
        <f ca="1"/>
        <v/>
      </c>
    </row>
    <row r="452" spans="1:14">
      <c r="A452" s="5"/>
      <c r="B452" s="249"/>
      <c r="C452" s="382" t="str">
        <f ca="1"/>
        <v/>
      </c>
      <c r="D452" s="491" t="str">
        <f ca="1"/>
        <v/>
      </c>
      <c r="E452" s="508" t="str">
        <f ca="1"/>
        <v/>
      </c>
      <c r="F452" s="491" t="str">
        <f ca="1"/>
        <v/>
      </c>
      <c r="G452" s="492" t="str">
        <f ca="1"/>
        <v/>
      </c>
      <c r="H452" s="492" t="str">
        <f ca="1"/>
        <v/>
      </c>
      <c r="I452" s="492" t="str">
        <f ca="1"/>
        <v/>
      </c>
      <c r="J452" s="492" t="str">
        <f ca="1"/>
        <v/>
      </c>
      <c r="K452" s="508" t="str">
        <f ca="1"/>
        <v/>
      </c>
      <c r="L452" s="515" t="str">
        <f ca="1"/>
        <v/>
      </c>
      <c r="M452" s="450" t="str">
        <f ca="1"/>
        <v/>
      </c>
      <c r="N452" s="450" t="str">
        <f ca="1"/>
        <v/>
      </c>
    </row>
    <row r="453" spans="1:14">
      <c r="A453" s="5"/>
      <c r="B453" s="249"/>
      <c r="C453" s="382" t="str">
        <f ca="1"/>
        <v/>
      </c>
      <c r="D453" s="491" t="str">
        <f ca="1"/>
        <v/>
      </c>
      <c r="E453" s="508" t="str">
        <f ca="1"/>
        <v/>
      </c>
      <c r="F453" s="491" t="str">
        <f ca="1"/>
        <v/>
      </c>
      <c r="G453" s="492" t="str">
        <f ca="1"/>
        <v/>
      </c>
      <c r="H453" s="492" t="str">
        <f ca="1"/>
        <v/>
      </c>
      <c r="I453" s="492" t="str">
        <f ca="1"/>
        <v/>
      </c>
      <c r="J453" s="492" t="str">
        <f ca="1"/>
        <v/>
      </c>
      <c r="K453" s="508" t="str">
        <f ca="1"/>
        <v/>
      </c>
      <c r="L453" s="515" t="str">
        <f ca="1"/>
        <v/>
      </c>
      <c r="M453" s="450" t="str">
        <f ca="1"/>
        <v/>
      </c>
      <c r="N453" s="450" t="str">
        <f ca="1"/>
        <v/>
      </c>
    </row>
    <row r="454" spans="1:14">
      <c r="B454" s="249"/>
      <c r="C454" s="384" t="str">
        <f ca="1"/>
        <v/>
      </c>
      <c r="D454" s="491" t="str">
        <f ca="1"/>
        <v/>
      </c>
      <c r="E454" s="508" t="str">
        <f ca="1"/>
        <v/>
      </c>
      <c r="F454" s="491" t="str">
        <f ca="1"/>
        <v/>
      </c>
      <c r="G454" s="492" t="str">
        <f ca="1"/>
        <v/>
      </c>
      <c r="H454" s="492" t="str">
        <f ca="1"/>
        <v/>
      </c>
      <c r="I454" s="492" t="str">
        <f ca="1"/>
        <v/>
      </c>
      <c r="J454" s="492" t="str">
        <f ca="1"/>
        <v/>
      </c>
      <c r="K454" s="508" t="str">
        <f ca="1"/>
        <v/>
      </c>
      <c r="L454" s="515" t="str">
        <f ca="1"/>
        <v/>
      </c>
      <c r="M454" s="450" t="str">
        <f ca="1"/>
        <v/>
      </c>
      <c r="N454" s="450" t="str">
        <f ca="1"/>
        <v/>
      </c>
    </row>
    <row r="455" spans="1:14">
      <c r="B455" s="249"/>
      <c r="C455" s="384" t="str">
        <f ca="1"/>
        <v/>
      </c>
      <c r="D455" s="491" t="str">
        <f ca="1"/>
        <v/>
      </c>
      <c r="E455" s="508" t="str">
        <f ca="1"/>
        <v/>
      </c>
      <c r="F455" s="491" t="str">
        <f ca="1"/>
        <v/>
      </c>
      <c r="G455" s="492" t="str">
        <f ca="1"/>
        <v/>
      </c>
      <c r="H455" s="492" t="str">
        <f ca="1"/>
        <v/>
      </c>
      <c r="I455" s="492" t="str">
        <f ca="1"/>
        <v/>
      </c>
      <c r="J455" s="492" t="str">
        <f ca="1"/>
        <v/>
      </c>
      <c r="K455" s="508" t="str">
        <f ca="1"/>
        <v/>
      </c>
      <c r="L455" s="515" t="str">
        <f ca="1"/>
        <v/>
      </c>
      <c r="M455" s="450" t="str">
        <f ca="1"/>
        <v/>
      </c>
      <c r="N455" s="450" t="str">
        <f ca="1"/>
        <v/>
      </c>
    </row>
    <row r="456" spans="1:14">
      <c r="B456" s="249"/>
      <c r="C456" s="384" t="str">
        <f ca="1"/>
        <v/>
      </c>
      <c r="D456" s="491" t="str">
        <f ca="1"/>
        <v/>
      </c>
      <c r="E456" s="508" t="str">
        <f ca="1"/>
        <v/>
      </c>
      <c r="F456" s="491" t="str">
        <f ca="1"/>
        <v/>
      </c>
      <c r="G456" s="492" t="str">
        <f ca="1"/>
        <v/>
      </c>
      <c r="H456" s="492" t="str">
        <f ca="1"/>
        <v/>
      </c>
      <c r="I456" s="492" t="str">
        <f ca="1"/>
        <v/>
      </c>
      <c r="J456" s="492" t="str">
        <f ca="1"/>
        <v/>
      </c>
      <c r="K456" s="508" t="str">
        <f ca="1"/>
        <v/>
      </c>
      <c r="L456" s="515" t="str">
        <f ca="1"/>
        <v/>
      </c>
      <c r="M456" s="450" t="str">
        <f ca="1"/>
        <v/>
      </c>
      <c r="N456" s="450" t="str">
        <f ca="1"/>
        <v/>
      </c>
    </row>
    <row r="457" spans="1:14">
      <c r="B457" s="249"/>
      <c r="C457" s="384" t="str">
        <f ca="1"/>
        <v/>
      </c>
      <c r="D457" s="491" t="str">
        <f ca="1"/>
        <v/>
      </c>
      <c r="E457" s="508" t="str">
        <f ca="1"/>
        <v/>
      </c>
      <c r="F457" s="491" t="str">
        <f ca="1"/>
        <v/>
      </c>
      <c r="G457" s="492" t="str">
        <f ca="1"/>
        <v/>
      </c>
      <c r="H457" s="492" t="str">
        <f ca="1"/>
        <v/>
      </c>
      <c r="I457" s="492" t="str">
        <f ca="1"/>
        <v/>
      </c>
      <c r="J457" s="492" t="str">
        <f ca="1"/>
        <v/>
      </c>
      <c r="K457" s="508" t="str">
        <f ca="1"/>
        <v/>
      </c>
      <c r="L457" s="515" t="str">
        <f ca="1"/>
        <v/>
      </c>
      <c r="M457" s="450" t="str">
        <f ca="1"/>
        <v/>
      </c>
      <c r="N457" s="450" t="str">
        <f ca="1"/>
        <v/>
      </c>
    </row>
    <row r="458" spans="1:14">
      <c r="B458" s="249"/>
      <c r="C458" s="384" t="str">
        <f ca="1"/>
        <v/>
      </c>
      <c r="D458" s="491" t="str">
        <f ca="1"/>
        <v/>
      </c>
      <c r="E458" s="508" t="str">
        <f ca="1"/>
        <v/>
      </c>
      <c r="F458" s="491" t="str">
        <f ca="1"/>
        <v/>
      </c>
      <c r="G458" s="492" t="str">
        <f ca="1"/>
        <v/>
      </c>
      <c r="H458" s="492" t="str">
        <f ca="1"/>
        <v/>
      </c>
      <c r="I458" s="492" t="str">
        <f ca="1"/>
        <v/>
      </c>
      <c r="J458" s="492" t="str">
        <f ca="1"/>
        <v/>
      </c>
      <c r="K458" s="508" t="str">
        <f ca="1"/>
        <v/>
      </c>
      <c r="L458" s="515" t="str">
        <f ca="1"/>
        <v/>
      </c>
      <c r="M458" s="450" t="str">
        <f ca="1"/>
        <v/>
      </c>
      <c r="N458" s="450" t="str">
        <f ca="1"/>
        <v/>
      </c>
    </row>
    <row r="459" spans="1:14">
      <c r="B459" s="249"/>
      <c r="C459" s="12"/>
      <c r="D459" s="491"/>
      <c r="E459" s="508"/>
      <c r="F459" s="491"/>
      <c r="G459" s="492"/>
      <c r="H459" s="492"/>
      <c r="I459" s="492"/>
      <c r="J459" s="492"/>
      <c r="K459" s="508"/>
      <c r="L459" s="515"/>
      <c r="M459" s="450"/>
      <c r="N459" s="450"/>
    </row>
    <row r="460" spans="1:14">
      <c r="A460" s="5"/>
      <c r="B460" s="249" t="str">
        <f ca="1">+'I-4 History'!B345</f>
        <v>A-14</v>
      </c>
      <c r="C460" s="14" t="str">
        <f ca="1">+'I-4 History'!C345</f>
        <v>Payroll</v>
      </c>
      <c r="D460" s="491"/>
      <c r="E460" s="508"/>
      <c r="F460" s="491"/>
      <c r="G460" s="492"/>
      <c r="H460" s="492"/>
      <c r="I460" s="492"/>
      <c r="J460" s="492"/>
      <c r="K460" s="508"/>
      <c r="L460" s="515"/>
      <c r="M460" s="450"/>
      <c r="N460" s="450"/>
    </row>
    <row r="461" spans="1:14">
      <c r="A461" s="5"/>
      <c r="B461" s="249"/>
      <c r="C461" s="384" t="str">
        <f t="array" ref="C461:K470" ca="1">+'A-14'!$A$160:$I$169</f>
        <v>Step Change</v>
      </c>
      <c r="D461" s="491">
        <f ca="1"/>
        <v>0</v>
      </c>
      <c r="E461" s="508">
        <f ca="1"/>
        <v>0</v>
      </c>
      <c r="F461" s="491">
        <f ca="1"/>
        <v>0</v>
      </c>
      <c r="G461" s="492">
        <f ca="1"/>
        <v>0</v>
      </c>
      <c r="H461" s="492">
        <f ca="1"/>
        <v>0</v>
      </c>
      <c r="I461" s="492">
        <f ca="1"/>
        <v>0</v>
      </c>
      <c r="J461" s="492">
        <f ca="1"/>
        <v>0</v>
      </c>
      <c r="K461" s="508">
        <f ca="1"/>
        <v>0</v>
      </c>
      <c r="L461" s="515" t="str">
        <f t="array" ref="L461:N470" ca="1">+'A-14'!$K$160:$M$169</f>
        <v>Proposal Step Change</v>
      </c>
      <c r="M461" s="450" t="str">
        <f ca="1"/>
        <v>Refer Opex Workings</v>
      </c>
      <c r="N461" s="450" t="str">
        <f ca="1"/>
        <v>Proposal, October 2014</v>
      </c>
    </row>
    <row r="462" spans="1:14">
      <c r="A462" s="5"/>
      <c r="B462" s="249"/>
      <c r="C462" s="382" t="str">
        <f ca="1"/>
        <v/>
      </c>
      <c r="D462" s="491" t="str">
        <f ca="1"/>
        <v/>
      </c>
      <c r="E462" s="508" t="str">
        <f ca="1"/>
        <v/>
      </c>
      <c r="F462" s="491" t="str">
        <f ca="1"/>
        <v/>
      </c>
      <c r="G462" s="492" t="str">
        <f ca="1"/>
        <v/>
      </c>
      <c r="H462" s="492" t="str">
        <f ca="1"/>
        <v/>
      </c>
      <c r="I462" s="492" t="str">
        <f ca="1"/>
        <v/>
      </c>
      <c r="J462" s="492" t="str">
        <f ca="1"/>
        <v/>
      </c>
      <c r="K462" s="508" t="str">
        <f ca="1"/>
        <v/>
      </c>
      <c r="L462" s="515" t="str">
        <f ca="1"/>
        <v/>
      </c>
      <c r="M462" s="450" t="str">
        <f ca="1"/>
        <v/>
      </c>
      <c r="N462" s="450" t="str">
        <f ca="1"/>
        <v/>
      </c>
    </row>
    <row r="463" spans="1:14">
      <c r="A463" s="5"/>
      <c r="B463" s="249"/>
      <c r="C463" s="382" t="str">
        <f ca="1"/>
        <v/>
      </c>
      <c r="D463" s="491" t="str">
        <f ca="1"/>
        <v/>
      </c>
      <c r="E463" s="508" t="str">
        <f ca="1"/>
        <v/>
      </c>
      <c r="F463" s="491" t="str">
        <f ca="1"/>
        <v/>
      </c>
      <c r="G463" s="492" t="str">
        <f ca="1"/>
        <v/>
      </c>
      <c r="H463" s="492" t="str">
        <f ca="1"/>
        <v/>
      </c>
      <c r="I463" s="492" t="str">
        <f ca="1"/>
        <v/>
      </c>
      <c r="J463" s="492" t="str">
        <f ca="1"/>
        <v/>
      </c>
      <c r="K463" s="508" t="str">
        <f ca="1"/>
        <v/>
      </c>
      <c r="L463" s="515" t="str">
        <f ca="1"/>
        <v/>
      </c>
      <c r="M463" s="450" t="str">
        <f ca="1"/>
        <v/>
      </c>
      <c r="N463" s="450" t="str">
        <f ca="1"/>
        <v/>
      </c>
    </row>
    <row r="464" spans="1:14">
      <c r="A464" s="5"/>
      <c r="B464" s="249"/>
      <c r="C464" s="382" t="str">
        <f ca="1"/>
        <v/>
      </c>
      <c r="D464" s="491" t="str">
        <f ca="1"/>
        <v/>
      </c>
      <c r="E464" s="508" t="str">
        <f ca="1"/>
        <v/>
      </c>
      <c r="F464" s="491" t="str">
        <f ca="1"/>
        <v/>
      </c>
      <c r="G464" s="492" t="str">
        <f ca="1"/>
        <v/>
      </c>
      <c r="H464" s="492" t="str">
        <f ca="1"/>
        <v/>
      </c>
      <c r="I464" s="492" t="str">
        <f ca="1"/>
        <v/>
      </c>
      <c r="J464" s="492" t="str">
        <f ca="1"/>
        <v/>
      </c>
      <c r="K464" s="508" t="str">
        <f ca="1"/>
        <v/>
      </c>
      <c r="L464" s="515" t="str">
        <f ca="1"/>
        <v/>
      </c>
      <c r="M464" s="450" t="str">
        <f ca="1"/>
        <v/>
      </c>
      <c r="N464" s="450" t="str">
        <f ca="1"/>
        <v/>
      </c>
    </row>
    <row r="465" spans="1:14">
      <c r="A465" s="5"/>
      <c r="B465" s="249"/>
      <c r="C465" s="382" t="str">
        <f ca="1"/>
        <v/>
      </c>
      <c r="D465" s="491" t="str">
        <f ca="1"/>
        <v/>
      </c>
      <c r="E465" s="508" t="str">
        <f ca="1"/>
        <v/>
      </c>
      <c r="F465" s="491" t="str">
        <f ca="1"/>
        <v/>
      </c>
      <c r="G465" s="492" t="str">
        <f ca="1"/>
        <v/>
      </c>
      <c r="H465" s="492" t="str">
        <f ca="1"/>
        <v/>
      </c>
      <c r="I465" s="492" t="str">
        <f ca="1"/>
        <v/>
      </c>
      <c r="J465" s="492" t="str">
        <f ca="1"/>
        <v/>
      </c>
      <c r="K465" s="508" t="str">
        <f ca="1"/>
        <v/>
      </c>
      <c r="L465" s="515" t="str">
        <f ca="1"/>
        <v/>
      </c>
      <c r="M465" s="450" t="str">
        <f ca="1"/>
        <v/>
      </c>
      <c r="N465" s="450" t="str">
        <f ca="1"/>
        <v/>
      </c>
    </row>
    <row r="466" spans="1:14">
      <c r="A466" s="5"/>
      <c r="B466" s="249"/>
      <c r="C466" s="384" t="str">
        <f ca="1"/>
        <v/>
      </c>
      <c r="D466" s="491" t="str">
        <f ca="1"/>
        <v/>
      </c>
      <c r="E466" s="508" t="str">
        <f ca="1"/>
        <v/>
      </c>
      <c r="F466" s="491" t="str">
        <f ca="1"/>
        <v/>
      </c>
      <c r="G466" s="492" t="str">
        <f ca="1"/>
        <v/>
      </c>
      <c r="H466" s="492" t="str">
        <f ca="1"/>
        <v/>
      </c>
      <c r="I466" s="492" t="str">
        <f ca="1"/>
        <v/>
      </c>
      <c r="J466" s="492" t="str">
        <f ca="1"/>
        <v/>
      </c>
      <c r="K466" s="508" t="str">
        <f ca="1"/>
        <v/>
      </c>
      <c r="L466" s="515" t="str">
        <f ca="1"/>
        <v/>
      </c>
      <c r="M466" s="450" t="str">
        <f ca="1"/>
        <v/>
      </c>
      <c r="N466" s="450" t="str">
        <f ca="1"/>
        <v/>
      </c>
    </row>
    <row r="467" spans="1:14">
      <c r="A467" s="5"/>
      <c r="B467" s="249"/>
      <c r="C467" s="384" t="str">
        <f ca="1"/>
        <v/>
      </c>
      <c r="D467" s="491" t="str">
        <f ca="1"/>
        <v/>
      </c>
      <c r="E467" s="508" t="str">
        <f ca="1"/>
        <v/>
      </c>
      <c r="F467" s="491" t="str">
        <f ca="1"/>
        <v/>
      </c>
      <c r="G467" s="492" t="str">
        <f ca="1"/>
        <v/>
      </c>
      <c r="H467" s="492" t="str">
        <f ca="1"/>
        <v/>
      </c>
      <c r="I467" s="492" t="str">
        <f ca="1"/>
        <v/>
      </c>
      <c r="J467" s="492" t="str">
        <f ca="1"/>
        <v/>
      </c>
      <c r="K467" s="508" t="str">
        <f ca="1"/>
        <v/>
      </c>
      <c r="L467" s="515" t="str">
        <f ca="1"/>
        <v/>
      </c>
      <c r="M467" s="450" t="str">
        <f ca="1"/>
        <v/>
      </c>
      <c r="N467" s="450" t="str">
        <f ca="1"/>
        <v/>
      </c>
    </row>
    <row r="468" spans="1:14">
      <c r="A468" s="5"/>
      <c r="B468" s="249"/>
      <c r="C468" s="384" t="str">
        <f ca="1"/>
        <v/>
      </c>
      <c r="D468" s="491" t="str">
        <f ca="1"/>
        <v/>
      </c>
      <c r="E468" s="508" t="str">
        <f ca="1"/>
        <v/>
      </c>
      <c r="F468" s="491" t="str">
        <f ca="1"/>
        <v/>
      </c>
      <c r="G468" s="492" t="str">
        <f ca="1"/>
        <v/>
      </c>
      <c r="H468" s="492" t="str">
        <f ca="1"/>
        <v/>
      </c>
      <c r="I468" s="492" t="str">
        <f ca="1"/>
        <v/>
      </c>
      <c r="J468" s="492" t="str">
        <f ca="1"/>
        <v/>
      </c>
      <c r="K468" s="508" t="str">
        <f ca="1"/>
        <v/>
      </c>
      <c r="L468" s="515" t="str">
        <f ca="1"/>
        <v/>
      </c>
      <c r="M468" s="450" t="str">
        <f ca="1"/>
        <v/>
      </c>
      <c r="N468" s="450" t="str">
        <f ca="1"/>
        <v/>
      </c>
    </row>
    <row r="469" spans="1:14">
      <c r="A469" s="5"/>
      <c r="B469" s="249"/>
      <c r="C469" s="384" t="str">
        <f ca="1"/>
        <v/>
      </c>
      <c r="D469" s="491" t="str">
        <f ca="1"/>
        <v/>
      </c>
      <c r="E469" s="508" t="str">
        <f ca="1"/>
        <v/>
      </c>
      <c r="F469" s="491" t="str">
        <f ca="1"/>
        <v/>
      </c>
      <c r="G469" s="492" t="str">
        <f ca="1"/>
        <v/>
      </c>
      <c r="H469" s="492" t="str">
        <f ca="1"/>
        <v/>
      </c>
      <c r="I469" s="492" t="str">
        <f ca="1"/>
        <v/>
      </c>
      <c r="J469" s="492" t="str">
        <f ca="1"/>
        <v/>
      </c>
      <c r="K469" s="508" t="str">
        <f ca="1"/>
        <v/>
      </c>
      <c r="L469" s="515" t="str">
        <f ca="1"/>
        <v/>
      </c>
      <c r="M469" s="450" t="str">
        <f ca="1"/>
        <v/>
      </c>
      <c r="N469" s="450" t="str">
        <f ca="1"/>
        <v/>
      </c>
    </row>
    <row r="470" spans="1:14">
      <c r="A470" s="5"/>
      <c r="B470" s="249"/>
      <c r="C470" s="384" t="str">
        <f ca="1"/>
        <v/>
      </c>
      <c r="D470" s="491" t="str">
        <f ca="1"/>
        <v/>
      </c>
      <c r="E470" s="508" t="str">
        <f ca="1"/>
        <v/>
      </c>
      <c r="F470" s="491" t="str">
        <f ca="1"/>
        <v/>
      </c>
      <c r="G470" s="492" t="str">
        <f ca="1"/>
        <v/>
      </c>
      <c r="H470" s="492" t="str">
        <f ca="1"/>
        <v/>
      </c>
      <c r="I470" s="492" t="str">
        <f ca="1"/>
        <v/>
      </c>
      <c r="J470" s="492" t="str">
        <f ca="1"/>
        <v/>
      </c>
      <c r="K470" s="508" t="str">
        <f ca="1"/>
        <v/>
      </c>
      <c r="L470" s="515" t="str">
        <f ca="1"/>
        <v/>
      </c>
      <c r="M470" s="450" t="str">
        <f ca="1"/>
        <v/>
      </c>
      <c r="N470" s="450" t="str">
        <f ca="1"/>
        <v/>
      </c>
    </row>
    <row r="471" spans="1:14">
      <c r="A471" s="5"/>
      <c r="B471" s="249"/>
      <c r="C471" s="12"/>
      <c r="D471" s="491"/>
      <c r="E471" s="508"/>
      <c r="F471" s="491"/>
      <c r="G471" s="492"/>
      <c r="H471" s="492"/>
      <c r="I471" s="492"/>
      <c r="J471" s="492"/>
      <c r="K471" s="508"/>
      <c r="L471" s="515"/>
      <c r="M471" s="450"/>
      <c r="N471" s="450"/>
    </row>
    <row r="472" spans="1:14">
      <c r="A472" s="5"/>
      <c r="B472" s="249" t="str">
        <f ca="1">+'I-4 History'!B354</f>
        <v>A-15</v>
      </c>
      <c r="C472" s="14" t="str">
        <f ca="1">+'I-4 History'!C354</f>
        <v>Purchasing and Contracts</v>
      </c>
      <c r="D472" s="491"/>
      <c r="E472" s="508"/>
      <c r="F472" s="491"/>
      <c r="G472" s="492"/>
      <c r="H472" s="492"/>
      <c r="I472" s="492"/>
      <c r="J472" s="492"/>
      <c r="K472" s="508"/>
      <c r="L472" s="515"/>
      <c r="M472" s="450"/>
      <c r="N472" s="450"/>
    </row>
    <row r="473" spans="1:14">
      <c r="A473" s="5"/>
      <c r="B473" s="249"/>
      <c r="C473" s="384" t="str">
        <f t="array" ref="C473:K482" ca="1">+'A-15'!$A$160:$I$169</f>
        <v>Step Change</v>
      </c>
      <c r="D473" s="491">
        <f ca="1"/>
        <v>0</v>
      </c>
      <c r="E473" s="508">
        <f ca="1"/>
        <v>0</v>
      </c>
      <c r="F473" s="491">
        <f ca="1"/>
        <v>0</v>
      </c>
      <c r="G473" s="492">
        <f ca="1"/>
        <v>0</v>
      </c>
      <c r="H473" s="492">
        <f ca="1"/>
        <v>0</v>
      </c>
      <c r="I473" s="492">
        <f ca="1"/>
        <v>0</v>
      </c>
      <c r="J473" s="492">
        <f ca="1"/>
        <v>0</v>
      </c>
      <c r="K473" s="508">
        <f ca="1"/>
        <v>0</v>
      </c>
      <c r="L473" s="515" t="str">
        <f t="array" ref="L473:N482" ca="1">+'A-15'!$K$160:$M$169</f>
        <v>Proposal Step Change</v>
      </c>
      <c r="M473" s="450" t="str">
        <f ca="1"/>
        <v>Refer Opex Workings</v>
      </c>
      <c r="N473" s="450" t="str">
        <f ca="1"/>
        <v>Proposal, October 2014</v>
      </c>
    </row>
    <row r="474" spans="1:14">
      <c r="A474" s="5"/>
      <c r="B474" s="249"/>
      <c r="C474" s="382" t="str">
        <f ca="1"/>
        <v/>
      </c>
      <c r="D474" s="491" t="str">
        <f ca="1"/>
        <v/>
      </c>
      <c r="E474" s="508" t="str">
        <f ca="1"/>
        <v/>
      </c>
      <c r="F474" s="491" t="str">
        <f ca="1"/>
        <v/>
      </c>
      <c r="G474" s="492" t="str">
        <f ca="1"/>
        <v/>
      </c>
      <c r="H474" s="492" t="str">
        <f ca="1"/>
        <v/>
      </c>
      <c r="I474" s="492" t="str">
        <f ca="1"/>
        <v/>
      </c>
      <c r="J474" s="492" t="str">
        <f ca="1"/>
        <v/>
      </c>
      <c r="K474" s="508" t="str">
        <f ca="1"/>
        <v/>
      </c>
      <c r="L474" s="515" t="str">
        <f ca="1"/>
        <v/>
      </c>
      <c r="M474" s="450" t="str">
        <f ca="1"/>
        <v/>
      </c>
      <c r="N474" s="450" t="str">
        <f ca="1"/>
        <v/>
      </c>
    </row>
    <row r="475" spans="1:14">
      <c r="A475" s="5"/>
      <c r="B475" s="249"/>
      <c r="C475" s="382" t="str">
        <f ca="1"/>
        <v/>
      </c>
      <c r="D475" s="491" t="str">
        <f ca="1"/>
        <v/>
      </c>
      <c r="E475" s="508" t="str">
        <f ca="1"/>
        <v/>
      </c>
      <c r="F475" s="491" t="str">
        <f ca="1"/>
        <v/>
      </c>
      <c r="G475" s="492" t="str">
        <f ca="1"/>
        <v/>
      </c>
      <c r="H475" s="492" t="str">
        <f ca="1"/>
        <v/>
      </c>
      <c r="I475" s="492" t="str">
        <f ca="1"/>
        <v/>
      </c>
      <c r="J475" s="492" t="str">
        <f ca="1"/>
        <v/>
      </c>
      <c r="K475" s="508" t="str">
        <f ca="1"/>
        <v/>
      </c>
      <c r="L475" s="515" t="str">
        <f ca="1"/>
        <v/>
      </c>
      <c r="M475" s="450" t="str">
        <f ca="1"/>
        <v/>
      </c>
      <c r="N475" s="450" t="str">
        <f ca="1"/>
        <v/>
      </c>
    </row>
    <row r="476" spans="1:14">
      <c r="A476" s="5"/>
      <c r="B476" s="249"/>
      <c r="C476" s="382" t="str">
        <f ca="1"/>
        <v/>
      </c>
      <c r="D476" s="491" t="str">
        <f ca="1"/>
        <v/>
      </c>
      <c r="E476" s="508" t="str">
        <f ca="1"/>
        <v/>
      </c>
      <c r="F476" s="491" t="str">
        <f ca="1"/>
        <v/>
      </c>
      <c r="G476" s="492" t="str">
        <f ca="1"/>
        <v/>
      </c>
      <c r="H476" s="492" t="str">
        <f ca="1"/>
        <v/>
      </c>
      <c r="I476" s="492" t="str">
        <f ca="1"/>
        <v/>
      </c>
      <c r="J476" s="492" t="str">
        <f ca="1"/>
        <v/>
      </c>
      <c r="K476" s="508" t="str">
        <f ca="1"/>
        <v/>
      </c>
      <c r="L476" s="515" t="str">
        <f ca="1"/>
        <v/>
      </c>
      <c r="M476" s="450" t="str">
        <f ca="1"/>
        <v/>
      </c>
      <c r="N476" s="450" t="str">
        <f ca="1"/>
        <v/>
      </c>
    </row>
    <row r="477" spans="1:14">
      <c r="A477" s="5"/>
      <c r="B477" s="249"/>
      <c r="C477" s="382" t="str">
        <f ca="1"/>
        <v/>
      </c>
      <c r="D477" s="491" t="str">
        <f ca="1"/>
        <v/>
      </c>
      <c r="E477" s="508" t="str">
        <f ca="1"/>
        <v/>
      </c>
      <c r="F477" s="491" t="str">
        <f ca="1"/>
        <v/>
      </c>
      <c r="G477" s="492" t="str">
        <f ca="1"/>
        <v/>
      </c>
      <c r="H477" s="492" t="str">
        <f ca="1"/>
        <v/>
      </c>
      <c r="I477" s="492" t="str">
        <f ca="1"/>
        <v/>
      </c>
      <c r="J477" s="492" t="str">
        <f ca="1"/>
        <v/>
      </c>
      <c r="K477" s="508" t="str">
        <f ca="1"/>
        <v/>
      </c>
      <c r="L477" s="515" t="str">
        <f ca="1"/>
        <v/>
      </c>
      <c r="M477" s="450" t="str">
        <f ca="1"/>
        <v/>
      </c>
      <c r="N477" s="450" t="str">
        <f ca="1"/>
        <v/>
      </c>
    </row>
    <row r="478" spans="1:14">
      <c r="A478" s="5"/>
      <c r="B478" s="249"/>
      <c r="C478" s="384" t="str">
        <f ca="1"/>
        <v/>
      </c>
      <c r="D478" s="491" t="str">
        <f ca="1"/>
        <v/>
      </c>
      <c r="E478" s="508" t="str">
        <f ca="1"/>
        <v/>
      </c>
      <c r="F478" s="491" t="str">
        <f ca="1"/>
        <v/>
      </c>
      <c r="G478" s="492" t="str">
        <f ca="1"/>
        <v/>
      </c>
      <c r="H478" s="492" t="str">
        <f ca="1"/>
        <v/>
      </c>
      <c r="I478" s="492" t="str">
        <f ca="1"/>
        <v/>
      </c>
      <c r="J478" s="492" t="str">
        <f ca="1"/>
        <v/>
      </c>
      <c r="K478" s="508" t="str">
        <f ca="1"/>
        <v/>
      </c>
      <c r="L478" s="515" t="str">
        <f ca="1"/>
        <v/>
      </c>
      <c r="M478" s="450" t="str">
        <f ca="1"/>
        <v/>
      </c>
      <c r="N478" s="450" t="str">
        <f ca="1"/>
        <v/>
      </c>
    </row>
    <row r="479" spans="1:14">
      <c r="A479" s="5"/>
      <c r="B479" s="249"/>
      <c r="C479" s="384" t="str">
        <f ca="1"/>
        <v/>
      </c>
      <c r="D479" s="491" t="str">
        <f ca="1"/>
        <v/>
      </c>
      <c r="E479" s="508" t="str">
        <f ca="1"/>
        <v/>
      </c>
      <c r="F479" s="491" t="str">
        <f ca="1"/>
        <v/>
      </c>
      <c r="G479" s="492" t="str">
        <f ca="1"/>
        <v/>
      </c>
      <c r="H479" s="492" t="str">
        <f ca="1"/>
        <v/>
      </c>
      <c r="I479" s="492" t="str">
        <f ca="1"/>
        <v/>
      </c>
      <c r="J479" s="492" t="str">
        <f ca="1"/>
        <v/>
      </c>
      <c r="K479" s="508" t="str">
        <f ca="1"/>
        <v/>
      </c>
      <c r="L479" s="515" t="str">
        <f ca="1"/>
        <v/>
      </c>
      <c r="M479" s="450" t="str">
        <f ca="1"/>
        <v/>
      </c>
      <c r="N479" s="450" t="str">
        <f ca="1"/>
        <v/>
      </c>
    </row>
    <row r="480" spans="1:14">
      <c r="A480" s="5"/>
      <c r="B480" s="249"/>
      <c r="C480" s="384" t="str">
        <f ca="1"/>
        <v/>
      </c>
      <c r="D480" s="491" t="str">
        <f ca="1"/>
        <v/>
      </c>
      <c r="E480" s="508" t="str">
        <f ca="1"/>
        <v/>
      </c>
      <c r="F480" s="491" t="str">
        <f ca="1"/>
        <v/>
      </c>
      <c r="G480" s="492" t="str">
        <f ca="1"/>
        <v/>
      </c>
      <c r="H480" s="492" t="str">
        <f ca="1"/>
        <v/>
      </c>
      <c r="I480" s="492" t="str">
        <f ca="1"/>
        <v/>
      </c>
      <c r="J480" s="492" t="str">
        <f ca="1"/>
        <v/>
      </c>
      <c r="K480" s="508" t="str">
        <f ca="1"/>
        <v/>
      </c>
      <c r="L480" s="515" t="str">
        <f ca="1"/>
        <v/>
      </c>
      <c r="M480" s="450" t="str">
        <f ca="1"/>
        <v/>
      </c>
      <c r="N480" s="450" t="str">
        <f ca="1"/>
        <v/>
      </c>
    </row>
    <row r="481" spans="1:14">
      <c r="A481" s="5"/>
      <c r="B481" s="249"/>
      <c r="C481" s="384" t="str">
        <f ca="1"/>
        <v/>
      </c>
      <c r="D481" s="491" t="str">
        <f ca="1"/>
        <v/>
      </c>
      <c r="E481" s="508" t="str">
        <f ca="1"/>
        <v/>
      </c>
      <c r="F481" s="491" t="str">
        <f ca="1"/>
        <v/>
      </c>
      <c r="G481" s="492" t="str">
        <f ca="1"/>
        <v/>
      </c>
      <c r="H481" s="492" t="str">
        <f ca="1"/>
        <v/>
      </c>
      <c r="I481" s="492" t="str">
        <f ca="1"/>
        <v/>
      </c>
      <c r="J481" s="492" t="str">
        <f ca="1"/>
        <v/>
      </c>
      <c r="K481" s="508" t="str">
        <f ca="1"/>
        <v/>
      </c>
      <c r="L481" s="515" t="str">
        <f ca="1"/>
        <v/>
      </c>
      <c r="M481" s="450" t="str">
        <f ca="1"/>
        <v/>
      </c>
      <c r="N481" s="450" t="str">
        <f ca="1"/>
        <v/>
      </c>
    </row>
    <row r="482" spans="1:14">
      <c r="A482" s="5"/>
      <c r="B482" s="249"/>
      <c r="C482" s="384" t="str">
        <f ca="1"/>
        <v/>
      </c>
      <c r="D482" s="491" t="str">
        <f ca="1"/>
        <v/>
      </c>
      <c r="E482" s="508" t="str">
        <f ca="1"/>
        <v/>
      </c>
      <c r="F482" s="491" t="str">
        <f ca="1"/>
        <v/>
      </c>
      <c r="G482" s="492" t="str">
        <f ca="1"/>
        <v/>
      </c>
      <c r="H482" s="492" t="str">
        <f ca="1"/>
        <v/>
      </c>
      <c r="I482" s="492" t="str">
        <f ca="1"/>
        <v/>
      </c>
      <c r="J482" s="492" t="str">
        <f ca="1"/>
        <v/>
      </c>
      <c r="K482" s="508" t="str">
        <f ca="1"/>
        <v/>
      </c>
      <c r="L482" s="515" t="str">
        <f ca="1"/>
        <v/>
      </c>
      <c r="M482" s="450" t="str">
        <f ca="1"/>
        <v/>
      </c>
      <c r="N482" s="450" t="str">
        <f ca="1"/>
        <v/>
      </c>
    </row>
    <row r="483" spans="1:14">
      <c r="A483" s="5"/>
      <c r="B483" s="249" t="str">
        <f ca="1">+'I-4 History'!B363</f>
        <v>A-16</v>
      </c>
      <c r="C483" s="14" t="str">
        <f ca="1">+'I-4 History'!C363</f>
        <v>Finance - Adjustments</v>
      </c>
      <c r="D483" s="491"/>
      <c r="E483" s="508"/>
      <c r="F483" s="491"/>
      <c r="G483" s="492"/>
      <c r="H483" s="492"/>
      <c r="I483" s="492"/>
      <c r="J483" s="492"/>
      <c r="K483" s="508"/>
      <c r="L483" s="515"/>
      <c r="M483" s="450"/>
      <c r="N483" s="450"/>
    </row>
    <row r="484" spans="1:14">
      <c r="A484" s="5"/>
      <c r="B484" s="249"/>
      <c r="C484" s="384" t="str">
        <f t="array" ref="C484:K493" ca="1">+'A-16'!$A$160:$I$169</f>
        <v>Step Change</v>
      </c>
      <c r="D484" s="491">
        <f ca="1"/>
        <v>0</v>
      </c>
      <c r="E484" s="508">
        <f ca="1"/>
        <v>0</v>
      </c>
      <c r="F484" s="491">
        <f ca="1"/>
        <v>0</v>
      </c>
      <c r="G484" s="492">
        <f ca="1"/>
        <v>0</v>
      </c>
      <c r="H484" s="492">
        <f ca="1"/>
        <v>0</v>
      </c>
      <c r="I484" s="492">
        <f ca="1"/>
        <v>0</v>
      </c>
      <c r="J484" s="492">
        <f ca="1"/>
        <v>0</v>
      </c>
      <c r="K484" s="508">
        <f ca="1"/>
        <v>0</v>
      </c>
      <c r="L484" s="515" t="str">
        <f t="array" ref="L484:N493" ca="1">+'A-16'!$K$160:$M$169</f>
        <v>Proposal Step Change</v>
      </c>
      <c r="M484" s="450" t="str">
        <f ca="1"/>
        <v>Refer Opex Workings</v>
      </c>
      <c r="N484" s="450" t="str">
        <f ca="1"/>
        <v>Proposal, October 2014</v>
      </c>
    </row>
    <row r="485" spans="1:14">
      <c r="A485" s="5"/>
      <c r="B485" s="249"/>
      <c r="C485" s="382" t="str">
        <f ca="1"/>
        <v/>
      </c>
      <c r="D485" s="491" t="str">
        <f ca="1"/>
        <v/>
      </c>
      <c r="E485" s="508" t="str">
        <f ca="1"/>
        <v/>
      </c>
      <c r="F485" s="491" t="str">
        <f ca="1"/>
        <v/>
      </c>
      <c r="G485" s="492" t="str">
        <f ca="1"/>
        <v/>
      </c>
      <c r="H485" s="492" t="str">
        <f ca="1"/>
        <v/>
      </c>
      <c r="I485" s="492" t="str">
        <f ca="1"/>
        <v/>
      </c>
      <c r="J485" s="492" t="str">
        <f ca="1"/>
        <v/>
      </c>
      <c r="K485" s="508" t="str">
        <f ca="1"/>
        <v/>
      </c>
      <c r="L485" s="515" t="str">
        <f ca="1"/>
        <v/>
      </c>
      <c r="M485" s="450" t="str">
        <f ca="1"/>
        <v/>
      </c>
      <c r="N485" s="450" t="str">
        <f ca="1"/>
        <v/>
      </c>
    </row>
    <row r="486" spans="1:14">
      <c r="A486" s="5"/>
      <c r="B486" s="249"/>
      <c r="C486" s="382" t="str">
        <f ca="1"/>
        <v/>
      </c>
      <c r="D486" s="491" t="str">
        <f ca="1"/>
        <v/>
      </c>
      <c r="E486" s="508" t="str">
        <f ca="1"/>
        <v/>
      </c>
      <c r="F486" s="491" t="str">
        <f ca="1"/>
        <v/>
      </c>
      <c r="G486" s="492" t="str">
        <f ca="1"/>
        <v/>
      </c>
      <c r="H486" s="492" t="str">
        <f ca="1"/>
        <v/>
      </c>
      <c r="I486" s="492" t="str">
        <f ca="1"/>
        <v/>
      </c>
      <c r="J486" s="492" t="str">
        <f ca="1"/>
        <v/>
      </c>
      <c r="K486" s="508" t="str">
        <f ca="1"/>
        <v/>
      </c>
      <c r="L486" s="515" t="str">
        <f ca="1"/>
        <v/>
      </c>
      <c r="M486" s="450" t="str">
        <f ca="1"/>
        <v/>
      </c>
      <c r="N486" s="450" t="str">
        <f ca="1"/>
        <v/>
      </c>
    </row>
    <row r="487" spans="1:14">
      <c r="A487" s="5"/>
      <c r="B487" s="249"/>
      <c r="C487" s="382" t="str">
        <f ca="1"/>
        <v/>
      </c>
      <c r="D487" s="491" t="str">
        <f ca="1"/>
        <v/>
      </c>
      <c r="E487" s="508" t="str">
        <f ca="1"/>
        <v/>
      </c>
      <c r="F487" s="491" t="str">
        <f ca="1"/>
        <v/>
      </c>
      <c r="G487" s="492" t="str">
        <f ca="1"/>
        <v/>
      </c>
      <c r="H487" s="492" t="str">
        <f ca="1"/>
        <v/>
      </c>
      <c r="I487" s="492" t="str">
        <f ca="1"/>
        <v/>
      </c>
      <c r="J487" s="492" t="str">
        <f ca="1"/>
        <v/>
      </c>
      <c r="K487" s="508" t="str">
        <f ca="1"/>
        <v/>
      </c>
      <c r="L487" s="515" t="str">
        <f ca="1"/>
        <v/>
      </c>
      <c r="M487" s="450" t="str">
        <f ca="1"/>
        <v/>
      </c>
      <c r="N487" s="450" t="str">
        <f ca="1"/>
        <v/>
      </c>
    </row>
    <row r="488" spans="1:14">
      <c r="A488" s="5"/>
      <c r="B488" s="249"/>
      <c r="C488" s="382" t="str">
        <f ca="1"/>
        <v/>
      </c>
      <c r="D488" s="491" t="str">
        <f ca="1"/>
        <v/>
      </c>
      <c r="E488" s="508" t="str">
        <f ca="1"/>
        <v/>
      </c>
      <c r="F488" s="491" t="str">
        <f ca="1"/>
        <v/>
      </c>
      <c r="G488" s="492" t="str">
        <f ca="1"/>
        <v/>
      </c>
      <c r="H488" s="492" t="str">
        <f ca="1"/>
        <v/>
      </c>
      <c r="I488" s="492" t="str">
        <f ca="1"/>
        <v/>
      </c>
      <c r="J488" s="492" t="str">
        <f ca="1"/>
        <v/>
      </c>
      <c r="K488" s="508" t="str">
        <f ca="1"/>
        <v/>
      </c>
      <c r="L488" s="515" t="str">
        <f ca="1"/>
        <v/>
      </c>
      <c r="M488" s="450" t="str">
        <f ca="1"/>
        <v/>
      </c>
      <c r="N488" s="450" t="str">
        <f ca="1"/>
        <v/>
      </c>
    </row>
    <row r="489" spans="1:14">
      <c r="B489" s="249"/>
      <c r="C489" s="384" t="str">
        <f ca="1"/>
        <v/>
      </c>
      <c r="D489" s="491" t="str">
        <f ca="1"/>
        <v/>
      </c>
      <c r="E489" s="508" t="str">
        <f ca="1"/>
        <v/>
      </c>
      <c r="F489" s="491" t="str">
        <f ca="1"/>
        <v/>
      </c>
      <c r="G489" s="492" t="str">
        <f ca="1"/>
        <v/>
      </c>
      <c r="H489" s="492" t="str">
        <f ca="1"/>
        <v/>
      </c>
      <c r="I489" s="492" t="str">
        <f ca="1"/>
        <v/>
      </c>
      <c r="J489" s="492" t="str">
        <f ca="1"/>
        <v/>
      </c>
      <c r="K489" s="508" t="str">
        <f ca="1"/>
        <v/>
      </c>
      <c r="L489" s="515" t="str">
        <f ca="1"/>
        <v/>
      </c>
      <c r="M489" s="450" t="str">
        <f ca="1"/>
        <v/>
      </c>
      <c r="N489" s="450" t="str">
        <f ca="1"/>
        <v/>
      </c>
    </row>
    <row r="490" spans="1:14">
      <c r="B490" s="249"/>
      <c r="C490" s="384" t="str">
        <f ca="1"/>
        <v/>
      </c>
      <c r="D490" s="491" t="str">
        <f ca="1"/>
        <v/>
      </c>
      <c r="E490" s="508" t="str">
        <f ca="1"/>
        <v/>
      </c>
      <c r="F490" s="491" t="str">
        <f ca="1"/>
        <v/>
      </c>
      <c r="G490" s="492" t="str">
        <f ca="1"/>
        <v/>
      </c>
      <c r="H490" s="492" t="str">
        <f ca="1"/>
        <v/>
      </c>
      <c r="I490" s="492" t="str">
        <f ca="1"/>
        <v/>
      </c>
      <c r="J490" s="492" t="str">
        <f ca="1"/>
        <v/>
      </c>
      <c r="K490" s="508" t="str">
        <f ca="1"/>
        <v/>
      </c>
      <c r="L490" s="515" t="str">
        <f ca="1"/>
        <v/>
      </c>
      <c r="M490" s="450" t="str">
        <f ca="1"/>
        <v/>
      </c>
      <c r="N490" s="450" t="str">
        <f ca="1"/>
        <v/>
      </c>
    </row>
    <row r="491" spans="1:14">
      <c r="B491" s="249"/>
      <c r="C491" s="384" t="str">
        <f ca="1"/>
        <v/>
      </c>
      <c r="D491" s="491" t="str">
        <f ca="1"/>
        <v/>
      </c>
      <c r="E491" s="508" t="str">
        <f ca="1"/>
        <v/>
      </c>
      <c r="F491" s="491" t="str">
        <f ca="1"/>
        <v/>
      </c>
      <c r="G491" s="492" t="str">
        <f ca="1"/>
        <v/>
      </c>
      <c r="H491" s="492" t="str">
        <f ca="1"/>
        <v/>
      </c>
      <c r="I491" s="492" t="str">
        <f ca="1"/>
        <v/>
      </c>
      <c r="J491" s="492" t="str">
        <f ca="1"/>
        <v/>
      </c>
      <c r="K491" s="508" t="str">
        <f ca="1"/>
        <v/>
      </c>
      <c r="L491" s="515" t="str">
        <f ca="1"/>
        <v/>
      </c>
      <c r="M491" s="450" t="str">
        <f ca="1"/>
        <v/>
      </c>
      <c r="N491" s="450" t="str">
        <f ca="1"/>
        <v/>
      </c>
    </row>
    <row r="492" spans="1:14">
      <c r="B492" s="249"/>
      <c r="C492" s="384" t="str">
        <f ca="1"/>
        <v/>
      </c>
      <c r="D492" s="491" t="str">
        <f ca="1"/>
        <v/>
      </c>
      <c r="E492" s="508" t="str">
        <f ca="1"/>
        <v/>
      </c>
      <c r="F492" s="491" t="str">
        <f ca="1"/>
        <v/>
      </c>
      <c r="G492" s="492" t="str">
        <f ca="1"/>
        <v/>
      </c>
      <c r="H492" s="492" t="str">
        <f ca="1"/>
        <v/>
      </c>
      <c r="I492" s="492" t="str">
        <f ca="1"/>
        <v/>
      </c>
      <c r="J492" s="492" t="str">
        <f ca="1"/>
        <v/>
      </c>
      <c r="K492" s="508" t="str">
        <f ca="1"/>
        <v/>
      </c>
      <c r="L492" s="515" t="str">
        <f ca="1"/>
        <v/>
      </c>
      <c r="M492" s="450" t="str">
        <f ca="1"/>
        <v/>
      </c>
      <c r="N492" s="450" t="str">
        <f ca="1"/>
        <v/>
      </c>
    </row>
    <row r="493" spans="1:14">
      <c r="B493" s="249"/>
      <c r="C493" s="384" t="str">
        <f ca="1"/>
        <v/>
      </c>
      <c r="D493" s="491" t="str">
        <f ca="1"/>
        <v/>
      </c>
      <c r="E493" s="508" t="str">
        <f ca="1"/>
        <v/>
      </c>
      <c r="F493" s="491" t="str">
        <f ca="1"/>
        <v/>
      </c>
      <c r="G493" s="492" t="str">
        <f ca="1"/>
        <v/>
      </c>
      <c r="H493" s="492" t="str">
        <f ca="1"/>
        <v/>
      </c>
      <c r="I493" s="492" t="str">
        <f ca="1"/>
        <v/>
      </c>
      <c r="J493" s="492" t="str">
        <f ca="1"/>
        <v/>
      </c>
      <c r="K493" s="508" t="str">
        <f ca="1"/>
        <v/>
      </c>
      <c r="L493" s="515" t="str">
        <f ca="1"/>
        <v/>
      </c>
      <c r="M493" s="450" t="str">
        <f ca="1"/>
        <v/>
      </c>
      <c r="N493" s="450" t="str">
        <f ca="1"/>
        <v/>
      </c>
    </row>
    <row r="494" spans="1:14">
      <c r="B494" s="249"/>
      <c r="C494" s="12"/>
      <c r="D494" s="491"/>
      <c r="E494" s="508"/>
      <c r="F494" s="491"/>
      <c r="G494" s="492"/>
      <c r="H494" s="492"/>
      <c r="I494" s="492"/>
      <c r="J494" s="492"/>
      <c r="K494" s="508"/>
      <c r="L494" s="515"/>
      <c r="M494" s="450"/>
      <c r="N494" s="450"/>
    </row>
    <row r="495" spans="1:14" ht="17.25" customHeight="1" thickBot="1">
      <c r="A495" s="5"/>
      <c r="B495" s="250"/>
      <c r="C495" s="269" t="str">
        <f>CONCATENATE("Total ",+C375)</f>
        <v>Total Finance</v>
      </c>
      <c r="D495" s="315">
        <f ca="1">SUBTOTAL(9,D376:D494)</f>
        <v>0</v>
      </c>
      <c r="E495" s="500">
        <f ca="1">SUBTOTAL(9,E376:E494)</f>
        <v>0</v>
      </c>
      <c r="F495" s="314">
        <f t="shared" ref="F495:K495" ca="1" si="5">SUBTOTAL(9,F376:F494)</f>
        <v>0</v>
      </c>
      <c r="G495" s="315">
        <f t="shared" ca="1" si="5"/>
        <v>0</v>
      </c>
      <c r="H495" s="315">
        <f t="shared" ca="1" si="5"/>
        <v>0</v>
      </c>
      <c r="I495" s="315">
        <f t="shared" ca="1" si="5"/>
        <v>0</v>
      </c>
      <c r="J495" s="315">
        <f t="shared" ca="1" si="5"/>
        <v>0</v>
      </c>
      <c r="K495" s="500">
        <f t="shared" ca="1" si="5"/>
        <v>0</v>
      </c>
      <c r="L495" s="515"/>
      <c r="M495" s="450"/>
      <c r="N495" s="450"/>
    </row>
    <row r="496" spans="1:14" ht="18">
      <c r="B496" s="251"/>
      <c r="C496" s="255" t="str">
        <f>+'I-3 Allocated'!A21</f>
        <v>Corporate Services</v>
      </c>
      <c r="D496" s="332"/>
      <c r="E496" s="499"/>
      <c r="F496" s="332"/>
      <c r="G496" s="332"/>
      <c r="H496" s="332"/>
      <c r="I496" s="332"/>
      <c r="J496" s="332"/>
      <c r="K496" s="499"/>
      <c r="L496" s="515"/>
      <c r="M496" s="450"/>
      <c r="N496" s="450"/>
    </row>
    <row r="497" spans="1:14">
      <c r="A497" s="5"/>
      <c r="B497" s="249" t="str">
        <f ca="1">+'I-4 History'!B372</f>
        <v>A-17</v>
      </c>
      <c r="C497" s="14" t="str">
        <f ca="1">+'I-4 History'!C372</f>
        <v>General Manager Corporate Services</v>
      </c>
      <c r="D497" s="491"/>
      <c r="E497" s="508"/>
      <c r="F497" s="491"/>
      <c r="G497" s="492"/>
      <c r="H497" s="492"/>
      <c r="I497" s="492"/>
      <c r="J497" s="492"/>
      <c r="K497" s="508"/>
      <c r="L497" s="515"/>
      <c r="M497" s="450"/>
      <c r="N497" s="450"/>
    </row>
    <row r="498" spans="1:14">
      <c r="A498" s="5"/>
      <c r="B498" s="249"/>
      <c r="C498" s="384" t="str">
        <f t="array" ref="C498:K507" ca="1">+'A-17'!$A$160:$I$169</f>
        <v>Step Change</v>
      </c>
      <c r="D498" s="491">
        <f ca="1"/>
        <v>0</v>
      </c>
      <c r="E498" s="508">
        <f ca="1"/>
        <v>0</v>
      </c>
      <c r="F498" s="491">
        <f ca="1"/>
        <v>0</v>
      </c>
      <c r="G498" s="492">
        <f ca="1"/>
        <v>0</v>
      </c>
      <c r="H498" s="492">
        <f ca="1"/>
        <v>0</v>
      </c>
      <c r="I498" s="492">
        <f ca="1"/>
        <v>0</v>
      </c>
      <c r="J498" s="492">
        <f ca="1"/>
        <v>0</v>
      </c>
      <c r="K498" s="508">
        <f ca="1"/>
        <v>0</v>
      </c>
      <c r="L498" s="515" t="str">
        <f t="array" ref="L498:N507" ca="1">+'A-17'!$K$160:$M$169</f>
        <v>Proposal Step Change</v>
      </c>
      <c r="M498" s="450" t="str">
        <f ca="1"/>
        <v>Refer Opex Workings</v>
      </c>
      <c r="N498" s="450" t="str">
        <f ca="1"/>
        <v>Proposal, October 2014</v>
      </c>
    </row>
    <row r="499" spans="1:14">
      <c r="A499" s="5"/>
      <c r="B499" s="249"/>
      <c r="C499" s="382" t="str">
        <f ca="1"/>
        <v/>
      </c>
      <c r="D499" s="491" t="str">
        <f ca="1"/>
        <v/>
      </c>
      <c r="E499" s="508" t="str">
        <f ca="1"/>
        <v/>
      </c>
      <c r="F499" s="491" t="str">
        <f ca="1"/>
        <v/>
      </c>
      <c r="G499" s="492" t="str">
        <f ca="1"/>
        <v/>
      </c>
      <c r="H499" s="492" t="str">
        <f ca="1"/>
        <v/>
      </c>
      <c r="I499" s="492" t="str">
        <f ca="1"/>
        <v/>
      </c>
      <c r="J499" s="492" t="str">
        <f ca="1"/>
        <v/>
      </c>
      <c r="K499" s="508" t="str">
        <f ca="1"/>
        <v/>
      </c>
      <c r="L499" s="515" t="str">
        <f ca="1"/>
        <v/>
      </c>
      <c r="M499" s="450" t="str">
        <f ca="1"/>
        <v/>
      </c>
      <c r="N499" s="450" t="str">
        <f ca="1"/>
        <v/>
      </c>
    </row>
    <row r="500" spans="1:14">
      <c r="A500" s="5"/>
      <c r="B500" s="249"/>
      <c r="C500" s="382" t="str">
        <f ca="1"/>
        <v/>
      </c>
      <c r="D500" s="491" t="str">
        <f ca="1"/>
        <v/>
      </c>
      <c r="E500" s="508" t="str">
        <f ca="1"/>
        <v/>
      </c>
      <c r="F500" s="491" t="str">
        <f ca="1"/>
        <v/>
      </c>
      <c r="G500" s="492" t="str">
        <f ca="1"/>
        <v/>
      </c>
      <c r="H500" s="492" t="str">
        <f ca="1"/>
        <v/>
      </c>
      <c r="I500" s="492" t="str">
        <f ca="1"/>
        <v/>
      </c>
      <c r="J500" s="492" t="str">
        <f ca="1"/>
        <v/>
      </c>
      <c r="K500" s="508" t="str">
        <f ca="1"/>
        <v/>
      </c>
      <c r="L500" s="515" t="str">
        <f ca="1"/>
        <v/>
      </c>
      <c r="M500" s="450" t="str">
        <f ca="1"/>
        <v/>
      </c>
      <c r="N500" s="450" t="str">
        <f ca="1"/>
        <v/>
      </c>
    </row>
    <row r="501" spans="1:14">
      <c r="A501" s="5"/>
      <c r="B501" s="249"/>
      <c r="C501" s="382" t="str">
        <f ca="1"/>
        <v/>
      </c>
      <c r="D501" s="491" t="str">
        <f ca="1"/>
        <v/>
      </c>
      <c r="E501" s="508" t="str">
        <f ca="1"/>
        <v/>
      </c>
      <c r="F501" s="491" t="str">
        <f ca="1"/>
        <v/>
      </c>
      <c r="G501" s="492" t="str">
        <f ca="1"/>
        <v/>
      </c>
      <c r="H501" s="492" t="str">
        <f ca="1"/>
        <v/>
      </c>
      <c r="I501" s="492" t="str">
        <f ca="1"/>
        <v/>
      </c>
      <c r="J501" s="492" t="str">
        <f ca="1"/>
        <v/>
      </c>
      <c r="K501" s="508" t="str">
        <f ca="1"/>
        <v/>
      </c>
      <c r="L501" s="515" t="str">
        <f ca="1"/>
        <v/>
      </c>
      <c r="M501" s="450" t="str">
        <f ca="1"/>
        <v/>
      </c>
      <c r="N501" s="450" t="str">
        <f ca="1"/>
        <v/>
      </c>
    </row>
    <row r="502" spans="1:14">
      <c r="A502" s="5"/>
      <c r="B502" s="249"/>
      <c r="C502" s="382" t="str">
        <f ca="1"/>
        <v/>
      </c>
      <c r="D502" s="491" t="str">
        <f ca="1"/>
        <v/>
      </c>
      <c r="E502" s="508" t="str">
        <f ca="1"/>
        <v/>
      </c>
      <c r="F502" s="491" t="str">
        <f ca="1"/>
        <v/>
      </c>
      <c r="G502" s="492" t="str">
        <f ca="1"/>
        <v/>
      </c>
      <c r="H502" s="492" t="str">
        <f ca="1"/>
        <v/>
      </c>
      <c r="I502" s="492" t="str">
        <f ca="1"/>
        <v/>
      </c>
      <c r="J502" s="492" t="str">
        <f ca="1"/>
        <v/>
      </c>
      <c r="K502" s="508" t="str">
        <f ca="1"/>
        <v/>
      </c>
      <c r="L502" s="515" t="str">
        <f ca="1"/>
        <v/>
      </c>
      <c r="M502" s="450" t="str">
        <f ca="1"/>
        <v/>
      </c>
      <c r="N502" s="450" t="str">
        <f ca="1"/>
        <v/>
      </c>
    </row>
    <row r="503" spans="1:14">
      <c r="A503" s="5"/>
      <c r="B503" s="249"/>
      <c r="C503" s="384" t="str">
        <f ca="1"/>
        <v/>
      </c>
      <c r="D503" s="491" t="str">
        <f ca="1"/>
        <v/>
      </c>
      <c r="E503" s="508" t="str">
        <f ca="1"/>
        <v/>
      </c>
      <c r="F503" s="491" t="str">
        <f ca="1"/>
        <v/>
      </c>
      <c r="G503" s="492" t="str">
        <f ca="1"/>
        <v/>
      </c>
      <c r="H503" s="492" t="str">
        <f ca="1"/>
        <v/>
      </c>
      <c r="I503" s="492" t="str">
        <f ca="1"/>
        <v/>
      </c>
      <c r="J503" s="492" t="str">
        <f ca="1"/>
        <v/>
      </c>
      <c r="K503" s="508" t="str">
        <f ca="1"/>
        <v/>
      </c>
      <c r="L503" s="515" t="str">
        <f ca="1"/>
        <v/>
      </c>
      <c r="M503" s="450" t="str">
        <f ca="1"/>
        <v/>
      </c>
      <c r="N503" s="450" t="str">
        <f ca="1"/>
        <v/>
      </c>
    </row>
    <row r="504" spans="1:14">
      <c r="A504" s="5"/>
      <c r="B504" s="249"/>
      <c r="C504" s="384" t="str">
        <f ca="1"/>
        <v/>
      </c>
      <c r="D504" s="491" t="str">
        <f ca="1"/>
        <v/>
      </c>
      <c r="E504" s="508" t="str">
        <f ca="1"/>
        <v/>
      </c>
      <c r="F504" s="491" t="str">
        <f ca="1"/>
        <v/>
      </c>
      <c r="G504" s="492" t="str">
        <f ca="1"/>
        <v/>
      </c>
      <c r="H504" s="492" t="str">
        <f ca="1"/>
        <v/>
      </c>
      <c r="I504" s="492" t="str">
        <f ca="1"/>
        <v/>
      </c>
      <c r="J504" s="492" t="str">
        <f ca="1"/>
        <v/>
      </c>
      <c r="K504" s="508" t="str">
        <f ca="1"/>
        <v/>
      </c>
      <c r="L504" s="515" t="str">
        <f ca="1"/>
        <v/>
      </c>
      <c r="M504" s="450" t="str">
        <f ca="1"/>
        <v/>
      </c>
      <c r="N504" s="450" t="str">
        <f ca="1"/>
        <v/>
      </c>
    </row>
    <row r="505" spans="1:14">
      <c r="A505" s="5"/>
      <c r="B505" s="249"/>
      <c r="C505" s="384" t="str">
        <f ca="1"/>
        <v/>
      </c>
      <c r="D505" s="491" t="str">
        <f ca="1"/>
        <v/>
      </c>
      <c r="E505" s="508" t="str">
        <f ca="1"/>
        <v/>
      </c>
      <c r="F505" s="491" t="str">
        <f ca="1"/>
        <v/>
      </c>
      <c r="G505" s="492" t="str">
        <f ca="1"/>
        <v/>
      </c>
      <c r="H505" s="492" t="str">
        <f ca="1"/>
        <v/>
      </c>
      <c r="I505" s="492" t="str">
        <f ca="1"/>
        <v/>
      </c>
      <c r="J505" s="492" t="str">
        <f ca="1"/>
        <v/>
      </c>
      <c r="K505" s="508" t="str">
        <f ca="1"/>
        <v/>
      </c>
      <c r="L505" s="515" t="str">
        <f ca="1"/>
        <v/>
      </c>
      <c r="M505" s="450" t="str">
        <f ca="1"/>
        <v/>
      </c>
      <c r="N505" s="450" t="str">
        <f ca="1"/>
        <v/>
      </c>
    </row>
    <row r="506" spans="1:14">
      <c r="A506" s="5"/>
      <c r="B506" s="249"/>
      <c r="C506" s="384" t="str">
        <f ca="1"/>
        <v/>
      </c>
      <c r="D506" s="491" t="str">
        <f ca="1"/>
        <v/>
      </c>
      <c r="E506" s="508" t="str">
        <f ca="1"/>
        <v/>
      </c>
      <c r="F506" s="491" t="str">
        <f ca="1"/>
        <v/>
      </c>
      <c r="G506" s="492" t="str">
        <f ca="1"/>
        <v/>
      </c>
      <c r="H506" s="492" t="str">
        <f ca="1"/>
        <v/>
      </c>
      <c r="I506" s="492" t="str">
        <f ca="1"/>
        <v/>
      </c>
      <c r="J506" s="492" t="str">
        <f ca="1"/>
        <v/>
      </c>
      <c r="K506" s="508" t="str">
        <f ca="1"/>
        <v/>
      </c>
      <c r="L506" s="515" t="str">
        <f ca="1"/>
        <v/>
      </c>
      <c r="M506" s="450" t="str">
        <f ca="1"/>
        <v/>
      </c>
      <c r="N506" s="450" t="str">
        <f ca="1"/>
        <v/>
      </c>
    </row>
    <row r="507" spans="1:14">
      <c r="A507" s="5"/>
      <c r="B507" s="249"/>
      <c r="C507" s="384" t="str">
        <f ca="1"/>
        <v/>
      </c>
      <c r="D507" s="491" t="str">
        <f ca="1"/>
        <v/>
      </c>
      <c r="E507" s="508" t="str">
        <f ca="1"/>
        <v/>
      </c>
      <c r="F507" s="491" t="str">
        <f ca="1"/>
        <v/>
      </c>
      <c r="G507" s="492" t="str">
        <f ca="1"/>
        <v/>
      </c>
      <c r="H507" s="492" t="str">
        <f ca="1"/>
        <v/>
      </c>
      <c r="I507" s="492" t="str">
        <f ca="1"/>
        <v/>
      </c>
      <c r="J507" s="492" t="str">
        <f ca="1"/>
        <v/>
      </c>
      <c r="K507" s="508" t="str">
        <f ca="1"/>
        <v/>
      </c>
      <c r="L507" s="515" t="str">
        <f ca="1"/>
        <v/>
      </c>
      <c r="M507" s="450" t="str">
        <f ca="1"/>
        <v/>
      </c>
      <c r="N507" s="450" t="str">
        <f ca="1"/>
        <v/>
      </c>
    </row>
    <row r="508" spans="1:14">
      <c r="A508" s="5"/>
      <c r="B508" s="249"/>
      <c r="C508" s="384"/>
      <c r="D508" s="491"/>
      <c r="E508" s="508"/>
      <c r="F508" s="491"/>
      <c r="G508" s="492"/>
      <c r="H508" s="492"/>
      <c r="I508" s="492"/>
      <c r="J508" s="492"/>
      <c r="K508" s="508"/>
      <c r="L508" s="515"/>
      <c r="M508" s="450"/>
      <c r="N508" s="450"/>
    </row>
    <row r="509" spans="1:14">
      <c r="A509" s="5"/>
      <c r="B509" s="249" t="str">
        <f ca="1">+'I-4 History'!B381</f>
        <v>A-18</v>
      </c>
      <c r="C509" s="14" t="str">
        <f ca="1">+'I-4 History'!C381</f>
        <v>Employee Relations</v>
      </c>
      <c r="D509" s="491"/>
      <c r="E509" s="508"/>
      <c r="F509" s="491"/>
      <c r="G509" s="492"/>
      <c r="H509" s="492"/>
      <c r="I509" s="492"/>
      <c r="J509" s="492"/>
      <c r="K509" s="508"/>
      <c r="L509" s="515"/>
      <c r="M509" s="450"/>
      <c r="N509" s="450"/>
    </row>
    <row r="510" spans="1:14">
      <c r="A510" s="5"/>
      <c r="B510" s="249"/>
      <c r="C510" s="384" t="str">
        <f t="array" ref="C510:K519" ca="1">+'A-18'!$A$160:$I$169</f>
        <v>Step Change</v>
      </c>
      <c r="D510" s="491">
        <f ca="1"/>
        <v>0</v>
      </c>
      <c r="E510" s="508">
        <f ca="1"/>
        <v>0</v>
      </c>
      <c r="F510" s="491">
        <f ca="1"/>
        <v>0</v>
      </c>
      <c r="G510" s="492">
        <f ca="1"/>
        <v>0</v>
      </c>
      <c r="H510" s="492">
        <f ca="1"/>
        <v>0</v>
      </c>
      <c r="I510" s="492">
        <f ca="1"/>
        <v>0</v>
      </c>
      <c r="J510" s="492">
        <f ca="1"/>
        <v>0</v>
      </c>
      <c r="K510" s="508">
        <f ca="1"/>
        <v>0</v>
      </c>
      <c r="L510" s="515" t="str">
        <f t="array" ref="L510:N519" ca="1">+'A-18'!$K$160:$M$169</f>
        <v>Proposal Step Change</v>
      </c>
      <c r="M510" s="450" t="str">
        <f ca="1"/>
        <v>Refer Opex Workings</v>
      </c>
      <c r="N510" s="450" t="str">
        <f ca="1"/>
        <v>Proposal, October 2014</v>
      </c>
    </row>
    <row r="511" spans="1:14">
      <c r="A511" s="5"/>
      <c r="B511" s="249"/>
      <c r="C511" s="382" t="str">
        <f ca="1"/>
        <v/>
      </c>
      <c r="D511" s="491" t="str">
        <f ca="1"/>
        <v/>
      </c>
      <c r="E511" s="508" t="str">
        <f ca="1"/>
        <v/>
      </c>
      <c r="F511" s="491" t="str">
        <f ca="1"/>
        <v/>
      </c>
      <c r="G511" s="492" t="str">
        <f ca="1"/>
        <v/>
      </c>
      <c r="H511" s="492" t="str">
        <f ca="1"/>
        <v/>
      </c>
      <c r="I511" s="492" t="str">
        <f ca="1"/>
        <v/>
      </c>
      <c r="J511" s="492" t="str">
        <f ca="1"/>
        <v/>
      </c>
      <c r="K511" s="508" t="str">
        <f ca="1"/>
        <v/>
      </c>
      <c r="L511" s="515" t="str">
        <f ca="1"/>
        <v/>
      </c>
      <c r="M511" s="450" t="str">
        <f ca="1"/>
        <v/>
      </c>
      <c r="N511" s="450" t="str">
        <f ca="1"/>
        <v/>
      </c>
    </row>
    <row r="512" spans="1:14">
      <c r="A512" s="5"/>
      <c r="B512" s="249"/>
      <c r="C512" s="382" t="str">
        <f ca="1"/>
        <v/>
      </c>
      <c r="D512" s="491" t="str">
        <f ca="1"/>
        <v/>
      </c>
      <c r="E512" s="508" t="str">
        <f ca="1"/>
        <v/>
      </c>
      <c r="F512" s="491" t="str">
        <f ca="1"/>
        <v/>
      </c>
      <c r="G512" s="492" t="str">
        <f ca="1"/>
        <v/>
      </c>
      <c r="H512" s="492" t="str">
        <f ca="1"/>
        <v/>
      </c>
      <c r="I512" s="492" t="str">
        <f ca="1"/>
        <v/>
      </c>
      <c r="J512" s="492" t="str">
        <f ca="1"/>
        <v/>
      </c>
      <c r="K512" s="508" t="str">
        <f ca="1"/>
        <v/>
      </c>
      <c r="L512" s="515" t="str">
        <f ca="1"/>
        <v/>
      </c>
      <c r="M512" s="450" t="str">
        <f ca="1"/>
        <v/>
      </c>
      <c r="N512" s="450" t="str">
        <f ca="1"/>
        <v/>
      </c>
    </row>
    <row r="513" spans="1:14">
      <c r="A513" s="5"/>
      <c r="B513" s="249"/>
      <c r="C513" s="382" t="str">
        <f ca="1"/>
        <v/>
      </c>
      <c r="D513" s="491" t="str">
        <f ca="1"/>
        <v/>
      </c>
      <c r="E513" s="508" t="str">
        <f ca="1"/>
        <v/>
      </c>
      <c r="F513" s="491" t="str">
        <f ca="1"/>
        <v/>
      </c>
      <c r="G513" s="492" t="str">
        <f ca="1"/>
        <v/>
      </c>
      <c r="H513" s="492" t="str">
        <f ca="1"/>
        <v/>
      </c>
      <c r="I513" s="492" t="str">
        <f ca="1"/>
        <v/>
      </c>
      <c r="J513" s="492" t="str">
        <f ca="1"/>
        <v/>
      </c>
      <c r="K513" s="508" t="str">
        <f ca="1"/>
        <v/>
      </c>
      <c r="L513" s="515" t="str">
        <f ca="1"/>
        <v/>
      </c>
      <c r="M513" s="450" t="str">
        <f ca="1"/>
        <v/>
      </c>
      <c r="N513" s="450" t="str">
        <f ca="1"/>
        <v/>
      </c>
    </row>
    <row r="514" spans="1:14">
      <c r="A514" s="5"/>
      <c r="B514" s="249"/>
      <c r="C514" s="382" t="str">
        <f ca="1"/>
        <v/>
      </c>
      <c r="D514" s="491" t="str">
        <f ca="1"/>
        <v/>
      </c>
      <c r="E514" s="508" t="str">
        <f ca="1"/>
        <v/>
      </c>
      <c r="F514" s="491" t="str">
        <f ca="1"/>
        <v/>
      </c>
      <c r="G514" s="492" t="str">
        <f ca="1"/>
        <v/>
      </c>
      <c r="H514" s="492" t="str">
        <f ca="1"/>
        <v/>
      </c>
      <c r="I514" s="492" t="str">
        <f ca="1"/>
        <v/>
      </c>
      <c r="J514" s="492" t="str">
        <f ca="1"/>
        <v/>
      </c>
      <c r="K514" s="508" t="str">
        <f ca="1"/>
        <v/>
      </c>
      <c r="L514" s="515" t="str">
        <f ca="1"/>
        <v/>
      </c>
      <c r="M514" s="450" t="str">
        <f ca="1"/>
        <v/>
      </c>
      <c r="N514" s="450" t="str">
        <f ca="1"/>
        <v/>
      </c>
    </row>
    <row r="515" spans="1:14">
      <c r="A515" s="5"/>
      <c r="B515" s="249"/>
      <c r="C515" s="384" t="str">
        <f ca="1"/>
        <v/>
      </c>
      <c r="D515" s="491" t="str">
        <f ca="1"/>
        <v/>
      </c>
      <c r="E515" s="508" t="str">
        <f ca="1"/>
        <v/>
      </c>
      <c r="F515" s="491" t="str">
        <f ca="1"/>
        <v/>
      </c>
      <c r="G515" s="492" t="str">
        <f ca="1"/>
        <v/>
      </c>
      <c r="H515" s="492" t="str">
        <f ca="1"/>
        <v/>
      </c>
      <c r="I515" s="492" t="str">
        <f ca="1"/>
        <v/>
      </c>
      <c r="J515" s="492" t="str">
        <f ca="1"/>
        <v/>
      </c>
      <c r="K515" s="508" t="str">
        <f ca="1"/>
        <v/>
      </c>
      <c r="L515" s="515" t="str">
        <f ca="1"/>
        <v/>
      </c>
      <c r="M515" s="450" t="str">
        <f ca="1"/>
        <v/>
      </c>
      <c r="N515" s="450" t="str">
        <f ca="1"/>
        <v/>
      </c>
    </row>
    <row r="516" spans="1:14">
      <c r="A516" s="5"/>
      <c r="B516" s="249"/>
      <c r="C516" s="384" t="str">
        <f ca="1"/>
        <v/>
      </c>
      <c r="D516" s="491" t="str">
        <f ca="1"/>
        <v/>
      </c>
      <c r="E516" s="508" t="str">
        <f ca="1"/>
        <v/>
      </c>
      <c r="F516" s="491" t="str">
        <f ca="1"/>
        <v/>
      </c>
      <c r="G516" s="492" t="str">
        <f ca="1"/>
        <v/>
      </c>
      <c r="H516" s="492" t="str">
        <f ca="1"/>
        <v/>
      </c>
      <c r="I516" s="492" t="str">
        <f ca="1"/>
        <v/>
      </c>
      <c r="J516" s="492" t="str">
        <f ca="1"/>
        <v/>
      </c>
      <c r="K516" s="508" t="str">
        <f ca="1"/>
        <v/>
      </c>
      <c r="L516" s="515" t="str">
        <f ca="1"/>
        <v/>
      </c>
      <c r="M516" s="450" t="str">
        <f ca="1"/>
        <v/>
      </c>
      <c r="N516" s="450" t="str">
        <f ca="1"/>
        <v/>
      </c>
    </row>
    <row r="517" spans="1:14">
      <c r="A517" s="5"/>
      <c r="B517" s="249"/>
      <c r="C517" s="384" t="str">
        <f ca="1"/>
        <v/>
      </c>
      <c r="D517" s="491" t="str">
        <f ca="1"/>
        <v/>
      </c>
      <c r="E517" s="508" t="str">
        <f ca="1"/>
        <v/>
      </c>
      <c r="F517" s="491" t="str">
        <f ca="1"/>
        <v/>
      </c>
      <c r="G517" s="492" t="str">
        <f ca="1"/>
        <v/>
      </c>
      <c r="H517" s="492" t="str">
        <f ca="1"/>
        <v/>
      </c>
      <c r="I517" s="492" t="str">
        <f ca="1"/>
        <v/>
      </c>
      <c r="J517" s="492" t="str">
        <f ca="1"/>
        <v/>
      </c>
      <c r="K517" s="508" t="str">
        <f ca="1"/>
        <v/>
      </c>
      <c r="L517" s="515" t="str">
        <f ca="1"/>
        <v/>
      </c>
      <c r="M517" s="450" t="str">
        <f ca="1"/>
        <v/>
      </c>
      <c r="N517" s="450" t="str">
        <f ca="1"/>
        <v/>
      </c>
    </row>
    <row r="518" spans="1:14">
      <c r="A518" s="5"/>
      <c r="B518" s="249"/>
      <c r="C518" s="384" t="str">
        <f ca="1"/>
        <v/>
      </c>
      <c r="D518" s="491" t="str">
        <f ca="1"/>
        <v/>
      </c>
      <c r="E518" s="508" t="str">
        <f ca="1"/>
        <v/>
      </c>
      <c r="F518" s="491" t="str">
        <f ca="1"/>
        <v/>
      </c>
      <c r="G518" s="492" t="str">
        <f ca="1"/>
        <v/>
      </c>
      <c r="H518" s="492" t="str">
        <f ca="1"/>
        <v/>
      </c>
      <c r="I518" s="492" t="str">
        <f ca="1"/>
        <v/>
      </c>
      <c r="J518" s="492" t="str">
        <f ca="1"/>
        <v/>
      </c>
      <c r="K518" s="508" t="str">
        <f ca="1"/>
        <v/>
      </c>
      <c r="L518" s="515" t="str">
        <f ca="1"/>
        <v/>
      </c>
      <c r="M518" s="450" t="str">
        <f ca="1"/>
        <v/>
      </c>
      <c r="N518" s="450" t="str">
        <f ca="1"/>
        <v/>
      </c>
    </row>
    <row r="519" spans="1:14">
      <c r="A519" s="5"/>
      <c r="B519" s="249"/>
      <c r="C519" s="384" t="str">
        <f ca="1"/>
        <v/>
      </c>
      <c r="D519" s="491" t="str">
        <f ca="1"/>
        <v/>
      </c>
      <c r="E519" s="508" t="str">
        <f ca="1"/>
        <v/>
      </c>
      <c r="F519" s="491" t="str">
        <f ca="1"/>
        <v/>
      </c>
      <c r="G519" s="492" t="str">
        <f ca="1"/>
        <v/>
      </c>
      <c r="H519" s="492" t="str">
        <f ca="1"/>
        <v/>
      </c>
      <c r="I519" s="492" t="str">
        <f ca="1"/>
        <v/>
      </c>
      <c r="J519" s="492" t="str">
        <f ca="1"/>
        <v/>
      </c>
      <c r="K519" s="508" t="str">
        <f ca="1"/>
        <v/>
      </c>
      <c r="L519" s="515" t="str">
        <f ca="1"/>
        <v/>
      </c>
      <c r="M519" s="450" t="str">
        <f ca="1"/>
        <v/>
      </c>
      <c r="N519" s="450" t="str">
        <f ca="1"/>
        <v/>
      </c>
    </row>
    <row r="520" spans="1:14">
      <c r="A520" s="5"/>
      <c r="B520" s="249"/>
      <c r="C520" s="12"/>
      <c r="D520" s="491"/>
      <c r="E520" s="508"/>
      <c r="F520" s="491"/>
      <c r="G520" s="492"/>
      <c r="H520" s="492"/>
      <c r="I520" s="492"/>
      <c r="J520" s="492"/>
      <c r="K520" s="508"/>
      <c r="L520" s="515"/>
      <c r="M520" s="450"/>
      <c r="N520" s="450"/>
    </row>
    <row r="521" spans="1:14">
      <c r="A521" s="5"/>
      <c r="B521" s="249" t="str">
        <f ca="1">+'I-4 History'!B390</f>
        <v>A-19</v>
      </c>
      <c r="C521" s="14" t="str">
        <f ca="1">+'I-4 History'!C390</f>
        <v>Workforce Development</v>
      </c>
      <c r="D521" s="491"/>
      <c r="E521" s="508"/>
      <c r="F521" s="491"/>
      <c r="G521" s="492"/>
      <c r="H521" s="492"/>
      <c r="I521" s="492"/>
      <c r="J521" s="492"/>
      <c r="K521" s="508"/>
      <c r="L521" s="515"/>
      <c r="M521" s="450"/>
      <c r="N521" s="450"/>
    </row>
    <row r="522" spans="1:14">
      <c r="A522" s="5"/>
      <c r="B522" s="249"/>
      <c r="C522" s="384" t="str">
        <f t="array" ref="C522:K531" ca="1">+'A-19'!$A$160:$I$169</f>
        <v>Step Change</v>
      </c>
      <c r="D522" s="491">
        <f ca="1"/>
        <v>0</v>
      </c>
      <c r="E522" s="508">
        <f ca="1"/>
        <v>0</v>
      </c>
      <c r="F522" s="491">
        <f ca="1"/>
        <v>0</v>
      </c>
      <c r="G522" s="492">
        <f ca="1"/>
        <v>0</v>
      </c>
      <c r="H522" s="492">
        <f ca="1"/>
        <v>0</v>
      </c>
      <c r="I522" s="492">
        <f ca="1"/>
        <v>0</v>
      </c>
      <c r="J522" s="492">
        <f ca="1"/>
        <v>0</v>
      </c>
      <c r="K522" s="508">
        <f ca="1"/>
        <v>0</v>
      </c>
      <c r="L522" s="515" t="str">
        <f t="array" ref="L522:N531" ca="1">+'A-19'!$K$160:$M$169</f>
        <v>Proposal Step Change</v>
      </c>
      <c r="M522" s="450" t="str">
        <f ca="1"/>
        <v>Refer Opex Workings</v>
      </c>
      <c r="N522" s="450" t="str">
        <f ca="1"/>
        <v>Proposal, October 2014</v>
      </c>
    </row>
    <row r="523" spans="1:14">
      <c r="A523" s="5"/>
      <c r="B523" s="249"/>
      <c r="C523" s="382" t="str">
        <f ca="1"/>
        <v/>
      </c>
      <c r="D523" s="491" t="str">
        <f ca="1"/>
        <v/>
      </c>
      <c r="E523" s="508" t="str">
        <f ca="1"/>
        <v/>
      </c>
      <c r="F523" s="491" t="str">
        <f ca="1"/>
        <v/>
      </c>
      <c r="G523" s="492" t="str">
        <f ca="1"/>
        <v/>
      </c>
      <c r="H523" s="492" t="str">
        <f ca="1"/>
        <v/>
      </c>
      <c r="I523" s="492" t="str">
        <f ca="1"/>
        <v/>
      </c>
      <c r="J523" s="492" t="str">
        <f ca="1"/>
        <v/>
      </c>
      <c r="K523" s="508" t="str">
        <f ca="1"/>
        <v/>
      </c>
      <c r="L523" s="515" t="str">
        <f ca="1"/>
        <v/>
      </c>
      <c r="M523" s="450" t="str">
        <f ca="1"/>
        <v/>
      </c>
      <c r="N523" s="450" t="str">
        <f ca="1"/>
        <v/>
      </c>
    </row>
    <row r="524" spans="1:14">
      <c r="A524" s="5"/>
      <c r="B524" s="249"/>
      <c r="C524" s="382" t="str">
        <f ca="1"/>
        <v/>
      </c>
      <c r="D524" s="491" t="str">
        <f ca="1"/>
        <v/>
      </c>
      <c r="E524" s="508" t="str">
        <f ca="1"/>
        <v/>
      </c>
      <c r="F524" s="491" t="str">
        <f ca="1"/>
        <v/>
      </c>
      <c r="G524" s="492" t="str">
        <f ca="1"/>
        <v/>
      </c>
      <c r="H524" s="492" t="str">
        <f ca="1"/>
        <v/>
      </c>
      <c r="I524" s="492" t="str">
        <f ca="1"/>
        <v/>
      </c>
      <c r="J524" s="492" t="str">
        <f ca="1"/>
        <v/>
      </c>
      <c r="K524" s="508" t="str">
        <f ca="1"/>
        <v/>
      </c>
      <c r="L524" s="515" t="str">
        <f ca="1"/>
        <v/>
      </c>
      <c r="M524" s="450" t="str">
        <f ca="1"/>
        <v/>
      </c>
      <c r="N524" s="450" t="str">
        <f ca="1"/>
        <v/>
      </c>
    </row>
    <row r="525" spans="1:14">
      <c r="A525" s="5"/>
      <c r="B525" s="249"/>
      <c r="C525" s="382" t="str">
        <f ca="1"/>
        <v/>
      </c>
      <c r="D525" s="491" t="str">
        <f ca="1"/>
        <v/>
      </c>
      <c r="E525" s="508" t="str">
        <f ca="1"/>
        <v/>
      </c>
      <c r="F525" s="491" t="str">
        <f ca="1"/>
        <v/>
      </c>
      <c r="G525" s="492" t="str">
        <f ca="1"/>
        <v/>
      </c>
      <c r="H525" s="492" t="str">
        <f ca="1"/>
        <v/>
      </c>
      <c r="I525" s="492" t="str">
        <f ca="1"/>
        <v/>
      </c>
      <c r="J525" s="492" t="str">
        <f ca="1"/>
        <v/>
      </c>
      <c r="K525" s="508" t="str">
        <f ca="1"/>
        <v/>
      </c>
      <c r="L525" s="515" t="str">
        <f ca="1"/>
        <v/>
      </c>
      <c r="M525" s="450" t="str">
        <f ca="1"/>
        <v/>
      </c>
      <c r="N525" s="450" t="str">
        <f ca="1"/>
        <v/>
      </c>
    </row>
    <row r="526" spans="1:14">
      <c r="A526" s="5"/>
      <c r="B526" s="249"/>
      <c r="C526" s="382" t="str">
        <f ca="1"/>
        <v/>
      </c>
      <c r="D526" s="491" t="str">
        <f ca="1"/>
        <v/>
      </c>
      <c r="E526" s="508" t="str">
        <f ca="1"/>
        <v/>
      </c>
      <c r="F526" s="491" t="str">
        <f ca="1"/>
        <v/>
      </c>
      <c r="G526" s="492" t="str">
        <f ca="1"/>
        <v/>
      </c>
      <c r="H526" s="492" t="str">
        <f ca="1"/>
        <v/>
      </c>
      <c r="I526" s="492" t="str">
        <f ca="1"/>
        <v/>
      </c>
      <c r="J526" s="492" t="str">
        <f ca="1"/>
        <v/>
      </c>
      <c r="K526" s="508" t="str">
        <f ca="1"/>
        <v/>
      </c>
      <c r="L526" s="515" t="str">
        <f ca="1"/>
        <v/>
      </c>
      <c r="M526" s="450" t="str">
        <f ca="1"/>
        <v/>
      </c>
      <c r="N526" s="450" t="str">
        <f ca="1"/>
        <v/>
      </c>
    </row>
    <row r="527" spans="1:14">
      <c r="B527" s="249"/>
      <c r="C527" s="384" t="str">
        <f ca="1"/>
        <v/>
      </c>
      <c r="D527" s="491" t="str">
        <f ca="1"/>
        <v/>
      </c>
      <c r="E527" s="508" t="str">
        <f ca="1"/>
        <v/>
      </c>
      <c r="F527" s="491" t="str">
        <f ca="1"/>
        <v/>
      </c>
      <c r="G527" s="492" t="str">
        <f ca="1"/>
        <v/>
      </c>
      <c r="H527" s="492" t="str">
        <f ca="1"/>
        <v/>
      </c>
      <c r="I527" s="492" t="str">
        <f ca="1"/>
        <v/>
      </c>
      <c r="J527" s="492" t="str">
        <f ca="1"/>
        <v/>
      </c>
      <c r="K527" s="508" t="str">
        <f ca="1"/>
        <v/>
      </c>
      <c r="L527" s="515" t="str">
        <f ca="1"/>
        <v/>
      </c>
      <c r="M527" s="450" t="str">
        <f ca="1"/>
        <v/>
      </c>
      <c r="N527" s="450" t="str">
        <f ca="1"/>
        <v/>
      </c>
    </row>
    <row r="528" spans="1:14">
      <c r="B528" s="249"/>
      <c r="C528" s="384" t="str">
        <f ca="1"/>
        <v/>
      </c>
      <c r="D528" s="491" t="str">
        <f ca="1"/>
        <v/>
      </c>
      <c r="E528" s="508" t="str">
        <f ca="1"/>
        <v/>
      </c>
      <c r="F528" s="491" t="str">
        <f ca="1"/>
        <v/>
      </c>
      <c r="G528" s="492" t="str">
        <f ca="1"/>
        <v/>
      </c>
      <c r="H528" s="492" t="str">
        <f ca="1"/>
        <v/>
      </c>
      <c r="I528" s="492" t="str">
        <f ca="1"/>
        <v/>
      </c>
      <c r="J528" s="492" t="str">
        <f ca="1"/>
        <v/>
      </c>
      <c r="K528" s="508" t="str">
        <f ca="1"/>
        <v/>
      </c>
      <c r="L528" s="515" t="str">
        <f ca="1"/>
        <v/>
      </c>
      <c r="M528" s="450" t="str">
        <f ca="1"/>
        <v/>
      </c>
      <c r="N528" s="450" t="str">
        <f ca="1"/>
        <v/>
      </c>
    </row>
    <row r="529" spans="1:14">
      <c r="B529" s="249"/>
      <c r="C529" s="384" t="str">
        <f ca="1"/>
        <v/>
      </c>
      <c r="D529" s="491" t="str">
        <f ca="1"/>
        <v/>
      </c>
      <c r="E529" s="508" t="str">
        <f ca="1"/>
        <v/>
      </c>
      <c r="F529" s="491" t="str">
        <f ca="1"/>
        <v/>
      </c>
      <c r="G529" s="492" t="str">
        <f ca="1"/>
        <v/>
      </c>
      <c r="H529" s="492" t="str">
        <f ca="1"/>
        <v/>
      </c>
      <c r="I529" s="492" t="str">
        <f ca="1"/>
        <v/>
      </c>
      <c r="J529" s="492" t="str">
        <f ca="1"/>
        <v/>
      </c>
      <c r="K529" s="508" t="str">
        <f ca="1"/>
        <v/>
      </c>
      <c r="L529" s="515" t="str">
        <f ca="1"/>
        <v/>
      </c>
      <c r="M529" s="450" t="str">
        <f ca="1"/>
        <v/>
      </c>
      <c r="N529" s="450" t="str">
        <f ca="1"/>
        <v/>
      </c>
    </row>
    <row r="530" spans="1:14">
      <c r="B530" s="249"/>
      <c r="C530" s="384" t="str">
        <f ca="1"/>
        <v/>
      </c>
      <c r="D530" s="491" t="str">
        <f ca="1"/>
        <v/>
      </c>
      <c r="E530" s="508" t="str">
        <f ca="1"/>
        <v/>
      </c>
      <c r="F530" s="491" t="str">
        <f ca="1"/>
        <v/>
      </c>
      <c r="G530" s="492" t="str">
        <f ca="1"/>
        <v/>
      </c>
      <c r="H530" s="492" t="str">
        <f ca="1"/>
        <v/>
      </c>
      <c r="I530" s="492" t="str">
        <f ca="1"/>
        <v/>
      </c>
      <c r="J530" s="492" t="str">
        <f ca="1"/>
        <v/>
      </c>
      <c r="K530" s="508" t="str">
        <f ca="1"/>
        <v/>
      </c>
      <c r="L530" s="515" t="str">
        <f ca="1"/>
        <v/>
      </c>
      <c r="M530" s="450" t="str">
        <f ca="1"/>
        <v/>
      </c>
      <c r="N530" s="450" t="str">
        <f ca="1"/>
        <v/>
      </c>
    </row>
    <row r="531" spans="1:14">
      <c r="B531" s="249"/>
      <c r="C531" s="384" t="str">
        <f ca="1"/>
        <v/>
      </c>
      <c r="D531" s="491" t="str">
        <f ca="1"/>
        <v/>
      </c>
      <c r="E531" s="508" t="str">
        <f ca="1"/>
        <v/>
      </c>
      <c r="F531" s="491" t="str">
        <f ca="1"/>
        <v/>
      </c>
      <c r="G531" s="492" t="str">
        <f ca="1"/>
        <v/>
      </c>
      <c r="H531" s="492" t="str">
        <f ca="1"/>
        <v/>
      </c>
      <c r="I531" s="492" t="str">
        <f ca="1"/>
        <v/>
      </c>
      <c r="J531" s="492" t="str">
        <f ca="1"/>
        <v/>
      </c>
      <c r="K531" s="508" t="str">
        <f ca="1"/>
        <v/>
      </c>
      <c r="L531" s="515" t="str">
        <f ca="1"/>
        <v/>
      </c>
      <c r="M531" s="450" t="str">
        <f ca="1"/>
        <v/>
      </c>
      <c r="N531" s="450" t="str">
        <f ca="1"/>
        <v/>
      </c>
    </row>
    <row r="532" spans="1:14">
      <c r="B532" s="249"/>
      <c r="C532" s="12"/>
      <c r="D532" s="491"/>
      <c r="E532" s="508"/>
      <c r="F532" s="491"/>
      <c r="G532" s="492"/>
      <c r="H532" s="492"/>
      <c r="I532" s="492"/>
      <c r="J532" s="492"/>
      <c r="K532" s="508"/>
      <c r="L532" s="515"/>
      <c r="M532" s="450"/>
      <c r="N532" s="450"/>
    </row>
    <row r="533" spans="1:14">
      <c r="A533" s="5"/>
      <c r="B533" s="249" t="str">
        <f ca="1">+'I-4 History'!B399</f>
        <v>A-20</v>
      </c>
      <c r="C533" s="14" t="str">
        <f ca="1">+'I-4 History'!C399</f>
        <v>Training Centre</v>
      </c>
      <c r="D533" s="491"/>
      <c r="E533" s="508"/>
      <c r="F533" s="491"/>
      <c r="G533" s="492"/>
      <c r="H533" s="492"/>
      <c r="I533" s="492"/>
      <c r="J533" s="492"/>
      <c r="K533" s="508"/>
      <c r="L533" s="515"/>
      <c r="M533" s="450"/>
      <c r="N533" s="450"/>
    </row>
    <row r="534" spans="1:14">
      <c r="A534" s="5"/>
      <c r="B534" s="249"/>
      <c r="C534" s="384" t="str">
        <f t="array" ref="C534:K543" ca="1">+'A-20'!$A$160:$I$169</f>
        <v>Step Change</v>
      </c>
      <c r="D534" s="491">
        <f ca="1"/>
        <v>0</v>
      </c>
      <c r="E534" s="508">
        <f ca="1"/>
        <v>0</v>
      </c>
      <c r="F534" s="491">
        <f ca="1"/>
        <v>0</v>
      </c>
      <c r="G534" s="492">
        <f ca="1"/>
        <v>0</v>
      </c>
      <c r="H534" s="492">
        <f ca="1"/>
        <v>0</v>
      </c>
      <c r="I534" s="492">
        <f ca="1"/>
        <v>0</v>
      </c>
      <c r="J534" s="492">
        <f ca="1"/>
        <v>0</v>
      </c>
      <c r="K534" s="508">
        <f ca="1"/>
        <v>0</v>
      </c>
      <c r="L534" s="515" t="str">
        <f t="array" ref="L534:N543" ca="1">+'A-20'!$K$160:$M$169</f>
        <v>Proposal Step Change</v>
      </c>
      <c r="M534" s="450" t="str">
        <f ca="1"/>
        <v>Refer Opex Workings</v>
      </c>
      <c r="N534" s="450" t="str">
        <f ca="1"/>
        <v>Proposal, October 2014</v>
      </c>
    </row>
    <row r="535" spans="1:14">
      <c r="A535" s="5"/>
      <c r="B535" s="249"/>
      <c r="C535" s="384" t="str">
        <f ca="1"/>
        <v/>
      </c>
      <c r="D535" s="491" t="str">
        <f ca="1"/>
        <v/>
      </c>
      <c r="E535" s="508" t="str">
        <f ca="1"/>
        <v/>
      </c>
      <c r="F535" s="491" t="str">
        <f ca="1"/>
        <v/>
      </c>
      <c r="G535" s="492" t="str">
        <f ca="1"/>
        <v/>
      </c>
      <c r="H535" s="492" t="str">
        <f ca="1"/>
        <v/>
      </c>
      <c r="I535" s="492" t="str">
        <f ca="1"/>
        <v/>
      </c>
      <c r="J535" s="492" t="str">
        <f ca="1"/>
        <v/>
      </c>
      <c r="K535" s="508" t="str">
        <f ca="1"/>
        <v/>
      </c>
      <c r="L535" s="515" t="str">
        <f ca="1"/>
        <v/>
      </c>
      <c r="M535" s="450" t="str">
        <f ca="1"/>
        <v/>
      </c>
      <c r="N535" s="450" t="str">
        <f ca="1"/>
        <v/>
      </c>
    </row>
    <row r="536" spans="1:14">
      <c r="A536" s="5"/>
      <c r="B536" s="249"/>
      <c r="C536" s="384" t="str">
        <f ca="1"/>
        <v/>
      </c>
      <c r="D536" s="491" t="str">
        <f ca="1"/>
        <v/>
      </c>
      <c r="E536" s="508" t="str">
        <f ca="1"/>
        <v/>
      </c>
      <c r="F536" s="491" t="str">
        <f ca="1"/>
        <v/>
      </c>
      <c r="G536" s="492" t="str">
        <f ca="1"/>
        <v/>
      </c>
      <c r="H536" s="492" t="str">
        <f ca="1"/>
        <v/>
      </c>
      <c r="I536" s="492" t="str">
        <f ca="1"/>
        <v/>
      </c>
      <c r="J536" s="492" t="str">
        <f ca="1"/>
        <v/>
      </c>
      <c r="K536" s="508" t="str">
        <f ca="1"/>
        <v/>
      </c>
      <c r="L536" s="515" t="str">
        <f ca="1"/>
        <v/>
      </c>
      <c r="M536" s="450" t="str">
        <f ca="1"/>
        <v/>
      </c>
      <c r="N536" s="450" t="str">
        <f ca="1"/>
        <v/>
      </c>
    </row>
    <row r="537" spans="1:14">
      <c r="A537" s="5"/>
      <c r="B537" s="249"/>
      <c r="C537" s="384" t="str">
        <f ca="1"/>
        <v/>
      </c>
      <c r="D537" s="491" t="str">
        <f ca="1"/>
        <v/>
      </c>
      <c r="E537" s="508" t="str">
        <f ca="1"/>
        <v/>
      </c>
      <c r="F537" s="491" t="str">
        <f ca="1"/>
        <v/>
      </c>
      <c r="G537" s="492" t="str">
        <f ca="1"/>
        <v/>
      </c>
      <c r="H537" s="492" t="str">
        <f ca="1"/>
        <v/>
      </c>
      <c r="I537" s="492" t="str">
        <f ca="1"/>
        <v/>
      </c>
      <c r="J537" s="492" t="str">
        <f ca="1"/>
        <v/>
      </c>
      <c r="K537" s="508" t="str">
        <f ca="1"/>
        <v/>
      </c>
      <c r="L537" s="515" t="str">
        <f ca="1"/>
        <v/>
      </c>
      <c r="M537" s="450" t="str">
        <f ca="1"/>
        <v/>
      </c>
      <c r="N537" s="450" t="str">
        <f ca="1"/>
        <v/>
      </c>
    </row>
    <row r="538" spans="1:14">
      <c r="A538" s="5"/>
      <c r="B538" s="249"/>
      <c r="C538" s="384" t="str">
        <f ca="1"/>
        <v/>
      </c>
      <c r="D538" s="491" t="str">
        <f ca="1"/>
        <v/>
      </c>
      <c r="E538" s="508" t="str">
        <f ca="1"/>
        <v/>
      </c>
      <c r="F538" s="491" t="str">
        <f ca="1"/>
        <v/>
      </c>
      <c r="G538" s="492" t="str">
        <f ca="1"/>
        <v/>
      </c>
      <c r="H538" s="492" t="str">
        <f ca="1"/>
        <v/>
      </c>
      <c r="I538" s="492" t="str">
        <f ca="1"/>
        <v/>
      </c>
      <c r="J538" s="492" t="str">
        <f ca="1"/>
        <v/>
      </c>
      <c r="K538" s="508" t="str">
        <f ca="1"/>
        <v/>
      </c>
      <c r="L538" s="515" t="str">
        <f ca="1"/>
        <v/>
      </c>
      <c r="M538" s="450" t="str">
        <f ca="1"/>
        <v/>
      </c>
      <c r="N538" s="450" t="str">
        <f ca="1"/>
        <v/>
      </c>
    </row>
    <row r="539" spans="1:14">
      <c r="A539" s="5"/>
      <c r="B539" s="249"/>
      <c r="C539" s="384" t="str">
        <f ca="1"/>
        <v/>
      </c>
      <c r="D539" s="491" t="str">
        <f ca="1"/>
        <v/>
      </c>
      <c r="E539" s="508" t="str">
        <f ca="1"/>
        <v/>
      </c>
      <c r="F539" s="491" t="str">
        <f ca="1"/>
        <v/>
      </c>
      <c r="G539" s="492" t="str">
        <f ca="1"/>
        <v/>
      </c>
      <c r="H539" s="492" t="str">
        <f ca="1"/>
        <v/>
      </c>
      <c r="I539" s="492" t="str">
        <f ca="1"/>
        <v/>
      </c>
      <c r="J539" s="492" t="str">
        <f ca="1"/>
        <v/>
      </c>
      <c r="K539" s="508" t="str">
        <f ca="1"/>
        <v/>
      </c>
      <c r="L539" s="515" t="str">
        <f ca="1"/>
        <v/>
      </c>
      <c r="M539" s="450" t="str">
        <f ca="1"/>
        <v/>
      </c>
      <c r="N539" s="450" t="str">
        <f ca="1"/>
        <v/>
      </c>
    </row>
    <row r="540" spans="1:14">
      <c r="A540" s="5"/>
      <c r="B540" s="249"/>
      <c r="C540" s="384" t="str">
        <f ca="1"/>
        <v/>
      </c>
      <c r="D540" s="491" t="str">
        <f ca="1"/>
        <v/>
      </c>
      <c r="E540" s="508" t="str">
        <f ca="1"/>
        <v/>
      </c>
      <c r="F540" s="491" t="str">
        <f ca="1"/>
        <v/>
      </c>
      <c r="G540" s="492" t="str">
        <f ca="1"/>
        <v/>
      </c>
      <c r="H540" s="492" t="str">
        <f ca="1"/>
        <v/>
      </c>
      <c r="I540" s="492" t="str">
        <f ca="1"/>
        <v/>
      </c>
      <c r="J540" s="492" t="str">
        <f ca="1"/>
        <v/>
      </c>
      <c r="K540" s="508" t="str">
        <f ca="1"/>
        <v/>
      </c>
      <c r="L540" s="515" t="str">
        <f ca="1"/>
        <v/>
      </c>
      <c r="M540" s="450" t="str">
        <f ca="1"/>
        <v/>
      </c>
      <c r="N540" s="450" t="str">
        <f ca="1"/>
        <v/>
      </c>
    </row>
    <row r="541" spans="1:14">
      <c r="A541" s="5"/>
      <c r="B541" s="249"/>
      <c r="C541" s="384" t="str">
        <f ca="1"/>
        <v/>
      </c>
      <c r="D541" s="491" t="str">
        <f ca="1"/>
        <v/>
      </c>
      <c r="E541" s="508" t="str">
        <f ca="1"/>
        <v/>
      </c>
      <c r="F541" s="491" t="str">
        <f ca="1"/>
        <v/>
      </c>
      <c r="G541" s="492" t="str">
        <f ca="1"/>
        <v/>
      </c>
      <c r="H541" s="492" t="str">
        <f ca="1"/>
        <v/>
      </c>
      <c r="I541" s="492" t="str">
        <f ca="1"/>
        <v/>
      </c>
      <c r="J541" s="492" t="str">
        <f ca="1"/>
        <v/>
      </c>
      <c r="K541" s="508" t="str">
        <f ca="1"/>
        <v/>
      </c>
      <c r="L541" s="515" t="str">
        <f ca="1"/>
        <v/>
      </c>
      <c r="M541" s="450" t="str">
        <f ca="1"/>
        <v/>
      </c>
      <c r="N541" s="450" t="str">
        <f ca="1"/>
        <v/>
      </c>
    </row>
    <row r="542" spans="1:14">
      <c r="A542" s="5"/>
      <c r="B542" s="249"/>
      <c r="C542" s="384" t="str">
        <f ca="1"/>
        <v/>
      </c>
      <c r="D542" s="491" t="str">
        <f ca="1"/>
        <v/>
      </c>
      <c r="E542" s="508" t="str">
        <f ca="1"/>
        <v/>
      </c>
      <c r="F542" s="491" t="str">
        <f ca="1"/>
        <v/>
      </c>
      <c r="G542" s="492" t="str">
        <f ca="1"/>
        <v/>
      </c>
      <c r="H542" s="492" t="str">
        <f ca="1"/>
        <v/>
      </c>
      <c r="I542" s="492" t="str">
        <f ca="1"/>
        <v/>
      </c>
      <c r="J542" s="492" t="str">
        <f ca="1"/>
        <v/>
      </c>
      <c r="K542" s="508" t="str">
        <f ca="1"/>
        <v/>
      </c>
      <c r="L542" s="515" t="str">
        <f ca="1"/>
        <v/>
      </c>
      <c r="M542" s="450" t="str">
        <f ca="1"/>
        <v/>
      </c>
      <c r="N542" s="450" t="str">
        <f ca="1"/>
        <v/>
      </c>
    </row>
    <row r="543" spans="1:14">
      <c r="A543" s="5"/>
      <c r="B543" s="249"/>
      <c r="C543" s="384" t="str">
        <f ca="1"/>
        <v/>
      </c>
      <c r="D543" s="491" t="str">
        <f ca="1"/>
        <v/>
      </c>
      <c r="E543" s="508" t="str">
        <f ca="1"/>
        <v/>
      </c>
      <c r="F543" s="491" t="str">
        <f ca="1"/>
        <v/>
      </c>
      <c r="G543" s="492" t="str">
        <f ca="1"/>
        <v/>
      </c>
      <c r="H543" s="492" t="str">
        <f ca="1"/>
        <v/>
      </c>
      <c r="I543" s="492" t="str">
        <f ca="1"/>
        <v/>
      </c>
      <c r="J543" s="492" t="str">
        <f ca="1"/>
        <v/>
      </c>
      <c r="K543" s="508" t="str">
        <f ca="1"/>
        <v/>
      </c>
      <c r="L543" s="515" t="str">
        <f ca="1"/>
        <v/>
      </c>
      <c r="M543" s="450" t="str">
        <f ca="1"/>
        <v/>
      </c>
      <c r="N543" s="450" t="str">
        <f ca="1"/>
        <v/>
      </c>
    </row>
    <row r="544" spans="1:14">
      <c r="A544" s="5"/>
      <c r="B544" s="249"/>
      <c r="C544" s="12"/>
      <c r="D544" s="491"/>
      <c r="E544" s="508"/>
      <c r="F544" s="491"/>
      <c r="G544" s="492"/>
      <c r="H544" s="492"/>
      <c r="I544" s="492"/>
      <c r="J544" s="492"/>
      <c r="K544" s="508"/>
      <c r="L544" s="515"/>
      <c r="M544" s="450"/>
      <c r="N544" s="450"/>
    </row>
    <row r="545" spans="1:14">
      <c r="A545" s="5"/>
      <c r="B545" s="249" t="str">
        <f ca="1">+'I-4 History'!B408</f>
        <v>A-21</v>
      </c>
      <c r="C545" s="14" t="str">
        <f ca="1">+'I-4 History'!C408</f>
        <v>Apprentice Training</v>
      </c>
      <c r="D545" s="491"/>
      <c r="E545" s="508"/>
      <c r="F545" s="491"/>
      <c r="G545" s="492"/>
      <c r="H545" s="492"/>
      <c r="I545" s="492"/>
      <c r="J545" s="492"/>
      <c r="K545" s="508"/>
      <c r="L545" s="515"/>
      <c r="M545" s="450"/>
      <c r="N545" s="450"/>
    </row>
    <row r="546" spans="1:14">
      <c r="A546" s="5"/>
      <c r="B546" s="249"/>
      <c r="C546" s="384" t="str">
        <f t="array" ref="C546:K555" ca="1">+'A-21'!$A$160:$I$169</f>
        <v>Step Change</v>
      </c>
      <c r="D546" s="491">
        <f ca="1"/>
        <v>0</v>
      </c>
      <c r="E546" s="508">
        <f ca="1"/>
        <v>0</v>
      </c>
      <c r="F546" s="491">
        <f ca="1"/>
        <v>0</v>
      </c>
      <c r="G546" s="492">
        <f ca="1"/>
        <v>0</v>
      </c>
      <c r="H546" s="492">
        <f ca="1"/>
        <v>0</v>
      </c>
      <c r="I546" s="492">
        <f ca="1"/>
        <v>0</v>
      </c>
      <c r="J546" s="492">
        <f ca="1"/>
        <v>0</v>
      </c>
      <c r="K546" s="508">
        <f ca="1"/>
        <v>0</v>
      </c>
      <c r="L546" s="515" t="str">
        <f t="array" ref="L546:N555" ca="1">+'A-21'!$K$160:$M$169</f>
        <v>Proposal Step Change</v>
      </c>
      <c r="M546" s="450" t="str">
        <f ca="1"/>
        <v>Refer Opex Workings</v>
      </c>
      <c r="N546" s="450" t="str">
        <f ca="1"/>
        <v>Proposal, October 2014</v>
      </c>
    </row>
    <row r="547" spans="1:14">
      <c r="A547" s="5"/>
      <c r="B547" s="249"/>
      <c r="C547" s="384" t="str">
        <f ca="1"/>
        <v/>
      </c>
      <c r="D547" s="491" t="str">
        <f ca="1"/>
        <v/>
      </c>
      <c r="E547" s="508" t="str">
        <f ca="1"/>
        <v/>
      </c>
      <c r="F547" s="491" t="str">
        <f ca="1"/>
        <v/>
      </c>
      <c r="G547" s="492" t="str">
        <f ca="1"/>
        <v/>
      </c>
      <c r="H547" s="492" t="str">
        <f ca="1"/>
        <v/>
      </c>
      <c r="I547" s="492" t="str">
        <f ca="1"/>
        <v/>
      </c>
      <c r="J547" s="492" t="str">
        <f ca="1"/>
        <v/>
      </c>
      <c r="K547" s="508" t="str">
        <f ca="1"/>
        <v/>
      </c>
      <c r="L547" s="515" t="str">
        <f ca="1"/>
        <v/>
      </c>
      <c r="M547" s="450" t="str">
        <f ca="1"/>
        <v/>
      </c>
      <c r="N547" s="450" t="str">
        <f ca="1"/>
        <v/>
      </c>
    </row>
    <row r="548" spans="1:14">
      <c r="A548" s="5"/>
      <c r="B548" s="249"/>
      <c r="C548" s="384" t="str">
        <f ca="1"/>
        <v/>
      </c>
      <c r="D548" s="491" t="str">
        <f ca="1"/>
        <v/>
      </c>
      <c r="E548" s="508" t="str">
        <f ca="1"/>
        <v/>
      </c>
      <c r="F548" s="491" t="str">
        <f ca="1"/>
        <v/>
      </c>
      <c r="G548" s="492" t="str">
        <f ca="1"/>
        <v/>
      </c>
      <c r="H548" s="492" t="str">
        <f ca="1"/>
        <v/>
      </c>
      <c r="I548" s="492" t="str">
        <f ca="1"/>
        <v/>
      </c>
      <c r="J548" s="492" t="str">
        <f ca="1"/>
        <v/>
      </c>
      <c r="K548" s="508" t="str">
        <f ca="1"/>
        <v/>
      </c>
      <c r="L548" s="515" t="str">
        <f ca="1"/>
        <v/>
      </c>
      <c r="M548" s="450" t="str">
        <f ca="1"/>
        <v/>
      </c>
      <c r="N548" s="450" t="str">
        <f ca="1"/>
        <v/>
      </c>
    </row>
    <row r="549" spans="1:14">
      <c r="A549" s="5"/>
      <c r="B549" s="249"/>
      <c r="C549" s="384" t="str">
        <f ca="1"/>
        <v/>
      </c>
      <c r="D549" s="491" t="str">
        <f ca="1"/>
        <v/>
      </c>
      <c r="E549" s="508" t="str">
        <f ca="1"/>
        <v/>
      </c>
      <c r="F549" s="491" t="str">
        <f ca="1"/>
        <v/>
      </c>
      <c r="G549" s="492" t="str">
        <f ca="1"/>
        <v/>
      </c>
      <c r="H549" s="492" t="str">
        <f ca="1"/>
        <v/>
      </c>
      <c r="I549" s="492" t="str">
        <f ca="1"/>
        <v/>
      </c>
      <c r="J549" s="492" t="str">
        <f ca="1"/>
        <v/>
      </c>
      <c r="K549" s="508" t="str">
        <f ca="1"/>
        <v/>
      </c>
      <c r="L549" s="515" t="str">
        <f ca="1"/>
        <v/>
      </c>
      <c r="M549" s="450" t="str">
        <f ca="1"/>
        <v/>
      </c>
      <c r="N549" s="450" t="str">
        <f ca="1"/>
        <v/>
      </c>
    </row>
    <row r="550" spans="1:14">
      <c r="A550" s="5"/>
      <c r="B550" s="249"/>
      <c r="C550" s="384" t="str">
        <f ca="1"/>
        <v/>
      </c>
      <c r="D550" s="491" t="str">
        <f ca="1"/>
        <v/>
      </c>
      <c r="E550" s="508" t="str">
        <f ca="1"/>
        <v/>
      </c>
      <c r="F550" s="491" t="str">
        <f ca="1"/>
        <v/>
      </c>
      <c r="G550" s="492" t="str">
        <f ca="1"/>
        <v/>
      </c>
      <c r="H550" s="492" t="str">
        <f ca="1"/>
        <v/>
      </c>
      <c r="I550" s="492" t="str">
        <f ca="1"/>
        <v/>
      </c>
      <c r="J550" s="492" t="str">
        <f ca="1"/>
        <v/>
      </c>
      <c r="K550" s="508" t="str">
        <f ca="1"/>
        <v/>
      </c>
      <c r="L550" s="515" t="str">
        <f ca="1"/>
        <v/>
      </c>
      <c r="M550" s="450" t="str">
        <f ca="1"/>
        <v/>
      </c>
      <c r="N550" s="450" t="str">
        <f ca="1"/>
        <v/>
      </c>
    </row>
    <row r="551" spans="1:14">
      <c r="B551" s="249"/>
      <c r="C551" s="384" t="str">
        <f ca="1"/>
        <v/>
      </c>
      <c r="D551" s="491" t="str">
        <f ca="1"/>
        <v/>
      </c>
      <c r="E551" s="508" t="str">
        <f ca="1"/>
        <v/>
      </c>
      <c r="F551" s="491" t="str">
        <f ca="1"/>
        <v/>
      </c>
      <c r="G551" s="492" t="str">
        <f ca="1"/>
        <v/>
      </c>
      <c r="H551" s="492" t="str">
        <f ca="1"/>
        <v/>
      </c>
      <c r="I551" s="492" t="str">
        <f ca="1"/>
        <v/>
      </c>
      <c r="J551" s="492" t="str">
        <f ca="1"/>
        <v/>
      </c>
      <c r="K551" s="508" t="str">
        <f ca="1"/>
        <v/>
      </c>
      <c r="L551" s="515" t="str">
        <f ca="1"/>
        <v/>
      </c>
      <c r="M551" s="450" t="str">
        <f ca="1"/>
        <v/>
      </c>
      <c r="N551" s="450" t="str">
        <f ca="1"/>
        <v/>
      </c>
    </row>
    <row r="552" spans="1:14">
      <c r="B552" s="249"/>
      <c r="C552" s="384" t="str">
        <f ca="1"/>
        <v/>
      </c>
      <c r="D552" s="491" t="str">
        <f ca="1"/>
        <v/>
      </c>
      <c r="E552" s="508" t="str">
        <f ca="1"/>
        <v/>
      </c>
      <c r="F552" s="491" t="str">
        <f ca="1"/>
        <v/>
      </c>
      <c r="G552" s="492" t="str">
        <f ca="1"/>
        <v/>
      </c>
      <c r="H552" s="492" t="str">
        <f ca="1"/>
        <v/>
      </c>
      <c r="I552" s="492" t="str">
        <f ca="1"/>
        <v/>
      </c>
      <c r="J552" s="492" t="str">
        <f ca="1"/>
        <v/>
      </c>
      <c r="K552" s="508" t="str">
        <f ca="1"/>
        <v/>
      </c>
      <c r="L552" s="515" t="str">
        <f ca="1"/>
        <v/>
      </c>
      <c r="M552" s="450" t="str">
        <f ca="1"/>
        <v/>
      </c>
      <c r="N552" s="450" t="str">
        <f ca="1"/>
        <v/>
      </c>
    </row>
    <row r="553" spans="1:14">
      <c r="B553" s="249"/>
      <c r="C553" s="384" t="str">
        <f ca="1"/>
        <v/>
      </c>
      <c r="D553" s="491" t="str">
        <f ca="1"/>
        <v/>
      </c>
      <c r="E553" s="508" t="str">
        <f ca="1"/>
        <v/>
      </c>
      <c r="F553" s="491" t="str">
        <f ca="1"/>
        <v/>
      </c>
      <c r="G553" s="492" t="str">
        <f ca="1"/>
        <v/>
      </c>
      <c r="H553" s="492" t="str">
        <f ca="1"/>
        <v/>
      </c>
      <c r="I553" s="492" t="str">
        <f ca="1"/>
        <v/>
      </c>
      <c r="J553" s="492" t="str">
        <f ca="1"/>
        <v/>
      </c>
      <c r="K553" s="508" t="str">
        <f ca="1"/>
        <v/>
      </c>
      <c r="L553" s="515" t="str">
        <f ca="1"/>
        <v/>
      </c>
      <c r="M553" s="450" t="str">
        <f ca="1"/>
        <v/>
      </c>
      <c r="N553" s="450" t="str">
        <f ca="1"/>
        <v/>
      </c>
    </row>
    <row r="554" spans="1:14">
      <c r="B554" s="249"/>
      <c r="C554" s="384" t="str">
        <f ca="1"/>
        <v/>
      </c>
      <c r="D554" s="491" t="str">
        <f ca="1"/>
        <v/>
      </c>
      <c r="E554" s="508" t="str">
        <f ca="1"/>
        <v/>
      </c>
      <c r="F554" s="491" t="str">
        <f ca="1"/>
        <v/>
      </c>
      <c r="G554" s="492" t="str">
        <f ca="1"/>
        <v/>
      </c>
      <c r="H554" s="492" t="str">
        <f ca="1"/>
        <v/>
      </c>
      <c r="I554" s="492" t="str">
        <f ca="1"/>
        <v/>
      </c>
      <c r="J554" s="492" t="str">
        <f ca="1"/>
        <v/>
      </c>
      <c r="K554" s="508" t="str">
        <f ca="1"/>
        <v/>
      </c>
      <c r="L554" s="515" t="str">
        <f ca="1"/>
        <v/>
      </c>
      <c r="M554" s="450" t="str">
        <f ca="1"/>
        <v/>
      </c>
      <c r="N554" s="450" t="str">
        <f ca="1"/>
        <v/>
      </c>
    </row>
    <row r="555" spans="1:14">
      <c r="B555" s="249"/>
      <c r="C555" s="384" t="str">
        <f ca="1"/>
        <v/>
      </c>
      <c r="D555" s="491" t="str">
        <f ca="1"/>
        <v/>
      </c>
      <c r="E555" s="508" t="str">
        <f ca="1"/>
        <v/>
      </c>
      <c r="F555" s="491" t="str">
        <f ca="1"/>
        <v/>
      </c>
      <c r="G555" s="492" t="str">
        <f ca="1"/>
        <v/>
      </c>
      <c r="H555" s="492" t="str">
        <f ca="1"/>
        <v/>
      </c>
      <c r="I555" s="492" t="str">
        <f ca="1"/>
        <v/>
      </c>
      <c r="J555" s="492" t="str">
        <f ca="1"/>
        <v/>
      </c>
      <c r="K555" s="508" t="str">
        <f ca="1"/>
        <v/>
      </c>
      <c r="L555" s="515" t="str">
        <f ca="1"/>
        <v/>
      </c>
      <c r="M555" s="450" t="str">
        <f ca="1"/>
        <v/>
      </c>
      <c r="N555" s="450" t="str">
        <f ca="1"/>
        <v/>
      </c>
    </row>
    <row r="556" spans="1:14">
      <c r="B556" s="249"/>
      <c r="C556" s="15"/>
      <c r="D556" s="491"/>
      <c r="E556" s="508"/>
      <c r="F556" s="491"/>
      <c r="G556" s="492"/>
      <c r="H556" s="492"/>
      <c r="I556" s="492"/>
      <c r="J556" s="492"/>
      <c r="K556" s="508"/>
      <c r="L556" s="515"/>
      <c r="M556" s="450"/>
      <c r="N556" s="450"/>
    </row>
    <row r="557" spans="1:14">
      <c r="A557" s="5"/>
      <c r="B557" s="249" t="str">
        <f ca="1">+'I-4 History'!B417</f>
        <v>A-22</v>
      </c>
      <c r="C557" s="14" t="str">
        <f ca="1">+'I-4 History'!C417</f>
        <v>Training Centre Management</v>
      </c>
      <c r="D557" s="491"/>
      <c r="E557" s="508"/>
      <c r="F557" s="491"/>
      <c r="G557" s="492"/>
      <c r="H557" s="492"/>
      <c r="I557" s="492"/>
      <c r="J557" s="492"/>
      <c r="K557" s="508"/>
      <c r="L557" s="515"/>
      <c r="M557" s="450"/>
      <c r="N557" s="450"/>
    </row>
    <row r="558" spans="1:14">
      <c r="A558" s="5"/>
      <c r="B558" s="249"/>
      <c r="C558" s="384" t="str">
        <f t="array" ref="C558:K567" ca="1">+'A-22'!$A$160:$I$169</f>
        <v>Step Change</v>
      </c>
      <c r="D558" s="491">
        <f ca="1"/>
        <v>0</v>
      </c>
      <c r="E558" s="508">
        <f ca="1"/>
        <v>0</v>
      </c>
      <c r="F558" s="491">
        <f ca="1"/>
        <v>0</v>
      </c>
      <c r="G558" s="492">
        <f ca="1"/>
        <v>0</v>
      </c>
      <c r="H558" s="492">
        <f ca="1"/>
        <v>0</v>
      </c>
      <c r="I558" s="492">
        <f ca="1"/>
        <v>0</v>
      </c>
      <c r="J558" s="492">
        <f ca="1"/>
        <v>0</v>
      </c>
      <c r="K558" s="508">
        <f ca="1"/>
        <v>0</v>
      </c>
      <c r="L558" s="515" t="str">
        <f t="array" ref="L558:N567" ca="1">+'A-22'!$K$160:$M$169</f>
        <v>Proposal Step Change</v>
      </c>
      <c r="M558" s="450" t="str">
        <f ca="1"/>
        <v>Refer Opex Workings</v>
      </c>
      <c r="N558" s="450" t="str">
        <f ca="1"/>
        <v>Proposal, October 2014</v>
      </c>
    </row>
    <row r="559" spans="1:14">
      <c r="A559" s="5"/>
      <c r="B559" s="249"/>
      <c r="C559" s="384" t="str">
        <f ca="1"/>
        <v/>
      </c>
      <c r="D559" s="491" t="str">
        <f ca="1"/>
        <v/>
      </c>
      <c r="E559" s="508" t="str">
        <f ca="1"/>
        <v/>
      </c>
      <c r="F559" s="491" t="str">
        <f ca="1"/>
        <v/>
      </c>
      <c r="G559" s="492" t="str">
        <f ca="1"/>
        <v/>
      </c>
      <c r="H559" s="492" t="str">
        <f ca="1"/>
        <v/>
      </c>
      <c r="I559" s="492" t="str">
        <f ca="1"/>
        <v/>
      </c>
      <c r="J559" s="492" t="str">
        <f ca="1"/>
        <v/>
      </c>
      <c r="K559" s="508" t="str">
        <f ca="1"/>
        <v/>
      </c>
      <c r="L559" s="515" t="str">
        <f ca="1"/>
        <v/>
      </c>
      <c r="M559" s="450" t="str">
        <f ca="1"/>
        <v/>
      </c>
      <c r="N559" s="450" t="str">
        <f ca="1"/>
        <v/>
      </c>
    </row>
    <row r="560" spans="1:14">
      <c r="A560" s="5"/>
      <c r="B560" s="249"/>
      <c r="C560" s="384" t="str">
        <f ca="1"/>
        <v/>
      </c>
      <c r="D560" s="491" t="str">
        <f ca="1"/>
        <v/>
      </c>
      <c r="E560" s="508" t="str">
        <f ca="1"/>
        <v/>
      </c>
      <c r="F560" s="491" t="str">
        <f ca="1"/>
        <v/>
      </c>
      <c r="G560" s="492" t="str">
        <f ca="1"/>
        <v/>
      </c>
      <c r="H560" s="492" t="str">
        <f ca="1"/>
        <v/>
      </c>
      <c r="I560" s="492" t="str">
        <f ca="1"/>
        <v/>
      </c>
      <c r="J560" s="492" t="str">
        <f ca="1"/>
        <v/>
      </c>
      <c r="K560" s="508" t="str">
        <f ca="1"/>
        <v/>
      </c>
      <c r="L560" s="515" t="str">
        <f ca="1"/>
        <v/>
      </c>
      <c r="M560" s="450" t="str">
        <f ca="1"/>
        <v/>
      </c>
      <c r="N560" s="450" t="str">
        <f ca="1"/>
        <v/>
      </c>
    </row>
    <row r="561" spans="1:14">
      <c r="A561" s="5"/>
      <c r="B561" s="249"/>
      <c r="C561" s="384" t="str">
        <f ca="1"/>
        <v/>
      </c>
      <c r="D561" s="491" t="str">
        <f ca="1"/>
        <v/>
      </c>
      <c r="E561" s="508" t="str">
        <f ca="1"/>
        <v/>
      </c>
      <c r="F561" s="491" t="str">
        <f ca="1"/>
        <v/>
      </c>
      <c r="G561" s="492" t="str">
        <f ca="1"/>
        <v/>
      </c>
      <c r="H561" s="492" t="str">
        <f ca="1"/>
        <v/>
      </c>
      <c r="I561" s="492" t="str">
        <f ca="1"/>
        <v/>
      </c>
      <c r="J561" s="492" t="str">
        <f ca="1"/>
        <v/>
      </c>
      <c r="K561" s="508" t="str">
        <f ca="1"/>
        <v/>
      </c>
      <c r="L561" s="515" t="str">
        <f ca="1"/>
        <v/>
      </c>
      <c r="M561" s="450" t="str">
        <f ca="1"/>
        <v/>
      </c>
      <c r="N561" s="450" t="str">
        <f ca="1"/>
        <v/>
      </c>
    </row>
    <row r="562" spans="1:14">
      <c r="A562" s="5"/>
      <c r="B562" s="249"/>
      <c r="C562" s="384" t="str">
        <f ca="1"/>
        <v/>
      </c>
      <c r="D562" s="491" t="str">
        <f ca="1"/>
        <v/>
      </c>
      <c r="E562" s="508" t="str">
        <f ca="1"/>
        <v/>
      </c>
      <c r="F562" s="491" t="str">
        <f ca="1"/>
        <v/>
      </c>
      <c r="G562" s="492" t="str">
        <f ca="1"/>
        <v/>
      </c>
      <c r="H562" s="492" t="str">
        <f ca="1"/>
        <v/>
      </c>
      <c r="I562" s="492" t="str">
        <f ca="1"/>
        <v/>
      </c>
      <c r="J562" s="492" t="str">
        <f ca="1"/>
        <v/>
      </c>
      <c r="K562" s="508" t="str">
        <f ca="1"/>
        <v/>
      </c>
      <c r="L562" s="515" t="str">
        <f ca="1"/>
        <v/>
      </c>
      <c r="M562" s="450" t="str">
        <f ca="1"/>
        <v/>
      </c>
      <c r="N562" s="450" t="str">
        <f ca="1"/>
        <v/>
      </c>
    </row>
    <row r="563" spans="1:14">
      <c r="A563" s="5"/>
      <c r="B563" s="249"/>
      <c r="C563" s="384" t="str">
        <f ca="1"/>
        <v/>
      </c>
      <c r="D563" s="491" t="str">
        <f ca="1"/>
        <v/>
      </c>
      <c r="E563" s="508" t="str">
        <f ca="1"/>
        <v/>
      </c>
      <c r="F563" s="491" t="str">
        <f ca="1"/>
        <v/>
      </c>
      <c r="G563" s="492" t="str">
        <f ca="1"/>
        <v/>
      </c>
      <c r="H563" s="492" t="str">
        <f ca="1"/>
        <v/>
      </c>
      <c r="I563" s="492" t="str">
        <f ca="1"/>
        <v/>
      </c>
      <c r="J563" s="492" t="str">
        <f ca="1"/>
        <v/>
      </c>
      <c r="K563" s="508" t="str">
        <f ca="1"/>
        <v/>
      </c>
      <c r="L563" s="515" t="str">
        <f ca="1"/>
        <v/>
      </c>
      <c r="M563" s="450" t="str">
        <f ca="1"/>
        <v/>
      </c>
      <c r="N563" s="450" t="str">
        <f ca="1"/>
        <v/>
      </c>
    </row>
    <row r="564" spans="1:14">
      <c r="A564" s="5"/>
      <c r="B564" s="249"/>
      <c r="C564" s="384" t="str">
        <f ca="1"/>
        <v/>
      </c>
      <c r="D564" s="491" t="str">
        <f ca="1"/>
        <v/>
      </c>
      <c r="E564" s="508" t="str">
        <f ca="1"/>
        <v/>
      </c>
      <c r="F564" s="491" t="str">
        <f ca="1"/>
        <v/>
      </c>
      <c r="G564" s="492" t="str">
        <f ca="1"/>
        <v/>
      </c>
      <c r="H564" s="492" t="str">
        <f ca="1"/>
        <v/>
      </c>
      <c r="I564" s="492" t="str">
        <f ca="1"/>
        <v/>
      </c>
      <c r="J564" s="492" t="str">
        <f ca="1"/>
        <v/>
      </c>
      <c r="K564" s="508" t="str">
        <f ca="1"/>
        <v/>
      </c>
      <c r="L564" s="515" t="str">
        <f ca="1"/>
        <v/>
      </c>
      <c r="M564" s="450" t="str">
        <f ca="1"/>
        <v/>
      </c>
      <c r="N564" s="450" t="str">
        <f ca="1"/>
        <v/>
      </c>
    </row>
    <row r="565" spans="1:14">
      <c r="A565" s="5"/>
      <c r="B565" s="249"/>
      <c r="C565" s="384" t="str">
        <f ca="1"/>
        <v/>
      </c>
      <c r="D565" s="491" t="str">
        <f ca="1"/>
        <v/>
      </c>
      <c r="E565" s="508" t="str">
        <f ca="1"/>
        <v/>
      </c>
      <c r="F565" s="491" t="str">
        <f ca="1"/>
        <v/>
      </c>
      <c r="G565" s="492" t="str">
        <f ca="1"/>
        <v/>
      </c>
      <c r="H565" s="492" t="str">
        <f ca="1"/>
        <v/>
      </c>
      <c r="I565" s="492" t="str">
        <f ca="1"/>
        <v/>
      </c>
      <c r="J565" s="492" t="str">
        <f ca="1"/>
        <v/>
      </c>
      <c r="K565" s="508" t="str">
        <f ca="1"/>
        <v/>
      </c>
      <c r="L565" s="515" t="str">
        <f ca="1"/>
        <v/>
      </c>
      <c r="M565" s="450" t="str">
        <f ca="1"/>
        <v/>
      </c>
      <c r="N565" s="450" t="str">
        <f ca="1"/>
        <v/>
      </c>
    </row>
    <row r="566" spans="1:14">
      <c r="A566" s="5"/>
      <c r="B566" s="249"/>
      <c r="C566" s="384" t="str">
        <f ca="1"/>
        <v/>
      </c>
      <c r="D566" s="491" t="str">
        <f ca="1"/>
        <v/>
      </c>
      <c r="E566" s="508" t="str">
        <f ca="1"/>
        <v/>
      </c>
      <c r="F566" s="491" t="str">
        <f ca="1"/>
        <v/>
      </c>
      <c r="G566" s="492" t="str">
        <f ca="1"/>
        <v/>
      </c>
      <c r="H566" s="492" t="str">
        <f ca="1"/>
        <v/>
      </c>
      <c r="I566" s="492" t="str">
        <f ca="1"/>
        <v/>
      </c>
      <c r="J566" s="492" t="str">
        <f ca="1"/>
        <v/>
      </c>
      <c r="K566" s="508" t="str">
        <f ca="1"/>
        <v/>
      </c>
      <c r="L566" s="515" t="str">
        <f ca="1"/>
        <v/>
      </c>
      <c r="M566" s="450" t="str">
        <f ca="1"/>
        <v/>
      </c>
      <c r="N566" s="450" t="str">
        <f ca="1"/>
        <v/>
      </c>
    </row>
    <row r="567" spans="1:14">
      <c r="A567" s="5"/>
      <c r="B567" s="249"/>
      <c r="C567" s="384" t="str">
        <f ca="1"/>
        <v/>
      </c>
      <c r="D567" s="491" t="str">
        <f ca="1"/>
        <v/>
      </c>
      <c r="E567" s="508" t="str">
        <f ca="1"/>
        <v/>
      </c>
      <c r="F567" s="491" t="str">
        <f ca="1"/>
        <v/>
      </c>
      <c r="G567" s="492" t="str">
        <f ca="1"/>
        <v/>
      </c>
      <c r="H567" s="492" t="str">
        <f ca="1"/>
        <v/>
      </c>
      <c r="I567" s="492" t="str">
        <f ca="1"/>
        <v/>
      </c>
      <c r="J567" s="492" t="str">
        <f ca="1"/>
        <v/>
      </c>
      <c r="K567" s="508" t="str">
        <f ca="1"/>
        <v/>
      </c>
      <c r="L567" s="515" t="str">
        <f ca="1"/>
        <v/>
      </c>
      <c r="M567" s="450" t="str">
        <f ca="1"/>
        <v/>
      </c>
      <c r="N567" s="450" t="str">
        <f ca="1"/>
        <v/>
      </c>
    </row>
    <row r="568" spans="1:14">
      <c r="A568" s="5"/>
      <c r="B568" s="249"/>
      <c r="C568" s="12"/>
      <c r="D568" s="491"/>
      <c r="E568" s="508"/>
      <c r="F568" s="491"/>
      <c r="G568" s="492"/>
      <c r="H568" s="492"/>
      <c r="I568" s="492"/>
      <c r="J568" s="492"/>
      <c r="K568" s="508"/>
      <c r="L568" s="515"/>
      <c r="M568" s="450"/>
      <c r="N568" s="450"/>
    </row>
    <row r="569" spans="1:14">
      <c r="A569" s="5"/>
      <c r="B569" s="249" t="str">
        <f ca="1">+'I-4 History'!B426</f>
        <v>A-23</v>
      </c>
      <c r="C569" s="14" t="str">
        <f ca="1">+'I-4 History'!C426</f>
        <v>Information Technology</v>
      </c>
      <c r="D569" s="491"/>
      <c r="E569" s="508"/>
      <c r="F569" s="491"/>
      <c r="G569" s="492"/>
      <c r="H569" s="492"/>
      <c r="I569" s="492"/>
      <c r="J569" s="492"/>
      <c r="K569" s="508"/>
      <c r="L569" s="515"/>
      <c r="M569" s="450"/>
      <c r="N569" s="450"/>
    </row>
    <row r="570" spans="1:14">
      <c r="A570" s="5"/>
      <c r="B570" s="249"/>
      <c r="C570" s="384" t="str">
        <f t="array" ref="C570:K579" ca="1">+'A-23'!$A$160:$I$169</f>
        <v>Step Change</v>
      </c>
      <c r="D570" s="491">
        <f ca="1"/>
        <v>0</v>
      </c>
      <c r="E570" s="508">
        <f ca="1"/>
        <v>0</v>
      </c>
      <c r="F570" s="491">
        <f ca="1"/>
        <v>1.8128511366595974</v>
      </c>
      <c r="G570" s="492">
        <f ca="1"/>
        <v>2.7069999999999999</v>
      </c>
      <c r="H570" s="492">
        <f ca="1"/>
        <v>3.0510000000000002</v>
      </c>
      <c r="I570" s="492">
        <f ca="1"/>
        <v>4.2160000000000002</v>
      </c>
      <c r="J570" s="492">
        <f ca="1"/>
        <v>4.3659999999999997</v>
      </c>
      <c r="K570" s="508">
        <f ca="1"/>
        <v>4.4210000000000003</v>
      </c>
      <c r="L570" s="515" t="str">
        <f t="array" ref="L570:N579" ca="1">+'A-23'!$K$160:$M$169</f>
        <v>Proposal Step Change</v>
      </c>
      <c r="M570" s="450" t="str">
        <f ca="1"/>
        <v>Refer Opex Workings</v>
      </c>
      <c r="N570" s="450" t="str">
        <f ca="1"/>
        <v>Proposal, October 2014</v>
      </c>
    </row>
    <row r="571" spans="1:14">
      <c r="A571" s="5"/>
      <c r="B571" s="249"/>
      <c r="C571" s="384" t="str">
        <f ca="1"/>
        <v/>
      </c>
      <c r="D571" s="491" t="str">
        <f ca="1"/>
        <v/>
      </c>
      <c r="E571" s="508" t="str">
        <f ca="1"/>
        <v/>
      </c>
      <c r="F571" s="491" t="str">
        <f ca="1"/>
        <v/>
      </c>
      <c r="G571" s="492" t="str">
        <f ca="1"/>
        <v/>
      </c>
      <c r="H571" s="492" t="str">
        <f ca="1"/>
        <v/>
      </c>
      <c r="I571" s="492" t="str">
        <f ca="1"/>
        <v/>
      </c>
      <c r="J571" s="492" t="str">
        <f ca="1"/>
        <v/>
      </c>
      <c r="K571" s="508" t="str">
        <f ca="1"/>
        <v/>
      </c>
      <c r="L571" s="515" t="str">
        <f ca="1"/>
        <v/>
      </c>
      <c r="M571" s="450" t="str">
        <f ca="1"/>
        <v/>
      </c>
      <c r="N571" s="450" t="str">
        <f ca="1"/>
        <v/>
      </c>
    </row>
    <row r="572" spans="1:14">
      <c r="A572" s="5"/>
      <c r="B572" s="249"/>
      <c r="C572" s="384" t="str">
        <f ca="1"/>
        <v/>
      </c>
      <c r="D572" s="491" t="str">
        <f ca="1"/>
        <v/>
      </c>
      <c r="E572" s="508" t="str">
        <f ca="1"/>
        <v/>
      </c>
      <c r="F572" s="491" t="str">
        <f ca="1"/>
        <v/>
      </c>
      <c r="G572" s="492" t="str">
        <f ca="1"/>
        <v/>
      </c>
      <c r="H572" s="492" t="str">
        <f ca="1"/>
        <v/>
      </c>
      <c r="I572" s="492" t="str">
        <f ca="1"/>
        <v/>
      </c>
      <c r="J572" s="492" t="str">
        <f ca="1"/>
        <v/>
      </c>
      <c r="K572" s="508" t="str">
        <f ca="1"/>
        <v/>
      </c>
      <c r="L572" s="515" t="str">
        <f ca="1"/>
        <v/>
      </c>
      <c r="M572" s="450" t="str">
        <f ca="1"/>
        <v/>
      </c>
      <c r="N572" s="450" t="str">
        <f ca="1"/>
        <v/>
      </c>
    </row>
    <row r="573" spans="1:14">
      <c r="A573" s="5"/>
      <c r="B573" s="249"/>
      <c r="C573" s="384" t="str">
        <f ca="1"/>
        <v/>
      </c>
      <c r="D573" s="491" t="str">
        <f ca="1"/>
        <v/>
      </c>
      <c r="E573" s="508" t="str">
        <f ca="1"/>
        <v/>
      </c>
      <c r="F573" s="491" t="str">
        <f ca="1"/>
        <v/>
      </c>
      <c r="G573" s="492" t="str">
        <f ca="1"/>
        <v/>
      </c>
      <c r="H573" s="492" t="str">
        <f ca="1"/>
        <v/>
      </c>
      <c r="I573" s="492" t="str">
        <f ca="1"/>
        <v/>
      </c>
      <c r="J573" s="492" t="str">
        <f ca="1"/>
        <v/>
      </c>
      <c r="K573" s="508" t="str">
        <f ca="1"/>
        <v/>
      </c>
      <c r="L573" s="515" t="str">
        <f ca="1"/>
        <v/>
      </c>
      <c r="M573" s="450" t="str">
        <f ca="1"/>
        <v/>
      </c>
      <c r="N573" s="450" t="str">
        <f ca="1"/>
        <v/>
      </c>
    </row>
    <row r="574" spans="1:14">
      <c r="A574" s="5"/>
      <c r="B574" s="249"/>
      <c r="C574" s="384" t="str">
        <f ca="1"/>
        <v/>
      </c>
      <c r="D574" s="491" t="str">
        <f ca="1"/>
        <v/>
      </c>
      <c r="E574" s="508" t="str">
        <f ca="1"/>
        <v/>
      </c>
      <c r="F574" s="491" t="str">
        <f ca="1"/>
        <v/>
      </c>
      <c r="G574" s="492" t="str">
        <f ca="1"/>
        <v/>
      </c>
      <c r="H574" s="492" t="str">
        <f ca="1"/>
        <v/>
      </c>
      <c r="I574" s="492" t="str">
        <f ca="1"/>
        <v/>
      </c>
      <c r="J574" s="492" t="str">
        <f ca="1"/>
        <v/>
      </c>
      <c r="K574" s="508" t="str">
        <f ca="1"/>
        <v/>
      </c>
      <c r="L574" s="515" t="str">
        <f ca="1"/>
        <v/>
      </c>
      <c r="M574" s="450" t="str">
        <f ca="1"/>
        <v/>
      </c>
      <c r="N574" s="450" t="str">
        <f ca="1"/>
        <v/>
      </c>
    </row>
    <row r="575" spans="1:14">
      <c r="A575" s="5"/>
      <c r="B575" s="249"/>
      <c r="C575" s="384" t="str">
        <f ca="1"/>
        <v/>
      </c>
      <c r="D575" s="491" t="str">
        <f ca="1"/>
        <v/>
      </c>
      <c r="E575" s="508" t="str">
        <f ca="1"/>
        <v/>
      </c>
      <c r="F575" s="491" t="str">
        <f ca="1"/>
        <v/>
      </c>
      <c r="G575" s="492" t="str">
        <f ca="1"/>
        <v/>
      </c>
      <c r="H575" s="492" t="str">
        <f ca="1"/>
        <v/>
      </c>
      <c r="I575" s="492" t="str">
        <f ca="1"/>
        <v/>
      </c>
      <c r="J575" s="492" t="str">
        <f ca="1"/>
        <v/>
      </c>
      <c r="K575" s="508" t="str">
        <f ca="1"/>
        <v/>
      </c>
      <c r="L575" s="515" t="str">
        <f ca="1"/>
        <v/>
      </c>
      <c r="M575" s="450" t="str">
        <f ca="1"/>
        <v/>
      </c>
      <c r="N575" s="450" t="str">
        <f ca="1"/>
        <v/>
      </c>
    </row>
    <row r="576" spans="1:14">
      <c r="A576" s="5"/>
      <c r="B576" s="249"/>
      <c r="C576" s="384" t="str">
        <f ca="1"/>
        <v/>
      </c>
      <c r="D576" s="491" t="str">
        <f ca="1"/>
        <v/>
      </c>
      <c r="E576" s="508" t="str">
        <f ca="1"/>
        <v/>
      </c>
      <c r="F576" s="491" t="str">
        <f ca="1"/>
        <v/>
      </c>
      <c r="G576" s="492" t="str">
        <f ca="1"/>
        <v/>
      </c>
      <c r="H576" s="492" t="str">
        <f ca="1"/>
        <v/>
      </c>
      <c r="I576" s="492" t="str">
        <f ca="1"/>
        <v/>
      </c>
      <c r="J576" s="492" t="str">
        <f ca="1"/>
        <v/>
      </c>
      <c r="K576" s="508" t="str">
        <f ca="1"/>
        <v/>
      </c>
      <c r="L576" s="515" t="str">
        <f ca="1"/>
        <v/>
      </c>
      <c r="M576" s="450" t="str">
        <f ca="1"/>
        <v/>
      </c>
      <c r="N576" s="450" t="str">
        <f ca="1"/>
        <v/>
      </c>
    </row>
    <row r="577" spans="1:14">
      <c r="A577" s="5"/>
      <c r="B577" s="249"/>
      <c r="C577" s="384" t="str">
        <f ca="1"/>
        <v/>
      </c>
      <c r="D577" s="491" t="str">
        <f ca="1"/>
        <v/>
      </c>
      <c r="E577" s="508" t="str">
        <f ca="1"/>
        <v/>
      </c>
      <c r="F577" s="491" t="str">
        <f ca="1"/>
        <v/>
      </c>
      <c r="G577" s="492" t="str">
        <f ca="1"/>
        <v/>
      </c>
      <c r="H577" s="492" t="str">
        <f ca="1"/>
        <v/>
      </c>
      <c r="I577" s="492" t="str">
        <f ca="1"/>
        <v/>
      </c>
      <c r="J577" s="492" t="str">
        <f ca="1"/>
        <v/>
      </c>
      <c r="K577" s="508" t="str">
        <f ca="1"/>
        <v/>
      </c>
      <c r="L577" s="515" t="str">
        <f ca="1"/>
        <v/>
      </c>
      <c r="M577" s="450" t="str">
        <f ca="1"/>
        <v/>
      </c>
      <c r="N577" s="450" t="str">
        <f ca="1"/>
        <v/>
      </c>
    </row>
    <row r="578" spans="1:14">
      <c r="A578" s="5"/>
      <c r="B578" s="249"/>
      <c r="C578" s="384" t="str">
        <f ca="1"/>
        <v/>
      </c>
      <c r="D578" s="491" t="str">
        <f ca="1"/>
        <v/>
      </c>
      <c r="E578" s="508" t="str">
        <f ca="1"/>
        <v/>
      </c>
      <c r="F578" s="491" t="str">
        <f ca="1"/>
        <v/>
      </c>
      <c r="G578" s="492" t="str">
        <f ca="1"/>
        <v/>
      </c>
      <c r="H578" s="492" t="str">
        <f ca="1"/>
        <v/>
      </c>
      <c r="I578" s="492" t="str">
        <f ca="1"/>
        <v/>
      </c>
      <c r="J578" s="492" t="str">
        <f ca="1"/>
        <v/>
      </c>
      <c r="K578" s="508" t="str">
        <f ca="1"/>
        <v/>
      </c>
      <c r="L578" s="515" t="str">
        <f ca="1"/>
        <v/>
      </c>
      <c r="M578" s="450" t="str">
        <f ca="1"/>
        <v/>
      </c>
      <c r="N578" s="450" t="str">
        <f ca="1"/>
        <v/>
      </c>
    </row>
    <row r="579" spans="1:14">
      <c r="A579" s="5"/>
      <c r="B579" s="249"/>
      <c r="C579" s="384" t="str">
        <f ca="1"/>
        <v/>
      </c>
      <c r="D579" s="491" t="str">
        <f ca="1"/>
        <v/>
      </c>
      <c r="E579" s="508" t="str">
        <f ca="1"/>
        <v/>
      </c>
      <c r="F579" s="491" t="str">
        <f ca="1"/>
        <v/>
      </c>
      <c r="G579" s="492" t="str">
        <f ca="1"/>
        <v/>
      </c>
      <c r="H579" s="492" t="str">
        <f ca="1"/>
        <v/>
      </c>
      <c r="I579" s="492" t="str">
        <f ca="1"/>
        <v/>
      </c>
      <c r="J579" s="492" t="str">
        <f ca="1"/>
        <v/>
      </c>
      <c r="K579" s="508" t="str">
        <f ca="1"/>
        <v/>
      </c>
      <c r="L579" s="515" t="str">
        <f ca="1"/>
        <v/>
      </c>
      <c r="M579" s="450" t="str">
        <f ca="1"/>
        <v/>
      </c>
      <c r="N579" s="450" t="str">
        <f ca="1"/>
        <v/>
      </c>
    </row>
    <row r="580" spans="1:14">
      <c r="A580" s="5"/>
      <c r="B580" s="249"/>
      <c r="C580" s="12"/>
      <c r="D580" s="491"/>
      <c r="E580" s="508"/>
      <c r="F580" s="491"/>
      <c r="G580" s="492"/>
      <c r="H580" s="492"/>
      <c r="I580" s="492"/>
      <c r="J580" s="492"/>
      <c r="K580" s="508"/>
      <c r="L580" s="515"/>
      <c r="M580" s="450"/>
      <c r="N580" s="450"/>
    </row>
    <row r="581" spans="1:14">
      <c r="A581" s="5"/>
      <c r="B581" s="249" t="str">
        <f ca="1">+'I-4 History'!B435</f>
        <v>A-24</v>
      </c>
      <c r="C581" s="14" t="str">
        <f ca="1">+'I-4 History'!C435</f>
        <v>Property – Offices and Depots</v>
      </c>
      <c r="D581" s="491"/>
      <c r="E581" s="508"/>
      <c r="F581" s="491"/>
      <c r="G581" s="492"/>
      <c r="H581" s="492"/>
      <c r="I581" s="492"/>
      <c r="J581" s="492"/>
      <c r="K581" s="508"/>
      <c r="L581" s="515"/>
      <c r="M581" s="450"/>
      <c r="N581" s="450"/>
    </row>
    <row r="582" spans="1:14">
      <c r="A582" s="5"/>
      <c r="B582" s="249"/>
      <c r="C582" s="384" t="str">
        <f t="array" ref="C582:K591" ca="1">+'A-24'!$A$160:$I$169</f>
        <v>Step Change</v>
      </c>
      <c r="D582" s="491">
        <f ca="1"/>
        <v>0</v>
      </c>
      <c r="E582" s="508">
        <f ca="1"/>
        <v>0</v>
      </c>
      <c r="F582" s="491">
        <f ca="1"/>
        <v>0</v>
      </c>
      <c r="G582" s="492">
        <f ca="1"/>
        <v>0</v>
      </c>
      <c r="H582" s="492">
        <f ca="1"/>
        <v>0</v>
      </c>
      <c r="I582" s="492">
        <f ca="1"/>
        <v>0</v>
      </c>
      <c r="J582" s="492">
        <f ca="1"/>
        <v>0</v>
      </c>
      <c r="K582" s="508">
        <f ca="1"/>
        <v>0</v>
      </c>
      <c r="L582" s="515" t="str">
        <f t="array" ref="L582:N591" ca="1">+'A-24'!$K$160:$M$169</f>
        <v>Proposal Step Change</v>
      </c>
      <c r="M582" s="450" t="str">
        <f ca="1"/>
        <v>Refer Opex Workings</v>
      </c>
      <c r="N582" s="450" t="str">
        <f ca="1"/>
        <v>Proposal, October 2014</v>
      </c>
    </row>
    <row r="583" spans="1:14">
      <c r="A583" s="5"/>
      <c r="B583" s="249"/>
      <c r="C583" s="384" t="str">
        <f ca="1"/>
        <v/>
      </c>
      <c r="D583" s="491" t="str">
        <f ca="1"/>
        <v/>
      </c>
      <c r="E583" s="508" t="str">
        <f ca="1"/>
        <v/>
      </c>
      <c r="F583" s="491" t="str">
        <f ca="1"/>
        <v/>
      </c>
      <c r="G583" s="492" t="str">
        <f ca="1"/>
        <v/>
      </c>
      <c r="H583" s="492" t="str">
        <f ca="1"/>
        <v/>
      </c>
      <c r="I583" s="492" t="str">
        <f ca="1"/>
        <v/>
      </c>
      <c r="J583" s="492" t="str">
        <f ca="1"/>
        <v/>
      </c>
      <c r="K583" s="508" t="str">
        <f ca="1"/>
        <v/>
      </c>
      <c r="L583" s="515" t="str">
        <f ca="1"/>
        <v/>
      </c>
      <c r="M583" s="450" t="str">
        <f ca="1"/>
        <v/>
      </c>
      <c r="N583" s="450" t="str">
        <f ca="1"/>
        <v/>
      </c>
    </row>
    <row r="584" spans="1:14">
      <c r="A584" s="5"/>
      <c r="B584" s="249"/>
      <c r="C584" s="384" t="str">
        <f ca="1"/>
        <v/>
      </c>
      <c r="D584" s="491" t="str">
        <f ca="1"/>
        <v/>
      </c>
      <c r="E584" s="508" t="str">
        <f ca="1"/>
        <v/>
      </c>
      <c r="F584" s="491" t="str">
        <f ca="1"/>
        <v/>
      </c>
      <c r="G584" s="492" t="str">
        <f ca="1"/>
        <v/>
      </c>
      <c r="H584" s="492" t="str">
        <f ca="1"/>
        <v/>
      </c>
      <c r="I584" s="492" t="str">
        <f ca="1"/>
        <v/>
      </c>
      <c r="J584" s="492" t="str">
        <f ca="1"/>
        <v/>
      </c>
      <c r="K584" s="508" t="str">
        <f ca="1"/>
        <v/>
      </c>
      <c r="L584" s="515" t="str">
        <f ca="1"/>
        <v/>
      </c>
      <c r="M584" s="450" t="str">
        <f ca="1"/>
        <v/>
      </c>
      <c r="N584" s="450" t="str">
        <f ca="1"/>
        <v/>
      </c>
    </row>
    <row r="585" spans="1:14">
      <c r="A585" s="5"/>
      <c r="B585" s="249"/>
      <c r="C585" s="384" t="str">
        <f ca="1"/>
        <v/>
      </c>
      <c r="D585" s="491" t="str">
        <f ca="1"/>
        <v/>
      </c>
      <c r="E585" s="508" t="str">
        <f ca="1"/>
        <v/>
      </c>
      <c r="F585" s="491" t="str">
        <f ca="1"/>
        <v/>
      </c>
      <c r="G585" s="492" t="str">
        <f ca="1"/>
        <v/>
      </c>
      <c r="H585" s="492" t="str">
        <f ca="1"/>
        <v/>
      </c>
      <c r="I585" s="492" t="str">
        <f ca="1"/>
        <v/>
      </c>
      <c r="J585" s="492" t="str">
        <f ca="1"/>
        <v/>
      </c>
      <c r="K585" s="508" t="str">
        <f ca="1"/>
        <v/>
      </c>
      <c r="L585" s="515" t="str">
        <f ca="1"/>
        <v/>
      </c>
      <c r="M585" s="450" t="str">
        <f ca="1"/>
        <v/>
      </c>
      <c r="N585" s="450" t="str">
        <f ca="1"/>
        <v/>
      </c>
    </row>
    <row r="586" spans="1:14">
      <c r="A586" s="5"/>
      <c r="B586" s="249"/>
      <c r="C586" s="384" t="str">
        <f ca="1"/>
        <v/>
      </c>
      <c r="D586" s="491" t="str">
        <f ca="1"/>
        <v/>
      </c>
      <c r="E586" s="508" t="str">
        <f ca="1"/>
        <v/>
      </c>
      <c r="F586" s="491" t="str">
        <f ca="1"/>
        <v/>
      </c>
      <c r="G586" s="492" t="str">
        <f ca="1"/>
        <v/>
      </c>
      <c r="H586" s="492" t="str">
        <f ca="1"/>
        <v/>
      </c>
      <c r="I586" s="492" t="str">
        <f ca="1"/>
        <v/>
      </c>
      <c r="J586" s="492" t="str">
        <f ca="1"/>
        <v/>
      </c>
      <c r="K586" s="508" t="str">
        <f ca="1"/>
        <v/>
      </c>
      <c r="L586" s="515" t="str">
        <f ca="1"/>
        <v/>
      </c>
      <c r="M586" s="450" t="str">
        <f ca="1"/>
        <v/>
      </c>
      <c r="N586" s="450" t="str">
        <f ca="1"/>
        <v/>
      </c>
    </row>
    <row r="587" spans="1:14">
      <c r="B587" s="249"/>
      <c r="C587" s="384" t="str">
        <f ca="1"/>
        <v/>
      </c>
      <c r="D587" s="491" t="str">
        <f ca="1"/>
        <v/>
      </c>
      <c r="E587" s="508" t="str">
        <f ca="1"/>
        <v/>
      </c>
      <c r="F587" s="491" t="str">
        <f ca="1"/>
        <v/>
      </c>
      <c r="G587" s="492" t="str">
        <f ca="1"/>
        <v/>
      </c>
      <c r="H587" s="492" t="str">
        <f ca="1"/>
        <v/>
      </c>
      <c r="I587" s="492" t="str">
        <f ca="1"/>
        <v/>
      </c>
      <c r="J587" s="492" t="str">
        <f ca="1"/>
        <v/>
      </c>
      <c r="K587" s="508" t="str">
        <f ca="1"/>
        <v/>
      </c>
      <c r="L587" s="515" t="str">
        <f ca="1"/>
        <v/>
      </c>
      <c r="M587" s="450" t="str">
        <f ca="1"/>
        <v/>
      </c>
      <c r="N587" s="450" t="str">
        <f ca="1"/>
        <v/>
      </c>
    </row>
    <row r="588" spans="1:14">
      <c r="B588" s="249"/>
      <c r="C588" s="384" t="str">
        <f ca="1"/>
        <v/>
      </c>
      <c r="D588" s="491" t="str">
        <f ca="1"/>
        <v/>
      </c>
      <c r="E588" s="508" t="str">
        <f ca="1"/>
        <v/>
      </c>
      <c r="F588" s="491" t="str">
        <f ca="1"/>
        <v/>
      </c>
      <c r="G588" s="492" t="str">
        <f ca="1"/>
        <v/>
      </c>
      <c r="H588" s="492" t="str">
        <f ca="1"/>
        <v/>
      </c>
      <c r="I588" s="492" t="str">
        <f ca="1"/>
        <v/>
      </c>
      <c r="J588" s="492" t="str">
        <f ca="1"/>
        <v/>
      </c>
      <c r="K588" s="508" t="str">
        <f ca="1"/>
        <v/>
      </c>
      <c r="L588" s="515" t="str">
        <f ca="1"/>
        <v/>
      </c>
      <c r="M588" s="450" t="str">
        <f ca="1"/>
        <v/>
      </c>
      <c r="N588" s="450" t="str">
        <f ca="1"/>
        <v/>
      </c>
    </row>
    <row r="589" spans="1:14">
      <c r="B589" s="249"/>
      <c r="C589" s="384" t="str">
        <f ca="1"/>
        <v/>
      </c>
      <c r="D589" s="491" t="str">
        <f ca="1"/>
        <v/>
      </c>
      <c r="E589" s="508" t="str">
        <f ca="1"/>
        <v/>
      </c>
      <c r="F589" s="491" t="str">
        <f ca="1"/>
        <v/>
      </c>
      <c r="G589" s="492" t="str">
        <f ca="1"/>
        <v/>
      </c>
      <c r="H589" s="492" t="str">
        <f ca="1"/>
        <v/>
      </c>
      <c r="I589" s="492" t="str">
        <f ca="1"/>
        <v/>
      </c>
      <c r="J589" s="492" t="str">
        <f ca="1"/>
        <v/>
      </c>
      <c r="K589" s="508" t="str">
        <f ca="1"/>
        <v/>
      </c>
      <c r="L589" s="515" t="str">
        <f ca="1"/>
        <v/>
      </c>
      <c r="M589" s="450" t="str">
        <f ca="1"/>
        <v/>
      </c>
      <c r="N589" s="450" t="str">
        <f ca="1"/>
        <v/>
      </c>
    </row>
    <row r="590" spans="1:14">
      <c r="B590" s="249"/>
      <c r="C590" s="384" t="str">
        <f ca="1"/>
        <v/>
      </c>
      <c r="D590" s="491" t="str">
        <f ca="1"/>
        <v/>
      </c>
      <c r="E590" s="508" t="str">
        <f ca="1"/>
        <v/>
      </c>
      <c r="F590" s="491" t="str">
        <f ca="1"/>
        <v/>
      </c>
      <c r="G590" s="492" t="str">
        <f ca="1"/>
        <v/>
      </c>
      <c r="H590" s="492" t="str">
        <f ca="1"/>
        <v/>
      </c>
      <c r="I590" s="492" t="str">
        <f ca="1"/>
        <v/>
      </c>
      <c r="J590" s="492" t="str">
        <f ca="1"/>
        <v/>
      </c>
      <c r="K590" s="508" t="str">
        <f ca="1"/>
        <v/>
      </c>
      <c r="L590" s="515" t="str">
        <f ca="1"/>
        <v/>
      </c>
      <c r="M590" s="450" t="str">
        <f ca="1"/>
        <v/>
      </c>
      <c r="N590" s="450" t="str">
        <f ca="1"/>
        <v/>
      </c>
    </row>
    <row r="591" spans="1:14">
      <c r="B591" s="249"/>
      <c r="C591" s="384" t="str">
        <f ca="1"/>
        <v/>
      </c>
      <c r="D591" s="491" t="str">
        <f ca="1"/>
        <v/>
      </c>
      <c r="E591" s="508" t="str">
        <f ca="1"/>
        <v/>
      </c>
      <c r="F591" s="491" t="str">
        <f ca="1"/>
        <v/>
      </c>
      <c r="G591" s="492" t="str">
        <f ca="1"/>
        <v/>
      </c>
      <c r="H591" s="492" t="str">
        <f ca="1"/>
        <v/>
      </c>
      <c r="I591" s="492" t="str">
        <f ca="1"/>
        <v/>
      </c>
      <c r="J591" s="492" t="str">
        <f ca="1"/>
        <v/>
      </c>
      <c r="K591" s="508" t="str">
        <f ca="1"/>
        <v/>
      </c>
      <c r="L591" s="515" t="str">
        <f ca="1"/>
        <v/>
      </c>
      <c r="M591" s="450" t="str">
        <f ca="1"/>
        <v/>
      </c>
      <c r="N591" s="450" t="str">
        <f ca="1"/>
        <v/>
      </c>
    </row>
    <row r="592" spans="1:14">
      <c r="B592" s="249"/>
      <c r="C592" s="12"/>
      <c r="D592" s="491"/>
      <c r="E592" s="508"/>
      <c r="F592" s="491"/>
      <c r="G592" s="492"/>
      <c r="H592" s="492"/>
      <c r="I592" s="492"/>
      <c r="J592" s="492"/>
      <c r="K592" s="508"/>
      <c r="L592" s="515"/>
      <c r="M592" s="450"/>
      <c r="N592" s="450"/>
    </row>
    <row r="593" spans="1:14">
      <c r="A593" s="5"/>
      <c r="B593" s="249" t="str">
        <f ca="1">+'I-4 History'!B444</f>
        <v>A-25</v>
      </c>
      <c r="C593" s="14" t="str">
        <f ca="1">+'I-4 History'!C444</f>
        <v>Property – DLC Land Tax</v>
      </c>
      <c r="D593" s="491"/>
      <c r="E593" s="508"/>
      <c r="F593" s="491"/>
      <c r="G593" s="492"/>
      <c r="H593" s="492"/>
      <c r="I593" s="492"/>
      <c r="J593" s="492"/>
      <c r="K593" s="508"/>
      <c r="L593" s="515"/>
      <c r="M593" s="450"/>
      <c r="N593" s="450"/>
    </row>
    <row r="594" spans="1:14">
      <c r="A594" s="5"/>
      <c r="B594" s="249"/>
      <c r="C594" s="384" t="str">
        <f t="array" ref="C594:K603" ca="1">+'A-25'!$A$160:$I$169</f>
        <v>Step Change</v>
      </c>
      <c r="D594" s="491">
        <f ca="1"/>
        <v>0</v>
      </c>
      <c r="E594" s="508">
        <f ca="1"/>
        <v>0</v>
      </c>
      <c r="F594" s="491">
        <f ca="1"/>
        <v>0</v>
      </c>
      <c r="G594" s="492">
        <f ca="1"/>
        <v>0</v>
      </c>
      <c r="H594" s="492">
        <f ca="1"/>
        <v>0</v>
      </c>
      <c r="I594" s="492">
        <f ca="1"/>
        <v>0</v>
      </c>
      <c r="J594" s="492">
        <f ca="1"/>
        <v>0</v>
      </c>
      <c r="K594" s="508">
        <f ca="1"/>
        <v>0</v>
      </c>
      <c r="L594" s="515" t="str">
        <f t="array" ref="L594:N603" ca="1">+'A-25'!$K$160:$M$169</f>
        <v>Proposal Step Change</v>
      </c>
      <c r="M594" s="450" t="str">
        <f ca="1"/>
        <v>Refer Opex Workings</v>
      </c>
      <c r="N594" s="450" t="str">
        <f ca="1"/>
        <v>Proposal, October 2014</v>
      </c>
    </row>
    <row r="595" spans="1:14">
      <c r="A595" s="5"/>
      <c r="B595" s="249"/>
      <c r="C595" s="382" t="str">
        <f ca="1"/>
        <v/>
      </c>
      <c r="D595" s="491" t="str">
        <f ca="1"/>
        <v/>
      </c>
      <c r="E595" s="508" t="str">
        <f ca="1"/>
        <v/>
      </c>
      <c r="F595" s="491" t="str">
        <f ca="1"/>
        <v/>
      </c>
      <c r="G595" s="492" t="str">
        <f ca="1"/>
        <v/>
      </c>
      <c r="H595" s="492" t="str">
        <f ca="1"/>
        <v/>
      </c>
      <c r="I595" s="492" t="str">
        <f ca="1"/>
        <v/>
      </c>
      <c r="J595" s="492" t="str">
        <f ca="1"/>
        <v/>
      </c>
      <c r="K595" s="508" t="str">
        <f ca="1"/>
        <v/>
      </c>
      <c r="L595" s="515" t="str">
        <f ca="1"/>
        <v/>
      </c>
      <c r="M595" s="450" t="str">
        <f ca="1"/>
        <v/>
      </c>
      <c r="N595" s="450" t="str">
        <f ca="1"/>
        <v/>
      </c>
    </row>
    <row r="596" spans="1:14">
      <c r="A596" s="5"/>
      <c r="B596" s="249"/>
      <c r="C596" s="382" t="str">
        <f ca="1"/>
        <v/>
      </c>
      <c r="D596" s="491" t="str">
        <f ca="1"/>
        <v/>
      </c>
      <c r="E596" s="508" t="str">
        <f ca="1"/>
        <v/>
      </c>
      <c r="F596" s="491" t="str">
        <f ca="1"/>
        <v/>
      </c>
      <c r="G596" s="492" t="str">
        <f ca="1"/>
        <v/>
      </c>
      <c r="H596" s="492" t="str">
        <f ca="1"/>
        <v/>
      </c>
      <c r="I596" s="492" t="str">
        <f ca="1"/>
        <v/>
      </c>
      <c r="J596" s="492" t="str">
        <f ca="1"/>
        <v/>
      </c>
      <c r="K596" s="508" t="str">
        <f ca="1"/>
        <v/>
      </c>
      <c r="L596" s="515" t="str">
        <f ca="1"/>
        <v/>
      </c>
      <c r="M596" s="450" t="str">
        <f ca="1"/>
        <v/>
      </c>
      <c r="N596" s="450" t="str">
        <f ca="1"/>
        <v/>
      </c>
    </row>
    <row r="597" spans="1:14">
      <c r="A597" s="5"/>
      <c r="B597" s="249"/>
      <c r="C597" s="382" t="str">
        <f ca="1"/>
        <v/>
      </c>
      <c r="D597" s="491" t="str">
        <f ca="1"/>
        <v/>
      </c>
      <c r="E597" s="508" t="str">
        <f ca="1"/>
        <v/>
      </c>
      <c r="F597" s="491" t="str">
        <f ca="1"/>
        <v/>
      </c>
      <c r="G597" s="492" t="str">
        <f ca="1"/>
        <v/>
      </c>
      <c r="H597" s="492" t="str">
        <f ca="1"/>
        <v/>
      </c>
      <c r="I597" s="492" t="str">
        <f ca="1"/>
        <v/>
      </c>
      <c r="J597" s="492" t="str">
        <f ca="1"/>
        <v/>
      </c>
      <c r="K597" s="508" t="str">
        <f ca="1"/>
        <v/>
      </c>
      <c r="L597" s="515" t="str">
        <f ca="1"/>
        <v/>
      </c>
      <c r="M597" s="450" t="str">
        <f ca="1"/>
        <v/>
      </c>
      <c r="N597" s="450" t="str">
        <f ca="1"/>
        <v/>
      </c>
    </row>
    <row r="598" spans="1:14">
      <c r="A598" s="5"/>
      <c r="B598" s="249"/>
      <c r="C598" s="382" t="str">
        <f ca="1"/>
        <v/>
      </c>
      <c r="D598" s="491" t="str">
        <f ca="1"/>
        <v/>
      </c>
      <c r="E598" s="508" t="str">
        <f ca="1"/>
        <v/>
      </c>
      <c r="F598" s="491" t="str">
        <f ca="1"/>
        <v/>
      </c>
      <c r="G598" s="492" t="str">
        <f ca="1"/>
        <v/>
      </c>
      <c r="H598" s="492" t="str">
        <f ca="1"/>
        <v/>
      </c>
      <c r="I598" s="492" t="str">
        <f ca="1"/>
        <v/>
      </c>
      <c r="J598" s="492" t="str">
        <f ca="1"/>
        <v/>
      </c>
      <c r="K598" s="508" t="str">
        <f ca="1"/>
        <v/>
      </c>
      <c r="L598" s="515" t="str">
        <f ca="1"/>
        <v/>
      </c>
      <c r="M598" s="450" t="str">
        <f ca="1"/>
        <v/>
      </c>
      <c r="N598" s="450" t="str">
        <f ca="1"/>
        <v/>
      </c>
    </row>
    <row r="599" spans="1:14">
      <c r="A599" s="5"/>
      <c r="B599" s="249"/>
      <c r="C599" s="384" t="str">
        <f ca="1"/>
        <v/>
      </c>
      <c r="D599" s="491" t="str">
        <f ca="1"/>
        <v/>
      </c>
      <c r="E599" s="508" t="str">
        <f ca="1"/>
        <v/>
      </c>
      <c r="F599" s="491" t="str">
        <f ca="1"/>
        <v/>
      </c>
      <c r="G599" s="492" t="str">
        <f ca="1"/>
        <v/>
      </c>
      <c r="H599" s="492" t="str">
        <f ca="1"/>
        <v/>
      </c>
      <c r="I599" s="492" t="str">
        <f ca="1"/>
        <v/>
      </c>
      <c r="J599" s="492" t="str">
        <f ca="1"/>
        <v/>
      </c>
      <c r="K599" s="508" t="str">
        <f ca="1"/>
        <v/>
      </c>
      <c r="L599" s="515" t="str">
        <f ca="1"/>
        <v/>
      </c>
      <c r="M599" s="450" t="str">
        <f ca="1"/>
        <v/>
      </c>
      <c r="N599" s="450" t="str">
        <f ca="1"/>
        <v/>
      </c>
    </row>
    <row r="600" spans="1:14">
      <c r="A600" s="5"/>
      <c r="B600" s="249"/>
      <c r="C600" s="384" t="str">
        <f ca="1"/>
        <v/>
      </c>
      <c r="D600" s="491" t="str">
        <f ca="1"/>
        <v/>
      </c>
      <c r="E600" s="508" t="str">
        <f ca="1"/>
        <v/>
      </c>
      <c r="F600" s="491" t="str">
        <f ca="1"/>
        <v/>
      </c>
      <c r="G600" s="492" t="str">
        <f ca="1"/>
        <v/>
      </c>
      <c r="H600" s="492" t="str">
        <f ca="1"/>
        <v/>
      </c>
      <c r="I600" s="492" t="str">
        <f ca="1"/>
        <v/>
      </c>
      <c r="J600" s="492" t="str">
        <f ca="1"/>
        <v/>
      </c>
      <c r="K600" s="508" t="str">
        <f ca="1"/>
        <v/>
      </c>
      <c r="L600" s="515" t="str">
        <f ca="1"/>
        <v/>
      </c>
      <c r="M600" s="450" t="str">
        <f ca="1"/>
        <v/>
      </c>
      <c r="N600" s="450" t="str">
        <f ca="1"/>
        <v/>
      </c>
    </row>
    <row r="601" spans="1:14">
      <c r="A601" s="5"/>
      <c r="B601" s="249"/>
      <c r="C601" s="384" t="str">
        <f ca="1"/>
        <v/>
      </c>
      <c r="D601" s="491" t="str">
        <f ca="1"/>
        <v/>
      </c>
      <c r="E601" s="508" t="str">
        <f ca="1"/>
        <v/>
      </c>
      <c r="F601" s="491" t="str">
        <f ca="1"/>
        <v/>
      </c>
      <c r="G601" s="492" t="str">
        <f ca="1"/>
        <v/>
      </c>
      <c r="H601" s="492" t="str">
        <f ca="1"/>
        <v/>
      </c>
      <c r="I601" s="492" t="str">
        <f ca="1"/>
        <v/>
      </c>
      <c r="J601" s="492" t="str">
        <f ca="1"/>
        <v/>
      </c>
      <c r="K601" s="508" t="str">
        <f ca="1"/>
        <v/>
      </c>
      <c r="L601" s="515" t="str">
        <f ca="1"/>
        <v/>
      </c>
      <c r="M601" s="450" t="str">
        <f ca="1"/>
        <v/>
      </c>
      <c r="N601" s="450" t="str">
        <f ca="1"/>
        <v/>
      </c>
    </row>
    <row r="602" spans="1:14">
      <c r="A602" s="5"/>
      <c r="B602" s="249"/>
      <c r="C602" s="384" t="str">
        <f ca="1"/>
        <v/>
      </c>
      <c r="D602" s="491" t="str">
        <f ca="1"/>
        <v/>
      </c>
      <c r="E602" s="508" t="str">
        <f ca="1"/>
        <v/>
      </c>
      <c r="F602" s="491" t="str">
        <f ca="1"/>
        <v/>
      </c>
      <c r="G602" s="492" t="str">
        <f ca="1"/>
        <v/>
      </c>
      <c r="H602" s="492" t="str">
        <f ca="1"/>
        <v/>
      </c>
      <c r="I602" s="492" t="str">
        <f ca="1"/>
        <v/>
      </c>
      <c r="J602" s="492" t="str">
        <f ca="1"/>
        <v/>
      </c>
      <c r="K602" s="508" t="str">
        <f ca="1"/>
        <v/>
      </c>
      <c r="L602" s="515" t="str">
        <f ca="1"/>
        <v/>
      </c>
      <c r="M602" s="450" t="str">
        <f ca="1"/>
        <v/>
      </c>
      <c r="N602" s="450" t="str">
        <f ca="1"/>
        <v/>
      </c>
    </row>
    <row r="603" spans="1:14">
      <c r="A603" s="5"/>
      <c r="B603" s="249"/>
      <c r="C603" s="384" t="str">
        <f ca="1"/>
        <v/>
      </c>
      <c r="D603" s="491" t="str">
        <f ca="1"/>
        <v/>
      </c>
      <c r="E603" s="508" t="str">
        <f ca="1"/>
        <v/>
      </c>
      <c r="F603" s="491" t="str">
        <f ca="1"/>
        <v/>
      </c>
      <c r="G603" s="492" t="str">
        <f ca="1"/>
        <v/>
      </c>
      <c r="H603" s="492" t="str">
        <f ca="1"/>
        <v/>
      </c>
      <c r="I603" s="492" t="str">
        <f ca="1"/>
        <v/>
      </c>
      <c r="J603" s="492" t="str">
        <f ca="1"/>
        <v/>
      </c>
      <c r="K603" s="508" t="str">
        <f ca="1"/>
        <v/>
      </c>
      <c r="L603" s="515" t="str">
        <f ca="1"/>
        <v/>
      </c>
      <c r="M603" s="450" t="str">
        <f ca="1"/>
        <v/>
      </c>
      <c r="N603" s="450" t="str">
        <f ca="1"/>
        <v/>
      </c>
    </row>
    <row r="604" spans="1:14">
      <c r="A604" s="5"/>
      <c r="B604" s="249"/>
      <c r="C604" s="12"/>
      <c r="D604" s="491"/>
      <c r="E604" s="508"/>
      <c r="F604" s="491"/>
      <c r="G604" s="492"/>
      <c r="H604" s="492"/>
      <c r="I604" s="492"/>
      <c r="J604" s="492"/>
      <c r="K604" s="508"/>
      <c r="L604" s="515"/>
      <c r="M604" s="450"/>
      <c r="N604" s="450"/>
    </row>
    <row r="605" spans="1:14">
      <c r="A605" s="5"/>
      <c r="B605" s="249" t="str">
        <f ca="1">+'I-4 History'!B453</f>
        <v>A-26</v>
      </c>
      <c r="C605" s="14" t="str">
        <f ca="1">+'I-4 History'!C453</f>
        <v>OHS</v>
      </c>
      <c r="D605" s="491"/>
      <c r="E605" s="508"/>
      <c r="F605" s="491"/>
      <c r="G605" s="492"/>
      <c r="H605" s="492"/>
      <c r="I605" s="492"/>
      <c r="J605" s="492"/>
      <c r="K605" s="508"/>
      <c r="L605" s="515"/>
      <c r="M605" s="450"/>
      <c r="N605" s="450"/>
    </row>
    <row r="606" spans="1:14">
      <c r="A606" s="5"/>
      <c r="B606" s="249"/>
      <c r="C606" s="384" t="str">
        <f t="array" ref="C606:K615" ca="1">+'A-26'!$A$160:$I$169</f>
        <v>Step Change</v>
      </c>
      <c r="D606" s="491">
        <f ca="1"/>
        <v>0</v>
      </c>
      <c r="E606" s="508">
        <f ca="1"/>
        <v>0</v>
      </c>
      <c r="F606" s="491">
        <f ca="1"/>
        <v>0.20508241247162998</v>
      </c>
      <c r="G606" s="492">
        <f ca="1"/>
        <v>0.88</v>
      </c>
      <c r="H606" s="492">
        <f ca="1"/>
        <v>1.079</v>
      </c>
      <c r="I606" s="492">
        <f ca="1"/>
        <v>1.2689999999999999</v>
      </c>
      <c r="J606" s="492">
        <f ca="1"/>
        <v>1.363</v>
      </c>
      <c r="K606" s="508">
        <f ca="1"/>
        <v>1.363</v>
      </c>
      <c r="L606" s="515" t="str">
        <f t="array" ref="L606:N615" ca="1">+'A-26'!$K$160:$M$169</f>
        <v>Proposal Step Change</v>
      </c>
      <c r="M606" s="450" t="str">
        <f ca="1"/>
        <v>Refer Opex Workings</v>
      </c>
      <c r="N606" s="450" t="str">
        <f ca="1"/>
        <v>Proposal, October 2014</v>
      </c>
    </row>
    <row r="607" spans="1:14">
      <c r="A607" s="5"/>
      <c r="B607" s="249"/>
      <c r="C607" s="382" t="str">
        <f ca="1"/>
        <v/>
      </c>
      <c r="D607" s="491" t="str">
        <f ca="1"/>
        <v/>
      </c>
      <c r="E607" s="508" t="str">
        <f ca="1"/>
        <v/>
      </c>
      <c r="F607" s="491" t="str">
        <f ca="1"/>
        <v/>
      </c>
      <c r="G607" s="492" t="str">
        <f ca="1"/>
        <v/>
      </c>
      <c r="H607" s="492" t="str">
        <f ca="1"/>
        <v/>
      </c>
      <c r="I607" s="492" t="str">
        <f ca="1"/>
        <v/>
      </c>
      <c r="J607" s="492" t="str">
        <f ca="1"/>
        <v/>
      </c>
      <c r="K607" s="508" t="str">
        <f ca="1"/>
        <v/>
      </c>
      <c r="L607" s="515" t="str">
        <f ca="1"/>
        <v/>
      </c>
      <c r="M607" s="450" t="str">
        <f ca="1"/>
        <v/>
      </c>
      <c r="N607" s="450" t="str">
        <f ca="1"/>
        <v/>
      </c>
    </row>
    <row r="608" spans="1:14">
      <c r="A608" s="5"/>
      <c r="B608" s="249"/>
      <c r="C608" s="382" t="str">
        <f ca="1"/>
        <v/>
      </c>
      <c r="D608" s="491" t="str">
        <f ca="1"/>
        <v/>
      </c>
      <c r="E608" s="508" t="str">
        <f ca="1"/>
        <v/>
      </c>
      <c r="F608" s="491" t="str">
        <f ca="1"/>
        <v/>
      </c>
      <c r="G608" s="492" t="str">
        <f ca="1"/>
        <v/>
      </c>
      <c r="H608" s="492" t="str">
        <f ca="1"/>
        <v/>
      </c>
      <c r="I608" s="492" t="str">
        <f ca="1"/>
        <v/>
      </c>
      <c r="J608" s="492" t="str">
        <f ca="1"/>
        <v/>
      </c>
      <c r="K608" s="508" t="str">
        <f ca="1"/>
        <v/>
      </c>
      <c r="L608" s="515" t="str">
        <f ca="1"/>
        <v/>
      </c>
      <c r="M608" s="450" t="str">
        <f ca="1"/>
        <v/>
      </c>
      <c r="N608" s="450" t="str">
        <f ca="1"/>
        <v/>
      </c>
    </row>
    <row r="609" spans="1:14">
      <c r="A609" s="5"/>
      <c r="B609" s="249"/>
      <c r="C609" s="382" t="str">
        <f ca="1"/>
        <v/>
      </c>
      <c r="D609" s="491" t="str">
        <f ca="1"/>
        <v/>
      </c>
      <c r="E609" s="508" t="str">
        <f ca="1"/>
        <v/>
      </c>
      <c r="F609" s="491" t="str">
        <f ca="1"/>
        <v/>
      </c>
      <c r="G609" s="492" t="str">
        <f ca="1"/>
        <v/>
      </c>
      <c r="H609" s="492" t="str">
        <f ca="1"/>
        <v/>
      </c>
      <c r="I609" s="492" t="str">
        <f ca="1"/>
        <v/>
      </c>
      <c r="J609" s="492" t="str">
        <f ca="1"/>
        <v/>
      </c>
      <c r="K609" s="508" t="str">
        <f ca="1"/>
        <v/>
      </c>
      <c r="L609" s="515" t="str">
        <f ca="1"/>
        <v/>
      </c>
      <c r="M609" s="450" t="str">
        <f ca="1"/>
        <v/>
      </c>
      <c r="N609" s="450" t="str">
        <f ca="1"/>
        <v/>
      </c>
    </row>
    <row r="610" spans="1:14">
      <c r="A610" s="5"/>
      <c r="B610" s="249"/>
      <c r="C610" s="382" t="str">
        <f ca="1"/>
        <v/>
      </c>
      <c r="D610" s="491" t="str">
        <f ca="1"/>
        <v/>
      </c>
      <c r="E610" s="508" t="str">
        <f ca="1"/>
        <v/>
      </c>
      <c r="F610" s="491" t="str">
        <f ca="1"/>
        <v/>
      </c>
      <c r="G610" s="492" t="str">
        <f ca="1"/>
        <v/>
      </c>
      <c r="H610" s="492" t="str">
        <f ca="1"/>
        <v/>
      </c>
      <c r="I610" s="492" t="str">
        <f ca="1"/>
        <v/>
      </c>
      <c r="J610" s="492" t="str">
        <f ca="1"/>
        <v/>
      </c>
      <c r="K610" s="508" t="str">
        <f ca="1"/>
        <v/>
      </c>
      <c r="L610" s="515" t="str">
        <f ca="1"/>
        <v/>
      </c>
      <c r="M610" s="450" t="str">
        <f ca="1"/>
        <v/>
      </c>
      <c r="N610" s="450" t="str">
        <f ca="1"/>
        <v/>
      </c>
    </row>
    <row r="611" spans="1:14">
      <c r="B611" s="249"/>
      <c r="C611" s="384" t="str">
        <f ca="1"/>
        <v/>
      </c>
      <c r="D611" s="491" t="str">
        <f ca="1"/>
        <v/>
      </c>
      <c r="E611" s="508" t="str">
        <f ca="1"/>
        <v/>
      </c>
      <c r="F611" s="491" t="str">
        <f ca="1"/>
        <v/>
      </c>
      <c r="G611" s="492" t="str">
        <f ca="1"/>
        <v/>
      </c>
      <c r="H611" s="492" t="str">
        <f ca="1"/>
        <v/>
      </c>
      <c r="I611" s="492" t="str">
        <f ca="1"/>
        <v/>
      </c>
      <c r="J611" s="492" t="str">
        <f ca="1"/>
        <v/>
      </c>
      <c r="K611" s="508" t="str">
        <f ca="1"/>
        <v/>
      </c>
      <c r="L611" s="515" t="str">
        <f ca="1"/>
        <v/>
      </c>
      <c r="M611" s="450" t="str">
        <f ca="1"/>
        <v/>
      </c>
      <c r="N611" s="450" t="str">
        <f ca="1"/>
        <v/>
      </c>
    </row>
    <row r="612" spans="1:14">
      <c r="B612" s="249"/>
      <c r="C612" s="384" t="str">
        <f ca="1"/>
        <v/>
      </c>
      <c r="D612" s="491" t="str">
        <f ca="1"/>
        <v/>
      </c>
      <c r="E612" s="508" t="str">
        <f ca="1"/>
        <v/>
      </c>
      <c r="F612" s="491" t="str">
        <f ca="1"/>
        <v/>
      </c>
      <c r="G612" s="492" t="str">
        <f ca="1"/>
        <v/>
      </c>
      <c r="H612" s="492" t="str">
        <f ca="1"/>
        <v/>
      </c>
      <c r="I612" s="492" t="str">
        <f ca="1"/>
        <v/>
      </c>
      <c r="J612" s="492" t="str">
        <f ca="1"/>
        <v/>
      </c>
      <c r="K612" s="508" t="str">
        <f ca="1"/>
        <v/>
      </c>
      <c r="L612" s="515" t="str">
        <f ca="1"/>
        <v/>
      </c>
      <c r="M612" s="450" t="str">
        <f ca="1"/>
        <v/>
      </c>
      <c r="N612" s="450" t="str">
        <f ca="1"/>
        <v/>
      </c>
    </row>
    <row r="613" spans="1:14">
      <c r="B613" s="249"/>
      <c r="C613" s="384" t="str">
        <f ca="1"/>
        <v/>
      </c>
      <c r="D613" s="491" t="str">
        <f ca="1"/>
        <v/>
      </c>
      <c r="E613" s="508" t="str">
        <f ca="1"/>
        <v/>
      </c>
      <c r="F613" s="491" t="str">
        <f ca="1"/>
        <v/>
      </c>
      <c r="G613" s="492" t="str">
        <f ca="1"/>
        <v/>
      </c>
      <c r="H613" s="492" t="str">
        <f ca="1"/>
        <v/>
      </c>
      <c r="I613" s="492" t="str">
        <f ca="1"/>
        <v/>
      </c>
      <c r="J613" s="492" t="str">
        <f ca="1"/>
        <v/>
      </c>
      <c r="K613" s="508" t="str">
        <f ca="1"/>
        <v/>
      </c>
      <c r="L613" s="515" t="str">
        <f ca="1"/>
        <v/>
      </c>
      <c r="M613" s="450" t="str">
        <f ca="1"/>
        <v/>
      </c>
      <c r="N613" s="450" t="str">
        <f ca="1"/>
        <v/>
      </c>
    </row>
    <row r="614" spans="1:14">
      <c r="B614" s="249"/>
      <c r="C614" s="384" t="str">
        <f ca="1"/>
        <v/>
      </c>
      <c r="D614" s="491" t="str">
        <f ca="1"/>
        <v/>
      </c>
      <c r="E614" s="508" t="str">
        <f ca="1"/>
        <v/>
      </c>
      <c r="F614" s="491" t="str">
        <f ca="1"/>
        <v/>
      </c>
      <c r="G614" s="492" t="str">
        <f ca="1"/>
        <v/>
      </c>
      <c r="H614" s="492" t="str">
        <f ca="1"/>
        <v/>
      </c>
      <c r="I614" s="492" t="str">
        <f ca="1"/>
        <v/>
      </c>
      <c r="J614" s="492" t="str">
        <f ca="1"/>
        <v/>
      </c>
      <c r="K614" s="508" t="str">
        <f ca="1"/>
        <v/>
      </c>
      <c r="L614" s="515" t="str">
        <f ca="1"/>
        <v/>
      </c>
      <c r="M614" s="450" t="str">
        <f ca="1"/>
        <v/>
      </c>
      <c r="N614" s="450" t="str">
        <f ca="1"/>
        <v/>
      </c>
    </row>
    <row r="615" spans="1:14">
      <c r="B615" s="249"/>
      <c r="C615" s="384" t="str">
        <f ca="1"/>
        <v/>
      </c>
      <c r="D615" s="491" t="str">
        <f ca="1"/>
        <v/>
      </c>
      <c r="E615" s="508" t="str">
        <f ca="1"/>
        <v/>
      </c>
      <c r="F615" s="491" t="str">
        <f ca="1"/>
        <v/>
      </c>
      <c r="G615" s="492" t="str">
        <f ca="1"/>
        <v/>
      </c>
      <c r="H615" s="492" t="str">
        <f ca="1"/>
        <v/>
      </c>
      <c r="I615" s="492" t="str">
        <f ca="1"/>
        <v/>
      </c>
      <c r="J615" s="492" t="str">
        <f ca="1"/>
        <v/>
      </c>
      <c r="K615" s="508" t="str">
        <f ca="1"/>
        <v/>
      </c>
      <c r="L615" s="515" t="str">
        <f ca="1"/>
        <v/>
      </c>
      <c r="M615" s="450" t="str">
        <f ca="1"/>
        <v/>
      </c>
      <c r="N615" s="450" t="str">
        <f ca="1"/>
        <v/>
      </c>
    </row>
    <row r="616" spans="1:14">
      <c r="B616" s="249"/>
      <c r="C616" s="13"/>
      <c r="D616" s="491"/>
      <c r="E616" s="508"/>
      <c r="F616" s="491"/>
      <c r="G616" s="492"/>
      <c r="H616" s="492"/>
      <c r="I616" s="492"/>
      <c r="J616" s="492"/>
      <c r="K616" s="508"/>
      <c r="L616" s="515"/>
      <c r="M616" s="450"/>
      <c r="N616" s="450"/>
    </row>
    <row r="617" spans="1:14">
      <c r="A617" s="5"/>
      <c r="B617" s="249" t="str">
        <f ca="1">+'I-4 History'!B462</f>
        <v>A-27</v>
      </c>
      <c r="C617" s="14" t="str">
        <f ca="1">+'I-4 History'!C462</f>
        <v>Environment</v>
      </c>
      <c r="D617" s="491"/>
      <c r="E617" s="508"/>
      <c r="F617" s="491"/>
      <c r="G617" s="492"/>
      <c r="H617" s="492"/>
      <c r="I617" s="492"/>
      <c r="J617" s="492"/>
      <c r="K617" s="508"/>
      <c r="L617" s="515"/>
      <c r="M617" s="450"/>
      <c r="N617" s="450"/>
    </row>
    <row r="618" spans="1:14">
      <c r="A618" s="5"/>
      <c r="B618" s="249"/>
      <c r="C618" s="384" t="str">
        <f t="array" ref="C618:K627" ca="1">+'A-27'!$A$160:$I$169</f>
        <v>Step Change</v>
      </c>
      <c r="D618" s="491">
        <f ca="1"/>
        <v>0</v>
      </c>
      <c r="E618" s="508">
        <f ca="1"/>
        <v>0</v>
      </c>
      <c r="F618" s="491">
        <f ca="1"/>
        <v>0</v>
      </c>
      <c r="G618" s="492">
        <f ca="1"/>
        <v>0</v>
      </c>
      <c r="H618" s="492">
        <f ca="1"/>
        <v>0</v>
      </c>
      <c r="I618" s="492">
        <f ca="1"/>
        <v>0</v>
      </c>
      <c r="J618" s="492">
        <f ca="1"/>
        <v>0</v>
      </c>
      <c r="K618" s="508">
        <f ca="1"/>
        <v>0</v>
      </c>
      <c r="L618" s="515" t="str">
        <f t="array" ref="L618:N627" ca="1">+'A-27'!$K$160:$M$169</f>
        <v>Proposal Step Change</v>
      </c>
      <c r="M618" s="450" t="str">
        <f ca="1"/>
        <v>Refer Opex Workings</v>
      </c>
      <c r="N618" s="450" t="str">
        <f ca="1"/>
        <v>Proposal, October 2014</v>
      </c>
    </row>
    <row r="619" spans="1:14">
      <c r="A619" s="5"/>
      <c r="B619" s="249"/>
      <c r="C619" s="382" t="str">
        <f ca="1"/>
        <v/>
      </c>
      <c r="D619" s="491" t="str">
        <f ca="1"/>
        <v/>
      </c>
      <c r="E619" s="508" t="str">
        <f ca="1"/>
        <v/>
      </c>
      <c r="F619" s="491" t="str">
        <f ca="1"/>
        <v/>
      </c>
      <c r="G619" s="492" t="str">
        <f ca="1"/>
        <v/>
      </c>
      <c r="H619" s="492" t="str">
        <f ca="1"/>
        <v/>
      </c>
      <c r="I619" s="492" t="str">
        <f ca="1"/>
        <v/>
      </c>
      <c r="J619" s="492" t="str">
        <f ca="1"/>
        <v/>
      </c>
      <c r="K619" s="508" t="str">
        <f ca="1"/>
        <v/>
      </c>
      <c r="L619" s="515" t="str">
        <f ca="1"/>
        <v/>
      </c>
      <c r="M619" s="450" t="str">
        <f ca="1"/>
        <v/>
      </c>
      <c r="N619" s="450" t="str">
        <f ca="1"/>
        <v/>
      </c>
    </row>
    <row r="620" spans="1:14">
      <c r="A620" s="5"/>
      <c r="B620" s="249"/>
      <c r="C620" s="382" t="str">
        <f ca="1"/>
        <v/>
      </c>
      <c r="D620" s="491" t="str">
        <f ca="1"/>
        <v/>
      </c>
      <c r="E620" s="508" t="str">
        <f ca="1"/>
        <v/>
      </c>
      <c r="F620" s="491" t="str">
        <f ca="1"/>
        <v/>
      </c>
      <c r="G620" s="492" t="str">
        <f ca="1"/>
        <v/>
      </c>
      <c r="H620" s="492" t="str">
        <f ca="1"/>
        <v/>
      </c>
      <c r="I620" s="492" t="str">
        <f ca="1"/>
        <v/>
      </c>
      <c r="J620" s="492" t="str">
        <f ca="1"/>
        <v/>
      </c>
      <c r="K620" s="508" t="str">
        <f ca="1"/>
        <v/>
      </c>
      <c r="L620" s="515" t="str">
        <f ca="1"/>
        <v/>
      </c>
      <c r="M620" s="450" t="str">
        <f ca="1"/>
        <v/>
      </c>
      <c r="N620" s="450" t="str">
        <f ca="1"/>
        <v/>
      </c>
    </row>
    <row r="621" spans="1:14">
      <c r="A621" s="5"/>
      <c r="B621" s="249"/>
      <c r="C621" s="382" t="str">
        <f ca="1"/>
        <v/>
      </c>
      <c r="D621" s="491" t="str">
        <f ca="1"/>
        <v/>
      </c>
      <c r="E621" s="508" t="str">
        <f ca="1"/>
        <v/>
      </c>
      <c r="F621" s="491" t="str">
        <f ca="1"/>
        <v/>
      </c>
      <c r="G621" s="492" t="str">
        <f ca="1"/>
        <v/>
      </c>
      <c r="H621" s="492" t="str">
        <f ca="1"/>
        <v/>
      </c>
      <c r="I621" s="492" t="str">
        <f ca="1"/>
        <v/>
      </c>
      <c r="J621" s="492" t="str">
        <f ca="1"/>
        <v/>
      </c>
      <c r="K621" s="508" t="str">
        <f ca="1"/>
        <v/>
      </c>
      <c r="L621" s="515" t="str">
        <f ca="1"/>
        <v/>
      </c>
      <c r="M621" s="450" t="str">
        <f ca="1"/>
        <v/>
      </c>
      <c r="N621" s="450" t="str">
        <f ca="1"/>
        <v/>
      </c>
    </row>
    <row r="622" spans="1:14">
      <c r="A622" s="5"/>
      <c r="B622" s="249"/>
      <c r="C622" s="382" t="str">
        <f ca="1"/>
        <v/>
      </c>
      <c r="D622" s="491" t="str">
        <f ca="1"/>
        <v/>
      </c>
      <c r="E622" s="508" t="str">
        <f ca="1"/>
        <v/>
      </c>
      <c r="F622" s="491" t="str">
        <f ca="1"/>
        <v/>
      </c>
      <c r="G622" s="492" t="str">
        <f ca="1"/>
        <v/>
      </c>
      <c r="H622" s="492" t="str">
        <f ca="1"/>
        <v/>
      </c>
      <c r="I622" s="492" t="str">
        <f ca="1"/>
        <v/>
      </c>
      <c r="J622" s="492" t="str">
        <f ca="1"/>
        <v/>
      </c>
      <c r="K622" s="508" t="str">
        <f ca="1"/>
        <v/>
      </c>
      <c r="L622" s="515" t="str">
        <f ca="1"/>
        <v/>
      </c>
      <c r="M622" s="450" t="str">
        <f ca="1"/>
        <v/>
      </c>
      <c r="N622" s="450" t="str">
        <f ca="1"/>
        <v/>
      </c>
    </row>
    <row r="623" spans="1:14">
      <c r="A623" s="5"/>
      <c r="B623" s="249"/>
      <c r="C623" s="384" t="str">
        <f ca="1"/>
        <v/>
      </c>
      <c r="D623" s="491" t="str">
        <f ca="1"/>
        <v/>
      </c>
      <c r="E623" s="508" t="str">
        <f ca="1"/>
        <v/>
      </c>
      <c r="F623" s="491" t="str">
        <f ca="1"/>
        <v/>
      </c>
      <c r="G623" s="492" t="str">
        <f ca="1"/>
        <v/>
      </c>
      <c r="H623" s="492" t="str">
        <f ca="1"/>
        <v/>
      </c>
      <c r="I623" s="492" t="str">
        <f ca="1"/>
        <v/>
      </c>
      <c r="J623" s="492" t="str">
        <f ca="1"/>
        <v/>
      </c>
      <c r="K623" s="508" t="str">
        <f ca="1"/>
        <v/>
      </c>
      <c r="L623" s="515" t="str">
        <f ca="1"/>
        <v/>
      </c>
      <c r="M623" s="450" t="str">
        <f ca="1"/>
        <v/>
      </c>
      <c r="N623" s="450" t="str">
        <f ca="1"/>
        <v/>
      </c>
    </row>
    <row r="624" spans="1:14">
      <c r="A624" s="5"/>
      <c r="B624" s="249"/>
      <c r="C624" s="384" t="str">
        <f ca="1"/>
        <v/>
      </c>
      <c r="D624" s="491" t="str">
        <f ca="1"/>
        <v/>
      </c>
      <c r="E624" s="508" t="str">
        <f ca="1"/>
        <v/>
      </c>
      <c r="F624" s="491" t="str">
        <f ca="1"/>
        <v/>
      </c>
      <c r="G624" s="492" t="str">
        <f ca="1"/>
        <v/>
      </c>
      <c r="H624" s="492" t="str">
        <f ca="1"/>
        <v/>
      </c>
      <c r="I624" s="492" t="str">
        <f ca="1"/>
        <v/>
      </c>
      <c r="J624" s="492" t="str">
        <f ca="1"/>
        <v/>
      </c>
      <c r="K624" s="508" t="str">
        <f ca="1"/>
        <v/>
      </c>
      <c r="L624" s="515" t="str">
        <f ca="1"/>
        <v/>
      </c>
      <c r="M624" s="450" t="str">
        <f ca="1"/>
        <v/>
      </c>
      <c r="N624" s="450" t="str">
        <f ca="1"/>
        <v/>
      </c>
    </row>
    <row r="625" spans="1:14">
      <c r="A625" s="5"/>
      <c r="B625" s="249"/>
      <c r="C625" s="384" t="str">
        <f ca="1"/>
        <v/>
      </c>
      <c r="D625" s="491" t="str">
        <f ca="1"/>
        <v/>
      </c>
      <c r="E625" s="508" t="str">
        <f ca="1"/>
        <v/>
      </c>
      <c r="F625" s="491" t="str">
        <f ca="1"/>
        <v/>
      </c>
      <c r="G625" s="492" t="str">
        <f ca="1"/>
        <v/>
      </c>
      <c r="H625" s="492" t="str">
        <f ca="1"/>
        <v/>
      </c>
      <c r="I625" s="492" t="str">
        <f ca="1"/>
        <v/>
      </c>
      <c r="J625" s="492" t="str">
        <f ca="1"/>
        <v/>
      </c>
      <c r="K625" s="508" t="str">
        <f ca="1"/>
        <v/>
      </c>
      <c r="L625" s="515" t="str">
        <f ca="1"/>
        <v/>
      </c>
      <c r="M625" s="450" t="str">
        <f ca="1"/>
        <v/>
      </c>
      <c r="N625" s="450" t="str">
        <f ca="1"/>
        <v/>
      </c>
    </row>
    <row r="626" spans="1:14">
      <c r="A626" s="5"/>
      <c r="B626" s="249"/>
      <c r="C626" s="384" t="str">
        <f ca="1"/>
        <v/>
      </c>
      <c r="D626" s="491" t="str">
        <f ca="1"/>
        <v/>
      </c>
      <c r="E626" s="508" t="str">
        <f ca="1"/>
        <v/>
      </c>
      <c r="F626" s="491" t="str">
        <f ca="1"/>
        <v/>
      </c>
      <c r="G626" s="492" t="str">
        <f ca="1"/>
        <v/>
      </c>
      <c r="H626" s="492" t="str">
        <f ca="1"/>
        <v/>
      </c>
      <c r="I626" s="492" t="str">
        <f ca="1"/>
        <v/>
      </c>
      <c r="J626" s="492" t="str">
        <f ca="1"/>
        <v/>
      </c>
      <c r="K626" s="508" t="str">
        <f ca="1"/>
        <v/>
      </c>
      <c r="L626" s="515" t="str">
        <f ca="1"/>
        <v/>
      </c>
      <c r="M626" s="450" t="str">
        <f ca="1"/>
        <v/>
      </c>
      <c r="N626" s="450" t="str">
        <f ca="1"/>
        <v/>
      </c>
    </row>
    <row r="627" spans="1:14">
      <c r="A627" s="5"/>
      <c r="B627" s="249"/>
      <c r="C627" s="384" t="str">
        <f ca="1"/>
        <v/>
      </c>
      <c r="D627" s="491" t="str">
        <f ca="1"/>
        <v/>
      </c>
      <c r="E627" s="508" t="str">
        <f ca="1"/>
        <v/>
      </c>
      <c r="F627" s="491" t="str">
        <f ca="1"/>
        <v/>
      </c>
      <c r="G627" s="492" t="str">
        <f ca="1"/>
        <v/>
      </c>
      <c r="H627" s="492" t="str">
        <f ca="1"/>
        <v/>
      </c>
      <c r="I627" s="492" t="str">
        <f ca="1"/>
        <v/>
      </c>
      <c r="J627" s="492" t="str">
        <f ca="1"/>
        <v/>
      </c>
      <c r="K627" s="508" t="str">
        <f ca="1"/>
        <v/>
      </c>
      <c r="L627" s="515" t="str">
        <f ca="1"/>
        <v/>
      </c>
      <c r="M627" s="450" t="str">
        <f ca="1"/>
        <v/>
      </c>
      <c r="N627" s="450" t="str">
        <f ca="1"/>
        <v/>
      </c>
    </row>
    <row r="628" spans="1:14">
      <c r="A628" s="5"/>
      <c r="B628" s="249"/>
      <c r="C628" s="12"/>
      <c r="D628" s="491"/>
      <c r="E628" s="508"/>
      <c r="F628" s="491"/>
      <c r="G628" s="492"/>
      <c r="H628" s="492"/>
      <c r="I628" s="492"/>
      <c r="J628" s="492"/>
      <c r="K628" s="508"/>
      <c r="L628" s="515"/>
      <c r="M628" s="450"/>
      <c r="N628" s="450"/>
    </row>
    <row r="629" spans="1:14">
      <c r="A629" s="5"/>
      <c r="B629" s="249" t="str">
        <f ca="1">+'I-4 History'!B471</f>
        <v>A-28</v>
      </c>
      <c r="C629" s="262" t="str">
        <f ca="1">+'I-4 History'!C471</f>
        <v xml:space="preserve">Printing </v>
      </c>
      <c r="D629" s="491"/>
      <c r="E629" s="508"/>
      <c r="F629" s="491"/>
      <c r="G629" s="492"/>
      <c r="H629" s="492"/>
      <c r="I629" s="492"/>
      <c r="J629" s="492"/>
      <c r="K629" s="508"/>
      <c r="L629" s="515"/>
      <c r="M629" s="450"/>
      <c r="N629" s="450"/>
    </row>
    <row r="630" spans="1:14">
      <c r="A630" s="5"/>
      <c r="B630" s="249"/>
      <c r="C630" s="384" t="str">
        <f t="array" ref="C630:K639" ca="1">+'A-28'!$A$160:$I$169</f>
        <v>Step Change</v>
      </c>
      <c r="D630" s="491">
        <f ca="1"/>
        <v>0</v>
      </c>
      <c r="E630" s="508">
        <f ca="1"/>
        <v>0</v>
      </c>
      <c r="F630" s="491">
        <f ca="1"/>
        <v>0</v>
      </c>
      <c r="G630" s="492">
        <f ca="1"/>
        <v>0</v>
      </c>
      <c r="H630" s="492">
        <f ca="1"/>
        <v>0</v>
      </c>
      <c r="I630" s="492">
        <f ca="1"/>
        <v>0</v>
      </c>
      <c r="J630" s="492">
        <f ca="1"/>
        <v>0</v>
      </c>
      <c r="K630" s="508">
        <f ca="1"/>
        <v>0</v>
      </c>
      <c r="L630" s="515" t="str">
        <f t="array" ref="L630:N639" ca="1">+'A-28'!$K$160:$M$169</f>
        <v>Proposal Step Change</v>
      </c>
      <c r="M630" s="450" t="str">
        <f ca="1"/>
        <v>Refer Opex Workings</v>
      </c>
      <c r="N630" s="450" t="str">
        <f ca="1"/>
        <v>Proposal, October 2014</v>
      </c>
    </row>
    <row r="631" spans="1:14">
      <c r="A631" s="5"/>
      <c r="B631" s="249"/>
      <c r="C631" s="382" t="str">
        <f ca="1"/>
        <v/>
      </c>
      <c r="D631" s="491" t="str">
        <f ca="1"/>
        <v/>
      </c>
      <c r="E631" s="508" t="str">
        <f ca="1"/>
        <v/>
      </c>
      <c r="F631" s="491" t="str">
        <f ca="1"/>
        <v/>
      </c>
      <c r="G631" s="492" t="str">
        <f ca="1"/>
        <v/>
      </c>
      <c r="H631" s="492" t="str">
        <f ca="1"/>
        <v/>
      </c>
      <c r="I631" s="492" t="str">
        <f ca="1"/>
        <v/>
      </c>
      <c r="J631" s="492" t="str">
        <f ca="1"/>
        <v/>
      </c>
      <c r="K631" s="508" t="str">
        <f ca="1"/>
        <v/>
      </c>
      <c r="L631" s="515" t="str">
        <f ca="1"/>
        <v/>
      </c>
      <c r="M631" s="450" t="str">
        <f ca="1"/>
        <v/>
      </c>
      <c r="N631" s="450" t="str">
        <f ca="1"/>
        <v/>
      </c>
    </row>
    <row r="632" spans="1:14">
      <c r="A632" s="5"/>
      <c r="B632" s="249"/>
      <c r="C632" s="382" t="str">
        <f ca="1"/>
        <v/>
      </c>
      <c r="D632" s="491" t="str">
        <f ca="1"/>
        <v/>
      </c>
      <c r="E632" s="508" t="str">
        <f ca="1"/>
        <v/>
      </c>
      <c r="F632" s="491" t="str">
        <f ca="1"/>
        <v/>
      </c>
      <c r="G632" s="492" t="str">
        <f ca="1"/>
        <v/>
      </c>
      <c r="H632" s="492" t="str">
        <f ca="1"/>
        <v/>
      </c>
      <c r="I632" s="492" t="str">
        <f ca="1"/>
        <v/>
      </c>
      <c r="J632" s="492" t="str">
        <f ca="1"/>
        <v/>
      </c>
      <c r="K632" s="508" t="str">
        <f ca="1"/>
        <v/>
      </c>
      <c r="L632" s="515" t="str">
        <f ca="1"/>
        <v/>
      </c>
      <c r="M632" s="450" t="str">
        <f ca="1"/>
        <v/>
      </c>
      <c r="N632" s="450" t="str">
        <f ca="1"/>
        <v/>
      </c>
    </row>
    <row r="633" spans="1:14">
      <c r="A633" s="5"/>
      <c r="B633" s="249"/>
      <c r="C633" s="382" t="str">
        <f ca="1"/>
        <v/>
      </c>
      <c r="D633" s="491" t="str">
        <f ca="1"/>
        <v/>
      </c>
      <c r="E633" s="508" t="str">
        <f ca="1"/>
        <v/>
      </c>
      <c r="F633" s="491" t="str">
        <f ca="1"/>
        <v/>
      </c>
      <c r="G633" s="492" t="str">
        <f ca="1"/>
        <v/>
      </c>
      <c r="H633" s="492" t="str">
        <f ca="1"/>
        <v/>
      </c>
      <c r="I633" s="492" t="str">
        <f ca="1"/>
        <v/>
      </c>
      <c r="J633" s="492" t="str">
        <f ca="1"/>
        <v/>
      </c>
      <c r="K633" s="508" t="str">
        <f ca="1"/>
        <v/>
      </c>
      <c r="L633" s="515" t="str">
        <f ca="1"/>
        <v/>
      </c>
      <c r="M633" s="450" t="str">
        <f ca="1"/>
        <v/>
      </c>
      <c r="N633" s="450" t="str">
        <f ca="1"/>
        <v/>
      </c>
    </row>
    <row r="634" spans="1:14">
      <c r="A634" s="5"/>
      <c r="B634" s="249"/>
      <c r="C634" s="382" t="str">
        <f ca="1"/>
        <v/>
      </c>
      <c r="D634" s="491" t="str">
        <f ca="1"/>
        <v/>
      </c>
      <c r="E634" s="508" t="str">
        <f ca="1"/>
        <v/>
      </c>
      <c r="F634" s="491" t="str">
        <f ca="1"/>
        <v/>
      </c>
      <c r="G634" s="492" t="str">
        <f ca="1"/>
        <v/>
      </c>
      <c r="H634" s="492" t="str">
        <f ca="1"/>
        <v/>
      </c>
      <c r="I634" s="492" t="str">
        <f ca="1"/>
        <v/>
      </c>
      <c r="J634" s="492" t="str">
        <f ca="1"/>
        <v/>
      </c>
      <c r="K634" s="508" t="str">
        <f ca="1"/>
        <v/>
      </c>
      <c r="L634" s="515" t="str">
        <f ca="1"/>
        <v/>
      </c>
      <c r="M634" s="450" t="str">
        <f ca="1"/>
        <v/>
      </c>
      <c r="N634" s="450" t="str">
        <f ca="1"/>
        <v/>
      </c>
    </row>
    <row r="635" spans="1:14">
      <c r="A635" s="5"/>
      <c r="B635" s="249"/>
      <c r="C635" s="384" t="str">
        <f ca="1"/>
        <v/>
      </c>
      <c r="D635" s="491" t="str">
        <f ca="1"/>
        <v/>
      </c>
      <c r="E635" s="508" t="str">
        <f ca="1"/>
        <v/>
      </c>
      <c r="F635" s="491" t="str">
        <f ca="1"/>
        <v/>
      </c>
      <c r="G635" s="492" t="str">
        <f ca="1"/>
        <v/>
      </c>
      <c r="H635" s="492" t="str">
        <f ca="1"/>
        <v/>
      </c>
      <c r="I635" s="492" t="str">
        <f ca="1"/>
        <v/>
      </c>
      <c r="J635" s="492" t="str">
        <f ca="1"/>
        <v/>
      </c>
      <c r="K635" s="508" t="str">
        <f ca="1"/>
        <v/>
      </c>
      <c r="L635" s="515" t="str">
        <f ca="1"/>
        <v/>
      </c>
      <c r="M635" s="450" t="str">
        <f ca="1"/>
        <v/>
      </c>
      <c r="N635" s="450" t="str">
        <f ca="1"/>
        <v/>
      </c>
    </row>
    <row r="636" spans="1:14">
      <c r="A636" s="5"/>
      <c r="B636" s="249"/>
      <c r="C636" s="384" t="str">
        <f ca="1"/>
        <v/>
      </c>
      <c r="D636" s="491" t="str">
        <f ca="1"/>
        <v/>
      </c>
      <c r="E636" s="508" t="str">
        <f ca="1"/>
        <v/>
      </c>
      <c r="F636" s="491" t="str">
        <f ca="1"/>
        <v/>
      </c>
      <c r="G636" s="492" t="str">
        <f ca="1"/>
        <v/>
      </c>
      <c r="H636" s="492" t="str">
        <f ca="1"/>
        <v/>
      </c>
      <c r="I636" s="492" t="str">
        <f ca="1"/>
        <v/>
      </c>
      <c r="J636" s="492" t="str">
        <f ca="1"/>
        <v/>
      </c>
      <c r="K636" s="508" t="str">
        <f ca="1"/>
        <v/>
      </c>
      <c r="L636" s="515" t="str">
        <f ca="1"/>
        <v/>
      </c>
      <c r="M636" s="450" t="str">
        <f ca="1"/>
        <v/>
      </c>
      <c r="N636" s="450" t="str">
        <f ca="1"/>
        <v/>
      </c>
    </row>
    <row r="637" spans="1:14">
      <c r="A637" s="5"/>
      <c r="B637" s="249"/>
      <c r="C637" s="384" t="str">
        <f ca="1"/>
        <v/>
      </c>
      <c r="D637" s="491" t="str">
        <f ca="1"/>
        <v/>
      </c>
      <c r="E637" s="508" t="str">
        <f ca="1"/>
        <v/>
      </c>
      <c r="F637" s="491" t="str">
        <f ca="1"/>
        <v/>
      </c>
      <c r="G637" s="492" t="str">
        <f ca="1"/>
        <v/>
      </c>
      <c r="H637" s="492" t="str">
        <f ca="1"/>
        <v/>
      </c>
      <c r="I637" s="492" t="str">
        <f ca="1"/>
        <v/>
      </c>
      <c r="J637" s="492" t="str">
        <f ca="1"/>
        <v/>
      </c>
      <c r="K637" s="508" t="str">
        <f ca="1"/>
        <v/>
      </c>
      <c r="L637" s="515" t="str">
        <f ca="1"/>
        <v/>
      </c>
      <c r="M637" s="450" t="str">
        <f ca="1"/>
        <v/>
      </c>
      <c r="N637" s="450" t="str">
        <f ca="1"/>
        <v/>
      </c>
    </row>
    <row r="638" spans="1:14">
      <c r="A638" s="5"/>
      <c r="B638" s="249"/>
      <c r="C638" s="384" t="str">
        <f ca="1"/>
        <v/>
      </c>
      <c r="D638" s="491" t="str">
        <f ca="1"/>
        <v/>
      </c>
      <c r="E638" s="508" t="str">
        <f ca="1"/>
        <v/>
      </c>
      <c r="F638" s="491" t="str">
        <f ca="1"/>
        <v/>
      </c>
      <c r="G638" s="492" t="str">
        <f ca="1"/>
        <v/>
      </c>
      <c r="H638" s="492" t="str">
        <f ca="1"/>
        <v/>
      </c>
      <c r="I638" s="492" t="str">
        <f ca="1"/>
        <v/>
      </c>
      <c r="J638" s="492" t="str">
        <f ca="1"/>
        <v/>
      </c>
      <c r="K638" s="508" t="str">
        <f ca="1"/>
        <v/>
      </c>
      <c r="L638" s="515" t="str">
        <f ca="1"/>
        <v/>
      </c>
      <c r="M638" s="450" t="str">
        <f ca="1"/>
        <v/>
      </c>
      <c r="N638" s="450" t="str">
        <f ca="1"/>
        <v/>
      </c>
    </row>
    <row r="639" spans="1:14">
      <c r="A639" s="5"/>
      <c r="B639" s="249"/>
      <c r="C639" s="384" t="str">
        <f ca="1"/>
        <v/>
      </c>
      <c r="D639" s="491" t="str">
        <f ca="1"/>
        <v/>
      </c>
      <c r="E639" s="508" t="str">
        <f ca="1"/>
        <v/>
      </c>
      <c r="F639" s="491" t="str">
        <f ca="1"/>
        <v/>
      </c>
      <c r="G639" s="492" t="str">
        <f ca="1"/>
        <v/>
      </c>
      <c r="H639" s="492" t="str">
        <f ca="1"/>
        <v/>
      </c>
      <c r="I639" s="492" t="str">
        <f ca="1"/>
        <v/>
      </c>
      <c r="J639" s="492" t="str">
        <f ca="1"/>
        <v/>
      </c>
      <c r="K639" s="508" t="str">
        <f ca="1"/>
        <v/>
      </c>
      <c r="L639" s="515" t="str">
        <f ca="1"/>
        <v/>
      </c>
      <c r="M639" s="450" t="str">
        <f ca="1"/>
        <v/>
      </c>
      <c r="N639" s="450" t="str">
        <f ca="1"/>
        <v/>
      </c>
    </row>
    <row r="640" spans="1:14">
      <c r="A640" s="5"/>
      <c r="B640" s="249"/>
      <c r="C640" s="15"/>
      <c r="D640" s="491"/>
      <c r="E640" s="508"/>
      <c r="F640" s="491"/>
      <c r="G640" s="492"/>
      <c r="H640" s="492"/>
      <c r="I640" s="492"/>
      <c r="J640" s="492"/>
      <c r="K640" s="508"/>
      <c r="L640" s="515"/>
      <c r="M640" s="450"/>
      <c r="N640" s="450"/>
    </row>
    <row r="641" spans="1:14">
      <c r="A641" s="5"/>
      <c r="B641" s="249" t="str">
        <f ca="1">+'I-4 History'!B480</f>
        <v>A-29</v>
      </c>
      <c r="C641" s="262" t="str">
        <f ca="1">+'I-4 History'!C480</f>
        <v xml:space="preserve">Risk &amp; Insurance – Shared Insurance Premiums </v>
      </c>
      <c r="D641" s="491"/>
      <c r="E641" s="508"/>
      <c r="F641" s="491"/>
      <c r="G641" s="492"/>
      <c r="H641" s="492"/>
      <c r="I641" s="492"/>
      <c r="J641" s="492"/>
      <c r="K641" s="508"/>
      <c r="L641" s="515"/>
      <c r="M641" s="450"/>
      <c r="N641" s="450"/>
    </row>
    <row r="642" spans="1:14">
      <c r="A642" s="5"/>
      <c r="B642" s="249"/>
      <c r="C642" s="384" t="str">
        <f t="array" ref="C642:K651" ca="1">+'A-29'!$A$160:$I$169</f>
        <v>Step Change</v>
      </c>
      <c r="D642" s="491">
        <f ca="1"/>
        <v>0</v>
      </c>
      <c r="E642" s="508">
        <f ca="1"/>
        <v>0</v>
      </c>
      <c r="F642" s="491">
        <f ca="1"/>
        <v>0</v>
      </c>
      <c r="G642" s="492">
        <f ca="1"/>
        <v>0</v>
      </c>
      <c r="H642" s="492">
        <f ca="1"/>
        <v>0</v>
      </c>
      <c r="I642" s="492">
        <f ca="1"/>
        <v>0</v>
      </c>
      <c r="J642" s="492">
        <f ca="1"/>
        <v>0</v>
      </c>
      <c r="K642" s="508">
        <f ca="1"/>
        <v>0</v>
      </c>
      <c r="L642" s="515" t="str">
        <f t="array" ref="L642:N651" ca="1">+'A-29'!$K$160:$M$169</f>
        <v>Proposal Step Change</v>
      </c>
      <c r="M642" s="450" t="str">
        <f ca="1"/>
        <v>Refer Opex Workings</v>
      </c>
      <c r="N642" s="450" t="str">
        <f ca="1"/>
        <v>Proposal, October 2014</v>
      </c>
    </row>
    <row r="643" spans="1:14">
      <c r="A643" s="5"/>
      <c r="B643" s="249"/>
      <c r="C643" s="382" t="str">
        <f ca="1"/>
        <v/>
      </c>
      <c r="D643" s="491" t="str">
        <f ca="1"/>
        <v/>
      </c>
      <c r="E643" s="508" t="str">
        <f ca="1"/>
        <v/>
      </c>
      <c r="F643" s="491" t="str">
        <f ca="1"/>
        <v/>
      </c>
      <c r="G643" s="492" t="str">
        <f ca="1"/>
        <v/>
      </c>
      <c r="H643" s="492" t="str">
        <f ca="1"/>
        <v/>
      </c>
      <c r="I643" s="492" t="str">
        <f ca="1"/>
        <v/>
      </c>
      <c r="J643" s="492" t="str">
        <f ca="1"/>
        <v/>
      </c>
      <c r="K643" s="508" t="str">
        <f ca="1"/>
        <v/>
      </c>
      <c r="L643" s="515" t="str">
        <f ca="1"/>
        <v/>
      </c>
      <c r="M643" s="450" t="str">
        <f ca="1"/>
        <v/>
      </c>
      <c r="N643" s="450" t="str">
        <f ca="1"/>
        <v/>
      </c>
    </row>
    <row r="644" spans="1:14">
      <c r="A644" s="5"/>
      <c r="B644" s="249"/>
      <c r="C644" s="382" t="str">
        <f ca="1"/>
        <v/>
      </c>
      <c r="D644" s="491" t="str">
        <f ca="1"/>
        <v/>
      </c>
      <c r="E644" s="508" t="str">
        <f ca="1"/>
        <v/>
      </c>
      <c r="F644" s="491" t="str">
        <f ca="1"/>
        <v/>
      </c>
      <c r="G644" s="492" t="str">
        <f ca="1"/>
        <v/>
      </c>
      <c r="H644" s="492" t="str">
        <f ca="1"/>
        <v/>
      </c>
      <c r="I644" s="492" t="str">
        <f ca="1"/>
        <v/>
      </c>
      <c r="J644" s="492" t="str">
        <f ca="1"/>
        <v/>
      </c>
      <c r="K644" s="508" t="str">
        <f ca="1"/>
        <v/>
      </c>
      <c r="L644" s="515" t="str">
        <f ca="1"/>
        <v/>
      </c>
      <c r="M644" s="450" t="str">
        <f ca="1"/>
        <v/>
      </c>
      <c r="N644" s="450" t="str">
        <f ca="1"/>
        <v/>
      </c>
    </row>
    <row r="645" spans="1:14">
      <c r="A645" s="5"/>
      <c r="B645" s="249"/>
      <c r="C645" s="382" t="str">
        <f ca="1"/>
        <v/>
      </c>
      <c r="D645" s="491" t="str">
        <f ca="1"/>
        <v/>
      </c>
      <c r="E645" s="508" t="str">
        <f ca="1"/>
        <v/>
      </c>
      <c r="F645" s="491" t="str">
        <f ca="1"/>
        <v/>
      </c>
      <c r="G645" s="492" t="str">
        <f ca="1"/>
        <v/>
      </c>
      <c r="H645" s="492" t="str">
        <f ca="1"/>
        <v/>
      </c>
      <c r="I645" s="492" t="str">
        <f ca="1"/>
        <v/>
      </c>
      <c r="J645" s="492" t="str">
        <f ca="1"/>
        <v/>
      </c>
      <c r="K645" s="508" t="str">
        <f ca="1"/>
        <v/>
      </c>
      <c r="L645" s="515" t="str">
        <f ca="1"/>
        <v/>
      </c>
      <c r="M645" s="450" t="str">
        <f ca="1"/>
        <v/>
      </c>
      <c r="N645" s="450" t="str">
        <f ca="1"/>
        <v/>
      </c>
    </row>
    <row r="646" spans="1:14">
      <c r="A646" s="5"/>
      <c r="B646" s="249"/>
      <c r="C646" s="382" t="str">
        <f ca="1"/>
        <v/>
      </c>
      <c r="D646" s="491" t="str">
        <f ca="1"/>
        <v/>
      </c>
      <c r="E646" s="508" t="str">
        <f ca="1"/>
        <v/>
      </c>
      <c r="F646" s="491" t="str">
        <f ca="1"/>
        <v/>
      </c>
      <c r="G646" s="492" t="str">
        <f ca="1"/>
        <v/>
      </c>
      <c r="H646" s="492" t="str">
        <f ca="1"/>
        <v/>
      </c>
      <c r="I646" s="492" t="str">
        <f ca="1"/>
        <v/>
      </c>
      <c r="J646" s="492" t="str">
        <f ca="1"/>
        <v/>
      </c>
      <c r="K646" s="508" t="str">
        <f ca="1"/>
        <v/>
      </c>
      <c r="L646" s="515" t="str">
        <f ca="1"/>
        <v/>
      </c>
      <c r="M646" s="450" t="str">
        <f ca="1"/>
        <v/>
      </c>
      <c r="N646" s="450" t="str">
        <f ca="1"/>
        <v/>
      </c>
    </row>
    <row r="647" spans="1:14">
      <c r="B647" s="249"/>
      <c r="C647" s="384" t="str">
        <f ca="1"/>
        <v/>
      </c>
      <c r="D647" s="491" t="str">
        <f ca="1"/>
        <v/>
      </c>
      <c r="E647" s="508" t="str">
        <f ca="1"/>
        <v/>
      </c>
      <c r="F647" s="491" t="str">
        <f ca="1"/>
        <v/>
      </c>
      <c r="G647" s="492" t="str">
        <f ca="1"/>
        <v/>
      </c>
      <c r="H647" s="492" t="str">
        <f ca="1"/>
        <v/>
      </c>
      <c r="I647" s="492" t="str">
        <f ca="1"/>
        <v/>
      </c>
      <c r="J647" s="492" t="str">
        <f ca="1"/>
        <v/>
      </c>
      <c r="K647" s="508" t="str">
        <f ca="1"/>
        <v/>
      </c>
      <c r="L647" s="515" t="str">
        <f ca="1"/>
        <v/>
      </c>
      <c r="M647" s="450" t="str">
        <f ca="1"/>
        <v/>
      </c>
      <c r="N647" s="450" t="str">
        <f ca="1"/>
        <v/>
      </c>
    </row>
    <row r="648" spans="1:14">
      <c r="B648" s="249"/>
      <c r="C648" s="384" t="str">
        <f ca="1"/>
        <v/>
      </c>
      <c r="D648" s="491" t="str">
        <f ca="1"/>
        <v/>
      </c>
      <c r="E648" s="508" t="str">
        <f ca="1"/>
        <v/>
      </c>
      <c r="F648" s="491" t="str">
        <f ca="1"/>
        <v/>
      </c>
      <c r="G648" s="492" t="str">
        <f ca="1"/>
        <v/>
      </c>
      <c r="H648" s="492" t="str">
        <f ca="1"/>
        <v/>
      </c>
      <c r="I648" s="492" t="str">
        <f ca="1"/>
        <v/>
      </c>
      <c r="J648" s="492" t="str">
        <f ca="1"/>
        <v/>
      </c>
      <c r="K648" s="508" t="str">
        <f ca="1"/>
        <v/>
      </c>
      <c r="L648" s="515" t="str">
        <f ca="1"/>
        <v/>
      </c>
      <c r="M648" s="450" t="str">
        <f ca="1"/>
        <v/>
      </c>
      <c r="N648" s="450" t="str">
        <f ca="1"/>
        <v/>
      </c>
    </row>
    <row r="649" spans="1:14">
      <c r="B649" s="249"/>
      <c r="C649" s="384" t="str">
        <f ca="1"/>
        <v/>
      </c>
      <c r="D649" s="491" t="str">
        <f ca="1"/>
        <v/>
      </c>
      <c r="E649" s="508" t="str">
        <f ca="1"/>
        <v/>
      </c>
      <c r="F649" s="491" t="str">
        <f ca="1"/>
        <v/>
      </c>
      <c r="G649" s="492" t="str">
        <f ca="1"/>
        <v/>
      </c>
      <c r="H649" s="492" t="str">
        <f ca="1"/>
        <v/>
      </c>
      <c r="I649" s="492" t="str">
        <f ca="1"/>
        <v/>
      </c>
      <c r="J649" s="492" t="str">
        <f ca="1"/>
        <v/>
      </c>
      <c r="K649" s="508" t="str">
        <f ca="1"/>
        <v/>
      </c>
      <c r="L649" s="515" t="str">
        <f ca="1"/>
        <v/>
      </c>
      <c r="M649" s="450" t="str">
        <f ca="1"/>
        <v/>
      </c>
      <c r="N649" s="450" t="str">
        <f ca="1"/>
        <v/>
      </c>
    </row>
    <row r="650" spans="1:14">
      <c r="B650" s="249"/>
      <c r="C650" s="384" t="str">
        <f ca="1"/>
        <v/>
      </c>
      <c r="D650" s="491" t="str">
        <f ca="1"/>
        <v/>
      </c>
      <c r="E650" s="508" t="str">
        <f ca="1"/>
        <v/>
      </c>
      <c r="F650" s="491" t="str">
        <f ca="1"/>
        <v/>
      </c>
      <c r="G650" s="492" t="str">
        <f ca="1"/>
        <v/>
      </c>
      <c r="H650" s="492" t="str">
        <f ca="1"/>
        <v/>
      </c>
      <c r="I650" s="492" t="str">
        <f ca="1"/>
        <v/>
      </c>
      <c r="J650" s="492" t="str">
        <f ca="1"/>
        <v/>
      </c>
      <c r="K650" s="508" t="str">
        <f ca="1"/>
        <v/>
      </c>
      <c r="L650" s="515" t="str">
        <f ca="1"/>
        <v/>
      </c>
      <c r="M650" s="450" t="str">
        <f ca="1"/>
        <v/>
      </c>
      <c r="N650" s="450" t="str">
        <f ca="1"/>
        <v/>
      </c>
    </row>
    <row r="651" spans="1:14">
      <c r="B651" s="249"/>
      <c r="C651" s="384" t="str">
        <f ca="1"/>
        <v/>
      </c>
      <c r="D651" s="491" t="str">
        <f ca="1"/>
        <v/>
      </c>
      <c r="E651" s="508" t="str">
        <f ca="1"/>
        <v/>
      </c>
      <c r="F651" s="491" t="str">
        <f ca="1"/>
        <v/>
      </c>
      <c r="G651" s="492" t="str">
        <f ca="1"/>
        <v/>
      </c>
      <c r="H651" s="492" t="str">
        <f ca="1"/>
        <v/>
      </c>
      <c r="I651" s="492" t="str">
        <f ca="1"/>
        <v/>
      </c>
      <c r="J651" s="492" t="str">
        <f ca="1"/>
        <v/>
      </c>
      <c r="K651" s="508" t="str">
        <f ca="1"/>
        <v/>
      </c>
      <c r="L651" s="515" t="str">
        <f ca="1"/>
        <v/>
      </c>
      <c r="M651" s="450" t="str">
        <f ca="1"/>
        <v/>
      </c>
      <c r="N651" s="450" t="str">
        <f ca="1"/>
        <v/>
      </c>
    </row>
    <row r="652" spans="1:14">
      <c r="B652" s="249"/>
      <c r="C652" s="12"/>
      <c r="D652" s="491"/>
      <c r="E652" s="508"/>
      <c r="F652" s="491"/>
      <c r="G652" s="492"/>
      <c r="H652" s="492"/>
      <c r="I652" s="492"/>
      <c r="J652" s="492"/>
      <c r="K652" s="508"/>
      <c r="L652" s="515"/>
      <c r="M652" s="450"/>
      <c r="N652" s="450"/>
    </row>
    <row r="653" spans="1:14">
      <c r="A653" s="5"/>
      <c r="B653" s="249" t="str">
        <f ca="1">+'I-4 History'!B489</f>
        <v>A-30</v>
      </c>
      <c r="C653" s="14" t="str">
        <f ca="1">+'I-4 History'!C489</f>
        <v>Risk &amp; Insurance – Support Costs</v>
      </c>
      <c r="D653" s="491"/>
      <c r="E653" s="508"/>
      <c r="F653" s="491"/>
      <c r="G653" s="492"/>
      <c r="H653" s="492"/>
      <c r="I653" s="492"/>
      <c r="J653" s="492"/>
      <c r="K653" s="508"/>
      <c r="L653" s="515"/>
      <c r="M653" s="450"/>
      <c r="N653" s="450"/>
    </row>
    <row r="654" spans="1:14">
      <c r="A654" s="5"/>
      <c r="B654" s="249"/>
      <c r="C654" s="384" t="str">
        <f t="array" ref="C654:K663" ca="1">+'A-30'!$A$160:$I$169</f>
        <v>Step Change</v>
      </c>
      <c r="D654" s="491">
        <f ca="1"/>
        <v>0</v>
      </c>
      <c r="E654" s="508">
        <f ca="1"/>
        <v>0</v>
      </c>
      <c r="F654" s="491">
        <f ca="1"/>
        <v>0</v>
      </c>
      <c r="G654" s="492">
        <f ca="1"/>
        <v>0</v>
      </c>
      <c r="H654" s="492">
        <f ca="1"/>
        <v>0</v>
      </c>
      <c r="I654" s="492">
        <f ca="1"/>
        <v>0</v>
      </c>
      <c r="J654" s="492">
        <f ca="1"/>
        <v>0</v>
      </c>
      <c r="K654" s="508">
        <f ca="1"/>
        <v>0</v>
      </c>
      <c r="L654" s="515" t="str">
        <f t="array" ref="L654:N663" ca="1">+'A-30'!$K$160:$M$169</f>
        <v>Proposal Step Change</v>
      </c>
      <c r="M654" s="450" t="str">
        <f ca="1"/>
        <v>Refer Opex Workings</v>
      </c>
      <c r="N654" s="450" t="str">
        <f ca="1"/>
        <v>Proposal, October 2014</v>
      </c>
    </row>
    <row r="655" spans="1:14">
      <c r="A655" s="5"/>
      <c r="B655" s="249"/>
      <c r="C655" s="382" t="str">
        <f ca="1"/>
        <v/>
      </c>
      <c r="D655" s="491" t="str">
        <f ca="1"/>
        <v/>
      </c>
      <c r="E655" s="508" t="str">
        <f ca="1"/>
        <v/>
      </c>
      <c r="F655" s="491" t="str">
        <f ca="1"/>
        <v/>
      </c>
      <c r="G655" s="492" t="str">
        <f ca="1"/>
        <v/>
      </c>
      <c r="H655" s="492" t="str">
        <f ca="1"/>
        <v/>
      </c>
      <c r="I655" s="492" t="str">
        <f ca="1"/>
        <v/>
      </c>
      <c r="J655" s="492" t="str">
        <f ca="1"/>
        <v/>
      </c>
      <c r="K655" s="508" t="str">
        <f ca="1"/>
        <v/>
      </c>
      <c r="L655" s="515" t="str">
        <f ca="1"/>
        <v/>
      </c>
      <c r="M655" s="450" t="str">
        <f ca="1"/>
        <v/>
      </c>
      <c r="N655" s="450" t="str">
        <f ca="1"/>
        <v/>
      </c>
    </row>
    <row r="656" spans="1:14">
      <c r="A656" s="5"/>
      <c r="B656" s="249"/>
      <c r="C656" s="382" t="str">
        <f ca="1"/>
        <v/>
      </c>
      <c r="D656" s="491" t="str">
        <f ca="1"/>
        <v/>
      </c>
      <c r="E656" s="508" t="str">
        <f ca="1"/>
        <v/>
      </c>
      <c r="F656" s="491" t="str">
        <f ca="1"/>
        <v/>
      </c>
      <c r="G656" s="492" t="str">
        <f ca="1"/>
        <v/>
      </c>
      <c r="H656" s="492" t="str">
        <f ca="1"/>
        <v/>
      </c>
      <c r="I656" s="492" t="str">
        <f ca="1"/>
        <v/>
      </c>
      <c r="J656" s="492" t="str">
        <f ca="1"/>
        <v/>
      </c>
      <c r="K656" s="508" t="str">
        <f ca="1"/>
        <v/>
      </c>
      <c r="L656" s="515" t="str">
        <f ca="1"/>
        <v/>
      </c>
      <c r="M656" s="450" t="str">
        <f ca="1"/>
        <v/>
      </c>
      <c r="N656" s="450" t="str">
        <f ca="1"/>
        <v/>
      </c>
    </row>
    <row r="657" spans="1:14">
      <c r="A657" s="5"/>
      <c r="B657" s="249"/>
      <c r="C657" s="382" t="str">
        <f ca="1"/>
        <v/>
      </c>
      <c r="D657" s="491" t="str">
        <f ca="1"/>
        <v/>
      </c>
      <c r="E657" s="508" t="str">
        <f ca="1"/>
        <v/>
      </c>
      <c r="F657" s="491" t="str">
        <f ca="1"/>
        <v/>
      </c>
      <c r="G657" s="492" t="str">
        <f ca="1"/>
        <v/>
      </c>
      <c r="H657" s="492" t="str">
        <f ca="1"/>
        <v/>
      </c>
      <c r="I657" s="492" t="str">
        <f ca="1"/>
        <v/>
      </c>
      <c r="J657" s="492" t="str">
        <f ca="1"/>
        <v/>
      </c>
      <c r="K657" s="508" t="str">
        <f ca="1"/>
        <v/>
      </c>
      <c r="L657" s="515" t="str">
        <f ca="1"/>
        <v/>
      </c>
      <c r="M657" s="450" t="str">
        <f ca="1"/>
        <v/>
      </c>
      <c r="N657" s="450" t="str">
        <f ca="1"/>
        <v/>
      </c>
    </row>
    <row r="658" spans="1:14">
      <c r="A658" s="5"/>
      <c r="B658" s="249"/>
      <c r="C658" s="382" t="str">
        <f ca="1"/>
        <v/>
      </c>
      <c r="D658" s="491" t="str">
        <f ca="1"/>
        <v/>
      </c>
      <c r="E658" s="508" t="str">
        <f ca="1"/>
        <v/>
      </c>
      <c r="F658" s="491" t="str">
        <f ca="1"/>
        <v/>
      </c>
      <c r="G658" s="492" t="str">
        <f ca="1"/>
        <v/>
      </c>
      <c r="H658" s="492" t="str">
        <f ca="1"/>
        <v/>
      </c>
      <c r="I658" s="492" t="str">
        <f ca="1"/>
        <v/>
      </c>
      <c r="J658" s="492" t="str">
        <f ca="1"/>
        <v/>
      </c>
      <c r="K658" s="508" t="str">
        <f ca="1"/>
        <v/>
      </c>
      <c r="L658" s="515" t="str">
        <f ca="1"/>
        <v/>
      </c>
      <c r="M658" s="450" t="str">
        <f ca="1"/>
        <v/>
      </c>
      <c r="N658" s="450" t="str">
        <f ca="1"/>
        <v/>
      </c>
    </row>
    <row r="659" spans="1:14">
      <c r="A659" s="5"/>
      <c r="B659" s="249"/>
      <c r="C659" s="384" t="str">
        <f ca="1"/>
        <v/>
      </c>
      <c r="D659" s="491" t="str">
        <f ca="1"/>
        <v/>
      </c>
      <c r="E659" s="508" t="str">
        <f ca="1"/>
        <v/>
      </c>
      <c r="F659" s="491" t="str">
        <f ca="1"/>
        <v/>
      </c>
      <c r="G659" s="492" t="str">
        <f ca="1"/>
        <v/>
      </c>
      <c r="H659" s="492" t="str">
        <f ca="1"/>
        <v/>
      </c>
      <c r="I659" s="492" t="str">
        <f ca="1"/>
        <v/>
      </c>
      <c r="J659" s="492" t="str">
        <f ca="1"/>
        <v/>
      </c>
      <c r="K659" s="508" t="str">
        <f ca="1"/>
        <v/>
      </c>
      <c r="L659" s="515" t="str">
        <f ca="1"/>
        <v/>
      </c>
      <c r="M659" s="450" t="str">
        <f ca="1"/>
        <v/>
      </c>
      <c r="N659" s="450" t="str">
        <f ca="1"/>
        <v/>
      </c>
    </row>
    <row r="660" spans="1:14">
      <c r="A660" s="5"/>
      <c r="B660" s="249"/>
      <c r="C660" s="384" t="str">
        <f ca="1"/>
        <v/>
      </c>
      <c r="D660" s="491" t="str">
        <f ca="1"/>
        <v/>
      </c>
      <c r="E660" s="508" t="str">
        <f ca="1"/>
        <v/>
      </c>
      <c r="F660" s="491" t="str">
        <f ca="1"/>
        <v/>
      </c>
      <c r="G660" s="492" t="str">
        <f ca="1"/>
        <v/>
      </c>
      <c r="H660" s="492" t="str">
        <f ca="1"/>
        <v/>
      </c>
      <c r="I660" s="492" t="str">
        <f ca="1"/>
        <v/>
      </c>
      <c r="J660" s="492" t="str">
        <f ca="1"/>
        <v/>
      </c>
      <c r="K660" s="508" t="str">
        <f ca="1"/>
        <v/>
      </c>
      <c r="L660" s="515" t="str">
        <f ca="1"/>
        <v/>
      </c>
      <c r="M660" s="450" t="str">
        <f ca="1"/>
        <v/>
      </c>
      <c r="N660" s="450" t="str">
        <f ca="1"/>
        <v/>
      </c>
    </row>
    <row r="661" spans="1:14">
      <c r="A661" s="5"/>
      <c r="B661" s="249"/>
      <c r="C661" s="384" t="str">
        <f ca="1"/>
        <v/>
      </c>
      <c r="D661" s="491" t="str">
        <f ca="1"/>
        <v/>
      </c>
      <c r="E661" s="508" t="str">
        <f ca="1"/>
        <v/>
      </c>
      <c r="F661" s="491" t="str">
        <f ca="1"/>
        <v/>
      </c>
      <c r="G661" s="492" t="str">
        <f ca="1"/>
        <v/>
      </c>
      <c r="H661" s="492" t="str">
        <f ca="1"/>
        <v/>
      </c>
      <c r="I661" s="492" t="str">
        <f ca="1"/>
        <v/>
      </c>
      <c r="J661" s="492" t="str">
        <f ca="1"/>
        <v/>
      </c>
      <c r="K661" s="508" t="str">
        <f ca="1"/>
        <v/>
      </c>
      <c r="L661" s="515" t="str">
        <f ca="1"/>
        <v/>
      </c>
      <c r="M661" s="450" t="str">
        <f ca="1"/>
        <v/>
      </c>
      <c r="N661" s="450" t="str">
        <f ca="1"/>
        <v/>
      </c>
    </row>
    <row r="662" spans="1:14">
      <c r="A662" s="5"/>
      <c r="B662" s="249"/>
      <c r="C662" s="384" t="str">
        <f ca="1"/>
        <v/>
      </c>
      <c r="D662" s="491" t="str">
        <f ca="1"/>
        <v/>
      </c>
      <c r="E662" s="508" t="str">
        <f ca="1"/>
        <v/>
      </c>
      <c r="F662" s="491" t="str">
        <f ca="1"/>
        <v/>
      </c>
      <c r="G662" s="492" t="str">
        <f ca="1"/>
        <v/>
      </c>
      <c r="H662" s="492" t="str">
        <f ca="1"/>
        <v/>
      </c>
      <c r="I662" s="492" t="str">
        <f ca="1"/>
        <v/>
      </c>
      <c r="J662" s="492" t="str">
        <f ca="1"/>
        <v/>
      </c>
      <c r="K662" s="508" t="str">
        <f ca="1"/>
        <v/>
      </c>
      <c r="L662" s="515" t="str">
        <f ca="1"/>
        <v/>
      </c>
      <c r="M662" s="450" t="str">
        <f ca="1"/>
        <v/>
      </c>
      <c r="N662" s="450" t="str">
        <f ca="1"/>
        <v/>
      </c>
    </row>
    <row r="663" spans="1:14">
      <c r="A663" s="5"/>
      <c r="B663" s="249"/>
      <c r="C663" s="384" t="str">
        <f ca="1"/>
        <v/>
      </c>
      <c r="D663" s="491" t="str">
        <f ca="1"/>
        <v/>
      </c>
      <c r="E663" s="508" t="str">
        <f ca="1"/>
        <v/>
      </c>
      <c r="F663" s="491" t="str">
        <f ca="1"/>
        <v/>
      </c>
      <c r="G663" s="492" t="str">
        <f ca="1"/>
        <v/>
      </c>
      <c r="H663" s="492" t="str">
        <f ca="1"/>
        <v/>
      </c>
      <c r="I663" s="492" t="str">
        <f ca="1"/>
        <v/>
      </c>
      <c r="J663" s="492" t="str">
        <f ca="1"/>
        <v/>
      </c>
      <c r="K663" s="508" t="str">
        <f ca="1"/>
        <v/>
      </c>
      <c r="L663" s="515" t="str">
        <f ca="1"/>
        <v/>
      </c>
      <c r="M663" s="450" t="str">
        <f ca="1"/>
        <v/>
      </c>
      <c r="N663" s="450" t="str">
        <f ca="1"/>
        <v/>
      </c>
    </row>
    <row r="664" spans="1:14">
      <c r="A664" s="5"/>
      <c r="B664" s="249"/>
      <c r="C664" s="12"/>
      <c r="D664" s="491"/>
      <c r="E664" s="508"/>
      <c r="F664" s="491"/>
      <c r="G664" s="492"/>
      <c r="H664" s="492"/>
      <c r="I664" s="492"/>
      <c r="J664" s="492"/>
      <c r="K664" s="508"/>
      <c r="L664" s="515"/>
      <c r="M664" s="450"/>
      <c r="N664" s="450"/>
    </row>
    <row r="665" spans="1:14">
      <c r="A665" s="5"/>
      <c r="B665" s="249" t="str">
        <f ca="1">+'I-4 History'!B498</f>
        <v>A-31</v>
      </c>
      <c r="C665" s="262" t="str">
        <f ca="1">+'I-4 History'!C498</f>
        <v>Legal Services</v>
      </c>
      <c r="D665" s="491"/>
      <c r="E665" s="508"/>
      <c r="F665" s="491"/>
      <c r="G665" s="492"/>
      <c r="H665" s="492"/>
      <c r="I665" s="492"/>
      <c r="J665" s="492"/>
      <c r="K665" s="508"/>
      <c r="L665" s="515"/>
      <c r="M665" s="450"/>
      <c r="N665" s="450"/>
    </row>
    <row r="666" spans="1:14">
      <c r="A666" s="5"/>
      <c r="B666" s="249"/>
      <c r="C666" s="384" t="str">
        <f t="array" ref="C666:K675" ca="1">+'A-31'!$A$160:$I$169</f>
        <v>Step Change</v>
      </c>
      <c r="D666" s="491">
        <f ca="1"/>
        <v>0</v>
      </c>
      <c r="E666" s="508">
        <f ca="1"/>
        <v>0</v>
      </c>
      <c r="F666" s="491">
        <f ca="1"/>
        <v>0</v>
      </c>
      <c r="G666" s="492">
        <f ca="1"/>
        <v>0</v>
      </c>
      <c r="H666" s="492">
        <f ca="1"/>
        <v>0</v>
      </c>
      <c r="I666" s="492">
        <f ca="1"/>
        <v>0</v>
      </c>
      <c r="J666" s="492">
        <f ca="1"/>
        <v>0</v>
      </c>
      <c r="K666" s="508">
        <f ca="1"/>
        <v>0</v>
      </c>
      <c r="L666" s="515" t="str">
        <f t="array" ref="L666:N675" ca="1">+'A-31'!$K$160:$M$169</f>
        <v>Proposal Step Change</v>
      </c>
      <c r="M666" s="450" t="str">
        <f ca="1"/>
        <v>Refer Opex Workings</v>
      </c>
      <c r="N666" s="450" t="str">
        <f ca="1"/>
        <v>Proposal, October 2014</v>
      </c>
    </row>
    <row r="667" spans="1:14">
      <c r="A667" s="5"/>
      <c r="B667" s="249"/>
      <c r="C667" s="382" t="str">
        <f ca="1"/>
        <v/>
      </c>
      <c r="D667" s="491" t="str">
        <f ca="1"/>
        <v/>
      </c>
      <c r="E667" s="508" t="str">
        <f ca="1"/>
        <v/>
      </c>
      <c r="F667" s="491" t="str">
        <f ca="1"/>
        <v/>
      </c>
      <c r="G667" s="492" t="str">
        <f ca="1"/>
        <v/>
      </c>
      <c r="H667" s="492" t="str">
        <f ca="1"/>
        <v/>
      </c>
      <c r="I667" s="492" t="str">
        <f ca="1"/>
        <v/>
      </c>
      <c r="J667" s="492" t="str">
        <f ca="1"/>
        <v/>
      </c>
      <c r="K667" s="508" t="str">
        <f ca="1"/>
        <v/>
      </c>
      <c r="L667" s="515" t="str">
        <f ca="1"/>
        <v/>
      </c>
      <c r="M667" s="450" t="str">
        <f ca="1"/>
        <v/>
      </c>
      <c r="N667" s="450" t="str">
        <f ca="1"/>
        <v/>
      </c>
    </row>
    <row r="668" spans="1:14">
      <c r="A668" s="5"/>
      <c r="B668" s="249"/>
      <c r="C668" s="382" t="str">
        <f ca="1"/>
        <v/>
      </c>
      <c r="D668" s="491" t="str">
        <f ca="1"/>
        <v/>
      </c>
      <c r="E668" s="508" t="str">
        <f ca="1"/>
        <v/>
      </c>
      <c r="F668" s="491" t="str">
        <f ca="1"/>
        <v/>
      </c>
      <c r="G668" s="492" t="str">
        <f ca="1"/>
        <v/>
      </c>
      <c r="H668" s="492" t="str">
        <f ca="1"/>
        <v/>
      </c>
      <c r="I668" s="492" t="str">
        <f ca="1"/>
        <v/>
      </c>
      <c r="J668" s="492" t="str">
        <f ca="1"/>
        <v/>
      </c>
      <c r="K668" s="508" t="str">
        <f ca="1"/>
        <v/>
      </c>
      <c r="L668" s="515" t="str">
        <f ca="1"/>
        <v/>
      </c>
      <c r="M668" s="450" t="str">
        <f ca="1"/>
        <v/>
      </c>
      <c r="N668" s="450" t="str">
        <f ca="1"/>
        <v/>
      </c>
    </row>
    <row r="669" spans="1:14">
      <c r="A669" s="5"/>
      <c r="B669" s="249"/>
      <c r="C669" s="382" t="str">
        <f ca="1"/>
        <v/>
      </c>
      <c r="D669" s="491" t="str">
        <f ca="1"/>
        <v/>
      </c>
      <c r="E669" s="508" t="str">
        <f ca="1"/>
        <v/>
      </c>
      <c r="F669" s="491" t="str">
        <f ca="1"/>
        <v/>
      </c>
      <c r="G669" s="492" t="str">
        <f ca="1"/>
        <v/>
      </c>
      <c r="H669" s="492" t="str">
        <f ca="1"/>
        <v/>
      </c>
      <c r="I669" s="492" t="str">
        <f ca="1"/>
        <v/>
      </c>
      <c r="J669" s="492" t="str">
        <f ca="1"/>
        <v/>
      </c>
      <c r="K669" s="508" t="str">
        <f ca="1"/>
        <v/>
      </c>
      <c r="L669" s="515" t="str">
        <f ca="1"/>
        <v/>
      </c>
      <c r="M669" s="450" t="str">
        <f ca="1"/>
        <v/>
      </c>
      <c r="N669" s="450" t="str">
        <f ca="1"/>
        <v/>
      </c>
    </row>
    <row r="670" spans="1:14">
      <c r="A670" s="5"/>
      <c r="B670" s="249"/>
      <c r="C670" s="382" t="str">
        <f ca="1"/>
        <v/>
      </c>
      <c r="D670" s="491" t="str">
        <f ca="1"/>
        <v/>
      </c>
      <c r="E670" s="508" t="str">
        <f ca="1"/>
        <v/>
      </c>
      <c r="F670" s="491" t="str">
        <f ca="1"/>
        <v/>
      </c>
      <c r="G670" s="492" t="str">
        <f ca="1"/>
        <v/>
      </c>
      <c r="H670" s="492" t="str">
        <f ca="1"/>
        <v/>
      </c>
      <c r="I670" s="492" t="str">
        <f ca="1"/>
        <v/>
      </c>
      <c r="J670" s="492" t="str">
        <f ca="1"/>
        <v/>
      </c>
      <c r="K670" s="508" t="str">
        <f ca="1"/>
        <v/>
      </c>
      <c r="L670" s="515" t="str">
        <f ca="1"/>
        <v/>
      </c>
      <c r="M670" s="450" t="str">
        <f ca="1"/>
        <v/>
      </c>
      <c r="N670" s="450" t="str">
        <f ca="1"/>
        <v/>
      </c>
    </row>
    <row r="671" spans="1:14">
      <c r="B671" s="249"/>
      <c r="C671" s="384" t="str">
        <f ca="1"/>
        <v/>
      </c>
      <c r="D671" s="491" t="str">
        <f ca="1"/>
        <v/>
      </c>
      <c r="E671" s="508" t="str">
        <f ca="1"/>
        <v/>
      </c>
      <c r="F671" s="491" t="str">
        <f ca="1"/>
        <v/>
      </c>
      <c r="G671" s="492" t="str">
        <f ca="1"/>
        <v/>
      </c>
      <c r="H671" s="492" t="str">
        <f ca="1"/>
        <v/>
      </c>
      <c r="I671" s="492" t="str">
        <f ca="1"/>
        <v/>
      </c>
      <c r="J671" s="492" t="str">
        <f ca="1"/>
        <v/>
      </c>
      <c r="K671" s="508" t="str">
        <f ca="1"/>
        <v/>
      </c>
      <c r="L671" s="515" t="str">
        <f ca="1"/>
        <v/>
      </c>
      <c r="M671" s="450" t="str">
        <f ca="1"/>
        <v/>
      </c>
      <c r="N671" s="450" t="str">
        <f ca="1"/>
        <v/>
      </c>
    </row>
    <row r="672" spans="1:14">
      <c r="B672" s="249"/>
      <c r="C672" s="384" t="str">
        <f ca="1"/>
        <v/>
      </c>
      <c r="D672" s="491" t="str">
        <f ca="1"/>
        <v/>
      </c>
      <c r="E672" s="508" t="str">
        <f ca="1"/>
        <v/>
      </c>
      <c r="F672" s="491" t="str">
        <f ca="1"/>
        <v/>
      </c>
      <c r="G672" s="492" t="str">
        <f ca="1"/>
        <v/>
      </c>
      <c r="H672" s="492" t="str">
        <f ca="1"/>
        <v/>
      </c>
      <c r="I672" s="492" t="str">
        <f ca="1"/>
        <v/>
      </c>
      <c r="J672" s="492" t="str">
        <f ca="1"/>
        <v/>
      </c>
      <c r="K672" s="508" t="str">
        <f ca="1"/>
        <v/>
      </c>
      <c r="L672" s="515" t="str">
        <f ca="1"/>
        <v/>
      </c>
      <c r="M672" s="450" t="str">
        <f ca="1"/>
        <v/>
      </c>
      <c r="N672" s="450" t="str">
        <f ca="1"/>
        <v/>
      </c>
    </row>
    <row r="673" spans="1:14">
      <c r="B673" s="249"/>
      <c r="C673" s="384" t="str">
        <f ca="1"/>
        <v/>
      </c>
      <c r="D673" s="491" t="str">
        <f ca="1"/>
        <v/>
      </c>
      <c r="E673" s="508" t="str">
        <f ca="1"/>
        <v/>
      </c>
      <c r="F673" s="491" t="str">
        <f ca="1"/>
        <v/>
      </c>
      <c r="G673" s="492" t="str">
        <f ca="1"/>
        <v/>
      </c>
      <c r="H673" s="492" t="str">
        <f ca="1"/>
        <v/>
      </c>
      <c r="I673" s="492" t="str">
        <f ca="1"/>
        <v/>
      </c>
      <c r="J673" s="492" t="str">
        <f ca="1"/>
        <v/>
      </c>
      <c r="K673" s="508" t="str">
        <f ca="1"/>
        <v/>
      </c>
      <c r="L673" s="515" t="str">
        <f ca="1"/>
        <v/>
      </c>
      <c r="M673" s="450" t="str">
        <f ca="1"/>
        <v/>
      </c>
      <c r="N673" s="450" t="str">
        <f ca="1"/>
        <v/>
      </c>
    </row>
    <row r="674" spans="1:14">
      <c r="B674" s="249"/>
      <c r="C674" s="384" t="str">
        <f ca="1"/>
        <v/>
      </c>
      <c r="D674" s="491" t="str">
        <f ca="1"/>
        <v/>
      </c>
      <c r="E674" s="508" t="str">
        <f ca="1"/>
        <v/>
      </c>
      <c r="F674" s="491" t="str">
        <f ca="1"/>
        <v/>
      </c>
      <c r="G674" s="492" t="str">
        <f ca="1"/>
        <v/>
      </c>
      <c r="H674" s="492" t="str">
        <f ca="1"/>
        <v/>
      </c>
      <c r="I674" s="492" t="str">
        <f ca="1"/>
        <v/>
      </c>
      <c r="J674" s="492" t="str">
        <f ca="1"/>
        <v/>
      </c>
      <c r="K674" s="508" t="str">
        <f ca="1"/>
        <v/>
      </c>
      <c r="L674" s="515" t="str">
        <f ca="1"/>
        <v/>
      </c>
      <c r="M674" s="450" t="str">
        <f ca="1"/>
        <v/>
      </c>
      <c r="N674" s="450" t="str">
        <f ca="1"/>
        <v/>
      </c>
    </row>
    <row r="675" spans="1:14">
      <c r="B675" s="249"/>
      <c r="C675" s="384" t="str">
        <f ca="1"/>
        <v/>
      </c>
      <c r="D675" s="491" t="str">
        <f ca="1"/>
        <v/>
      </c>
      <c r="E675" s="508" t="str">
        <f ca="1"/>
        <v/>
      </c>
      <c r="F675" s="491" t="str">
        <f ca="1"/>
        <v/>
      </c>
      <c r="G675" s="492" t="str">
        <f ca="1"/>
        <v/>
      </c>
      <c r="H675" s="492" t="str">
        <f ca="1"/>
        <v/>
      </c>
      <c r="I675" s="492" t="str">
        <f ca="1"/>
        <v/>
      </c>
      <c r="J675" s="492" t="str">
        <f ca="1"/>
        <v/>
      </c>
      <c r="K675" s="508" t="str">
        <f ca="1"/>
        <v/>
      </c>
      <c r="L675" s="515" t="str">
        <f ca="1"/>
        <v/>
      </c>
      <c r="M675" s="450" t="str">
        <f ca="1"/>
        <v/>
      </c>
      <c r="N675" s="450" t="str">
        <f ca="1"/>
        <v/>
      </c>
    </row>
    <row r="676" spans="1:14" ht="17.25" customHeight="1" thickBot="1">
      <c r="B676" s="250"/>
      <c r="C676" s="269" t="str">
        <f>CONCATENATE("Total ",+C496)</f>
        <v>Total Corporate Services</v>
      </c>
      <c r="D676" s="315">
        <f ca="1">SUBTOTAL(9,D497:D675)</f>
        <v>0</v>
      </c>
      <c r="E676" s="500">
        <f t="shared" ref="E676:K676" ca="1" si="6">SUBTOTAL(9,E497:E675)</f>
        <v>0</v>
      </c>
      <c r="F676" s="314">
        <f t="shared" ca="1" si="6"/>
        <v>2.0179335491312274</v>
      </c>
      <c r="G676" s="315">
        <f t="shared" ca="1" si="6"/>
        <v>3.5869999999999997</v>
      </c>
      <c r="H676" s="315">
        <f t="shared" ca="1" si="6"/>
        <v>4.13</v>
      </c>
      <c r="I676" s="315">
        <f t="shared" ca="1" si="6"/>
        <v>5.4850000000000003</v>
      </c>
      <c r="J676" s="315">
        <f t="shared" ca="1" si="6"/>
        <v>5.7289999999999992</v>
      </c>
      <c r="K676" s="500">
        <f t="shared" ca="1" si="6"/>
        <v>5.7840000000000007</v>
      </c>
      <c r="L676" s="515"/>
      <c r="M676" s="450"/>
      <c r="N676" s="450"/>
    </row>
    <row r="677" spans="1:14" ht="18">
      <c r="B677" s="251"/>
      <c r="C677" s="255" t="str">
        <f>+'I-3 Allocated'!A36</f>
        <v xml:space="preserve">Services </v>
      </c>
      <c r="D677" s="332"/>
      <c r="E677" s="499"/>
      <c r="F677" s="332"/>
      <c r="G677" s="332"/>
      <c r="H677" s="332"/>
      <c r="I677" s="332"/>
      <c r="J677" s="332"/>
      <c r="K677" s="499"/>
      <c r="L677" s="515"/>
      <c r="M677" s="450"/>
      <c r="N677" s="450"/>
    </row>
    <row r="678" spans="1:14">
      <c r="B678" s="249"/>
      <c r="C678" s="12"/>
      <c r="D678" s="491"/>
      <c r="E678" s="508"/>
      <c r="F678" s="491"/>
      <c r="G678" s="492"/>
      <c r="H678" s="492"/>
      <c r="I678" s="492"/>
      <c r="J678" s="492"/>
      <c r="K678" s="508"/>
      <c r="L678" s="515"/>
      <c r="M678" s="450"/>
      <c r="N678" s="450"/>
    </row>
    <row r="679" spans="1:14">
      <c r="A679" s="5"/>
      <c r="B679" s="249" t="str">
        <f ca="1">+'I-4 History'!B507</f>
        <v>A-32</v>
      </c>
      <c r="C679" s="14" t="str">
        <f ca="1">+'I-4 History'!C507</f>
        <v>General Manager Services</v>
      </c>
      <c r="D679" s="491"/>
      <c r="E679" s="508"/>
      <c r="F679" s="491"/>
      <c r="G679" s="492"/>
      <c r="H679" s="492"/>
      <c r="I679" s="492"/>
      <c r="J679" s="492"/>
      <c r="K679" s="508"/>
      <c r="L679" s="515"/>
      <c r="M679" s="450"/>
      <c r="N679" s="450"/>
    </row>
    <row r="680" spans="1:14">
      <c r="A680" s="5"/>
      <c r="B680" s="249"/>
      <c r="C680" s="384" t="str">
        <f t="array" ref="C680:K689" ca="1">+'A-32'!$A$160:$I$169</f>
        <v>Step Change</v>
      </c>
      <c r="D680" s="491">
        <f ca="1"/>
        <v>0</v>
      </c>
      <c r="E680" s="508">
        <f ca="1"/>
        <v>0</v>
      </c>
      <c r="F680" s="491">
        <f ca="1"/>
        <v>0</v>
      </c>
      <c r="G680" s="492">
        <f ca="1"/>
        <v>0</v>
      </c>
      <c r="H680" s="492">
        <f ca="1"/>
        <v>0</v>
      </c>
      <c r="I680" s="492">
        <f ca="1"/>
        <v>0</v>
      </c>
      <c r="J680" s="492">
        <f ca="1"/>
        <v>0</v>
      </c>
      <c r="K680" s="508">
        <f ca="1"/>
        <v>0</v>
      </c>
      <c r="L680" s="515" t="str">
        <f t="array" ref="L680:N689" ca="1">+'A-32'!$K$160:$M$169</f>
        <v>Proposal Step Change</v>
      </c>
      <c r="M680" s="450" t="str">
        <f ca="1"/>
        <v>Refer Opex Workings</v>
      </c>
      <c r="N680" s="450" t="str">
        <f ca="1"/>
        <v>Proposal, October 2014</v>
      </c>
    </row>
    <row r="681" spans="1:14">
      <c r="A681" s="5"/>
      <c r="B681" s="249"/>
      <c r="C681" s="382" t="str">
        <f ca="1"/>
        <v/>
      </c>
      <c r="D681" s="491" t="str">
        <f ca="1"/>
        <v/>
      </c>
      <c r="E681" s="508" t="str">
        <f ca="1"/>
        <v/>
      </c>
      <c r="F681" s="491" t="str">
        <f ca="1"/>
        <v/>
      </c>
      <c r="G681" s="492" t="str">
        <f ca="1"/>
        <v/>
      </c>
      <c r="H681" s="492" t="str">
        <f ca="1"/>
        <v/>
      </c>
      <c r="I681" s="492" t="str">
        <f ca="1"/>
        <v/>
      </c>
      <c r="J681" s="492" t="str">
        <f ca="1"/>
        <v/>
      </c>
      <c r="K681" s="508" t="str">
        <f ca="1"/>
        <v/>
      </c>
      <c r="L681" s="515" t="str">
        <f ca="1"/>
        <v/>
      </c>
      <c r="M681" s="450" t="str">
        <f ca="1"/>
        <v/>
      </c>
      <c r="N681" s="450" t="str">
        <f ca="1"/>
        <v/>
      </c>
    </row>
    <row r="682" spans="1:14">
      <c r="A682" s="5"/>
      <c r="B682" s="249"/>
      <c r="C682" s="382" t="str">
        <f ca="1"/>
        <v/>
      </c>
      <c r="D682" s="491" t="str">
        <f ca="1"/>
        <v/>
      </c>
      <c r="E682" s="508" t="str">
        <f ca="1"/>
        <v/>
      </c>
      <c r="F682" s="491" t="str">
        <f ca="1"/>
        <v/>
      </c>
      <c r="G682" s="492" t="str">
        <f ca="1"/>
        <v/>
      </c>
      <c r="H682" s="492" t="str">
        <f ca="1"/>
        <v/>
      </c>
      <c r="I682" s="492" t="str">
        <f ca="1"/>
        <v/>
      </c>
      <c r="J682" s="492" t="str">
        <f ca="1"/>
        <v/>
      </c>
      <c r="K682" s="508" t="str">
        <f ca="1"/>
        <v/>
      </c>
      <c r="L682" s="515" t="str">
        <f ca="1"/>
        <v/>
      </c>
      <c r="M682" s="450" t="str">
        <f ca="1"/>
        <v/>
      </c>
      <c r="N682" s="450" t="str">
        <f ca="1"/>
        <v/>
      </c>
    </row>
    <row r="683" spans="1:14">
      <c r="A683" s="5"/>
      <c r="B683" s="249"/>
      <c r="C683" s="382" t="str">
        <f ca="1"/>
        <v/>
      </c>
      <c r="D683" s="491" t="str">
        <f ca="1"/>
        <v/>
      </c>
      <c r="E683" s="508" t="str">
        <f ca="1"/>
        <v/>
      </c>
      <c r="F683" s="491" t="str">
        <f ca="1"/>
        <v/>
      </c>
      <c r="G683" s="492" t="str">
        <f ca="1"/>
        <v/>
      </c>
      <c r="H683" s="492" t="str">
        <f ca="1"/>
        <v/>
      </c>
      <c r="I683" s="492" t="str">
        <f ca="1"/>
        <v/>
      </c>
      <c r="J683" s="492" t="str">
        <f ca="1"/>
        <v/>
      </c>
      <c r="K683" s="508" t="str">
        <f ca="1"/>
        <v/>
      </c>
      <c r="L683" s="515" t="str">
        <f ca="1"/>
        <v/>
      </c>
      <c r="M683" s="450" t="str">
        <f ca="1"/>
        <v/>
      </c>
      <c r="N683" s="450" t="str">
        <f ca="1"/>
        <v/>
      </c>
    </row>
    <row r="684" spans="1:14">
      <c r="A684" s="5"/>
      <c r="B684" s="249"/>
      <c r="C684" s="382" t="str">
        <f ca="1"/>
        <v/>
      </c>
      <c r="D684" s="491" t="str">
        <f ca="1"/>
        <v/>
      </c>
      <c r="E684" s="508" t="str">
        <f ca="1"/>
        <v/>
      </c>
      <c r="F684" s="491" t="str">
        <f ca="1"/>
        <v/>
      </c>
      <c r="G684" s="492" t="str">
        <f ca="1"/>
        <v/>
      </c>
      <c r="H684" s="492" t="str">
        <f ca="1"/>
        <v/>
      </c>
      <c r="I684" s="492" t="str">
        <f ca="1"/>
        <v/>
      </c>
      <c r="J684" s="492" t="str">
        <f ca="1"/>
        <v/>
      </c>
      <c r="K684" s="508" t="str">
        <f ca="1"/>
        <v/>
      </c>
      <c r="L684" s="515" t="str">
        <f ca="1"/>
        <v/>
      </c>
      <c r="M684" s="450" t="str">
        <f ca="1"/>
        <v/>
      </c>
      <c r="N684" s="450" t="str">
        <f ca="1"/>
        <v/>
      </c>
    </row>
    <row r="685" spans="1:14">
      <c r="A685" s="5"/>
      <c r="B685" s="249"/>
      <c r="C685" s="384" t="str">
        <f ca="1"/>
        <v/>
      </c>
      <c r="D685" s="491" t="str">
        <f ca="1"/>
        <v/>
      </c>
      <c r="E685" s="508" t="str">
        <f ca="1"/>
        <v/>
      </c>
      <c r="F685" s="491" t="str">
        <f ca="1"/>
        <v/>
      </c>
      <c r="G685" s="492" t="str">
        <f ca="1"/>
        <v/>
      </c>
      <c r="H685" s="492" t="str">
        <f ca="1"/>
        <v/>
      </c>
      <c r="I685" s="492" t="str">
        <f ca="1"/>
        <v/>
      </c>
      <c r="J685" s="492" t="str">
        <f ca="1"/>
        <v/>
      </c>
      <c r="K685" s="508" t="str">
        <f ca="1"/>
        <v/>
      </c>
      <c r="L685" s="515" t="str">
        <f ca="1"/>
        <v/>
      </c>
      <c r="M685" s="450" t="str">
        <f ca="1"/>
        <v/>
      </c>
      <c r="N685" s="450" t="str">
        <f ca="1"/>
        <v/>
      </c>
    </row>
    <row r="686" spans="1:14">
      <c r="A686" s="5"/>
      <c r="B686" s="249"/>
      <c r="C686" s="384" t="str">
        <f ca="1"/>
        <v/>
      </c>
      <c r="D686" s="491" t="str">
        <f ca="1"/>
        <v/>
      </c>
      <c r="E686" s="508" t="str">
        <f ca="1"/>
        <v/>
      </c>
      <c r="F686" s="491" t="str">
        <f ca="1"/>
        <v/>
      </c>
      <c r="G686" s="492" t="str">
        <f ca="1"/>
        <v/>
      </c>
      <c r="H686" s="492" t="str">
        <f ca="1"/>
        <v/>
      </c>
      <c r="I686" s="492" t="str">
        <f ca="1"/>
        <v/>
      </c>
      <c r="J686" s="492" t="str">
        <f ca="1"/>
        <v/>
      </c>
      <c r="K686" s="508" t="str">
        <f ca="1"/>
        <v/>
      </c>
      <c r="L686" s="515" t="str">
        <f ca="1"/>
        <v/>
      </c>
      <c r="M686" s="450" t="str">
        <f ca="1"/>
        <v/>
      </c>
      <c r="N686" s="450" t="str">
        <f ca="1"/>
        <v/>
      </c>
    </row>
    <row r="687" spans="1:14">
      <c r="A687" s="5"/>
      <c r="B687" s="249"/>
      <c r="C687" s="384" t="str">
        <f ca="1"/>
        <v/>
      </c>
      <c r="D687" s="491" t="str">
        <f ca="1"/>
        <v/>
      </c>
      <c r="E687" s="508" t="str">
        <f ca="1"/>
        <v/>
      </c>
      <c r="F687" s="491" t="str">
        <f ca="1"/>
        <v/>
      </c>
      <c r="G687" s="492" t="str">
        <f ca="1"/>
        <v/>
      </c>
      <c r="H687" s="492" t="str">
        <f ca="1"/>
        <v/>
      </c>
      <c r="I687" s="492" t="str">
        <f ca="1"/>
        <v/>
      </c>
      <c r="J687" s="492" t="str">
        <f ca="1"/>
        <v/>
      </c>
      <c r="K687" s="508" t="str">
        <f ca="1"/>
        <v/>
      </c>
      <c r="L687" s="515" t="str">
        <f ca="1"/>
        <v/>
      </c>
      <c r="M687" s="450" t="str">
        <f ca="1"/>
        <v/>
      </c>
      <c r="N687" s="450" t="str">
        <f ca="1"/>
        <v/>
      </c>
    </row>
    <row r="688" spans="1:14">
      <c r="A688" s="5"/>
      <c r="B688" s="249"/>
      <c r="C688" s="384" t="str">
        <f ca="1"/>
        <v/>
      </c>
      <c r="D688" s="491" t="str">
        <f ca="1"/>
        <v/>
      </c>
      <c r="E688" s="508" t="str">
        <f ca="1"/>
        <v/>
      </c>
      <c r="F688" s="491" t="str">
        <f ca="1"/>
        <v/>
      </c>
      <c r="G688" s="492" t="str">
        <f ca="1"/>
        <v/>
      </c>
      <c r="H688" s="492" t="str">
        <f ca="1"/>
        <v/>
      </c>
      <c r="I688" s="492" t="str">
        <f ca="1"/>
        <v/>
      </c>
      <c r="J688" s="492" t="str">
        <f ca="1"/>
        <v/>
      </c>
      <c r="K688" s="508" t="str">
        <f ca="1"/>
        <v/>
      </c>
      <c r="L688" s="515" t="str">
        <f ca="1"/>
        <v/>
      </c>
      <c r="M688" s="450" t="str">
        <f ca="1"/>
        <v/>
      </c>
      <c r="N688" s="450" t="str">
        <f ca="1"/>
        <v/>
      </c>
    </row>
    <row r="689" spans="1:14">
      <c r="A689" s="5"/>
      <c r="B689" s="249"/>
      <c r="C689" s="384" t="str">
        <f ca="1"/>
        <v/>
      </c>
      <c r="D689" s="491" t="str">
        <f ca="1"/>
        <v/>
      </c>
      <c r="E689" s="508" t="str">
        <f ca="1"/>
        <v/>
      </c>
      <c r="F689" s="491" t="str">
        <f ca="1"/>
        <v/>
      </c>
      <c r="G689" s="492" t="str">
        <f ca="1"/>
        <v/>
      </c>
      <c r="H689" s="492" t="str">
        <f ca="1"/>
        <v/>
      </c>
      <c r="I689" s="492" t="str">
        <f ca="1"/>
        <v/>
      </c>
      <c r="J689" s="492" t="str">
        <f ca="1"/>
        <v/>
      </c>
      <c r="K689" s="508" t="str">
        <f ca="1"/>
        <v/>
      </c>
      <c r="L689" s="515" t="str">
        <f ca="1"/>
        <v/>
      </c>
      <c r="M689" s="450" t="str">
        <f ca="1"/>
        <v/>
      </c>
      <c r="N689" s="450" t="str">
        <f ca="1"/>
        <v/>
      </c>
    </row>
    <row r="690" spans="1:14">
      <c r="A690" s="5"/>
      <c r="B690" s="249"/>
      <c r="C690" s="12"/>
      <c r="D690" s="491"/>
      <c r="E690" s="508"/>
      <c r="F690" s="491"/>
      <c r="G690" s="492"/>
      <c r="H690" s="492"/>
      <c r="I690" s="492"/>
      <c r="J690" s="492"/>
      <c r="K690" s="508"/>
      <c r="L690" s="515"/>
      <c r="M690" s="450"/>
      <c r="N690" s="450"/>
    </row>
    <row r="691" spans="1:14" ht="25.5">
      <c r="A691" s="5"/>
      <c r="B691" s="249" t="str">
        <f ca="1">+'I-4 History'!B516</f>
        <v>A-33</v>
      </c>
      <c r="C691" s="14" t="str">
        <f ca="1">+'I-4 History'!C516</f>
        <v>Customer Relations, excluding Call Centre</v>
      </c>
      <c r="D691" s="491"/>
      <c r="E691" s="508"/>
      <c r="F691" s="491"/>
      <c r="G691" s="492"/>
      <c r="H691" s="492"/>
      <c r="I691" s="492"/>
      <c r="J691" s="492"/>
      <c r="K691" s="508"/>
      <c r="L691" s="515"/>
      <c r="M691" s="450"/>
      <c r="N691" s="450"/>
    </row>
    <row r="692" spans="1:14">
      <c r="A692" s="5"/>
      <c r="B692" s="249"/>
      <c r="C692" s="384" t="str">
        <f t="array" ref="C692:K701" ca="1">+'A-33'!$A$160:$I$169</f>
        <v>Step Change</v>
      </c>
      <c r="D692" s="491">
        <f ca="1"/>
        <v>0</v>
      </c>
      <c r="E692" s="508">
        <f ca="1"/>
        <v>0</v>
      </c>
      <c r="F692" s="491">
        <f ca="1"/>
        <v>0</v>
      </c>
      <c r="G692" s="492">
        <f ca="1"/>
        <v>0</v>
      </c>
      <c r="H692" s="492">
        <f ca="1"/>
        <v>0.59199999999999997</v>
      </c>
      <c r="I692" s="492">
        <f ca="1"/>
        <v>0.89600000000000002</v>
      </c>
      <c r="J692" s="492">
        <f ca="1"/>
        <v>0.89600000000000002</v>
      </c>
      <c r="K692" s="508">
        <f ca="1"/>
        <v>0.997</v>
      </c>
      <c r="L692" s="515" t="str">
        <f t="array" ref="L692:N701" ca="1">+'A-33'!$K$160:$M$169</f>
        <v>Proposal Step Change</v>
      </c>
      <c r="M692" s="450" t="str">
        <f ca="1"/>
        <v>Refer Opex Workings</v>
      </c>
      <c r="N692" s="450" t="str">
        <f ca="1"/>
        <v>Proposal, October 2014</v>
      </c>
    </row>
    <row r="693" spans="1:14">
      <c r="A693" s="5"/>
      <c r="B693" s="249"/>
      <c r="C693" s="384" t="str">
        <f ca="1"/>
        <v/>
      </c>
      <c r="D693" s="491" t="str">
        <f ca="1"/>
        <v/>
      </c>
      <c r="E693" s="508" t="str">
        <f ca="1"/>
        <v/>
      </c>
      <c r="F693" s="491" t="str">
        <f ca="1"/>
        <v/>
      </c>
      <c r="G693" s="492" t="str">
        <f ca="1"/>
        <v/>
      </c>
      <c r="H693" s="492" t="str">
        <f ca="1"/>
        <v/>
      </c>
      <c r="I693" s="492" t="str">
        <f ca="1"/>
        <v/>
      </c>
      <c r="J693" s="492" t="str">
        <f ca="1"/>
        <v/>
      </c>
      <c r="K693" s="508" t="str">
        <f ca="1"/>
        <v/>
      </c>
      <c r="L693" s="515" t="str">
        <f ca="1"/>
        <v/>
      </c>
      <c r="M693" s="450" t="str">
        <f ca="1"/>
        <v/>
      </c>
      <c r="N693" s="450" t="str">
        <f ca="1"/>
        <v/>
      </c>
    </row>
    <row r="694" spans="1:14">
      <c r="A694" s="5"/>
      <c r="B694" s="249"/>
      <c r="C694" s="384" t="str">
        <f ca="1"/>
        <v/>
      </c>
      <c r="D694" s="491" t="str">
        <f ca="1"/>
        <v/>
      </c>
      <c r="E694" s="508" t="str">
        <f ca="1"/>
        <v/>
      </c>
      <c r="F694" s="491" t="str">
        <f ca="1"/>
        <v/>
      </c>
      <c r="G694" s="492" t="str">
        <f ca="1"/>
        <v/>
      </c>
      <c r="H694" s="492" t="str">
        <f ca="1"/>
        <v/>
      </c>
      <c r="I694" s="492" t="str">
        <f ca="1"/>
        <v/>
      </c>
      <c r="J694" s="492" t="str">
        <f ca="1"/>
        <v/>
      </c>
      <c r="K694" s="508" t="str">
        <f ca="1"/>
        <v/>
      </c>
      <c r="L694" s="515" t="str">
        <f ca="1"/>
        <v/>
      </c>
      <c r="M694" s="450" t="str">
        <f ca="1"/>
        <v/>
      </c>
      <c r="N694" s="450" t="str">
        <f ca="1"/>
        <v/>
      </c>
    </row>
    <row r="695" spans="1:14">
      <c r="A695" s="5"/>
      <c r="B695" s="249"/>
      <c r="C695" s="384" t="str">
        <f ca="1"/>
        <v/>
      </c>
      <c r="D695" s="491" t="str">
        <f ca="1"/>
        <v/>
      </c>
      <c r="E695" s="508" t="str">
        <f ca="1"/>
        <v/>
      </c>
      <c r="F695" s="491" t="str">
        <f ca="1"/>
        <v/>
      </c>
      <c r="G695" s="492" t="str">
        <f ca="1"/>
        <v/>
      </c>
      <c r="H695" s="492" t="str">
        <f ca="1"/>
        <v/>
      </c>
      <c r="I695" s="492" t="str">
        <f ca="1"/>
        <v/>
      </c>
      <c r="J695" s="492" t="str">
        <f ca="1"/>
        <v/>
      </c>
      <c r="K695" s="508" t="str">
        <f ca="1"/>
        <v/>
      </c>
      <c r="L695" s="515" t="str">
        <f ca="1"/>
        <v/>
      </c>
      <c r="M695" s="450" t="str">
        <f ca="1"/>
        <v/>
      </c>
      <c r="N695" s="450" t="str">
        <f ca="1"/>
        <v/>
      </c>
    </row>
    <row r="696" spans="1:14">
      <c r="A696" s="5"/>
      <c r="B696" s="249"/>
      <c r="C696" s="384" t="str">
        <f ca="1"/>
        <v/>
      </c>
      <c r="D696" s="491" t="str">
        <f ca="1"/>
        <v/>
      </c>
      <c r="E696" s="508" t="str">
        <f ca="1"/>
        <v/>
      </c>
      <c r="F696" s="491" t="str">
        <f ca="1"/>
        <v/>
      </c>
      <c r="G696" s="492" t="str">
        <f ca="1"/>
        <v/>
      </c>
      <c r="H696" s="492" t="str">
        <f ca="1"/>
        <v/>
      </c>
      <c r="I696" s="492" t="str">
        <f ca="1"/>
        <v/>
      </c>
      <c r="J696" s="492" t="str">
        <f ca="1"/>
        <v/>
      </c>
      <c r="K696" s="508" t="str">
        <f ca="1"/>
        <v/>
      </c>
      <c r="L696" s="515" t="str">
        <f ca="1"/>
        <v/>
      </c>
      <c r="M696" s="450" t="str">
        <f ca="1"/>
        <v/>
      </c>
      <c r="N696" s="450" t="str">
        <f ca="1"/>
        <v/>
      </c>
    </row>
    <row r="697" spans="1:14">
      <c r="B697" s="249"/>
      <c r="C697" s="384" t="str">
        <f ca="1"/>
        <v/>
      </c>
      <c r="D697" s="491" t="str">
        <f ca="1"/>
        <v/>
      </c>
      <c r="E697" s="508" t="str">
        <f ca="1"/>
        <v/>
      </c>
      <c r="F697" s="491" t="str">
        <f ca="1"/>
        <v/>
      </c>
      <c r="G697" s="492" t="str">
        <f ca="1"/>
        <v/>
      </c>
      <c r="H697" s="492" t="str">
        <f ca="1"/>
        <v/>
      </c>
      <c r="I697" s="492" t="str">
        <f ca="1"/>
        <v/>
      </c>
      <c r="J697" s="492" t="str">
        <f ca="1"/>
        <v/>
      </c>
      <c r="K697" s="508" t="str">
        <f ca="1"/>
        <v/>
      </c>
      <c r="L697" s="515" t="str">
        <f ca="1"/>
        <v/>
      </c>
      <c r="M697" s="450" t="str">
        <f ca="1"/>
        <v/>
      </c>
      <c r="N697" s="450" t="str">
        <f ca="1"/>
        <v/>
      </c>
    </row>
    <row r="698" spans="1:14">
      <c r="B698" s="249"/>
      <c r="C698" s="384" t="str">
        <f ca="1"/>
        <v/>
      </c>
      <c r="D698" s="491" t="str">
        <f ca="1"/>
        <v/>
      </c>
      <c r="E698" s="508" t="str">
        <f ca="1"/>
        <v/>
      </c>
      <c r="F698" s="491" t="str">
        <f ca="1"/>
        <v/>
      </c>
      <c r="G698" s="492" t="str">
        <f ca="1"/>
        <v/>
      </c>
      <c r="H698" s="492" t="str">
        <f ca="1"/>
        <v/>
      </c>
      <c r="I698" s="492" t="str">
        <f ca="1"/>
        <v/>
      </c>
      <c r="J698" s="492" t="str">
        <f ca="1"/>
        <v/>
      </c>
      <c r="K698" s="508" t="str">
        <f ca="1"/>
        <v/>
      </c>
      <c r="L698" s="515" t="str">
        <f ca="1"/>
        <v/>
      </c>
      <c r="M698" s="450" t="str">
        <f ca="1"/>
        <v/>
      </c>
      <c r="N698" s="450" t="str">
        <f ca="1"/>
        <v/>
      </c>
    </row>
    <row r="699" spans="1:14">
      <c r="B699" s="249"/>
      <c r="C699" s="384" t="str">
        <f ca="1"/>
        <v/>
      </c>
      <c r="D699" s="491" t="str">
        <f ca="1"/>
        <v/>
      </c>
      <c r="E699" s="508" t="str">
        <f ca="1"/>
        <v/>
      </c>
      <c r="F699" s="491" t="str">
        <f ca="1"/>
        <v/>
      </c>
      <c r="G699" s="492" t="str">
        <f ca="1"/>
        <v/>
      </c>
      <c r="H699" s="492" t="str">
        <f ca="1"/>
        <v/>
      </c>
      <c r="I699" s="492" t="str">
        <f ca="1"/>
        <v/>
      </c>
      <c r="J699" s="492" t="str">
        <f ca="1"/>
        <v/>
      </c>
      <c r="K699" s="508" t="str">
        <f ca="1"/>
        <v/>
      </c>
      <c r="L699" s="515" t="str">
        <f ca="1"/>
        <v/>
      </c>
      <c r="M699" s="450" t="str">
        <f ca="1"/>
        <v/>
      </c>
      <c r="N699" s="450" t="str">
        <f ca="1"/>
        <v/>
      </c>
    </row>
    <row r="700" spans="1:14">
      <c r="B700" s="249"/>
      <c r="C700" s="384" t="str">
        <f ca="1"/>
        <v/>
      </c>
      <c r="D700" s="491" t="str">
        <f ca="1"/>
        <v/>
      </c>
      <c r="E700" s="508" t="str">
        <f ca="1"/>
        <v/>
      </c>
      <c r="F700" s="491" t="str">
        <f ca="1"/>
        <v/>
      </c>
      <c r="G700" s="492" t="str">
        <f ca="1"/>
        <v/>
      </c>
      <c r="H700" s="492" t="str">
        <f ca="1"/>
        <v/>
      </c>
      <c r="I700" s="492" t="str">
        <f ca="1"/>
        <v/>
      </c>
      <c r="J700" s="492" t="str">
        <f ca="1"/>
        <v/>
      </c>
      <c r="K700" s="508" t="str">
        <f ca="1"/>
        <v/>
      </c>
      <c r="L700" s="515" t="str">
        <f ca="1"/>
        <v/>
      </c>
      <c r="M700" s="450" t="str">
        <f ca="1"/>
        <v/>
      </c>
      <c r="N700" s="450" t="str">
        <f ca="1"/>
        <v/>
      </c>
    </row>
    <row r="701" spans="1:14">
      <c r="B701" s="249"/>
      <c r="C701" s="384" t="str">
        <f ca="1"/>
        <v/>
      </c>
      <c r="D701" s="491" t="str">
        <f ca="1"/>
        <v/>
      </c>
      <c r="E701" s="508" t="str">
        <f ca="1"/>
        <v/>
      </c>
      <c r="F701" s="491" t="str">
        <f ca="1"/>
        <v/>
      </c>
      <c r="G701" s="492" t="str">
        <f ca="1"/>
        <v/>
      </c>
      <c r="H701" s="492" t="str">
        <f ca="1"/>
        <v/>
      </c>
      <c r="I701" s="492" t="str">
        <f ca="1"/>
        <v/>
      </c>
      <c r="J701" s="492" t="str">
        <f ca="1"/>
        <v/>
      </c>
      <c r="K701" s="508" t="str">
        <f ca="1"/>
        <v/>
      </c>
      <c r="L701" s="515" t="str">
        <f ca="1"/>
        <v/>
      </c>
      <c r="M701" s="450" t="str">
        <f ca="1"/>
        <v/>
      </c>
      <c r="N701" s="450" t="str">
        <f ca="1"/>
        <v/>
      </c>
    </row>
    <row r="702" spans="1:14">
      <c r="B702" s="249"/>
      <c r="C702" s="12"/>
      <c r="D702" s="491"/>
      <c r="E702" s="508"/>
      <c r="F702" s="491"/>
      <c r="G702" s="492"/>
      <c r="H702" s="492"/>
      <c r="I702" s="492"/>
      <c r="J702" s="492"/>
      <c r="K702" s="508"/>
      <c r="L702" s="515"/>
      <c r="M702" s="450"/>
      <c r="N702" s="450"/>
    </row>
    <row r="703" spans="1:14">
      <c r="A703" s="5"/>
      <c r="B703" s="249" t="str">
        <f ca="1">+'I-4 History'!B525</f>
        <v>A-34</v>
      </c>
      <c r="C703" s="14" t="str">
        <f ca="1">+'I-4 History'!C525</f>
        <v>Business Improvement and Planning</v>
      </c>
      <c r="D703" s="491"/>
      <c r="E703" s="508"/>
      <c r="F703" s="491"/>
      <c r="G703" s="492"/>
      <c r="H703" s="492"/>
      <c r="I703" s="492"/>
      <c r="J703" s="492"/>
      <c r="K703" s="508"/>
      <c r="L703" s="515"/>
      <c r="M703" s="450"/>
      <c r="N703" s="450"/>
    </row>
    <row r="704" spans="1:14">
      <c r="A704" s="5"/>
      <c r="B704" s="249"/>
      <c r="C704" s="384" t="str">
        <f t="array" ref="C704:K713" ca="1">+'A-34'!$A$160:$I$169</f>
        <v>Step Change</v>
      </c>
      <c r="D704" s="491">
        <f ca="1"/>
        <v>0</v>
      </c>
      <c r="E704" s="508">
        <f ca="1"/>
        <v>0</v>
      </c>
      <c r="F704" s="491">
        <f ca="1"/>
        <v>0</v>
      </c>
      <c r="G704" s="492">
        <f ca="1"/>
        <v>0</v>
      </c>
      <c r="H704" s="492">
        <f ca="1"/>
        <v>0.4</v>
      </c>
      <c r="I704" s="492">
        <f ca="1"/>
        <v>0.4</v>
      </c>
      <c r="J704" s="492">
        <f ca="1"/>
        <v>0.4</v>
      </c>
      <c r="K704" s="508">
        <f ca="1"/>
        <v>0.4</v>
      </c>
      <c r="L704" s="515" t="str">
        <f t="array" ref="L704:N713" ca="1">+'A-34'!$K$160:$M$169</f>
        <v>Proposal Step Change</v>
      </c>
      <c r="M704" s="450" t="str">
        <f ca="1"/>
        <v>Refer Opex Workings</v>
      </c>
      <c r="N704" s="450" t="str">
        <f ca="1"/>
        <v>Proposal, October 2014</v>
      </c>
    </row>
    <row r="705" spans="1:14">
      <c r="A705" s="5"/>
      <c r="B705" s="249"/>
      <c r="C705" s="382" t="str">
        <f ca="1"/>
        <v/>
      </c>
      <c r="D705" s="491" t="str">
        <f ca="1"/>
        <v/>
      </c>
      <c r="E705" s="508" t="str">
        <f ca="1"/>
        <v/>
      </c>
      <c r="F705" s="491" t="str">
        <f ca="1"/>
        <v/>
      </c>
      <c r="G705" s="492" t="str">
        <f ca="1"/>
        <v/>
      </c>
      <c r="H705" s="492" t="str">
        <f ca="1"/>
        <v/>
      </c>
      <c r="I705" s="492" t="str">
        <f ca="1"/>
        <v/>
      </c>
      <c r="J705" s="492" t="str">
        <f ca="1"/>
        <v/>
      </c>
      <c r="K705" s="508" t="str">
        <f ca="1"/>
        <v/>
      </c>
      <c r="L705" s="515" t="str">
        <f ca="1"/>
        <v/>
      </c>
      <c r="M705" s="450" t="str">
        <f ca="1"/>
        <v/>
      </c>
      <c r="N705" s="450" t="str">
        <f ca="1"/>
        <v/>
      </c>
    </row>
    <row r="706" spans="1:14">
      <c r="A706" s="5"/>
      <c r="B706" s="249"/>
      <c r="C706" s="382" t="str">
        <f ca="1"/>
        <v/>
      </c>
      <c r="D706" s="491" t="str">
        <f ca="1"/>
        <v/>
      </c>
      <c r="E706" s="508" t="str">
        <f ca="1"/>
        <v/>
      </c>
      <c r="F706" s="491" t="str">
        <f ca="1"/>
        <v/>
      </c>
      <c r="G706" s="492" t="str">
        <f ca="1"/>
        <v/>
      </c>
      <c r="H706" s="492" t="str">
        <f ca="1"/>
        <v/>
      </c>
      <c r="I706" s="492" t="str">
        <f ca="1"/>
        <v/>
      </c>
      <c r="J706" s="492" t="str">
        <f ca="1"/>
        <v/>
      </c>
      <c r="K706" s="508" t="str">
        <f ca="1"/>
        <v/>
      </c>
      <c r="L706" s="515" t="str">
        <f ca="1"/>
        <v/>
      </c>
      <c r="M706" s="450" t="str">
        <f ca="1"/>
        <v/>
      </c>
      <c r="N706" s="450" t="str">
        <f ca="1"/>
        <v/>
      </c>
    </row>
    <row r="707" spans="1:14">
      <c r="A707" s="5"/>
      <c r="B707" s="249"/>
      <c r="C707" s="382" t="str">
        <f ca="1"/>
        <v/>
      </c>
      <c r="D707" s="491" t="str">
        <f ca="1"/>
        <v/>
      </c>
      <c r="E707" s="508" t="str">
        <f ca="1"/>
        <v/>
      </c>
      <c r="F707" s="491" t="str">
        <f ca="1"/>
        <v/>
      </c>
      <c r="G707" s="492" t="str">
        <f ca="1"/>
        <v/>
      </c>
      <c r="H707" s="492" t="str">
        <f ca="1"/>
        <v/>
      </c>
      <c r="I707" s="492" t="str">
        <f ca="1"/>
        <v/>
      </c>
      <c r="J707" s="492" t="str">
        <f ca="1"/>
        <v/>
      </c>
      <c r="K707" s="508" t="str">
        <f ca="1"/>
        <v/>
      </c>
      <c r="L707" s="515" t="str">
        <f ca="1"/>
        <v/>
      </c>
      <c r="M707" s="450" t="str">
        <f ca="1"/>
        <v/>
      </c>
      <c r="N707" s="450" t="str">
        <f ca="1"/>
        <v/>
      </c>
    </row>
    <row r="708" spans="1:14">
      <c r="A708" s="5"/>
      <c r="B708" s="249"/>
      <c r="C708" s="382" t="str">
        <f ca="1"/>
        <v/>
      </c>
      <c r="D708" s="491" t="str">
        <f ca="1"/>
        <v/>
      </c>
      <c r="E708" s="508" t="str">
        <f ca="1"/>
        <v/>
      </c>
      <c r="F708" s="491" t="str">
        <f ca="1"/>
        <v/>
      </c>
      <c r="G708" s="492" t="str">
        <f ca="1"/>
        <v/>
      </c>
      <c r="H708" s="492" t="str">
        <f ca="1"/>
        <v/>
      </c>
      <c r="I708" s="492" t="str">
        <f ca="1"/>
        <v/>
      </c>
      <c r="J708" s="492" t="str">
        <f ca="1"/>
        <v/>
      </c>
      <c r="K708" s="508" t="str">
        <f ca="1"/>
        <v/>
      </c>
      <c r="L708" s="515" t="str">
        <f ca="1"/>
        <v/>
      </c>
      <c r="M708" s="450" t="str">
        <f ca="1"/>
        <v/>
      </c>
      <c r="N708" s="450" t="str">
        <f ca="1"/>
        <v/>
      </c>
    </row>
    <row r="709" spans="1:14">
      <c r="A709" s="5"/>
      <c r="B709" s="249"/>
      <c r="C709" s="384" t="str">
        <f ca="1"/>
        <v/>
      </c>
      <c r="D709" s="491" t="str">
        <f ca="1"/>
        <v/>
      </c>
      <c r="E709" s="508" t="str">
        <f ca="1"/>
        <v/>
      </c>
      <c r="F709" s="491" t="str">
        <f ca="1"/>
        <v/>
      </c>
      <c r="G709" s="492" t="str">
        <f ca="1"/>
        <v/>
      </c>
      <c r="H709" s="492" t="str">
        <f ca="1"/>
        <v/>
      </c>
      <c r="I709" s="492" t="str">
        <f ca="1"/>
        <v/>
      </c>
      <c r="J709" s="492" t="str">
        <f ca="1"/>
        <v/>
      </c>
      <c r="K709" s="508" t="str">
        <f ca="1"/>
        <v/>
      </c>
      <c r="L709" s="515" t="str">
        <f ca="1"/>
        <v/>
      </c>
      <c r="M709" s="450" t="str">
        <f ca="1"/>
        <v/>
      </c>
      <c r="N709" s="450" t="str">
        <f ca="1"/>
        <v/>
      </c>
    </row>
    <row r="710" spans="1:14">
      <c r="A710" s="5"/>
      <c r="B710" s="249"/>
      <c r="C710" s="384" t="str">
        <f ca="1"/>
        <v/>
      </c>
      <c r="D710" s="491" t="str">
        <f ca="1"/>
        <v/>
      </c>
      <c r="E710" s="508" t="str">
        <f ca="1"/>
        <v/>
      </c>
      <c r="F710" s="491" t="str">
        <f ca="1"/>
        <v/>
      </c>
      <c r="G710" s="492" t="str">
        <f ca="1"/>
        <v/>
      </c>
      <c r="H710" s="492" t="str">
        <f ca="1"/>
        <v/>
      </c>
      <c r="I710" s="492" t="str">
        <f ca="1"/>
        <v/>
      </c>
      <c r="J710" s="492" t="str">
        <f ca="1"/>
        <v/>
      </c>
      <c r="K710" s="508" t="str">
        <f ca="1"/>
        <v/>
      </c>
      <c r="L710" s="515" t="str">
        <f ca="1"/>
        <v/>
      </c>
      <c r="M710" s="450" t="str">
        <f ca="1"/>
        <v/>
      </c>
      <c r="N710" s="450" t="str">
        <f ca="1"/>
        <v/>
      </c>
    </row>
    <row r="711" spans="1:14">
      <c r="A711" s="5"/>
      <c r="B711" s="249"/>
      <c r="C711" s="384" t="str">
        <f ca="1"/>
        <v/>
      </c>
      <c r="D711" s="491" t="str">
        <f ca="1"/>
        <v/>
      </c>
      <c r="E711" s="508" t="str">
        <f ca="1"/>
        <v/>
      </c>
      <c r="F711" s="491" t="str">
        <f ca="1"/>
        <v/>
      </c>
      <c r="G711" s="492" t="str">
        <f ca="1"/>
        <v/>
      </c>
      <c r="H711" s="492" t="str">
        <f ca="1"/>
        <v/>
      </c>
      <c r="I711" s="492" t="str">
        <f ca="1"/>
        <v/>
      </c>
      <c r="J711" s="492" t="str">
        <f ca="1"/>
        <v/>
      </c>
      <c r="K711" s="508" t="str">
        <f ca="1"/>
        <v/>
      </c>
      <c r="L711" s="515" t="str">
        <f ca="1"/>
        <v/>
      </c>
      <c r="M711" s="450" t="str">
        <f ca="1"/>
        <v/>
      </c>
      <c r="N711" s="450" t="str">
        <f ca="1"/>
        <v/>
      </c>
    </row>
    <row r="712" spans="1:14">
      <c r="A712" s="5"/>
      <c r="B712" s="249"/>
      <c r="C712" s="384" t="str">
        <f ca="1"/>
        <v/>
      </c>
      <c r="D712" s="491" t="str">
        <f ca="1"/>
        <v/>
      </c>
      <c r="E712" s="508" t="str">
        <f ca="1"/>
        <v/>
      </c>
      <c r="F712" s="491" t="str">
        <f ca="1"/>
        <v/>
      </c>
      <c r="G712" s="492" t="str">
        <f ca="1"/>
        <v/>
      </c>
      <c r="H712" s="492" t="str">
        <f ca="1"/>
        <v/>
      </c>
      <c r="I712" s="492" t="str">
        <f ca="1"/>
        <v/>
      </c>
      <c r="J712" s="492" t="str">
        <f ca="1"/>
        <v/>
      </c>
      <c r="K712" s="508" t="str">
        <f ca="1"/>
        <v/>
      </c>
      <c r="L712" s="515" t="str">
        <f ca="1"/>
        <v/>
      </c>
      <c r="M712" s="450" t="str">
        <f ca="1"/>
        <v/>
      </c>
      <c r="N712" s="450" t="str">
        <f ca="1"/>
        <v/>
      </c>
    </row>
    <row r="713" spans="1:14">
      <c r="A713" s="5"/>
      <c r="B713" s="249"/>
      <c r="C713" s="384" t="str">
        <f ca="1"/>
        <v/>
      </c>
      <c r="D713" s="491" t="str">
        <f ca="1"/>
        <v/>
      </c>
      <c r="E713" s="508" t="str">
        <f ca="1"/>
        <v/>
      </c>
      <c r="F713" s="491" t="str">
        <f ca="1"/>
        <v/>
      </c>
      <c r="G713" s="492" t="str">
        <f ca="1"/>
        <v/>
      </c>
      <c r="H713" s="492" t="str">
        <f ca="1"/>
        <v/>
      </c>
      <c r="I713" s="492" t="str">
        <f ca="1"/>
        <v/>
      </c>
      <c r="J713" s="492" t="str">
        <f ca="1"/>
        <v/>
      </c>
      <c r="K713" s="508" t="str">
        <f ca="1"/>
        <v/>
      </c>
      <c r="L713" s="515" t="str">
        <f ca="1"/>
        <v/>
      </c>
      <c r="M713" s="450" t="str">
        <f ca="1"/>
        <v/>
      </c>
      <c r="N713" s="450" t="str">
        <f ca="1"/>
        <v/>
      </c>
    </row>
    <row r="714" spans="1:14">
      <c r="A714" s="5"/>
      <c r="B714" s="249"/>
      <c r="C714" s="12"/>
      <c r="D714" s="491"/>
      <c r="E714" s="508"/>
      <c r="F714" s="491"/>
      <c r="G714" s="492"/>
      <c r="H714" s="492"/>
      <c r="I714" s="492"/>
      <c r="J714" s="492"/>
      <c r="K714" s="508"/>
      <c r="L714" s="515"/>
      <c r="M714" s="450"/>
      <c r="N714" s="450"/>
    </row>
    <row r="715" spans="1:14">
      <c r="A715" s="5"/>
      <c r="B715" s="249" t="str">
        <f ca="1">+'I-4 History'!B534</f>
        <v>A-35</v>
      </c>
      <c r="C715" s="262" t="str">
        <f ca="1">+'I-4 History'!C534</f>
        <v>Works Coordination</v>
      </c>
      <c r="D715" s="491"/>
      <c r="E715" s="508"/>
      <c r="F715" s="491"/>
      <c r="G715" s="492"/>
      <c r="H715" s="492"/>
      <c r="I715" s="492"/>
      <c r="J715" s="492"/>
      <c r="K715" s="508"/>
      <c r="L715" s="515"/>
      <c r="M715" s="450"/>
      <c r="N715" s="450"/>
    </row>
    <row r="716" spans="1:14">
      <c r="A716" s="5"/>
      <c r="B716" s="249"/>
      <c r="C716" s="384" t="str">
        <f t="array" ref="C716:K725" ca="1">+'A-35'!$A$160:$I$169</f>
        <v>Step Change</v>
      </c>
      <c r="D716" s="491">
        <f ca="1"/>
        <v>0</v>
      </c>
      <c r="E716" s="508">
        <f ca="1"/>
        <v>0</v>
      </c>
      <c r="F716" s="491">
        <f ca="1"/>
        <v>0</v>
      </c>
      <c r="G716" s="492">
        <f ca="1"/>
        <v>0</v>
      </c>
      <c r="H716" s="492">
        <f ca="1"/>
        <v>0</v>
      </c>
      <c r="I716" s="492">
        <f ca="1"/>
        <v>0</v>
      </c>
      <c r="J716" s="492">
        <f ca="1"/>
        <v>0</v>
      </c>
      <c r="K716" s="508">
        <f ca="1"/>
        <v>0</v>
      </c>
      <c r="L716" s="515" t="str">
        <f t="array" ref="L716:N725" ca="1">+'A-35'!$K$160:$M$169</f>
        <v>Proposal Step Change</v>
      </c>
      <c r="M716" s="450" t="str">
        <f ca="1"/>
        <v>Refer Opex Workings</v>
      </c>
      <c r="N716" s="450" t="str">
        <f ca="1"/>
        <v>Proposal, October 2014</v>
      </c>
    </row>
    <row r="717" spans="1:14">
      <c r="A717" s="5"/>
      <c r="B717" s="249"/>
      <c r="C717" s="382" t="str">
        <f ca="1"/>
        <v/>
      </c>
      <c r="D717" s="491" t="str">
        <f ca="1"/>
        <v/>
      </c>
      <c r="E717" s="508" t="str">
        <f ca="1"/>
        <v/>
      </c>
      <c r="F717" s="491" t="str">
        <f ca="1"/>
        <v/>
      </c>
      <c r="G717" s="492" t="str">
        <f ca="1"/>
        <v/>
      </c>
      <c r="H717" s="492" t="str">
        <f ca="1"/>
        <v/>
      </c>
      <c r="I717" s="492" t="str">
        <f ca="1"/>
        <v/>
      </c>
      <c r="J717" s="492" t="str">
        <f ca="1"/>
        <v/>
      </c>
      <c r="K717" s="508" t="str">
        <f ca="1"/>
        <v/>
      </c>
      <c r="L717" s="515" t="str">
        <f ca="1"/>
        <v/>
      </c>
      <c r="M717" s="450" t="str">
        <f ca="1"/>
        <v/>
      </c>
      <c r="N717" s="450" t="str">
        <f ca="1"/>
        <v/>
      </c>
    </row>
    <row r="718" spans="1:14">
      <c r="A718" s="5"/>
      <c r="B718" s="249"/>
      <c r="C718" s="382" t="str">
        <f ca="1"/>
        <v/>
      </c>
      <c r="D718" s="491" t="str">
        <f ca="1"/>
        <v/>
      </c>
      <c r="E718" s="508" t="str">
        <f ca="1"/>
        <v/>
      </c>
      <c r="F718" s="491" t="str">
        <f ca="1"/>
        <v/>
      </c>
      <c r="G718" s="492" t="str">
        <f ca="1"/>
        <v/>
      </c>
      <c r="H718" s="492" t="str">
        <f ca="1"/>
        <v/>
      </c>
      <c r="I718" s="492" t="str">
        <f ca="1"/>
        <v/>
      </c>
      <c r="J718" s="492" t="str">
        <f ca="1"/>
        <v/>
      </c>
      <c r="K718" s="508" t="str">
        <f ca="1"/>
        <v/>
      </c>
      <c r="L718" s="515" t="str">
        <f ca="1"/>
        <v/>
      </c>
      <c r="M718" s="450" t="str">
        <f ca="1"/>
        <v/>
      </c>
      <c r="N718" s="450" t="str">
        <f ca="1"/>
        <v/>
      </c>
    </row>
    <row r="719" spans="1:14">
      <c r="A719" s="5"/>
      <c r="B719" s="249"/>
      <c r="C719" s="382" t="str">
        <f ca="1"/>
        <v/>
      </c>
      <c r="D719" s="491" t="str">
        <f ca="1"/>
        <v/>
      </c>
      <c r="E719" s="508" t="str">
        <f ca="1"/>
        <v/>
      </c>
      <c r="F719" s="491" t="str">
        <f ca="1"/>
        <v/>
      </c>
      <c r="G719" s="492" t="str">
        <f ca="1"/>
        <v/>
      </c>
      <c r="H719" s="492" t="str">
        <f ca="1"/>
        <v/>
      </c>
      <c r="I719" s="492" t="str">
        <f ca="1"/>
        <v/>
      </c>
      <c r="J719" s="492" t="str">
        <f ca="1"/>
        <v/>
      </c>
      <c r="K719" s="508" t="str">
        <f ca="1"/>
        <v/>
      </c>
      <c r="L719" s="515" t="str">
        <f ca="1"/>
        <v/>
      </c>
      <c r="M719" s="450" t="str">
        <f ca="1"/>
        <v/>
      </c>
      <c r="N719" s="450" t="str">
        <f ca="1"/>
        <v/>
      </c>
    </row>
    <row r="720" spans="1:14">
      <c r="A720" s="5"/>
      <c r="B720" s="249"/>
      <c r="C720" s="382" t="str">
        <f ca="1"/>
        <v/>
      </c>
      <c r="D720" s="491" t="str">
        <f ca="1"/>
        <v/>
      </c>
      <c r="E720" s="508" t="str">
        <f ca="1"/>
        <v/>
      </c>
      <c r="F720" s="491" t="str">
        <f ca="1"/>
        <v/>
      </c>
      <c r="G720" s="492" t="str">
        <f ca="1"/>
        <v/>
      </c>
      <c r="H720" s="492" t="str">
        <f ca="1"/>
        <v/>
      </c>
      <c r="I720" s="492" t="str">
        <f ca="1"/>
        <v/>
      </c>
      <c r="J720" s="492" t="str">
        <f ca="1"/>
        <v/>
      </c>
      <c r="K720" s="508" t="str">
        <f ca="1"/>
        <v/>
      </c>
      <c r="L720" s="515" t="str">
        <f ca="1"/>
        <v/>
      </c>
      <c r="M720" s="450" t="str">
        <f ca="1"/>
        <v/>
      </c>
      <c r="N720" s="450" t="str">
        <f ca="1"/>
        <v/>
      </c>
    </row>
    <row r="721" spans="1:14">
      <c r="A721" s="5"/>
      <c r="B721" s="249"/>
      <c r="C721" s="384" t="str">
        <f ca="1"/>
        <v/>
      </c>
      <c r="D721" s="491" t="str">
        <f ca="1"/>
        <v/>
      </c>
      <c r="E721" s="508" t="str">
        <f ca="1"/>
        <v/>
      </c>
      <c r="F721" s="491" t="str">
        <f ca="1"/>
        <v/>
      </c>
      <c r="G721" s="492" t="str">
        <f ca="1"/>
        <v/>
      </c>
      <c r="H721" s="492" t="str">
        <f ca="1"/>
        <v/>
      </c>
      <c r="I721" s="492" t="str">
        <f ca="1"/>
        <v/>
      </c>
      <c r="J721" s="492" t="str">
        <f ca="1"/>
        <v/>
      </c>
      <c r="K721" s="508" t="str">
        <f ca="1"/>
        <v/>
      </c>
      <c r="L721" s="515" t="str">
        <f ca="1"/>
        <v/>
      </c>
      <c r="M721" s="450" t="str">
        <f ca="1"/>
        <v/>
      </c>
      <c r="N721" s="450" t="str">
        <f ca="1"/>
        <v/>
      </c>
    </row>
    <row r="722" spans="1:14">
      <c r="A722" s="5"/>
      <c r="B722" s="249"/>
      <c r="C722" s="384" t="str">
        <f ca="1"/>
        <v/>
      </c>
      <c r="D722" s="491" t="str">
        <f ca="1"/>
        <v/>
      </c>
      <c r="E722" s="508" t="str">
        <f ca="1"/>
        <v/>
      </c>
      <c r="F722" s="491" t="str">
        <f ca="1"/>
        <v/>
      </c>
      <c r="G722" s="492" t="str">
        <f ca="1"/>
        <v/>
      </c>
      <c r="H722" s="492" t="str">
        <f ca="1"/>
        <v/>
      </c>
      <c r="I722" s="492" t="str">
        <f ca="1"/>
        <v/>
      </c>
      <c r="J722" s="492" t="str">
        <f ca="1"/>
        <v/>
      </c>
      <c r="K722" s="508" t="str">
        <f ca="1"/>
        <v/>
      </c>
      <c r="L722" s="515" t="str">
        <f ca="1"/>
        <v/>
      </c>
      <c r="M722" s="450" t="str">
        <f ca="1"/>
        <v/>
      </c>
      <c r="N722" s="450" t="str">
        <f ca="1"/>
        <v/>
      </c>
    </row>
    <row r="723" spans="1:14">
      <c r="A723" s="5"/>
      <c r="B723" s="249"/>
      <c r="C723" s="384" t="str">
        <f ca="1"/>
        <v/>
      </c>
      <c r="D723" s="491" t="str">
        <f ca="1"/>
        <v/>
      </c>
      <c r="E723" s="508" t="str">
        <f ca="1"/>
        <v/>
      </c>
      <c r="F723" s="491" t="str">
        <f ca="1"/>
        <v/>
      </c>
      <c r="G723" s="492" t="str">
        <f ca="1"/>
        <v/>
      </c>
      <c r="H723" s="492" t="str">
        <f ca="1"/>
        <v/>
      </c>
      <c r="I723" s="492" t="str">
        <f ca="1"/>
        <v/>
      </c>
      <c r="J723" s="492" t="str">
        <f ca="1"/>
        <v/>
      </c>
      <c r="K723" s="508" t="str">
        <f ca="1"/>
        <v/>
      </c>
      <c r="L723" s="515" t="str">
        <f ca="1"/>
        <v/>
      </c>
      <c r="M723" s="450" t="str">
        <f ca="1"/>
        <v/>
      </c>
      <c r="N723" s="450" t="str">
        <f ca="1"/>
        <v/>
      </c>
    </row>
    <row r="724" spans="1:14">
      <c r="A724" s="5"/>
      <c r="B724" s="249"/>
      <c r="C724" s="384" t="str">
        <f ca="1"/>
        <v/>
      </c>
      <c r="D724" s="491" t="str">
        <f ca="1"/>
        <v/>
      </c>
      <c r="E724" s="508" t="str">
        <f ca="1"/>
        <v/>
      </c>
      <c r="F724" s="491" t="str">
        <f ca="1"/>
        <v/>
      </c>
      <c r="G724" s="492" t="str">
        <f ca="1"/>
        <v/>
      </c>
      <c r="H724" s="492" t="str">
        <f ca="1"/>
        <v/>
      </c>
      <c r="I724" s="492" t="str">
        <f ca="1"/>
        <v/>
      </c>
      <c r="J724" s="492" t="str">
        <f ca="1"/>
        <v/>
      </c>
      <c r="K724" s="508" t="str">
        <f ca="1"/>
        <v/>
      </c>
      <c r="L724" s="515" t="str">
        <f ca="1"/>
        <v/>
      </c>
      <c r="M724" s="450" t="str">
        <f ca="1"/>
        <v/>
      </c>
      <c r="N724" s="450" t="str">
        <f ca="1"/>
        <v/>
      </c>
    </row>
    <row r="725" spans="1:14">
      <c r="A725" s="5"/>
      <c r="B725" s="249"/>
      <c r="C725" s="384" t="str">
        <f ca="1"/>
        <v/>
      </c>
      <c r="D725" s="491" t="str">
        <f ca="1"/>
        <v/>
      </c>
      <c r="E725" s="508" t="str">
        <f ca="1"/>
        <v/>
      </c>
      <c r="F725" s="491" t="str">
        <f ca="1"/>
        <v/>
      </c>
      <c r="G725" s="492" t="str">
        <f ca="1"/>
        <v/>
      </c>
      <c r="H725" s="492" t="str">
        <f ca="1"/>
        <v/>
      </c>
      <c r="I725" s="492" t="str">
        <f ca="1"/>
        <v/>
      </c>
      <c r="J725" s="492" t="str">
        <f ca="1"/>
        <v/>
      </c>
      <c r="K725" s="508" t="str">
        <f ca="1"/>
        <v/>
      </c>
      <c r="L725" s="515" t="str">
        <f ca="1"/>
        <v/>
      </c>
      <c r="M725" s="450" t="str">
        <f ca="1"/>
        <v/>
      </c>
      <c r="N725" s="450" t="str">
        <f ca="1"/>
        <v/>
      </c>
    </row>
    <row r="726" spans="1:14">
      <c r="A726" s="5"/>
      <c r="B726" s="249"/>
      <c r="C726" s="12"/>
      <c r="D726" s="491"/>
      <c r="E726" s="508"/>
      <c r="F726" s="491"/>
      <c r="G726" s="492"/>
      <c r="H726" s="492"/>
      <c r="I726" s="492"/>
      <c r="J726" s="492"/>
      <c r="K726" s="508"/>
      <c r="L726" s="515"/>
      <c r="M726" s="450"/>
      <c r="N726" s="450"/>
    </row>
    <row r="727" spans="1:14" ht="17.25" customHeight="1" thickBot="1">
      <c r="A727" s="5"/>
      <c r="B727" s="250"/>
      <c r="C727" s="269" t="str">
        <f>CONCATENATE("Total ", +C677)</f>
        <v xml:space="preserve">Total Services </v>
      </c>
      <c r="D727" s="315">
        <f ca="1">SUBTOTAL(9,D679:D726)</f>
        <v>0</v>
      </c>
      <c r="E727" s="500">
        <f t="shared" ref="E727:K727" ca="1" si="7">SUBTOTAL(9,E679:E726)</f>
        <v>0</v>
      </c>
      <c r="F727" s="314">
        <f t="shared" ca="1" si="7"/>
        <v>0</v>
      </c>
      <c r="G727" s="315">
        <f t="shared" ca="1" si="7"/>
        <v>0</v>
      </c>
      <c r="H727" s="315">
        <f t="shared" ca="1" si="7"/>
        <v>0.99199999999999999</v>
      </c>
      <c r="I727" s="315">
        <f t="shared" ca="1" si="7"/>
        <v>1.296</v>
      </c>
      <c r="J727" s="315">
        <f t="shared" ca="1" si="7"/>
        <v>1.296</v>
      </c>
      <c r="K727" s="500">
        <f t="shared" ca="1" si="7"/>
        <v>1.397</v>
      </c>
      <c r="L727" s="515"/>
      <c r="M727" s="450"/>
      <c r="N727" s="450"/>
    </row>
    <row r="728" spans="1:14" ht="18">
      <c r="B728" s="251"/>
      <c r="C728" s="255" t="str">
        <f>+'I-3 Allocated'!A40</f>
        <v xml:space="preserve">Other </v>
      </c>
      <c r="D728" s="332"/>
      <c r="E728" s="499"/>
      <c r="F728" s="332"/>
      <c r="G728" s="332"/>
      <c r="H728" s="332"/>
      <c r="I728" s="332"/>
      <c r="J728" s="332"/>
      <c r="K728" s="499"/>
      <c r="L728" s="515"/>
      <c r="M728" s="450"/>
      <c r="N728" s="450"/>
    </row>
    <row r="729" spans="1:14">
      <c r="A729" s="5"/>
      <c r="B729" s="249" t="str">
        <f ca="1">+'I-4 History'!B544</f>
        <v>A-36</v>
      </c>
      <c r="C729" s="14" t="str">
        <f ca="1">+'I-4 History'!C544</f>
        <v>Employee Bonuses</v>
      </c>
      <c r="D729" s="491"/>
      <c r="E729" s="508"/>
      <c r="F729" s="491"/>
      <c r="G729" s="492"/>
      <c r="H729" s="492"/>
      <c r="I729" s="492"/>
      <c r="J729" s="492"/>
      <c r="K729" s="508"/>
      <c r="L729" s="515"/>
      <c r="M729" s="450"/>
      <c r="N729" s="450"/>
    </row>
    <row r="730" spans="1:14">
      <c r="A730" s="5"/>
      <c r="B730" s="249"/>
      <c r="C730" s="384" t="str">
        <f t="array" ref="C730:K739" ca="1">+'A-36'!$A$160:$I$169</f>
        <v>Step Change</v>
      </c>
      <c r="D730" s="491">
        <f ca="1"/>
        <v>0</v>
      </c>
      <c r="E730" s="508">
        <f ca="1"/>
        <v>0</v>
      </c>
      <c r="F730" s="491">
        <f ca="1"/>
        <v>0</v>
      </c>
      <c r="G730" s="492">
        <f ca="1"/>
        <v>0</v>
      </c>
      <c r="H730" s="492">
        <f ca="1"/>
        <v>0</v>
      </c>
      <c r="I730" s="492">
        <f ca="1"/>
        <v>0</v>
      </c>
      <c r="J730" s="492">
        <f ca="1"/>
        <v>0</v>
      </c>
      <c r="K730" s="508">
        <f ca="1"/>
        <v>0</v>
      </c>
      <c r="L730" s="515" t="str">
        <f t="array" ref="L730:N739" ca="1">+'A-36'!$K$160:$M$169</f>
        <v>Proposal Step Change</v>
      </c>
      <c r="M730" s="450" t="str">
        <f ca="1"/>
        <v>Refer Opex Workings</v>
      </c>
      <c r="N730" s="450" t="str">
        <f ca="1"/>
        <v>Proposal, October 2014</v>
      </c>
    </row>
    <row r="731" spans="1:14">
      <c r="A731" s="5"/>
      <c r="B731" s="249"/>
      <c r="C731" s="382" t="str">
        <f ca="1"/>
        <v/>
      </c>
      <c r="D731" s="491" t="str">
        <f ca="1"/>
        <v/>
      </c>
      <c r="E731" s="508" t="str">
        <f ca="1"/>
        <v/>
      </c>
      <c r="F731" s="491" t="str">
        <f ca="1"/>
        <v/>
      </c>
      <c r="G731" s="492" t="str">
        <f ca="1"/>
        <v/>
      </c>
      <c r="H731" s="492" t="str">
        <f ca="1"/>
        <v/>
      </c>
      <c r="I731" s="492" t="str">
        <f ca="1"/>
        <v/>
      </c>
      <c r="J731" s="492" t="str">
        <f ca="1"/>
        <v/>
      </c>
      <c r="K731" s="508" t="str">
        <f ca="1"/>
        <v/>
      </c>
      <c r="L731" s="515" t="str">
        <f ca="1"/>
        <v/>
      </c>
      <c r="M731" s="450" t="str">
        <f ca="1"/>
        <v/>
      </c>
      <c r="N731" s="450" t="str">
        <f ca="1"/>
        <v/>
      </c>
    </row>
    <row r="732" spans="1:14">
      <c r="A732" s="5"/>
      <c r="B732" s="249"/>
      <c r="C732" s="382" t="str">
        <f ca="1"/>
        <v/>
      </c>
      <c r="D732" s="491" t="str">
        <f ca="1"/>
        <v/>
      </c>
      <c r="E732" s="508" t="str">
        <f ca="1"/>
        <v/>
      </c>
      <c r="F732" s="491" t="str">
        <f ca="1"/>
        <v/>
      </c>
      <c r="G732" s="492" t="str">
        <f ca="1"/>
        <v/>
      </c>
      <c r="H732" s="492" t="str">
        <f ca="1"/>
        <v/>
      </c>
      <c r="I732" s="492" t="str">
        <f ca="1"/>
        <v/>
      </c>
      <c r="J732" s="492" t="str">
        <f ca="1"/>
        <v/>
      </c>
      <c r="K732" s="508" t="str">
        <f ca="1"/>
        <v/>
      </c>
      <c r="L732" s="515" t="str">
        <f ca="1"/>
        <v/>
      </c>
      <c r="M732" s="450" t="str">
        <f ca="1"/>
        <v/>
      </c>
      <c r="N732" s="450" t="str">
        <f ca="1"/>
        <v/>
      </c>
    </row>
    <row r="733" spans="1:14">
      <c r="A733" s="5"/>
      <c r="B733" s="249"/>
      <c r="C733" s="382" t="str">
        <f ca="1"/>
        <v/>
      </c>
      <c r="D733" s="491" t="str">
        <f ca="1"/>
        <v/>
      </c>
      <c r="E733" s="508" t="str">
        <f ca="1"/>
        <v/>
      </c>
      <c r="F733" s="491" t="str">
        <f ca="1"/>
        <v/>
      </c>
      <c r="G733" s="492" t="str">
        <f ca="1"/>
        <v/>
      </c>
      <c r="H733" s="492" t="str">
        <f ca="1"/>
        <v/>
      </c>
      <c r="I733" s="492" t="str">
        <f ca="1"/>
        <v/>
      </c>
      <c r="J733" s="492" t="str">
        <f ca="1"/>
        <v/>
      </c>
      <c r="K733" s="508" t="str">
        <f ca="1"/>
        <v/>
      </c>
      <c r="L733" s="515" t="str">
        <f ca="1"/>
        <v/>
      </c>
      <c r="M733" s="450" t="str">
        <f ca="1"/>
        <v/>
      </c>
      <c r="N733" s="450" t="str">
        <f ca="1"/>
        <v/>
      </c>
    </row>
    <row r="734" spans="1:14">
      <c r="A734" s="5"/>
      <c r="B734" s="249"/>
      <c r="C734" s="382" t="str">
        <f ca="1"/>
        <v/>
      </c>
      <c r="D734" s="491" t="str">
        <f ca="1"/>
        <v/>
      </c>
      <c r="E734" s="508" t="str">
        <f ca="1"/>
        <v/>
      </c>
      <c r="F734" s="491" t="str">
        <f ca="1"/>
        <v/>
      </c>
      <c r="G734" s="492" t="str">
        <f ca="1"/>
        <v/>
      </c>
      <c r="H734" s="492" t="str">
        <f ca="1"/>
        <v/>
      </c>
      <c r="I734" s="492" t="str">
        <f ca="1"/>
        <v/>
      </c>
      <c r="J734" s="492" t="str">
        <f ca="1"/>
        <v/>
      </c>
      <c r="K734" s="508" t="str">
        <f ca="1"/>
        <v/>
      </c>
      <c r="L734" s="515" t="str">
        <f ca="1"/>
        <v/>
      </c>
      <c r="M734" s="450" t="str">
        <f ca="1"/>
        <v/>
      </c>
      <c r="N734" s="450" t="str">
        <f ca="1"/>
        <v/>
      </c>
    </row>
    <row r="735" spans="1:14">
      <c r="B735" s="249"/>
      <c r="C735" s="384" t="str">
        <f ca="1"/>
        <v/>
      </c>
      <c r="D735" s="491" t="str">
        <f ca="1"/>
        <v/>
      </c>
      <c r="E735" s="508" t="str">
        <f ca="1"/>
        <v/>
      </c>
      <c r="F735" s="491" t="str">
        <f ca="1"/>
        <v/>
      </c>
      <c r="G735" s="492" t="str">
        <f ca="1"/>
        <v/>
      </c>
      <c r="H735" s="492" t="str">
        <f ca="1"/>
        <v/>
      </c>
      <c r="I735" s="492" t="str">
        <f ca="1"/>
        <v/>
      </c>
      <c r="J735" s="492" t="str">
        <f ca="1"/>
        <v/>
      </c>
      <c r="K735" s="508" t="str">
        <f ca="1"/>
        <v/>
      </c>
      <c r="L735" s="515" t="str">
        <f ca="1"/>
        <v/>
      </c>
      <c r="M735" s="450" t="str">
        <f ca="1"/>
        <v/>
      </c>
      <c r="N735" s="450" t="str">
        <f ca="1"/>
        <v/>
      </c>
    </row>
    <row r="736" spans="1:14">
      <c r="B736" s="249"/>
      <c r="C736" s="384" t="str">
        <f ca="1"/>
        <v/>
      </c>
      <c r="D736" s="491" t="str">
        <f ca="1"/>
        <v/>
      </c>
      <c r="E736" s="508" t="str">
        <f ca="1"/>
        <v/>
      </c>
      <c r="F736" s="491" t="str">
        <f ca="1"/>
        <v/>
      </c>
      <c r="G736" s="492" t="str">
        <f ca="1"/>
        <v/>
      </c>
      <c r="H736" s="492" t="str">
        <f ca="1"/>
        <v/>
      </c>
      <c r="I736" s="492" t="str">
        <f ca="1"/>
        <v/>
      </c>
      <c r="J736" s="492" t="str">
        <f ca="1"/>
        <v/>
      </c>
      <c r="K736" s="508" t="str">
        <f ca="1"/>
        <v/>
      </c>
      <c r="L736" s="515" t="str">
        <f ca="1"/>
        <v/>
      </c>
      <c r="M736" s="450" t="str">
        <f ca="1"/>
        <v/>
      </c>
      <c r="N736" s="450" t="str">
        <f ca="1"/>
        <v/>
      </c>
    </row>
    <row r="737" spans="1:14">
      <c r="B737" s="249"/>
      <c r="C737" s="384" t="str">
        <f ca="1"/>
        <v/>
      </c>
      <c r="D737" s="491" t="str">
        <f ca="1"/>
        <v/>
      </c>
      <c r="E737" s="508" t="str">
        <f ca="1"/>
        <v/>
      </c>
      <c r="F737" s="491" t="str">
        <f ca="1"/>
        <v/>
      </c>
      <c r="G737" s="492" t="str">
        <f ca="1"/>
        <v/>
      </c>
      <c r="H737" s="492" t="str">
        <f ca="1"/>
        <v/>
      </c>
      <c r="I737" s="492" t="str">
        <f ca="1"/>
        <v/>
      </c>
      <c r="J737" s="492" t="str">
        <f ca="1"/>
        <v/>
      </c>
      <c r="K737" s="508" t="str">
        <f ca="1"/>
        <v/>
      </c>
      <c r="L737" s="515" t="str">
        <f ca="1"/>
        <v/>
      </c>
      <c r="M737" s="450" t="str">
        <f ca="1"/>
        <v/>
      </c>
      <c r="N737" s="450" t="str">
        <f ca="1"/>
        <v/>
      </c>
    </row>
    <row r="738" spans="1:14">
      <c r="B738" s="249"/>
      <c r="C738" s="384" t="str">
        <f ca="1"/>
        <v/>
      </c>
      <c r="D738" s="491" t="str">
        <f ca="1"/>
        <v/>
      </c>
      <c r="E738" s="508" t="str">
        <f ca="1"/>
        <v/>
      </c>
      <c r="F738" s="491" t="str">
        <f ca="1"/>
        <v/>
      </c>
      <c r="G738" s="492" t="str">
        <f ca="1"/>
        <v/>
      </c>
      <c r="H738" s="492" t="str">
        <f ca="1"/>
        <v/>
      </c>
      <c r="I738" s="492" t="str">
        <f ca="1"/>
        <v/>
      </c>
      <c r="J738" s="492" t="str">
        <f ca="1"/>
        <v/>
      </c>
      <c r="K738" s="508" t="str">
        <f ca="1"/>
        <v/>
      </c>
      <c r="L738" s="515" t="str">
        <f ca="1"/>
        <v/>
      </c>
      <c r="M738" s="450" t="str">
        <f ca="1"/>
        <v/>
      </c>
      <c r="N738" s="450" t="str">
        <f ca="1"/>
        <v/>
      </c>
    </row>
    <row r="739" spans="1:14">
      <c r="B739" s="249"/>
      <c r="C739" s="384" t="str">
        <f ca="1"/>
        <v/>
      </c>
      <c r="D739" s="491" t="str">
        <f ca="1"/>
        <v/>
      </c>
      <c r="E739" s="508" t="str">
        <f ca="1"/>
        <v/>
      </c>
      <c r="F739" s="491" t="str">
        <f ca="1"/>
        <v/>
      </c>
      <c r="G739" s="492" t="str">
        <f ca="1"/>
        <v/>
      </c>
      <c r="H739" s="492" t="str">
        <f ca="1"/>
        <v/>
      </c>
      <c r="I739" s="492" t="str">
        <f ca="1"/>
        <v/>
      </c>
      <c r="J739" s="492" t="str">
        <f ca="1"/>
        <v/>
      </c>
      <c r="K739" s="508" t="str">
        <f ca="1"/>
        <v/>
      </c>
      <c r="L739" s="515" t="str">
        <f ca="1"/>
        <v/>
      </c>
      <c r="M739" s="450" t="str">
        <f ca="1"/>
        <v/>
      </c>
      <c r="N739" s="450" t="str">
        <f ca="1"/>
        <v/>
      </c>
    </row>
    <row r="740" spans="1:14">
      <c r="B740" s="249"/>
      <c r="C740" s="12"/>
      <c r="D740" s="491"/>
      <c r="E740" s="508"/>
      <c r="F740" s="491"/>
      <c r="G740" s="492"/>
      <c r="H740" s="492"/>
      <c r="I740" s="492"/>
      <c r="J740" s="492"/>
      <c r="K740" s="508"/>
      <c r="L740" s="515"/>
      <c r="M740" s="450"/>
      <c r="N740" s="450"/>
    </row>
    <row r="741" spans="1:14">
      <c r="A741" s="5"/>
      <c r="B741" s="249" t="str">
        <f ca="1">+'I-4 History'!B553</f>
        <v>A-37</v>
      </c>
      <c r="C741" s="14" t="str">
        <f ca="1">+'I-4 History'!C553</f>
        <v>Voluntary Separation Packages (VSP’s)</v>
      </c>
      <c r="D741" s="491"/>
      <c r="E741" s="508"/>
      <c r="F741" s="491"/>
      <c r="G741" s="492"/>
      <c r="H741" s="492"/>
      <c r="I741" s="492"/>
      <c r="J741" s="492"/>
      <c r="K741" s="508"/>
      <c r="L741" s="515"/>
      <c r="M741" s="450"/>
      <c r="N741" s="450"/>
    </row>
    <row r="742" spans="1:14">
      <c r="A742" s="5"/>
      <c r="B742" s="249"/>
      <c r="C742" s="384" t="str">
        <f t="array" ref="C742:K751" ca="1">+'A-37'!$A$160:$I$169</f>
        <v>Step Change</v>
      </c>
      <c r="D742" s="491">
        <f ca="1"/>
        <v>0</v>
      </c>
      <c r="E742" s="508">
        <f ca="1"/>
        <v>0</v>
      </c>
      <c r="F742" s="491">
        <f ca="1"/>
        <v>0</v>
      </c>
      <c r="G742" s="492">
        <f ca="1"/>
        <v>0</v>
      </c>
      <c r="H742" s="492">
        <f ca="1"/>
        <v>0</v>
      </c>
      <c r="I742" s="492">
        <f ca="1"/>
        <v>0</v>
      </c>
      <c r="J742" s="492">
        <f ca="1"/>
        <v>0</v>
      </c>
      <c r="K742" s="508">
        <f ca="1"/>
        <v>0</v>
      </c>
      <c r="L742" s="515" t="str">
        <f t="array" ref="L742:N751" ca="1">+'A-37'!$K$160:$M$169</f>
        <v>Proposal Step Change</v>
      </c>
      <c r="M742" s="450" t="str">
        <f ca="1"/>
        <v>Refer Opex Workings</v>
      </c>
      <c r="N742" s="450" t="str">
        <f ca="1"/>
        <v>Proposal, October 2014</v>
      </c>
    </row>
    <row r="743" spans="1:14">
      <c r="A743" s="5"/>
      <c r="B743" s="249"/>
      <c r="C743" s="382" t="str">
        <f ca="1"/>
        <v/>
      </c>
      <c r="D743" s="491" t="str">
        <f ca="1"/>
        <v/>
      </c>
      <c r="E743" s="508" t="str">
        <f ca="1"/>
        <v/>
      </c>
      <c r="F743" s="491" t="str">
        <f ca="1"/>
        <v/>
      </c>
      <c r="G743" s="492" t="str">
        <f ca="1"/>
        <v/>
      </c>
      <c r="H743" s="492" t="str">
        <f ca="1"/>
        <v/>
      </c>
      <c r="I743" s="492" t="str">
        <f ca="1"/>
        <v/>
      </c>
      <c r="J743" s="492" t="str">
        <f ca="1"/>
        <v/>
      </c>
      <c r="K743" s="508" t="str">
        <f ca="1"/>
        <v/>
      </c>
      <c r="L743" s="515" t="str">
        <f ca="1"/>
        <v/>
      </c>
      <c r="M743" s="450" t="str">
        <f ca="1"/>
        <v/>
      </c>
      <c r="N743" s="450" t="str">
        <f ca="1"/>
        <v/>
      </c>
    </row>
    <row r="744" spans="1:14">
      <c r="A744" s="5"/>
      <c r="B744" s="249"/>
      <c r="C744" s="382" t="str">
        <f ca="1"/>
        <v/>
      </c>
      <c r="D744" s="491" t="str">
        <f ca="1"/>
        <v/>
      </c>
      <c r="E744" s="508" t="str">
        <f ca="1"/>
        <v/>
      </c>
      <c r="F744" s="491" t="str">
        <f ca="1"/>
        <v/>
      </c>
      <c r="G744" s="492" t="str">
        <f ca="1"/>
        <v/>
      </c>
      <c r="H744" s="492" t="str">
        <f ca="1"/>
        <v/>
      </c>
      <c r="I744" s="492" t="str">
        <f ca="1"/>
        <v/>
      </c>
      <c r="J744" s="492" t="str">
        <f ca="1"/>
        <v/>
      </c>
      <c r="K744" s="508" t="str">
        <f ca="1"/>
        <v/>
      </c>
      <c r="L744" s="515" t="str">
        <f ca="1"/>
        <v/>
      </c>
      <c r="M744" s="450" t="str">
        <f ca="1"/>
        <v/>
      </c>
      <c r="N744" s="450" t="str">
        <f ca="1"/>
        <v/>
      </c>
    </row>
    <row r="745" spans="1:14">
      <c r="A745" s="5"/>
      <c r="B745" s="249"/>
      <c r="C745" s="382" t="str">
        <f ca="1"/>
        <v/>
      </c>
      <c r="D745" s="491" t="str">
        <f ca="1"/>
        <v/>
      </c>
      <c r="E745" s="508" t="str">
        <f ca="1"/>
        <v/>
      </c>
      <c r="F745" s="491" t="str">
        <f ca="1"/>
        <v/>
      </c>
      <c r="G745" s="492" t="str">
        <f ca="1"/>
        <v/>
      </c>
      <c r="H745" s="492" t="str">
        <f ca="1"/>
        <v/>
      </c>
      <c r="I745" s="492" t="str">
        <f ca="1"/>
        <v/>
      </c>
      <c r="J745" s="492" t="str">
        <f ca="1"/>
        <v/>
      </c>
      <c r="K745" s="508" t="str">
        <f ca="1"/>
        <v/>
      </c>
      <c r="L745" s="515" t="str">
        <f ca="1"/>
        <v/>
      </c>
      <c r="M745" s="450" t="str">
        <f ca="1"/>
        <v/>
      </c>
      <c r="N745" s="450" t="str">
        <f ca="1"/>
        <v/>
      </c>
    </row>
    <row r="746" spans="1:14">
      <c r="A746" s="5"/>
      <c r="B746" s="249"/>
      <c r="C746" s="382" t="str">
        <f ca="1"/>
        <v/>
      </c>
      <c r="D746" s="491" t="str">
        <f ca="1"/>
        <v/>
      </c>
      <c r="E746" s="508" t="str">
        <f ca="1"/>
        <v/>
      </c>
      <c r="F746" s="491" t="str">
        <f ca="1"/>
        <v/>
      </c>
      <c r="G746" s="492" t="str">
        <f ca="1"/>
        <v/>
      </c>
      <c r="H746" s="492" t="str">
        <f ca="1"/>
        <v/>
      </c>
      <c r="I746" s="492" t="str">
        <f ca="1"/>
        <v/>
      </c>
      <c r="J746" s="492" t="str">
        <f ca="1"/>
        <v/>
      </c>
      <c r="K746" s="508" t="str">
        <f ca="1"/>
        <v/>
      </c>
      <c r="L746" s="515" t="str">
        <f ca="1"/>
        <v/>
      </c>
      <c r="M746" s="450" t="str">
        <f ca="1"/>
        <v/>
      </c>
      <c r="N746" s="450" t="str">
        <f ca="1"/>
        <v/>
      </c>
    </row>
    <row r="747" spans="1:14">
      <c r="A747" s="5"/>
      <c r="B747" s="249"/>
      <c r="C747" s="384" t="str">
        <f ca="1"/>
        <v/>
      </c>
      <c r="D747" s="491" t="str">
        <f ca="1"/>
        <v/>
      </c>
      <c r="E747" s="508" t="str">
        <f ca="1"/>
        <v/>
      </c>
      <c r="F747" s="491" t="str">
        <f ca="1"/>
        <v/>
      </c>
      <c r="G747" s="492" t="str">
        <f ca="1"/>
        <v/>
      </c>
      <c r="H747" s="492" t="str">
        <f ca="1"/>
        <v/>
      </c>
      <c r="I747" s="492" t="str">
        <f ca="1"/>
        <v/>
      </c>
      <c r="J747" s="492" t="str">
        <f ca="1"/>
        <v/>
      </c>
      <c r="K747" s="508" t="str">
        <f ca="1"/>
        <v/>
      </c>
      <c r="L747" s="515" t="str">
        <f ca="1"/>
        <v/>
      </c>
      <c r="M747" s="450" t="str">
        <f ca="1"/>
        <v/>
      </c>
      <c r="N747" s="450" t="str">
        <f ca="1"/>
        <v/>
      </c>
    </row>
    <row r="748" spans="1:14">
      <c r="A748" s="5"/>
      <c r="B748" s="249"/>
      <c r="C748" s="384" t="str">
        <f ca="1"/>
        <v/>
      </c>
      <c r="D748" s="491" t="str">
        <f ca="1"/>
        <v/>
      </c>
      <c r="E748" s="508" t="str">
        <f ca="1"/>
        <v/>
      </c>
      <c r="F748" s="491" t="str">
        <f ca="1"/>
        <v/>
      </c>
      <c r="G748" s="492" t="str">
        <f ca="1"/>
        <v/>
      </c>
      <c r="H748" s="492" t="str">
        <f ca="1"/>
        <v/>
      </c>
      <c r="I748" s="492" t="str">
        <f ca="1"/>
        <v/>
      </c>
      <c r="J748" s="492" t="str">
        <f ca="1"/>
        <v/>
      </c>
      <c r="K748" s="508" t="str">
        <f ca="1"/>
        <v/>
      </c>
      <c r="L748" s="515" t="str">
        <f ca="1"/>
        <v/>
      </c>
      <c r="M748" s="450" t="str">
        <f ca="1"/>
        <v/>
      </c>
      <c r="N748" s="450" t="str">
        <f ca="1"/>
        <v/>
      </c>
    </row>
    <row r="749" spans="1:14">
      <c r="A749" s="5"/>
      <c r="B749" s="249"/>
      <c r="C749" s="384" t="str">
        <f ca="1"/>
        <v/>
      </c>
      <c r="D749" s="491" t="str">
        <f ca="1"/>
        <v/>
      </c>
      <c r="E749" s="508" t="str">
        <f ca="1"/>
        <v/>
      </c>
      <c r="F749" s="491" t="str">
        <f ca="1"/>
        <v/>
      </c>
      <c r="G749" s="492" t="str">
        <f ca="1"/>
        <v/>
      </c>
      <c r="H749" s="492" t="str">
        <f ca="1"/>
        <v/>
      </c>
      <c r="I749" s="492" t="str">
        <f ca="1"/>
        <v/>
      </c>
      <c r="J749" s="492" t="str">
        <f ca="1"/>
        <v/>
      </c>
      <c r="K749" s="508" t="str">
        <f ca="1"/>
        <v/>
      </c>
      <c r="L749" s="515" t="str">
        <f ca="1"/>
        <v/>
      </c>
      <c r="M749" s="450" t="str">
        <f ca="1"/>
        <v/>
      </c>
      <c r="N749" s="450" t="str">
        <f ca="1"/>
        <v/>
      </c>
    </row>
    <row r="750" spans="1:14">
      <c r="A750" s="5"/>
      <c r="B750" s="249"/>
      <c r="C750" s="384" t="str">
        <f ca="1"/>
        <v/>
      </c>
      <c r="D750" s="491" t="str">
        <f ca="1"/>
        <v/>
      </c>
      <c r="E750" s="508" t="str">
        <f ca="1"/>
        <v/>
      </c>
      <c r="F750" s="491" t="str">
        <f ca="1"/>
        <v/>
      </c>
      <c r="G750" s="492" t="str">
        <f ca="1"/>
        <v/>
      </c>
      <c r="H750" s="492" t="str">
        <f ca="1"/>
        <v/>
      </c>
      <c r="I750" s="492" t="str">
        <f ca="1"/>
        <v/>
      </c>
      <c r="J750" s="492" t="str">
        <f ca="1"/>
        <v/>
      </c>
      <c r="K750" s="508" t="str">
        <f ca="1"/>
        <v/>
      </c>
      <c r="L750" s="515" t="str">
        <f ca="1"/>
        <v/>
      </c>
      <c r="M750" s="450" t="str">
        <f ca="1"/>
        <v/>
      </c>
      <c r="N750" s="450" t="str">
        <f ca="1"/>
        <v/>
      </c>
    </row>
    <row r="751" spans="1:14">
      <c r="A751" s="5"/>
      <c r="B751" s="249"/>
      <c r="C751" s="384" t="str">
        <f ca="1"/>
        <v/>
      </c>
      <c r="D751" s="491" t="str">
        <f ca="1"/>
        <v/>
      </c>
      <c r="E751" s="508" t="str">
        <f ca="1"/>
        <v/>
      </c>
      <c r="F751" s="491" t="str">
        <f ca="1"/>
        <v/>
      </c>
      <c r="G751" s="492" t="str">
        <f ca="1"/>
        <v/>
      </c>
      <c r="H751" s="492" t="str">
        <f ca="1"/>
        <v/>
      </c>
      <c r="I751" s="492" t="str">
        <f ca="1"/>
        <v/>
      </c>
      <c r="J751" s="492" t="str">
        <f ca="1"/>
        <v/>
      </c>
      <c r="K751" s="508" t="str">
        <f ca="1"/>
        <v/>
      </c>
      <c r="L751" s="515" t="str">
        <f ca="1"/>
        <v/>
      </c>
      <c r="M751" s="450" t="str">
        <f ca="1"/>
        <v/>
      </c>
      <c r="N751" s="450" t="str">
        <f ca="1"/>
        <v/>
      </c>
    </row>
    <row r="752" spans="1:14">
      <c r="A752" s="5"/>
      <c r="B752" s="249" t="str">
        <f ca="1">+'I-4 History'!B562</f>
        <v>A-38</v>
      </c>
      <c r="C752" s="14" t="str">
        <f ca="1">+'I-4 History'!C562</f>
        <v>Superannuation</v>
      </c>
      <c r="D752" s="491"/>
      <c r="E752" s="508"/>
      <c r="F752" s="491"/>
      <c r="G752" s="492"/>
      <c r="H752" s="492"/>
      <c r="I752" s="492"/>
      <c r="J752" s="492"/>
      <c r="K752" s="508"/>
      <c r="L752" s="515"/>
      <c r="M752" s="450"/>
      <c r="N752" s="450"/>
    </row>
    <row r="753" spans="1:14">
      <c r="A753" s="5"/>
      <c r="B753" s="249"/>
      <c r="C753" s="384" t="str">
        <f t="array" ref="C753:K762" ca="1">+'A-38'!$A$160:$I$169</f>
        <v>Step Change for Superannuation</v>
      </c>
      <c r="D753" s="491">
        <f ca="1"/>
        <v>0</v>
      </c>
      <c r="E753" s="508">
        <f ca="1"/>
        <v>0</v>
      </c>
      <c r="F753" s="491">
        <f ca="1"/>
        <v>0</v>
      </c>
      <c r="G753" s="492">
        <f ca="1"/>
        <v>0</v>
      </c>
      <c r="H753" s="492">
        <f ca="1"/>
        <v>0</v>
      </c>
      <c r="I753" s="492">
        <f ca="1"/>
        <v>0</v>
      </c>
      <c r="J753" s="492">
        <f ca="1"/>
        <v>0</v>
      </c>
      <c r="K753" s="508">
        <f ca="1"/>
        <v>0</v>
      </c>
      <c r="L753" s="515" t="str">
        <f t="array" ref="L753:N762" ca="1">+'A-38'!$K$160:$M$169</f>
        <v>Proposal Step Change</v>
      </c>
      <c r="M753" s="450" t="str">
        <f ca="1"/>
        <v>Super Contribution Calculation-Forecast to 2020-Ver1.9.xlsx</v>
      </c>
      <c r="N753" s="450" t="str">
        <f ca="1"/>
        <v>Proposal, October 2014</v>
      </c>
    </row>
    <row r="754" spans="1:14">
      <c r="A754" s="5"/>
      <c r="B754" s="249"/>
      <c r="C754" s="382" t="str">
        <f ca="1"/>
        <v/>
      </c>
      <c r="D754" s="491" t="str">
        <f ca="1"/>
        <v/>
      </c>
      <c r="E754" s="508" t="str">
        <f ca="1"/>
        <v/>
      </c>
      <c r="F754" s="491" t="str">
        <f ca="1"/>
        <v/>
      </c>
      <c r="G754" s="492" t="str">
        <f ca="1"/>
        <v/>
      </c>
      <c r="H754" s="492" t="str">
        <f ca="1"/>
        <v/>
      </c>
      <c r="I754" s="492" t="str">
        <f ca="1"/>
        <v/>
      </c>
      <c r="J754" s="492" t="str">
        <f ca="1"/>
        <v/>
      </c>
      <c r="K754" s="508" t="str">
        <f ca="1"/>
        <v/>
      </c>
      <c r="L754" s="515" t="str">
        <f ca="1"/>
        <v/>
      </c>
      <c r="M754" s="450" t="str">
        <f ca="1"/>
        <v/>
      </c>
      <c r="N754" s="450" t="str">
        <f ca="1"/>
        <v/>
      </c>
    </row>
    <row r="755" spans="1:14">
      <c r="A755" s="5"/>
      <c r="B755" s="249"/>
      <c r="C755" s="382" t="str">
        <f ca="1"/>
        <v/>
      </c>
      <c r="D755" s="491" t="str">
        <f ca="1"/>
        <v/>
      </c>
      <c r="E755" s="508" t="str">
        <f ca="1"/>
        <v/>
      </c>
      <c r="F755" s="491" t="str">
        <f ca="1"/>
        <v/>
      </c>
      <c r="G755" s="492" t="str">
        <f ca="1"/>
        <v/>
      </c>
      <c r="H755" s="492" t="str">
        <f ca="1"/>
        <v/>
      </c>
      <c r="I755" s="492" t="str">
        <f ca="1"/>
        <v/>
      </c>
      <c r="J755" s="492" t="str">
        <f ca="1"/>
        <v/>
      </c>
      <c r="K755" s="508" t="str">
        <f ca="1"/>
        <v/>
      </c>
      <c r="L755" s="515" t="str">
        <f ca="1"/>
        <v/>
      </c>
      <c r="M755" s="450" t="str">
        <f ca="1"/>
        <v/>
      </c>
      <c r="N755" s="450" t="str">
        <f ca="1"/>
        <v/>
      </c>
    </row>
    <row r="756" spans="1:14">
      <c r="A756" s="5"/>
      <c r="B756" s="249"/>
      <c r="C756" s="382" t="str">
        <f ca="1"/>
        <v/>
      </c>
      <c r="D756" s="491" t="str">
        <f ca="1"/>
        <v/>
      </c>
      <c r="E756" s="508" t="str">
        <f ca="1"/>
        <v/>
      </c>
      <c r="F756" s="491" t="str">
        <f ca="1"/>
        <v/>
      </c>
      <c r="G756" s="492" t="str">
        <f ca="1"/>
        <v/>
      </c>
      <c r="H756" s="492" t="str">
        <f ca="1"/>
        <v/>
      </c>
      <c r="I756" s="492" t="str">
        <f ca="1"/>
        <v/>
      </c>
      <c r="J756" s="492" t="str">
        <f ca="1"/>
        <v/>
      </c>
      <c r="K756" s="508" t="str">
        <f ca="1"/>
        <v/>
      </c>
      <c r="L756" s="515" t="str">
        <f ca="1"/>
        <v/>
      </c>
      <c r="M756" s="450" t="str">
        <f ca="1"/>
        <v/>
      </c>
      <c r="N756" s="450" t="str">
        <f ca="1"/>
        <v/>
      </c>
    </row>
    <row r="757" spans="1:14">
      <c r="A757" s="5"/>
      <c r="B757" s="249"/>
      <c r="C757" s="382" t="str">
        <f ca="1"/>
        <v/>
      </c>
      <c r="D757" s="491" t="str">
        <f ca="1"/>
        <v/>
      </c>
      <c r="E757" s="508" t="str">
        <f ca="1"/>
        <v/>
      </c>
      <c r="F757" s="491" t="str">
        <f ca="1"/>
        <v/>
      </c>
      <c r="G757" s="492" t="str">
        <f ca="1"/>
        <v/>
      </c>
      <c r="H757" s="492" t="str">
        <f ca="1"/>
        <v/>
      </c>
      <c r="I757" s="492" t="str">
        <f ca="1"/>
        <v/>
      </c>
      <c r="J757" s="492" t="str">
        <f ca="1"/>
        <v/>
      </c>
      <c r="K757" s="508" t="str">
        <f ca="1"/>
        <v/>
      </c>
      <c r="L757" s="515" t="str">
        <f ca="1"/>
        <v/>
      </c>
      <c r="M757" s="450" t="str">
        <f ca="1"/>
        <v/>
      </c>
      <c r="N757" s="450" t="str">
        <f ca="1"/>
        <v/>
      </c>
    </row>
    <row r="758" spans="1:14">
      <c r="B758" s="249"/>
      <c r="C758" s="384" t="str">
        <f ca="1"/>
        <v/>
      </c>
      <c r="D758" s="491" t="str">
        <f ca="1"/>
        <v/>
      </c>
      <c r="E758" s="508" t="str">
        <f ca="1"/>
        <v/>
      </c>
      <c r="F758" s="491" t="str">
        <f ca="1"/>
        <v/>
      </c>
      <c r="G758" s="492" t="str">
        <f ca="1"/>
        <v/>
      </c>
      <c r="H758" s="492" t="str">
        <f ca="1"/>
        <v/>
      </c>
      <c r="I758" s="492" t="str">
        <f ca="1"/>
        <v/>
      </c>
      <c r="J758" s="492" t="str">
        <f ca="1"/>
        <v/>
      </c>
      <c r="K758" s="508" t="str">
        <f ca="1"/>
        <v/>
      </c>
      <c r="L758" s="515" t="str">
        <f ca="1"/>
        <v/>
      </c>
      <c r="M758" s="450" t="str">
        <f ca="1"/>
        <v/>
      </c>
      <c r="N758" s="450" t="str">
        <f ca="1"/>
        <v/>
      </c>
    </row>
    <row r="759" spans="1:14">
      <c r="B759" s="249"/>
      <c r="C759" s="384" t="str">
        <f ca="1"/>
        <v/>
      </c>
      <c r="D759" s="491" t="str">
        <f ca="1"/>
        <v/>
      </c>
      <c r="E759" s="508" t="str">
        <f ca="1"/>
        <v/>
      </c>
      <c r="F759" s="491" t="str">
        <f ca="1"/>
        <v/>
      </c>
      <c r="G759" s="492" t="str">
        <f ca="1"/>
        <v/>
      </c>
      <c r="H759" s="492" t="str">
        <f ca="1"/>
        <v/>
      </c>
      <c r="I759" s="492" t="str">
        <f ca="1"/>
        <v/>
      </c>
      <c r="J759" s="492" t="str">
        <f ca="1"/>
        <v/>
      </c>
      <c r="K759" s="508" t="str">
        <f ca="1"/>
        <v/>
      </c>
      <c r="L759" s="515" t="str">
        <f ca="1"/>
        <v/>
      </c>
      <c r="M759" s="450" t="str">
        <f ca="1"/>
        <v/>
      </c>
      <c r="N759" s="450" t="str">
        <f ca="1"/>
        <v/>
      </c>
    </row>
    <row r="760" spans="1:14">
      <c r="B760" s="249"/>
      <c r="C760" s="384" t="str">
        <f ca="1"/>
        <v/>
      </c>
      <c r="D760" s="491" t="str">
        <f ca="1"/>
        <v/>
      </c>
      <c r="E760" s="508" t="str">
        <f ca="1"/>
        <v/>
      </c>
      <c r="F760" s="491" t="str">
        <f ca="1"/>
        <v/>
      </c>
      <c r="G760" s="492" t="str">
        <f ca="1"/>
        <v/>
      </c>
      <c r="H760" s="492" t="str">
        <f ca="1"/>
        <v/>
      </c>
      <c r="I760" s="492" t="str">
        <f ca="1"/>
        <v/>
      </c>
      <c r="J760" s="492" t="str">
        <f ca="1"/>
        <v/>
      </c>
      <c r="K760" s="508" t="str">
        <f ca="1"/>
        <v/>
      </c>
      <c r="L760" s="515" t="str">
        <f ca="1"/>
        <v/>
      </c>
      <c r="M760" s="450" t="str">
        <f ca="1"/>
        <v/>
      </c>
      <c r="N760" s="450" t="str">
        <f ca="1"/>
        <v/>
      </c>
    </row>
    <row r="761" spans="1:14">
      <c r="B761" s="249"/>
      <c r="C761" s="384" t="str">
        <f ca="1"/>
        <v/>
      </c>
      <c r="D761" s="491" t="str">
        <f ca="1"/>
        <v/>
      </c>
      <c r="E761" s="508" t="str">
        <f ca="1"/>
        <v/>
      </c>
      <c r="F761" s="491" t="str">
        <f ca="1"/>
        <v/>
      </c>
      <c r="G761" s="492" t="str">
        <f ca="1"/>
        <v/>
      </c>
      <c r="H761" s="492" t="str">
        <f ca="1"/>
        <v/>
      </c>
      <c r="I761" s="492" t="str">
        <f ca="1"/>
        <v/>
      </c>
      <c r="J761" s="492" t="str">
        <f ca="1"/>
        <v/>
      </c>
      <c r="K761" s="508" t="str">
        <f ca="1"/>
        <v/>
      </c>
      <c r="L761" s="515" t="str">
        <f ca="1"/>
        <v/>
      </c>
      <c r="M761" s="450" t="str">
        <f ca="1"/>
        <v/>
      </c>
      <c r="N761" s="450" t="str">
        <f ca="1"/>
        <v/>
      </c>
    </row>
    <row r="762" spans="1:14">
      <c r="B762" s="249"/>
      <c r="C762" s="384" t="str">
        <f ca="1"/>
        <v/>
      </c>
      <c r="D762" s="491" t="str">
        <f ca="1"/>
        <v/>
      </c>
      <c r="E762" s="508" t="str">
        <f ca="1"/>
        <v/>
      </c>
      <c r="F762" s="491" t="str">
        <f ca="1"/>
        <v/>
      </c>
      <c r="G762" s="492" t="str">
        <f ca="1"/>
        <v/>
      </c>
      <c r="H762" s="492" t="str">
        <f ca="1"/>
        <v/>
      </c>
      <c r="I762" s="492" t="str">
        <f ca="1"/>
        <v/>
      </c>
      <c r="J762" s="492" t="str">
        <f ca="1"/>
        <v/>
      </c>
      <c r="K762" s="508" t="str">
        <f ca="1"/>
        <v/>
      </c>
      <c r="L762" s="515" t="str">
        <f ca="1"/>
        <v/>
      </c>
      <c r="M762" s="450" t="str">
        <f ca="1"/>
        <v/>
      </c>
      <c r="N762" s="450" t="str">
        <f ca="1"/>
        <v/>
      </c>
    </row>
    <row r="763" spans="1:14">
      <c r="A763" s="5"/>
      <c r="B763" s="249" t="str">
        <f ca="1">+'I-4 History'!B571</f>
        <v>A-39</v>
      </c>
      <c r="C763" s="14" t="str">
        <f ca="1">+'I-4 History'!C571</f>
        <v>Self Insurance</v>
      </c>
      <c r="D763" s="491"/>
      <c r="E763" s="508"/>
      <c r="F763" s="491"/>
      <c r="G763" s="492"/>
      <c r="H763" s="492"/>
      <c r="I763" s="492"/>
      <c r="J763" s="492"/>
      <c r="K763" s="508"/>
      <c r="L763" s="515"/>
      <c r="M763" s="450"/>
      <c r="N763" s="450"/>
    </row>
    <row r="764" spans="1:14">
      <c r="A764" s="5"/>
      <c r="B764" s="249"/>
      <c r="C764" s="384" t="str">
        <f t="array" ref="C764:K773" ca="1">+'A-39'!$A$160:$I$169</f>
        <v>Step Change</v>
      </c>
      <c r="D764" s="491">
        <f ca="1"/>
        <v>0</v>
      </c>
      <c r="E764" s="508">
        <f ca="1"/>
        <v>0</v>
      </c>
      <c r="F764" s="491">
        <f ca="1"/>
        <v>0</v>
      </c>
      <c r="G764" s="492">
        <f ca="1"/>
        <v>0</v>
      </c>
      <c r="H764" s="492">
        <f ca="1"/>
        <v>0</v>
      </c>
      <c r="I764" s="492">
        <f ca="1"/>
        <v>0</v>
      </c>
      <c r="J764" s="492">
        <f ca="1"/>
        <v>0</v>
      </c>
      <c r="K764" s="508">
        <f ca="1"/>
        <v>0</v>
      </c>
      <c r="L764" s="515" t="str">
        <f t="array" ref="L764:N773" ca="1">+'A-39'!$K$160:$M$169</f>
        <v>Proposal Step Change</v>
      </c>
      <c r="M764" s="450" t="str">
        <f ca="1"/>
        <v>Refer Opex Workings</v>
      </c>
      <c r="N764" s="450" t="str">
        <f ca="1"/>
        <v>Proposal, October 2014</v>
      </c>
    </row>
    <row r="765" spans="1:14">
      <c r="A765" s="5"/>
      <c r="B765" s="249"/>
      <c r="C765" s="382" t="str">
        <f ca="1"/>
        <v/>
      </c>
      <c r="D765" s="491" t="str">
        <f ca="1"/>
        <v/>
      </c>
      <c r="E765" s="508" t="str">
        <f ca="1"/>
        <v/>
      </c>
      <c r="F765" s="491" t="str">
        <f ca="1"/>
        <v/>
      </c>
      <c r="G765" s="492" t="str">
        <f ca="1"/>
        <v/>
      </c>
      <c r="H765" s="492" t="str">
        <f ca="1"/>
        <v/>
      </c>
      <c r="I765" s="492" t="str">
        <f ca="1"/>
        <v/>
      </c>
      <c r="J765" s="492" t="str">
        <f ca="1"/>
        <v/>
      </c>
      <c r="K765" s="508" t="str">
        <f ca="1"/>
        <v/>
      </c>
      <c r="L765" s="515" t="str">
        <f ca="1"/>
        <v/>
      </c>
      <c r="M765" s="450" t="str">
        <f ca="1"/>
        <v/>
      </c>
      <c r="N765" s="450" t="str">
        <f ca="1"/>
        <v/>
      </c>
    </row>
    <row r="766" spans="1:14">
      <c r="A766" s="5"/>
      <c r="B766" s="249"/>
      <c r="C766" s="382" t="str">
        <f ca="1"/>
        <v/>
      </c>
      <c r="D766" s="491" t="str">
        <f ca="1"/>
        <v/>
      </c>
      <c r="E766" s="508" t="str">
        <f ca="1"/>
        <v/>
      </c>
      <c r="F766" s="491" t="str">
        <f ca="1"/>
        <v/>
      </c>
      <c r="G766" s="492" t="str">
        <f ca="1"/>
        <v/>
      </c>
      <c r="H766" s="492" t="str">
        <f ca="1"/>
        <v/>
      </c>
      <c r="I766" s="492" t="str">
        <f ca="1"/>
        <v/>
      </c>
      <c r="J766" s="492" t="str">
        <f ca="1"/>
        <v/>
      </c>
      <c r="K766" s="508" t="str">
        <f ca="1"/>
        <v/>
      </c>
      <c r="L766" s="515" t="str">
        <f ca="1"/>
        <v/>
      </c>
      <c r="M766" s="450" t="str">
        <f ca="1"/>
        <v/>
      </c>
      <c r="N766" s="450" t="str">
        <f ca="1"/>
        <v/>
      </c>
    </row>
    <row r="767" spans="1:14">
      <c r="A767" s="5"/>
      <c r="B767" s="249"/>
      <c r="C767" s="382" t="str">
        <f ca="1"/>
        <v/>
      </c>
      <c r="D767" s="491" t="str">
        <f ca="1"/>
        <v/>
      </c>
      <c r="E767" s="508" t="str">
        <f ca="1"/>
        <v/>
      </c>
      <c r="F767" s="491" t="str">
        <f ca="1"/>
        <v/>
      </c>
      <c r="G767" s="492" t="str">
        <f ca="1"/>
        <v/>
      </c>
      <c r="H767" s="492" t="str">
        <f ca="1"/>
        <v/>
      </c>
      <c r="I767" s="492" t="str">
        <f ca="1"/>
        <v/>
      </c>
      <c r="J767" s="492" t="str">
        <f ca="1"/>
        <v/>
      </c>
      <c r="K767" s="508" t="str">
        <f ca="1"/>
        <v/>
      </c>
      <c r="L767" s="515" t="str">
        <f ca="1"/>
        <v/>
      </c>
      <c r="M767" s="450" t="str">
        <f ca="1"/>
        <v/>
      </c>
      <c r="N767" s="450" t="str">
        <f ca="1"/>
        <v/>
      </c>
    </row>
    <row r="768" spans="1:14">
      <c r="A768" s="5"/>
      <c r="B768" s="249"/>
      <c r="C768" s="382" t="str">
        <f ca="1"/>
        <v/>
      </c>
      <c r="D768" s="491" t="str">
        <f ca="1"/>
        <v/>
      </c>
      <c r="E768" s="508" t="str">
        <f ca="1"/>
        <v/>
      </c>
      <c r="F768" s="491" t="str">
        <f ca="1"/>
        <v/>
      </c>
      <c r="G768" s="492" t="str">
        <f ca="1"/>
        <v/>
      </c>
      <c r="H768" s="492" t="str">
        <f ca="1"/>
        <v/>
      </c>
      <c r="I768" s="492" t="str">
        <f ca="1"/>
        <v/>
      </c>
      <c r="J768" s="492" t="str">
        <f ca="1"/>
        <v/>
      </c>
      <c r="K768" s="508" t="str">
        <f ca="1"/>
        <v/>
      </c>
      <c r="L768" s="515" t="str">
        <f ca="1"/>
        <v/>
      </c>
      <c r="M768" s="450" t="str">
        <f ca="1"/>
        <v/>
      </c>
      <c r="N768" s="450" t="str">
        <f ca="1"/>
        <v/>
      </c>
    </row>
    <row r="769" spans="1:14">
      <c r="B769" s="249"/>
      <c r="C769" s="384" t="str">
        <f ca="1"/>
        <v/>
      </c>
      <c r="D769" s="491" t="str">
        <f ca="1"/>
        <v/>
      </c>
      <c r="E769" s="508" t="str">
        <f ca="1"/>
        <v/>
      </c>
      <c r="F769" s="491" t="str">
        <f ca="1"/>
        <v/>
      </c>
      <c r="G769" s="492" t="str">
        <f ca="1"/>
        <v/>
      </c>
      <c r="H769" s="492" t="str">
        <f ca="1"/>
        <v/>
      </c>
      <c r="I769" s="492" t="str">
        <f ca="1"/>
        <v/>
      </c>
      <c r="J769" s="492" t="str">
        <f ca="1"/>
        <v/>
      </c>
      <c r="K769" s="508" t="str">
        <f ca="1"/>
        <v/>
      </c>
      <c r="L769" s="515" t="str">
        <f ca="1"/>
        <v/>
      </c>
      <c r="M769" s="450" t="str">
        <f ca="1"/>
        <v/>
      </c>
      <c r="N769" s="450" t="str">
        <f ca="1"/>
        <v/>
      </c>
    </row>
    <row r="770" spans="1:14">
      <c r="B770" s="249"/>
      <c r="C770" s="384" t="str">
        <f ca="1"/>
        <v/>
      </c>
      <c r="D770" s="491" t="str">
        <f ca="1"/>
        <v/>
      </c>
      <c r="E770" s="508" t="str">
        <f ca="1"/>
        <v/>
      </c>
      <c r="F770" s="491" t="str">
        <f ca="1"/>
        <v/>
      </c>
      <c r="G770" s="492" t="str">
        <f ca="1"/>
        <v/>
      </c>
      <c r="H770" s="492" t="str">
        <f ca="1"/>
        <v/>
      </c>
      <c r="I770" s="492" t="str">
        <f ca="1"/>
        <v/>
      </c>
      <c r="J770" s="492" t="str">
        <f ca="1"/>
        <v/>
      </c>
      <c r="K770" s="508" t="str">
        <f ca="1"/>
        <v/>
      </c>
      <c r="L770" s="515" t="str">
        <f ca="1"/>
        <v/>
      </c>
      <c r="M770" s="450" t="str">
        <f ca="1"/>
        <v/>
      </c>
      <c r="N770" s="450" t="str">
        <f ca="1"/>
        <v/>
      </c>
    </row>
    <row r="771" spans="1:14">
      <c r="B771" s="249"/>
      <c r="C771" s="384" t="str">
        <f ca="1"/>
        <v/>
      </c>
      <c r="D771" s="491" t="str">
        <f ca="1"/>
        <v/>
      </c>
      <c r="E771" s="508" t="str">
        <f ca="1"/>
        <v/>
      </c>
      <c r="F771" s="491" t="str">
        <f ca="1"/>
        <v/>
      </c>
      <c r="G771" s="492" t="str">
        <f ca="1"/>
        <v/>
      </c>
      <c r="H771" s="492" t="str">
        <f ca="1"/>
        <v/>
      </c>
      <c r="I771" s="492" t="str">
        <f ca="1"/>
        <v/>
      </c>
      <c r="J771" s="492" t="str">
        <f ca="1"/>
        <v/>
      </c>
      <c r="K771" s="508" t="str">
        <f ca="1"/>
        <v/>
      </c>
      <c r="L771" s="515" t="str">
        <f ca="1"/>
        <v/>
      </c>
      <c r="M771" s="450" t="str">
        <f ca="1"/>
        <v/>
      </c>
      <c r="N771" s="450" t="str">
        <f ca="1"/>
        <v/>
      </c>
    </row>
    <row r="772" spans="1:14">
      <c r="B772" s="249"/>
      <c r="C772" s="384" t="str">
        <f ca="1"/>
        <v/>
      </c>
      <c r="D772" s="491" t="str">
        <f ca="1"/>
        <v/>
      </c>
      <c r="E772" s="508" t="str">
        <f ca="1"/>
        <v/>
      </c>
      <c r="F772" s="491" t="str">
        <f ca="1"/>
        <v/>
      </c>
      <c r="G772" s="492" t="str">
        <f ca="1"/>
        <v/>
      </c>
      <c r="H772" s="492" t="str">
        <f ca="1"/>
        <v/>
      </c>
      <c r="I772" s="492" t="str">
        <f ca="1"/>
        <v/>
      </c>
      <c r="J772" s="492" t="str">
        <f ca="1"/>
        <v/>
      </c>
      <c r="K772" s="508" t="str">
        <f ca="1"/>
        <v/>
      </c>
      <c r="L772" s="515" t="str">
        <f ca="1"/>
        <v/>
      </c>
      <c r="M772" s="450" t="str">
        <f ca="1"/>
        <v/>
      </c>
      <c r="N772" s="450" t="str">
        <f ca="1"/>
        <v/>
      </c>
    </row>
    <row r="773" spans="1:14">
      <c r="B773" s="249"/>
      <c r="C773" s="384" t="str">
        <f ca="1"/>
        <v/>
      </c>
      <c r="D773" s="491" t="str">
        <f ca="1"/>
        <v/>
      </c>
      <c r="E773" s="508" t="str">
        <f ca="1"/>
        <v/>
      </c>
      <c r="F773" s="491" t="str">
        <f ca="1"/>
        <v/>
      </c>
      <c r="G773" s="492" t="str">
        <f ca="1"/>
        <v/>
      </c>
      <c r="H773" s="492" t="str">
        <f ca="1"/>
        <v/>
      </c>
      <c r="I773" s="492" t="str">
        <f ca="1"/>
        <v/>
      </c>
      <c r="J773" s="492" t="str">
        <f ca="1"/>
        <v/>
      </c>
      <c r="K773" s="508" t="str">
        <f ca="1"/>
        <v/>
      </c>
      <c r="L773" s="515" t="str">
        <f ca="1"/>
        <v/>
      </c>
      <c r="M773" s="450" t="str">
        <f ca="1"/>
        <v/>
      </c>
      <c r="N773" s="450" t="str">
        <f ca="1"/>
        <v/>
      </c>
    </row>
    <row r="774" spans="1:14">
      <c r="A774" s="5"/>
      <c r="B774" s="249" t="str">
        <f ca="1">+'I-4 History'!B580</f>
        <v>A-40</v>
      </c>
      <c r="C774" s="14" t="str">
        <f ca="1">+'I-4 History'!C580</f>
        <v>Debt Raising Costs</v>
      </c>
      <c r="D774" s="491"/>
      <c r="E774" s="508"/>
      <c r="F774" s="491"/>
      <c r="G774" s="492"/>
      <c r="H774" s="492"/>
      <c r="I774" s="492"/>
      <c r="J774" s="492"/>
      <c r="K774" s="508"/>
      <c r="L774" s="515"/>
      <c r="M774" s="450"/>
      <c r="N774" s="450"/>
    </row>
    <row r="775" spans="1:14">
      <c r="A775" s="5"/>
      <c r="B775" s="249"/>
      <c r="C775" s="384" t="str">
        <f t="array" ref="C775:K784" ca="1">+'A-40'!$A$160:$I$169</f>
        <v>Debt Raising costs</v>
      </c>
      <c r="D775" s="491">
        <f ca="1"/>
        <v>0</v>
      </c>
      <c r="E775" s="508">
        <f ca="1"/>
        <v>0</v>
      </c>
      <c r="F775" s="491">
        <f ca="1"/>
        <v>0</v>
      </c>
      <c r="G775" s="492">
        <f ca="1"/>
        <v>0</v>
      </c>
      <c r="H775" s="492">
        <f ca="1"/>
        <v>0</v>
      </c>
      <c r="I775" s="492">
        <f ca="1"/>
        <v>0</v>
      </c>
      <c r="J775" s="492">
        <f ca="1"/>
        <v>0</v>
      </c>
      <c r="K775" s="508">
        <f ca="1"/>
        <v>0</v>
      </c>
      <c r="L775" s="515" t="str">
        <f t="array" ref="L775:N784" ca="1">+'A-40'!$K$160:$M$169</f>
        <v xml:space="preserve">Debt Raising costs </v>
      </c>
      <c r="M775" s="450" t="str">
        <f ca="1"/>
        <v>Calculated in the PTRM and discounted to $ for SEM Input</v>
      </c>
      <c r="N775" s="450" t="str">
        <f ca="1"/>
        <v>Proposal, October 2014</v>
      </c>
    </row>
    <row r="776" spans="1:14">
      <c r="A776" s="5"/>
      <c r="B776" s="249"/>
      <c r="C776" s="382" t="str">
        <f ca="1"/>
        <v/>
      </c>
      <c r="D776" s="491" t="str">
        <f ca="1"/>
        <v/>
      </c>
      <c r="E776" s="508" t="str">
        <f ca="1"/>
        <v/>
      </c>
      <c r="F776" s="491" t="str">
        <f ca="1"/>
        <v/>
      </c>
      <c r="G776" s="492" t="str">
        <f ca="1"/>
        <v/>
      </c>
      <c r="H776" s="492" t="str">
        <f ca="1"/>
        <v/>
      </c>
      <c r="I776" s="492" t="str">
        <f ca="1"/>
        <v/>
      </c>
      <c r="J776" s="492" t="str">
        <f ca="1"/>
        <v/>
      </c>
      <c r="K776" s="508" t="str">
        <f ca="1"/>
        <v/>
      </c>
      <c r="L776" s="515" t="str">
        <f ca="1"/>
        <v/>
      </c>
      <c r="M776" s="450" t="str">
        <f ca="1"/>
        <v/>
      </c>
      <c r="N776" s="450" t="str">
        <f ca="1"/>
        <v/>
      </c>
    </row>
    <row r="777" spans="1:14">
      <c r="A777" s="5"/>
      <c r="B777" s="249"/>
      <c r="C777" s="382" t="str">
        <f ca="1"/>
        <v/>
      </c>
      <c r="D777" s="491" t="str">
        <f ca="1"/>
        <v/>
      </c>
      <c r="E777" s="508" t="str">
        <f ca="1"/>
        <v/>
      </c>
      <c r="F777" s="491" t="str">
        <f ca="1"/>
        <v/>
      </c>
      <c r="G777" s="492" t="str">
        <f ca="1"/>
        <v/>
      </c>
      <c r="H777" s="492" t="str">
        <f ca="1"/>
        <v/>
      </c>
      <c r="I777" s="492" t="str">
        <f ca="1"/>
        <v/>
      </c>
      <c r="J777" s="492" t="str">
        <f ca="1"/>
        <v/>
      </c>
      <c r="K777" s="508" t="str">
        <f ca="1"/>
        <v/>
      </c>
      <c r="L777" s="515" t="str">
        <f ca="1"/>
        <v/>
      </c>
      <c r="M777" s="450" t="str">
        <f ca="1"/>
        <v/>
      </c>
      <c r="N777" s="450" t="str">
        <f ca="1"/>
        <v/>
      </c>
    </row>
    <row r="778" spans="1:14">
      <c r="A778" s="5"/>
      <c r="B778" s="249"/>
      <c r="C778" s="382" t="str">
        <f ca="1"/>
        <v/>
      </c>
      <c r="D778" s="491" t="str">
        <f ca="1"/>
        <v/>
      </c>
      <c r="E778" s="508" t="str">
        <f ca="1"/>
        <v/>
      </c>
      <c r="F778" s="491" t="str">
        <f ca="1"/>
        <v/>
      </c>
      <c r="G778" s="492" t="str">
        <f ca="1"/>
        <v/>
      </c>
      <c r="H778" s="492" t="str">
        <f ca="1"/>
        <v/>
      </c>
      <c r="I778" s="492" t="str">
        <f ca="1"/>
        <v/>
      </c>
      <c r="J778" s="492" t="str">
        <f ca="1"/>
        <v/>
      </c>
      <c r="K778" s="508" t="str">
        <f ca="1"/>
        <v/>
      </c>
      <c r="L778" s="515" t="str">
        <f ca="1"/>
        <v/>
      </c>
      <c r="M778" s="450" t="str">
        <f ca="1"/>
        <v/>
      </c>
      <c r="N778" s="450" t="str">
        <f ca="1"/>
        <v/>
      </c>
    </row>
    <row r="779" spans="1:14">
      <c r="A779" s="5"/>
      <c r="B779" s="249"/>
      <c r="C779" s="382" t="str">
        <f ca="1"/>
        <v/>
      </c>
      <c r="D779" s="491" t="str">
        <f ca="1"/>
        <v/>
      </c>
      <c r="E779" s="508" t="str">
        <f ca="1"/>
        <v/>
      </c>
      <c r="F779" s="491" t="str">
        <f ca="1"/>
        <v/>
      </c>
      <c r="G779" s="492" t="str">
        <f ca="1"/>
        <v/>
      </c>
      <c r="H779" s="492" t="str">
        <f ca="1"/>
        <v/>
      </c>
      <c r="I779" s="492" t="str">
        <f ca="1"/>
        <v/>
      </c>
      <c r="J779" s="492" t="str">
        <f ca="1"/>
        <v/>
      </c>
      <c r="K779" s="508" t="str">
        <f ca="1"/>
        <v/>
      </c>
      <c r="L779" s="515" t="str">
        <f ca="1"/>
        <v/>
      </c>
      <c r="M779" s="450" t="str">
        <f ca="1"/>
        <v/>
      </c>
      <c r="N779" s="450" t="str">
        <f ca="1"/>
        <v/>
      </c>
    </row>
    <row r="780" spans="1:14">
      <c r="B780" s="249"/>
      <c r="C780" s="384" t="str">
        <f ca="1"/>
        <v/>
      </c>
      <c r="D780" s="491" t="str">
        <f ca="1"/>
        <v/>
      </c>
      <c r="E780" s="508" t="str">
        <f ca="1"/>
        <v/>
      </c>
      <c r="F780" s="491" t="str">
        <f ca="1"/>
        <v/>
      </c>
      <c r="G780" s="492" t="str">
        <f ca="1"/>
        <v/>
      </c>
      <c r="H780" s="492" t="str">
        <f ca="1"/>
        <v/>
      </c>
      <c r="I780" s="492" t="str">
        <f ca="1"/>
        <v/>
      </c>
      <c r="J780" s="492" t="str">
        <f ca="1"/>
        <v/>
      </c>
      <c r="K780" s="508" t="str">
        <f ca="1"/>
        <v/>
      </c>
      <c r="L780" s="515" t="str">
        <f ca="1"/>
        <v/>
      </c>
      <c r="M780" s="450" t="str">
        <f ca="1"/>
        <v/>
      </c>
      <c r="N780" s="450" t="str">
        <f ca="1"/>
        <v/>
      </c>
    </row>
    <row r="781" spans="1:14">
      <c r="B781" s="249"/>
      <c r="C781" s="384" t="str">
        <f ca="1"/>
        <v/>
      </c>
      <c r="D781" s="491" t="str">
        <f ca="1"/>
        <v/>
      </c>
      <c r="E781" s="508" t="str">
        <f ca="1"/>
        <v/>
      </c>
      <c r="F781" s="491" t="str">
        <f ca="1"/>
        <v/>
      </c>
      <c r="G781" s="492" t="str">
        <f ca="1"/>
        <v/>
      </c>
      <c r="H781" s="492" t="str">
        <f ca="1"/>
        <v/>
      </c>
      <c r="I781" s="492" t="str">
        <f ca="1"/>
        <v/>
      </c>
      <c r="J781" s="492" t="str">
        <f ca="1"/>
        <v/>
      </c>
      <c r="K781" s="508" t="str">
        <f ca="1"/>
        <v/>
      </c>
      <c r="L781" s="515" t="str">
        <f ca="1"/>
        <v/>
      </c>
      <c r="M781" s="450" t="str">
        <f ca="1"/>
        <v/>
      </c>
      <c r="N781" s="450" t="str">
        <f ca="1"/>
        <v/>
      </c>
    </row>
    <row r="782" spans="1:14">
      <c r="B782" s="249"/>
      <c r="C782" s="384" t="str">
        <f ca="1"/>
        <v/>
      </c>
      <c r="D782" s="491" t="str">
        <f ca="1"/>
        <v/>
      </c>
      <c r="E782" s="508" t="str">
        <f ca="1"/>
        <v/>
      </c>
      <c r="F782" s="491" t="str">
        <f ca="1"/>
        <v/>
      </c>
      <c r="G782" s="492" t="str">
        <f ca="1"/>
        <v/>
      </c>
      <c r="H782" s="492" t="str">
        <f ca="1"/>
        <v/>
      </c>
      <c r="I782" s="492" t="str">
        <f ca="1"/>
        <v/>
      </c>
      <c r="J782" s="492" t="str">
        <f ca="1"/>
        <v/>
      </c>
      <c r="K782" s="508" t="str">
        <f ca="1"/>
        <v/>
      </c>
      <c r="L782" s="515" t="str">
        <f ca="1"/>
        <v/>
      </c>
      <c r="M782" s="450" t="str">
        <f ca="1"/>
        <v/>
      </c>
      <c r="N782" s="450" t="str">
        <f ca="1"/>
        <v/>
      </c>
    </row>
    <row r="783" spans="1:14">
      <c r="B783" s="249"/>
      <c r="C783" s="384" t="str">
        <f ca="1"/>
        <v/>
      </c>
      <c r="D783" s="491" t="str">
        <f ca="1"/>
        <v/>
      </c>
      <c r="E783" s="508" t="str">
        <f ca="1"/>
        <v/>
      </c>
      <c r="F783" s="491" t="str">
        <f ca="1"/>
        <v/>
      </c>
      <c r="G783" s="492" t="str">
        <f ca="1"/>
        <v/>
      </c>
      <c r="H783" s="492" t="str">
        <f ca="1"/>
        <v/>
      </c>
      <c r="I783" s="492" t="str">
        <f ca="1"/>
        <v/>
      </c>
      <c r="J783" s="492" t="str">
        <f ca="1"/>
        <v/>
      </c>
      <c r="K783" s="508" t="str">
        <f ca="1"/>
        <v/>
      </c>
      <c r="L783" s="515" t="str">
        <f ca="1"/>
        <v/>
      </c>
      <c r="M783" s="450" t="str">
        <f ca="1"/>
        <v/>
      </c>
      <c r="N783" s="450" t="str">
        <f ca="1"/>
        <v/>
      </c>
    </row>
    <row r="784" spans="1:14">
      <c r="B784" s="249"/>
      <c r="C784" s="384" t="str">
        <f ca="1"/>
        <v/>
      </c>
      <c r="D784" s="491" t="str">
        <f ca="1"/>
        <v/>
      </c>
      <c r="E784" s="508" t="str">
        <f ca="1"/>
        <v/>
      </c>
      <c r="F784" s="491" t="str">
        <f ca="1"/>
        <v/>
      </c>
      <c r="G784" s="492" t="str">
        <f ca="1"/>
        <v/>
      </c>
      <c r="H784" s="492" t="str">
        <f ca="1"/>
        <v/>
      </c>
      <c r="I784" s="492" t="str">
        <f ca="1"/>
        <v/>
      </c>
      <c r="J784" s="492" t="str">
        <f ca="1"/>
        <v/>
      </c>
      <c r="K784" s="508" t="str">
        <f ca="1"/>
        <v/>
      </c>
      <c r="L784" s="515" t="str">
        <f ca="1"/>
        <v/>
      </c>
      <c r="M784" s="450" t="str">
        <f ca="1"/>
        <v/>
      </c>
      <c r="N784" s="450" t="str">
        <f ca="1"/>
        <v/>
      </c>
    </row>
    <row r="785" spans="1:14">
      <c r="A785" s="5"/>
      <c r="B785" s="249" t="str">
        <f ca="1">+'I-4 History'!B589</f>
        <v>A-41</v>
      </c>
      <c r="C785" s="14" t="str">
        <f ca="1">+'I-4 History'!C589</f>
        <v>Spare, not in use</v>
      </c>
      <c r="D785" s="491"/>
      <c r="E785" s="508"/>
      <c r="F785" s="491"/>
      <c r="G785" s="492"/>
      <c r="H785" s="492"/>
      <c r="I785" s="492"/>
      <c r="J785" s="492"/>
      <c r="K785" s="508"/>
      <c r="L785" s="515"/>
      <c r="M785" s="450"/>
      <c r="N785" s="450"/>
    </row>
    <row r="786" spans="1:14">
      <c r="A786" s="5"/>
      <c r="B786" s="249"/>
      <c r="C786" s="384" t="str">
        <f t="array" ref="C786:K795" ca="1">+'A-41'!$A$160:$I$169</f>
        <v>Step Change</v>
      </c>
      <c r="D786" s="491">
        <f ca="1"/>
        <v>0</v>
      </c>
      <c r="E786" s="508">
        <f ca="1"/>
        <v>0</v>
      </c>
      <c r="F786" s="491">
        <f ca="1"/>
        <v>0</v>
      </c>
      <c r="G786" s="492">
        <f ca="1"/>
        <v>0</v>
      </c>
      <c r="H786" s="492">
        <f ca="1"/>
        <v>0</v>
      </c>
      <c r="I786" s="492">
        <f ca="1"/>
        <v>0</v>
      </c>
      <c r="J786" s="492">
        <f ca="1"/>
        <v>0</v>
      </c>
      <c r="K786" s="508">
        <f ca="1"/>
        <v>0</v>
      </c>
      <c r="L786" s="515" t="str">
        <f t="array" ref="L786:N795" ca="1">+'A-41'!$K$160:$M$169</f>
        <v>Proposal Step Change</v>
      </c>
      <c r="M786" s="450" t="str">
        <f ca="1"/>
        <v>Refer Opex Workings</v>
      </c>
      <c r="N786" s="450" t="str">
        <f ca="1"/>
        <v>Proposal, October 2014</v>
      </c>
    </row>
    <row r="787" spans="1:14">
      <c r="A787" s="5"/>
      <c r="B787" s="249"/>
      <c r="C787" s="382" t="str">
        <f ca="1"/>
        <v/>
      </c>
      <c r="D787" s="491" t="str">
        <f ca="1"/>
        <v/>
      </c>
      <c r="E787" s="508" t="str">
        <f ca="1"/>
        <v/>
      </c>
      <c r="F787" s="491" t="str">
        <f ca="1"/>
        <v/>
      </c>
      <c r="G787" s="492" t="str">
        <f ca="1"/>
        <v/>
      </c>
      <c r="H787" s="492" t="str">
        <f ca="1"/>
        <v/>
      </c>
      <c r="I787" s="492" t="str">
        <f ca="1"/>
        <v/>
      </c>
      <c r="J787" s="492" t="str">
        <f ca="1"/>
        <v/>
      </c>
      <c r="K787" s="508" t="str">
        <f ca="1"/>
        <v/>
      </c>
      <c r="L787" s="515" t="str">
        <f ca="1"/>
        <v/>
      </c>
      <c r="M787" s="450" t="str">
        <f ca="1"/>
        <v/>
      </c>
      <c r="N787" s="450" t="str">
        <f ca="1"/>
        <v/>
      </c>
    </row>
    <row r="788" spans="1:14">
      <c r="A788" s="5"/>
      <c r="B788" s="249"/>
      <c r="C788" s="382" t="str">
        <f ca="1"/>
        <v/>
      </c>
      <c r="D788" s="491" t="str">
        <f ca="1"/>
        <v/>
      </c>
      <c r="E788" s="508" t="str">
        <f ca="1"/>
        <v/>
      </c>
      <c r="F788" s="491" t="str">
        <f ca="1"/>
        <v/>
      </c>
      <c r="G788" s="492" t="str">
        <f ca="1"/>
        <v/>
      </c>
      <c r="H788" s="492" t="str">
        <f ca="1"/>
        <v/>
      </c>
      <c r="I788" s="492" t="str">
        <f ca="1"/>
        <v/>
      </c>
      <c r="J788" s="492" t="str">
        <f ca="1"/>
        <v/>
      </c>
      <c r="K788" s="508" t="str">
        <f ca="1"/>
        <v/>
      </c>
      <c r="L788" s="515" t="str">
        <f ca="1"/>
        <v/>
      </c>
      <c r="M788" s="450" t="str">
        <f ca="1"/>
        <v/>
      </c>
      <c r="N788" s="450" t="str">
        <f ca="1"/>
        <v/>
      </c>
    </row>
    <row r="789" spans="1:14">
      <c r="A789" s="5"/>
      <c r="B789" s="249"/>
      <c r="C789" s="382" t="str">
        <f ca="1"/>
        <v/>
      </c>
      <c r="D789" s="491" t="str">
        <f ca="1"/>
        <v/>
      </c>
      <c r="E789" s="508" t="str">
        <f ca="1"/>
        <v/>
      </c>
      <c r="F789" s="491" t="str">
        <f ca="1"/>
        <v/>
      </c>
      <c r="G789" s="492" t="str">
        <f ca="1"/>
        <v/>
      </c>
      <c r="H789" s="492" t="str">
        <f ca="1"/>
        <v/>
      </c>
      <c r="I789" s="492" t="str">
        <f ca="1"/>
        <v/>
      </c>
      <c r="J789" s="492" t="str">
        <f ca="1"/>
        <v/>
      </c>
      <c r="K789" s="508" t="str">
        <f ca="1"/>
        <v/>
      </c>
      <c r="L789" s="515" t="str">
        <f ca="1"/>
        <v/>
      </c>
      <c r="M789" s="450" t="str">
        <f ca="1"/>
        <v/>
      </c>
      <c r="N789" s="450" t="str">
        <f ca="1"/>
        <v/>
      </c>
    </row>
    <row r="790" spans="1:14">
      <c r="A790" s="5"/>
      <c r="B790" s="249"/>
      <c r="C790" s="382" t="str">
        <f ca="1"/>
        <v/>
      </c>
      <c r="D790" s="491" t="str">
        <f ca="1"/>
        <v/>
      </c>
      <c r="E790" s="508" t="str">
        <f ca="1"/>
        <v/>
      </c>
      <c r="F790" s="491" t="str">
        <f ca="1"/>
        <v/>
      </c>
      <c r="G790" s="492" t="str">
        <f ca="1"/>
        <v/>
      </c>
      <c r="H790" s="492" t="str">
        <f ca="1"/>
        <v/>
      </c>
      <c r="I790" s="492" t="str">
        <f ca="1"/>
        <v/>
      </c>
      <c r="J790" s="492" t="str">
        <f ca="1"/>
        <v/>
      </c>
      <c r="K790" s="508" t="str">
        <f ca="1"/>
        <v/>
      </c>
      <c r="L790" s="515" t="str">
        <f ca="1"/>
        <v/>
      </c>
      <c r="M790" s="450" t="str">
        <f ca="1"/>
        <v/>
      </c>
      <c r="N790" s="450" t="str">
        <f ca="1"/>
        <v/>
      </c>
    </row>
    <row r="791" spans="1:14">
      <c r="B791" s="249"/>
      <c r="C791" s="384" t="str">
        <f ca="1"/>
        <v/>
      </c>
      <c r="D791" s="491" t="str">
        <f ca="1"/>
        <v/>
      </c>
      <c r="E791" s="508" t="str">
        <f ca="1"/>
        <v/>
      </c>
      <c r="F791" s="491" t="str">
        <f ca="1"/>
        <v/>
      </c>
      <c r="G791" s="492" t="str">
        <f ca="1"/>
        <v/>
      </c>
      <c r="H791" s="492" t="str">
        <f ca="1"/>
        <v/>
      </c>
      <c r="I791" s="492" t="str">
        <f ca="1"/>
        <v/>
      </c>
      <c r="J791" s="492" t="str">
        <f ca="1"/>
        <v/>
      </c>
      <c r="K791" s="508" t="str">
        <f ca="1"/>
        <v/>
      </c>
      <c r="L791" s="515" t="str">
        <f ca="1"/>
        <v/>
      </c>
      <c r="M791" s="450" t="str">
        <f ca="1"/>
        <v/>
      </c>
      <c r="N791" s="450" t="str">
        <f ca="1"/>
        <v/>
      </c>
    </row>
    <row r="792" spans="1:14">
      <c r="B792" s="249"/>
      <c r="C792" s="384" t="str">
        <f ca="1"/>
        <v/>
      </c>
      <c r="D792" s="491" t="str">
        <f ca="1"/>
        <v/>
      </c>
      <c r="E792" s="508" t="str">
        <f ca="1"/>
        <v/>
      </c>
      <c r="F792" s="491" t="str">
        <f ca="1"/>
        <v/>
      </c>
      <c r="G792" s="492" t="str">
        <f ca="1"/>
        <v/>
      </c>
      <c r="H792" s="492" t="str">
        <f ca="1"/>
        <v/>
      </c>
      <c r="I792" s="492" t="str">
        <f ca="1"/>
        <v/>
      </c>
      <c r="J792" s="492" t="str">
        <f ca="1"/>
        <v/>
      </c>
      <c r="K792" s="508" t="str">
        <f ca="1"/>
        <v/>
      </c>
      <c r="L792" s="515" t="str">
        <f ca="1"/>
        <v/>
      </c>
      <c r="M792" s="450" t="str">
        <f ca="1"/>
        <v/>
      </c>
      <c r="N792" s="450" t="str">
        <f ca="1"/>
        <v/>
      </c>
    </row>
    <row r="793" spans="1:14">
      <c r="B793" s="249"/>
      <c r="C793" s="384" t="str">
        <f ca="1"/>
        <v/>
      </c>
      <c r="D793" s="491" t="str">
        <f ca="1"/>
        <v/>
      </c>
      <c r="E793" s="508" t="str">
        <f ca="1"/>
        <v/>
      </c>
      <c r="F793" s="491" t="str">
        <f ca="1"/>
        <v/>
      </c>
      <c r="G793" s="492" t="str">
        <f ca="1"/>
        <v/>
      </c>
      <c r="H793" s="492" t="str">
        <f ca="1"/>
        <v/>
      </c>
      <c r="I793" s="492" t="str">
        <f ca="1"/>
        <v/>
      </c>
      <c r="J793" s="492" t="str">
        <f ca="1"/>
        <v/>
      </c>
      <c r="K793" s="508" t="str">
        <f ca="1"/>
        <v/>
      </c>
      <c r="L793" s="515" t="str">
        <f ca="1"/>
        <v/>
      </c>
      <c r="M793" s="450" t="str">
        <f ca="1"/>
        <v/>
      </c>
      <c r="N793" s="450" t="str">
        <f ca="1"/>
        <v/>
      </c>
    </row>
    <row r="794" spans="1:14">
      <c r="B794" s="249"/>
      <c r="C794" s="384" t="str">
        <f ca="1"/>
        <v/>
      </c>
      <c r="D794" s="491" t="str">
        <f ca="1"/>
        <v/>
      </c>
      <c r="E794" s="508" t="str">
        <f ca="1"/>
        <v/>
      </c>
      <c r="F794" s="491" t="str">
        <f ca="1"/>
        <v/>
      </c>
      <c r="G794" s="492" t="str">
        <f ca="1"/>
        <v/>
      </c>
      <c r="H794" s="492" t="str">
        <f ca="1"/>
        <v/>
      </c>
      <c r="I794" s="492" t="str">
        <f ca="1"/>
        <v/>
      </c>
      <c r="J794" s="492" t="str">
        <f ca="1"/>
        <v/>
      </c>
      <c r="K794" s="508" t="str">
        <f ca="1"/>
        <v/>
      </c>
      <c r="L794" s="515" t="str">
        <f ca="1"/>
        <v/>
      </c>
      <c r="M794" s="450" t="str">
        <f ca="1"/>
        <v/>
      </c>
      <c r="N794" s="450" t="str">
        <f ca="1"/>
        <v/>
      </c>
    </row>
    <row r="795" spans="1:14">
      <c r="B795" s="249"/>
      <c r="C795" s="384" t="str">
        <f ca="1"/>
        <v/>
      </c>
      <c r="D795" s="491" t="str">
        <f ca="1"/>
        <v/>
      </c>
      <c r="E795" s="508" t="str">
        <f ca="1"/>
        <v/>
      </c>
      <c r="F795" s="491" t="str">
        <f ca="1"/>
        <v/>
      </c>
      <c r="G795" s="492" t="str">
        <f ca="1"/>
        <v/>
      </c>
      <c r="H795" s="492" t="str">
        <f ca="1"/>
        <v/>
      </c>
      <c r="I795" s="492" t="str">
        <f ca="1"/>
        <v/>
      </c>
      <c r="J795" s="492" t="str">
        <f ca="1"/>
        <v/>
      </c>
      <c r="K795" s="508" t="str">
        <f ca="1"/>
        <v/>
      </c>
      <c r="L795" s="515" t="str">
        <f ca="1"/>
        <v/>
      </c>
      <c r="M795" s="450" t="str">
        <f ca="1"/>
        <v/>
      </c>
      <c r="N795" s="450" t="str">
        <f ca="1"/>
        <v/>
      </c>
    </row>
    <row r="796" spans="1:14" ht="17.25" customHeight="1" thickBot="1">
      <c r="B796" s="250"/>
      <c r="C796" s="269" t="str">
        <f>CONCATENATE("Total ", +C728:C728)</f>
        <v xml:space="preserve">Total Other </v>
      </c>
      <c r="D796" s="315">
        <f ca="1">SUBTOTAL(9,D730:D795)</f>
        <v>0</v>
      </c>
      <c r="E796" s="500">
        <f t="shared" ref="E796:K796" ca="1" si="8">SUBTOTAL(9,E730:E795)</f>
        <v>0</v>
      </c>
      <c r="F796" s="314">
        <f t="shared" ca="1" si="8"/>
        <v>0</v>
      </c>
      <c r="G796" s="315">
        <f t="shared" ca="1" si="8"/>
        <v>0</v>
      </c>
      <c r="H796" s="315">
        <f t="shared" ca="1" si="8"/>
        <v>0</v>
      </c>
      <c r="I796" s="315">
        <f t="shared" ca="1" si="8"/>
        <v>0</v>
      </c>
      <c r="J796" s="315">
        <f t="shared" ca="1" si="8"/>
        <v>0</v>
      </c>
      <c r="K796" s="500">
        <f t="shared" ca="1" si="8"/>
        <v>0</v>
      </c>
      <c r="L796" s="515"/>
      <c r="M796" s="450"/>
      <c r="N796" s="450"/>
    </row>
    <row r="797" spans="1:14" ht="16.5" thickBot="1">
      <c r="B797" s="270"/>
      <c r="C797" s="272" t="s">
        <v>273</v>
      </c>
      <c r="D797" s="271">
        <f t="shared" ref="D797:K797" ca="1" si="9">SUBTOTAL(9,D308:D796)</f>
        <v>0</v>
      </c>
      <c r="E797" s="271">
        <f t="shared" ca="1" si="9"/>
        <v>0</v>
      </c>
      <c r="F797" s="271">
        <f ca="1">SUBTOTAL(9,F308:F796)</f>
        <v>2.0179335491312274</v>
      </c>
      <c r="G797" s="271">
        <f t="shared" ca="1" si="9"/>
        <v>6.6740000000000004</v>
      </c>
      <c r="H797" s="271">
        <f t="shared" ca="1" si="9"/>
        <v>7.3439999999999994</v>
      </c>
      <c r="I797" s="271">
        <f t="shared" ca="1" si="9"/>
        <v>10.061000000000002</v>
      </c>
      <c r="J797" s="271">
        <f t="shared" ca="1" si="9"/>
        <v>10.096</v>
      </c>
      <c r="K797" s="501">
        <f t="shared" ca="1" si="9"/>
        <v>10.486000000000001</v>
      </c>
      <c r="L797" s="515"/>
      <c r="M797" s="450"/>
      <c r="N797" s="450"/>
    </row>
    <row r="798" spans="1:14">
      <c r="B798" s="249"/>
      <c r="C798" s="12"/>
      <c r="D798" s="16"/>
      <c r="E798" s="16"/>
      <c r="F798" s="16"/>
      <c r="G798" s="16"/>
      <c r="H798" s="16"/>
      <c r="I798" s="16"/>
      <c r="J798" s="16"/>
      <c r="K798" s="502"/>
      <c r="L798" s="515"/>
      <c r="M798" s="450"/>
      <c r="N798" s="450"/>
    </row>
    <row r="799" spans="1:14" ht="32.25" thickBot="1">
      <c r="B799" s="270"/>
      <c r="C799" s="272" t="s">
        <v>274</v>
      </c>
      <c r="D799" s="271">
        <f t="shared" ref="D799:K799" ca="1" si="10">SUBTOTAL(9,D8:D796)</f>
        <v>0</v>
      </c>
      <c r="E799" s="271">
        <f t="shared" ca="1" si="10"/>
        <v>0</v>
      </c>
      <c r="F799" s="271">
        <f t="shared" ca="1" si="10"/>
        <v>6.999549577705845</v>
      </c>
      <c r="G799" s="271">
        <f ca="1">SUBTOTAL(9,G8:G796)</f>
        <v>24.436999999999998</v>
      </c>
      <c r="H799" s="271">
        <f t="shared" ca="1" si="10"/>
        <v>30.158999999999992</v>
      </c>
      <c r="I799" s="271">
        <f t="shared" ca="1" si="10"/>
        <v>27.970999999999997</v>
      </c>
      <c r="J799" s="271">
        <f t="shared" ca="1" si="10"/>
        <v>27.402999999999999</v>
      </c>
      <c r="K799" s="271">
        <f t="shared" ca="1" si="10"/>
        <v>25.463999999999995</v>
      </c>
      <c r="L799" s="515"/>
      <c r="M799" s="450"/>
      <c r="N799" s="450"/>
    </row>
    <row r="800" spans="1:14">
      <c r="D800" s="17"/>
      <c r="E800" s="17"/>
      <c r="F800" s="17"/>
      <c r="G800" s="17"/>
      <c r="H800" s="17"/>
      <c r="I800" s="17"/>
      <c r="J800" s="17"/>
      <c r="K800" s="17"/>
    </row>
    <row r="802" spans="2:11">
      <c r="G802" s="590"/>
    </row>
    <row r="804" spans="2:11">
      <c r="B804" s="2"/>
    </row>
    <row r="807" spans="2:11">
      <c r="B807" s="2"/>
    </row>
    <row r="812" spans="2:11" ht="13.5" thickBot="1"/>
    <row r="813" spans="2:11">
      <c r="B813" s="326" t="s">
        <v>288</v>
      </c>
      <c r="C813" s="317"/>
      <c r="D813" s="317"/>
      <c r="E813" s="317"/>
      <c r="F813" s="317"/>
      <c r="G813" s="317"/>
      <c r="H813" s="317"/>
      <c r="I813" s="317"/>
      <c r="J813" s="317"/>
      <c r="K813" s="318"/>
    </row>
    <row r="814" spans="2:11">
      <c r="B814" s="319" t="s">
        <v>331</v>
      </c>
      <c r="C814" s="67"/>
      <c r="D814" s="308">
        <f ca="1">+D799-'R2'!B25-'R3'!B25</f>
        <v>0</v>
      </c>
      <c r="E814" s="308">
        <f ca="1">+E799-'R2'!C25-'R3'!C25</f>
        <v>0</v>
      </c>
      <c r="F814" s="308">
        <f ca="1">+F799-'R2'!D25-'R3'!D25</f>
        <v>0</v>
      </c>
      <c r="G814" s="308">
        <f ca="1">+G799-'R2'!E25-'R3'!E25</f>
        <v>0</v>
      </c>
      <c r="H814" s="308">
        <f ca="1">+H799-'R2'!F25-'R3'!F25</f>
        <v>0</v>
      </c>
      <c r="I814" s="308">
        <f ca="1">+I799-'R2'!G25-'R3'!G25</f>
        <v>0</v>
      </c>
      <c r="J814" s="308">
        <f ca="1">+J799-'R2'!H25-'R3'!H25</f>
        <v>0</v>
      </c>
      <c r="K814" s="320">
        <f ca="1">+K799-'R2'!I25-'R3'!I25</f>
        <v>0</v>
      </c>
    </row>
    <row r="815" spans="2:11" ht="13.5" thickBot="1">
      <c r="B815" s="322"/>
      <c r="C815" s="323"/>
      <c r="D815" s="323"/>
      <c r="E815" s="323"/>
      <c r="F815" s="323"/>
      <c r="G815" s="323"/>
      <c r="H815" s="323"/>
      <c r="I815" s="323"/>
      <c r="J815" s="323"/>
      <c r="K815" s="324"/>
    </row>
    <row r="817" spans="2:11" ht="15">
      <c r="B817" s="717" t="s">
        <v>612</v>
      </c>
      <c r="C817" s="709"/>
      <c r="D817" s="709"/>
      <c r="E817" s="709"/>
      <c r="F817" s="709"/>
      <c r="G817" s="709"/>
      <c r="H817" s="709"/>
      <c r="I817" s="709"/>
      <c r="J817" s="709"/>
      <c r="K817" s="710"/>
    </row>
    <row r="818" spans="2:11" ht="13.5">
      <c r="B818" s="711" t="s">
        <v>613</v>
      </c>
      <c r="C818" s="712"/>
      <c r="D818" s="712"/>
      <c r="E818" s="712"/>
      <c r="F818" s="712"/>
      <c r="G818" s="712"/>
      <c r="H818" s="712"/>
      <c r="I818" s="712"/>
      <c r="J818" s="712"/>
      <c r="K818" s="713"/>
    </row>
    <row r="819" spans="2:11" ht="13.5">
      <c r="B819" s="711" t="s">
        <v>610</v>
      </c>
      <c r="C819" s="712"/>
      <c r="D819" s="712"/>
      <c r="E819" s="712"/>
      <c r="F819" s="712"/>
      <c r="G819" s="712"/>
      <c r="H819" s="712"/>
      <c r="I819" s="712"/>
      <c r="J819" s="712"/>
      <c r="K819" s="713"/>
    </row>
    <row r="820" spans="2:11" ht="13.5">
      <c r="B820" s="711" t="s">
        <v>329</v>
      </c>
      <c r="C820" s="712"/>
      <c r="D820" s="712"/>
      <c r="E820" s="712"/>
      <c r="F820" s="712"/>
      <c r="G820" s="712"/>
      <c r="H820" s="712"/>
      <c r="I820" s="712"/>
      <c r="J820" s="712"/>
      <c r="K820" s="713"/>
    </row>
    <row r="821" spans="2:11" ht="13.5">
      <c r="B821" s="711" t="s">
        <v>330</v>
      </c>
      <c r="C821" s="712"/>
      <c r="D821" s="712"/>
      <c r="E821" s="712"/>
      <c r="F821" s="712"/>
      <c r="G821" s="712"/>
      <c r="H821" s="712"/>
      <c r="I821" s="712"/>
      <c r="J821" s="712"/>
      <c r="K821" s="713"/>
    </row>
    <row r="822" spans="2:11" ht="13.5">
      <c r="B822" s="711"/>
      <c r="C822" s="712"/>
      <c r="D822" s="712"/>
      <c r="E822" s="712"/>
      <c r="F822" s="712"/>
      <c r="G822" s="712"/>
      <c r="H822" s="712"/>
      <c r="I822" s="712"/>
      <c r="J822" s="712"/>
      <c r="K822" s="713"/>
    </row>
    <row r="823" spans="2:11" ht="13.5">
      <c r="B823" s="711" t="s">
        <v>611</v>
      </c>
      <c r="C823" s="712"/>
      <c r="D823" s="712"/>
      <c r="E823" s="712"/>
      <c r="F823" s="712"/>
      <c r="G823" s="712"/>
      <c r="H823" s="712"/>
      <c r="I823" s="712"/>
      <c r="J823" s="712"/>
      <c r="K823" s="713"/>
    </row>
    <row r="824" spans="2:11" ht="13.5">
      <c r="B824" s="714"/>
      <c r="C824" s="715"/>
      <c r="D824" s="715"/>
      <c r="E824" s="715"/>
      <c r="F824" s="715"/>
      <c r="G824" s="715"/>
      <c r="H824" s="715"/>
      <c r="I824" s="715"/>
      <c r="J824" s="715"/>
      <c r="K824" s="716"/>
    </row>
  </sheetData>
  <sheetProtection formatColumns="0" formatRows="0"/>
  <phoneticPr fontId="0" type="noConversion"/>
  <conditionalFormatting sqref="D814:K814">
    <cfRule type="cellIs" dxfId="39" priority="1" stopIfTrue="1" operator="equal">
      <formula>0</formula>
    </cfRule>
    <cfRule type="cellIs" dxfId="38" priority="2" stopIfTrue="1" operator="notEqual">
      <formula>0</formula>
    </cfRule>
  </conditionalFormatting>
  <pageMargins left="0.46" right="0.24" top="0.55000000000000004" bottom="0.64" header="0.24" footer="0.2"/>
  <pageSetup paperSize="9" scale="57" fitToHeight="0" orientation="landscape" r:id="rId1"/>
  <headerFooter alignWithMargins="0">
    <oddFooter>&amp;L&amp;8&amp;F
&amp;A
Printed: &amp;T on &amp;D&amp;C&amp;8Page &amp;P of &amp;N</oddFooter>
  </headerFooter>
  <rowBreaks count="13" manualBreakCount="13">
    <brk id="66" min="1" max="13" man="1"/>
    <brk id="127" min="1" max="13" man="1"/>
    <brk id="188" min="1" max="13" man="1"/>
    <brk id="248" min="1" max="13" man="1"/>
    <brk id="299" min="1" max="13" man="1"/>
    <brk id="349" min="1" max="13" man="1"/>
    <brk id="411" min="1" max="13" man="1"/>
    <brk id="471" min="1" max="13" man="1"/>
    <brk id="532" min="1" max="13" man="1"/>
    <brk id="592" min="1" max="13" man="1"/>
    <brk id="652" min="1" max="13" man="1"/>
    <brk id="676" min="1" max="13" man="1"/>
    <brk id="727" min="1" max="13" man="1"/>
  </rowBreaks>
</worksheet>
</file>

<file path=xl/worksheets/sheet84.xml><?xml version="1.0" encoding="utf-8"?>
<worksheet xmlns="http://schemas.openxmlformats.org/spreadsheetml/2006/main" xmlns:r="http://schemas.openxmlformats.org/officeDocument/2006/relationships">
  <sheetPr codeName="Sheet100" enableFormatConditionsCalculation="0">
    <tabColor indexed="12"/>
    <pageSetUpPr fitToPage="1"/>
  </sheetPr>
  <dimension ref="A1:W1027"/>
  <sheetViews>
    <sheetView showGridLines="0" zoomScale="85" zoomScaleNormal="85" workbookViewId="0">
      <pane xSplit="5" ySplit="5" topLeftCell="G771" activePane="bottomRight" state="frozenSplit"/>
      <selection pane="topRight" activeCell="F1" sqref="F1"/>
      <selection pane="bottomLeft" activeCell="A6" sqref="A6"/>
      <selection pane="bottomRight" activeCell="M805" sqref="M805"/>
    </sheetView>
  </sheetViews>
  <sheetFormatPr defaultRowHeight="12.75"/>
  <cols>
    <col min="1" max="1" width="6" customWidth="1"/>
    <col min="2" max="2" width="9.85546875" customWidth="1"/>
    <col min="3" max="3" width="41.85546875" customWidth="1"/>
    <col min="4" max="4" width="26.85546875" customWidth="1"/>
    <col min="5" max="5" width="9.28515625" hidden="1" customWidth="1"/>
    <col min="6" max="11" width="9.28515625" customWidth="1"/>
    <col min="16" max="16" width="3.140625" customWidth="1"/>
  </cols>
  <sheetData>
    <row r="1" spans="1:23" ht="20.25">
      <c r="A1" s="7" t="s">
        <v>375</v>
      </c>
      <c r="B1" s="7" t="s">
        <v>374</v>
      </c>
      <c r="P1" s="7" t="s">
        <v>522</v>
      </c>
    </row>
    <row r="2" spans="1:23">
      <c r="B2" t="s">
        <v>448</v>
      </c>
      <c r="P2" s="409" t="s">
        <v>523</v>
      </c>
    </row>
    <row r="3" spans="1:23" ht="13.5" thickBot="1">
      <c r="K3" s="474" t="str">
        <f>+LU_BaseYearDollars</f>
        <v>($M) 2013/14 dollars</v>
      </c>
      <c r="V3" s="474" t="str">
        <f>+LU_BaseYearDollars</f>
        <v>($M) 2013/14 dollars</v>
      </c>
    </row>
    <row r="4" spans="1:23" ht="48.75" thickBot="1">
      <c r="B4" s="253" t="s">
        <v>265</v>
      </c>
      <c r="C4" s="436"/>
      <c r="D4" s="471"/>
      <c r="E4" s="439" t="str">
        <f t="array" ref="E4:K4">LU_TemplateYearHeader2</f>
        <v>2013/14</v>
      </c>
      <c r="F4" s="439" t="str">
        <v>2014/15</v>
      </c>
      <c r="G4" s="439" t="str">
        <v>2015/16</v>
      </c>
      <c r="H4" s="439" t="str">
        <v>2016/17</v>
      </c>
      <c r="I4" s="439" t="str">
        <v>2017/18</v>
      </c>
      <c r="J4" s="439" t="str">
        <v>2018/19</v>
      </c>
      <c r="K4" s="439" t="str">
        <v>2019/20</v>
      </c>
      <c r="P4" s="849" t="str">
        <f t="array" ref="P4:V4">LU_TemplateYearHeader2</f>
        <v>2013/14</v>
      </c>
      <c r="Q4" s="439" t="str">
        <v>2014/15</v>
      </c>
      <c r="R4" s="439" t="str">
        <v>2015/16</v>
      </c>
      <c r="S4" s="439" t="str">
        <v>2016/17</v>
      </c>
      <c r="T4" s="439" t="str">
        <v>2017/18</v>
      </c>
      <c r="U4" s="439" t="str">
        <v>2018/19</v>
      </c>
      <c r="V4" s="439" t="str">
        <v>2019/20</v>
      </c>
    </row>
    <row r="5" spans="1:23" ht="18">
      <c r="B5" s="259"/>
      <c r="C5" s="260" t="s">
        <v>266</v>
      </c>
      <c r="D5" s="414"/>
      <c r="E5" s="302"/>
      <c r="F5" s="302"/>
      <c r="G5" s="302"/>
      <c r="H5" s="302"/>
      <c r="I5" s="302"/>
      <c r="J5" s="302"/>
      <c r="K5" s="302"/>
      <c r="P5" s="302"/>
      <c r="Q5" s="302"/>
      <c r="R5" s="302"/>
      <c r="S5" s="302"/>
      <c r="T5" s="302"/>
      <c r="U5" s="302"/>
      <c r="V5" s="302"/>
    </row>
    <row r="6" spans="1:23" ht="18">
      <c r="B6" s="252"/>
      <c r="C6" s="297" t="s">
        <v>95</v>
      </c>
      <c r="D6" s="415"/>
      <c r="E6" s="506"/>
      <c r="F6" s="244"/>
      <c r="G6" s="244"/>
      <c r="H6" s="244"/>
      <c r="I6" s="244"/>
      <c r="J6" s="244"/>
      <c r="K6" s="244"/>
      <c r="P6" s="244"/>
      <c r="Q6" s="244"/>
      <c r="R6" s="244"/>
      <c r="S6" s="244"/>
      <c r="T6" s="244"/>
      <c r="U6" s="244"/>
      <c r="V6" s="244"/>
    </row>
    <row r="7" spans="1:23">
      <c r="A7" s="5"/>
      <c r="B7" s="249" t="str">
        <f ca="1">+'I-4 History'!B7</f>
        <v>DA-1</v>
      </c>
      <c r="C7" s="381" t="str">
        <f ca="1">+'I-4 History'!C7</f>
        <v>Distribution Licence Fee</v>
      </c>
      <c r="D7" s="416"/>
      <c r="E7" s="507"/>
      <c r="F7" s="11"/>
      <c r="G7" s="11"/>
      <c r="H7" s="11"/>
      <c r="I7" s="11"/>
      <c r="J7" s="11"/>
      <c r="K7" s="11"/>
      <c r="P7" s="11"/>
      <c r="Q7" s="11"/>
      <c r="R7" s="11"/>
      <c r="S7" s="11"/>
      <c r="T7" s="11"/>
      <c r="U7" s="11"/>
      <c r="V7" s="11"/>
    </row>
    <row r="8" spans="1:23" ht="15.75" customHeight="1">
      <c r="A8" s="5"/>
      <c r="B8" s="249"/>
      <c r="C8" s="424" t="s">
        <v>74</v>
      </c>
      <c r="D8" s="416"/>
      <c r="E8" s="507"/>
      <c r="F8" s="11"/>
      <c r="G8" s="11"/>
      <c r="H8" s="11"/>
      <c r="I8" s="11"/>
      <c r="J8" s="11"/>
      <c r="K8" s="11"/>
      <c r="P8" s="11"/>
      <c r="Q8" s="11"/>
      <c r="R8" s="11"/>
      <c r="S8" s="11"/>
      <c r="T8" s="11"/>
      <c r="U8" s="11"/>
      <c r="V8" s="11"/>
    </row>
    <row r="9" spans="1:23">
      <c r="A9" s="5"/>
      <c r="B9" s="249"/>
      <c r="C9" s="794" t="str">
        <f t="array" ref="C9:D14">+'DA-1'!$A$77:$B$82</f>
        <v>Total Output Growth</v>
      </c>
      <c r="D9" s="795" t="str">
        <v>Labour</v>
      </c>
      <c r="E9" s="847">
        <f t="array" ref="E9:K14" ca="1">+'DA-1'!$N$77:$T$82</f>
        <v>0</v>
      </c>
      <c r="F9" s="386">
        <f ca="1"/>
        <v>0</v>
      </c>
      <c r="G9" s="522">
        <f ca="1"/>
        <v>0</v>
      </c>
      <c r="H9" s="383">
        <f ca="1"/>
        <v>0</v>
      </c>
      <c r="I9" s="383">
        <f ca="1"/>
        <v>0</v>
      </c>
      <c r="J9" s="383">
        <f ca="1"/>
        <v>0</v>
      </c>
      <c r="K9" s="383">
        <f ca="1"/>
        <v>0</v>
      </c>
      <c r="L9" s="732"/>
      <c r="M9" s="732"/>
      <c r="N9" s="732"/>
      <c r="O9" s="732"/>
      <c r="P9" s="386"/>
      <c r="Q9" s="768">
        <f ca="1">IF(F9&lt;&gt;0,+F9/'DA-1'!D$77,0)</f>
        <v>0</v>
      </c>
      <c r="R9" s="768">
        <f ca="1">IF(G9&lt;&gt;0,+G9/'DA-1'!E$77,0)</f>
        <v>0</v>
      </c>
      <c r="S9" s="768">
        <f ca="1">IF(H9&lt;&gt;0,+H9/'DA-1'!F$77,0)</f>
        <v>0</v>
      </c>
      <c r="T9" s="768">
        <f ca="1">IF(I9&lt;&gt;0,+I9/'DA-1'!G$77,0)</f>
        <v>0</v>
      </c>
      <c r="U9" s="768">
        <f ca="1">IF(J9&lt;&gt;0,+J9/'DA-1'!H$77,0)</f>
        <v>0</v>
      </c>
      <c r="V9" s="768">
        <f ca="1">IF(K9&lt;&gt;0,+K9/'DA-1'!I$77,0)</f>
        <v>0</v>
      </c>
      <c r="W9" s="732"/>
    </row>
    <row r="10" spans="1:23">
      <c r="A10" s="5"/>
      <c r="B10" s="249"/>
      <c r="C10" s="794" t="str">
        <v>Total Output Growth</v>
      </c>
      <c r="D10" s="795" t="str">
        <v>Materials</v>
      </c>
      <c r="E10" s="847">
        <f ca="1"/>
        <v>0</v>
      </c>
      <c r="F10" s="386">
        <f ca="1"/>
        <v>0</v>
      </c>
      <c r="G10" s="522">
        <f ca="1"/>
        <v>0</v>
      </c>
      <c r="H10" s="383">
        <f ca="1"/>
        <v>0</v>
      </c>
      <c r="I10" s="383">
        <f ca="1"/>
        <v>0</v>
      </c>
      <c r="J10" s="383">
        <f ca="1"/>
        <v>0</v>
      </c>
      <c r="K10" s="383">
        <f ca="1"/>
        <v>0</v>
      </c>
      <c r="L10" s="732"/>
      <c r="M10" s="732"/>
      <c r="N10" s="732"/>
      <c r="O10" s="732"/>
      <c r="P10" s="386"/>
      <c r="Q10" s="768">
        <f ca="1">IF(F10&lt;&gt;0,+F10/'DA-1'!D$78,0)</f>
        <v>0</v>
      </c>
      <c r="R10" s="768">
        <f ca="1">IF(G10&lt;&gt;0,+G10/'DA-1'!E$78,0)</f>
        <v>0</v>
      </c>
      <c r="S10" s="768">
        <f ca="1">IF(H10&lt;&gt;0,+H10/'DA-1'!F$78,0)</f>
        <v>0</v>
      </c>
      <c r="T10" s="768">
        <f ca="1">IF(I10&lt;&gt;0,+I10/'DA-1'!G$78,0)</f>
        <v>0</v>
      </c>
      <c r="U10" s="768">
        <f ca="1">IF(J10&lt;&gt;0,+J10/'DA-1'!H$78,0)</f>
        <v>0</v>
      </c>
      <c r="V10" s="768">
        <f ca="1">IF(K10&lt;&gt;0,+K10/'DA-1'!I$78,0)</f>
        <v>0</v>
      </c>
      <c r="W10" s="732"/>
    </row>
    <row r="11" spans="1:23">
      <c r="A11" s="5"/>
      <c r="B11" s="249"/>
      <c r="C11" s="794" t="str">
        <v>Total Output Growth</v>
      </c>
      <c r="D11" s="795" t="str">
        <v>Contracts</v>
      </c>
      <c r="E11" s="847">
        <f ca="1"/>
        <v>0</v>
      </c>
      <c r="F11" s="386">
        <f ca="1"/>
        <v>0</v>
      </c>
      <c r="G11" s="522">
        <f ca="1"/>
        <v>0</v>
      </c>
      <c r="H11" s="383">
        <f ca="1"/>
        <v>0</v>
      </c>
      <c r="I11" s="383">
        <f ca="1"/>
        <v>0</v>
      </c>
      <c r="J11" s="383">
        <f ca="1"/>
        <v>0</v>
      </c>
      <c r="K11" s="383">
        <f ca="1"/>
        <v>0</v>
      </c>
      <c r="L11" s="732"/>
      <c r="M11" s="732"/>
      <c r="N11" s="732"/>
      <c r="O11" s="732"/>
      <c r="P11" s="386"/>
      <c r="Q11" s="768">
        <f ca="1">IF(F11&lt;&gt;0,+F11/'DA-1'!D$79,0)</f>
        <v>0</v>
      </c>
      <c r="R11" s="768">
        <f ca="1">IF(G11&lt;&gt;0,+G11/'DA-1'!E$79,0)</f>
        <v>0</v>
      </c>
      <c r="S11" s="768">
        <f ca="1">IF(H11&lt;&gt;0,+H11/'DA-1'!F$79,0)</f>
        <v>0</v>
      </c>
      <c r="T11" s="768">
        <f ca="1">IF(I11&lt;&gt;0,+I11/'DA-1'!G$79,0)</f>
        <v>0</v>
      </c>
      <c r="U11" s="768">
        <f ca="1">IF(J11&lt;&gt;0,+J11/'DA-1'!H$79,0)</f>
        <v>0</v>
      </c>
      <c r="V11" s="768">
        <f ca="1">IF(K11&lt;&gt;0,+K11/'DA-1'!I$79,0)</f>
        <v>0</v>
      </c>
      <c r="W11" s="732"/>
    </row>
    <row r="12" spans="1:23" s="789" customFormat="1">
      <c r="A12" s="5"/>
      <c r="B12" s="249"/>
      <c r="C12" s="794" t="str">
        <v>Total Output Growth</v>
      </c>
      <c r="D12" s="795" t="str">
        <v>Services Other</v>
      </c>
      <c r="E12" s="847">
        <f ca="1"/>
        <v>0</v>
      </c>
      <c r="F12" s="386">
        <f ca="1"/>
        <v>0</v>
      </c>
      <c r="G12" s="383">
        <f ca="1"/>
        <v>0</v>
      </c>
      <c r="H12" s="383">
        <f ca="1"/>
        <v>0</v>
      </c>
      <c r="I12" s="383">
        <f ca="1"/>
        <v>0</v>
      </c>
      <c r="J12" s="383">
        <f ca="1"/>
        <v>0</v>
      </c>
      <c r="K12" s="383">
        <f ca="1"/>
        <v>0</v>
      </c>
      <c r="L12" s="732"/>
      <c r="M12" s="732"/>
      <c r="N12" s="732"/>
      <c r="O12" s="732"/>
      <c r="P12" s="386"/>
      <c r="Q12" s="768">
        <f ca="1">IF(F12&lt;&gt;0,+F12/'DA-1'!D$80,0)</f>
        <v>0</v>
      </c>
      <c r="R12" s="768">
        <f ca="1">IF(G12&lt;&gt;0,+G12/'DA-1'!E$80,0)</f>
        <v>0</v>
      </c>
      <c r="S12" s="768">
        <f ca="1">IF(H12&lt;&gt;0,+H12/'DA-1'!F$80,0)</f>
        <v>0</v>
      </c>
      <c r="T12" s="768">
        <f ca="1">IF(I12&lt;&gt;0,+I12/'DA-1'!G$80,0)</f>
        <v>0</v>
      </c>
      <c r="U12" s="768">
        <f ca="1">IF(J12&lt;&gt;0,+J12/'DA-1'!H$80,0)</f>
        <v>0</v>
      </c>
      <c r="V12" s="768">
        <f ca="1">IF(K12&lt;&gt;0,+K12/'DA-1'!I$80,0)</f>
        <v>0</v>
      </c>
      <c r="W12" s="732"/>
    </row>
    <row r="13" spans="1:23" s="789" customFormat="1">
      <c r="A13" s="5"/>
      <c r="B13" s="249"/>
      <c r="C13" s="794" t="str">
        <v>Total Output Growth</v>
      </c>
      <c r="D13" s="795" t="str">
        <v>Business Overheads</v>
      </c>
      <c r="E13" s="847">
        <f ca="1"/>
        <v>0</v>
      </c>
      <c r="F13" s="386">
        <f ca="1"/>
        <v>0</v>
      </c>
      <c r="G13" s="383">
        <f ca="1"/>
        <v>0</v>
      </c>
      <c r="H13" s="383">
        <f ca="1"/>
        <v>0</v>
      </c>
      <c r="I13" s="383">
        <f ca="1"/>
        <v>0</v>
      </c>
      <c r="J13" s="383">
        <f ca="1"/>
        <v>0</v>
      </c>
      <c r="K13" s="383">
        <f ca="1"/>
        <v>0</v>
      </c>
      <c r="L13" s="732"/>
      <c r="M13" s="732"/>
      <c r="N13" s="732"/>
      <c r="O13" s="732"/>
      <c r="P13" s="386"/>
      <c r="Q13" s="768">
        <f ca="1">IF(F13&lt;&gt;0,+F13/'DA-1'!D$81,0)</f>
        <v>0</v>
      </c>
      <c r="R13" s="768">
        <f ca="1">IF(G13&lt;&gt;0,+G13/'DA-1'!E$81,0)</f>
        <v>0</v>
      </c>
      <c r="S13" s="768">
        <f ca="1">IF(H13&lt;&gt;0,+H13/'DA-1'!F$81,0)</f>
        <v>0</v>
      </c>
      <c r="T13" s="768">
        <f ca="1">IF(I13&lt;&gt;0,+I13/'DA-1'!G$81,0)</f>
        <v>0</v>
      </c>
      <c r="U13" s="768">
        <f ca="1">IF(J13&lt;&gt;0,+J13/'DA-1'!H$81,0)</f>
        <v>0</v>
      </c>
      <c r="V13" s="768">
        <f ca="1">IF(K13&lt;&gt;0,+K13/'DA-1'!I$81,0)</f>
        <v>0</v>
      </c>
      <c r="W13" s="732"/>
    </row>
    <row r="14" spans="1:23" s="789" customFormat="1">
      <c r="A14" s="5"/>
      <c r="B14" s="249"/>
      <c r="C14" s="794" t="str">
        <v>Total Output Growth</v>
      </c>
      <c r="D14" s="795" t="str">
        <v>Other</v>
      </c>
      <c r="E14" s="847">
        <f ca="1"/>
        <v>0</v>
      </c>
      <c r="F14" s="386">
        <f ca="1"/>
        <v>0</v>
      </c>
      <c r="G14" s="383">
        <f ca="1"/>
        <v>3.5267501326825539E-2</v>
      </c>
      <c r="H14" s="383">
        <f ca="1"/>
        <v>6.7945867790885447E-2</v>
      </c>
      <c r="I14" s="383">
        <f ca="1"/>
        <v>0.10024807017253154</v>
      </c>
      <c r="J14" s="383">
        <f ca="1"/>
        <v>0.1352933653886137</v>
      </c>
      <c r="K14" s="383">
        <f ca="1"/>
        <v>0.16739511808665658</v>
      </c>
      <c r="L14" s="732"/>
      <c r="M14" s="732"/>
      <c r="N14" s="732"/>
      <c r="O14" s="732"/>
      <c r="P14" s="386"/>
      <c r="Q14" s="768">
        <f ca="1">IF(F14&lt;&gt;0,+F14/'DA-1'!D$82,0)</f>
        <v>0</v>
      </c>
      <c r="R14" s="768">
        <f ca="1">IF(G14&lt;&gt;0,+G14/'DA-1'!E$82,0)</f>
        <v>3.3239999999999994</v>
      </c>
      <c r="S14" s="768">
        <f ca="1">IF(H14&lt;&gt;0,+H14/'DA-1'!F$82,0)</f>
        <v>3.3239999999999998</v>
      </c>
      <c r="T14" s="768">
        <f ca="1">IF(I14&lt;&gt;0,+I14/'DA-1'!G$82,0)</f>
        <v>3.3239999999999998</v>
      </c>
      <c r="U14" s="768">
        <f ca="1">IF(J14&lt;&gt;0,+J14/'DA-1'!H$82,0)</f>
        <v>3.3240000000000003</v>
      </c>
      <c r="V14" s="768">
        <f ca="1">IF(K14&lt;&gt;0,+K14/'DA-1'!I$82,0)</f>
        <v>3.3239999999999998</v>
      </c>
      <c r="W14" s="732"/>
    </row>
    <row r="15" spans="1:23">
      <c r="A15" s="5"/>
      <c r="B15" s="249"/>
      <c r="C15" s="424" t="s">
        <v>73</v>
      </c>
      <c r="D15" s="417"/>
      <c r="E15" s="848"/>
      <c r="F15" s="387"/>
      <c r="G15" s="385"/>
      <c r="H15" s="385"/>
      <c r="I15" s="385"/>
      <c r="J15" s="385"/>
      <c r="K15" s="385"/>
      <c r="P15" s="387"/>
      <c r="Q15" s="385"/>
      <c r="R15" s="385"/>
      <c r="S15" s="385"/>
      <c r="T15" s="385"/>
      <c r="U15" s="385"/>
      <c r="V15" s="385"/>
    </row>
    <row r="16" spans="1:23">
      <c r="A16" s="5"/>
      <c r="B16" s="249"/>
      <c r="C16" s="425" t="str">
        <f t="array" ref="C16:D21">+'DA-1'!$A$113:$B$118</f>
        <v>Labour</v>
      </c>
      <c r="D16" s="426" t="str">
        <v>Labour</v>
      </c>
      <c r="E16" s="847">
        <f t="array" ref="E16:K21" ca="1">+'DA-1'!$N$113:$T$118</f>
        <v>0</v>
      </c>
      <c r="F16" s="386">
        <f ca="1"/>
        <v>0</v>
      </c>
      <c r="G16" s="383">
        <f ca="1"/>
        <v>0</v>
      </c>
      <c r="H16" s="383">
        <f ca="1"/>
        <v>0</v>
      </c>
      <c r="I16" s="383">
        <f ca="1"/>
        <v>0</v>
      </c>
      <c r="J16" s="383">
        <f ca="1"/>
        <v>0</v>
      </c>
      <c r="K16" s="383">
        <f ca="1"/>
        <v>0</v>
      </c>
      <c r="P16" s="386"/>
      <c r="Q16" s="768">
        <f ca="1">IF(F16&lt;&gt;0,+F16/'DA-1'!D$113,0)</f>
        <v>0</v>
      </c>
      <c r="R16" s="768">
        <f ca="1">IF(G16&lt;&gt;0,+G16/'DA-1'!E$113,0)</f>
        <v>0</v>
      </c>
      <c r="S16" s="768">
        <f ca="1">IF(H16&lt;&gt;0,+H16/'DA-1'!F$113,0)</f>
        <v>0</v>
      </c>
      <c r="T16" s="768">
        <f ca="1">IF(I16&lt;&gt;0,+I16/'DA-1'!G$113,0)</f>
        <v>0</v>
      </c>
      <c r="U16" s="768">
        <f ca="1">IF(J16&lt;&gt;0,+J16/'DA-1'!H$113,0)</f>
        <v>0</v>
      </c>
      <c r="V16" s="768">
        <f ca="1">IF(K16&lt;&gt;0,+K16/'DA-1'!I$113,0)</f>
        <v>0</v>
      </c>
    </row>
    <row r="17" spans="1:22">
      <c r="A17" s="5"/>
      <c r="B17" s="249"/>
      <c r="C17" s="425" t="str">
        <v>Materials</v>
      </c>
      <c r="D17" s="426" t="str">
        <v>Materials</v>
      </c>
      <c r="E17" s="847">
        <f ca="1"/>
        <v>0</v>
      </c>
      <c r="F17" s="386">
        <f ca="1"/>
        <v>0</v>
      </c>
      <c r="G17" s="383">
        <f ca="1"/>
        <v>0</v>
      </c>
      <c r="H17" s="383">
        <f ca="1"/>
        <v>0</v>
      </c>
      <c r="I17" s="383">
        <f ca="1"/>
        <v>0</v>
      </c>
      <c r="J17" s="383">
        <f ca="1"/>
        <v>0</v>
      </c>
      <c r="K17" s="383">
        <f ca="1"/>
        <v>0</v>
      </c>
      <c r="P17" s="386"/>
      <c r="Q17" s="768">
        <f ca="1">IF(F17&lt;&gt;0,+F17/'DA-1'!D$114,0)</f>
        <v>0</v>
      </c>
      <c r="R17" s="768">
        <f ca="1">IF(G17&lt;&gt;0,+G17/'DA-1'!E$114,0)</f>
        <v>0</v>
      </c>
      <c r="S17" s="768">
        <f ca="1">IF(H17&lt;&gt;0,+H17/'DA-1'!F$114,0)</f>
        <v>0</v>
      </c>
      <c r="T17" s="768">
        <f ca="1">IF(I17&lt;&gt;0,+I17/'DA-1'!G$114,0)</f>
        <v>0</v>
      </c>
      <c r="U17" s="768">
        <f ca="1">IF(J17&lt;&gt;0,+J17/'DA-1'!H$114,0)</f>
        <v>0</v>
      </c>
      <c r="V17" s="768">
        <f ca="1">IF(K17&lt;&gt;0,+K17/'DA-1'!I$114,0)</f>
        <v>0</v>
      </c>
    </row>
    <row r="18" spans="1:22">
      <c r="A18" s="5"/>
      <c r="B18" s="249"/>
      <c r="C18" s="425" t="str">
        <v>Services-construction</v>
      </c>
      <c r="D18" s="426" t="str">
        <v>Contracts</v>
      </c>
      <c r="E18" s="847">
        <f ca="1"/>
        <v>0</v>
      </c>
      <c r="F18" s="386">
        <f ca="1"/>
        <v>0</v>
      </c>
      <c r="G18" s="383">
        <f ca="1"/>
        <v>0</v>
      </c>
      <c r="H18" s="383">
        <f ca="1"/>
        <v>0</v>
      </c>
      <c r="I18" s="383">
        <f ca="1"/>
        <v>0</v>
      </c>
      <c r="J18" s="383">
        <f ca="1"/>
        <v>0</v>
      </c>
      <c r="K18" s="383">
        <f ca="1"/>
        <v>0</v>
      </c>
      <c r="P18" s="386"/>
      <c r="Q18" s="768">
        <f ca="1">IF(F18&lt;&gt;0,+F18/'DA-1'!D$115,0)</f>
        <v>0</v>
      </c>
      <c r="R18" s="768">
        <f ca="1">IF(G18&lt;&gt;0,+G18/'DA-1'!E$115,0)</f>
        <v>0</v>
      </c>
      <c r="S18" s="768">
        <f ca="1">IF(H18&lt;&gt;0,+H18/'DA-1'!F$115,0)</f>
        <v>0</v>
      </c>
      <c r="T18" s="768">
        <f ca="1">IF(I18&lt;&gt;0,+I18/'DA-1'!G$115,0)</f>
        <v>0</v>
      </c>
      <c r="U18" s="768">
        <f ca="1">IF(J18&lt;&gt;0,+J18/'DA-1'!H$115,0)</f>
        <v>0</v>
      </c>
      <c r="V18" s="768">
        <f ca="1">IF(K18&lt;&gt;0,+K18/'DA-1'!I$115,0)</f>
        <v>0</v>
      </c>
    </row>
    <row r="19" spans="1:22" s="766" customFormat="1">
      <c r="A19" s="5"/>
      <c r="B19" s="249"/>
      <c r="C19" s="425" t="str">
        <v>Services-general</v>
      </c>
      <c r="D19" s="426" t="str">
        <v>Services Other</v>
      </c>
      <c r="E19" s="847">
        <f ca="1"/>
        <v>0</v>
      </c>
      <c r="F19" s="386">
        <f ca="1"/>
        <v>0</v>
      </c>
      <c r="G19" s="383">
        <f ca="1"/>
        <v>0</v>
      </c>
      <c r="H19" s="383">
        <f ca="1"/>
        <v>0</v>
      </c>
      <c r="I19" s="383">
        <f ca="1"/>
        <v>0</v>
      </c>
      <c r="J19" s="383">
        <f ca="1"/>
        <v>0</v>
      </c>
      <c r="K19" s="383">
        <f ca="1"/>
        <v>0</v>
      </c>
      <c r="P19" s="386"/>
      <c r="Q19" s="768">
        <f ca="1">IF(F19&lt;&gt;0,+F19/'DA-1'!D$116,0)</f>
        <v>0</v>
      </c>
      <c r="R19" s="768">
        <f ca="1">IF(G19&lt;&gt;0,+G19/'DA-1'!E$116,0)</f>
        <v>0</v>
      </c>
      <c r="S19" s="768">
        <f ca="1">IF(H19&lt;&gt;0,+H19/'DA-1'!F$116,0)</f>
        <v>0</v>
      </c>
      <c r="T19" s="768">
        <f ca="1">IF(I19&lt;&gt;0,+I19/'DA-1'!G$116,0)</f>
        <v>0</v>
      </c>
      <c r="U19" s="768">
        <f ca="1">IF(J19&lt;&gt;0,+J19/'DA-1'!H$116,0)</f>
        <v>0</v>
      </c>
      <c r="V19" s="768">
        <f ca="1">IF(K19&lt;&gt;0,+K19/'DA-1'!I$116,0)</f>
        <v>0</v>
      </c>
    </row>
    <row r="20" spans="1:22" s="766" customFormat="1">
      <c r="A20" s="5"/>
      <c r="B20" s="249"/>
      <c r="C20" s="425" t="str">
        <v>Labour</v>
      </c>
      <c r="D20" s="426" t="str">
        <v>Business Overheads</v>
      </c>
      <c r="E20" s="847">
        <f ca="1"/>
        <v>0</v>
      </c>
      <c r="F20" s="386">
        <f ca="1"/>
        <v>0</v>
      </c>
      <c r="G20" s="383">
        <f ca="1"/>
        <v>0</v>
      </c>
      <c r="H20" s="383">
        <f ca="1"/>
        <v>0</v>
      </c>
      <c r="I20" s="383">
        <f ca="1"/>
        <v>0</v>
      </c>
      <c r="J20" s="383">
        <f ca="1"/>
        <v>0</v>
      </c>
      <c r="K20" s="383">
        <f ca="1"/>
        <v>0</v>
      </c>
      <c r="P20" s="386"/>
      <c r="Q20" s="768">
        <f ca="1">IF(F20&lt;&gt;0,+F20/'DA-1'!D$117,0)</f>
        <v>0</v>
      </c>
      <c r="R20" s="768">
        <f ca="1">IF(G20&lt;&gt;0,+G20/'DA-1'!E$117,0)</f>
        <v>0</v>
      </c>
      <c r="S20" s="768">
        <f ca="1">IF(H20&lt;&gt;0,+H20/'DA-1'!F$117,0)</f>
        <v>0</v>
      </c>
      <c r="T20" s="768">
        <f ca="1">IF(I20&lt;&gt;0,+I20/'DA-1'!G$117,0)</f>
        <v>0</v>
      </c>
      <c r="U20" s="768">
        <f ca="1">IF(J20&lt;&gt;0,+J20/'DA-1'!H$117,0)</f>
        <v>0</v>
      </c>
      <c r="V20" s="768">
        <f ca="1">IF(K20&lt;&gt;0,+K20/'DA-1'!I$117,0)</f>
        <v>0</v>
      </c>
    </row>
    <row r="21" spans="1:22" s="766" customFormat="1">
      <c r="A21" s="5"/>
      <c r="B21" s="249"/>
      <c r="C21" s="425" t="str">
        <v>Materials - Land</v>
      </c>
      <c r="D21" s="426" t="str">
        <v>Other</v>
      </c>
      <c r="E21" s="847">
        <f ca="1"/>
        <v>0</v>
      </c>
      <c r="F21" s="386">
        <f ca="1"/>
        <v>0</v>
      </c>
      <c r="G21" s="383">
        <f ca="1"/>
        <v>0</v>
      </c>
      <c r="H21" s="383">
        <f ca="1"/>
        <v>0</v>
      </c>
      <c r="I21" s="383">
        <f ca="1"/>
        <v>0</v>
      </c>
      <c r="J21" s="383">
        <f ca="1"/>
        <v>0</v>
      </c>
      <c r="K21" s="383">
        <f ca="1"/>
        <v>0</v>
      </c>
      <c r="P21" s="386"/>
      <c r="Q21" s="768">
        <f ca="1">IF(F21&lt;&gt;0,+F21/'DA-1'!D$118,0)</f>
        <v>0</v>
      </c>
      <c r="R21" s="768">
        <f ca="1">IF(G21&lt;&gt;0,+G21/'DA-1'!E$118,0)</f>
        <v>0</v>
      </c>
      <c r="S21" s="768">
        <f ca="1">IF(H21&lt;&gt;0,+H21/'DA-1'!F$118,0)</f>
        <v>0</v>
      </c>
      <c r="T21" s="768">
        <f ca="1">IF(I21&lt;&gt;0,+I21/'DA-1'!G$118,0)</f>
        <v>0</v>
      </c>
      <c r="U21" s="768">
        <f ca="1">IF(J21&lt;&gt;0,+J21/'DA-1'!H$118,0)</f>
        <v>0</v>
      </c>
      <c r="V21" s="768">
        <f ca="1">IF(K21&lt;&gt;0,+K21/'DA-1'!I$118,0)</f>
        <v>0</v>
      </c>
    </row>
    <row r="22" spans="1:22">
      <c r="A22" s="5"/>
      <c r="B22" s="249" t="str">
        <f ca="1">+'I-4 History'!B16</f>
        <v>DA-2</v>
      </c>
      <c r="C22" s="14" t="str">
        <f ca="1">+'I-4 History'!C16</f>
        <v>Network Access, Monitoring and Control</v>
      </c>
      <c r="D22" s="418"/>
      <c r="E22" s="507"/>
      <c r="F22" s="11"/>
      <c r="G22" s="11"/>
      <c r="H22" s="11"/>
      <c r="I22" s="11"/>
      <c r="J22" s="11"/>
      <c r="K22" s="11"/>
      <c r="P22" s="11"/>
      <c r="Q22" s="11"/>
      <c r="R22" s="11"/>
      <c r="S22" s="11"/>
      <c r="T22" s="11"/>
      <c r="U22" s="11"/>
      <c r="V22" s="11"/>
    </row>
    <row r="23" spans="1:22" ht="15.75" customHeight="1">
      <c r="A23" s="5"/>
      <c r="B23" s="249"/>
      <c r="C23" s="424" t="s">
        <v>74</v>
      </c>
      <c r="D23" s="416"/>
      <c r="E23" s="507"/>
      <c r="F23" s="11"/>
      <c r="G23" s="11"/>
      <c r="H23" s="11"/>
      <c r="I23" s="11"/>
      <c r="J23" s="11"/>
      <c r="K23" s="11"/>
      <c r="P23" s="11"/>
      <c r="Q23" s="11"/>
      <c r="R23" s="11"/>
      <c r="S23" s="11"/>
      <c r="T23" s="11"/>
      <c r="U23" s="11"/>
      <c r="V23" s="11"/>
    </row>
    <row r="24" spans="1:22">
      <c r="A24" s="5"/>
      <c r="B24" s="249"/>
      <c r="C24" s="425" t="str">
        <f t="array" ref="C24:D29">+'DA-2'!$A$77:$B$82</f>
        <v>Total Output Growth</v>
      </c>
      <c r="D24" s="426" t="str">
        <v>Labour</v>
      </c>
      <c r="E24" s="847">
        <f t="array" ref="E24:K29" ca="1">+'DA-2'!$N$77:$T$82</f>
        <v>0</v>
      </c>
      <c r="F24" s="386">
        <f ca="1"/>
        <v>0</v>
      </c>
      <c r="G24" s="383">
        <f ca="1"/>
        <v>8.4109001714326975E-2</v>
      </c>
      <c r="H24" s="383">
        <f ca="1"/>
        <v>0.16204320962648186</v>
      </c>
      <c r="I24" s="383">
        <f ca="1"/>
        <v>0.23908030874832539</v>
      </c>
      <c r="J24" s="383">
        <f ca="1"/>
        <v>0.32265937402127387</v>
      </c>
      <c r="K24" s="383">
        <f ca="1"/>
        <v>0.39921842331969559</v>
      </c>
      <c r="P24" s="386"/>
      <c r="Q24" s="768">
        <f ca="1">IF(F24&lt;&gt;0,+F24/'DA-2'!D$77,0)</f>
        <v>0</v>
      </c>
      <c r="R24" s="768">
        <f ca="1">IF(G24&lt;&gt;0,+G24/'DA-2'!E$77,0)</f>
        <v>7.9273640371501743</v>
      </c>
      <c r="S24" s="768">
        <f ca="1">IF(H24&lt;&gt;0,+H24/'DA-2'!F$77,0)</f>
        <v>7.9273640371501743</v>
      </c>
      <c r="T24" s="768">
        <f ca="1">IF(I24&lt;&gt;0,+I24/'DA-2'!G$77,0)</f>
        <v>7.9273640371501743</v>
      </c>
      <c r="U24" s="768">
        <f ca="1">IF(J24&lt;&gt;0,+J24/'DA-2'!H$77,0)</f>
        <v>7.9273640371501752</v>
      </c>
      <c r="V24" s="768">
        <f ca="1">IF(K24&lt;&gt;0,+K24/'DA-2'!I$77,0)</f>
        <v>7.9273640371501743</v>
      </c>
    </row>
    <row r="25" spans="1:22">
      <c r="A25" s="5"/>
      <c r="B25" s="249"/>
      <c r="C25" s="425" t="str">
        <v>Total Output Growth</v>
      </c>
      <c r="D25" s="426" t="str">
        <v>Materials</v>
      </c>
      <c r="E25" s="847">
        <f ca="1"/>
        <v>0</v>
      </c>
      <c r="F25" s="386">
        <f ca="1"/>
        <v>0</v>
      </c>
      <c r="G25" s="383">
        <f ca="1"/>
        <v>-3.4431505817342857E-4</v>
      </c>
      <c r="H25" s="383">
        <f ca="1"/>
        <v>-6.6335250700814519E-4</v>
      </c>
      <c r="I25" s="383">
        <f ca="1"/>
        <v>-9.7871748251624857E-4</v>
      </c>
      <c r="J25" s="383">
        <f ca="1"/>
        <v>-1.3208631522422763E-3</v>
      </c>
      <c r="K25" s="383">
        <f ca="1"/>
        <v>-1.6342711463404667E-3</v>
      </c>
      <c r="P25" s="386"/>
      <c r="Q25" s="768">
        <f ca="1">IF(F25&lt;&gt;0,+F25/'DA-2'!D$78,0)</f>
        <v>0</v>
      </c>
      <c r="R25" s="768">
        <f ca="1">IF(G25&lt;&gt;0,+G25/'DA-2'!E$78,0)</f>
        <v>-3.2452065224647268E-2</v>
      </c>
      <c r="S25" s="768">
        <f ca="1">IF(H25&lt;&gt;0,+H25/'DA-2'!F$78,0)</f>
        <v>-3.2452065224647268E-2</v>
      </c>
      <c r="T25" s="768">
        <f ca="1">IF(I25&lt;&gt;0,+I25/'DA-2'!G$78,0)</f>
        <v>-3.2452065224647268E-2</v>
      </c>
      <c r="U25" s="768">
        <f ca="1">IF(J25&lt;&gt;0,+J25/'DA-2'!H$78,0)</f>
        <v>-3.2452065224647268E-2</v>
      </c>
      <c r="V25" s="768">
        <f ca="1">IF(K25&lt;&gt;0,+K25/'DA-2'!I$78,0)</f>
        <v>-3.2452065224647268E-2</v>
      </c>
    </row>
    <row r="26" spans="1:22">
      <c r="A26" s="5"/>
      <c r="B26" s="249"/>
      <c r="C26" s="425" t="str">
        <v>Total Output Growth</v>
      </c>
      <c r="D26" s="426" t="str">
        <v>Contracts</v>
      </c>
      <c r="E26" s="847">
        <f ca="1"/>
        <v>0</v>
      </c>
      <c r="F26" s="386">
        <f ca="1"/>
        <v>0</v>
      </c>
      <c r="G26" s="383">
        <f ca="1"/>
        <v>-1.5068382852541728E-4</v>
      </c>
      <c r="H26" s="383">
        <f ca="1"/>
        <v>-2.9030532660460581E-4</v>
      </c>
      <c r="I26" s="383">
        <f ca="1"/>
        <v>-4.2831962706674193E-4</v>
      </c>
      <c r="J26" s="383">
        <f ca="1"/>
        <v>-5.7805405837860928E-4</v>
      </c>
      <c r="K26" s="383">
        <f ca="1"/>
        <v>-7.1521191807755863E-4</v>
      </c>
      <c r="P26" s="386"/>
      <c r="Q26" s="768">
        <f ca="1">IF(F26&lt;&gt;0,+F26/'DA-2'!D$79,0)</f>
        <v>0</v>
      </c>
      <c r="R26" s="768">
        <f ca="1">IF(G26&lt;&gt;0,+G26/'DA-2'!E$79,0)</f>
        <v>-1.4202113196987609E-2</v>
      </c>
      <c r="S26" s="768">
        <f ca="1">IF(H26&lt;&gt;0,+H26/'DA-2'!F$79,0)</f>
        <v>-1.4202113196987611E-2</v>
      </c>
      <c r="T26" s="768">
        <f ca="1">IF(I26&lt;&gt;0,+I26/'DA-2'!G$79,0)</f>
        <v>-1.4202113196987609E-2</v>
      </c>
      <c r="U26" s="768">
        <f ca="1">IF(J26&lt;&gt;0,+J26/'DA-2'!H$79,0)</f>
        <v>-1.4202113196987611E-2</v>
      </c>
      <c r="V26" s="768">
        <f ca="1">IF(K26&lt;&gt;0,+K26/'DA-2'!I$79,0)</f>
        <v>-1.4202113196987609E-2</v>
      </c>
    </row>
    <row r="27" spans="1:22">
      <c r="A27" s="5"/>
      <c r="B27" s="249"/>
      <c r="C27" s="425" t="str">
        <v>Total Output Growth</v>
      </c>
      <c r="D27" s="426" t="str">
        <v>Services Other</v>
      </c>
      <c r="E27" s="847">
        <f ca="1"/>
        <v>0</v>
      </c>
      <c r="F27" s="386">
        <f ca="1"/>
        <v>0</v>
      </c>
      <c r="G27" s="383">
        <f ca="1"/>
        <v>7.9074973063060234E-3</v>
      </c>
      <c r="H27" s="383">
        <f ca="1"/>
        <v>1.5234472143405831E-2</v>
      </c>
      <c r="I27" s="383">
        <f ca="1"/>
        <v>2.2477105409469705E-2</v>
      </c>
      <c r="J27" s="383">
        <f ca="1"/>
        <v>3.0334780807331888E-2</v>
      </c>
      <c r="K27" s="383">
        <f ca="1"/>
        <v>3.7532470278867955E-2</v>
      </c>
      <c r="P27" s="386"/>
      <c r="Q27" s="768">
        <f ca="1">IF(F27&lt;&gt;0,+F27/'DA-2'!D$80,0)</f>
        <v>0</v>
      </c>
      <c r="R27" s="768">
        <f ca="1">IF(G27&lt;&gt;0,+G27/'DA-2'!E$80,0)</f>
        <v>0.74529014127146032</v>
      </c>
      <c r="S27" s="768">
        <f ca="1">IF(H27&lt;&gt;0,+H27/'DA-2'!F$80,0)</f>
        <v>0.74529014127146032</v>
      </c>
      <c r="T27" s="768">
        <f ca="1">IF(I27&lt;&gt;0,+I27/'DA-2'!G$80,0)</f>
        <v>0.74529014127146032</v>
      </c>
      <c r="U27" s="768">
        <f ca="1">IF(J27&lt;&gt;0,+J27/'DA-2'!H$80,0)</f>
        <v>0.74529014127146032</v>
      </c>
      <c r="V27" s="768">
        <f ca="1">IF(K27&lt;&gt;0,+K27/'DA-2'!I$80,0)</f>
        <v>0.74529014127146032</v>
      </c>
    </row>
    <row r="28" spans="1:22">
      <c r="A28" s="5"/>
      <c r="B28" s="249"/>
      <c r="C28" s="425" t="str">
        <v>Total Output Growth</v>
      </c>
      <c r="D28" s="426" t="str">
        <v>Business Overheads</v>
      </c>
      <c r="E28" s="847">
        <f ca="1"/>
        <v>0</v>
      </c>
      <c r="F28" s="386">
        <f ca="1"/>
        <v>0</v>
      </c>
      <c r="G28" s="383">
        <f ca="1"/>
        <v>6.1431658448351349E-3</v>
      </c>
      <c r="H28" s="383">
        <f ca="1"/>
        <v>1.1835336176571202E-2</v>
      </c>
      <c r="I28" s="383">
        <f ca="1"/>
        <v>1.7461983342327243E-2</v>
      </c>
      <c r="J28" s="383">
        <f ca="1"/>
        <v>2.3566443610110507E-2</v>
      </c>
      <c r="K28" s="383">
        <f ca="1"/>
        <v>2.9158174901376101E-2</v>
      </c>
      <c r="P28" s="386"/>
      <c r="Q28" s="768">
        <f ca="1">IF(F28&lt;&gt;0,+F28/'DA-2'!D$81,0)</f>
        <v>0</v>
      </c>
      <c r="R28" s="768">
        <f ca="1">IF(G28&lt;&gt;0,+G28/'DA-2'!E$81,0)</f>
        <v>0.57899999999999996</v>
      </c>
      <c r="S28" s="768">
        <f ca="1">IF(H28&lt;&gt;0,+H28/'DA-2'!F$81,0)</f>
        <v>0.57899999999999996</v>
      </c>
      <c r="T28" s="768">
        <f ca="1">IF(I28&lt;&gt;0,+I28/'DA-2'!G$81,0)</f>
        <v>0.57899999999999996</v>
      </c>
      <c r="U28" s="768">
        <f ca="1">IF(J28&lt;&gt;0,+J28/'DA-2'!H$81,0)</f>
        <v>0.57899999999999996</v>
      </c>
      <c r="V28" s="768">
        <f ca="1">IF(K28&lt;&gt;0,+K28/'DA-2'!I$81,0)</f>
        <v>0.57899999999999996</v>
      </c>
    </row>
    <row r="29" spans="1:22">
      <c r="A29" s="5"/>
      <c r="B29" s="249"/>
      <c r="C29" s="425" t="str">
        <v>Total Output Growth</v>
      </c>
      <c r="D29" s="426" t="str">
        <v>Other</v>
      </c>
      <c r="E29" s="847">
        <f ca="1"/>
        <v>0</v>
      </c>
      <c r="F29" s="386">
        <f ca="1"/>
        <v>0</v>
      </c>
      <c r="G29" s="383">
        <f ca="1"/>
        <v>0</v>
      </c>
      <c r="H29" s="383">
        <f ca="1"/>
        <v>0</v>
      </c>
      <c r="I29" s="383">
        <f ca="1"/>
        <v>0</v>
      </c>
      <c r="J29" s="383">
        <f ca="1"/>
        <v>0</v>
      </c>
      <c r="K29" s="383">
        <f ca="1"/>
        <v>0</v>
      </c>
      <c r="P29" s="386"/>
      <c r="Q29" s="768">
        <f ca="1">IF(F29&lt;&gt;0,+F29/'DA-2'!D$82,0)</f>
        <v>0</v>
      </c>
      <c r="R29" s="768">
        <f ca="1">IF(G29&lt;&gt;0,+G29/'DA-2'!E$82,0)</f>
        <v>0</v>
      </c>
      <c r="S29" s="768">
        <f ca="1">IF(H29&lt;&gt;0,+H29/'DA-2'!F$82,0)</f>
        <v>0</v>
      </c>
      <c r="T29" s="768">
        <f ca="1">IF(I29&lt;&gt;0,+I29/'DA-2'!G$82,0)</f>
        <v>0</v>
      </c>
      <c r="U29" s="768">
        <f ca="1">IF(J29&lt;&gt;0,+J29/'DA-2'!H$82,0)</f>
        <v>0</v>
      </c>
      <c r="V29" s="768">
        <f ca="1">IF(K29&lt;&gt;0,+K29/'DA-2'!I$82,0)</f>
        <v>0</v>
      </c>
    </row>
    <row r="30" spans="1:22">
      <c r="A30" s="5"/>
      <c r="B30" s="249"/>
      <c r="C30" s="424" t="s">
        <v>73</v>
      </c>
      <c r="D30" s="417"/>
      <c r="E30" s="848"/>
      <c r="F30" s="387"/>
      <c r="G30" s="385"/>
      <c r="H30" s="385"/>
      <c r="I30" s="385"/>
      <c r="J30" s="385"/>
      <c r="K30" s="385"/>
      <c r="P30" s="387"/>
      <c r="Q30" s="385"/>
      <c r="R30" s="385"/>
      <c r="S30" s="385"/>
      <c r="T30" s="385"/>
      <c r="U30" s="385"/>
      <c r="V30" s="385"/>
    </row>
    <row r="31" spans="1:22">
      <c r="A31" s="5"/>
      <c r="B31" s="249"/>
      <c r="C31" s="425" t="str">
        <f t="array" ref="C31:D36">+'DA-2'!$A$113:$B$119</f>
        <v>Labour</v>
      </c>
      <c r="D31" s="426" t="str">
        <v>Labour</v>
      </c>
      <c r="E31" s="847">
        <f t="array" ref="E31:K36" ca="1">+'DA-2'!$N$113:$T$119</f>
        <v>0</v>
      </c>
      <c r="F31" s="386">
        <f ca="1"/>
        <v>0</v>
      </c>
      <c r="G31" s="383">
        <f ca="1"/>
        <v>0.17190991529603419</v>
      </c>
      <c r="H31" s="383">
        <f ca="1"/>
        <v>0.3508891712066583</v>
      </c>
      <c r="I31" s="383">
        <f ca="1"/>
        <v>0.54708554777125418</v>
      </c>
      <c r="J31" s="383">
        <f ca="1"/>
        <v>0.75192291607602912</v>
      </c>
      <c r="K31" s="383">
        <f ca="1"/>
        <v>0.96453916099997117</v>
      </c>
      <c r="P31" s="386"/>
      <c r="Q31" s="768">
        <f ca="1">IF(F31&lt;&gt;0,+F31/'DA-2'!D$113,0)</f>
        <v>0</v>
      </c>
      <c r="R31" s="768">
        <f ca="1">IF(G31&lt;&gt;0,+G31/'DA-2'!E$113,0)</f>
        <v>8.0114730388645015</v>
      </c>
      <c r="S31" s="768">
        <f ca="1">IF(H31&lt;&gt;0,+H31/'DA-2'!F$113,0)</f>
        <v>8.0894072467766556</v>
      </c>
      <c r="T31" s="768">
        <f ca="1">IF(I31&lt;&gt;0,+I31/'DA-2'!G$113,0)</f>
        <v>8.1664443458984994</v>
      </c>
      <c r="U31" s="768">
        <f ca="1">IF(J31&lt;&gt;0,+J31/'DA-2'!H$113,0)</f>
        <v>8.2500234111714477</v>
      </c>
      <c r="V31" s="768">
        <f ca="1">IF(K31&lt;&gt;0,+K31/'DA-2'!I$113,0)</f>
        <v>8.3265824604698704</v>
      </c>
    </row>
    <row r="32" spans="1:22">
      <c r="A32" s="5"/>
      <c r="B32" s="249"/>
      <c r="C32" s="425" t="str">
        <v>Materials</v>
      </c>
      <c r="D32" s="426" t="str">
        <v>Materials</v>
      </c>
      <c r="E32" s="847">
        <f ca="1"/>
        <v>0</v>
      </c>
      <c r="F32" s="386">
        <f ca="1"/>
        <v>0</v>
      </c>
      <c r="G32" s="383">
        <f ca="1"/>
        <v>0</v>
      </c>
      <c r="H32" s="383">
        <f ca="1"/>
        <v>0</v>
      </c>
      <c r="I32" s="383">
        <f ca="1"/>
        <v>0</v>
      </c>
      <c r="J32" s="383">
        <f ca="1"/>
        <v>0</v>
      </c>
      <c r="K32" s="383">
        <f ca="1"/>
        <v>0</v>
      </c>
      <c r="P32" s="386"/>
      <c r="Q32" s="768">
        <f ca="1">IF(F32&lt;&gt;0,+F32/'DA-2'!D$114,0)</f>
        <v>0</v>
      </c>
      <c r="R32" s="768">
        <f ca="1">IF(G32&lt;&gt;0,+G32/'DA-2'!E$114,0)</f>
        <v>0</v>
      </c>
      <c r="S32" s="768">
        <f ca="1">IF(H32&lt;&gt;0,+H32/'DA-2'!F$114,0)</f>
        <v>0</v>
      </c>
      <c r="T32" s="768">
        <f ca="1">IF(I32&lt;&gt;0,+I32/'DA-2'!G$114,0)</f>
        <v>0</v>
      </c>
      <c r="U32" s="768">
        <f ca="1">IF(J32&lt;&gt;0,+J32/'DA-2'!H$114,0)</f>
        <v>0</v>
      </c>
      <c r="V32" s="768">
        <f ca="1">IF(K32&lt;&gt;0,+K32/'DA-2'!I$114,0)</f>
        <v>0</v>
      </c>
    </row>
    <row r="33" spans="1:22">
      <c r="A33" s="5"/>
      <c r="B33" s="249"/>
      <c r="C33" s="425" t="str">
        <v>Services-construction</v>
      </c>
      <c r="D33" s="426" t="str">
        <v>Contracts</v>
      </c>
      <c r="E33" s="847">
        <f ca="1"/>
        <v>0</v>
      </c>
      <c r="F33" s="386">
        <f ca="1"/>
        <v>0</v>
      </c>
      <c r="G33" s="383">
        <f ca="1"/>
        <v>-7.1763985127563601E-5</v>
      </c>
      <c r="H33" s="383">
        <f ca="1"/>
        <v>-1.4528649569900802E-4</v>
      </c>
      <c r="I33" s="383">
        <f ca="1"/>
        <v>-2.7966401527917723E-4</v>
      </c>
      <c r="J33" s="383">
        <f ca="1"/>
        <v>-4.4068450414284807E-4</v>
      </c>
      <c r="K33" s="383">
        <f ca="1"/>
        <v>-6.3680023281624564E-4</v>
      </c>
      <c r="P33" s="386"/>
      <c r="Q33" s="768">
        <f ca="1">IF(F33&lt;&gt;0,+F33/'DA-2'!D$115,0)</f>
        <v>0</v>
      </c>
      <c r="R33" s="768">
        <f ca="1">IF(G33&lt;&gt;0,+G33/'DA-2'!E$115,0)</f>
        <v>-1.4352797025513026E-2</v>
      </c>
      <c r="S33" s="768">
        <f ca="1">IF(H33&lt;&gt;0,+H33/'DA-2'!F$115,0)</f>
        <v>-1.4492418523592215E-2</v>
      </c>
      <c r="T33" s="768">
        <f ca="1">IF(I33&lt;&gt;0,+I33/'DA-2'!G$115,0)</f>
        <v>-1.4630432824054351E-2</v>
      </c>
      <c r="U33" s="768">
        <f ca="1">IF(J33&lt;&gt;0,+J33/'DA-2'!H$115,0)</f>
        <v>-1.4780167255366218E-2</v>
      </c>
      <c r="V33" s="768">
        <f ca="1">IF(K33&lt;&gt;0,+K33/'DA-2'!I$115,0)</f>
        <v>-1.4917325115065168E-2</v>
      </c>
    </row>
    <row r="34" spans="1:22" s="767" customFormat="1">
      <c r="A34" s="5"/>
      <c r="B34" s="249"/>
      <c r="C34" s="425" t="str">
        <v>Services-general</v>
      </c>
      <c r="D34" s="426" t="str">
        <v>Services Other</v>
      </c>
      <c r="E34" s="847">
        <f ca="1"/>
        <v>0</v>
      </c>
      <c r="F34" s="386">
        <f ca="1"/>
        <v>0</v>
      </c>
      <c r="G34" s="383">
        <f ca="1"/>
        <v>3.7659881928887515E-3</v>
      </c>
      <c r="H34" s="383">
        <f ca="1"/>
        <v>7.6242592494838264E-3</v>
      </c>
      <c r="I34" s="383">
        <f ca="1"/>
        <v>1.4676043667936107E-2</v>
      </c>
      <c r="J34" s="383">
        <f ca="1"/>
        <v>2.3125982154432564E-2</v>
      </c>
      <c r="K34" s="383">
        <f ca="1"/>
        <v>3.3417627989191456E-2</v>
      </c>
      <c r="P34" s="386"/>
      <c r="Q34" s="768">
        <f ca="1">IF(F34&lt;&gt;0,+F34/'DA-2'!D$116,0)</f>
        <v>0</v>
      </c>
      <c r="R34" s="768">
        <f ca="1">IF(G34&lt;&gt;0,+G34/'DA-2'!E$116,0)</f>
        <v>0.75319763857776634</v>
      </c>
      <c r="S34" s="768">
        <f ca="1">IF(H34&lt;&gt;0,+H34/'DA-2'!F$116,0)</f>
        <v>0.7605246134148661</v>
      </c>
      <c r="T34" s="768">
        <f ca="1">IF(I34&lt;&gt;0,+I34/'DA-2'!G$116,0)</f>
        <v>0.76776724668092999</v>
      </c>
      <c r="U34" s="768">
        <f ca="1">IF(J34&lt;&gt;0,+J34/'DA-2'!H$116,0)</f>
        <v>0.77562492207879219</v>
      </c>
      <c r="V34" s="768">
        <f ca="1">IF(K34&lt;&gt;0,+K34/'DA-2'!I$116,0)</f>
        <v>0.78282261155032817</v>
      </c>
    </row>
    <row r="35" spans="1:22" s="767" customFormat="1">
      <c r="A35" s="5"/>
      <c r="B35" s="249"/>
      <c r="C35" s="425" t="str">
        <v>Labour</v>
      </c>
      <c r="D35" s="426" t="str">
        <v>Business Overheads</v>
      </c>
      <c r="E35" s="847">
        <f ca="1"/>
        <v>0</v>
      </c>
      <c r="F35" s="386">
        <f ca="1"/>
        <v>0</v>
      </c>
      <c r="G35" s="383">
        <f ca="1"/>
        <v>1.2555982100726908E-2</v>
      </c>
      <c r="H35" s="383">
        <f ca="1"/>
        <v>2.5628295758408408E-2</v>
      </c>
      <c r="I35" s="383">
        <f ca="1"/>
        <v>3.9958116049055553E-2</v>
      </c>
      <c r="J35" s="383">
        <f ca="1"/>
        <v>5.4919058386592098E-2</v>
      </c>
      <c r="K35" s="383">
        <f ca="1"/>
        <v>7.044815547788924E-2</v>
      </c>
      <c r="P35" s="386"/>
      <c r="Q35" s="768">
        <f ca="1">IF(F35&lt;&gt;0,+F35/'DA-2'!D$117,0)</f>
        <v>0</v>
      </c>
      <c r="R35" s="768">
        <f ca="1">IF(G35&lt;&gt;0,+G35/'DA-2'!E$117,0)</f>
        <v>0.58514316584483506</v>
      </c>
      <c r="S35" s="768">
        <f ca="1">IF(H35&lt;&gt;0,+H35/'DA-2'!F$117,0)</f>
        <v>0.59083533617657114</v>
      </c>
      <c r="T35" s="768">
        <f ca="1">IF(I35&lt;&gt;0,+I35/'DA-2'!G$117,0)</f>
        <v>0.59646198334232725</v>
      </c>
      <c r="U35" s="768">
        <f ca="1">IF(J35&lt;&gt;0,+J35/'DA-2'!H$117,0)</f>
        <v>0.60256644361011047</v>
      </c>
      <c r="V35" s="768">
        <f ca="1">IF(K35&lt;&gt;0,+K35/'DA-2'!I$117,0)</f>
        <v>0.60815817490137603</v>
      </c>
    </row>
    <row r="36" spans="1:22" s="767" customFormat="1">
      <c r="A36" s="5"/>
      <c r="B36" s="249"/>
      <c r="C36" s="425" t="str">
        <v>Materials - Land</v>
      </c>
      <c r="D36" s="426" t="str">
        <v>Other</v>
      </c>
      <c r="E36" s="847">
        <f ca="1"/>
        <v>0</v>
      </c>
      <c r="F36" s="386">
        <f ca="1"/>
        <v>0</v>
      </c>
      <c r="G36" s="383">
        <f ca="1"/>
        <v>0</v>
      </c>
      <c r="H36" s="383">
        <f ca="1"/>
        <v>0</v>
      </c>
      <c r="I36" s="383">
        <f ca="1"/>
        <v>0</v>
      </c>
      <c r="J36" s="383">
        <f ca="1"/>
        <v>0</v>
      </c>
      <c r="K36" s="383">
        <f ca="1"/>
        <v>0</v>
      </c>
      <c r="P36" s="386"/>
      <c r="Q36" s="768">
        <f ca="1">IF(F36&lt;&gt;0,+F36/'DA-2'!D$118,0)</f>
        <v>0</v>
      </c>
      <c r="R36" s="768">
        <f ca="1">IF(G36&lt;&gt;0,+G36/'DA-2'!E$118,0)</f>
        <v>0</v>
      </c>
      <c r="S36" s="768">
        <f ca="1">IF(H36&lt;&gt;0,+H36/'DA-2'!F$118,0)</f>
        <v>0</v>
      </c>
      <c r="T36" s="768">
        <f ca="1">IF(I36&lt;&gt;0,+I36/'DA-2'!G$118,0)</f>
        <v>0</v>
      </c>
      <c r="U36" s="768">
        <f ca="1">IF(J36&lt;&gt;0,+J36/'DA-2'!H$118,0)</f>
        <v>0</v>
      </c>
      <c r="V36" s="768">
        <f ca="1">IF(K36&lt;&gt;0,+K36/'DA-2'!I$118,0)</f>
        <v>0</v>
      </c>
    </row>
    <row r="37" spans="1:22">
      <c r="A37" s="5"/>
      <c r="B37" s="249" t="str">
        <f ca="1">+'I-4 History'!B25</f>
        <v>DA-3</v>
      </c>
      <c r="C37" s="14" t="str">
        <f ca="1">+'I-4 History'!C25</f>
        <v>Customer Service</v>
      </c>
      <c r="D37" s="418"/>
      <c r="E37" s="507"/>
      <c r="F37" s="11"/>
      <c r="G37" s="11"/>
      <c r="H37" s="11"/>
      <c r="I37" s="11"/>
      <c r="J37" s="11"/>
      <c r="K37" s="11"/>
      <c r="P37" s="11"/>
      <c r="Q37" s="768"/>
      <c r="R37" s="768"/>
      <c r="S37" s="768"/>
      <c r="T37" s="768"/>
      <c r="U37" s="768"/>
      <c r="V37" s="768"/>
    </row>
    <row r="38" spans="1:22" ht="15.75" customHeight="1">
      <c r="A38" s="5"/>
      <c r="B38" s="249"/>
      <c r="C38" s="424" t="s">
        <v>74</v>
      </c>
      <c r="D38" s="416"/>
      <c r="E38" s="507"/>
      <c r="F38" s="11"/>
      <c r="G38" s="11"/>
      <c r="H38" s="11"/>
      <c r="I38" s="11"/>
      <c r="J38" s="11"/>
      <c r="K38" s="11"/>
      <c r="P38" s="11"/>
      <c r="Q38" s="11"/>
      <c r="R38" s="11"/>
      <c r="S38" s="11"/>
      <c r="T38" s="11"/>
      <c r="U38" s="11"/>
      <c r="V38" s="11"/>
    </row>
    <row r="39" spans="1:22">
      <c r="A39" s="5"/>
      <c r="B39" s="249"/>
      <c r="C39" s="425" t="str">
        <f t="array" ref="C39:D44">+'DA-3'!$A$77:$B$82</f>
        <v>Total Output Growth</v>
      </c>
      <c r="D39" s="426" t="str">
        <v>Labour</v>
      </c>
      <c r="E39" s="847">
        <f t="array" ref="E39:K44" ca="1">+'DA-3'!$N$77:$T$82</f>
        <v>0</v>
      </c>
      <c r="F39" s="386">
        <f ca="1"/>
        <v>0</v>
      </c>
      <c r="G39" s="383">
        <f ca="1"/>
        <v>2.7914800237929607E-2</v>
      </c>
      <c r="H39" s="383">
        <f ca="1"/>
        <v>5.3780258170222514E-2</v>
      </c>
      <c r="I39" s="383">
        <f ca="1"/>
        <v>7.9347976120316036E-2</v>
      </c>
      <c r="J39" s="383">
        <f ca="1"/>
        <v>0.10708689661174568</v>
      </c>
      <c r="K39" s="383">
        <f ca="1"/>
        <v>0.13249595538086448</v>
      </c>
      <c r="L39" s="790"/>
      <c r="M39" s="790"/>
      <c r="N39" s="790"/>
      <c r="O39" s="790"/>
      <c r="P39" s="386"/>
      <c r="Q39" s="768">
        <f ca="1">IF(F39&lt;&gt;0,+F39/'DA-3'!D$77,0)</f>
        <v>0</v>
      </c>
      <c r="R39" s="768">
        <f ca="1">IF(G39&lt;&gt;0,+G39/'DA-3'!E$77,0)</f>
        <v>2.6310000000000002</v>
      </c>
      <c r="S39" s="768">
        <f ca="1">IF(H39&lt;&gt;0,+H39/'DA-3'!F$77,0)</f>
        <v>2.6310000000000002</v>
      </c>
      <c r="T39" s="768">
        <f ca="1">IF(I39&lt;&gt;0,+I39/'DA-3'!G$77,0)</f>
        <v>2.6310000000000002</v>
      </c>
      <c r="U39" s="768">
        <f ca="1">IF(J39&lt;&gt;0,+J39/'DA-3'!H$77,0)</f>
        <v>2.6310000000000002</v>
      </c>
      <c r="V39" s="768">
        <f ca="1">IF(K39&lt;&gt;0,+K39/'DA-3'!I$77,0)</f>
        <v>2.6310000000000002</v>
      </c>
    </row>
    <row r="40" spans="1:22">
      <c r="A40" s="5"/>
      <c r="B40" s="249"/>
      <c r="C40" s="425" t="str">
        <v>Total Output Growth</v>
      </c>
      <c r="D40" s="426" t="str">
        <v>Materials</v>
      </c>
      <c r="E40" s="847">
        <f ca="1"/>
        <v>0</v>
      </c>
      <c r="F40" s="386">
        <f ca="1"/>
        <v>0</v>
      </c>
      <c r="G40" s="383">
        <f ca="1"/>
        <v>-3.6073858156199413E-4</v>
      </c>
      <c r="H40" s="383">
        <f ca="1"/>
        <v>-6.9499383420279948E-4</v>
      </c>
      <c r="I40" s="383">
        <f ca="1"/>
        <v>-1.0254014397912373E-3</v>
      </c>
      <c r="J40" s="383">
        <f ca="1"/>
        <v>-1.3838671549978537E-3</v>
      </c>
      <c r="K40" s="383">
        <f ca="1"/>
        <v>-1.7122244328960062E-3</v>
      </c>
      <c r="L40" s="790"/>
      <c r="M40" s="790"/>
      <c r="N40" s="790"/>
      <c r="O40" s="790"/>
      <c r="P40" s="386"/>
      <c r="Q40" s="768">
        <f ca="1">IF(F40&lt;&gt;0,+F40/'DA-3'!D$78,0)</f>
        <v>0</v>
      </c>
      <c r="R40" s="768">
        <f ca="1">IF(G40&lt;&gt;0,+G40/'DA-3'!E$78,0)</f>
        <v>-3.4000000000000002E-2</v>
      </c>
      <c r="S40" s="768">
        <f ca="1">IF(H40&lt;&gt;0,+H40/'DA-3'!F$78,0)</f>
        <v>-3.4000000000000002E-2</v>
      </c>
      <c r="T40" s="768">
        <f ca="1">IF(I40&lt;&gt;0,+I40/'DA-3'!G$78,0)</f>
        <v>-3.4000000000000002E-2</v>
      </c>
      <c r="U40" s="768">
        <f ca="1">IF(J40&lt;&gt;0,+J40/'DA-3'!H$78,0)</f>
        <v>-3.4000000000000002E-2</v>
      </c>
      <c r="V40" s="768">
        <f ca="1">IF(K40&lt;&gt;0,+K40/'DA-3'!I$78,0)</f>
        <v>-3.4000000000000002E-2</v>
      </c>
    </row>
    <row r="41" spans="1:22">
      <c r="A41" s="5"/>
      <c r="B41" s="249"/>
      <c r="C41" s="425" t="str">
        <v>Total Output Growth</v>
      </c>
      <c r="D41" s="426" t="str">
        <v>Contracts</v>
      </c>
      <c r="E41" s="847">
        <f ca="1"/>
        <v>0</v>
      </c>
      <c r="F41" s="386">
        <f ca="1"/>
        <v>0</v>
      </c>
      <c r="G41" s="383">
        <f ca="1"/>
        <v>0</v>
      </c>
      <c r="H41" s="383">
        <f ca="1"/>
        <v>0</v>
      </c>
      <c r="I41" s="383">
        <f ca="1"/>
        <v>0</v>
      </c>
      <c r="J41" s="383">
        <f ca="1"/>
        <v>0</v>
      </c>
      <c r="K41" s="383">
        <f ca="1"/>
        <v>0</v>
      </c>
      <c r="L41" s="790"/>
      <c r="M41" s="790"/>
      <c r="N41" s="790"/>
      <c r="O41" s="790"/>
      <c r="P41" s="386"/>
      <c r="Q41" s="768">
        <f ca="1">IF(F41&lt;&gt;0,+F41/'DA-3'!D$79,0)</f>
        <v>0</v>
      </c>
      <c r="R41" s="768">
        <f ca="1">IF(G41&lt;&gt;0,+G41/'DA-3'!E$79,0)</f>
        <v>0</v>
      </c>
      <c r="S41" s="768">
        <f ca="1">IF(H41&lt;&gt;0,+H41/'DA-3'!F$79,0)</f>
        <v>0</v>
      </c>
      <c r="T41" s="768">
        <f ca="1">IF(I41&lt;&gt;0,+I41/'DA-3'!G$79,0)</f>
        <v>0</v>
      </c>
      <c r="U41" s="768">
        <f ca="1">IF(J41&lt;&gt;0,+J41/'DA-3'!H$79,0)</f>
        <v>0</v>
      </c>
      <c r="V41" s="768">
        <f ca="1">IF(K41&lt;&gt;0,+K41/'DA-3'!I$79,0)</f>
        <v>0</v>
      </c>
    </row>
    <row r="42" spans="1:22" s="790" customFormat="1">
      <c r="A42" s="5"/>
      <c r="B42" s="249"/>
      <c r="C42" s="425" t="str">
        <v>Total Output Growth</v>
      </c>
      <c r="D42" s="426" t="str">
        <v>Services Other</v>
      </c>
      <c r="E42" s="847">
        <f ca="1"/>
        <v>0</v>
      </c>
      <c r="F42" s="386">
        <f ca="1"/>
        <v>0</v>
      </c>
      <c r="G42" s="383">
        <f ca="1"/>
        <v>6.7903732999904779E-4</v>
      </c>
      <c r="H42" s="383">
        <f ca="1"/>
        <v>1.3082236879111519E-3</v>
      </c>
      <c r="I42" s="383">
        <f ca="1"/>
        <v>1.9301674160776231E-3</v>
      </c>
      <c r="J42" s="383">
        <f ca="1"/>
        <v>2.6049264094077243E-3</v>
      </c>
      <c r="K42" s="383">
        <f ca="1"/>
        <v>3.2230106972160116E-3</v>
      </c>
      <c r="P42" s="386"/>
      <c r="Q42" s="768">
        <f ca="1">IF(F42&lt;&gt;0,+F42/'DA-3'!D$80,0)</f>
        <v>0</v>
      </c>
      <c r="R42" s="768">
        <f ca="1">IF(G42&lt;&gt;0,+G42/'DA-3'!E$80,0)</f>
        <v>6.4000000000000001E-2</v>
      </c>
      <c r="S42" s="768">
        <f ca="1">IF(H42&lt;&gt;0,+H42/'DA-3'!F$80,0)</f>
        <v>6.4000000000000001E-2</v>
      </c>
      <c r="T42" s="768">
        <f ca="1">IF(I42&lt;&gt;0,+I42/'DA-3'!G$80,0)</f>
        <v>6.4000000000000001E-2</v>
      </c>
      <c r="U42" s="768">
        <f ca="1">IF(J42&lt;&gt;0,+J42/'DA-3'!H$80,0)</f>
        <v>6.4000000000000001E-2</v>
      </c>
      <c r="V42" s="768">
        <f ca="1">IF(K42&lt;&gt;0,+K42/'DA-3'!I$80,0)</f>
        <v>6.4000000000000001E-2</v>
      </c>
    </row>
    <row r="43" spans="1:22" s="790" customFormat="1">
      <c r="A43" s="5"/>
      <c r="B43" s="249"/>
      <c r="C43" s="425" t="str">
        <v>Total Output Growth</v>
      </c>
      <c r="D43" s="426" t="str">
        <v>Business Overheads</v>
      </c>
      <c r="E43" s="847">
        <f ca="1"/>
        <v>0</v>
      </c>
      <c r="F43" s="386">
        <f ca="1"/>
        <v>0</v>
      </c>
      <c r="G43" s="383">
        <f ca="1"/>
        <v>2.7585891531211318E-3</v>
      </c>
      <c r="H43" s="383">
        <f ca="1"/>
        <v>5.314658732139055E-3</v>
      </c>
      <c r="I43" s="383">
        <f ca="1"/>
        <v>7.8413051278153432E-3</v>
      </c>
      <c r="J43" s="383">
        <f ca="1"/>
        <v>1.0582513538218881E-2</v>
      </c>
      <c r="K43" s="383">
        <f ca="1"/>
        <v>1.3093480957440047E-2</v>
      </c>
      <c r="P43" s="386"/>
      <c r="Q43" s="768">
        <f ca="1">IF(F43&lt;&gt;0,+F43/'DA-3'!D$81,0)</f>
        <v>0</v>
      </c>
      <c r="R43" s="768">
        <f ca="1">IF(G43&lt;&gt;0,+G43/'DA-3'!E$81,0)</f>
        <v>0.26</v>
      </c>
      <c r="S43" s="768">
        <f ca="1">IF(H43&lt;&gt;0,+H43/'DA-3'!F$81,0)</f>
        <v>0.26</v>
      </c>
      <c r="T43" s="768">
        <f ca="1">IF(I43&lt;&gt;0,+I43/'DA-3'!G$81,0)</f>
        <v>0.26</v>
      </c>
      <c r="U43" s="768">
        <f ca="1">IF(J43&lt;&gt;0,+J43/'DA-3'!H$81,0)</f>
        <v>0.26</v>
      </c>
      <c r="V43" s="768">
        <f ca="1">IF(K43&lt;&gt;0,+K43/'DA-3'!I$81,0)</f>
        <v>0.26</v>
      </c>
    </row>
    <row r="44" spans="1:22" s="790" customFormat="1">
      <c r="A44" s="5"/>
      <c r="B44" s="249"/>
      <c r="C44" s="425" t="str">
        <v>Total Output Growth</v>
      </c>
      <c r="D44" s="426" t="str">
        <v>Other</v>
      </c>
      <c r="E44" s="847">
        <f ca="1"/>
        <v>0</v>
      </c>
      <c r="F44" s="386">
        <f ca="1"/>
        <v>0</v>
      </c>
      <c r="G44" s="383">
        <f ca="1"/>
        <v>0</v>
      </c>
      <c r="H44" s="383">
        <f ca="1"/>
        <v>0</v>
      </c>
      <c r="I44" s="383">
        <f ca="1"/>
        <v>0</v>
      </c>
      <c r="J44" s="383">
        <f ca="1"/>
        <v>0</v>
      </c>
      <c r="K44" s="383">
        <f ca="1"/>
        <v>0</v>
      </c>
      <c r="P44" s="386"/>
      <c r="Q44" s="768">
        <f ca="1">IF(F44&lt;&gt;0,+F44/'DA-3'!D$82,0)</f>
        <v>0</v>
      </c>
      <c r="R44" s="768">
        <f ca="1">IF(G44&lt;&gt;0,+G44/'DA-3'!E$82,0)</f>
        <v>0</v>
      </c>
      <c r="S44" s="768">
        <f ca="1">IF(H44&lt;&gt;0,+H44/'DA-3'!F$82,0)</f>
        <v>0</v>
      </c>
      <c r="T44" s="768">
        <f ca="1">IF(I44&lt;&gt;0,+I44/'DA-3'!G$82,0)</f>
        <v>0</v>
      </c>
      <c r="U44" s="768">
        <f ca="1">IF(J44&lt;&gt;0,+J44/'DA-3'!H$82,0)</f>
        <v>0</v>
      </c>
      <c r="V44" s="768">
        <f ca="1">IF(K44&lt;&gt;0,+K44/'DA-3'!I$82,0)</f>
        <v>0</v>
      </c>
    </row>
    <row r="45" spans="1:22">
      <c r="A45" s="5"/>
      <c r="B45" s="249"/>
      <c r="C45" s="424" t="s">
        <v>73</v>
      </c>
      <c r="D45" s="417"/>
      <c r="E45" s="848"/>
      <c r="F45" s="387"/>
      <c r="G45" s="385"/>
      <c r="H45" s="385"/>
      <c r="I45" s="385"/>
      <c r="J45" s="385"/>
      <c r="K45" s="385"/>
      <c r="P45" s="387"/>
      <c r="Q45" s="385"/>
      <c r="R45" s="385"/>
      <c r="S45" s="385"/>
      <c r="T45" s="385"/>
      <c r="U45" s="385"/>
      <c r="V45" s="385"/>
    </row>
    <row r="46" spans="1:22" s="767" customFormat="1">
      <c r="A46" s="5"/>
      <c r="B46" s="249"/>
      <c r="C46" s="425" t="str">
        <f t="array" ref="C46:D51">+'DA-3'!$A$113:$B$119</f>
        <v>Labour</v>
      </c>
      <c r="D46" s="426" t="str">
        <v>Labour</v>
      </c>
      <c r="E46" s="847">
        <f t="array" ref="E46:K51" ca="1">+'DA-3'!$N$113:$T$119</f>
        <v>0</v>
      </c>
      <c r="F46" s="386">
        <f ca="1"/>
        <v>0</v>
      </c>
      <c r="G46" s="383">
        <f ca="1"/>
        <v>5.7054903120919688E-2</v>
      </c>
      <c r="H46" s="383">
        <f ca="1"/>
        <v>0.11645603823898538</v>
      </c>
      <c r="I46" s="383">
        <f ca="1"/>
        <v>0.18157133562187419</v>
      </c>
      <c r="J46" s="383">
        <f ca="1"/>
        <v>0.24955447774632783</v>
      </c>
      <c r="K46" s="383">
        <f ca="1"/>
        <v>0.32011933862232578</v>
      </c>
      <c r="P46" s="386"/>
      <c r="Q46" s="768">
        <f ca="1">IF(F46&lt;&gt;0,+F46/'DA-3'!D$113,0)</f>
        <v>0</v>
      </c>
      <c r="R46" s="768">
        <f ca="1">IF(G46&lt;&gt;0,+G46/'DA-3'!E$113,0)</f>
        <v>2.6589148002379299</v>
      </c>
      <c r="S46" s="768">
        <f ca="1">IF(H46&lt;&gt;0,+H46/'DA-3'!F$113,0)</f>
        <v>2.6847802581702229</v>
      </c>
      <c r="T46" s="768">
        <f ca="1">IF(I46&lt;&gt;0,+I46/'DA-3'!G$113,0)</f>
        <v>2.7103479761203162</v>
      </c>
      <c r="U46" s="768">
        <f ca="1">IF(J46&lt;&gt;0,+J46/'DA-3'!H$113,0)</f>
        <v>2.7380868966117458</v>
      </c>
      <c r="V46" s="768">
        <f ca="1">IF(K46&lt;&gt;0,+K46/'DA-3'!I$113,0)</f>
        <v>2.7634959553808649</v>
      </c>
    </row>
    <row r="47" spans="1:22" s="767" customFormat="1">
      <c r="A47" s="5"/>
      <c r="B47" s="249"/>
      <c r="C47" s="425" t="str">
        <v>Materials</v>
      </c>
      <c r="D47" s="426" t="str">
        <v>Materials</v>
      </c>
      <c r="E47" s="847">
        <f ca="1"/>
        <v>0</v>
      </c>
      <c r="F47" s="386">
        <f ca="1"/>
        <v>0</v>
      </c>
      <c r="G47" s="383">
        <f ca="1"/>
        <v>0</v>
      </c>
      <c r="H47" s="383">
        <f ca="1"/>
        <v>0</v>
      </c>
      <c r="I47" s="383">
        <f ca="1"/>
        <v>0</v>
      </c>
      <c r="J47" s="383">
        <f ca="1"/>
        <v>0</v>
      </c>
      <c r="K47" s="383">
        <f ca="1"/>
        <v>0</v>
      </c>
      <c r="P47" s="386"/>
      <c r="Q47" s="768">
        <f ca="1">IF(F47&lt;&gt;0,+F47/'DA-3'!D$114,0)</f>
        <v>0</v>
      </c>
      <c r="R47" s="768">
        <f ca="1">IF(G47&lt;&gt;0,+G47/'DA-3'!E$114,0)</f>
        <v>0</v>
      </c>
      <c r="S47" s="768">
        <f ca="1">IF(H47&lt;&gt;0,+H47/'DA-3'!F$114,0)</f>
        <v>0</v>
      </c>
      <c r="T47" s="768">
        <f ca="1">IF(I47&lt;&gt;0,+I47/'DA-3'!G$114,0)</f>
        <v>0</v>
      </c>
      <c r="U47" s="768">
        <f ca="1">IF(J47&lt;&gt;0,+J47/'DA-3'!H$114,0)</f>
        <v>0</v>
      </c>
      <c r="V47" s="768">
        <f ca="1">IF(K47&lt;&gt;0,+K47/'DA-3'!I$114,0)</f>
        <v>0</v>
      </c>
    </row>
    <row r="48" spans="1:22" s="767" customFormat="1">
      <c r="A48" s="5"/>
      <c r="B48" s="249"/>
      <c r="C48" s="425" t="str">
        <v>Services-construction</v>
      </c>
      <c r="D48" s="426" t="str">
        <v>Contracts</v>
      </c>
      <c r="E48" s="847">
        <f ca="1"/>
        <v>0</v>
      </c>
      <c r="F48" s="386">
        <f ca="1"/>
        <v>0</v>
      </c>
      <c r="G48" s="383">
        <f ca="1"/>
        <v>0</v>
      </c>
      <c r="H48" s="383">
        <f ca="1"/>
        <v>0</v>
      </c>
      <c r="I48" s="383">
        <f ca="1"/>
        <v>0</v>
      </c>
      <c r="J48" s="383">
        <f ca="1"/>
        <v>0</v>
      </c>
      <c r="K48" s="383">
        <f ca="1"/>
        <v>0</v>
      </c>
      <c r="P48" s="386"/>
      <c r="Q48" s="768">
        <f ca="1">IF(F48&lt;&gt;0,+F48/'DA-3'!D$115,0)</f>
        <v>0</v>
      </c>
      <c r="R48" s="768">
        <f ca="1">IF(G48&lt;&gt;0,+G48/'DA-3'!E$115,0)</f>
        <v>0</v>
      </c>
      <c r="S48" s="768">
        <f ca="1">IF(H48&lt;&gt;0,+H48/'DA-3'!F$115,0)</f>
        <v>0</v>
      </c>
      <c r="T48" s="768">
        <f ca="1">IF(I48&lt;&gt;0,+I48/'DA-3'!G$115,0)</f>
        <v>0</v>
      </c>
      <c r="U48" s="768">
        <f ca="1">IF(J48&lt;&gt;0,+J48/'DA-3'!H$115,0)</f>
        <v>0</v>
      </c>
      <c r="V48" s="768">
        <f ca="1">IF(K48&lt;&gt;0,+K48/'DA-3'!I$115,0)</f>
        <v>0</v>
      </c>
    </row>
    <row r="49" spans="1:22" s="767" customFormat="1">
      <c r="A49" s="5"/>
      <c r="B49" s="249"/>
      <c r="C49" s="425" t="str">
        <v>Services-general</v>
      </c>
      <c r="D49" s="426" t="str">
        <v>Services Other</v>
      </c>
      <c r="E49" s="847">
        <f ca="1"/>
        <v>0</v>
      </c>
      <c r="F49" s="386">
        <f ca="1"/>
        <v>0</v>
      </c>
      <c r="G49" s="383">
        <f ca="1"/>
        <v>3.2339518664998836E-4</v>
      </c>
      <c r="H49" s="383">
        <f ca="1"/>
        <v>6.5471494247129158E-4</v>
      </c>
      <c r="I49" s="383">
        <f ca="1"/>
        <v>1.2602699844459604E-3</v>
      </c>
      <c r="J49" s="383">
        <f ca="1"/>
        <v>1.9858881473444772E-3</v>
      </c>
      <c r="K49" s="383">
        <f ca="1"/>
        <v>2.8696585032771216E-3</v>
      </c>
      <c r="P49" s="386"/>
      <c r="Q49" s="768">
        <f ca="1">IF(F49&lt;&gt;0,+F49/'DA-3'!D$116,0)</f>
        <v>0</v>
      </c>
      <c r="R49" s="768">
        <f ca="1">IF(G49&lt;&gt;0,+G49/'DA-3'!E$116,0)</f>
        <v>6.4679037329999051E-2</v>
      </c>
      <c r="S49" s="768">
        <f ca="1">IF(H49&lt;&gt;0,+H49/'DA-3'!F$116,0)</f>
        <v>6.5308223687911157E-2</v>
      </c>
      <c r="T49" s="768">
        <f ca="1">IF(I49&lt;&gt;0,+I49/'DA-3'!G$116,0)</f>
        <v>6.5930167416077629E-2</v>
      </c>
      <c r="U49" s="768">
        <f ca="1">IF(J49&lt;&gt;0,+J49/'DA-3'!H$116,0)</f>
        <v>6.6604926409407711E-2</v>
      </c>
      <c r="V49" s="768">
        <f ca="1">IF(K49&lt;&gt;0,+K49/'DA-3'!I$116,0)</f>
        <v>6.7223010697216007E-2</v>
      </c>
    </row>
    <row r="50" spans="1:22" s="767" customFormat="1">
      <c r="A50" s="5"/>
      <c r="B50" s="249"/>
      <c r="C50" s="425" t="str">
        <v>Labour</v>
      </c>
      <c r="D50" s="426" t="str">
        <v>Business Overheads</v>
      </c>
      <c r="E50" s="847">
        <f ca="1"/>
        <v>0</v>
      </c>
      <c r="F50" s="386">
        <f ca="1"/>
        <v>0</v>
      </c>
      <c r="G50" s="383">
        <f ca="1"/>
        <v>5.6382648466131195E-3</v>
      </c>
      <c r="H50" s="383">
        <f ca="1"/>
        <v>1.1508388423464917E-2</v>
      </c>
      <c r="I50" s="383">
        <f ca="1"/>
        <v>1.7943195462442909E-2</v>
      </c>
      <c r="J50" s="383">
        <f ca="1"/>
        <v>2.4661407911077626E-2</v>
      </c>
      <c r="K50" s="383">
        <f ca="1"/>
        <v>3.1634750300951996E-2</v>
      </c>
      <c r="P50" s="386"/>
      <c r="Q50" s="768">
        <f ca="1">IF(F50&lt;&gt;0,+F50/'DA-3'!D$117,0)</f>
        <v>0</v>
      </c>
      <c r="R50" s="768">
        <f ca="1">IF(G50&lt;&gt;0,+G50/'DA-3'!E$117,0)</f>
        <v>0.26275858915312111</v>
      </c>
      <c r="S50" s="768">
        <f ca="1">IF(H50&lt;&gt;0,+H50/'DA-3'!F$117,0)</f>
        <v>0.26531465873213905</v>
      </c>
      <c r="T50" s="768">
        <f ca="1">IF(I50&lt;&gt;0,+I50/'DA-3'!G$117,0)</f>
        <v>0.26784130512781534</v>
      </c>
      <c r="U50" s="768">
        <f ca="1">IF(J50&lt;&gt;0,+J50/'DA-3'!H$117,0)</f>
        <v>0.27058251353821888</v>
      </c>
      <c r="V50" s="768">
        <f ca="1">IF(K50&lt;&gt;0,+K50/'DA-3'!I$117,0)</f>
        <v>0.27309348095744007</v>
      </c>
    </row>
    <row r="51" spans="1:22" s="767" customFormat="1">
      <c r="A51" s="5"/>
      <c r="B51" s="249"/>
      <c r="C51" s="425" t="str">
        <v>Materials - Land</v>
      </c>
      <c r="D51" s="426" t="str">
        <v>Other</v>
      </c>
      <c r="E51" s="847">
        <f ca="1"/>
        <v>0</v>
      </c>
      <c r="F51" s="386">
        <f ca="1"/>
        <v>0</v>
      </c>
      <c r="G51" s="383">
        <f ca="1"/>
        <v>0</v>
      </c>
      <c r="H51" s="383">
        <f ca="1"/>
        <v>0</v>
      </c>
      <c r="I51" s="383">
        <f ca="1"/>
        <v>0</v>
      </c>
      <c r="J51" s="383">
        <f ca="1"/>
        <v>0</v>
      </c>
      <c r="K51" s="383">
        <f ca="1"/>
        <v>0</v>
      </c>
      <c r="P51" s="386"/>
      <c r="Q51" s="768">
        <f ca="1">IF(F51&lt;&gt;0,+F51/'DA-3'!D$118,0)</f>
        <v>0</v>
      </c>
      <c r="R51" s="768">
        <f ca="1">IF(G51&lt;&gt;0,+G51/'DA-3'!E$118,0)</f>
        <v>0</v>
      </c>
      <c r="S51" s="768">
        <f ca="1">IF(H51&lt;&gt;0,+H51/'DA-3'!F$118,0)</f>
        <v>0</v>
      </c>
      <c r="T51" s="768">
        <f ca="1">IF(I51&lt;&gt;0,+I51/'DA-3'!G$118,0)</f>
        <v>0</v>
      </c>
      <c r="U51" s="768">
        <f ca="1">IF(J51&lt;&gt;0,+J51/'DA-3'!H$118,0)</f>
        <v>0</v>
      </c>
      <c r="V51" s="768">
        <f ca="1">IF(K51&lt;&gt;0,+K51/'DA-3'!I$118,0)</f>
        <v>0</v>
      </c>
    </row>
    <row r="52" spans="1:22">
      <c r="A52" s="5"/>
      <c r="B52" s="249" t="str">
        <f ca="1">+'I-4 History'!B34</f>
        <v>DA-4</v>
      </c>
      <c r="C52" s="14" t="str">
        <f ca="1">+'I-4 History'!C34</f>
        <v>Standards Development and Maintenance</v>
      </c>
      <c r="D52" s="418"/>
      <c r="E52" s="507"/>
      <c r="F52" s="11"/>
      <c r="G52" s="11"/>
      <c r="H52" s="11"/>
      <c r="I52" s="11"/>
      <c r="J52" s="11"/>
      <c r="K52" s="11"/>
      <c r="P52" s="11"/>
      <c r="Q52" s="11"/>
      <c r="R52" s="11"/>
      <c r="S52" s="11"/>
      <c r="T52" s="11"/>
      <c r="U52" s="11"/>
      <c r="V52" s="11"/>
    </row>
    <row r="53" spans="1:22" ht="15.75" customHeight="1">
      <c r="A53" s="5"/>
      <c r="B53" s="249"/>
      <c r="C53" s="424" t="s">
        <v>74</v>
      </c>
      <c r="D53" s="416"/>
      <c r="E53" s="507"/>
      <c r="F53" s="11"/>
      <c r="G53" s="11"/>
      <c r="H53" s="11"/>
      <c r="I53" s="11"/>
      <c r="J53" s="11"/>
      <c r="K53" s="11"/>
      <c r="P53" s="11"/>
      <c r="Q53" s="11"/>
      <c r="R53" s="11"/>
      <c r="S53" s="11"/>
      <c r="T53" s="11"/>
      <c r="U53" s="11"/>
      <c r="V53" s="11"/>
    </row>
    <row r="54" spans="1:22">
      <c r="A54" s="5"/>
      <c r="B54" s="249"/>
      <c r="C54" s="425" t="str">
        <f t="array" ref="C54:D59">+'DA-4'!$A$77:$B$82</f>
        <v>Total Output Growth</v>
      </c>
      <c r="D54" s="426" t="str">
        <v>Labour</v>
      </c>
      <c r="E54" s="847">
        <f t="array" ref="E54:K59" ca="1">+'DA-4'!$N$77:$T$82</f>
        <v>0</v>
      </c>
      <c r="F54" s="386">
        <f ca="1"/>
        <v>0</v>
      </c>
      <c r="G54" s="383">
        <f ca="1"/>
        <v>6.8434230913966537E-3</v>
      </c>
      <c r="H54" s="383">
        <f ca="1"/>
        <v>1.3184441854729579E-2</v>
      </c>
      <c r="I54" s="383">
        <f ca="1"/>
        <v>1.9452468490157294E-2</v>
      </c>
      <c r="J54" s="383">
        <f ca="1"/>
        <v>2.6252773969812224E-2</v>
      </c>
      <c r="K54" s="383">
        <f ca="1"/>
        <v>3.2481904682880119E-2</v>
      </c>
      <c r="L54" s="790"/>
      <c r="M54" s="790"/>
      <c r="N54" s="790"/>
      <c r="O54" s="790"/>
      <c r="P54" s="386"/>
      <c r="Q54" s="768">
        <f ca="1">IF(F54&lt;&gt;0,+F54/'DA-4'!D$77,0)</f>
        <v>0</v>
      </c>
      <c r="R54" s="768">
        <f ca="1">IF(G54&lt;&gt;0,+G54/'DA-4'!E$77,0)</f>
        <v>0.64500000000000002</v>
      </c>
      <c r="S54" s="768">
        <f ca="1">IF(H54&lt;&gt;0,+H54/'DA-4'!F$77,0)</f>
        <v>0.64500000000000002</v>
      </c>
      <c r="T54" s="768">
        <f ca="1">IF(I54&lt;&gt;0,+I54/'DA-4'!G$77,0)</f>
        <v>0.64500000000000002</v>
      </c>
      <c r="U54" s="768">
        <f ca="1">IF(J54&lt;&gt;0,+J54/'DA-4'!H$77,0)</f>
        <v>0.64500000000000002</v>
      </c>
      <c r="V54" s="768">
        <f ca="1">IF(K54&lt;&gt;0,+K54/'DA-4'!I$77,0)</f>
        <v>0.64500000000000002</v>
      </c>
    </row>
    <row r="55" spans="1:22">
      <c r="A55" s="5"/>
      <c r="B55" s="249"/>
      <c r="C55" s="425" t="str">
        <v>Total Output Growth</v>
      </c>
      <c r="D55" s="426" t="str">
        <v>Materials</v>
      </c>
      <c r="E55" s="847">
        <f ca="1"/>
        <v>0</v>
      </c>
      <c r="F55" s="386">
        <f ca="1"/>
        <v>0</v>
      </c>
      <c r="G55" s="383">
        <f ca="1"/>
        <v>1.9097924906223216E-4</v>
      </c>
      <c r="H55" s="383">
        <f ca="1"/>
        <v>3.6793791222501144E-4</v>
      </c>
      <c r="I55" s="383">
        <f ca="1"/>
        <v>5.4285958577183146E-4</v>
      </c>
      <c r="J55" s="383">
        <f ca="1"/>
        <v>7.3263555264592244E-4</v>
      </c>
      <c r="K55" s="383">
        <f ca="1"/>
        <v>9.0647175859200318E-4</v>
      </c>
      <c r="L55" s="790"/>
      <c r="M55" s="790"/>
      <c r="N55" s="790"/>
      <c r="O55" s="790"/>
      <c r="P55" s="386"/>
      <c r="Q55" s="768">
        <f ca="1">IF(F55&lt;&gt;0,+F55/'DA-4'!D$78,0)</f>
        <v>0</v>
      </c>
      <c r="R55" s="768">
        <f ca="1">IF(G55&lt;&gt;0,+G55/'DA-4'!E$78,0)</f>
        <v>1.7999999999999999E-2</v>
      </c>
      <c r="S55" s="768">
        <f ca="1">IF(H55&lt;&gt;0,+H55/'DA-4'!F$78,0)</f>
        <v>1.7999999999999999E-2</v>
      </c>
      <c r="T55" s="768">
        <f ca="1">IF(I55&lt;&gt;0,+I55/'DA-4'!G$78,0)</f>
        <v>1.7999999999999999E-2</v>
      </c>
      <c r="U55" s="768">
        <f ca="1">IF(J55&lt;&gt;0,+J55/'DA-4'!H$78,0)</f>
        <v>1.7999999999999999E-2</v>
      </c>
      <c r="V55" s="768">
        <f ca="1">IF(K55&lt;&gt;0,+K55/'DA-4'!I$78,0)</f>
        <v>1.7999999999999999E-2</v>
      </c>
    </row>
    <row r="56" spans="1:22">
      <c r="A56" s="5"/>
      <c r="B56" s="249"/>
      <c r="C56" s="425" t="str">
        <v>Total Output Growth</v>
      </c>
      <c r="D56" s="426" t="str">
        <v>Contracts</v>
      </c>
      <c r="E56" s="847">
        <f ca="1"/>
        <v>0</v>
      </c>
      <c r="F56" s="386">
        <f ca="1"/>
        <v>0</v>
      </c>
      <c r="G56" s="383">
        <f ca="1"/>
        <v>0</v>
      </c>
      <c r="H56" s="383">
        <f ca="1"/>
        <v>0</v>
      </c>
      <c r="I56" s="383">
        <f ca="1"/>
        <v>0</v>
      </c>
      <c r="J56" s="383">
        <f ca="1"/>
        <v>0</v>
      </c>
      <c r="K56" s="383">
        <f ca="1"/>
        <v>0</v>
      </c>
      <c r="L56" s="790"/>
      <c r="M56" s="790"/>
      <c r="N56" s="790"/>
      <c r="O56" s="790"/>
      <c r="P56" s="386"/>
      <c r="Q56" s="768">
        <f ca="1">IF(F56&lt;&gt;0,+F56/'DA-4'!D$79,0)</f>
        <v>0</v>
      </c>
      <c r="R56" s="768">
        <f ca="1">IF(G56&lt;&gt;0,+G56/'DA-4'!E$79,0)</f>
        <v>0</v>
      </c>
      <c r="S56" s="768">
        <f ca="1">IF(H56&lt;&gt;0,+H56/'DA-4'!F$79,0)</f>
        <v>0</v>
      </c>
      <c r="T56" s="768">
        <f ca="1">IF(I56&lt;&gt;0,+I56/'DA-4'!G$79,0)</f>
        <v>0</v>
      </c>
      <c r="U56" s="768">
        <f ca="1">IF(J56&lt;&gt;0,+J56/'DA-4'!H$79,0)</f>
        <v>0</v>
      </c>
      <c r="V56" s="768">
        <f ca="1">IF(K56&lt;&gt;0,+K56/'DA-4'!I$79,0)</f>
        <v>0</v>
      </c>
    </row>
    <row r="57" spans="1:22" s="790" customFormat="1">
      <c r="A57" s="5"/>
      <c r="B57" s="249"/>
      <c r="C57" s="425" t="str">
        <v>Total Output Growth</v>
      </c>
      <c r="D57" s="426" t="str">
        <v>Services Other</v>
      </c>
      <c r="E57" s="847">
        <f ca="1"/>
        <v>0</v>
      </c>
      <c r="F57" s="386">
        <f ca="1"/>
        <v>0</v>
      </c>
      <c r="G57" s="383">
        <f ca="1"/>
        <v>3.2890870671828875E-4</v>
      </c>
      <c r="H57" s="383">
        <f ca="1"/>
        <v>6.3367084883196427E-4</v>
      </c>
      <c r="I57" s="383">
        <f ca="1"/>
        <v>9.3492484216259862E-4</v>
      </c>
      <c r="J57" s="383">
        <f ca="1"/>
        <v>1.2617612295568665E-3</v>
      </c>
      <c r="K57" s="383">
        <f ca="1"/>
        <v>1.5611458064640055E-3</v>
      </c>
      <c r="P57" s="386"/>
      <c r="Q57" s="768">
        <f ca="1">IF(F57&lt;&gt;0,+F57/'DA-4'!D$80,0)</f>
        <v>0</v>
      </c>
      <c r="R57" s="768">
        <f ca="1">IF(G57&lt;&gt;0,+G57/'DA-4'!E$80,0)</f>
        <v>3.1E-2</v>
      </c>
      <c r="S57" s="768">
        <f ca="1">IF(H57&lt;&gt;0,+H57/'DA-4'!F$80,0)</f>
        <v>3.1000000000000003E-2</v>
      </c>
      <c r="T57" s="768">
        <f ca="1">IF(I57&lt;&gt;0,+I57/'DA-4'!G$80,0)</f>
        <v>3.1E-2</v>
      </c>
      <c r="U57" s="768">
        <f ca="1">IF(J57&lt;&gt;0,+J57/'DA-4'!H$80,0)</f>
        <v>3.1E-2</v>
      </c>
      <c r="V57" s="768">
        <f ca="1">IF(K57&lt;&gt;0,+K57/'DA-4'!I$80,0)</f>
        <v>3.1E-2</v>
      </c>
    </row>
    <row r="58" spans="1:22" s="790" customFormat="1">
      <c r="A58" s="5"/>
      <c r="B58" s="249"/>
      <c r="C58" s="425" t="str">
        <v>Total Output Growth</v>
      </c>
      <c r="D58" s="426" t="str">
        <v>Business Overheads</v>
      </c>
      <c r="E58" s="847">
        <f ca="1"/>
        <v>0</v>
      </c>
      <c r="F58" s="386">
        <f ca="1"/>
        <v>0</v>
      </c>
      <c r="G58" s="383">
        <f ca="1"/>
        <v>6.8964728828028294E-4</v>
      </c>
      <c r="H58" s="383">
        <f ca="1"/>
        <v>1.3286646830347637E-3</v>
      </c>
      <c r="I58" s="383">
        <f ca="1"/>
        <v>1.9603262819538358E-3</v>
      </c>
      <c r="J58" s="383">
        <f ca="1"/>
        <v>2.6456283845547202E-3</v>
      </c>
      <c r="K58" s="383">
        <f ca="1"/>
        <v>3.2733702393600117E-3</v>
      </c>
      <c r="P58" s="386"/>
      <c r="Q58" s="768">
        <f ca="1">IF(F58&lt;&gt;0,+F58/'DA-4'!D$81,0)</f>
        <v>0</v>
      </c>
      <c r="R58" s="768">
        <f ca="1">IF(G58&lt;&gt;0,+G58/'DA-4'!E$81,0)</f>
        <v>6.5000000000000002E-2</v>
      </c>
      <c r="S58" s="768">
        <f ca="1">IF(H58&lt;&gt;0,+H58/'DA-4'!F$81,0)</f>
        <v>6.5000000000000002E-2</v>
      </c>
      <c r="T58" s="768">
        <f ca="1">IF(I58&lt;&gt;0,+I58/'DA-4'!G$81,0)</f>
        <v>6.5000000000000002E-2</v>
      </c>
      <c r="U58" s="768">
        <f ca="1">IF(J58&lt;&gt;0,+J58/'DA-4'!H$81,0)</f>
        <v>6.5000000000000002E-2</v>
      </c>
      <c r="V58" s="768">
        <f ca="1">IF(K58&lt;&gt;0,+K58/'DA-4'!I$81,0)</f>
        <v>6.5000000000000002E-2</v>
      </c>
    </row>
    <row r="59" spans="1:22" s="790" customFormat="1">
      <c r="A59" s="5"/>
      <c r="B59" s="249"/>
      <c r="C59" s="425" t="str">
        <v>Total Output Growth</v>
      </c>
      <c r="D59" s="426" t="str">
        <v>Other</v>
      </c>
      <c r="E59" s="847">
        <f ca="1"/>
        <v>0</v>
      </c>
      <c r="F59" s="386">
        <f ca="1"/>
        <v>0</v>
      </c>
      <c r="G59" s="383">
        <f ca="1"/>
        <v>0</v>
      </c>
      <c r="H59" s="383">
        <f ca="1"/>
        <v>0</v>
      </c>
      <c r="I59" s="383">
        <f ca="1"/>
        <v>0</v>
      </c>
      <c r="J59" s="383">
        <f ca="1"/>
        <v>0</v>
      </c>
      <c r="K59" s="383">
        <f ca="1"/>
        <v>0</v>
      </c>
      <c r="P59" s="386"/>
      <c r="Q59" s="768">
        <f ca="1">IF(F59&lt;&gt;0,+F59/'DA-4'!D$82,0)</f>
        <v>0</v>
      </c>
      <c r="R59" s="768">
        <f ca="1">IF(G59&lt;&gt;0,+G59/'DA-4'!E$82,0)</f>
        <v>0</v>
      </c>
      <c r="S59" s="768">
        <f ca="1">IF(H59&lt;&gt;0,+H59/'DA-4'!F$82,0)</f>
        <v>0</v>
      </c>
      <c r="T59" s="768">
        <f ca="1">IF(I59&lt;&gt;0,+I59/'DA-4'!G$82,0)</f>
        <v>0</v>
      </c>
      <c r="U59" s="768">
        <f ca="1">IF(J59&lt;&gt;0,+J59/'DA-4'!H$82,0)</f>
        <v>0</v>
      </c>
      <c r="V59" s="768">
        <f ca="1">IF(K59&lt;&gt;0,+K59/'DA-4'!I$82,0)</f>
        <v>0</v>
      </c>
    </row>
    <row r="60" spans="1:22">
      <c r="A60" s="5"/>
      <c r="B60" s="249"/>
      <c r="C60" s="424" t="s">
        <v>73</v>
      </c>
      <c r="D60" s="417"/>
      <c r="E60" s="848"/>
      <c r="F60" s="387"/>
      <c r="G60" s="385"/>
      <c r="H60" s="385"/>
      <c r="I60" s="385"/>
      <c r="J60" s="385"/>
      <c r="K60" s="385"/>
      <c r="P60" s="387"/>
      <c r="Q60" s="385"/>
      <c r="R60" s="385"/>
      <c r="S60" s="385"/>
      <c r="T60" s="385"/>
      <c r="U60" s="385"/>
      <c r="V60" s="385"/>
    </row>
    <row r="61" spans="1:22" s="767" customFormat="1">
      <c r="A61" s="5"/>
      <c r="B61" s="249"/>
      <c r="C61" s="425" t="str">
        <f t="array" ref="C61:D66">+'DA-4'!$A$113:$B$119</f>
        <v>Labour</v>
      </c>
      <c r="D61" s="426" t="str">
        <v>Labour</v>
      </c>
      <c r="E61" s="847">
        <f t="array" ref="E61:K66" ca="1">+'DA-4'!$N$113:$T$119</f>
        <v>0</v>
      </c>
      <c r="F61" s="386">
        <f ca="1"/>
        <v>0</v>
      </c>
      <c r="G61" s="383">
        <f ca="1"/>
        <v>1.3987233946405624E-2</v>
      </c>
      <c r="H61" s="383">
        <f ca="1"/>
        <v>2.854965589667258E-2</v>
      </c>
      <c r="I61" s="383">
        <f ca="1"/>
        <v>4.451292720490644E-2</v>
      </c>
      <c r="J61" s="383">
        <f ca="1"/>
        <v>6.117926193325026E-2</v>
      </c>
      <c r="K61" s="383">
        <f ca="1"/>
        <v>7.8478515169669374E-2</v>
      </c>
      <c r="P61" s="386"/>
      <c r="Q61" s="768">
        <f ca="1">IF(F61&lt;&gt;0,+F61/'DA-4'!D$113,0)</f>
        <v>0</v>
      </c>
      <c r="R61" s="768">
        <f ca="1">IF(G61&lt;&gt;0,+G61/'DA-4'!E$113,0)</f>
        <v>0.65184342309139665</v>
      </c>
      <c r="S61" s="768">
        <f ca="1">IF(H61&lt;&gt;0,+H61/'DA-4'!F$113,0)</f>
        <v>0.65818444185472957</v>
      </c>
      <c r="T61" s="768">
        <f ca="1">IF(I61&lt;&gt;0,+I61/'DA-4'!G$113,0)</f>
        <v>0.66445246849015727</v>
      </c>
      <c r="U61" s="768">
        <f ca="1">IF(J61&lt;&gt;0,+J61/'DA-4'!H$113,0)</f>
        <v>0.6712527739698122</v>
      </c>
      <c r="V61" s="768">
        <f ca="1">IF(K61&lt;&gt;0,+K61/'DA-4'!I$113,0)</f>
        <v>0.67748190468288016</v>
      </c>
    </row>
    <row r="62" spans="1:22" s="767" customFormat="1">
      <c r="A62" s="5"/>
      <c r="B62" s="249"/>
      <c r="C62" s="425" t="str">
        <v>Materials</v>
      </c>
      <c r="D62" s="426" t="str">
        <v>Materials</v>
      </c>
      <c r="E62" s="847">
        <f ca="1"/>
        <v>0</v>
      </c>
      <c r="F62" s="386">
        <f ca="1"/>
        <v>0</v>
      </c>
      <c r="G62" s="383">
        <f ca="1"/>
        <v>0</v>
      </c>
      <c r="H62" s="383">
        <f ca="1"/>
        <v>0</v>
      </c>
      <c r="I62" s="383">
        <f ca="1"/>
        <v>0</v>
      </c>
      <c r="J62" s="383">
        <f ca="1"/>
        <v>0</v>
      </c>
      <c r="K62" s="383">
        <f ca="1"/>
        <v>0</v>
      </c>
      <c r="P62" s="386"/>
      <c r="Q62" s="768">
        <f ca="1">IF(F62&lt;&gt;0,+F62/'DA-4'!D$114,0)</f>
        <v>0</v>
      </c>
      <c r="R62" s="768">
        <f ca="1">IF(G62&lt;&gt;0,+G62/'DA-4'!E$114,0)</f>
        <v>0</v>
      </c>
      <c r="S62" s="768">
        <f ca="1">IF(H62&lt;&gt;0,+H62/'DA-4'!F$114,0)</f>
        <v>0</v>
      </c>
      <c r="T62" s="768">
        <f ca="1">IF(I62&lt;&gt;0,+I62/'DA-4'!G$114,0)</f>
        <v>0</v>
      </c>
      <c r="U62" s="768">
        <f ca="1">IF(J62&lt;&gt;0,+J62/'DA-4'!H$114,0)</f>
        <v>0</v>
      </c>
      <c r="V62" s="768">
        <f ca="1">IF(K62&lt;&gt;0,+K62/'DA-4'!I$114,0)</f>
        <v>0</v>
      </c>
    </row>
    <row r="63" spans="1:22" s="767" customFormat="1">
      <c r="A63" s="5"/>
      <c r="B63" s="249"/>
      <c r="C63" s="425" t="str">
        <v>Services-construction</v>
      </c>
      <c r="D63" s="426" t="str">
        <v>Contracts</v>
      </c>
      <c r="E63" s="847">
        <f ca="1"/>
        <v>0</v>
      </c>
      <c r="F63" s="386">
        <f ca="1"/>
        <v>0</v>
      </c>
      <c r="G63" s="383">
        <f ca="1"/>
        <v>0</v>
      </c>
      <c r="H63" s="383">
        <f ca="1"/>
        <v>0</v>
      </c>
      <c r="I63" s="383">
        <f ca="1"/>
        <v>0</v>
      </c>
      <c r="J63" s="383">
        <f ca="1"/>
        <v>0</v>
      </c>
      <c r="K63" s="383">
        <f ca="1"/>
        <v>0</v>
      </c>
      <c r="P63" s="386"/>
      <c r="Q63" s="768">
        <f ca="1">IF(F63&lt;&gt;0,+F63/'DA-4'!D$115,0)</f>
        <v>0</v>
      </c>
      <c r="R63" s="768">
        <f ca="1">IF(G63&lt;&gt;0,+G63/'DA-4'!E$115,0)</f>
        <v>0</v>
      </c>
      <c r="S63" s="768">
        <f ca="1">IF(H63&lt;&gt;0,+H63/'DA-4'!F$115,0)</f>
        <v>0</v>
      </c>
      <c r="T63" s="768">
        <f ca="1">IF(I63&lt;&gt;0,+I63/'DA-4'!G$115,0)</f>
        <v>0</v>
      </c>
      <c r="U63" s="768">
        <f ca="1">IF(J63&lt;&gt;0,+J63/'DA-4'!H$115,0)</f>
        <v>0</v>
      </c>
      <c r="V63" s="768">
        <f ca="1">IF(K63&lt;&gt;0,+K63/'DA-4'!I$115,0)</f>
        <v>0</v>
      </c>
    </row>
    <row r="64" spans="1:22" s="767" customFormat="1">
      <c r="A64" s="5"/>
      <c r="B64" s="249"/>
      <c r="C64" s="425" t="str">
        <v>Services-general</v>
      </c>
      <c r="D64" s="426" t="str">
        <v>Services Other</v>
      </c>
      <c r="E64" s="847">
        <f ca="1"/>
        <v>0</v>
      </c>
      <c r="F64" s="386">
        <f ca="1"/>
        <v>0</v>
      </c>
      <c r="G64" s="383">
        <f ca="1"/>
        <v>1.5664454353358812E-4</v>
      </c>
      <c r="H64" s="383">
        <f ca="1"/>
        <v>3.1712755025953184E-4</v>
      </c>
      <c r="I64" s="383">
        <f ca="1"/>
        <v>6.1044327371601211E-4</v>
      </c>
      <c r="J64" s="383">
        <f ca="1"/>
        <v>9.619145713699813E-4</v>
      </c>
      <c r="K64" s="383">
        <f ca="1"/>
        <v>1.3899908375248559E-3</v>
      </c>
      <c r="P64" s="386"/>
      <c r="Q64" s="768">
        <f ca="1">IF(F64&lt;&gt;0,+F64/'DA-4'!D$116,0)</f>
        <v>0</v>
      </c>
      <c r="R64" s="768">
        <f ca="1">IF(G64&lt;&gt;0,+G64/'DA-4'!E$116,0)</f>
        <v>3.1328908706718291E-2</v>
      </c>
      <c r="S64" s="768">
        <f ca="1">IF(H64&lt;&gt;0,+H64/'DA-4'!F$116,0)</f>
        <v>3.1633670848831966E-2</v>
      </c>
      <c r="T64" s="768">
        <f ca="1">IF(I64&lt;&gt;0,+I64/'DA-4'!G$116,0)</f>
        <v>3.19349248421626E-2</v>
      </c>
      <c r="U64" s="768">
        <f ca="1">IF(J64&lt;&gt;0,+J64/'DA-4'!H$116,0)</f>
        <v>3.2261761229556866E-2</v>
      </c>
      <c r="V64" s="768">
        <f ca="1">IF(K64&lt;&gt;0,+K64/'DA-4'!I$116,0)</f>
        <v>3.2561145806464006E-2</v>
      </c>
    </row>
    <row r="65" spans="1:22" s="767" customFormat="1">
      <c r="A65" s="5"/>
      <c r="B65" s="249"/>
      <c r="C65" s="425" t="str">
        <v>Labour</v>
      </c>
      <c r="D65" s="426" t="str">
        <v>Business Overheads</v>
      </c>
      <c r="E65" s="847">
        <f ca="1"/>
        <v>0</v>
      </c>
      <c r="F65" s="386">
        <f ca="1"/>
        <v>0</v>
      </c>
      <c r="G65" s="383">
        <f ca="1"/>
        <v>1.4095662116532799E-3</v>
      </c>
      <c r="H65" s="383">
        <f ca="1"/>
        <v>2.8770971058662293E-3</v>
      </c>
      <c r="I65" s="383">
        <f ca="1"/>
        <v>4.4857988656107272E-3</v>
      </c>
      <c r="J65" s="383">
        <f ca="1"/>
        <v>6.1653519777694066E-3</v>
      </c>
      <c r="K65" s="383">
        <f ca="1"/>
        <v>7.9086875752379989E-3</v>
      </c>
      <c r="P65" s="386"/>
      <c r="Q65" s="768">
        <f ca="1">IF(F65&lt;&gt;0,+F65/'DA-4'!D$117,0)</f>
        <v>0</v>
      </c>
      <c r="R65" s="768">
        <f ca="1">IF(G65&lt;&gt;0,+G65/'DA-4'!E$117,0)</f>
        <v>6.5689647288280278E-2</v>
      </c>
      <c r="S65" s="768">
        <f ca="1">IF(H65&lt;&gt;0,+H65/'DA-4'!F$117,0)</f>
        <v>6.6328664683034763E-2</v>
      </c>
      <c r="T65" s="768">
        <f ca="1">IF(I65&lt;&gt;0,+I65/'DA-4'!G$117,0)</f>
        <v>6.6960326281953836E-2</v>
      </c>
      <c r="U65" s="768">
        <f ca="1">IF(J65&lt;&gt;0,+J65/'DA-4'!H$117,0)</f>
        <v>6.7645628384554721E-2</v>
      </c>
      <c r="V65" s="768">
        <f ca="1">IF(K65&lt;&gt;0,+K65/'DA-4'!I$117,0)</f>
        <v>6.8273370239360018E-2</v>
      </c>
    </row>
    <row r="66" spans="1:22" s="767" customFormat="1">
      <c r="A66" s="5"/>
      <c r="B66" s="249"/>
      <c r="C66" s="425" t="str">
        <v>Materials - Land</v>
      </c>
      <c r="D66" s="426" t="str">
        <v>Other</v>
      </c>
      <c r="E66" s="847">
        <f ca="1"/>
        <v>0</v>
      </c>
      <c r="F66" s="386">
        <f ca="1"/>
        <v>0</v>
      </c>
      <c r="G66" s="383">
        <f ca="1"/>
        <v>0</v>
      </c>
      <c r="H66" s="383">
        <f ca="1"/>
        <v>0</v>
      </c>
      <c r="I66" s="383">
        <f ca="1"/>
        <v>0</v>
      </c>
      <c r="J66" s="383">
        <f ca="1"/>
        <v>0</v>
      </c>
      <c r="K66" s="383">
        <f ca="1"/>
        <v>0</v>
      </c>
      <c r="P66" s="386"/>
      <c r="Q66" s="768">
        <f ca="1">IF(F66&lt;&gt;0,+F66/'DA-4'!D$118,0)</f>
        <v>0</v>
      </c>
      <c r="R66" s="768">
        <f ca="1">IF(G66&lt;&gt;0,+G66/'DA-4'!E$118,0)</f>
        <v>0</v>
      </c>
      <c r="S66" s="768">
        <f ca="1">IF(H66&lt;&gt;0,+H66/'DA-4'!F$118,0)</f>
        <v>0</v>
      </c>
      <c r="T66" s="768">
        <f ca="1">IF(I66&lt;&gt;0,+I66/'DA-4'!G$118,0)</f>
        <v>0</v>
      </c>
      <c r="U66" s="768">
        <f ca="1">IF(J66&lt;&gt;0,+J66/'DA-4'!H$118,0)</f>
        <v>0</v>
      </c>
      <c r="V66" s="768">
        <f ca="1">IF(K66&lt;&gt;0,+K66/'DA-4'!I$118,0)</f>
        <v>0</v>
      </c>
    </row>
    <row r="67" spans="1:22">
      <c r="A67" s="5"/>
      <c r="B67" s="249" t="str">
        <f ca="1">+'I-4 History'!B43</f>
        <v>DA-5</v>
      </c>
      <c r="C67" s="14" t="str">
        <f ca="1">+'I-4 History'!C43</f>
        <v>Strategic Asset Management</v>
      </c>
      <c r="D67" s="418"/>
      <c r="E67" s="507"/>
      <c r="F67" s="11"/>
      <c r="G67" s="11"/>
      <c r="H67" s="11"/>
      <c r="I67" s="11"/>
      <c r="J67" s="11"/>
      <c r="K67" s="11"/>
      <c r="P67" s="11"/>
      <c r="Q67" s="11"/>
      <c r="R67" s="11"/>
      <c r="S67" s="11"/>
      <c r="T67" s="11"/>
      <c r="U67" s="11"/>
      <c r="V67" s="11"/>
    </row>
    <row r="68" spans="1:22" ht="15.75" customHeight="1">
      <c r="A68" s="5"/>
      <c r="B68" s="249"/>
      <c r="C68" s="424" t="s">
        <v>74</v>
      </c>
      <c r="D68" s="416"/>
      <c r="E68" s="507"/>
      <c r="F68" s="11"/>
      <c r="G68" s="11"/>
      <c r="H68" s="11"/>
      <c r="I68" s="11"/>
      <c r="J68" s="11"/>
      <c r="K68" s="11"/>
      <c r="P68" s="11"/>
      <c r="Q68" s="11"/>
      <c r="R68" s="11"/>
      <c r="S68" s="11"/>
      <c r="T68" s="11"/>
      <c r="U68" s="11"/>
      <c r="V68" s="11"/>
    </row>
    <row r="69" spans="1:22">
      <c r="A69" s="5"/>
      <c r="B69" s="249"/>
      <c r="C69" s="425" t="str">
        <f t="array" ref="C69:D74">+'DA-5'!$A$77:$B$82</f>
        <v>Total Output Growth</v>
      </c>
      <c r="D69" s="426" t="str">
        <v>Labour</v>
      </c>
      <c r="E69" s="847">
        <f t="array" ref="E69:K74" ca="1">+'DA-5'!$N$77:$T$82</f>
        <v>0</v>
      </c>
      <c r="F69" s="386">
        <f ca="1"/>
        <v>0</v>
      </c>
      <c r="G69" s="522">
        <f ca="1"/>
        <v>1.2498530855294973E-2</v>
      </c>
      <c r="H69" s="383">
        <f ca="1"/>
        <v>2.4079492255614638E-2</v>
      </c>
      <c r="I69" s="383">
        <f ca="1"/>
        <v>3.5527144002178747E-2</v>
      </c>
      <c r="J69" s="383">
        <f ca="1"/>
        <v>4.7946926723160928E-2</v>
      </c>
      <c r="K69" s="383">
        <f ca="1"/>
        <v>5.9323540645632208E-2</v>
      </c>
      <c r="P69" s="386"/>
      <c r="Q69" s="768">
        <f ca="1">IF(F69&lt;&gt;0,+F69/'DA-5'!D$77,0)</f>
        <v>0</v>
      </c>
      <c r="R69" s="768">
        <f ca="1">IF(G69&lt;&gt;0,+G69/'DA-5'!E$77,0)</f>
        <v>1.1779999999999999</v>
      </c>
      <c r="S69" s="768">
        <f ca="1">IF(H69&lt;&gt;0,+H69/'DA-5'!F$77,0)</f>
        <v>1.1779999999999999</v>
      </c>
      <c r="T69" s="768">
        <f ca="1">IF(I69&lt;&gt;0,+I69/'DA-5'!G$77,0)</f>
        <v>1.1779999999999999</v>
      </c>
      <c r="U69" s="768">
        <f ca="1">IF(J69&lt;&gt;0,+J69/'DA-5'!H$77,0)</f>
        <v>1.1779999999999999</v>
      </c>
      <c r="V69" s="768">
        <f ca="1">IF(K69&lt;&gt;0,+K69/'DA-5'!I$77,0)</f>
        <v>1.1779999999999999</v>
      </c>
    </row>
    <row r="70" spans="1:22">
      <c r="A70" s="5"/>
      <c r="B70" s="249"/>
      <c r="C70" s="425" t="str">
        <v>Total Output Growth</v>
      </c>
      <c r="D70" s="426" t="str">
        <v>Materials</v>
      </c>
      <c r="E70" s="847">
        <f ca="1"/>
        <v>0</v>
      </c>
      <c r="F70" s="386">
        <f ca="1"/>
        <v>0</v>
      </c>
      <c r="G70" s="522">
        <f ca="1"/>
        <v>1.0609958281235122E-5</v>
      </c>
      <c r="H70" s="383">
        <f ca="1"/>
        <v>2.0440995123611749E-5</v>
      </c>
      <c r="I70" s="383">
        <f ca="1"/>
        <v>3.0158865876212861E-5</v>
      </c>
      <c r="J70" s="383">
        <f ca="1"/>
        <v>4.0701975146995693E-5</v>
      </c>
      <c r="K70" s="383">
        <f ca="1"/>
        <v>5.0359542144000181E-5</v>
      </c>
      <c r="P70" s="386"/>
      <c r="Q70" s="768">
        <f ca="1">IF(F70&lt;&gt;0,+F70/'DA-5'!D$78,0)</f>
        <v>0</v>
      </c>
      <c r="R70" s="768">
        <f ca="1">IF(G70&lt;&gt;0,+G70/'DA-5'!E$78,0)</f>
        <v>1E-3</v>
      </c>
      <c r="S70" s="768">
        <f ca="1">IF(H70&lt;&gt;0,+H70/'DA-5'!F$78,0)</f>
        <v>1E-3</v>
      </c>
      <c r="T70" s="768">
        <f ca="1">IF(I70&lt;&gt;0,+I70/'DA-5'!G$78,0)</f>
        <v>1E-3</v>
      </c>
      <c r="U70" s="768">
        <f ca="1">IF(J70&lt;&gt;0,+J70/'DA-5'!H$78,0)</f>
        <v>1E-3</v>
      </c>
      <c r="V70" s="768">
        <f ca="1">IF(K70&lt;&gt;0,+K70/'DA-5'!I$78,0)</f>
        <v>1E-3</v>
      </c>
    </row>
    <row r="71" spans="1:22">
      <c r="A71" s="5"/>
      <c r="B71" s="249"/>
      <c r="C71" s="425" t="str">
        <v>Total Output Growth</v>
      </c>
      <c r="D71" s="426" t="str">
        <v>Contracts</v>
      </c>
      <c r="E71" s="847">
        <f ca="1"/>
        <v>0</v>
      </c>
      <c r="F71" s="386">
        <f ca="1"/>
        <v>0</v>
      </c>
      <c r="G71" s="522">
        <f ca="1"/>
        <v>2.9071285690584234E-3</v>
      </c>
      <c r="H71" s="383">
        <f ca="1"/>
        <v>5.6008326638696199E-3</v>
      </c>
      <c r="I71" s="383">
        <f ca="1"/>
        <v>8.2635292500823233E-3</v>
      </c>
      <c r="J71" s="383">
        <f ca="1"/>
        <v>1.1152341190276822E-2</v>
      </c>
      <c r="K71" s="383">
        <f ca="1"/>
        <v>1.3798514547456051E-2</v>
      </c>
      <c r="P71" s="386"/>
      <c r="Q71" s="768">
        <f ca="1">IF(F71&lt;&gt;0,+F71/'DA-5'!D$79,0)</f>
        <v>0</v>
      </c>
      <c r="R71" s="768">
        <f ca="1">IF(G71&lt;&gt;0,+G71/'DA-5'!E$79,0)</f>
        <v>0.27400000000000002</v>
      </c>
      <c r="S71" s="768">
        <f ca="1">IF(H71&lt;&gt;0,+H71/'DA-5'!F$79,0)</f>
        <v>0.27400000000000002</v>
      </c>
      <c r="T71" s="768">
        <f ca="1">IF(I71&lt;&gt;0,+I71/'DA-5'!G$79,0)</f>
        <v>0.27400000000000002</v>
      </c>
      <c r="U71" s="768">
        <f ca="1">IF(J71&lt;&gt;0,+J71/'DA-5'!H$79,0)</f>
        <v>0.27400000000000002</v>
      </c>
      <c r="V71" s="768">
        <f ca="1">IF(K71&lt;&gt;0,+K71/'DA-5'!I$79,0)</f>
        <v>0.27400000000000002</v>
      </c>
    </row>
    <row r="72" spans="1:22">
      <c r="A72" s="5"/>
      <c r="B72" s="249"/>
      <c r="C72" s="425" t="str">
        <v>Total Output Growth</v>
      </c>
      <c r="D72" s="426" t="str">
        <v>Services Other</v>
      </c>
      <c r="E72" s="847">
        <f ca="1"/>
        <v>0</v>
      </c>
      <c r="F72" s="386">
        <f ca="1"/>
        <v>0</v>
      </c>
      <c r="G72" s="383">
        <f ca="1"/>
        <v>2.5782198623401343E-3</v>
      </c>
      <c r="H72" s="383">
        <f ca="1"/>
        <v>4.9671618150376549E-3</v>
      </c>
      <c r="I72" s="383">
        <f ca="1"/>
        <v>7.3286044079197248E-3</v>
      </c>
      <c r="J72" s="383">
        <f ca="1"/>
        <v>9.8905799607199533E-3</v>
      </c>
      <c r="K72" s="383">
        <f ca="1"/>
        <v>1.2237368740992044E-2</v>
      </c>
      <c r="P72" s="386"/>
      <c r="Q72" s="768">
        <f ca="1">IF(F72&lt;&gt;0,+F72/'DA-5'!D$80,0)</f>
        <v>0</v>
      </c>
      <c r="R72" s="768">
        <f ca="1">IF(G72&lt;&gt;0,+G72/'DA-5'!E$80,0)</f>
        <v>0.24299999999999999</v>
      </c>
      <c r="S72" s="768">
        <f ca="1">IF(H72&lt;&gt;0,+H72/'DA-5'!F$80,0)</f>
        <v>0.24299999999999999</v>
      </c>
      <c r="T72" s="768">
        <f ca="1">IF(I72&lt;&gt;0,+I72/'DA-5'!G$80,0)</f>
        <v>0.24299999999999999</v>
      </c>
      <c r="U72" s="768">
        <f ca="1">IF(J72&lt;&gt;0,+J72/'DA-5'!H$80,0)</f>
        <v>0.24299999999999999</v>
      </c>
      <c r="V72" s="768">
        <f ca="1">IF(K72&lt;&gt;0,+K72/'DA-5'!I$80,0)</f>
        <v>0.24299999999999999</v>
      </c>
    </row>
    <row r="73" spans="1:22">
      <c r="A73" s="5"/>
      <c r="B73" s="249"/>
      <c r="C73" s="425" t="str">
        <v>Total Output Growth</v>
      </c>
      <c r="D73" s="426" t="str">
        <v>Business Overheads</v>
      </c>
      <c r="E73" s="847">
        <f ca="1"/>
        <v>0</v>
      </c>
      <c r="F73" s="386">
        <f ca="1"/>
        <v>0</v>
      </c>
      <c r="G73" s="383">
        <f ca="1"/>
        <v>1.8143028660912058E-3</v>
      </c>
      <c r="H73" s="383">
        <f ca="1"/>
        <v>3.4954101661376093E-3</v>
      </c>
      <c r="I73" s="383">
        <f ca="1"/>
        <v>5.1571660648323994E-3</v>
      </c>
      <c r="J73" s="383">
        <f ca="1"/>
        <v>6.9600377501362644E-3</v>
      </c>
      <c r="K73" s="383">
        <f ca="1"/>
        <v>8.6114817066240308E-3</v>
      </c>
      <c r="P73" s="386"/>
      <c r="Q73" s="768">
        <f ca="1">IF(F73&lt;&gt;0,+F73/'DA-5'!D$81,0)</f>
        <v>0</v>
      </c>
      <c r="R73" s="768">
        <f ca="1">IF(G73&lt;&gt;0,+G73/'DA-5'!E$81,0)</f>
        <v>0.17100000000000001</v>
      </c>
      <c r="S73" s="768">
        <f ca="1">IF(H73&lt;&gt;0,+H73/'DA-5'!F$81,0)</f>
        <v>0.17100000000000001</v>
      </c>
      <c r="T73" s="768">
        <f ca="1">IF(I73&lt;&gt;0,+I73/'DA-5'!G$81,0)</f>
        <v>0.17100000000000001</v>
      </c>
      <c r="U73" s="768">
        <f ca="1">IF(J73&lt;&gt;0,+J73/'DA-5'!H$81,0)</f>
        <v>0.17100000000000001</v>
      </c>
      <c r="V73" s="768">
        <f ca="1">IF(K73&lt;&gt;0,+K73/'DA-5'!I$81,0)</f>
        <v>0.17100000000000001</v>
      </c>
    </row>
    <row r="74" spans="1:22">
      <c r="A74" s="5"/>
      <c r="B74" s="249"/>
      <c r="C74" s="425" t="str">
        <v>Total Output Growth</v>
      </c>
      <c r="D74" s="426" t="str">
        <v>Other</v>
      </c>
      <c r="E74" s="847">
        <f ca="1"/>
        <v>0</v>
      </c>
      <c r="F74" s="386">
        <f ca="1"/>
        <v>0</v>
      </c>
      <c r="G74" s="383">
        <f ca="1"/>
        <v>0</v>
      </c>
      <c r="H74" s="383">
        <f ca="1"/>
        <v>0</v>
      </c>
      <c r="I74" s="383">
        <f ca="1"/>
        <v>0</v>
      </c>
      <c r="J74" s="383">
        <f ca="1"/>
        <v>0</v>
      </c>
      <c r="K74" s="383">
        <f ca="1"/>
        <v>0</v>
      </c>
      <c r="P74" s="386"/>
      <c r="Q74" s="768">
        <f ca="1">IF(F74&lt;&gt;0,+F74/'DA-5'!D$82,0)</f>
        <v>0</v>
      </c>
      <c r="R74" s="768">
        <f ca="1">IF(G74&lt;&gt;0,+G74/'DA-5'!E$82,0)</f>
        <v>0</v>
      </c>
      <c r="S74" s="768">
        <f ca="1">IF(H74&lt;&gt;0,+H74/'DA-5'!F$82,0)</f>
        <v>0</v>
      </c>
      <c r="T74" s="768">
        <f ca="1">IF(I74&lt;&gt;0,+I74/'DA-5'!G$82,0)</f>
        <v>0</v>
      </c>
      <c r="U74" s="768">
        <f ca="1">IF(J74&lt;&gt;0,+J74/'DA-5'!H$82,0)</f>
        <v>0</v>
      </c>
      <c r="V74" s="768">
        <f ca="1">IF(K74&lt;&gt;0,+K74/'DA-5'!I$82,0)</f>
        <v>0</v>
      </c>
    </row>
    <row r="75" spans="1:22">
      <c r="A75" s="5"/>
      <c r="B75" s="249"/>
      <c r="C75" s="424" t="s">
        <v>73</v>
      </c>
      <c r="D75" s="417"/>
      <c r="E75" s="848"/>
      <c r="F75" s="387"/>
      <c r="G75" s="523"/>
      <c r="H75" s="385"/>
      <c r="I75" s="385"/>
      <c r="J75" s="385"/>
      <c r="K75" s="385"/>
      <c r="P75" s="387"/>
      <c r="Q75" s="385"/>
      <c r="R75" s="385"/>
      <c r="S75" s="385"/>
      <c r="T75" s="385"/>
      <c r="U75" s="385"/>
      <c r="V75" s="385"/>
    </row>
    <row r="76" spans="1:22" s="767" customFormat="1">
      <c r="A76" s="5"/>
      <c r="B76" s="249"/>
      <c r="C76" s="425" t="str">
        <f t="array" ref="C76:D81">+'DA-5'!$A$113:$B$119</f>
        <v>Labour</v>
      </c>
      <c r="D76" s="426" t="str">
        <v>Labour</v>
      </c>
      <c r="E76" s="847">
        <f t="array" ref="E76:K81" ca="1">+'DA-5'!$N$113:$T$119</f>
        <v>0</v>
      </c>
      <c r="F76" s="386">
        <f ca="1"/>
        <v>0</v>
      </c>
      <c r="G76" s="383">
        <f ca="1"/>
        <v>2.5545676881962517E-2</v>
      </c>
      <c r="H76" s="383">
        <f ca="1"/>
        <v>5.2141852164775661E-2</v>
      </c>
      <c r="I76" s="383">
        <f ca="1"/>
        <v>8.1296477902914402E-2</v>
      </c>
      <c r="J76" s="383">
        <f ca="1"/>
        <v>0.11173514815095939</v>
      </c>
      <c r="K76" s="383">
        <f ca="1"/>
        <v>0.14332975328662095</v>
      </c>
      <c r="P76" s="386"/>
      <c r="Q76" s="768">
        <f ca="1">IF(F76&lt;&gt;0,+F76/'DA-5'!D$113,0)</f>
        <v>0</v>
      </c>
      <c r="R76" s="768">
        <f ca="1">IF(G76&lt;&gt;0,+G76/'DA-5'!E$113,0)</f>
        <v>1.1904985308552949</v>
      </c>
      <c r="S76" s="768">
        <f ca="1">IF(H76&lt;&gt;0,+H76/'DA-5'!F$113,0)</f>
        <v>1.2020794922556146</v>
      </c>
      <c r="T76" s="768">
        <f ca="1">IF(I76&lt;&gt;0,+I76/'DA-5'!G$113,0)</f>
        <v>1.2135271440021786</v>
      </c>
      <c r="U76" s="768">
        <f ca="1">IF(J76&lt;&gt;0,+J76/'DA-5'!H$113,0)</f>
        <v>1.2259469267231609</v>
      </c>
      <c r="V76" s="768">
        <f ca="1">IF(K76&lt;&gt;0,+K76/'DA-5'!I$113,0)</f>
        <v>1.2373235406456322</v>
      </c>
    </row>
    <row r="77" spans="1:22" s="767" customFormat="1">
      <c r="A77" s="5"/>
      <c r="B77" s="249"/>
      <c r="C77" s="425" t="str">
        <v>Materials</v>
      </c>
      <c r="D77" s="426" t="str">
        <v>Materials</v>
      </c>
      <c r="E77" s="847">
        <f ca="1"/>
        <v>0</v>
      </c>
      <c r="F77" s="386">
        <f ca="1"/>
        <v>0</v>
      </c>
      <c r="G77" s="383">
        <f ca="1"/>
        <v>0</v>
      </c>
      <c r="H77" s="383">
        <f ca="1"/>
        <v>0</v>
      </c>
      <c r="I77" s="383">
        <f ca="1"/>
        <v>0</v>
      </c>
      <c r="J77" s="383">
        <f ca="1"/>
        <v>0</v>
      </c>
      <c r="K77" s="383">
        <f ca="1"/>
        <v>0</v>
      </c>
      <c r="P77" s="386"/>
      <c r="Q77" s="768">
        <f ca="1">IF(F77&lt;&gt;0,+F77/'DA-5'!D$114,0)</f>
        <v>0</v>
      </c>
      <c r="R77" s="768">
        <f ca="1">IF(G77&lt;&gt;0,+G77/'DA-5'!E$114,0)</f>
        <v>0</v>
      </c>
      <c r="S77" s="768">
        <f ca="1">IF(H77&lt;&gt;0,+H77/'DA-5'!F$114,0)</f>
        <v>0</v>
      </c>
      <c r="T77" s="768">
        <f ca="1">IF(I77&lt;&gt;0,+I77/'DA-5'!G$114,0)</f>
        <v>0</v>
      </c>
      <c r="U77" s="768">
        <f ca="1">IF(J77&lt;&gt;0,+J77/'DA-5'!H$114,0)</f>
        <v>0</v>
      </c>
      <c r="V77" s="768">
        <f ca="1">IF(K77&lt;&gt;0,+K77/'DA-5'!I$114,0)</f>
        <v>0</v>
      </c>
    </row>
    <row r="78" spans="1:22" s="767" customFormat="1">
      <c r="A78" s="5"/>
      <c r="B78" s="249"/>
      <c r="C78" s="425" t="str">
        <v>Services-construction</v>
      </c>
      <c r="D78" s="426" t="str">
        <v>Contracts</v>
      </c>
      <c r="E78" s="847">
        <f ca="1"/>
        <v>0</v>
      </c>
      <c r="F78" s="386">
        <f ca="1"/>
        <v>0</v>
      </c>
      <c r="G78" s="383">
        <f ca="1"/>
        <v>1.3845356428452628E-3</v>
      </c>
      <c r="H78" s="383">
        <f ca="1"/>
        <v>2.8029983474552175E-3</v>
      </c>
      <c r="I78" s="383">
        <f ca="1"/>
        <v>5.3955308709092683E-3</v>
      </c>
      <c r="J78" s="383">
        <f ca="1"/>
        <v>8.5020836308185438E-3</v>
      </c>
      <c r="K78" s="383">
        <f ca="1"/>
        <v>1.2285725467155178E-2</v>
      </c>
      <c r="P78" s="386"/>
      <c r="Q78" s="768">
        <f ca="1">IF(F78&lt;&gt;0,+F78/'DA-5'!D$115,0)</f>
        <v>0</v>
      </c>
      <c r="R78" s="768">
        <f ca="1">IF(G78&lt;&gt;0,+G78/'DA-5'!E$115,0)</f>
        <v>0.27690712856905847</v>
      </c>
      <c r="S78" s="768">
        <f ca="1">IF(H78&lt;&gt;0,+H78/'DA-5'!F$115,0)</f>
        <v>0.27960083266386965</v>
      </c>
      <c r="T78" s="768">
        <f ca="1">IF(I78&lt;&gt;0,+I78/'DA-5'!G$115,0)</f>
        <v>0.28226352925008236</v>
      </c>
      <c r="U78" s="768">
        <f ca="1">IF(J78&lt;&gt;0,+J78/'DA-5'!H$115,0)</f>
        <v>0.28515234119027683</v>
      </c>
      <c r="V78" s="768">
        <f ca="1">IF(K78&lt;&gt;0,+K78/'DA-5'!I$115,0)</f>
        <v>0.28779851454745609</v>
      </c>
    </row>
    <row r="79" spans="1:22" s="767" customFormat="1">
      <c r="A79" s="5"/>
      <c r="B79" s="249"/>
      <c r="C79" s="425" t="str">
        <v>Services-general</v>
      </c>
      <c r="D79" s="426" t="str">
        <v>Services Other</v>
      </c>
      <c r="E79" s="847">
        <f ca="1"/>
        <v>0</v>
      </c>
      <c r="F79" s="386">
        <f ca="1"/>
        <v>0</v>
      </c>
      <c r="G79" s="383">
        <f ca="1"/>
        <v>1.2278910993116744E-3</v>
      </c>
      <c r="H79" s="383">
        <f ca="1"/>
        <v>2.4858707971956852E-3</v>
      </c>
      <c r="I79" s="383">
        <f ca="1"/>
        <v>4.7850875971932553E-3</v>
      </c>
      <c r="J79" s="383">
        <f ca="1"/>
        <v>7.5401690594485626E-3</v>
      </c>
      <c r="K79" s="383">
        <f ca="1"/>
        <v>1.0895734629630321E-2</v>
      </c>
      <c r="P79" s="386"/>
      <c r="Q79" s="768">
        <f ca="1">IF(F79&lt;&gt;0,+F79/'DA-5'!D$116,0)</f>
        <v>0</v>
      </c>
      <c r="R79" s="768">
        <f ca="1">IF(G79&lt;&gt;0,+G79/'DA-5'!E$116,0)</f>
        <v>0.2455782198623401</v>
      </c>
      <c r="S79" s="768">
        <f ca="1">IF(H79&lt;&gt;0,+H79/'DA-5'!F$116,0)</f>
        <v>0.24796716181503764</v>
      </c>
      <c r="T79" s="768">
        <f ca="1">IF(I79&lt;&gt;0,+I79/'DA-5'!G$116,0)</f>
        <v>0.25032860440791971</v>
      </c>
      <c r="U79" s="768">
        <f ca="1">IF(J79&lt;&gt;0,+J79/'DA-5'!H$116,0)</f>
        <v>0.25289057996071995</v>
      </c>
      <c r="V79" s="768">
        <f ca="1">IF(K79&lt;&gt;0,+K79/'DA-5'!I$116,0)</f>
        <v>0.25523736874099201</v>
      </c>
    </row>
    <row r="80" spans="1:22" s="767" customFormat="1">
      <c r="A80" s="5"/>
      <c r="B80" s="249"/>
      <c r="C80" s="425" t="str">
        <v>Labour</v>
      </c>
      <c r="D80" s="426" t="str">
        <v>Business Overheads</v>
      </c>
      <c r="E80" s="847">
        <f ca="1"/>
        <v>0</v>
      </c>
      <c r="F80" s="386">
        <f ca="1"/>
        <v>0</v>
      </c>
      <c r="G80" s="383">
        <f ca="1"/>
        <v>3.7082434183493985E-3</v>
      </c>
      <c r="H80" s="383">
        <f ca="1"/>
        <v>7.5689785400480806E-3</v>
      </c>
      <c r="I80" s="383">
        <f ca="1"/>
        <v>1.1801101631068222E-2</v>
      </c>
      <c r="J80" s="383">
        <f ca="1"/>
        <v>1.6219618279977976E-2</v>
      </c>
      <c r="K80" s="383">
        <f ca="1"/>
        <v>2.0805931928703045E-2</v>
      </c>
      <c r="P80" s="386"/>
      <c r="Q80" s="768">
        <f ca="1">IF(F80&lt;&gt;0,+F80/'DA-5'!D$117,0)</f>
        <v>0</v>
      </c>
      <c r="R80" s="768">
        <f ca="1">IF(G80&lt;&gt;0,+G80/'DA-5'!E$117,0)</f>
        <v>0.17281430286609123</v>
      </c>
      <c r="S80" s="768">
        <f ca="1">IF(H80&lt;&gt;0,+H80/'DA-5'!F$117,0)</f>
        <v>0.17449541016613762</v>
      </c>
      <c r="T80" s="768">
        <f ca="1">IF(I80&lt;&gt;0,+I80/'DA-5'!G$117,0)</f>
        <v>0.17615716606483242</v>
      </c>
      <c r="U80" s="768">
        <f ca="1">IF(J80&lt;&gt;0,+J80/'DA-5'!H$117,0)</f>
        <v>0.17796003775013625</v>
      </c>
      <c r="V80" s="768">
        <f ca="1">IF(K80&lt;&gt;0,+K80/'DA-5'!I$117,0)</f>
        <v>0.17961148170662405</v>
      </c>
    </row>
    <row r="81" spans="1:22" s="767" customFormat="1">
      <c r="A81" s="5"/>
      <c r="B81" s="249"/>
      <c r="C81" s="425" t="str">
        <v>Materials - Land</v>
      </c>
      <c r="D81" s="426" t="str">
        <v>Other</v>
      </c>
      <c r="E81" s="847">
        <f ca="1"/>
        <v>0</v>
      </c>
      <c r="F81" s="386">
        <f ca="1"/>
        <v>0</v>
      </c>
      <c r="G81" s="383">
        <f ca="1"/>
        <v>0</v>
      </c>
      <c r="H81" s="383">
        <f ca="1"/>
        <v>0</v>
      </c>
      <c r="I81" s="383">
        <f ca="1"/>
        <v>0</v>
      </c>
      <c r="J81" s="383">
        <f ca="1"/>
        <v>0</v>
      </c>
      <c r="K81" s="383">
        <f ca="1"/>
        <v>0</v>
      </c>
      <c r="P81" s="386"/>
      <c r="Q81" s="768">
        <f ca="1">IF(F81&lt;&gt;0,+F81/'DA-5'!D$118,0)</f>
        <v>0</v>
      </c>
      <c r="R81" s="768">
        <f ca="1">IF(G81&lt;&gt;0,+G81/'DA-5'!E$118,0)</f>
        <v>0</v>
      </c>
      <c r="S81" s="768">
        <f ca="1">IF(H81&lt;&gt;0,+H81/'DA-5'!F$118,0)</f>
        <v>0</v>
      </c>
      <c r="T81" s="768">
        <f ca="1">IF(I81&lt;&gt;0,+I81/'DA-5'!G$118,0)</f>
        <v>0</v>
      </c>
      <c r="U81" s="768">
        <f ca="1">IF(J81&lt;&gt;0,+J81/'DA-5'!H$118,0)</f>
        <v>0</v>
      </c>
      <c r="V81" s="768">
        <f ca="1">IF(K81&lt;&gt;0,+K81/'DA-5'!I$118,0)</f>
        <v>0</v>
      </c>
    </row>
    <row r="82" spans="1:22" ht="14.25" customHeight="1">
      <c r="A82" s="5"/>
      <c r="B82" s="249" t="str">
        <f ca="1">+'I-4 History'!B52</f>
        <v>DA-6</v>
      </c>
      <c r="C82" s="14" t="str">
        <f ca="1">+'I-4 History'!C52</f>
        <v>Operational Asset Management</v>
      </c>
      <c r="D82" s="418"/>
      <c r="E82" s="507"/>
      <c r="F82" s="11"/>
      <c r="G82" s="11"/>
      <c r="H82" s="11"/>
      <c r="I82" s="11"/>
      <c r="J82" s="11"/>
      <c r="K82" s="11"/>
      <c r="P82" s="11"/>
      <c r="Q82" s="11"/>
      <c r="R82" s="11"/>
      <c r="S82" s="11"/>
      <c r="T82" s="11"/>
      <c r="U82" s="11"/>
      <c r="V82" s="11"/>
    </row>
    <row r="83" spans="1:22">
      <c r="A83" s="5"/>
      <c r="B83" s="249"/>
      <c r="C83" s="424" t="s">
        <v>74</v>
      </c>
      <c r="D83" s="416"/>
      <c r="E83" s="507"/>
      <c r="F83" s="11"/>
      <c r="G83" s="11"/>
      <c r="H83" s="11"/>
      <c r="I83" s="11"/>
      <c r="J83" s="11"/>
      <c r="K83" s="11"/>
      <c r="P83" s="11"/>
      <c r="Q83" s="11"/>
      <c r="R83" s="11"/>
      <c r="S83" s="11"/>
      <c r="T83" s="11"/>
      <c r="U83" s="11"/>
      <c r="V83" s="11"/>
    </row>
    <row r="84" spans="1:22">
      <c r="A84" s="5"/>
      <c r="B84" s="249"/>
      <c r="C84" s="425" t="str">
        <f t="array" ref="C84:D89">+'DA-6'!$A$77:$B$82</f>
        <v>Total Output Growth</v>
      </c>
      <c r="D84" s="426" t="str">
        <v>Labour</v>
      </c>
      <c r="E84" s="847">
        <f t="array" ref="E84:K89" ca="1">+'DA-6'!$N$77:$T$82</f>
        <v>0</v>
      </c>
      <c r="F84" s="386">
        <f ca="1"/>
        <v>0</v>
      </c>
      <c r="G84" s="522">
        <f ca="1"/>
        <v>1.9522323237472622E-3</v>
      </c>
      <c r="H84" s="383">
        <f ca="1"/>
        <v>3.7611431027445618E-3</v>
      </c>
      <c r="I84" s="383">
        <f ca="1"/>
        <v>5.5492313212231661E-3</v>
      </c>
      <c r="J84" s="383">
        <f ca="1"/>
        <v>7.4891634270472076E-3</v>
      </c>
      <c r="K84" s="383">
        <f ca="1"/>
        <v>9.2661557544960332E-3</v>
      </c>
      <c r="L84" s="790"/>
      <c r="M84" s="790"/>
      <c r="N84" s="790"/>
      <c r="O84" s="790"/>
      <c r="P84" s="386"/>
      <c r="Q84" s="768">
        <f ca="1">IF(F84&lt;&gt;0,+F84/'DA-6'!D$77,0)</f>
        <v>0</v>
      </c>
      <c r="R84" s="768">
        <f ca="1">IF(G84&lt;&gt;0,+G84/'DA-6'!E$77,0)</f>
        <v>0.184</v>
      </c>
      <c r="S84" s="768">
        <f ca="1">IF(H84&lt;&gt;0,+H84/'DA-6'!F$77,0)</f>
        <v>0.184</v>
      </c>
      <c r="T84" s="768">
        <f ca="1">IF(I84&lt;&gt;0,+I84/'DA-6'!G$77,0)</f>
        <v>0.184</v>
      </c>
      <c r="U84" s="768">
        <f ca="1">IF(J84&lt;&gt;0,+J84/'DA-6'!H$77,0)</f>
        <v>0.184</v>
      </c>
      <c r="V84" s="768">
        <f ca="1">IF(K84&lt;&gt;0,+K84/'DA-6'!I$77,0)</f>
        <v>0.184</v>
      </c>
    </row>
    <row r="85" spans="1:22">
      <c r="A85" s="5"/>
      <c r="B85" s="249"/>
      <c r="C85" s="425" t="str">
        <v>Total Output Growth</v>
      </c>
      <c r="D85" s="426" t="str">
        <v>Materials</v>
      </c>
      <c r="E85" s="847">
        <f ca="1"/>
        <v>0</v>
      </c>
      <c r="F85" s="386">
        <f ca="1"/>
        <v>0</v>
      </c>
      <c r="G85" s="522">
        <f ca="1"/>
        <v>0</v>
      </c>
      <c r="H85" s="383">
        <f ca="1"/>
        <v>0</v>
      </c>
      <c r="I85" s="383">
        <f ca="1"/>
        <v>0</v>
      </c>
      <c r="J85" s="383">
        <f ca="1"/>
        <v>0</v>
      </c>
      <c r="K85" s="383">
        <f ca="1"/>
        <v>0</v>
      </c>
      <c r="L85" s="790"/>
      <c r="M85" s="790"/>
      <c r="N85" s="790"/>
      <c r="O85" s="790"/>
      <c r="P85" s="386"/>
      <c r="Q85" s="768">
        <f ca="1">IF(F85&lt;&gt;0,+F85/'DA-6'!D$78,0)</f>
        <v>0</v>
      </c>
      <c r="R85" s="768">
        <f ca="1">IF(G85&lt;&gt;0,+G85/'DA-6'!E$78,0)</f>
        <v>0</v>
      </c>
      <c r="S85" s="768">
        <f ca="1">IF(H85&lt;&gt;0,+H85/'DA-6'!F$78,0)</f>
        <v>0</v>
      </c>
      <c r="T85" s="768">
        <f ca="1">IF(I85&lt;&gt;0,+I85/'DA-6'!G$78,0)</f>
        <v>0</v>
      </c>
      <c r="U85" s="768">
        <f ca="1">IF(J85&lt;&gt;0,+J85/'DA-6'!H$78,0)</f>
        <v>0</v>
      </c>
      <c r="V85" s="768">
        <f ca="1">IF(K85&lt;&gt;0,+K85/'DA-6'!I$78,0)</f>
        <v>0</v>
      </c>
    </row>
    <row r="86" spans="1:22">
      <c r="A86" s="5"/>
      <c r="B86" s="249"/>
      <c r="C86" s="425" t="str">
        <v>Total Output Growth</v>
      </c>
      <c r="D86" s="426" t="str">
        <v>Contracts</v>
      </c>
      <c r="E86" s="847">
        <f ca="1"/>
        <v>0</v>
      </c>
      <c r="F86" s="386">
        <f ca="1"/>
        <v>0</v>
      </c>
      <c r="G86" s="522">
        <f ca="1"/>
        <v>0</v>
      </c>
      <c r="H86" s="383">
        <f ca="1"/>
        <v>0</v>
      </c>
      <c r="I86" s="383">
        <f ca="1"/>
        <v>0</v>
      </c>
      <c r="J86" s="383">
        <f ca="1"/>
        <v>0</v>
      </c>
      <c r="K86" s="383">
        <f ca="1"/>
        <v>0</v>
      </c>
      <c r="L86" s="790"/>
      <c r="M86" s="790"/>
      <c r="N86" s="790"/>
      <c r="O86" s="790"/>
      <c r="P86" s="386"/>
      <c r="Q86" s="768">
        <f ca="1">IF(F86&lt;&gt;0,+F86/'DA-6'!D$79,0)</f>
        <v>0</v>
      </c>
      <c r="R86" s="768">
        <f ca="1">IF(G86&lt;&gt;0,+G86/'DA-6'!E$79,0)</f>
        <v>0</v>
      </c>
      <c r="S86" s="768">
        <f ca="1">IF(H86&lt;&gt;0,+H86/'DA-6'!F$79,0)</f>
        <v>0</v>
      </c>
      <c r="T86" s="768">
        <f ca="1">IF(I86&lt;&gt;0,+I86/'DA-6'!G$79,0)</f>
        <v>0</v>
      </c>
      <c r="U86" s="768">
        <f ca="1">IF(J86&lt;&gt;0,+J86/'DA-6'!H$79,0)</f>
        <v>0</v>
      </c>
      <c r="V86" s="768">
        <f ca="1">IF(K86&lt;&gt;0,+K86/'DA-6'!I$79,0)</f>
        <v>0</v>
      </c>
    </row>
    <row r="87" spans="1:22" s="790" customFormat="1">
      <c r="A87" s="5"/>
      <c r="B87" s="249"/>
      <c r="C87" s="425" t="str">
        <v>Total Output Growth</v>
      </c>
      <c r="D87" s="426" t="str">
        <v>Services Other</v>
      </c>
      <c r="E87" s="847">
        <f ca="1"/>
        <v>0</v>
      </c>
      <c r="F87" s="386">
        <f ca="1"/>
        <v>0</v>
      </c>
      <c r="G87" s="383">
        <f ca="1"/>
        <v>0</v>
      </c>
      <c r="H87" s="383">
        <f ca="1"/>
        <v>0</v>
      </c>
      <c r="I87" s="383">
        <f ca="1"/>
        <v>0</v>
      </c>
      <c r="J87" s="383">
        <f ca="1"/>
        <v>0</v>
      </c>
      <c r="K87" s="383">
        <f ca="1"/>
        <v>0</v>
      </c>
      <c r="P87" s="386"/>
      <c r="Q87" s="768">
        <f ca="1">IF(F87&lt;&gt;0,+F87/'DA-6'!D$80,0)</f>
        <v>0</v>
      </c>
      <c r="R87" s="768">
        <f ca="1">IF(G87&lt;&gt;0,+G87/'DA-6'!E$80,0)</f>
        <v>0</v>
      </c>
      <c r="S87" s="768">
        <f ca="1">IF(H87&lt;&gt;0,+H87/'DA-6'!F$80,0)</f>
        <v>0</v>
      </c>
      <c r="T87" s="768">
        <f ca="1">IF(I87&lt;&gt;0,+I87/'DA-6'!G$80,0)</f>
        <v>0</v>
      </c>
      <c r="U87" s="768">
        <f ca="1">IF(J87&lt;&gt;0,+J87/'DA-6'!H$80,0)</f>
        <v>0</v>
      </c>
      <c r="V87" s="768">
        <f ca="1">IF(K87&lt;&gt;0,+K87/'DA-6'!I$80,0)</f>
        <v>0</v>
      </c>
    </row>
    <row r="88" spans="1:22" s="790" customFormat="1">
      <c r="A88" s="5"/>
      <c r="B88" s="249"/>
      <c r="C88" s="425" t="str">
        <v>Total Output Growth</v>
      </c>
      <c r="D88" s="426" t="str">
        <v>Business Overheads</v>
      </c>
      <c r="E88" s="847">
        <f ca="1"/>
        <v>0</v>
      </c>
      <c r="F88" s="386">
        <f ca="1"/>
        <v>0</v>
      </c>
      <c r="G88" s="383">
        <f ca="1"/>
        <v>1.6975933249976195E-4</v>
      </c>
      <c r="H88" s="383">
        <f ca="1"/>
        <v>3.2705592197778798E-4</v>
      </c>
      <c r="I88" s="383">
        <f ca="1"/>
        <v>4.8254185401940577E-4</v>
      </c>
      <c r="J88" s="383">
        <f ca="1"/>
        <v>6.5123160235193108E-4</v>
      </c>
      <c r="K88" s="383">
        <f ca="1"/>
        <v>8.057526743040029E-4</v>
      </c>
      <c r="P88" s="386"/>
      <c r="Q88" s="768">
        <f ca="1">IF(F88&lt;&gt;0,+F88/'DA-6'!D$81,0)</f>
        <v>0</v>
      </c>
      <c r="R88" s="768">
        <f ca="1">IF(G88&lt;&gt;0,+G88/'DA-6'!E$81,0)</f>
        <v>1.6E-2</v>
      </c>
      <c r="S88" s="768">
        <f ca="1">IF(H88&lt;&gt;0,+H88/'DA-6'!F$81,0)</f>
        <v>1.6E-2</v>
      </c>
      <c r="T88" s="768">
        <f ca="1">IF(I88&lt;&gt;0,+I88/'DA-6'!G$81,0)</f>
        <v>1.6E-2</v>
      </c>
      <c r="U88" s="768">
        <f ca="1">IF(J88&lt;&gt;0,+J88/'DA-6'!H$81,0)</f>
        <v>1.6E-2</v>
      </c>
      <c r="V88" s="768">
        <f ca="1">IF(K88&lt;&gt;0,+K88/'DA-6'!I$81,0)</f>
        <v>1.6E-2</v>
      </c>
    </row>
    <row r="89" spans="1:22" s="790" customFormat="1">
      <c r="A89" s="5"/>
      <c r="B89" s="249"/>
      <c r="C89" s="425" t="str">
        <v>Total Output Growth</v>
      </c>
      <c r="D89" s="426" t="str">
        <v>Other</v>
      </c>
      <c r="E89" s="847">
        <f ca="1"/>
        <v>0</v>
      </c>
      <c r="F89" s="386">
        <f ca="1"/>
        <v>0</v>
      </c>
      <c r="G89" s="383">
        <f ca="1"/>
        <v>0</v>
      </c>
      <c r="H89" s="383">
        <f ca="1"/>
        <v>0</v>
      </c>
      <c r="I89" s="383">
        <f ca="1"/>
        <v>0</v>
      </c>
      <c r="J89" s="383">
        <f ca="1"/>
        <v>0</v>
      </c>
      <c r="K89" s="383">
        <f ca="1"/>
        <v>0</v>
      </c>
      <c r="P89" s="386"/>
      <c r="Q89" s="768">
        <f ca="1">IF(F89&lt;&gt;0,+F89/'DA-6'!D$82,0)</f>
        <v>0</v>
      </c>
      <c r="R89" s="768">
        <f ca="1">IF(G89&lt;&gt;0,+G89/'DA-6'!E$82,0)</f>
        <v>0</v>
      </c>
      <c r="S89" s="768">
        <f ca="1">IF(H89&lt;&gt;0,+H89/'DA-6'!F$82,0)</f>
        <v>0</v>
      </c>
      <c r="T89" s="768">
        <f ca="1">IF(I89&lt;&gt;0,+I89/'DA-6'!G$82,0)</f>
        <v>0</v>
      </c>
      <c r="U89" s="768">
        <f ca="1">IF(J89&lt;&gt;0,+J89/'DA-6'!H$82,0)</f>
        <v>0</v>
      </c>
      <c r="V89" s="768">
        <f ca="1">IF(K89&lt;&gt;0,+K89/'DA-6'!I$82,0)</f>
        <v>0</v>
      </c>
    </row>
    <row r="90" spans="1:22">
      <c r="A90" s="5"/>
      <c r="B90" s="249"/>
      <c r="C90" s="424" t="s">
        <v>73</v>
      </c>
      <c r="D90" s="417"/>
      <c r="E90" s="848"/>
      <c r="F90" s="387"/>
      <c r="G90" s="385"/>
      <c r="H90" s="385"/>
      <c r="I90" s="385"/>
      <c r="J90" s="385"/>
      <c r="K90" s="385"/>
      <c r="P90" s="387"/>
      <c r="Q90" s="385"/>
      <c r="R90" s="385"/>
      <c r="S90" s="385"/>
      <c r="T90" s="385"/>
      <c r="U90" s="385"/>
      <c r="V90" s="385"/>
    </row>
    <row r="91" spans="1:22" s="767" customFormat="1">
      <c r="A91" s="5"/>
      <c r="B91" s="249"/>
      <c r="C91" s="425" t="str">
        <f t="array" ref="C91:D96">+'DA-6'!$A$113:$B$119</f>
        <v>Labour</v>
      </c>
      <c r="D91" s="426" t="str">
        <v>Labour</v>
      </c>
      <c r="E91" s="847">
        <f t="array" ref="E91:K96" ca="1">+'DA-6'!$N$113:$T$119</f>
        <v>0</v>
      </c>
      <c r="F91" s="386">
        <f ca="1"/>
        <v>0</v>
      </c>
      <c r="G91" s="383">
        <f ca="1"/>
        <v>3.990156660680054E-3</v>
      </c>
      <c r="H91" s="383">
        <f ca="1"/>
        <v>8.1443979612213259E-3</v>
      </c>
      <c r="I91" s="383">
        <f ca="1"/>
        <v>1.2698261404190366E-2</v>
      </c>
      <c r="J91" s="383">
        <f ca="1"/>
        <v>1.7452688675531857E-2</v>
      </c>
      <c r="K91" s="383">
        <f ca="1"/>
        <v>2.2387669443750639E-2</v>
      </c>
      <c r="P91" s="386"/>
      <c r="Q91" s="768">
        <f ca="1">IF(F91&lt;&gt;0,+F91/'DA-6'!D$113,0)</f>
        <v>0</v>
      </c>
      <c r="R91" s="768">
        <f ca="1">IF(G91&lt;&gt;0,+G91/'DA-6'!E$113,0)</f>
        <v>0.18595223232374727</v>
      </c>
      <c r="S91" s="768">
        <f ca="1">IF(H91&lt;&gt;0,+H91/'DA-6'!F$113,0)</f>
        <v>0.18776114310274458</v>
      </c>
      <c r="T91" s="768">
        <f ca="1">IF(I91&lt;&gt;0,+I91/'DA-6'!G$113,0)</f>
        <v>0.18954923132122317</v>
      </c>
      <c r="U91" s="768">
        <f ca="1">IF(J91&lt;&gt;0,+J91/'DA-6'!H$113,0)</f>
        <v>0.19148916342704719</v>
      </c>
      <c r="V91" s="768">
        <f ca="1">IF(K91&lt;&gt;0,+K91/'DA-6'!I$113,0)</f>
        <v>0.19326615575449602</v>
      </c>
    </row>
    <row r="92" spans="1:22" s="767" customFormat="1">
      <c r="A92" s="5"/>
      <c r="B92" s="249"/>
      <c r="C92" s="425" t="str">
        <v>Materials</v>
      </c>
      <c r="D92" s="426" t="str">
        <v>Materials</v>
      </c>
      <c r="E92" s="847">
        <f ca="1"/>
        <v>0</v>
      </c>
      <c r="F92" s="386">
        <f ca="1"/>
        <v>0</v>
      </c>
      <c r="G92" s="383">
        <f ca="1"/>
        <v>0</v>
      </c>
      <c r="H92" s="383">
        <f ca="1"/>
        <v>0</v>
      </c>
      <c r="I92" s="383">
        <f ca="1"/>
        <v>0</v>
      </c>
      <c r="J92" s="383">
        <f ca="1"/>
        <v>0</v>
      </c>
      <c r="K92" s="383">
        <f ca="1"/>
        <v>0</v>
      </c>
      <c r="P92" s="386"/>
      <c r="Q92" s="768">
        <f ca="1">IF(F92&lt;&gt;0,+F92/'DA-6'!D$114,0)</f>
        <v>0</v>
      </c>
      <c r="R92" s="768">
        <f ca="1">IF(G92&lt;&gt;0,+G92/'DA-6'!E$114,0)</f>
        <v>0</v>
      </c>
      <c r="S92" s="768">
        <f ca="1">IF(H92&lt;&gt;0,+H92/'DA-6'!F$114,0)</f>
        <v>0</v>
      </c>
      <c r="T92" s="768">
        <f ca="1">IF(I92&lt;&gt;0,+I92/'DA-6'!G$114,0)</f>
        <v>0</v>
      </c>
      <c r="U92" s="768">
        <f ca="1">IF(J92&lt;&gt;0,+J92/'DA-6'!H$114,0)</f>
        <v>0</v>
      </c>
      <c r="V92" s="768">
        <f ca="1">IF(K92&lt;&gt;0,+K92/'DA-6'!I$114,0)</f>
        <v>0</v>
      </c>
    </row>
    <row r="93" spans="1:22" s="767" customFormat="1">
      <c r="A93" s="5"/>
      <c r="B93" s="249"/>
      <c r="C93" s="425" t="str">
        <v>Services-construction</v>
      </c>
      <c r="D93" s="426" t="str">
        <v>Contracts</v>
      </c>
      <c r="E93" s="847">
        <f ca="1"/>
        <v>0</v>
      </c>
      <c r="F93" s="386">
        <f ca="1"/>
        <v>0</v>
      </c>
      <c r="G93" s="383">
        <f ca="1"/>
        <v>0</v>
      </c>
      <c r="H93" s="383">
        <f ca="1"/>
        <v>0</v>
      </c>
      <c r="I93" s="383">
        <f ca="1"/>
        <v>0</v>
      </c>
      <c r="J93" s="383">
        <f ca="1"/>
        <v>0</v>
      </c>
      <c r="K93" s="383">
        <f ca="1"/>
        <v>0</v>
      </c>
      <c r="P93" s="386"/>
      <c r="Q93" s="768">
        <f ca="1">IF(F93&lt;&gt;0,+F93/'DA-6'!D$115,0)</f>
        <v>0</v>
      </c>
      <c r="R93" s="768">
        <f ca="1">IF(G93&lt;&gt;0,+G93/'DA-6'!E$115,0)</f>
        <v>0</v>
      </c>
      <c r="S93" s="768">
        <f ca="1">IF(H93&lt;&gt;0,+H93/'DA-6'!F$115,0)</f>
        <v>0</v>
      </c>
      <c r="T93" s="768">
        <f ca="1">IF(I93&lt;&gt;0,+I93/'DA-6'!G$115,0)</f>
        <v>0</v>
      </c>
      <c r="U93" s="768">
        <f ca="1">IF(J93&lt;&gt;0,+J93/'DA-6'!H$115,0)</f>
        <v>0</v>
      </c>
      <c r="V93" s="768">
        <f ca="1">IF(K93&lt;&gt;0,+K93/'DA-6'!I$115,0)</f>
        <v>0</v>
      </c>
    </row>
    <row r="94" spans="1:22" s="767" customFormat="1">
      <c r="A94" s="5"/>
      <c r="B94" s="249"/>
      <c r="C94" s="425" t="str">
        <v>Services-general</v>
      </c>
      <c r="D94" s="426" t="str">
        <v>Services Other</v>
      </c>
      <c r="E94" s="847">
        <f ca="1"/>
        <v>0</v>
      </c>
      <c r="F94" s="386">
        <f ca="1"/>
        <v>0</v>
      </c>
      <c r="G94" s="383">
        <f ca="1"/>
        <v>0</v>
      </c>
      <c r="H94" s="383">
        <f ca="1"/>
        <v>0</v>
      </c>
      <c r="I94" s="383">
        <f ca="1"/>
        <v>0</v>
      </c>
      <c r="J94" s="383">
        <f ca="1"/>
        <v>0</v>
      </c>
      <c r="K94" s="383">
        <f ca="1"/>
        <v>0</v>
      </c>
      <c r="P94" s="386"/>
      <c r="Q94" s="768">
        <f ca="1">IF(F94&lt;&gt;0,+F94/'DA-6'!D$116,0)</f>
        <v>0</v>
      </c>
      <c r="R94" s="768">
        <f ca="1">IF(G94&lt;&gt;0,+G94/'DA-6'!E$116,0)</f>
        <v>0</v>
      </c>
      <c r="S94" s="768">
        <f ca="1">IF(H94&lt;&gt;0,+H94/'DA-6'!F$116,0)</f>
        <v>0</v>
      </c>
      <c r="T94" s="768">
        <f ca="1">IF(I94&lt;&gt;0,+I94/'DA-6'!G$116,0)</f>
        <v>0</v>
      </c>
      <c r="U94" s="768">
        <f ca="1">IF(J94&lt;&gt;0,+J94/'DA-6'!H$116,0)</f>
        <v>0</v>
      </c>
      <c r="V94" s="768">
        <f ca="1">IF(K94&lt;&gt;0,+K94/'DA-6'!I$116,0)</f>
        <v>0</v>
      </c>
    </row>
    <row r="95" spans="1:22" s="767" customFormat="1">
      <c r="A95" s="5"/>
      <c r="B95" s="249"/>
      <c r="C95" s="425" t="str">
        <v>Labour</v>
      </c>
      <c r="D95" s="426" t="str">
        <v>Business Overheads</v>
      </c>
      <c r="E95" s="847">
        <f ca="1"/>
        <v>0</v>
      </c>
      <c r="F95" s="386">
        <f ca="1"/>
        <v>0</v>
      </c>
      <c r="G95" s="383">
        <f ca="1"/>
        <v>3.4697014440696121E-4</v>
      </c>
      <c r="H95" s="383">
        <f ca="1"/>
        <v>7.0820851836707181E-4</v>
      </c>
      <c r="I95" s="383">
        <f ca="1"/>
        <v>1.1041966438426407E-3</v>
      </c>
      <c r="J95" s="383">
        <f ca="1"/>
        <v>1.5176251022201617E-3</v>
      </c>
      <c r="K95" s="383">
        <f ca="1"/>
        <v>1.9467538646739686E-3</v>
      </c>
      <c r="P95" s="386"/>
      <c r="Q95" s="768">
        <f ca="1">IF(F95&lt;&gt;0,+F95/'DA-6'!D$117,0)</f>
        <v>0</v>
      </c>
      <c r="R95" s="768">
        <f ca="1">IF(G95&lt;&gt;0,+G95/'DA-6'!E$117,0)</f>
        <v>1.6169759332499763E-2</v>
      </c>
      <c r="S95" s="768">
        <f ca="1">IF(H95&lt;&gt;0,+H95/'DA-6'!F$117,0)</f>
        <v>1.6327055921977789E-2</v>
      </c>
      <c r="T95" s="768">
        <f ca="1">IF(I95&lt;&gt;0,+I95/'DA-6'!G$117,0)</f>
        <v>1.6482541854019407E-2</v>
      </c>
      <c r="U95" s="768">
        <f ca="1">IF(J95&lt;&gt;0,+J95/'DA-6'!H$117,0)</f>
        <v>1.6651231602351931E-2</v>
      </c>
      <c r="V95" s="768">
        <f ca="1">IF(K95&lt;&gt;0,+K95/'DA-6'!I$117,0)</f>
        <v>1.6805752674304002E-2</v>
      </c>
    </row>
    <row r="96" spans="1:22" s="767" customFormat="1">
      <c r="A96" s="5"/>
      <c r="B96" s="249"/>
      <c r="C96" s="425" t="str">
        <v>Materials - Land</v>
      </c>
      <c r="D96" s="426" t="str">
        <v>Other</v>
      </c>
      <c r="E96" s="847">
        <f ca="1"/>
        <v>0</v>
      </c>
      <c r="F96" s="386">
        <f ca="1"/>
        <v>0</v>
      </c>
      <c r="G96" s="383">
        <f ca="1"/>
        <v>0</v>
      </c>
      <c r="H96" s="383">
        <f ca="1"/>
        <v>0</v>
      </c>
      <c r="I96" s="383">
        <f ca="1"/>
        <v>0</v>
      </c>
      <c r="J96" s="383">
        <f ca="1"/>
        <v>0</v>
      </c>
      <c r="K96" s="383">
        <f ca="1"/>
        <v>0</v>
      </c>
      <c r="P96" s="386"/>
      <c r="Q96" s="768">
        <f ca="1">IF(F96&lt;&gt;0,+F96/'DA-6'!D$118,0)</f>
        <v>0</v>
      </c>
      <c r="R96" s="768">
        <f ca="1">IF(G96&lt;&gt;0,+G96/'DA-6'!E$118,0)</f>
        <v>0</v>
      </c>
      <c r="S96" s="768">
        <f ca="1">IF(H96&lt;&gt;0,+H96/'DA-6'!F$118,0)</f>
        <v>0</v>
      </c>
      <c r="T96" s="768">
        <f ca="1">IF(I96&lt;&gt;0,+I96/'DA-6'!G$118,0)</f>
        <v>0</v>
      </c>
      <c r="U96" s="768">
        <f ca="1">IF(J96&lt;&gt;0,+J96/'DA-6'!H$118,0)</f>
        <v>0</v>
      </c>
      <c r="V96" s="768">
        <f ca="1">IF(K96&lt;&gt;0,+K96/'DA-6'!I$118,0)</f>
        <v>0</v>
      </c>
    </row>
    <row r="97" spans="1:22">
      <c r="A97" s="5"/>
      <c r="B97" s="249" t="str">
        <f ca="1">+'I-4 History'!B61</f>
        <v>DA-7</v>
      </c>
      <c r="C97" s="14" t="str">
        <f ca="1">+'I-4 History'!C61</f>
        <v>Maintenance of Asset Information</v>
      </c>
      <c r="D97" s="418"/>
      <c r="E97" s="507"/>
      <c r="F97" s="11"/>
      <c r="G97" s="11"/>
      <c r="H97" s="11"/>
      <c r="I97" s="11"/>
      <c r="J97" s="11"/>
      <c r="K97" s="11"/>
      <c r="P97" s="11"/>
      <c r="Q97" s="11"/>
      <c r="R97" s="11"/>
      <c r="S97" s="11"/>
      <c r="T97" s="11"/>
      <c r="U97" s="11"/>
      <c r="V97" s="11"/>
    </row>
    <row r="98" spans="1:22" ht="15.75" customHeight="1">
      <c r="A98" s="5"/>
      <c r="B98" s="249"/>
      <c r="C98" s="424" t="s">
        <v>74</v>
      </c>
      <c r="D98" s="416"/>
      <c r="E98" s="507"/>
      <c r="F98" s="11"/>
      <c r="G98" s="11"/>
      <c r="H98" s="11"/>
      <c r="I98" s="11"/>
      <c r="J98" s="11"/>
      <c r="K98" s="11"/>
      <c r="P98" s="11"/>
      <c r="Q98" s="11"/>
      <c r="R98" s="11"/>
      <c r="S98" s="11"/>
      <c r="T98" s="11"/>
      <c r="U98" s="11"/>
      <c r="V98" s="11"/>
    </row>
    <row r="99" spans="1:22" s="767" customFormat="1">
      <c r="A99" s="5"/>
      <c r="B99" s="249"/>
      <c r="C99" s="425" t="str">
        <f t="array" ref="C99:D104">+'DA-7'!$A$77:$B$82</f>
        <v>Total Output Growth</v>
      </c>
      <c r="D99" s="426" t="str">
        <v>Labour</v>
      </c>
      <c r="E99" s="847">
        <f t="array" ref="E99:K104" ca="1">+'DA-7'!$N$77:$T$82</f>
        <v>0</v>
      </c>
      <c r="F99" s="386">
        <f ca="1"/>
        <v>0</v>
      </c>
      <c r="G99" s="522">
        <f ca="1"/>
        <v>2.1898953892469292E-2</v>
      </c>
      <c r="H99" s="383">
        <f ca="1"/>
        <v>4.2190213935134654E-2</v>
      </c>
      <c r="I99" s="383">
        <f ca="1"/>
        <v>6.2247899168503346E-2</v>
      </c>
      <c r="J99" s="383">
        <f ca="1"/>
        <v>8.4008876703399113E-2</v>
      </c>
      <c r="K99" s="383">
        <f ca="1"/>
        <v>0.10394209498521638</v>
      </c>
      <c r="L99" s="790"/>
      <c r="M99" s="790"/>
      <c r="N99" s="790"/>
      <c r="O99" s="790"/>
      <c r="P99" s="386"/>
      <c r="Q99" s="768">
        <f ca="1">IF(F99&lt;&gt;0,+F99/'DA-7'!D$77,0)</f>
        <v>0</v>
      </c>
      <c r="R99" s="768">
        <f ca="1">IF(G99&lt;&gt;0,+G99/'DA-7'!E$77,0)</f>
        <v>2.0640000000000001</v>
      </c>
      <c r="S99" s="768">
        <f ca="1">IF(H99&lt;&gt;0,+H99/'DA-7'!F$77,0)</f>
        <v>2.0640000000000001</v>
      </c>
      <c r="T99" s="768">
        <f ca="1">IF(I99&lt;&gt;0,+I99/'DA-7'!G$77,0)</f>
        <v>2.0640000000000001</v>
      </c>
      <c r="U99" s="768">
        <f ca="1">IF(J99&lt;&gt;0,+J99/'DA-7'!H$77,0)</f>
        <v>2.0640000000000001</v>
      </c>
      <c r="V99" s="768">
        <f ca="1">IF(K99&lt;&gt;0,+K99/'DA-7'!I$77,0)</f>
        <v>2.0640000000000001</v>
      </c>
    </row>
    <row r="100" spans="1:22" s="767" customFormat="1">
      <c r="A100" s="5"/>
      <c r="B100" s="249"/>
      <c r="C100" s="425" t="str">
        <v>Total Output Growth</v>
      </c>
      <c r="D100" s="426" t="str">
        <v>Materials</v>
      </c>
      <c r="E100" s="847">
        <f ca="1"/>
        <v>0</v>
      </c>
      <c r="F100" s="386">
        <f ca="1"/>
        <v>0</v>
      </c>
      <c r="G100" s="522">
        <f ca="1"/>
        <v>6.3659749687410724E-5</v>
      </c>
      <c r="H100" s="383">
        <f ca="1"/>
        <v>1.2264597074167051E-4</v>
      </c>
      <c r="I100" s="383">
        <f ca="1"/>
        <v>1.8095319525727717E-4</v>
      </c>
      <c r="J100" s="383">
        <f ca="1"/>
        <v>2.4421185088197418E-4</v>
      </c>
      <c r="K100" s="383">
        <f ca="1"/>
        <v>3.0215725286400106E-4</v>
      </c>
      <c r="L100" s="790"/>
      <c r="M100" s="790"/>
      <c r="N100" s="790"/>
      <c r="O100" s="790"/>
      <c r="P100" s="386"/>
      <c r="Q100" s="768">
        <f ca="1">IF(F100&lt;&gt;0,+F100/'DA-7'!D$78,0)</f>
        <v>0</v>
      </c>
      <c r="R100" s="768">
        <f ca="1">IF(G100&lt;&gt;0,+G100/'DA-7'!E$78,0)</f>
        <v>5.9999999999999993E-3</v>
      </c>
      <c r="S100" s="768">
        <f ca="1">IF(H100&lt;&gt;0,+H100/'DA-7'!F$78,0)</f>
        <v>6.000000000000001E-3</v>
      </c>
      <c r="T100" s="768">
        <f ca="1">IF(I100&lt;&gt;0,+I100/'DA-7'!G$78,0)</f>
        <v>6.0000000000000001E-3</v>
      </c>
      <c r="U100" s="768">
        <f ca="1">IF(J100&lt;&gt;0,+J100/'DA-7'!H$78,0)</f>
        <v>6.0000000000000001E-3</v>
      </c>
      <c r="V100" s="768">
        <f ca="1">IF(K100&lt;&gt;0,+K100/'DA-7'!I$78,0)</f>
        <v>5.9999999999999993E-3</v>
      </c>
    </row>
    <row r="101" spans="1:22" s="767" customFormat="1">
      <c r="A101" s="5"/>
      <c r="B101" s="249"/>
      <c r="C101" s="425" t="str">
        <v>Total Output Growth</v>
      </c>
      <c r="D101" s="426" t="str">
        <v>Contracts</v>
      </c>
      <c r="E101" s="847">
        <f ca="1"/>
        <v>0</v>
      </c>
      <c r="F101" s="386">
        <f ca="1"/>
        <v>0</v>
      </c>
      <c r="G101" s="522">
        <f ca="1"/>
        <v>0</v>
      </c>
      <c r="H101" s="383">
        <f ca="1"/>
        <v>0</v>
      </c>
      <c r="I101" s="383">
        <f ca="1"/>
        <v>0</v>
      </c>
      <c r="J101" s="383">
        <f ca="1"/>
        <v>0</v>
      </c>
      <c r="K101" s="383">
        <f ca="1"/>
        <v>0</v>
      </c>
      <c r="L101" s="790"/>
      <c r="M101" s="790"/>
      <c r="N101" s="790"/>
      <c r="O101" s="790"/>
      <c r="P101" s="386"/>
      <c r="Q101" s="768">
        <f ca="1">IF(F101&lt;&gt;0,+F101/'DA-7'!D$79,0)</f>
        <v>0</v>
      </c>
      <c r="R101" s="768">
        <f ca="1">IF(G101&lt;&gt;0,+G101/'DA-7'!E$79,0)</f>
        <v>0</v>
      </c>
      <c r="S101" s="768">
        <f ca="1">IF(H101&lt;&gt;0,+H101/'DA-7'!F$79,0)</f>
        <v>0</v>
      </c>
      <c r="T101" s="768">
        <f ca="1">IF(I101&lt;&gt;0,+I101/'DA-7'!G$79,0)</f>
        <v>0</v>
      </c>
      <c r="U101" s="768">
        <f ca="1">IF(J101&lt;&gt;0,+J101/'DA-7'!H$79,0)</f>
        <v>0</v>
      </c>
      <c r="V101" s="768">
        <f ca="1">IF(K101&lt;&gt;0,+K101/'DA-7'!I$79,0)</f>
        <v>0</v>
      </c>
    </row>
    <row r="102" spans="1:22" s="790" customFormat="1">
      <c r="A102" s="5"/>
      <c r="B102" s="249"/>
      <c r="C102" s="425" t="str">
        <v>Total Output Growth</v>
      </c>
      <c r="D102" s="426" t="str">
        <v>Services Other</v>
      </c>
      <c r="E102" s="847">
        <f ca="1"/>
        <v>0</v>
      </c>
      <c r="F102" s="386">
        <f ca="1"/>
        <v>0</v>
      </c>
      <c r="G102" s="383">
        <f ca="1"/>
        <v>1.389904534841801E-3</v>
      </c>
      <c r="H102" s="383">
        <f ca="1"/>
        <v>2.6777703611931391E-3</v>
      </c>
      <c r="I102" s="383">
        <f ca="1"/>
        <v>3.9508114297838849E-3</v>
      </c>
      <c r="J102" s="383">
        <f ca="1"/>
        <v>5.3319587442564364E-3</v>
      </c>
      <c r="K102" s="383">
        <f ca="1"/>
        <v>6.5971000208640239E-3</v>
      </c>
      <c r="P102" s="386"/>
      <c r="Q102" s="768">
        <f ca="1">IF(F102&lt;&gt;0,+F102/'DA-7'!D$80,0)</f>
        <v>0</v>
      </c>
      <c r="R102" s="768">
        <f ca="1">IF(G102&lt;&gt;0,+G102/'DA-7'!E$80,0)</f>
        <v>0.13100000000000001</v>
      </c>
      <c r="S102" s="768">
        <f ca="1">IF(H102&lt;&gt;0,+H102/'DA-7'!F$80,0)</f>
        <v>0.13100000000000001</v>
      </c>
      <c r="T102" s="768">
        <f ca="1">IF(I102&lt;&gt;0,+I102/'DA-7'!G$80,0)</f>
        <v>0.13100000000000001</v>
      </c>
      <c r="U102" s="768">
        <f ca="1">IF(J102&lt;&gt;0,+J102/'DA-7'!H$80,0)</f>
        <v>0.13100000000000001</v>
      </c>
      <c r="V102" s="768">
        <f ca="1">IF(K102&lt;&gt;0,+K102/'DA-7'!I$80,0)</f>
        <v>0.13100000000000001</v>
      </c>
    </row>
    <row r="103" spans="1:22" s="790" customFormat="1">
      <c r="A103" s="5"/>
      <c r="B103" s="249"/>
      <c r="C103" s="425" t="str">
        <v>Total Output Growth</v>
      </c>
      <c r="D103" s="426" t="str">
        <v>Business Overheads</v>
      </c>
      <c r="E103" s="847">
        <f ca="1"/>
        <v>0</v>
      </c>
      <c r="F103" s="386">
        <f ca="1"/>
        <v>0</v>
      </c>
      <c r="G103" s="383">
        <f ca="1"/>
        <v>1.5278339924978573E-3</v>
      </c>
      <c r="H103" s="383">
        <f ca="1"/>
        <v>2.9435032978000915E-3</v>
      </c>
      <c r="I103" s="383">
        <f ca="1"/>
        <v>4.3428766861746517E-3</v>
      </c>
      <c r="J103" s="383">
        <f ca="1"/>
        <v>5.8610844211673795E-3</v>
      </c>
      <c r="K103" s="383">
        <f ca="1"/>
        <v>7.2517740687360254E-3</v>
      </c>
      <c r="P103" s="386"/>
      <c r="Q103" s="768">
        <f ca="1">IF(F103&lt;&gt;0,+F103/'DA-7'!D$81,0)</f>
        <v>0</v>
      </c>
      <c r="R103" s="768">
        <f ca="1">IF(G103&lt;&gt;0,+G103/'DA-7'!E$81,0)</f>
        <v>0.14399999999999999</v>
      </c>
      <c r="S103" s="768">
        <f ca="1">IF(H103&lt;&gt;0,+H103/'DA-7'!F$81,0)</f>
        <v>0.14399999999999999</v>
      </c>
      <c r="T103" s="768">
        <f ca="1">IF(I103&lt;&gt;0,+I103/'DA-7'!G$81,0)</f>
        <v>0.14399999999999999</v>
      </c>
      <c r="U103" s="768">
        <f ca="1">IF(J103&lt;&gt;0,+J103/'DA-7'!H$81,0)</f>
        <v>0.14399999999999999</v>
      </c>
      <c r="V103" s="768">
        <f ca="1">IF(K103&lt;&gt;0,+K103/'DA-7'!I$81,0)</f>
        <v>0.14399999999999999</v>
      </c>
    </row>
    <row r="104" spans="1:22" s="790" customFormat="1">
      <c r="A104" s="5"/>
      <c r="B104" s="249"/>
      <c r="C104" s="425" t="str">
        <v>Total Output Growth</v>
      </c>
      <c r="D104" s="426" t="str">
        <v>Other</v>
      </c>
      <c r="E104" s="847">
        <f ca="1"/>
        <v>0</v>
      </c>
      <c r="F104" s="386">
        <f ca="1"/>
        <v>0</v>
      </c>
      <c r="G104" s="383">
        <f ca="1"/>
        <v>0</v>
      </c>
      <c r="H104" s="383">
        <f ca="1"/>
        <v>0</v>
      </c>
      <c r="I104" s="383">
        <f ca="1"/>
        <v>0</v>
      </c>
      <c r="J104" s="383">
        <f ca="1"/>
        <v>0</v>
      </c>
      <c r="K104" s="383">
        <f ca="1"/>
        <v>0</v>
      </c>
      <c r="P104" s="386"/>
      <c r="Q104" s="768">
        <f ca="1">IF(F104&lt;&gt;0,+F104/'DA-7'!D$82,0)</f>
        <v>0</v>
      </c>
      <c r="R104" s="768">
        <f ca="1">IF(G104&lt;&gt;0,+G104/'DA-7'!E$82,0)</f>
        <v>0</v>
      </c>
      <c r="S104" s="768">
        <f ca="1">IF(H104&lt;&gt;0,+H104/'DA-7'!F$82,0)</f>
        <v>0</v>
      </c>
      <c r="T104" s="768">
        <f ca="1">IF(I104&lt;&gt;0,+I104/'DA-7'!G$82,0)</f>
        <v>0</v>
      </c>
      <c r="U104" s="768">
        <f ca="1">IF(J104&lt;&gt;0,+J104/'DA-7'!H$82,0)</f>
        <v>0</v>
      </c>
      <c r="V104" s="768">
        <f ca="1">IF(K104&lt;&gt;0,+K104/'DA-7'!I$82,0)</f>
        <v>0</v>
      </c>
    </row>
    <row r="105" spans="1:22">
      <c r="A105" s="5"/>
      <c r="B105" s="249"/>
      <c r="C105" s="424" t="s">
        <v>73</v>
      </c>
      <c r="D105" s="417"/>
      <c r="E105" s="848"/>
      <c r="F105" s="387"/>
      <c r="G105" s="385"/>
      <c r="H105" s="385"/>
      <c r="I105" s="385"/>
      <c r="J105" s="385"/>
      <c r="K105" s="385"/>
      <c r="P105" s="387"/>
      <c r="Q105" s="385"/>
      <c r="R105" s="385"/>
      <c r="S105" s="385"/>
      <c r="T105" s="385"/>
      <c r="U105" s="385"/>
      <c r="V105" s="385"/>
    </row>
    <row r="106" spans="1:22" s="767" customFormat="1">
      <c r="A106" s="5"/>
      <c r="B106" s="249"/>
      <c r="C106" s="425" t="str">
        <f t="array" ref="C106:D111">+'DA-7'!$A$113:$B$119</f>
        <v>Labour</v>
      </c>
      <c r="D106" s="426" t="str">
        <v>Labour</v>
      </c>
      <c r="E106" s="847">
        <f t="array" ref="E106:K111" ca="1">+'DA-7'!$N$113:$T$119</f>
        <v>0</v>
      </c>
      <c r="F106" s="386">
        <f ca="1"/>
        <v>0</v>
      </c>
      <c r="G106" s="383">
        <f ca="1"/>
        <v>4.4759148628497995E-2</v>
      </c>
      <c r="H106" s="383">
        <f ca="1"/>
        <v>9.1358898869352265E-2</v>
      </c>
      <c r="I106" s="383">
        <f ca="1"/>
        <v>0.14244136705570062</v>
      </c>
      <c r="J106" s="383">
        <f ca="1"/>
        <v>0.19577363818640084</v>
      </c>
      <c r="K106" s="383">
        <f ca="1"/>
        <v>0.251131248542942</v>
      </c>
      <c r="P106" s="386"/>
      <c r="Q106" s="768">
        <f ca="1">IF(F106&lt;&gt;0,+F106/'DA-7'!D$113,0)</f>
        <v>0</v>
      </c>
      <c r="R106" s="768">
        <f ca="1">IF(G106&lt;&gt;0,+G106/'DA-7'!E$113,0)</f>
        <v>2.0858989538924693</v>
      </c>
      <c r="S106" s="768">
        <f ca="1">IF(H106&lt;&gt;0,+H106/'DA-7'!F$113,0)</f>
        <v>2.1061902139351347</v>
      </c>
      <c r="T106" s="768">
        <f ca="1">IF(I106&lt;&gt;0,+I106/'DA-7'!G$113,0)</f>
        <v>2.1262478991685034</v>
      </c>
      <c r="U106" s="768">
        <f ca="1">IF(J106&lt;&gt;0,+J106/'DA-7'!H$113,0)</f>
        <v>2.1480088767033991</v>
      </c>
      <c r="V106" s="768">
        <f ca="1">IF(K106&lt;&gt;0,+K106/'DA-7'!I$113,0)</f>
        <v>2.1679420949852166</v>
      </c>
    </row>
    <row r="107" spans="1:22" s="767" customFormat="1">
      <c r="A107" s="5"/>
      <c r="B107" s="249"/>
      <c r="C107" s="425" t="str">
        <v>Materials</v>
      </c>
      <c r="D107" s="426" t="str">
        <v>Materials</v>
      </c>
      <c r="E107" s="847">
        <f ca="1"/>
        <v>0</v>
      </c>
      <c r="F107" s="386">
        <f ca="1"/>
        <v>0</v>
      </c>
      <c r="G107" s="383">
        <f ca="1"/>
        <v>0</v>
      </c>
      <c r="H107" s="383">
        <f ca="1"/>
        <v>0</v>
      </c>
      <c r="I107" s="383">
        <f ca="1"/>
        <v>0</v>
      </c>
      <c r="J107" s="383">
        <f ca="1"/>
        <v>0</v>
      </c>
      <c r="K107" s="383">
        <f ca="1"/>
        <v>0</v>
      </c>
      <c r="P107" s="386"/>
      <c r="Q107" s="768">
        <f ca="1">IF(F107&lt;&gt;0,+F107/'DA-7'!D$114,0)</f>
        <v>0</v>
      </c>
      <c r="R107" s="768">
        <f ca="1">IF(G107&lt;&gt;0,+G107/'DA-7'!E$114,0)</f>
        <v>0</v>
      </c>
      <c r="S107" s="768">
        <f ca="1">IF(H107&lt;&gt;0,+H107/'DA-7'!F$114,0)</f>
        <v>0</v>
      </c>
      <c r="T107" s="768">
        <f ca="1">IF(I107&lt;&gt;0,+I107/'DA-7'!G$114,0)</f>
        <v>0</v>
      </c>
      <c r="U107" s="768">
        <f ca="1">IF(J107&lt;&gt;0,+J107/'DA-7'!H$114,0)</f>
        <v>0</v>
      </c>
      <c r="V107" s="768">
        <f ca="1">IF(K107&lt;&gt;0,+K107/'DA-7'!I$114,0)</f>
        <v>0</v>
      </c>
    </row>
    <row r="108" spans="1:22" s="767" customFormat="1">
      <c r="A108" s="5"/>
      <c r="B108" s="249"/>
      <c r="C108" s="425" t="str">
        <v>Services-construction</v>
      </c>
      <c r="D108" s="426" t="str">
        <v>Contracts</v>
      </c>
      <c r="E108" s="847">
        <f ca="1"/>
        <v>0</v>
      </c>
      <c r="F108" s="386">
        <f ca="1"/>
        <v>0</v>
      </c>
      <c r="G108" s="383">
        <f ca="1"/>
        <v>0</v>
      </c>
      <c r="H108" s="383">
        <f ca="1"/>
        <v>0</v>
      </c>
      <c r="I108" s="383">
        <f ca="1"/>
        <v>0</v>
      </c>
      <c r="J108" s="383">
        <f ca="1"/>
        <v>0</v>
      </c>
      <c r="K108" s="383">
        <f ca="1"/>
        <v>0</v>
      </c>
      <c r="P108" s="386"/>
      <c r="Q108" s="768">
        <f ca="1">IF(F108&lt;&gt;0,+F108/'DA-7'!D$115,0)</f>
        <v>0</v>
      </c>
      <c r="R108" s="768">
        <f ca="1">IF(G108&lt;&gt;0,+G108/'DA-7'!E$115,0)</f>
        <v>0</v>
      </c>
      <c r="S108" s="768">
        <f ca="1">IF(H108&lt;&gt;0,+H108/'DA-7'!F$115,0)</f>
        <v>0</v>
      </c>
      <c r="T108" s="768">
        <f ca="1">IF(I108&lt;&gt;0,+I108/'DA-7'!G$115,0)</f>
        <v>0</v>
      </c>
      <c r="U108" s="768">
        <f ca="1">IF(J108&lt;&gt;0,+J108/'DA-7'!H$115,0)</f>
        <v>0</v>
      </c>
      <c r="V108" s="768">
        <f ca="1">IF(K108&lt;&gt;0,+K108/'DA-7'!I$115,0)</f>
        <v>0</v>
      </c>
    </row>
    <row r="109" spans="1:22" s="767" customFormat="1">
      <c r="A109" s="5"/>
      <c r="B109" s="249"/>
      <c r="C109" s="425" t="str">
        <v>Services-general</v>
      </c>
      <c r="D109" s="426" t="str">
        <v>Services Other</v>
      </c>
      <c r="E109" s="847">
        <f ca="1"/>
        <v>0</v>
      </c>
      <c r="F109" s="386">
        <f ca="1"/>
        <v>0</v>
      </c>
      <c r="G109" s="383">
        <f ca="1"/>
        <v>6.6194952267419494E-4</v>
      </c>
      <c r="H109" s="383">
        <f ca="1"/>
        <v>1.340119647870925E-3</v>
      </c>
      <c r="I109" s="383">
        <f ca="1"/>
        <v>2.579615124412825E-3</v>
      </c>
      <c r="J109" s="383">
        <f ca="1"/>
        <v>4.0648648015957269E-3</v>
      </c>
      <c r="K109" s="383">
        <f ca="1"/>
        <v>5.873832248895359E-3</v>
      </c>
      <c r="P109" s="386"/>
      <c r="Q109" s="768">
        <f ca="1">IF(F109&lt;&gt;0,+F109/'DA-7'!D$116,0)</f>
        <v>0</v>
      </c>
      <c r="R109" s="768">
        <f ca="1">IF(G109&lt;&gt;0,+G109/'DA-7'!E$116,0)</f>
        <v>0.13238990453484181</v>
      </c>
      <c r="S109" s="768">
        <f ca="1">IF(H109&lt;&gt;0,+H109/'DA-7'!F$116,0)</f>
        <v>0.13367777036119313</v>
      </c>
      <c r="T109" s="768">
        <f ca="1">IF(I109&lt;&gt;0,+I109/'DA-7'!G$116,0)</f>
        <v>0.13495081142978388</v>
      </c>
      <c r="U109" s="768">
        <f ca="1">IF(J109&lt;&gt;0,+J109/'DA-7'!H$116,0)</f>
        <v>0.13633195874425644</v>
      </c>
      <c r="V109" s="768">
        <f ca="1">IF(K109&lt;&gt;0,+K109/'DA-7'!I$116,0)</f>
        <v>0.13759710002086403</v>
      </c>
    </row>
    <row r="110" spans="1:22" s="767" customFormat="1">
      <c r="A110" s="5"/>
      <c r="B110" s="249"/>
      <c r="C110" s="425" t="str">
        <v>Labour</v>
      </c>
      <c r="D110" s="426" t="str">
        <v>Business Overheads</v>
      </c>
      <c r="E110" s="847">
        <f ca="1"/>
        <v>0</v>
      </c>
      <c r="F110" s="386">
        <f ca="1"/>
        <v>0</v>
      </c>
      <c r="G110" s="383">
        <f ca="1"/>
        <v>3.1227312996626507E-3</v>
      </c>
      <c r="H110" s="383">
        <f ca="1"/>
        <v>6.373876665303646E-3</v>
      </c>
      <c r="I110" s="383">
        <f ca="1"/>
        <v>9.9377697945837624E-3</v>
      </c>
      <c r="J110" s="383">
        <f ca="1"/>
        <v>1.3658625919981453E-2</v>
      </c>
      <c r="K110" s="383">
        <f ca="1"/>
        <v>1.7520784782065719E-2</v>
      </c>
      <c r="P110" s="386"/>
      <c r="Q110" s="768">
        <f ca="1">IF(F110&lt;&gt;0,+F110/'DA-7'!D$117,0)</f>
        <v>0</v>
      </c>
      <c r="R110" s="768">
        <f ca="1">IF(G110&lt;&gt;0,+G110/'DA-7'!E$117,0)</f>
        <v>0.14552783399249786</v>
      </c>
      <c r="S110" s="768">
        <f ca="1">IF(H110&lt;&gt;0,+H110/'DA-7'!F$117,0)</f>
        <v>0.14694350329780009</v>
      </c>
      <c r="T110" s="768">
        <f ca="1">IF(I110&lt;&gt;0,+I110/'DA-7'!G$117,0)</f>
        <v>0.14834287668617463</v>
      </c>
      <c r="U110" s="768">
        <f ca="1">IF(J110&lt;&gt;0,+J110/'DA-7'!H$117,0)</f>
        <v>0.14986108442116736</v>
      </c>
      <c r="V110" s="768">
        <f ca="1">IF(K110&lt;&gt;0,+K110/'DA-7'!I$117,0)</f>
        <v>0.15125177406873602</v>
      </c>
    </row>
    <row r="111" spans="1:22" s="767" customFormat="1">
      <c r="A111" s="5"/>
      <c r="B111" s="249"/>
      <c r="C111" s="425" t="str">
        <v>Materials - Land</v>
      </c>
      <c r="D111" s="426" t="str">
        <v>Other</v>
      </c>
      <c r="E111" s="847">
        <f ca="1"/>
        <v>0</v>
      </c>
      <c r="F111" s="386">
        <f ca="1"/>
        <v>0</v>
      </c>
      <c r="G111" s="383">
        <f ca="1"/>
        <v>0</v>
      </c>
      <c r="H111" s="383">
        <f ca="1"/>
        <v>0</v>
      </c>
      <c r="I111" s="383">
        <f ca="1"/>
        <v>0</v>
      </c>
      <c r="J111" s="383">
        <f ca="1"/>
        <v>0</v>
      </c>
      <c r="K111" s="383">
        <f ca="1"/>
        <v>0</v>
      </c>
      <c r="P111" s="386"/>
      <c r="Q111" s="768">
        <f ca="1">IF(F111&lt;&gt;0,+F111/'DA-7'!D$118,0)</f>
        <v>0</v>
      </c>
      <c r="R111" s="768">
        <f ca="1">IF(G111&lt;&gt;0,+G111/'DA-7'!E$118,0)</f>
        <v>0</v>
      </c>
      <c r="S111" s="768">
        <f ca="1">IF(H111&lt;&gt;0,+H111/'DA-7'!F$118,0)</f>
        <v>0</v>
      </c>
      <c r="T111" s="768">
        <f ca="1">IF(I111&lt;&gt;0,+I111/'DA-7'!G$118,0)</f>
        <v>0</v>
      </c>
      <c r="U111" s="768">
        <f ca="1">IF(J111&lt;&gt;0,+J111/'DA-7'!H$118,0)</f>
        <v>0</v>
      </c>
      <c r="V111" s="768">
        <f ca="1">IF(K111&lt;&gt;0,+K111/'DA-7'!I$118,0)</f>
        <v>0</v>
      </c>
    </row>
    <row r="112" spans="1:22">
      <c r="A112" s="5"/>
      <c r="B112" s="249" t="str">
        <f ca="1">+'I-4 History'!B70</f>
        <v>DA-8</v>
      </c>
      <c r="C112" s="14" t="str">
        <f ca="1">+'I-4 History'!C70</f>
        <v>Network Telephony</v>
      </c>
      <c r="D112" s="418"/>
      <c r="E112" s="507"/>
      <c r="F112" s="11"/>
      <c r="G112" s="11"/>
      <c r="H112" s="11"/>
      <c r="I112" s="11"/>
      <c r="J112" s="11"/>
      <c r="K112" s="11"/>
      <c r="P112" s="11"/>
      <c r="Q112" s="11"/>
      <c r="R112" s="11"/>
      <c r="S112" s="11"/>
      <c r="T112" s="11"/>
      <c r="U112" s="11"/>
      <c r="V112" s="11"/>
    </row>
    <row r="113" spans="1:22" ht="15.75" customHeight="1">
      <c r="A113" s="5"/>
      <c r="B113" s="249"/>
      <c r="C113" s="424" t="s">
        <v>74</v>
      </c>
      <c r="D113" s="416"/>
      <c r="E113" s="507"/>
      <c r="F113" s="11"/>
      <c r="G113" s="11"/>
      <c r="H113" s="11"/>
      <c r="I113" s="11"/>
      <c r="J113" s="11"/>
      <c r="K113" s="11"/>
      <c r="P113" s="11"/>
      <c r="Q113" s="11"/>
      <c r="R113" s="11"/>
      <c r="S113" s="11"/>
      <c r="T113" s="11"/>
      <c r="U113" s="11"/>
      <c r="V113" s="11"/>
    </row>
    <row r="114" spans="1:22">
      <c r="A114" s="5"/>
      <c r="B114" s="249"/>
      <c r="C114" s="425" t="str">
        <f t="array" ref="C114:D119">+'DA-8'!$A$77:$B$82</f>
        <v>Total Output Growth</v>
      </c>
      <c r="D114" s="426" t="str">
        <v>Labour</v>
      </c>
      <c r="E114" s="847">
        <f t="array" ref="E114:K119" ca="1">+'DA-8'!$N$77:$T$82</f>
        <v>0</v>
      </c>
      <c r="F114" s="386">
        <f ca="1"/>
        <v>0</v>
      </c>
      <c r="G114" s="383">
        <f ca="1"/>
        <v>1.977696223622227E-2</v>
      </c>
      <c r="H114" s="383">
        <f ca="1"/>
        <v>3.8102014910412305E-2</v>
      </c>
      <c r="I114" s="383">
        <f ca="1"/>
        <v>5.6216125993260778E-2</v>
      </c>
      <c r="J114" s="383">
        <f ca="1"/>
        <v>7.5868481673999982E-2</v>
      </c>
      <c r="K114" s="383">
        <f ca="1"/>
        <v>9.3870186556416352E-2</v>
      </c>
      <c r="P114" s="386"/>
      <c r="Q114" s="768">
        <f ca="1">IF(F114&lt;&gt;0,+F114/'DA-8'!D$77,0)</f>
        <v>0</v>
      </c>
      <c r="R114" s="768">
        <f ca="1">IF(G114&lt;&gt;0,+G114/'DA-8'!E$77,0)</f>
        <v>1.8640000000000003</v>
      </c>
      <c r="S114" s="768">
        <f ca="1">IF(H114&lt;&gt;0,+H114/'DA-8'!F$77,0)</f>
        <v>1.8640000000000001</v>
      </c>
      <c r="T114" s="768">
        <f ca="1">IF(I114&lt;&gt;0,+I114/'DA-8'!G$77,0)</f>
        <v>1.8640000000000003</v>
      </c>
      <c r="U114" s="768">
        <f ca="1">IF(J114&lt;&gt;0,+J114/'DA-8'!H$77,0)</f>
        <v>1.8640000000000001</v>
      </c>
      <c r="V114" s="768">
        <f ca="1">IF(K114&lt;&gt;0,+K114/'DA-8'!I$77,0)</f>
        <v>1.8640000000000003</v>
      </c>
    </row>
    <row r="115" spans="1:22">
      <c r="A115" s="5"/>
      <c r="B115" s="249"/>
      <c r="C115" s="425" t="str">
        <v>Total Output Growth</v>
      </c>
      <c r="D115" s="426" t="str">
        <v>Materials</v>
      </c>
      <c r="E115" s="847">
        <f ca="1"/>
        <v>0</v>
      </c>
      <c r="F115" s="386">
        <f ca="1"/>
        <v>0</v>
      </c>
      <c r="G115" s="383">
        <f ca="1"/>
        <v>1.1883153274983335E-3</v>
      </c>
      <c r="H115" s="383">
        <f ca="1"/>
        <v>2.2893914538445158E-3</v>
      </c>
      <c r="I115" s="383">
        <f ca="1"/>
        <v>3.3777929781358398E-3</v>
      </c>
      <c r="J115" s="383">
        <f ca="1"/>
        <v>4.5586212164635169E-3</v>
      </c>
      <c r="K115" s="383">
        <f ca="1"/>
        <v>5.6402687201280192E-3</v>
      </c>
      <c r="P115" s="386"/>
      <c r="Q115" s="768">
        <f ca="1">IF(F115&lt;&gt;0,+F115/'DA-8'!D$78,0)</f>
        <v>0</v>
      </c>
      <c r="R115" s="768">
        <f ca="1">IF(G115&lt;&gt;0,+G115/'DA-8'!E$78,0)</f>
        <v>0.11199999999999999</v>
      </c>
      <c r="S115" s="768">
        <f ca="1">IF(H115&lt;&gt;0,+H115/'DA-8'!F$78,0)</f>
        <v>0.11199999999999999</v>
      </c>
      <c r="T115" s="768">
        <f ca="1">IF(I115&lt;&gt;0,+I115/'DA-8'!G$78,0)</f>
        <v>0.11199999999999999</v>
      </c>
      <c r="U115" s="768">
        <f ca="1">IF(J115&lt;&gt;0,+J115/'DA-8'!H$78,0)</f>
        <v>0.11199999999999997</v>
      </c>
      <c r="V115" s="768">
        <f ca="1">IF(K115&lt;&gt;0,+K115/'DA-8'!I$78,0)</f>
        <v>0.11199999999999997</v>
      </c>
    </row>
    <row r="116" spans="1:22">
      <c r="A116" s="5"/>
      <c r="B116" s="249"/>
      <c r="C116" s="425" t="str">
        <v>Total Output Growth</v>
      </c>
      <c r="D116" s="426" t="str">
        <v>Contracts</v>
      </c>
      <c r="E116" s="847">
        <f ca="1"/>
        <v>0</v>
      </c>
      <c r="F116" s="386">
        <f ca="1"/>
        <v>0</v>
      </c>
      <c r="G116" s="383">
        <f ca="1"/>
        <v>3.5808609199168534E-2</v>
      </c>
      <c r="H116" s="383">
        <f ca="1"/>
        <v>6.8988358542189654E-2</v>
      </c>
      <c r="I116" s="383">
        <f ca="1"/>
        <v>0.1017861723322184</v>
      </c>
      <c r="J116" s="383">
        <f ca="1"/>
        <v>0.13736916612111047</v>
      </c>
      <c r="K116" s="383">
        <f ca="1"/>
        <v>0.16996345473600061</v>
      </c>
      <c r="P116" s="386"/>
      <c r="Q116" s="768">
        <f ca="1">IF(F116&lt;&gt;0,+F116/'DA-8'!D$79,0)</f>
        <v>0</v>
      </c>
      <c r="R116" s="768">
        <f ca="1">IF(G116&lt;&gt;0,+G116/'DA-8'!E$79,0)</f>
        <v>3.375</v>
      </c>
      <c r="S116" s="768">
        <f ca="1">IF(H116&lt;&gt;0,+H116/'DA-8'!F$79,0)</f>
        <v>3.375</v>
      </c>
      <c r="T116" s="768">
        <f ca="1">IF(I116&lt;&gt;0,+I116/'DA-8'!G$79,0)</f>
        <v>3.375</v>
      </c>
      <c r="U116" s="768">
        <f ca="1">IF(J116&lt;&gt;0,+J116/'DA-8'!H$79,0)</f>
        <v>3.375</v>
      </c>
      <c r="V116" s="768">
        <f ca="1">IF(K116&lt;&gt;0,+K116/'DA-8'!I$79,0)</f>
        <v>3.375</v>
      </c>
    </row>
    <row r="117" spans="1:22">
      <c r="A117" s="5"/>
      <c r="B117" s="249"/>
      <c r="C117" s="425" t="str">
        <v>Total Output Growth</v>
      </c>
      <c r="D117" s="426" t="str">
        <v>Services Other</v>
      </c>
      <c r="E117" s="847">
        <f ca="1"/>
        <v>0</v>
      </c>
      <c r="F117" s="386">
        <f ca="1"/>
        <v>0</v>
      </c>
      <c r="G117" s="383">
        <f ca="1"/>
        <v>3.8938546892132902E-3</v>
      </c>
      <c r="H117" s="383">
        <f ca="1"/>
        <v>7.5018452103655132E-3</v>
      </c>
      <c r="I117" s="383">
        <f ca="1"/>
        <v>1.1068303776570121E-2</v>
      </c>
      <c r="J117" s="383">
        <f ca="1"/>
        <v>1.4937624878947422E-2</v>
      </c>
      <c r="K117" s="383">
        <f ca="1"/>
        <v>1.8481951966848067E-2</v>
      </c>
      <c r="P117" s="386"/>
      <c r="Q117" s="768">
        <f ca="1">IF(F117&lt;&gt;0,+F117/'DA-8'!D$80,0)</f>
        <v>0</v>
      </c>
      <c r="R117" s="768">
        <f ca="1">IF(G117&lt;&gt;0,+G117/'DA-8'!E$80,0)</f>
        <v>0.36700000000000005</v>
      </c>
      <c r="S117" s="768">
        <f ca="1">IF(H117&lt;&gt;0,+H117/'DA-8'!F$80,0)</f>
        <v>0.36700000000000005</v>
      </c>
      <c r="T117" s="768">
        <f ca="1">IF(I117&lt;&gt;0,+I117/'DA-8'!G$80,0)</f>
        <v>0.36700000000000005</v>
      </c>
      <c r="U117" s="768">
        <f ca="1">IF(J117&lt;&gt;0,+J117/'DA-8'!H$80,0)</f>
        <v>0.36700000000000005</v>
      </c>
      <c r="V117" s="768">
        <f ca="1">IF(K117&lt;&gt;0,+K117/'DA-8'!I$80,0)</f>
        <v>0.36699999999999999</v>
      </c>
    </row>
    <row r="118" spans="1:22">
      <c r="A118" s="5"/>
      <c r="B118" s="249"/>
      <c r="C118" s="425" t="str">
        <v>Total Output Growth</v>
      </c>
      <c r="D118" s="426" t="str">
        <v>Business Overheads</v>
      </c>
      <c r="E118" s="847">
        <f ca="1"/>
        <v>0</v>
      </c>
      <c r="F118" s="386">
        <f ca="1"/>
        <v>0</v>
      </c>
      <c r="G118" s="383">
        <f ca="1"/>
        <v>4.6896015603059239E-3</v>
      </c>
      <c r="H118" s="383">
        <f ca="1"/>
        <v>9.0349198446363927E-3</v>
      </c>
      <c r="I118" s="383">
        <f ca="1"/>
        <v>1.3330218717286084E-2</v>
      </c>
      <c r="J118" s="383">
        <f ca="1"/>
        <v>1.7990273014972098E-2</v>
      </c>
      <c r="K118" s="383">
        <f ca="1"/>
        <v>2.2258917627648079E-2</v>
      </c>
      <c r="P118" s="386"/>
      <c r="Q118" s="768">
        <f ca="1">IF(F118&lt;&gt;0,+F118/'DA-8'!D$81,0)</f>
        <v>0</v>
      </c>
      <c r="R118" s="768">
        <f ca="1">IF(G118&lt;&gt;0,+G118/'DA-8'!E$81,0)</f>
        <v>0.442</v>
      </c>
      <c r="S118" s="768">
        <f ca="1">IF(H118&lt;&gt;0,+H118/'DA-8'!F$81,0)</f>
        <v>0.44199999999999995</v>
      </c>
      <c r="T118" s="768">
        <f ca="1">IF(I118&lt;&gt;0,+I118/'DA-8'!G$81,0)</f>
        <v>0.442</v>
      </c>
      <c r="U118" s="768">
        <f ca="1">IF(J118&lt;&gt;0,+J118/'DA-8'!H$81,0)</f>
        <v>0.442</v>
      </c>
      <c r="V118" s="768">
        <f ca="1">IF(K118&lt;&gt;0,+K118/'DA-8'!I$81,0)</f>
        <v>0.442</v>
      </c>
    </row>
    <row r="119" spans="1:22">
      <c r="A119" s="5"/>
      <c r="B119" s="249"/>
      <c r="C119" s="425" t="str">
        <v>Total Output Growth</v>
      </c>
      <c r="D119" s="426" t="str">
        <v>Other</v>
      </c>
      <c r="E119" s="847">
        <f ca="1"/>
        <v>0</v>
      </c>
      <c r="F119" s="386">
        <f ca="1"/>
        <v>0</v>
      </c>
      <c r="G119" s="383">
        <f ca="1"/>
        <v>0</v>
      </c>
      <c r="H119" s="383">
        <f ca="1"/>
        <v>0</v>
      </c>
      <c r="I119" s="383">
        <f ca="1"/>
        <v>0</v>
      </c>
      <c r="J119" s="383">
        <f ca="1"/>
        <v>0</v>
      </c>
      <c r="K119" s="383">
        <f ca="1"/>
        <v>0</v>
      </c>
      <c r="P119" s="386"/>
      <c r="Q119" s="768">
        <f ca="1">IF(F119&lt;&gt;0,+F119/'DA-8'!D$82,0)</f>
        <v>0</v>
      </c>
      <c r="R119" s="768">
        <f ca="1">IF(G119&lt;&gt;0,+G119/'DA-8'!E$82,0)</f>
        <v>0</v>
      </c>
      <c r="S119" s="768">
        <f ca="1">IF(H119&lt;&gt;0,+H119/'DA-8'!F$82,0)</f>
        <v>0</v>
      </c>
      <c r="T119" s="768">
        <f ca="1">IF(I119&lt;&gt;0,+I119/'DA-8'!G$82,0)</f>
        <v>0</v>
      </c>
      <c r="U119" s="768">
        <f ca="1">IF(J119&lt;&gt;0,+J119/'DA-8'!H$82,0)</f>
        <v>0</v>
      </c>
      <c r="V119" s="768">
        <f ca="1">IF(K119&lt;&gt;0,+K119/'DA-8'!I$82,0)</f>
        <v>0</v>
      </c>
    </row>
    <row r="120" spans="1:22">
      <c r="A120" s="5"/>
      <c r="B120" s="249"/>
      <c r="C120" s="424" t="s">
        <v>73</v>
      </c>
      <c r="D120" s="417"/>
      <c r="E120" s="848"/>
      <c r="F120" s="387"/>
      <c r="G120" s="385"/>
      <c r="H120" s="385"/>
      <c r="I120" s="385"/>
      <c r="J120" s="385"/>
      <c r="K120" s="385"/>
      <c r="P120" s="387"/>
      <c r="Q120" s="385"/>
      <c r="R120" s="385"/>
      <c r="S120" s="385"/>
      <c r="T120" s="385"/>
      <c r="U120" s="385"/>
      <c r="V120" s="385"/>
    </row>
    <row r="121" spans="1:22" s="767" customFormat="1">
      <c r="A121" s="5"/>
      <c r="B121" s="249"/>
      <c r="C121" s="425" t="str">
        <f t="array" ref="C121:D126">+'DA-8'!$A$113:$B$119</f>
        <v>Labour</v>
      </c>
      <c r="D121" s="426" t="str">
        <v>Labour</v>
      </c>
      <c r="E121" s="847">
        <f t="array" ref="E121:K126" ca="1">+'DA-8'!$N$113:$T$119</f>
        <v>0</v>
      </c>
      <c r="F121" s="386">
        <f ca="1"/>
        <v>0</v>
      </c>
      <c r="G121" s="383">
        <f ca="1"/>
        <v>4.0422021823410988E-2</v>
      </c>
      <c r="H121" s="383">
        <f ca="1"/>
        <v>8.2506292389763883E-2</v>
      </c>
      <c r="I121" s="383">
        <f ca="1"/>
        <v>0.12863890900766764</v>
      </c>
      <c r="J121" s="383">
        <f ca="1"/>
        <v>0.17680332440864888</v>
      </c>
      <c r="K121" s="383">
        <f ca="1"/>
        <v>0.22679682523451741</v>
      </c>
      <c r="P121" s="386"/>
      <c r="Q121" s="768">
        <f ca="1">IF(F121&lt;&gt;0,+F121/'DA-8'!D$113,0)</f>
        <v>0</v>
      </c>
      <c r="R121" s="768">
        <f ca="1">IF(G121&lt;&gt;0,+G121/'DA-8'!E$113,0)</f>
        <v>1.8837769622362226</v>
      </c>
      <c r="S121" s="768">
        <f ca="1">IF(H121&lt;&gt;0,+H121/'DA-8'!F$113,0)</f>
        <v>1.9021020149104126</v>
      </c>
      <c r="T121" s="768">
        <f ca="1">IF(I121&lt;&gt;0,+I121/'DA-8'!G$113,0)</f>
        <v>1.9202161259932611</v>
      </c>
      <c r="U121" s="768">
        <f ca="1">IF(J121&lt;&gt;0,+J121/'DA-8'!H$113,0)</f>
        <v>1.9398684816740006</v>
      </c>
      <c r="V121" s="768">
        <f ca="1">IF(K121&lt;&gt;0,+K121/'DA-8'!I$113,0)</f>
        <v>1.9578701865564168</v>
      </c>
    </row>
    <row r="122" spans="1:22" s="767" customFormat="1">
      <c r="A122" s="5"/>
      <c r="B122" s="249"/>
      <c r="C122" s="425" t="str">
        <v>Materials</v>
      </c>
      <c r="D122" s="426" t="str">
        <v>Materials</v>
      </c>
      <c r="E122" s="847">
        <f ca="1"/>
        <v>0</v>
      </c>
      <c r="F122" s="386">
        <f ca="1"/>
        <v>0</v>
      </c>
      <c r="G122" s="383">
        <f ca="1"/>
        <v>0</v>
      </c>
      <c r="H122" s="383">
        <f ca="1"/>
        <v>0</v>
      </c>
      <c r="I122" s="383">
        <f ca="1"/>
        <v>0</v>
      </c>
      <c r="J122" s="383">
        <f ca="1"/>
        <v>0</v>
      </c>
      <c r="K122" s="383">
        <f ca="1"/>
        <v>0</v>
      </c>
      <c r="P122" s="386"/>
      <c r="Q122" s="768">
        <f ca="1">IF(F122&lt;&gt;0,+F122/'DA-8'!D$114,0)</f>
        <v>0</v>
      </c>
      <c r="R122" s="768">
        <f ca="1">IF(G122&lt;&gt;0,+G122/'DA-8'!E$114,0)</f>
        <v>0</v>
      </c>
      <c r="S122" s="768">
        <f ca="1">IF(H122&lt;&gt;0,+H122/'DA-8'!F$114,0)</f>
        <v>0</v>
      </c>
      <c r="T122" s="768">
        <f ca="1">IF(I122&lt;&gt;0,+I122/'DA-8'!G$114,0)</f>
        <v>0</v>
      </c>
      <c r="U122" s="768">
        <f ca="1">IF(J122&lt;&gt;0,+J122/'DA-8'!H$114,0)</f>
        <v>0</v>
      </c>
      <c r="V122" s="768">
        <f ca="1">IF(K122&lt;&gt;0,+K122/'DA-8'!I$114,0)</f>
        <v>0</v>
      </c>
    </row>
    <row r="123" spans="1:22" s="767" customFormat="1">
      <c r="A123" s="5"/>
      <c r="B123" s="249"/>
      <c r="C123" s="425" t="str">
        <v>Services-construction</v>
      </c>
      <c r="D123" s="426" t="str">
        <v>Contracts</v>
      </c>
      <c r="E123" s="847">
        <f ca="1"/>
        <v>0</v>
      </c>
      <c r="F123" s="386">
        <f ca="1"/>
        <v>0</v>
      </c>
      <c r="G123" s="383">
        <f ca="1"/>
        <v>1.705404304599548E-2</v>
      </c>
      <c r="H123" s="383">
        <f ca="1"/>
        <v>3.452598329438452E-2</v>
      </c>
      <c r="I123" s="383">
        <f ca="1"/>
        <v>6.6459549961017439E-2</v>
      </c>
      <c r="J123" s="383">
        <f ca="1"/>
        <v>0.10472457027011892</v>
      </c>
      <c r="K123" s="383">
        <f ca="1"/>
        <v>0.15132964763375445</v>
      </c>
      <c r="P123" s="386"/>
      <c r="Q123" s="768">
        <f ca="1">IF(F123&lt;&gt;0,+F123/'DA-8'!D$115,0)</f>
        <v>0</v>
      </c>
      <c r="R123" s="768">
        <f ca="1">IF(G123&lt;&gt;0,+G123/'DA-8'!E$115,0)</f>
        <v>3.4108086091991687</v>
      </c>
      <c r="S123" s="768">
        <f ca="1">IF(H123&lt;&gt;0,+H123/'DA-8'!F$115,0)</f>
        <v>3.4439883585421902</v>
      </c>
      <c r="T123" s="768">
        <f ca="1">IF(I123&lt;&gt;0,+I123/'DA-8'!G$115,0)</f>
        <v>3.4767861723322184</v>
      </c>
      <c r="U123" s="768">
        <f ca="1">IF(J123&lt;&gt;0,+J123/'DA-8'!H$115,0)</f>
        <v>3.5123691661211103</v>
      </c>
      <c r="V123" s="768">
        <f ca="1">IF(K123&lt;&gt;0,+K123/'DA-8'!I$115,0)</f>
        <v>3.5449634547360005</v>
      </c>
    </row>
    <row r="124" spans="1:22" s="767" customFormat="1">
      <c r="A124" s="5"/>
      <c r="B124" s="249"/>
      <c r="C124" s="425" t="str">
        <v>Services-general</v>
      </c>
      <c r="D124" s="426" t="str">
        <v>Services Other</v>
      </c>
      <c r="E124" s="847">
        <f ca="1"/>
        <v>0</v>
      </c>
      <c r="F124" s="386">
        <f ca="1"/>
        <v>0</v>
      </c>
      <c r="G124" s="383">
        <f ca="1"/>
        <v>1.854469273446027E-3</v>
      </c>
      <c r="H124" s="383">
        <f ca="1"/>
        <v>3.7543809982338132E-3</v>
      </c>
      <c r="I124" s="383">
        <f ca="1"/>
        <v>7.2268606920573054E-3</v>
      </c>
      <c r="J124" s="383">
        <f ca="1"/>
        <v>1.1387827344928488E-2</v>
      </c>
      <c r="K124" s="383">
        <f ca="1"/>
        <v>1.6455697979729747E-2</v>
      </c>
      <c r="P124" s="386"/>
      <c r="Q124" s="768">
        <f ca="1">IF(F124&lt;&gt;0,+F124/'DA-8'!D$116,0)</f>
        <v>0</v>
      </c>
      <c r="R124" s="768">
        <f ca="1">IF(G124&lt;&gt;0,+G124/'DA-8'!E$116,0)</f>
        <v>0.37089385468921332</v>
      </c>
      <c r="S124" s="768">
        <f ca="1">IF(H124&lt;&gt;0,+H124/'DA-8'!F$116,0)</f>
        <v>0.37450184521036556</v>
      </c>
      <c r="T124" s="768">
        <f ca="1">IF(I124&lt;&gt;0,+I124/'DA-8'!G$116,0)</f>
        <v>0.37806830377657019</v>
      </c>
      <c r="U124" s="768">
        <f ca="1">IF(J124&lt;&gt;0,+J124/'DA-8'!H$116,0)</f>
        <v>0.38193762487894745</v>
      </c>
      <c r="V124" s="768">
        <f ca="1">IF(K124&lt;&gt;0,+K124/'DA-8'!I$116,0)</f>
        <v>0.38548195196684815</v>
      </c>
    </row>
    <row r="125" spans="1:22" s="767" customFormat="1">
      <c r="A125" s="5"/>
      <c r="B125" s="249"/>
      <c r="C125" s="425" t="str">
        <v>Labour</v>
      </c>
      <c r="D125" s="426" t="str">
        <v>Business Overheads</v>
      </c>
      <c r="E125" s="847">
        <f ca="1"/>
        <v>0</v>
      </c>
      <c r="F125" s="386">
        <f ca="1"/>
        <v>0</v>
      </c>
      <c r="G125" s="383">
        <f ca="1"/>
        <v>9.5850502392423025E-3</v>
      </c>
      <c r="H125" s="383">
        <f ca="1"/>
        <v>1.9564260319890357E-2</v>
      </c>
      <c r="I125" s="383">
        <f ca="1"/>
        <v>3.0503432286152942E-2</v>
      </c>
      <c r="J125" s="383">
        <f ca="1"/>
        <v>4.1924393448831962E-2</v>
      </c>
      <c r="K125" s="383">
        <f ca="1"/>
        <v>5.3779075511618389E-2</v>
      </c>
      <c r="P125" s="386"/>
      <c r="Q125" s="768">
        <f ca="1">IF(F125&lt;&gt;0,+F125/'DA-8'!D$117,0)</f>
        <v>0</v>
      </c>
      <c r="R125" s="768">
        <f ca="1">IF(G125&lt;&gt;0,+G125/'DA-8'!E$117,0)</f>
        <v>0.4466896015603059</v>
      </c>
      <c r="S125" s="768">
        <f ca="1">IF(H125&lt;&gt;0,+H125/'DA-8'!F$117,0)</f>
        <v>0.45103491984463639</v>
      </c>
      <c r="T125" s="768">
        <f ca="1">IF(I125&lt;&gt;0,+I125/'DA-8'!G$117,0)</f>
        <v>0.45533021871728607</v>
      </c>
      <c r="U125" s="768">
        <f ca="1">IF(J125&lt;&gt;0,+J125/'DA-8'!H$117,0)</f>
        <v>0.45999027301497208</v>
      </c>
      <c r="V125" s="768">
        <f ca="1">IF(K125&lt;&gt;0,+K125/'DA-8'!I$117,0)</f>
        <v>0.46425891762764809</v>
      </c>
    </row>
    <row r="126" spans="1:22" s="767" customFormat="1">
      <c r="A126" s="5"/>
      <c r="B126" s="249"/>
      <c r="C126" s="425" t="str">
        <v>Materials - Land</v>
      </c>
      <c r="D126" s="426" t="str">
        <v>Other</v>
      </c>
      <c r="E126" s="847">
        <f ca="1"/>
        <v>0</v>
      </c>
      <c r="F126" s="386">
        <f ca="1"/>
        <v>0</v>
      </c>
      <c r="G126" s="383">
        <f ca="1"/>
        <v>0</v>
      </c>
      <c r="H126" s="383">
        <f ca="1"/>
        <v>0</v>
      </c>
      <c r="I126" s="383">
        <f ca="1"/>
        <v>0</v>
      </c>
      <c r="J126" s="383">
        <f ca="1"/>
        <v>0</v>
      </c>
      <c r="K126" s="383">
        <f ca="1"/>
        <v>0</v>
      </c>
      <c r="P126" s="386"/>
      <c r="Q126" s="768">
        <f ca="1">IF(F126&lt;&gt;0,+F126/'DA-8'!D$118,0)</f>
        <v>0</v>
      </c>
      <c r="R126" s="768">
        <f ca="1">IF(G126&lt;&gt;0,+G126/'DA-8'!E$118,0)</f>
        <v>0</v>
      </c>
      <c r="S126" s="768">
        <f ca="1">IF(H126&lt;&gt;0,+H126/'DA-8'!F$118,0)</f>
        <v>0</v>
      </c>
      <c r="T126" s="768">
        <f ca="1">IF(I126&lt;&gt;0,+I126/'DA-8'!G$118,0)</f>
        <v>0</v>
      </c>
      <c r="U126" s="768">
        <f ca="1">IF(J126&lt;&gt;0,+J126/'DA-8'!H$118,0)</f>
        <v>0</v>
      </c>
      <c r="V126" s="768">
        <f ca="1">IF(K126&lt;&gt;0,+K126/'DA-8'!I$118,0)</f>
        <v>0</v>
      </c>
    </row>
    <row r="127" spans="1:22">
      <c r="A127" s="5"/>
      <c r="B127" s="249" t="str">
        <f ca="1">+'I-4 History'!B79</f>
        <v>DA-9</v>
      </c>
      <c r="C127" s="14" t="str">
        <f ca="1">+'I-4 History'!C79</f>
        <v>Feed-in Tariffs</v>
      </c>
      <c r="D127" s="418"/>
      <c r="E127" s="507"/>
      <c r="F127" s="11"/>
      <c r="G127" s="11"/>
      <c r="H127" s="11"/>
      <c r="I127" s="11"/>
      <c r="J127" s="11"/>
      <c r="K127" s="11"/>
      <c r="P127" s="11"/>
      <c r="Q127" s="11"/>
      <c r="R127" s="11"/>
      <c r="S127" s="11"/>
      <c r="T127" s="11"/>
      <c r="U127" s="11"/>
      <c r="V127" s="11"/>
    </row>
    <row r="128" spans="1:22" ht="15.75" customHeight="1">
      <c r="A128" s="5"/>
      <c r="B128" s="249"/>
      <c r="C128" s="424" t="s">
        <v>74</v>
      </c>
      <c r="D128" s="416"/>
      <c r="E128" s="507"/>
      <c r="F128" s="11"/>
      <c r="G128" s="11"/>
      <c r="H128" s="11"/>
      <c r="I128" s="11"/>
      <c r="J128" s="11"/>
      <c r="K128" s="11"/>
      <c r="P128" s="11"/>
      <c r="Q128" s="11"/>
      <c r="R128" s="11"/>
      <c r="S128" s="11"/>
      <c r="T128" s="11"/>
      <c r="U128" s="11"/>
      <c r="V128" s="11"/>
    </row>
    <row r="129" spans="1:22">
      <c r="A129" s="5"/>
      <c r="B129" s="249"/>
      <c r="C129" s="425" t="str">
        <f t="array" ref="C129:D134">+'DA-9'!$A$77:$B$82</f>
        <v>Total Output Growth</v>
      </c>
      <c r="D129" s="426" t="str">
        <v>Labour</v>
      </c>
      <c r="E129" s="847">
        <f t="array" ref="E129:K134" ca="1">+'DA-9'!$N$77:$T$82</f>
        <v>0</v>
      </c>
      <c r="F129" s="386">
        <f ca="1"/>
        <v>0</v>
      </c>
      <c r="G129" s="383">
        <f ca="1"/>
        <v>0</v>
      </c>
      <c r="H129" s="383">
        <f ca="1"/>
        <v>0</v>
      </c>
      <c r="I129" s="383">
        <f ca="1"/>
        <v>0</v>
      </c>
      <c r="J129" s="383">
        <f ca="1"/>
        <v>0</v>
      </c>
      <c r="K129" s="383">
        <f ca="1"/>
        <v>0</v>
      </c>
      <c r="L129" s="790"/>
      <c r="M129" s="790"/>
      <c r="N129" s="790"/>
      <c r="O129" s="790"/>
      <c r="P129" s="386"/>
      <c r="Q129" s="768">
        <f ca="1">IF(F129&lt;&gt;0,+F129/'DA-9'!D$77,0)</f>
        <v>0</v>
      </c>
      <c r="R129" s="768">
        <f ca="1">IF(G129&lt;&gt;0,+G129/'DA-9'!E$77,0)</f>
        <v>0</v>
      </c>
      <c r="S129" s="768">
        <f ca="1">IF(H129&lt;&gt;0,+H129/'DA-9'!F$77,0)</f>
        <v>0</v>
      </c>
      <c r="T129" s="768">
        <f ca="1">IF(I129&lt;&gt;0,+I129/'DA-9'!G$77,0)</f>
        <v>0</v>
      </c>
      <c r="U129" s="768">
        <f ca="1">IF(J129&lt;&gt;0,+J129/'DA-9'!H$77,0)</f>
        <v>0</v>
      </c>
      <c r="V129" s="768">
        <f ca="1">IF(K129&lt;&gt;0,+K129/'DA-9'!I$77,0)</f>
        <v>0</v>
      </c>
    </row>
    <row r="130" spans="1:22">
      <c r="A130" s="5"/>
      <c r="B130" s="249"/>
      <c r="C130" s="425" t="str">
        <v>Total Output Growth</v>
      </c>
      <c r="D130" s="426" t="str">
        <v>Materials</v>
      </c>
      <c r="E130" s="847">
        <f ca="1"/>
        <v>0</v>
      </c>
      <c r="F130" s="386">
        <f ca="1"/>
        <v>0</v>
      </c>
      <c r="G130" s="383">
        <f ca="1"/>
        <v>0</v>
      </c>
      <c r="H130" s="383">
        <f ca="1"/>
        <v>0</v>
      </c>
      <c r="I130" s="383">
        <f ca="1"/>
        <v>0</v>
      </c>
      <c r="J130" s="383">
        <f ca="1"/>
        <v>0</v>
      </c>
      <c r="K130" s="383">
        <f ca="1"/>
        <v>0</v>
      </c>
      <c r="L130" s="790"/>
      <c r="M130" s="790"/>
      <c r="N130" s="790"/>
      <c r="O130" s="790"/>
      <c r="P130" s="386"/>
      <c r="Q130" s="768">
        <f ca="1">IF(F130&lt;&gt;0,+F130/'DA-9'!D$78,0)</f>
        <v>0</v>
      </c>
      <c r="R130" s="768">
        <f ca="1">IF(G130&lt;&gt;0,+G130/'DA-9'!E$78,0)</f>
        <v>0</v>
      </c>
      <c r="S130" s="768">
        <f ca="1">IF(H130&lt;&gt;0,+H130/'DA-9'!F$78,0)</f>
        <v>0</v>
      </c>
      <c r="T130" s="768">
        <f ca="1">IF(I130&lt;&gt;0,+I130/'DA-9'!G$78,0)</f>
        <v>0</v>
      </c>
      <c r="U130" s="768">
        <f ca="1">IF(J130&lt;&gt;0,+J130/'DA-9'!H$78,0)</f>
        <v>0</v>
      </c>
      <c r="V130" s="768">
        <f ca="1">IF(K130&lt;&gt;0,+K130/'DA-9'!I$78,0)</f>
        <v>0</v>
      </c>
    </row>
    <row r="131" spans="1:22">
      <c r="A131" s="5"/>
      <c r="B131" s="249"/>
      <c r="C131" s="425" t="str">
        <v>Total Output Growth</v>
      </c>
      <c r="D131" s="426" t="str">
        <v>Contracts</v>
      </c>
      <c r="E131" s="847">
        <f ca="1"/>
        <v>0</v>
      </c>
      <c r="F131" s="386">
        <f ca="1"/>
        <v>0</v>
      </c>
      <c r="G131" s="383">
        <f ca="1"/>
        <v>0</v>
      </c>
      <c r="H131" s="383">
        <f ca="1"/>
        <v>0</v>
      </c>
      <c r="I131" s="383">
        <f ca="1"/>
        <v>0</v>
      </c>
      <c r="J131" s="383">
        <f ca="1"/>
        <v>0</v>
      </c>
      <c r="K131" s="383">
        <f ca="1"/>
        <v>0</v>
      </c>
      <c r="L131" s="790"/>
      <c r="M131" s="790"/>
      <c r="N131" s="790"/>
      <c r="O131" s="790"/>
      <c r="P131" s="386"/>
      <c r="Q131" s="768">
        <f ca="1">IF(F131&lt;&gt;0,+F131/'DA-9'!D$79,0)</f>
        <v>0</v>
      </c>
      <c r="R131" s="768">
        <f ca="1">IF(G131&lt;&gt;0,+G131/'DA-9'!E$79,0)</f>
        <v>0</v>
      </c>
      <c r="S131" s="768">
        <f ca="1">IF(H131&lt;&gt;0,+H131/'DA-9'!F$79,0)</f>
        <v>0</v>
      </c>
      <c r="T131" s="768">
        <f ca="1">IF(I131&lt;&gt;0,+I131/'DA-9'!G$79,0)</f>
        <v>0</v>
      </c>
      <c r="U131" s="768">
        <f ca="1">IF(J131&lt;&gt;0,+J131/'DA-9'!H$79,0)</f>
        <v>0</v>
      </c>
      <c r="V131" s="768">
        <f ca="1">IF(K131&lt;&gt;0,+K131/'DA-9'!I$79,0)</f>
        <v>0</v>
      </c>
    </row>
    <row r="132" spans="1:22" s="790" customFormat="1">
      <c r="A132" s="5"/>
      <c r="B132" s="249"/>
      <c r="C132" s="425" t="str">
        <v>Total Output Growth</v>
      </c>
      <c r="D132" s="426" t="str">
        <v>Services Other</v>
      </c>
      <c r="E132" s="847">
        <f ca="1"/>
        <v>0</v>
      </c>
      <c r="F132" s="386">
        <f ca="1"/>
        <v>0</v>
      </c>
      <c r="G132" s="383">
        <f ca="1"/>
        <v>0</v>
      </c>
      <c r="H132" s="383">
        <f ca="1"/>
        <v>0</v>
      </c>
      <c r="I132" s="383">
        <f ca="1"/>
        <v>0</v>
      </c>
      <c r="J132" s="383">
        <f ca="1"/>
        <v>0</v>
      </c>
      <c r="K132" s="383">
        <f ca="1"/>
        <v>0</v>
      </c>
      <c r="P132" s="386"/>
      <c r="Q132" s="768">
        <f ca="1">IF(F132&lt;&gt;0,+F132/'DA-9'!D$80,0)</f>
        <v>0</v>
      </c>
      <c r="R132" s="768">
        <f ca="1">IF(G132&lt;&gt;0,+G132/'DA-9'!E$80,0)</f>
        <v>0</v>
      </c>
      <c r="S132" s="768">
        <f ca="1">IF(H132&lt;&gt;0,+H132/'DA-9'!F$80,0)</f>
        <v>0</v>
      </c>
      <c r="T132" s="768">
        <f ca="1">IF(I132&lt;&gt;0,+I132/'DA-9'!G$80,0)</f>
        <v>0</v>
      </c>
      <c r="U132" s="768">
        <f ca="1">IF(J132&lt;&gt;0,+J132/'DA-9'!H$80,0)</f>
        <v>0</v>
      </c>
      <c r="V132" s="768">
        <f ca="1">IF(K132&lt;&gt;0,+K132/'DA-9'!I$80,0)</f>
        <v>0</v>
      </c>
    </row>
    <row r="133" spans="1:22" s="790" customFormat="1">
      <c r="A133" s="5"/>
      <c r="B133" s="249"/>
      <c r="C133" s="425" t="str">
        <v>Total Output Growth</v>
      </c>
      <c r="D133" s="426" t="str">
        <v>Business Overheads</v>
      </c>
      <c r="E133" s="847">
        <f ca="1"/>
        <v>0</v>
      </c>
      <c r="F133" s="386">
        <f ca="1"/>
        <v>0</v>
      </c>
      <c r="G133" s="383">
        <f ca="1"/>
        <v>0</v>
      </c>
      <c r="H133" s="383">
        <f ca="1"/>
        <v>0</v>
      </c>
      <c r="I133" s="383">
        <f ca="1"/>
        <v>0</v>
      </c>
      <c r="J133" s="383">
        <f ca="1"/>
        <v>0</v>
      </c>
      <c r="K133" s="383">
        <f ca="1"/>
        <v>0</v>
      </c>
      <c r="P133" s="386"/>
      <c r="Q133" s="768">
        <f ca="1">IF(F133&lt;&gt;0,+F133/'DA-9'!D$81,0)</f>
        <v>0</v>
      </c>
      <c r="R133" s="768">
        <f ca="1">IF(G133&lt;&gt;0,+G133/'DA-9'!E$81,0)</f>
        <v>0</v>
      </c>
      <c r="S133" s="768">
        <f ca="1">IF(H133&lt;&gt;0,+H133/'DA-9'!F$81,0)</f>
        <v>0</v>
      </c>
      <c r="T133" s="768">
        <f ca="1">IF(I133&lt;&gt;0,+I133/'DA-9'!G$81,0)</f>
        <v>0</v>
      </c>
      <c r="U133" s="768">
        <f ca="1">IF(J133&lt;&gt;0,+J133/'DA-9'!H$81,0)</f>
        <v>0</v>
      </c>
      <c r="V133" s="768">
        <f ca="1">IF(K133&lt;&gt;0,+K133/'DA-9'!I$81,0)</f>
        <v>0</v>
      </c>
    </row>
    <row r="134" spans="1:22" s="790" customFormat="1">
      <c r="A134" s="5"/>
      <c r="B134" s="249"/>
      <c r="C134" s="425" t="str">
        <v>Total Output Growth</v>
      </c>
      <c r="D134" s="426" t="str">
        <v>Other</v>
      </c>
      <c r="E134" s="847">
        <f ca="1"/>
        <v>0</v>
      </c>
      <c r="F134" s="386">
        <f ca="1"/>
        <v>0</v>
      </c>
      <c r="G134" s="383">
        <f ca="1"/>
        <v>0</v>
      </c>
      <c r="H134" s="383">
        <f ca="1"/>
        <v>0</v>
      </c>
      <c r="I134" s="383">
        <f ca="1"/>
        <v>0</v>
      </c>
      <c r="J134" s="383">
        <f ca="1"/>
        <v>0</v>
      </c>
      <c r="K134" s="383">
        <f ca="1"/>
        <v>0</v>
      </c>
      <c r="P134" s="386"/>
      <c r="Q134" s="768">
        <f ca="1">IF(F134&lt;&gt;0,+F134/'DA-9'!D$82,0)</f>
        <v>0</v>
      </c>
      <c r="R134" s="768">
        <f ca="1">IF(G134&lt;&gt;0,+G134/'DA-9'!E$82,0)</f>
        <v>0</v>
      </c>
      <c r="S134" s="768">
        <f ca="1">IF(H134&lt;&gt;0,+H134/'DA-9'!F$82,0)</f>
        <v>0</v>
      </c>
      <c r="T134" s="768">
        <f ca="1">IF(I134&lt;&gt;0,+I134/'DA-9'!G$82,0)</f>
        <v>0</v>
      </c>
      <c r="U134" s="768">
        <f ca="1">IF(J134&lt;&gt;0,+J134/'DA-9'!H$82,0)</f>
        <v>0</v>
      </c>
      <c r="V134" s="768">
        <f ca="1">IF(K134&lt;&gt;0,+K134/'DA-9'!I$82,0)</f>
        <v>0</v>
      </c>
    </row>
    <row r="135" spans="1:22">
      <c r="A135" s="5"/>
      <c r="B135" s="249"/>
      <c r="C135" s="424" t="s">
        <v>73</v>
      </c>
      <c r="D135" s="417"/>
      <c r="E135" s="848"/>
      <c r="F135" s="387"/>
      <c r="G135" s="385"/>
      <c r="H135" s="385"/>
      <c r="I135" s="385"/>
      <c r="J135" s="385"/>
      <c r="K135" s="385"/>
      <c r="P135" s="387"/>
      <c r="Q135" s="385"/>
      <c r="R135" s="385"/>
      <c r="S135" s="385"/>
      <c r="T135" s="385"/>
      <c r="U135" s="385"/>
      <c r="V135" s="385"/>
    </row>
    <row r="136" spans="1:22" s="767" customFormat="1">
      <c r="A136" s="5"/>
      <c r="B136" s="249"/>
      <c r="C136" s="425" t="str">
        <f t="array" ref="C136:D141">+'DA-9'!$A$113:$B$119</f>
        <v>Labour</v>
      </c>
      <c r="D136" s="426" t="str">
        <v>Labour</v>
      </c>
      <c r="E136" s="847">
        <f t="array" ref="E136:K141" ca="1">+'DA-9'!$N$113:$T$119</f>
        <v>0</v>
      </c>
      <c r="F136" s="386">
        <f ca="1"/>
        <v>0</v>
      </c>
      <c r="G136" s="383">
        <f ca="1"/>
        <v>0</v>
      </c>
      <c r="H136" s="383">
        <f ca="1"/>
        <v>0</v>
      </c>
      <c r="I136" s="383">
        <f ca="1"/>
        <v>0</v>
      </c>
      <c r="J136" s="383">
        <f ca="1"/>
        <v>0</v>
      </c>
      <c r="K136" s="383">
        <f ca="1"/>
        <v>0</v>
      </c>
      <c r="P136" s="386"/>
      <c r="Q136" s="768">
        <f ca="1">IF(F136&lt;&gt;0,+F136/'DA-9'!D$113,0)</f>
        <v>0</v>
      </c>
      <c r="R136" s="768">
        <f ca="1">IF(G136&lt;&gt;0,+G136/'DA-9'!E$113,0)</f>
        <v>0</v>
      </c>
      <c r="S136" s="768">
        <f ca="1">IF(H136&lt;&gt;0,+H136/'DA-9'!F$113,0)</f>
        <v>0</v>
      </c>
      <c r="T136" s="768">
        <f ca="1">IF(I136&lt;&gt;0,+I136/'DA-9'!G$113,0)</f>
        <v>0</v>
      </c>
      <c r="U136" s="768">
        <f ca="1">IF(J136&lt;&gt;0,+J136/'DA-9'!H$113,0)</f>
        <v>0</v>
      </c>
      <c r="V136" s="768">
        <f ca="1">IF(K136&lt;&gt;0,+K136/'DA-9'!I$113,0)</f>
        <v>0</v>
      </c>
    </row>
    <row r="137" spans="1:22" s="767" customFormat="1">
      <c r="A137" s="5"/>
      <c r="B137" s="249"/>
      <c r="C137" s="425" t="str">
        <v>Materials</v>
      </c>
      <c r="D137" s="426" t="str">
        <v>Materials</v>
      </c>
      <c r="E137" s="847">
        <f ca="1"/>
        <v>0</v>
      </c>
      <c r="F137" s="386">
        <f ca="1"/>
        <v>0</v>
      </c>
      <c r="G137" s="383">
        <f ca="1"/>
        <v>0</v>
      </c>
      <c r="H137" s="383">
        <f ca="1"/>
        <v>0</v>
      </c>
      <c r="I137" s="383">
        <f ca="1"/>
        <v>0</v>
      </c>
      <c r="J137" s="383">
        <f ca="1"/>
        <v>0</v>
      </c>
      <c r="K137" s="383">
        <f ca="1"/>
        <v>0</v>
      </c>
      <c r="P137" s="386"/>
      <c r="Q137" s="768">
        <f ca="1">IF(F137&lt;&gt;0,+F137/'DA-9'!D$114,0)</f>
        <v>0</v>
      </c>
      <c r="R137" s="768">
        <f ca="1">IF(G137&lt;&gt;0,+G137/'DA-9'!E$114,0)</f>
        <v>0</v>
      </c>
      <c r="S137" s="768">
        <f ca="1">IF(H137&lt;&gt;0,+H137/'DA-9'!F$114,0)</f>
        <v>0</v>
      </c>
      <c r="T137" s="768">
        <f ca="1">IF(I137&lt;&gt;0,+I137/'DA-9'!G$114,0)</f>
        <v>0</v>
      </c>
      <c r="U137" s="768">
        <f ca="1">IF(J137&lt;&gt;0,+J137/'DA-9'!H$114,0)</f>
        <v>0</v>
      </c>
      <c r="V137" s="768">
        <f ca="1">IF(K137&lt;&gt;0,+K137/'DA-9'!I$114,0)</f>
        <v>0</v>
      </c>
    </row>
    <row r="138" spans="1:22" s="767" customFormat="1">
      <c r="A138" s="5"/>
      <c r="B138" s="249"/>
      <c r="C138" s="425" t="str">
        <v>Services-construction</v>
      </c>
      <c r="D138" s="426" t="str">
        <v>Contracts</v>
      </c>
      <c r="E138" s="847">
        <f ca="1"/>
        <v>0</v>
      </c>
      <c r="F138" s="386">
        <f ca="1"/>
        <v>0</v>
      </c>
      <c r="G138" s="383">
        <f ca="1"/>
        <v>0</v>
      </c>
      <c r="H138" s="383">
        <f ca="1"/>
        <v>0</v>
      </c>
      <c r="I138" s="383">
        <f ca="1"/>
        <v>0</v>
      </c>
      <c r="J138" s="383">
        <f ca="1"/>
        <v>0</v>
      </c>
      <c r="K138" s="383">
        <f ca="1"/>
        <v>0</v>
      </c>
      <c r="P138" s="386"/>
      <c r="Q138" s="768">
        <f ca="1">IF(F138&lt;&gt;0,+F138/'DA-9'!D$115,0)</f>
        <v>0</v>
      </c>
      <c r="R138" s="768">
        <f ca="1">IF(G138&lt;&gt;0,+G138/'DA-9'!E$115,0)</f>
        <v>0</v>
      </c>
      <c r="S138" s="768">
        <f ca="1">IF(H138&lt;&gt;0,+H138/'DA-9'!F$115,0)</f>
        <v>0</v>
      </c>
      <c r="T138" s="768">
        <f ca="1">IF(I138&lt;&gt;0,+I138/'DA-9'!G$115,0)</f>
        <v>0</v>
      </c>
      <c r="U138" s="768">
        <f ca="1">IF(J138&lt;&gt;0,+J138/'DA-9'!H$115,0)</f>
        <v>0</v>
      </c>
      <c r="V138" s="768">
        <f ca="1">IF(K138&lt;&gt;0,+K138/'DA-9'!I$115,0)</f>
        <v>0</v>
      </c>
    </row>
    <row r="139" spans="1:22" s="767" customFormat="1">
      <c r="A139" s="5"/>
      <c r="B139" s="249"/>
      <c r="C139" s="425" t="str">
        <v>Services-general</v>
      </c>
      <c r="D139" s="426" t="str">
        <v>Services Other</v>
      </c>
      <c r="E139" s="847">
        <f ca="1"/>
        <v>0</v>
      </c>
      <c r="F139" s="386">
        <f ca="1"/>
        <v>0</v>
      </c>
      <c r="G139" s="383">
        <f ca="1"/>
        <v>0</v>
      </c>
      <c r="H139" s="383">
        <f ca="1"/>
        <v>0</v>
      </c>
      <c r="I139" s="383">
        <f ca="1"/>
        <v>0</v>
      </c>
      <c r="J139" s="383">
        <f ca="1"/>
        <v>0</v>
      </c>
      <c r="K139" s="383">
        <f ca="1"/>
        <v>0</v>
      </c>
      <c r="P139" s="386"/>
      <c r="Q139" s="768">
        <f ca="1">IF(F139&lt;&gt;0,+F139/'DA-9'!D$116,0)</f>
        <v>0</v>
      </c>
      <c r="R139" s="768">
        <f ca="1">IF(G139&lt;&gt;0,+G139/'DA-9'!E$116,0)</f>
        <v>0</v>
      </c>
      <c r="S139" s="768">
        <f ca="1">IF(H139&lt;&gt;0,+H139/'DA-9'!F$116,0)</f>
        <v>0</v>
      </c>
      <c r="T139" s="768">
        <f ca="1">IF(I139&lt;&gt;0,+I139/'DA-9'!G$116,0)</f>
        <v>0</v>
      </c>
      <c r="U139" s="768">
        <f ca="1">IF(J139&lt;&gt;0,+J139/'DA-9'!H$116,0)</f>
        <v>0</v>
      </c>
      <c r="V139" s="768">
        <f ca="1">IF(K139&lt;&gt;0,+K139/'DA-9'!I$116,0)</f>
        <v>0</v>
      </c>
    </row>
    <row r="140" spans="1:22" s="767" customFormat="1">
      <c r="A140" s="5"/>
      <c r="B140" s="249"/>
      <c r="C140" s="425" t="str">
        <v>Labour</v>
      </c>
      <c r="D140" s="426" t="str">
        <v>Business Overheads</v>
      </c>
      <c r="E140" s="847">
        <f ca="1"/>
        <v>0</v>
      </c>
      <c r="F140" s="386">
        <f ca="1"/>
        <v>0</v>
      </c>
      <c r="G140" s="383">
        <f ca="1"/>
        <v>0</v>
      </c>
      <c r="H140" s="383">
        <f ca="1"/>
        <v>0</v>
      </c>
      <c r="I140" s="383">
        <f ca="1"/>
        <v>0</v>
      </c>
      <c r="J140" s="383">
        <f ca="1"/>
        <v>0</v>
      </c>
      <c r="K140" s="383">
        <f ca="1"/>
        <v>0</v>
      </c>
      <c r="P140" s="386"/>
      <c r="Q140" s="768">
        <f ca="1">IF(F140&lt;&gt;0,+F140/'DA-9'!D$117,0)</f>
        <v>0</v>
      </c>
      <c r="R140" s="768">
        <f ca="1">IF(G140&lt;&gt;0,+G140/'DA-9'!E$117,0)</f>
        <v>0</v>
      </c>
      <c r="S140" s="768">
        <f ca="1">IF(H140&lt;&gt;0,+H140/'DA-9'!F$117,0)</f>
        <v>0</v>
      </c>
      <c r="T140" s="768">
        <f ca="1">IF(I140&lt;&gt;0,+I140/'DA-9'!G$117,0)</f>
        <v>0</v>
      </c>
      <c r="U140" s="768">
        <f ca="1">IF(J140&lt;&gt;0,+J140/'DA-9'!H$117,0)</f>
        <v>0</v>
      </c>
      <c r="V140" s="768">
        <f ca="1">IF(K140&lt;&gt;0,+K140/'DA-9'!I$117,0)</f>
        <v>0</v>
      </c>
    </row>
    <row r="141" spans="1:22" s="767" customFormat="1">
      <c r="A141" s="5"/>
      <c r="B141" s="249"/>
      <c r="C141" s="425" t="str">
        <v>Materials - Land</v>
      </c>
      <c r="D141" s="426" t="str">
        <v>Other</v>
      </c>
      <c r="E141" s="847">
        <f ca="1"/>
        <v>0</v>
      </c>
      <c r="F141" s="386">
        <f ca="1"/>
        <v>0</v>
      </c>
      <c r="G141" s="383">
        <f ca="1"/>
        <v>0</v>
      </c>
      <c r="H141" s="383">
        <f ca="1"/>
        <v>0</v>
      </c>
      <c r="I141" s="383">
        <f ca="1"/>
        <v>0</v>
      </c>
      <c r="J141" s="383">
        <f ca="1"/>
        <v>0</v>
      </c>
      <c r="K141" s="383">
        <f ca="1"/>
        <v>0</v>
      </c>
      <c r="P141" s="386"/>
      <c r="Q141" s="768">
        <f ca="1">IF(F141&lt;&gt;0,+F141/'DA-9'!D$118,0)</f>
        <v>0</v>
      </c>
      <c r="R141" s="768">
        <f ca="1">IF(G141&lt;&gt;0,+G141/'DA-9'!E$118,0)</f>
        <v>0</v>
      </c>
      <c r="S141" s="768">
        <f ca="1">IF(H141&lt;&gt;0,+H141/'DA-9'!F$118,0)</f>
        <v>0</v>
      </c>
      <c r="T141" s="768">
        <f ca="1">IF(I141&lt;&gt;0,+I141/'DA-9'!G$118,0)</f>
        <v>0</v>
      </c>
      <c r="U141" s="768">
        <f ca="1">IF(J141&lt;&gt;0,+J141/'DA-9'!H$118,0)</f>
        <v>0</v>
      </c>
      <c r="V141" s="768">
        <f ca="1">IF(K141&lt;&gt;0,+K141/'DA-9'!I$118,0)</f>
        <v>0</v>
      </c>
    </row>
    <row r="142" spans="1:22">
      <c r="A142" s="5"/>
      <c r="B142" s="249" t="str">
        <f ca="1">+'I-4 History'!B88</f>
        <v>DA-10</v>
      </c>
      <c r="C142" s="14" t="str">
        <f ca="1">+'I-4 History'!C88</f>
        <v>Regulatory Compliance</v>
      </c>
      <c r="D142" s="418"/>
      <c r="E142" s="507"/>
      <c r="F142" s="11"/>
      <c r="G142" s="11"/>
      <c r="H142" s="11"/>
      <c r="I142" s="11"/>
      <c r="J142" s="11"/>
      <c r="K142" s="11"/>
      <c r="P142" s="11"/>
      <c r="Q142" s="11"/>
      <c r="R142" s="11"/>
      <c r="S142" s="11"/>
      <c r="T142" s="11"/>
      <c r="U142" s="11"/>
      <c r="V142" s="11"/>
    </row>
    <row r="143" spans="1:22" ht="15.75" customHeight="1">
      <c r="A143" s="5"/>
      <c r="B143" s="249"/>
      <c r="C143" s="424" t="s">
        <v>74</v>
      </c>
      <c r="D143" s="416"/>
      <c r="E143" s="507"/>
      <c r="F143" s="11"/>
      <c r="G143" s="11"/>
      <c r="H143" s="11"/>
      <c r="I143" s="11"/>
      <c r="J143" s="11"/>
      <c r="K143" s="11"/>
      <c r="P143" s="11"/>
      <c r="Q143" s="11"/>
      <c r="R143" s="11"/>
      <c r="S143" s="11"/>
      <c r="T143" s="11"/>
      <c r="U143" s="11"/>
      <c r="V143" s="11"/>
    </row>
    <row r="144" spans="1:22">
      <c r="A144" s="5"/>
      <c r="B144" s="249"/>
      <c r="C144" s="425" t="str">
        <f t="array" ref="C144:D149">+'DA-10'!$A$77:$B$82</f>
        <v>Total Output Growth</v>
      </c>
      <c r="D144" s="426" t="str">
        <v>Labour</v>
      </c>
      <c r="E144" s="847">
        <f t="array" ref="E144:K149" ca="1">+'DA-10'!$N$77:$T$82</f>
        <v>0</v>
      </c>
      <c r="F144" s="386">
        <f ca="1"/>
        <v>0</v>
      </c>
      <c r="G144" s="383">
        <f ca="1"/>
        <v>3.2243663216673532E-2</v>
      </c>
      <c r="H144" s="383">
        <f ca="1"/>
        <v>6.212018418065611E-2</v>
      </c>
      <c r="I144" s="383">
        <f ca="1"/>
        <v>9.1652793397810878E-2</v>
      </c>
      <c r="J144" s="383">
        <f ca="1"/>
        <v>0.12369330247171992</v>
      </c>
      <c r="K144" s="383">
        <f ca="1"/>
        <v>0.15304264857561656</v>
      </c>
      <c r="L144" s="790"/>
      <c r="M144" s="790"/>
      <c r="N144" s="790"/>
      <c r="O144" s="790"/>
      <c r="P144" s="386"/>
      <c r="Q144" s="768">
        <f ca="1">IF(F144&lt;&gt;0,+F144/'DA-10'!D$77,0)</f>
        <v>0</v>
      </c>
      <c r="R144" s="768">
        <f ca="1">IF(G144&lt;&gt;0,+G144/'DA-10'!E$77,0)</f>
        <v>3.0389999999999997</v>
      </c>
      <c r="S144" s="768">
        <f ca="1">IF(H144&lt;&gt;0,+H144/'DA-10'!F$77,0)</f>
        <v>3.0390000000000001</v>
      </c>
      <c r="T144" s="768">
        <f ca="1">IF(I144&lt;&gt;0,+I144/'DA-10'!G$77,0)</f>
        <v>3.0390000000000001</v>
      </c>
      <c r="U144" s="768">
        <f ca="1">IF(J144&lt;&gt;0,+J144/'DA-10'!H$77,0)</f>
        <v>3.0390000000000001</v>
      </c>
      <c r="V144" s="768">
        <f ca="1">IF(K144&lt;&gt;0,+K144/'DA-10'!I$77,0)</f>
        <v>3.0390000000000001</v>
      </c>
    </row>
    <row r="145" spans="1:22">
      <c r="A145" s="5"/>
      <c r="B145" s="249"/>
      <c r="C145" s="425" t="str">
        <v>Total Output Growth</v>
      </c>
      <c r="D145" s="426" t="str">
        <v>Materials</v>
      </c>
      <c r="E145" s="847">
        <f ca="1"/>
        <v>0</v>
      </c>
      <c r="F145" s="386">
        <f ca="1"/>
        <v>0</v>
      </c>
      <c r="G145" s="383">
        <f ca="1"/>
        <v>5.5171783062422626E-4</v>
      </c>
      <c r="H145" s="383">
        <f ca="1"/>
        <v>1.0629317464278109E-3</v>
      </c>
      <c r="I145" s="383">
        <f ca="1"/>
        <v>1.5682610255630686E-3</v>
      </c>
      <c r="J145" s="383">
        <f ca="1"/>
        <v>2.1165027076437762E-3</v>
      </c>
      <c r="K145" s="383">
        <f ca="1"/>
        <v>2.6186961914880093E-3</v>
      </c>
      <c r="L145" s="790"/>
      <c r="M145" s="790"/>
      <c r="N145" s="790"/>
      <c r="O145" s="790"/>
      <c r="P145" s="386"/>
      <c r="Q145" s="768">
        <f ca="1">IF(F145&lt;&gt;0,+F145/'DA-10'!D$78,0)</f>
        <v>0</v>
      </c>
      <c r="R145" s="768">
        <f ca="1">IF(G145&lt;&gt;0,+G145/'DA-10'!E$78,0)</f>
        <v>5.1999999999999998E-2</v>
      </c>
      <c r="S145" s="768">
        <f ca="1">IF(H145&lt;&gt;0,+H145/'DA-10'!F$78,0)</f>
        <v>5.1999999999999998E-2</v>
      </c>
      <c r="T145" s="768">
        <f ca="1">IF(I145&lt;&gt;0,+I145/'DA-10'!G$78,0)</f>
        <v>5.1999999999999998E-2</v>
      </c>
      <c r="U145" s="768">
        <f ca="1">IF(J145&lt;&gt;0,+J145/'DA-10'!H$78,0)</f>
        <v>5.2000000000000005E-2</v>
      </c>
      <c r="V145" s="768">
        <f ca="1">IF(K145&lt;&gt;0,+K145/'DA-10'!I$78,0)</f>
        <v>5.1999999999999998E-2</v>
      </c>
    </row>
    <row r="146" spans="1:22">
      <c r="A146" s="5"/>
      <c r="B146" s="249"/>
      <c r="C146" s="425" t="str">
        <v>Total Output Growth</v>
      </c>
      <c r="D146" s="426" t="str">
        <v>Contracts</v>
      </c>
      <c r="E146" s="847">
        <f ca="1"/>
        <v>0</v>
      </c>
      <c r="F146" s="386">
        <f ca="1"/>
        <v>0</v>
      </c>
      <c r="G146" s="383">
        <f ca="1"/>
        <v>1.0609958281235122E-5</v>
      </c>
      <c r="H146" s="383">
        <f ca="1"/>
        <v>2.0440995123611749E-5</v>
      </c>
      <c r="I146" s="383">
        <f ca="1"/>
        <v>3.0158865876212861E-5</v>
      </c>
      <c r="J146" s="383">
        <f ca="1"/>
        <v>4.0701975146995693E-5</v>
      </c>
      <c r="K146" s="383">
        <f ca="1"/>
        <v>5.0359542144000181E-5</v>
      </c>
      <c r="L146" s="790"/>
      <c r="M146" s="790"/>
      <c r="N146" s="790"/>
      <c r="O146" s="790"/>
      <c r="P146" s="386"/>
      <c r="Q146" s="768">
        <f ca="1">IF(F146&lt;&gt;0,+F146/'DA-10'!D$79,0)</f>
        <v>0</v>
      </c>
      <c r="R146" s="768">
        <f ca="1">IF(G146&lt;&gt;0,+G146/'DA-10'!E$79,0)</f>
        <v>1E-3</v>
      </c>
      <c r="S146" s="768">
        <f ca="1">IF(H146&lt;&gt;0,+H146/'DA-10'!F$79,0)</f>
        <v>1E-3</v>
      </c>
      <c r="T146" s="768">
        <f ca="1">IF(I146&lt;&gt;0,+I146/'DA-10'!G$79,0)</f>
        <v>1E-3</v>
      </c>
      <c r="U146" s="768">
        <f ca="1">IF(J146&lt;&gt;0,+J146/'DA-10'!H$79,0)</f>
        <v>1E-3</v>
      </c>
      <c r="V146" s="768">
        <f ca="1">IF(K146&lt;&gt;0,+K146/'DA-10'!I$79,0)</f>
        <v>1E-3</v>
      </c>
    </row>
    <row r="147" spans="1:22" s="790" customFormat="1">
      <c r="A147" s="5"/>
      <c r="B147" s="249"/>
      <c r="C147" s="425" t="str">
        <v>Total Output Growth</v>
      </c>
      <c r="D147" s="426" t="str">
        <v>Services Other</v>
      </c>
      <c r="E147" s="847">
        <f ca="1"/>
        <v>0</v>
      </c>
      <c r="F147" s="386">
        <f ca="1"/>
        <v>0</v>
      </c>
      <c r="G147" s="383">
        <f ca="1"/>
        <v>3.6498256487448818E-3</v>
      </c>
      <c r="H147" s="383">
        <f ca="1"/>
        <v>7.0317023225224427E-3</v>
      </c>
      <c r="I147" s="383">
        <f ca="1"/>
        <v>1.0374649861417224E-2</v>
      </c>
      <c r="J147" s="383">
        <f ca="1"/>
        <v>1.4001479450566521E-2</v>
      </c>
      <c r="K147" s="383">
        <f ca="1"/>
        <v>1.7323682497536064E-2</v>
      </c>
      <c r="P147" s="386"/>
      <c r="Q147" s="768">
        <f ca="1">IF(F147&lt;&gt;0,+F147/'DA-10'!D$80,0)</f>
        <v>0</v>
      </c>
      <c r="R147" s="768">
        <f ca="1">IF(G147&lt;&gt;0,+G147/'DA-10'!E$80,0)</f>
        <v>0.34400000000000003</v>
      </c>
      <c r="S147" s="768">
        <f ca="1">IF(H147&lt;&gt;0,+H147/'DA-10'!F$80,0)</f>
        <v>0.34400000000000003</v>
      </c>
      <c r="T147" s="768">
        <f ca="1">IF(I147&lt;&gt;0,+I147/'DA-10'!G$80,0)</f>
        <v>0.34400000000000003</v>
      </c>
      <c r="U147" s="768">
        <f ca="1">IF(J147&lt;&gt;0,+J147/'DA-10'!H$80,0)</f>
        <v>0.34400000000000003</v>
      </c>
      <c r="V147" s="768">
        <f ca="1">IF(K147&lt;&gt;0,+K147/'DA-10'!I$80,0)</f>
        <v>0.34400000000000003</v>
      </c>
    </row>
    <row r="148" spans="1:22" s="790" customFormat="1">
      <c r="A148" s="5"/>
      <c r="B148" s="249"/>
      <c r="C148" s="425" t="str">
        <v>Total Output Growth</v>
      </c>
      <c r="D148" s="426" t="str">
        <v>Business Overheads</v>
      </c>
      <c r="E148" s="847">
        <f ca="1"/>
        <v>0</v>
      </c>
      <c r="F148" s="386">
        <f ca="1"/>
        <v>0</v>
      </c>
      <c r="G148" s="383">
        <f ca="1"/>
        <v>2.556999945777664E-3</v>
      </c>
      <c r="H148" s="383">
        <f ca="1"/>
        <v>4.9262798247904317E-3</v>
      </c>
      <c r="I148" s="383">
        <f ca="1"/>
        <v>7.2682866761672989E-3</v>
      </c>
      <c r="J148" s="383">
        <f ca="1"/>
        <v>9.8091760104259615E-3</v>
      </c>
      <c r="K148" s="383">
        <f ca="1"/>
        <v>1.2136649656704043E-2</v>
      </c>
      <c r="P148" s="386"/>
      <c r="Q148" s="768">
        <f ca="1">IF(F148&lt;&gt;0,+F148/'DA-10'!D$81,0)</f>
        <v>0</v>
      </c>
      <c r="R148" s="768">
        <f ca="1">IF(G148&lt;&gt;0,+G148/'DA-10'!E$81,0)</f>
        <v>0.24099999999999999</v>
      </c>
      <c r="S148" s="768">
        <f ca="1">IF(H148&lt;&gt;0,+H148/'DA-10'!F$81,0)</f>
        <v>0.24099999999999999</v>
      </c>
      <c r="T148" s="768">
        <f ca="1">IF(I148&lt;&gt;0,+I148/'DA-10'!G$81,0)</f>
        <v>0.24099999999999999</v>
      </c>
      <c r="U148" s="768">
        <f ca="1">IF(J148&lt;&gt;0,+J148/'DA-10'!H$81,0)</f>
        <v>0.24099999999999996</v>
      </c>
      <c r="V148" s="768">
        <f ca="1">IF(K148&lt;&gt;0,+K148/'DA-10'!I$81,0)</f>
        <v>0.24099999999999999</v>
      </c>
    </row>
    <row r="149" spans="1:22" s="790" customFormat="1">
      <c r="A149" s="5"/>
      <c r="B149" s="249"/>
      <c r="C149" s="425" t="str">
        <v>Total Output Growth</v>
      </c>
      <c r="D149" s="426" t="str">
        <v>Other</v>
      </c>
      <c r="E149" s="847">
        <f ca="1"/>
        <v>0</v>
      </c>
      <c r="F149" s="386">
        <f ca="1"/>
        <v>0</v>
      </c>
      <c r="G149" s="383">
        <f ca="1"/>
        <v>0</v>
      </c>
      <c r="H149" s="383">
        <f ca="1"/>
        <v>0</v>
      </c>
      <c r="I149" s="383">
        <f ca="1"/>
        <v>0</v>
      </c>
      <c r="J149" s="383">
        <f ca="1"/>
        <v>0</v>
      </c>
      <c r="K149" s="383">
        <f ca="1"/>
        <v>0</v>
      </c>
      <c r="P149" s="386"/>
      <c r="Q149" s="768">
        <f ca="1">IF(F149&lt;&gt;0,+F149/'DA-10'!D$82,0)</f>
        <v>0</v>
      </c>
      <c r="R149" s="768">
        <f ca="1">IF(G149&lt;&gt;0,+G149/'DA-10'!E$82,0)</f>
        <v>0</v>
      </c>
      <c r="S149" s="768">
        <f ca="1">IF(H149&lt;&gt;0,+H149/'DA-10'!F$82,0)</f>
        <v>0</v>
      </c>
      <c r="T149" s="768">
        <f ca="1">IF(I149&lt;&gt;0,+I149/'DA-10'!G$82,0)</f>
        <v>0</v>
      </c>
      <c r="U149" s="768">
        <f ca="1">IF(J149&lt;&gt;0,+J149/'DA-10'!H$82,0)</f>
        <v>0</v>
      </c>
      <c r="V149" s="768">
        <f ca="1">IF(K149&lt;&gt;0,+K149/'DA-10'!I$82,0)</f>
        <v>0</v>
      </c>
    </row>
    <row r="150" spans="1:22">
      <c r="A150" s="5"/>
      <c r="B150" s="249"/>
      <c r="C150" s="424" t="s">
        <v>73</v>
      </c>
      <c r="D150" s="417"/>
      <c r="E150" s="848"/>
      <c r="F150" s="387"/>
      <c r="G150" s="385"/>
      <c r="H150" s="385"/>
      <c r="I150" s="385"/>
      <c r="J150" s="385"/>
      <c r="K150" s="385"/>
      <c r="P150" s="387"/>
      <c r="Q150" s="385"/>
      <c r="R150" s="385"/>
      <c r="S150" s="385"/>
      <c r="T150" s="385"/>
      <c r="U150" s="385"/>
      <c r="V150" s="385"/>
    </row>
    <row r="151" spans="1:22" s="767" customFormat="1">
      <c r="A151" s="5"/>
      <c r="B151" s="249"/>
      <c r="C151" s="425" t="str">
        <f t="array" ref="C151:D156">+'DA-10'!$A$113:$B$119</f>
        <v>Labour</v>
      </c>
      <c r="D151" s="426" t="str">
        <v>Labour</v>
      </c>
      <c r="E151" s="847">
        <f t="array" ref="E151:K156" ca="1">+'DA-10'!$N$113:$T$119</f>
        <v>0</v>
      </c>
      <c r="F151" s="386">
        <f ca="1"/>
        <v>0</v>
      </c>
      <c r="G151" s="383">
        <f ca="1"/>
        <v>6.5902641803297191E-2</v>
      </c>
      <c r="H151" s="383">
        <f ca="1"/>
        <v>0.13451535545734572</v>
      </c>
      <c r="I151" s="383">
        <f ca="1"/>
        <v>0.20972835003986154</v>
      </c>
      <c r="J151" s="383">
        <f ca="1"/>
        <v>0.28825391785294197</v>
      </c>
      <c r="K151" s="383">
        <f ca="1"/>
        <v>0.36976156217151196</v>
      </c>
      <c r="P151" s="386"/>
      <c r="Q151" s="768">
        <f ca="1">IF(F151&lt;&gt;0,+F151/'DA-10'!D$113,0)</f>
        <v>0</v>
      </c>
      <c r="R151" s="768">
        <f ca="1">IF(G151&lt;&gt;0,+G151/'DA-10'!E$113,0)</f>
        <v>3.0712436632166735</v>
      </c>
      <c r="S151" s="768">
        <f ca="1">IF(H151&lt;&gt;0,+H151/'DA-10'!F$113,0)</f>
        <v>3.1011201841806568</v>
      </c>
      <c r="T151" s="768">
        <f ca="1">IF(I151&lt;&gt;0,+I151/'DA-10'!G$113,0)</f>
        <v>3.130652793397811</v>
      </c>
      <c r="U151" s="768">
        <f ca="1">IF(J151&lt;&gt;0,+J151/'DA-10'!H$113,0)</f>
        <v>3.1626933024717201</v>
      </c>
      <c r="V151" s="768">
        <f ca="1">IF(K151&lt;&gt;0,+K151/'DA-10'!I$113,0)</f>
        <v>3.1920426485756166</v>
      </c>
    </row>
    <row r="152" spans="1:22" s="767" customFormat="1">
      <c r="A152" s="5"/>
      <c r="B152" s="249"/>
      <c r="C152" s="425" t="str">
        <v>Materials</v>
      </c>
      <c r="D152" s="426" t="str">
        <v>Materials</v>
      </c>
      <c r="E152" s="847">
        <f ca="1"/>
        <v>0</v>
      </c>
      <c r="F152" s="386">
        <f ca="1"/>
        <v>0</v>
      </c>
      <c r="G152" s="383">
        <f ca="1"/>
        <v>0</v>
      </c>
      <c r="H152" s="383">
        <f ca="1"/>
        <v>0</v>
      </c>
      <c r="I152" s="383">
        <f ca="1"/>
        <v>0</v>
      </c>
      <c r="J152" s="383">
        <f ca="1"/>
        <v>0</v>
      </c>
      <c r="K152" s="383">
        <f ca="1"/>
        <v>0</v>
      </c>
      <c r="P152" s="386"/>
      <c r="Q152" s="768">
        <f ca="1">IF(F152&lt;&gt;0,+F152/'DA-10'!D$114,0)</f>
        <v>0</v>
      </c>
      <c r="R152" s="768">
        <f ca="1">IF(G152&lt;&gt;0,+G152/'DA-10'!E$114,0)</f>
        <v>0</v>
      </c>
      <c r="S152" s="768">
        <f ca="1">IF(H152&lt;&gt;0,+H152/'DA-10'!F$114,0)</f>
        <v>0</v>
      </c>
      <c r="T152" s="768">
        <f ca="1">IF(I152&lt;&gt;0,+I152/'DA-10'!G$114,0)</f>
        <v>0</v>
      </c>
      <c r="U152" s="768">
        <f ca="1">IF(J152&lt;&gt;0,+J152/'DA-10'!H$114,0)</f>
        <v>0</v>
      </c>
      <c r="V152" s="768">
        <f ca="1">IF(K152&lt;&gt;0,+K152/'DA-10'!I$114,0)</f>
        <v>0</v>
      </c>
    </row>
    <row r="153" spans="1:22" s="767" customFormat="1">
      <c r="A153" s="5"/>
      <c r="B153" s="249"/>
      <c r="C153" s="425" t="str">
        <v>Services-construction</v>
      </c>
      <c r="D153" s="426" t="str">
        <v>Contracts</v>
      </c>
      <c r="E153" s="847">
        <f ca="1"/>
        <v>0</v>
      </c>
      <c r="F153" s="386">
        <f ca="1"/>
        <v>0</v>
      </c>
      <c r="G153" s="383">
        <f ca="1"/>
        <v>5.0530497914060681E-6</v>
      </c>
      <c r="H153" s="383">
        <f ca="1"/>
        <v>1.0229920976113931E-5</v>
      </c>
      <c r="I153" s="383">
        <f ca="1"/>
        <v>1.9691718506968131E-5</v>
      </c>
      <c r="J153" s="383">
        <f ca="1"/>
        <v>3.1029502302257457E-5</v>
      </c>
      <c r="K153" s="383">
        <f ca="1"/>
        <v>4.4838414113705024E-5</v>
      </c>
      <c r="P153" s="386"/>
      <c r="Q153" s="768">
        <f ca="1">IF(F153&lt;&gt;0,+F153/'DA-10'!D$115,0)</f>
        <v>0</v>
      </c>
      <c r="R153" s="768">
        <f ca="1">IF(G153&lt;&gt;0,+G153/'DA-10'!E$115,0)</f>
        <v>1.0106099582812352E-3</v>
      </c>
      <c r="S153" s="768">
        <f ca="1">IF(H153&lt;&gt;0,+H153/'DA-10'!F$115,0)</f>
        <v>1.0204409951236118E-3</v>
      </c>
      <c r="T153" s="768">
        <f ca="1">IF(I153&lt;&gt;0,+I153/'DA-10'!G$115,0)</f>
        <v>1.0301588658762129E-3</v>
      </c>
      <c r="U153" s="768">
        <f ca="1">IF(J153&lt;&gt;0,+J153/'DA-10'!H$115,0)</f>
        <v>1.0407019751469955E-3</v>
      </c>
      <c r="V153" s="768">
        <f ca="1">IF(K153&lt;&gt;0,+K153/'DA-10'!I$115,0)</f>
        <v>1.0503595421440001E-3</v>
      </c>
    </row>
    <row r="154" spans="1:22" s="767" customFormat="1">
      <c r="A154" s="5"/>
      <c r="B154" s="249"/>
      <c r="C154" s="425" t="str">
        <v>Services-general</v>
      </c>
      <c r="D154" s="426" t="str">
        <v>Services Other</v>
      </c>
      <c r="E154" s="847">
        <f ca="1"/>
        <v>0</v>
      </c>
      <c r="F154" s="386">
        <f ca="1"/>
        <v>0</v>
      </c>
      <c r="G154" s="383">
        <f ca="1"/>
        <v>1.7382491282436875E-3</v>
      </c>
      <c r="H154" s="383">
        <f ca="1"/>
        <v>3.5190928157831924E-3</v>
      </c>
      <c r="I154" s="383">
        <f ca="1"/>
        <v>6.7739511663970371E-3</v>
      </c>
      <c r="J154" s="383">
        <f ca="1"/>
        <v>1.0674148791976567E-2</v>
      </c>
      <c r="K154" s="383">
        <f ca="1"/>
        <v>1.542441445511453E-2</v>
      </c>
      <c r="P154" s="386"/>
      <c r="Q154" s="768">
        <f ca="1">IF(F154&lt;&gt;0,+F154/'DA-10'!D$116,0)</f>
        <v>0</v>
      </c>
      <c r="R154" s="768">
        <f ca="1">IF(G154&lt;&gt;0,+G154/'DA-10'!E$116,0)</f>
        <v>0.34764982564874491</v>
      </c>
      <c r="S154" s="768">
        <f ca="1">IF(H154&lt;&gt;0,+H154/'DA-10'!F$116,0)</f>
        <v>0.35103170232252245</v>
      </c>
      <c r="T154" s="768">
        <f ca="1">IF(I154&lt;&gt;0,+I154/'DA-10'!G$116,0)</f>
        <v>0.35437464986141726</v>
      </c>
      <c r="U154" s="768">
        <f ca="1">IF(J154&lt;&gt;0,+J154/'DA-10'!H$116,0)</f>
        <v>0.35800147945056654</v>
      </c>
      <c r="V154" s="768">
        <f ca="1">IF(K154&lt;&gt;0,+K154/'DA-10'!I$116,0)</f>
        <v>0.3613236824975361</v>
      </c>
    </row>
    <row r="155" spans="1:22" s="767" customFormat="1">
      <c r="A155" s="5"/>
      <c r="B155" s="249"/>
      <c r="C155" s="425" t="str">
        <v>Labour</v>
      </c>
      <c r="D155" s="426" t="str">
        <v>Business Overheads</v>
      </c>
      <c r="E155" s="847">
        <f ca="1"/>
        <v>0</v>
      </c>
      <c r="F155" s="386">
        <f ca="1"/>
        <v>0</v>
      </c>
      <c r="G155" s="383">
        <f ca="1"/>
        <v>5.2262378001298529E-3</v>
      </c>
      <c r="H155" s="383">
        <f ca="1"/>
        <v>1.0667390807904019E-2</v>
      </c>
      <c r="I155" s="383">
        <f ca="1"/>
        <v>1.6631961947879772E-2</v>
      </c>
      <c r="J155" s="383">
        <f ca="1"/>
        <v>2.2859228102191185E-2</v>
      </c>
      <c r="K155" s="383">
        <f ca="1"/>
        <v>2.932298008665165E-2</v>
      </c>
      <c r="P155" s="386"/>
      <c r="Q155" s="768">
        <f ca="1">IF(F155&lt;&gt;0,+F155/'DA-10'!D$117,0)</f>
        <v>0</v>
      </c>
      <c r="R155" s="768">
        <f ca="1">IF(G155&lt;&gt;0,+G155/'DA-10'!E$117,0)</f>
        <v>0.24355699994577765</v>
      </c>
      <c r="S155" s="768">
        <f ca="1">IF(H155&lt;&gt;0,+H155/'DA-10'!F$117,0)</f>
        <v>0.24592627982479043</v>
      </c>
      <c r="T155" s="768">
        <f ca="1">IF(I155&lt;&gt;0,+I155/'DA-10'!G$117,0)</f>
        <v>0.24826828667616729</v>
      </c>
      <c r="U155" s="768">
        <f ca="1">IF(J155&lt;&gt;0,+J155/'DA-10'!H$117,0)</f>
        <v>0.25080917601042596</v>
      </c>
      <c r="V155" s="768">
        <f ca="1">IF(K155&lt;&gt;0,+K155/'DA-10'!I$117,0)</f>
        <v>0.25313664965670402</v>
      </c>
    </row>
    <row r="156" spans="1:22" s="767" customFormat="1">
      <c r="A156" s="5"/>
      <c r="B156" s="249"/>
      <c r="C156" s="425" t="str">
        <v>Materials - Land</v>
      </c>
      <c r="D156" s="426" t="str">
        <v>Other</v>
      </c>
      <c r="E156" s="847">
        <f ca="1"/>
        <v>0</v>
      </c>
      <c r="F156" s="386">
        <f ca="1"/>
        <v>0</v>
      </c>
      <c r="G156" s="383">
        <f ca="1"/>
        <v>0</v>
      </c>
      <c r="H156" s="383">
        <f ca="1"/>
        <v>0</v>
      </c>
      <c r="I156" s="383">
        <f ca="1"/>
        <v>0</v>
      </c>
      <c r="J156" s="383">
        <f ca="1"/>
        <v>0</v>
      </c>
      <c r="K156" s="383">
        <f ca="1"/>
        <v>0</v>
      </c>
      <c r="P156" s="386"/>
      <c r="Q156" s="768">
        <f ca="1">IF(F156&lt;&gt;0,+F156/'DA-10'!D$118,0)</f>
        <v>0</v>
      </c>
      <c r="R156" s="768">
        <f ca="1">IF(G156&lt;&gt;0,+G156/'DA-10'!E$118,0)</f>
        <v>0</v>
      </c>
      <c r="S156" s="768">
        <f ca="1">IF(H156&lt;&gt;0,+H156/'DA-10'!F$118,0)</f>
        <v>0</v>
      </c>
      <c r="T156" s="768">
        <f ca="1">IF(I156&lt;&gt;0,+I156/'DA-10'!G$118,0)</f>
        <v>0</v>
      </c>
      <c r="U156" s="768">
        <f ca="1">IF(J156&lt;&gt;0,+J156/'DA-10'!H$118,0)</f>
        <v>0</v>
      </c>
      <c r="V156" s="768">
        <f ca="1">IF(K156&lt;&gt;0,+K156/'DA-10'!I$118,0)</f>
        <v>0</v>
      </c>
    </row>
    <row r="157" spans="1:22" ht="13.5" thickBot="1">
      <c r="A157" s="5"/>
      <c r="B157" s="250"/>
      <c r="C157" s="437" t="s">
        <v>270</v>
      </c>
      <c r="D157" s="419"/>
      <c r="E157" s="838">
        <f ca="1">SUBTOTAL(9,E8:E156)</f>
        <v>0</v>
      </c>
      <c r="F157" s="267">
        <f t="shared" ref="F157:K157" ca="1" si="0">SUBTOTAL(9,F8:F156)</f>
        <v>0</v>
      </c>
      <c r="G157" s="267">
        <f t="shared" ca="1" si="0"/>
        <v>0.8164233082521043</v>
      </c>
      <c r="H157" s="267">
        <f t="shared" ca="1" si="0"/>
        <v>1.6289394788674094</v>
      </c>
      <c r="I157" s="267">
        <f t="shared" ca="1" si="0"/>
        <v>2.5084248655880108</v>
      </c>
      <c r="J157" s="267">
        <f t="shared" ca="1" si="0"/>
        <v>3.4468592349561198</v>
      </c>
      <c r="K157" s="267">
        <f t="shared" ca="1" si="0"/>
        <v>4.393112495546629</v>
      </c>
      <c r="P157" s="267"/>
      <c r="Q157" s="267"/>
      <c r="R157" s="267"/>
      <c r="S157" s="267"/>
      <c r="T157" s="267"/>
      <c r="U157" s="267"/>
      <c r="V157" s="267"/>
    </row>
    <row r="158" spans="1:22" ht="18">
      <c r="A158" s="5"/>
      <c r="B158" s="252"/>
      <c r="C158" s="297" t="s">
        <v>168</v>
      </c>
      <c r="D158" s="415"/>
      <c r="E158" s="839"/>
      <c r="F158" s="265"/>
      <c r="G158" s="265"/>
      <c r="H158" s="265"/>
      <c r="I158" s="265"/>
      <c r="J158" s="265"/>
      <c r="K158" s="265"/>
      <c r="P158" s="265"/>
      <c r="Q158" s="265"/>
      <c r="R158" s="265"/>
      <c r="S158" s="265"/>
      <c r="T158" s="265"/>
      <c r="U158" s="265"/>
      <c r="V158" s="265"/>
    </row>
    <row r="159" spans="1:22">
      <c r="A159" s="5"/>
      <c r="B159" s="249" t="str">
        <f ca="1">+'I-4 History'!B97</f>
        <v>DA-11</v>
      </c>
      <c r="C159" s="14" t="str">
        <f ca="1">+'I-4 History'!C97</f>
        <v>Outage Management System</v>
      </c>
      <c r="D159" s="418"/>
      <c r="E159" s="507"/>
      <c r="F159" s="11"/>
      <c r="G159" s="11"/>
      <c r="H159" s="11"/>
      <c r="I159" s="11"/>
      <c r="J159" s="11"/>
      <c r="K159" s="11"/>
      <c r="P159" s="11"/>
      <c r="Q159" s="11"/>
      <c r="R159" s="11"/>
      <c r="S159" s="11"/>
      <c r="T159" s="11"/>
      <c r="U159" s="11"/>
      <c r="V159" s="11"/>
    </row>
    <row r="160" spans="1:22" ht="15.75" customHeight="1">
      <c r="A160" s="5"/>
      <c r="B160" s="249"/>
      <c r="C160" s="424" t="s">
        <v>74</v>
      </c>
      <c r="D160" s="416"/>
      <c r="E160" s="507"/>
      <c r="F160" s="11"/>
      <c r="G160" s="11"/>
      <c r="H160" s="11"/>
      <c r="I160" s="11"/>
      <c r="J160" s="11"/>
      <c r="K160" s="11"/>
      <c r="P160" s="11"/>
      <c r="Q160" s="11"/>
      <c r="R160" s="11"/>
      <c r="S160" s="11"/>
      <c r="T160" s="11"/>
      <c r="U160" s="11"/>
      <c r="V160" s="11"/>
    </row>
    <row r="161" spans="1:22">
      <c r="A161" s="5"/>
      <c r="B161" s="249"/>
      <c r="C161" s="425" t="str">
        <f t="array" ref="C161:D166">+'DA-11'!$A$77:$B$82</f>
        <v>Total Output Growth</v>
      </c>
      <c r="D161" s="426" t="str">
        <v>Labour</v>
      </c>
      <c r="E161" s="847">
        <f t="array" ref="E161:K166" ca="1">+'DA-11'!$N$77:$T$82</f>
        <v>0</v>
      </c>
      <c r="F161" s="386">
        <f ca="1"/>
        <v>0</v>
      </c>
      <c r="G161" s="383">
        <f ca="1"/>
        <v>3.1299376929643605E-3</v>
      </c>
      <c r="H161" s="383">
        <f ca="1"/>
        <v>6.0300935614654655E-3</v>
      </c>
      <c r="I161" s="383">
        <f ca="1"/>
        <v>8.8968654334827934E-3</v>
      </c>
      <c r="J161" s="383">
        <f ca="1"/>
        <v>1.2007082668363729E-2</v>
      </c>
      <c r="K161" s="383">
        <f ca="1"/>
        <v>1.4856064932480052E-2</v>
      </c>
      <c r="L161" s="790"/>
      <c r="M161" s="790"/>
      <c r="N161" s="790"/>
      <c r="O161" s="790"/>
      <c r="P161" s="386"/>
      <c r="Q161" s="768">
        <f ca="1">IF(F161&lt;&gt;0,+F161/'DA-11'!D$77,0)</f>
        <v>0</v>
      </c>
      <c r="R161" s="768">
        <f ca="1">IF(G161&lt;&gt;0,+G161/'DA-11'!E$77,0)</f>
        <v>0.29499999999999998</v>
      </c>
      <c r="S161" s="768">
        <f ca="1">IF(H161&lt;&gt;0,+H161/'DA-11'!F$77,0)</f>
        <v>0.29499999999999998</v>
      </c>
      <c r="T161" s="768">
        <f ca="1">IF(I161&lt;&gt;0,+I161/'DA-11'!G$77,0)</f>
        <v>0.29499999999999998</v>
      </c>
      <c r="U161" s="768">
        <f ca="1">IF(J161&lt;&gt;0,+J161/'DA-11'!H$77,0)</f>
        <v>0.29499999999999998</v>
      </c>
      <c r="V161" s="768">
        <f ca="1">IF(K161&lt;&gt;0,+K161/'DA-11'!I$77,0)</f>
        <v>0.29499999999999998</v>
      </c>
    </row>
    <row r="162" spans="1:22">
      <c r="A162" s="5"/>
      <c r="B162" s="249"/>
      <c r="C162" s="425" t="str">
        <v>Total Output Growth</v>
      </c>
      <c r="D162" s="426" t="str">
        <v>Materials</v>
      </c>
      <c r="E162" s="847">
        <f ca="1"/>
        <v>0</v>
      </c>
      <c r="F162" s="386">
        <f ca="1"/>
        <v>0</v>
      </c>
      <c r="G162" s="383">
        <f ca="1"/>
        <v>0</v>
      </c>
      <c r="H162" s="383">
        <f ca="1"/>
        <v>0</v>
      </c>
      <c r="I162" s="383">
        <f ca="1"/>
        <v>0</v>
      </c>
      <c r="J162" s="383">
        <f ca="1"/>
        <v>0</v>
      </c>
      <c r="K162" s="383">
        <f ca="1"/>
        <v>0</v>
      </c>
      <c r="L162" s="790"/>
      <c r="M162" s="790"/>
      <c r="N162" s="790"/>
      <c r="O162" s="790"/>
      <c r="P162" s="386"/>
      <c r="Q162" s="768">
        <f ca="1">IF(F162&lt;&gt;0,+F162/'DA-11'!D$78,0)</f>
        <v>0</v>
      </c>
      <c r="R162" s="768">
        <f ca="1">IF(G162&lt;&gt;0,+G162/'DA-11'!E$78,0)</f>
        <v>0</v>
      </c>
      <c r="S162" s="768">
        <f ca="1">IF(H162&lt;&gt;0,+H162/'DA-11'!F$78,0)</f>
        <v>0</v>
      </c>
      <c r="T162" s="768">
        <f ca="1">IF(I162&lt;&gt;0,+I162/'DA-11'!G$78,0)</f>
        <v>0</v>
      </c>
      <c r="U162" s="768">
        <f ca="1">IF(J162&lt;&gt;0,+J162/'DA-11'!H$78,0)</f>
        <v>0</v>
      </c>
      <c r="V162" s="768">
        <f ca="1">IF(K162&lt;&gt;0,+K162/'DA-11'!I$78,0)</f>
        <v>0</v>
      </c>
    </row>
    <row r="163" spans="1:22">
      <c r="A163" s="5"/>
      <c r="B163" s="249"/>
      <c r="C163" s="425" t="str">
        <v>Total Output Growth</v>
      </c>
      <c r="D163" s="426" t="str">
        <v>Contracts</v>
      </c>
      <c r="E163" s="847">
        <f ca="1"/>
        <v>0</v>
      </c>
      <c r="F163" s="386">
        <f ca="1"/>
        <v>0</v>
      </c>
      <c r="G163" s="383">
        <f ca="1"/>
        <v>0</v>
      </c>
      <c r="H163" s="383">
        <f ca="1"/>
        <v>0</v>
      </c>
      <c r="I163" s="383">
        <f ca="1"/>
        <v>0</v>
      </c>
      <c r="J163" s="383">
        <f ca="1"/>
        <v>0</v>
      </c>
      <c r="K163" s="383">
        <f ca="1"/>
        <v>0</v>
      </c>
      <c r="L163" s="790"/>
      <c r="M163" s="790"/>
      <c r="N163" s="790"/>
      <c r="O163" s="790"/>
      <c r="P163" s="386"/>
      <c r="Q163" s="768">
        <f ca="1">IF(F163&lt;&gt;0,+F163/'DA-11'!D$79,0)</f>
        <v>0</v>
      </c>
      <c r="R163" s="768">
        <f ca="1">IF(G163&lt;&gt;0,+G163/'DA-11'!E$79,0)</f>
        <v>0</v>
      </c>
      <c r="S163" s="768">
        <f ca="1">IF(H163&lt;&gt;0,+H163/'DA-11'!F$79,0)</f>
        <v>0</v>
      </c>
      <c r="T163" s="768">
        <f ca="1">IF(I163&lt;&gt;0,+I163/'DA-11'!G$79,0)</f>
        <v>0</v>
      </c>
      <c r="U163" s="768">
        <f ca="1">IF(J163&lt;&gt;0,+J163/'DA-11'!H$79,0)</f>
        <v>0</v>
      </c>
      <c r="V163" s="768">
        <f ca="1">IF(K163&lt;&gt;0,+K163/'DA-11'!I$79,0)</f>
        <v>0</v>
      </c>
    </row>
    <row r="164" spans="1:22" s="790" customFormat="1">
      <c r="A164" s="5"/>
      <c r="B164" s="249"/>
      <c r="C164" s="425" t="str">
        <v>Total Output Growth</v>
      </c>
      <c r="D164" s="426" t="str">
        <v>Services Other</v>
      </c>
      <c r="E164" s="847">
        <f ca="1"/>
        <v>0</v>
      </c>
      <c r="F164" s="386">
        <f ca="1"/>
        <v>0</v>
      </c>
      <c r="G164" s="383">
        <f ca="1"/>
        <v>7.4057508803021142E-3</v>
      </c>
      <c r="H164" s="383">
        <f ca="1"/>
        <v>1.4267814596281E-2</v>
      </c>
      <c r="I164" s="383">
        <f ca="1"/>
        <v>2.1050888381596574E-2</v>
      </c>
      <c r="J164" s="383">
        <f ca="1"/>
        <v>2.8409978652602991E-2</v>
      </c>
      <c r="K164" s="383">
        <f ca="1"/>
        <v>3.5150960416512125E-2</v>
      </c>
      <c r="P164" s="386"/>
      <c r="Q164" s="768">
        <f ca="1">IF(F164&lt;&gt;0,+F164/'DA-11'!D$80,0)</f>
        <v>0</v>
      </c>
      <c r="R164" s="768">
        <f ca="1">IF(G164&lt;&gt;0,+G164/'DA-11'!E$80,0)</f>
        <v>0.69799999999999995</v>
      </c>
      <c r="S164" s="768">
        <f ca="1">IF(H164&lt;&gt;0,+H164/'DA-11'!F$80,0)</f>
        <v>0.69799999999999995</v>
      </c>
      <c r="T164" s="768">
        <f ca="1">IF(I164&lt;&gt;0,+I164/'DA-11'!G$80,0)</f>
        <v>0.69799999999999995</v>
      </c>
      <c r="U164" s="768">
        <f ca="1">IF(J164&lt;&gt;0,+J164/'DA-11'!H$80,0)</f>
        <v>0.69799999999999995</v>
      </c>
      <c r="V164" s="768">
        <f ca="1">IF(K164&lt;&gt;0,+K164/'DA-11'!I$80,0)</f>
        <v>0.69799999999999995</v>
      </c>
    </row>
    <row r="165" spans="1:22" s="790" customFormat="1">
      <c r="A165" s="5"/>
      <c r="B165" s="249"/>
      <c r="C165" s="425" t="str">
        <v>Total Output Growth</v>
      </c>
      <c r="D165" s="426" t="str">
        <v>Business Overheads</v>
      </c>
      <c r="E165" s="847">
        <f ca="1"/>
        <v>0</v>
      </c>
      <c r="F165" s="386">
        <f ca="1"/>
        <v>0</v>
      </c>
      <c r="G165" s="383">
        <f ca="1"/>
        <v>3.5012862328075904E-4</v>
      </c>
      <c r="H165" s="383">
        <f ca="1"/>
        <v>6.7455283907918778E-4</v>
      </c>
      <c r="I165" s="383">
        <f ca="1"/>
        <v>9.9524257391502436E-4</v>
      </c>
      <c r="J165" s="383">
        <f ca="1"/>
        <v>1.3431651798508581E-3</v>
      </c>
      <c r="K165" s="383">
        <f ca="1"/>
        <v>1.6618648907520061E-3</v>
      </c>
      <c r="P165" s="386"/>
      <c r="Q165" s="768">
        <f ca="1">IF(F165&lt;&gt;0,+F165/'DA-11'!D$81,0)</f>
        <v>0</v>
      </c>
      <c r="R165" s="768">
        <f ca="1">IF(G165&lt;&gt;0,+G165/'DA-11'!E$81,0)</f>
        <v>3.3000000000000002E-2</v>
      </c>
      <c r="S165" s="768">
        <f ca="1">IF(H165&lt;&gt;0,+H165/'DA-11'!F$81,0)</f>
        <v>3.3000000000000002E-2</v>
      </c>
      <c r="T165" s="768">
        <f ca="1">IF(I165&lt;&gt;0,+I165/'DA-11'!G$81,0)</f>
        <v>3.3000000000000002E-2</v>
      </c>
      <c r="U165" s="768">
        <f ca="1">IF(J165&lt;&gt;0,+J165/'DA-11'!H$81,0)</f>
        <v>3.3000000000000002E-2</v>
      </c>
      <c r="V165" s="768">
        <f ca="1">IF(K165&lt;&gt;0,+K165/'DA-11'!I$81,0)</f>
        <v>3.3000000000000002E-2</v>
      </c>
    </row>
    <row r="166" spans="1:22" s="790" customFormat="1">
      <c r="A166" s="5"/>
      <c r="B166" s="249"/>
      <c r="C166" s="425" t="str">
        <v>Total Output Growth</v>
      </c>
      <c r="D166" s="426" t="str">
        <v>Other</v>
      </c>
      <c r="E166" s="847">
        <f ca="1"/>
        <v>0</v>
      </c>
      <c r="F166" s="386">
        <f ca="1"/>
        <v>0</v>
      </c>
      <c r="G166" s="383">
        <f ca="1"/>
        <v>0</v>
      </c>
      <c r="H166" s="383">
        <f ca="1"/>
        <v>0</v>
      </c>
      <c r="I166" s="383">
        <f ca="1"/>
        <v>0</v>
      </c>
      <c r="J166" s="383">
        <f ca="1"/>
        <v>0</v>
      </c>
      <c r="K166" s="383">
        <f ca="1"/>
        <v>0</v>
      </c>
      <c r="P166" s="386"/>
      <c r="Q166" s="768">
        <f ca="1">IF(F166&lt;&gt;0,+F166/'DA-11'!D$82,0)</f>
        <v>0</v>
      </c>
      <c r="R166" s="768">
        <f ca="1">IF(G166&lt;&gt;0,+G166/'DA-11'!E$82,0)</f>
        <v>0</v>
      </c>
      <c r="S166" s="768">
        <f ca="1">IF(H166&lt;&gt;0,+H166/'DA-11'!F$82,0)</f>
        <v>0</v>
      </c>
      <c r="T166" s="768">
        <f ca="1">IF(I166&lt;&gt;0,+I166/'DA-11'!G$82,0)</f>
        <v>0</v>
      </c>
      <c r="U166" s="768">
        <f ca="1">IF(J166&lt;&gt;0,+J166/'DA-11'!H$82,0)</f>
        <v>0</v>
      </c>
      <c r="V166" s="768">
        <f ca="1">IF(K166&lt;&gt;0,+K166/'DA-11'!I$82,0)</f>
        <v>0</v>
      </c>
    </row>
    <row r="167" spans="1:22">
      <c r="A167" s="5"/>
      <c r="B167" s="249"/>
      <c r="C167" s="424" t="s">
        <v>73</v>
      </c>
      <c r="D167" s="417"/>
      <c r="E167" s="848"/>
      <c r="F167" s="387"/>
      <c r="G167" s="385"/>
      <c r="H167" s="385"/>
      <c r="I167" s="385"/>
      <c r="J167" s="385"/>
      <c r="K167" s="385"/>
      <c r="P167" s="387"/>
      <c r="Q167" s="385"/>
      <c r="R167" s="385"/>
      <c r="S167" s="385"/>
      <c r="T167" s="385"/>
      <c r="U167" s="385"/>
      <c r="V167" s="385"/>
    </row>
    <row r="168" spans="1:22" s="767" customFormat="1">
      <c r="A168" s="5"/>
      <c r="B168" s="249"/>
      <c r="C168" s="425" t="str">
        <f t="array" ref="C168:D173">+'DA-11'!$A$113:$B$119</f>
        <v>Labour</v>
      </c>
      <c r="D168" s="426" t="str">
        <v>Labour</v>
      </c>
      <c r="E168" s="847">
        <f t="array" ref="E168:K173" ca="1">+'DA-11'!$N$113:$T$119</f>
        <v>0</v>
      </c>
      <c r="F168" s="386">
        <f ca="1"/>
        <v>0</v>
      </c>
      <c r="G168" s="383">
        <f ca="1"/>
        <v>6.3972620375033476E-3</v>
      </c>
      <c r="H168" s="383">
        <f ca="1"/>
        <v>1.3057594557392884E-2</v>
      </c>
      <c r="I168" s="383">
        <f ca="1"/>
        <v>2.0358625620848683E-2</v>
      </c>
      <c r="J168" s="383">
        <f ca="1"/>
        <v>2.7981212822184232E-2</v>
      </c>
      <c r="K168" s="383">
        <f ca="1"/>
        <v>3.5893274379926295E-2</v>
      </c>
      <c r="P168" s="386"/>
      <c r="Q168" s="768">
        <f ca="1">IF(F168&lt;&gt;0,+F168/'DA-11'!D$113,0)</f>
        <v>0</v>
      </c>
      <c r="R168" s="768">
        <f ca="1">IF(G168&lt;&gt;0,+G168/'DA-11'!E$113,0)</f>
        <v>0.29812993769296436</v>
      </c>
      <c r="S168" s="768">
        <f ca="1">IF(H168&lt;&gt;0,+H168/'DA-11'!F$113,0)</f>
        <v>0.30103009356146543</v>
      </c>
      <c r="T168" s="768">
        <f ca="1">IF(I168&lt;&gt;0,+I168/'DA-11'!G$113,0)</f>
        <v>0.30389686543348277</v>
      </c>
      <c r="U168" s="768">
        <f ca="1">IF(J168&lt;&gt;0,+J168/'DA-11'!H$113,0)</f>
        <v>0.30700708266836374</v>
      </c>
      <c r="V168" s="768">
        <f ca="1">IF(K168&lt;&gt;0,+K168/'DA-11'!I$113,0)</f>
        <v>0.30985606493248002</v>
      </c>
    </row>
    <row r="169" spans="1:22" s="767" customFormat="1">
      <c r="A169" s="5"/>
      <c r="B169" s="249"/>
      <c r="C169" s="425" t="str">
        <v>Materials</v>
      </c>
      <c r="D169" s="426" t="str">
        <v>Materials</v>
      </c>
      <c r="E169" s="847">
        <f ca="1"/>
        <v>0</v>
      </c>
      <c r="F169" s="386">
        <f ca="1"/>
        <v>0</v>
      </c>
      <c r="G169" s="383">
        <f ca="1"/>
        <v>0</v>
      </c>
      <c r="H169" s="383">
        <f ca="1"/>
        <v>0</v>
      </c>
      <c r="I169" s="383">
        <f ca="1"/>
        <v>0</v>
      </c>
      <c r="J169" s="383">
        <f ca="1"/>
        <v>0</v>
      </c>
      <c r="K169" s="383">
        <f ca="1"/>
        <v>0</v>
      </c>
      <c r="P169" s="386"/>
      <c r="Q169" s="768">
        <f ca="1">IF(F169&lt;&gt;0,+F169/'DA-11'!D$114,0)</f>
        <v>0</v>
      </c>
      <c r="R169" s="768">
        <f ca="1">IF(G169&lt;&gt;0,+G169/'DA-11'!E$114,0)</f>
        <v>0</v>
      </c>
      <c r="S169" s="768">
        <f ca="1">IF(H169&lt;&gt;0,+H169/'DA-11'!F$114,0)</f>
        <v>0</v>
      </c>
      <c r="T169" s="768">
        <f ca="1">IF(I169&lt;&gt;0,+I169/'DA-11'!G$114,0)</f>
        <v>0</v>
      </c>
      <c r="U169" s="768">
        <f ca="1">IF(J169&lt;&gt;0,+J169/'DA-11'!H$114,0)</f>
        <v>0</v>
      </c>
      <c r="V169" s="768">
        <f ca="1">IF(K169&lt;&gt;0,+K169/'DA-11'!I$114,0)</f>
        <v>0</v>
      </c>
    </row>
    <row r="170" spans="1:22" s="767" customFormat="1">
      <c r="A170" s="5"/>
      <c r="B170" s="249"/>
      <c r="C170" s="425" t="str">
        <v>Services-construction</v>
      </c>
      <c r="D170" s="426" t="str">
        <v>Contracts</v>
      </c>
      <c r="E170" s="847">
        <f ca="1"/>
        <v>0</v>
      </c>
      <c r="F170" s="386">
        <f ca="1"/>
        <v>0</v>
      </c>
      <c r="G170" s="383">
        <f ca="1"/>
        <v>0</v>
      </c>
      <c r="H170" s="383">
        <f ca="1"/>
        <v>0</v>
      </c>
      <c r="I170" s="383">
        <f ca="1"/>
        <v>0</v>
      </c>
      <c r="J170" s="383">
        <f ca="1"/>
        <v>0</v>
      </c>
      <c r="K170" s="383">
        <f ca="1"/>
        <v>0</v>
      </c>
      <c r="P170" s="386"/>
      <c r="Q170" s="768">
        <f ca="1">IF(F170&lt;&gt;0,+F170/'DA-11'!D$115,0)</f>
        <v>0</v>
      </c>
      <c r="R170" s="768">
        <f ca="1">IF(G170&lt;&gt;0,+G170/'DA-11'!E$115,0)</f>
        <v>0</v>
      </c>
      <c r="S170" s="768">
        <f ca="1">IF(H170&lt;&gt;0,+H170/'DA-11'!F$115,0)</f>
        <v>0</v>
      </c>
      <c r="T170" s="768">
        <f ca="1">IF(I170&lt;&gt;0,+I170/'DA-11'!G$115,0)</f>
        <v>0</v>
      </c>
      <c r="U170" s="768">
        <f ca="1">IF(J170&lt;&gt;0,+J170/'DA-11'!H$115,0)</f>
        <v>0</v>
      </c>
      <c r="V170" s="768">
        <f ca="1">IF(K170&lt;&gt;0,+K170/'DA-11'!I$115,0)</f>
        <v>0</v>
      </c>
    </row>
    <row r="171" spans="1:22" s="767" customFormat="1">
      <c r="A171" s="5"/>
      <c r="B171" s="249"/>
      <c r="C171" s="425" t="str">
        <v>Services-general</v>
      </c>
      <c r="D171" s="426" t="str">
        <v>Services Other</v>
      </c>
      <c r="E171" s="847">
        <f ca="1"/>
        <v>0</v>
      </c>
      <c r="F171" s="386">
        <f ca="1"/>
        <v>0</v>
      </c>
      <c r="G171" s="383">
        <f ca="1"/>
        <v>3.5270287544014352E-3</v>
      </c>
      <c r="H171" s="383">
        <f ca="1"/>
        <v>7.1404848413275232E-3</v>
      </c>
      <c r="I171" s="383">
        <f ca="1"/>
        <v>1.3744819517863754E-2</v>
      </c>
      <c r="J171" s="383">
        <f ca="1"/>
        <v>2.1658592606975707E-2</v>
      </c>
      <c r="K171" s="383">
        <f ca="1"/>
        <v>3.1297213051366103E-2</v>
      </c>
      <c r="P171" s="386"/>
      <c r="Q171" s="768">
        <f ca="1">IF(F171&lt;&gt;0,+F171/'DA-11'!D$116,0)</f>
        <v>0</v>
      </c>
      <c r="R171" s="768">
        <f ca="1">IF(G171&lt;&gt;0,+G171/'DA-11'!E$116,0)</f>
        <v>0.70540575088030211</v>
      </c>
      <c r="S171" s="768">
        <f ca="1">IF(H171&lt;&gt;0,+H171/'DA-11'!F$116,0)</f>
        <v>0.71226781459628097</v>
      </c>
      <c r="T171" s="768">
        <f ca="1">IF(I171&lt;&gt;0,+I171/'DA-11'!G$116,0)</f>
        <v>0.71905088838159648</v>
      </c>
      <c r="U171" s="768">
        <f ca="1">IF(J171&lt;&gt;0,+J171/'DA-11'!H$116,0)</f>
        <v>0.72640997865260304</v>
      </c>
      <c r="V171" s="768">
        <f ca="1">IF(K171&lt;&gt;0,+K171/'DA-11'!I$116,0)</f>
        <v>0.73315096041651195</v>
      </c>
    </row>
    <row r="172" spans="1:22" s="767" customFormat="1">
      <c r="A172" s="5"/>
      <c r="B172" s="249"/>
      <c r="C172" s="425" t="str">
        <v>Labour</v>
      </c>
      <c r="D172" s="426" t="str">
        <v>Business Overheads</v>
      </c>
      <c r="E172" s="847">
        <f ca="1"/>
        <v>0</v>
      </c>
      <c r="F172" s="386">
        <f ca="1"/>
        <v>0</v>
      </c>
      <c r="G172" s="383">
        <f ca="1"/>
        <v>7.1562592283935756E-4</v>
      </c>
      <c r="H172" s="383">
        <f ca="1"/>
        <v>1.4606800691320857E-3</v>
      </c>
      <c r="I172" s="383">
        <f ca="1"/>
        <v>2.2774055779254464E-3</v>
      </c>
      <c r="J172" s="383">
        <f ca="1"/>
        <v>3.1301017733290832E-3</v>
      </c>
      <c r="K172" s="383">
        <f ca="1"/>
        <v>4.0151798458900609E-3</v>
      </c>
      <c r="P172" s="386"/>
      <c r="Q172" s="768">
        <f ca="1">IF(F172&lt;&gt;0,+F172/'DA-11'!D$117,0)</f>
        <v>0</v>
      </c>
      <c r="R172" s="768">
        <f ca="1">IF(G172&lt;&gt;0,+G172/'DA-11'!E$117,0)</f>
        <v>3.335012862328076E-2</v>
      </c>
      <c r="S172" s="768">
        <f ca="1">IF(H172&lt;&gt;0,+H172/'DA-11'!F$117,0)</f>
        <v>3.3674552839079192E-2</v>
      </c>
      <c r="T172" s="768">
        <f ca="1">IF(I172&lt;&gt;0,+I172/'DA-11'!G$117,0)</f>
        <v>3.3995242573915029E-2</v>
      </c>
      <c r="U172" s="768">
        <f ca="1">IF(J172&lt;&gt;0,+J172/'DA-11'!H$117,0)</f>
        <v>3.4343165179850858E-2</v>
      </c>
      <c r="V172" s="768">
        <f ca="1">IF(K172&lt;&gt;0,+K172/'DA-11'!I$117,0)</f>
        <v>3.4661864890752007E-2</v>
      </c>
    </row>
    <row r="173" spans="1:22" s="767" customFormat="1">
      <c r="A173" s="5"/>
      <c r="B173" s="249"/>
      <c r="C173" s="425" t="str">
        <v>Materials - Land</v>
      </c>
      <c r="D173" s="426" t="str">
        <v>Other</v>
      </c>
      <c r="E173" s="847">
        <f ca="1"/>
        <v>0</v>
      </c>
      <c r="F173" s="386">
        <f ca="1"/>
        <v>0</v>
      </c>
      <c r="G173" s="383">
        <f ca="1"/>
        <v>0</v>
      </c>
      <c r="H173" s="383">
        <f ca="1"/>
        <v>0</v>
      </c>
      <c r="I173" s="383">
        <f ca="1"/>
        <v>0</v>
      </c>
      <c r="J173" s="383">
        <f ca="1"/>
        <v>0</v>
      </c>
      <c r="K173" s="383">
        <f ca="1"/>
        <v>0</v>
      </c>
      <c r="P173" s="386"/>
      <c r="Q173" s="768">
        <f ca="1">IF(F173&lt;&gt;0,+F173/'DA-11'!D$118,0)</f>
        <v>0</v>
      </c>
      <c r="R173" s="768">
        <f ca="1">IF(G173&lt;&gt;0,+G173/'DA-11'!E$118,0)</f>
        <v>0</v>
      </c>
      <c r="S173" s="768">
        <f ca="1">IF(H173&lt;&gt;0,+H173/'DA-11'!F$118,0)</f>
        <v>0</v>
      </c>
      <c r="T173" s="768">
        <f ca="1">IF(I173&lt;&gt;0,+I173/'DA-11'!G$118,0)</f>
        <v>0</v>
      </c>
      <c r="U173" s="768">
        <f ca="1">IF(J173&lt;&gt;0,+J173/'DA-11'!H$118,0)</f>
        <v>0</v>
      </c>
      <c r="V173" s="768">
        <f ca="1">IF(K173&lt;&gt;0,+K173/'DA-11'!I$118,0)</f>
        <v>0</v>
      </c>
    </row>
    <row r="174" spans="1:22">
      <c r="A174" s="5"/>
      <c r="B174" s="249" t="str">
        <f ca="1">+'I-4 History'!B106</f>
        <v>DA-12</v>
      </c>
      <c r="C174" s="14" t="str">
        <f ca="1">+'I-4 History'!C106</f>
        <v>Asset Assessment</v>
      </c>
      <c r="D174" s="418"/>
      <c r="E174" s="507"/>
      <c r="F174" s="11"/>
      <c r="G174" s="11"/>
      <c r="H174" s="11"/>
      <c r="I174" s="11"/>
      <c r="J174" s="11"/>
      <c r="K174" s="11"/>
      <c r="P174" s="11"/>
      <c r="Q174" s="11"/>
      <c r="R174" s="11"/>
      <c r="S174" s="11"/>
      <c r="T174" s="11"/>
      <c r="U174" s="11"/>
      <c r="V174" s="11"/>
    </row>
    <row r="175" spans="1:22">
      <c r="A175" s="5"/>
      <c r="B175" s="249"/>
      <c r="C175" s="424" t="s">
        <v>74</v>
      </c>
      <c r="D175" s="416"/>
      <c r="E175" s="507"/>
      <c r="F175" s="11"/>
      <c r="G175" s="11"/>
      <c r="H175" s="11"/>
      <c r="I175" s="11"/>
      <c r="J175" s="11"/>
      <c r="K175" s="11"/>
      <c r="P175" s="11"/>
      <c r="Q175" s="11"/>
      <c r="R175" s="11"/>
      <c r="S175" s="11"/>
      <c r="T175" s="11"/>
      <c r="U175" s="11"/>
      <c r="V175" s="11"/>
    </row>
    <row r="176" spans="1:22">
      <c r="A176" s="5"/>
      <c r="B176" s="249"/>
      <c r="C176" s="425" t="str">
        <f t="array" ref="C176:D181">+'DA-12'!$A$77:$B$82</f>
        <v>Total Output Growth</v>
      </c>
      <c r="D176" s="426" t="str">
        <v>Labour</v>
      </c>
      <c r="E176" s="847">
        <f t="array" ref="E176:K181" ca="1">+'DA-12'!$N$77:$T$82</f>
        <v>0</v>
      </c>
      <c r="F176" s="386">
        <f ca="1"/>
        <v>0</v>
      </c>
      <c r="G176" s="383">
        <f ca="1"/>
        <v>2.5686708998870225E-2</v>
      </c>
      <c r="H176" s="383">
        <f ca="1"/>
        <v>4.9487649194264044E-2</v>
      </c>
      <c r="I176" s="383">
        <f ca="1"/>
        <v>7.3014614286311327E-2</v>
      </c>
      <c r="J176" s="383">
        <f ca="1"/>
        <v>9.8539481830876574E-2</v>
      </c>
      <c r="K176" s="383">
        <f ca="1"/>
        <v>0.12192045153062443</v>
      </c>
      <c r="L176" s="790"/>
      <c r="M176" s="790"/>
      <c r="N176" s="790"/>
      <c r="O176" s="790"/>
      <c r="P176" s="386"/>
      <c r="Q176" s="768">
        <f ca="1">IF(F176&lt;&gt;0,+F176/'DA-12'!D$77,0)</f>
        <v>0</v>
      </c>
      <c r="R176" s="768">
        <f ca="1">IF(G176&lt;&gt;0,+G176/'DA-12'!E$77,0)</f>
        <v>2.4209999999999998</v>
      </c>
      <c r="S176" s="768">
        <f ca="1">IF(H176&lt;&gt;0,+H176/'DA-12'!F$77,0)</f>
        <v>2.4209999999999998</v>
      </c>
      <c r="T176" s="768">
        <f ca="1">IF(I176&lt;&gt;0,+I176/'DA-12'!G$77,0)</f>
        <v>2.4209999999999998</v>
      </c>
      <c r="U176" s="768">
        <f ca="1">IF(J176&lt;&gt;0,+J176/'DA-12'!H$77,0)</f>
        <v>2.4209999999999998</v>
      </c>
      <c r="V176" s="768">
        <f ca="1">IF(K176&lt;&gt;0,+K176/'DA-12'!I$77,0)</f>
        <v>2.4209999999999998</v>
      </c>
    </row>
    <row r="177" spans="1:22">
      <c r="A177" s="5"/>
      <c r="B177" s="249"/>
      <c r="C177" s="425" t="str">
        <v>Total Output Growth</v>
      </c>
      <c r="D177" s="426" t="str">
        <v>Materials</v>
      </c>
      <c r="E177" s="847">
        <f ca="1"/>
        <v>0</v>
      </c>
      <c r="F177" s="386">
        <f ca="1"/>
        <v>0</v>
      </c>
      <c r="G177" s="383">
        <f ca="1"/>
        <v>6.1537758031163703E-4</v>
      </c>
      <c r="H177" s="383">
        <f ca="1"/>
        <v>1.1855777171694815E-3</v>
      </c>
      <c r="I177" s="383">
        <f ca="1"/>
        <v>1.749214220820346E-3</v>
      </c>
      <c r="J177" s="383">
        <f ca="1"/>
        <v>2.3607145585257503E-3</v>
      </c>
      <c r="K177" s="383">
        <f ca="1"/>
        <v>2.9208534443520106E-3</v>
      </c>
      <c r="L177" s="790"/>
      <c r="M177" s="790"/>
      <c r="N177" s="790"/>
      <c r="O177" s="790"/>
      <c r="P177" s="386"/>
      <c r="Q177" s="768">
        <f ca="1">IF(F177&lt;&gt;0,+F177/'DA-12'!D$78,0)</f>
        <v>0</v>
      </c>
      <c r="R177" s="768">
        <f ca="1">IF(G177&lt;&gt;0,+G177/'DA-12'!E$78,0)</f>
        <v>5.8000000000000003E-2</v>
      </c>
      <c r="S177" s="768">
        <f ca="1">IF(H177&lt;&gt;0,+H177/'DA-12'!F$78,0)</f>
        <v>5.8000000000000003E-2</v>
      </c>
      <c r="T177" s="768">
        <f ca="1">IF(I177&lt;&gt;0,+I177/'DA-12'!G$78,0)</f>
        <v>5.8000000000000003E-2</v>
      </c>
      <c r="U177" s="768">
        <f ca="1">IF(J177&lt;&gt;0,+J177/'DA-12'!H$78,0)</f>
        <v>5.7999999999999996E-2</v>
      </c>
      <c r="V177" s="768">
        <f ca="1">IF(K177&lt;&gt;0,+K177/'DA-12'!I$78,0)</f>
        <v>5.8000000000000003E-2</v>
      </c>
    </row>
    <row r="178" spans="1:22">
      <c r="A178" s="5"/>
      <c r="B178" s="249"/>
      <c r="C178" s="425" t="str">
        <v>Total Output Growth</v>
      </c>
      <c r="D178" s="426" t="str">
        <v>Contracts</v>
      </c>
      <c r="E178" s="847">
        <f ca="1"/>
        <v>0</v>
      </c>
      <c r="F178" s="386">
        <f ca="1"/>
        <v>0</v>
      </c>
      <c r="G178" s="383">
        <f ca="1"/>
        <v>8.658786953315982E-2</v>
      </c>
      <c r="H178" s="383">
        <f ca="1"/>
        <v>0.16681896120379547</v>
      </c>
      <c r="I178" s="383">
        <f ca="1"/>
        <v>0.24612650441577313</v>
      </c>
      <c r="J178" s="383">
        <f ca="1"/>
        <v>0.33216881917463187</v>
      </c>
      <c r="K178" s="383">
        <f ca="1"/>
        <v>0.41098422343718544</v>
      </c>
      <c r="L178" s="790"/>
      <c r="M178" s="790"/>
      <c r="N178" s="790"/>
      <c r="O178" s="790"/>
      <c r="P178" s="386"/>
      <c r="Q178" s="768">
        <f ca="1">IF(F178&lt;&gt;0,+F178/'DA-12'!D$79,0)</f>
        <v>0</v>
      </c>
      <c r="R178" s="768">
        <f ca="1">IF(G178&lt;&gt;0,+G178/'DA-12'!E$79,0)</f>
        <v>8.1609999999999996</v>
      </c>
      <c r="S178" s="768">
        <f ca="1">IF(H178&lt;&gt;0,+H178/'DA-12'!F$79,0)</f>
        <v>8.1609999999999996</v>
      </c>
      <c r="T178" s="768">
        <f ca="1">IF(I178&lt;&gt;0,+I178/'DA-12'!G$79,0)</f>
        <v>8.1609999999999996</v>
      </c>
      <c r="U178" s="768">
        <f ca="1">IF(J178&lt;&gt;0,+J178/'DA-12'!H$79,0)</f>
        <v>8.1609999999999996</v>
      </c>
      <c r="V178" s="768">
        <f ca="1">IF(K178&lt;&gt;0,+K178/'DA-12'!I$79,0)</f>
        <v>8.1609999999999996</v>
      </c>
    </row>
    <row r="179" spans="1:22" s="790" customFormat="1">
      <c r="A179" s="5"/>
      <c r="B179" s="249"/>
      <c r="C179" s="425" t="str">
        <v>Total Output Growth</v>
      </c>
      <c r="D179" s="426" t="str">
        <v>Services Other</v>
      </c>
      <c r="E179" s="847">
        <f ca="1"/>
        <v>0</v>
      </c>
      <c r="F179" s="386">
        <f ca="1"/>
        <v>0</v>
      </c>
      <c r="G179" s="383">
        <f ca="1"/>
        <v>3.2254273174954769E-3</v>
      </c>
      <c r="H179" s="383">
        <f ca="1"/>
        <v>6.214062517577972E-3</v>
      </c>
      <c r="I179" s="383">
        <f ca="1"/>
        <v>9.1682952263687084E-3</v>
      </c>
      <c r="J179" s="383">
        <f ca="1"/>
        <v>1.2373400444686692E-2</v>
      </c>
      <c r="K179" s="383">
        <f ca="1"/>
        <v>1.5309300811776054E-2</v>
      </c>
      <c r="P179" s="386"/>
      <c r="Q179" s="768">
        <f ca="1">IF(F179&lt;&gt;0,+F179/'DA-12'!D$80,0)</f>
        <v>0</v>
      </c>
      <c r="R179" s="768">
        <f ca="1">IF(G179&lt;&gt;0,+G179/'DA-12'!E$80,0)</f>
        <v>0.30399999999999999</v>
      </c>
      <c r="S179" s="768">
        <f ca="1">IF(H179&lt;&gt;0,+H179/'DA-12'!F$80,0)</f>
        <v>0.30399999999999999</v>
      </c>
      <c r="T179" s="768">
        <f ca="1">IF(I179&lt;&gt;0,+I179/'DA-12'!G$80,0)</f>
        <v>0.30399999999999999</v>
      </c>
      <c r="U179" s="768">
        <f ca="1">IF(J179&lt;&gt;0,+J179/'DA-12'!H$80,0)</f>
        <v>0.30399999999999999</v>
      </c>
      <c r="V179" s="768">
        <f ca="1">IF(K179&lt;&gt;0,+K179/'DA-12'!I$80,0)</f>
        <v>0.30399999999999999</v>
      </c>
    </row>
    <row r="180" spans="1:22" s="790" customFormat="1">
      <c r="A180" s="5"/>
      <c r="B180" s="249"/>
      <c r="C180" s="425" t="str">
        <v>Total Output Growth</v>
      </c>
      <c r="D180" s="426" t="str">
        <v>Business Overheads</v>
      </c>
      <c r="E180" s="847">
        <f ca="1"/>
        <v>0</v>
      </c>
      <c r="F180" s="386">
        <f ca="1"/>
        <v>0</v>
      </c>
      <c r="G180" s="383">
        <f ca="1"/>
        <v>1.0885817196547234E-2</v>
      </c>
      <c r="H180" s="383">
        <f ca="1"/>
        <v>2.0972460996825655E-2</v>
      </c>
      <c r="I180" s="383">
        <f ca="1"/>
        <v>3.0942996388994393E-2</v>
      </c>
      <c r="J180" s="383">
        <f ca="1"/>
        <v>4.1760226500817586E-2</v>
      </c>
      <c r="K180" s="383">
        <f ca="1"/>
        <v>5.1668890239744185E-2</v>
      </c>
      <c r="P180" s="386"/>
      <c r="Q180" s="768">
        <f ca="1">IF(F180&lt;&gt;0,+F180/'DA-12'!D$81,0)</f>
        <v>0</v>
      </c>
      <c r="R180" s="768">
        <f ca="1">IF(G180&lt;&gt;0,+G180/'DA-12'!E$81,0)</f>
        <v>1.026</v>
      </c>
      <c r="S180" s="768">
        <f ca="1">IF(H180&lt;&gt;0,+H180/'DA-12'!F$81,0)</f>
        <v>1.026</v>
      </c>
      <c r="T180" s="768">
        <f ca="1">IF(I180&lt;&gt;0,+I180/'DA-12'!G$81,0)</f>
        <v>1.026</v>
      </c>
      <c r="U180" s="768">
        <f ca="1">IF(J180&lt;&gt;0,+J180/'DA-12'!H$81,0)</f>
        <v>1.026</v>
      </c>
      <c r="V180" s="768">
        <f ca="1">IF(K180&lt;&gt;0,+K180/'DA-12'!I$81,0)</f>
        <v>1.026</v>
      </c>
    </row>
    <row r="181" spans="1:22" s="790" customFormat="1">
      <c r="A181" s="5"/>
      <c r="B181" s="249"/>
      <c r="C181" s="425" t="str">
        <v>Total Output Growth</v>
      </c>
      <c r="D181" s="426" t="str">
        <v>Other</v>
      </c>
      <c r="E181" s="847">
        <f ca="1"/>
        <v>0</v>
      </c>
      <c r="F181" s="386">
        <f ca="1"/>
        <v>0</v>
      </c>
      <c r="G181" s="383">
        <f ca="1"/>
        <v>0</v>
      </c>
      <c r="H181" s="383">
        <f ca="1"/>
        <v>0</v>
      </c>
      <c r="I181" s="383">
        <f ca="1"/>
        <v>0</v>
      </c>
      <c r="J181" s="383">
        <f ca="1"/>
        <v>0</v>
      </c>
      <c r="K181" s="383">
        <f ca="1"/>
        <v>0</v>
      </c>
      <c r="P181" s="386"/>
      <c r="Q181" s="768">
        <f ca="1">IF(F181&lt;&gt;0,+F181/'DA-12'!D$82,0)</f>
        <v>0</v>
      </c>
      <c r="R181" s="768">
        <f ca="1">IF(G181&lt;&gt;0,+G181/'DA-12'!E$82,0)</f>
        <v>0</v>
      </c>
      <c r="S181" s="768">
        <f ca="1">IF(H181&lt;&gt;0,+H181/'DA-12'!F$82,0)</f>
        <v>0</v>
      </c>
      <c r="T181" s="768">
        <f ca="1">IF(I181&lt;&gt;0,+I181/'DA-12'!G$82,0)</f>
        <v>0</v>
      </c>
      <c r="U181" s="768">
        <f ca="1">IF(J181&lt;&gt;0,+J181/'DA-12'!H$82,0)</f>
        <v>0</v>
      </c>
      <c r="V181" s="768">
        <f ca="1">IF(K181&lt;&gt;0,+K181/'DA-12'!I$82,0)</f>
        <v>0</v>
      </c>
    </row>
    <row r="182" spans="1:22">
      <c r="A182" s="5"/>
      <c r="B182" s="249"/>
      <c r="C182" s="424" t="s">
        <v>73</v>
      </c>
      <c r="D182" s="417"/>
      <c r="E182" s="848"/>
      <c r="F182" s="387"/>
      <c r="G182" s="385"/>
      <c r="H182" s="385"/>
      <c r="I182" s="385"/>
      <c r="J182" s="385"/>
      <c r="K182" s="385"/>
      <c r="P182" s="387"/>
      <c r="Q182" s="385"/>
      <c r="R182" s="385"/>
      <c r="S182" s="385"/>
      <c r="T182" s="385"/>
      <c r="U182" s="385"/>
      <c r="V182" s="385"/>
    </row>
    <row r="183" spans="1:22" s="767" customFormat="1">
      <c r="A183" s="5"/>
      <c r="B183" s="249"/>
      <c r="C183" s="425" t="str">
        <f t="array" ref="C183:D188">+'DA-12'!$A$113:$B$119</f>
        <v>Labour</v>
      </c>
      <c r="D183" s="426" t="str">
        <v>Labour</v>
      </c>
      <c r="E183" s="847">
        <f t="array" ref="E183:K188" ca="1">+'DA-12'!$N$113:$T$119</f>
        <v>0</v>
      </c>
      <c r="F183" s="386">
        <f ca="1"/>
        <v>0</v>
      </c>
      <c r="G183" s="383">
        <f ca="1"/>
        <v>5.2500919975578313E-2</v>
      </c>
      <c r="H183" s="383">
        <f ca="1"/>
        <v>0.10716080143541755</v>
      </c>
      <c r="I183" s="383">
        <f ca="1"/>
        <v>0.16707875467143951</v>
      </c>
      <c r="J183" s="383">
        <f ca="1"/>
        <v>0.22963564827968819</v>
      </c>
      <c r="K183" s="383">
        <f ca="1"/>
        <v>0.29456819414847984</v>
      </c>
      <c r="P183" s="386"/>
      <c r="Q183" s="768">
        <f ca="1">IF(F183&lt;&gt;0,+F183/'DA-12'!D$113,0)</f>
        <v>0</v>
      </c>
      <c r="R183" s="768">
        <f ca="1">IF(G183&lt;&gt;0,+G183/'DA-12'!E$113,0)</f>
        <v>2.44668670899887</v>
      </c>
      <c r="S183" s="768">
        <f ca="1">IF(H183&lt;&gt;0,+H183/'DA-12'!F$113,0)</f>
        <v>2.470487649194264</v>
      </c>
      <c r="T183" s="768">
        <f ca="1">IF(I183&lt;&gt;0,+I183/'DA-12'!G$113,0)</f>
        <v>2.4940146142863111</v>
      </c>
      <c r="U183" s="768">
        <f ca="1">IF(J183&lt;&gt;0,+J183/'DA-12'!H$113,0)</f>
        <v>2.5195394818308765</v>
      </c>
      <c r="V183" s="768">
        <f ca="1">IF(K183&lt;&gt;0,+K183/'DA-12'!I$113,0)</f>
        <v>2.5429204515306241</v>
      </c>
    </row>
    <row r="184" spans="1:22" s="767" customFormat="1">
      <c r="A184" s="5"/>
      <c r="B184" s="249"/>
      <c r="C184" s="425" t="str">
        <v>Materials</v>
      </c>
      <c r="D184" s="426" t="str">
        <v>Materials</v>
      </c>
      <c r="E184" s="847">
        <f ca="1"/>
        <v>0</v>
      </c>
      <c r="F184" s="386">
        <f ca="1"/>
        <v>0</v>
      </c>
      <c r="G184" s="383">
        <f ca="1"/>
        <v>0</v>
      </c>
      <c r="H184" s="383">
        <f ca="1"/>
        <v>0</v>
      </c>
      <c r="I184" s="383">
        <f ca="1"/>
        <v>0</v>
      </c>
      <c r="J184" s="383">
        <f ca="1"/>
        <v>0</v>
      </c>
      <c r="K184" s="383">
        <f ca="1"/>
        <v>0</v>
      </c>
      <c r="P184" s="386"/>
      <c r="Q184" s="768">
        <f ca="1">IF(F184&lt;&gt;0,+F184/'DA-12'!D$114,0)</f>
        <v>0</v>
      </c>
      <c r="R184" s="768">
        <f ca="1">IF(G184&lt;&gt;0,+G184/'DA-12'!E$114,0)</f>
        <v>0</v>
      </c>
      <c r="S184" s="768">
        <f ca="1">IF(H184&lt;&gt;0,+H184/'DA-12'!F$114,0)</f>
        <v>0</v>
      </c>
      <c r="T184" s="768">
        <f ca="1">IF(I184&lt;&gt;0,+I184/'DA-12'!G$114,0)</f>
        <v>0</v>
      </c>
      <c r="U184" s="768">
        <f ca="1">IF(J184&lt;&gt;0,+J184/'DA-12'!H$114,0)</f>
        <v>0</v>
      </c>
      <c r="V184" s="768">
        <f ca="1">IF(K184&lt;&gt;0,+K184/'DA-12'!I$114,0)</f>
        <v>0</v>
      </c>
    </row>
    <row r="185" spans="1:22" s="767" customFormat="1">
      <c r="A185" s="5"/>
      <c r="B185" s="249"/>
      <c r="C185" s="425" t="str">
        <v>Services-construction</v>
      </c>
      <c r="D185" s="426" t="str">
        <v>Contracts</v>
      </c>
      <c r="E185" s="847">
        <f ca="1"/>
        <v>0</v>
      </c>
      <c r="F185" s="386">
        <f ca="1"/>
        <v>0</v>
      </c>
      <c r="G185" s="383">
        <f ca="1"/>
        <v>4.1237939347664919E-2</v>
      </c>
      <c r="H185" s="383">
        <f ca="1"/>
        <v>8.3486385086065776E-2</v>
      </c>
      <c r="I185" s="383">
        <f ca="1"/>
        <v>0.16070411473536692</v>
      </c>
      <c r="J185" s="383">
        <f ca="1"/>
        <v>0.25323176828872312</v>
      </c>
      <c r="K185" s="383">
        <f ca="1"/>
        <v>0.36592629758194672</v>
      </c>
      <c r="P185" s="386"/>
      <c r="Q185" s="768">
        <f ca="1">IF(F185&lt;&gt;0,+F185/'DA-12'!D$115,0)</f>
        <v>0</v>
      </c>
      <c r="R185" s="768">
        <f ca="1">IF(G185&lt;&gt;0,+G185/'DA-12'!E$115,0)</f>
        <v>8.2475878695331595</v>
      </c>
      <c r="S185" s="768">
        <f ca="1">IF(H185&lt;&gt;0,+H185/'DA-12'!F$115,0)</f>
        <v>8.3278189612037945</v>
      </c>
      <c r="T185" s="768">
        <f ca="1">IF(I185&lt;&gt;0,+I185/'DA-12'!G$115,0)</f>
        <v>8.407126504415773</v>
      </c>
      <c r="U185" s="768">
        <f ca="1">IF(J185&lt;&gt;0,+J185/'DA-12'!H$115,0)</f>
        <v>8.4931688191746311</v>
      </c>
      <c r="V185" s="768">
        <f ca="1">IF(K185&lt;&gt;0,+K185/'DA-12'!I$115,0)</f>
        <v>8.5719842234371857</v>
      </c>
    </row>
    <row r="186" spans="1:22" s="767" customFormat="1">
      <c r="A186" s="5"/>
      <c r="B186" s="249"/>
      <c r="C186" s="425" t="str">
        <v>Services-general</v>
      </c>
      <c r="D186" s="426" t="str">
        <v>Services Other</v>
      </c>
      <c r="E186" s="847">
        <f ca="1"/>
        <v>0</v>
      </c>
      <c r="F186" s="386">
        <f ca="1"/>
        <v>0</v>
      </c>
      <c r="G186" s="383">
        <f ca="1"/>
        <v>1.5361271365874447E-3</v>
      </c>
      <c r="H186" s="383">
        <f ca="1"/>
        <v>3.1098959767386345E-3</v>
      </c>
      <c r="I186" s="383">
        <f ca="1"/>
        <v>5.9862824261183115E-3</v>
      </c>
      <c r="J186" s="383">
        <f ca="1"/>
        <v>9.4329686998862686E-3</v>
      </c>
      <c r="K186" s="383">
        <f ca="1"/>
        <v>1.3630877890566329E-2</v>
      </c>
      <c r="P186" s="386"/>
      <c r="Q186" s="768">
        <f ca="1">IF(F186&lt;&gt;0,+F186/'DA-12'!D$116,0)</f>
        <v>0</v>
      </c>
      <c r="R186" s="768">
        <f ca="1">IF(G186&lt;&gt;0,+G186/'DA-12'!E$116,0)</f>
        <v>0.30722542731749547</v>
      </c>
      <c r="S186" s="768">
        <f ca="1">IF(H186&lt;&gt;0,+H186/'DA-12'!F$116,0)</f>
        <v>0.31021406251757794</v>
      </c>
      <c r="T186" s="768">
        <f ca="1">IF(I186&lt;&gt;0,+I186/'DA-12'!G$116,0)</f>
        <v>0.31316829522636869</v>
      </c>
      <c r="U186" s="768">
        <f ca="1">IF(J186&lt;&gt;0,+J186/'DA-12'!H$116,0)</f>
        <v>0.3163734004446867</v>
      </c>
      <c r="V186" s="768">
        <f ca="1">IF(K186&lt;&gt;0,+K186/'DA-12'!I$116,0)</f>
        <v>0.31930930081177605</v>
      </c>
    </row>
    <row r="187" spans="1:22" s="767" customFormat="1">
      <c r="A187" s="5"/>
      <c r="B187" s="249"/>
      <c r="C187" s="425" t="str">
        <v>Labour</v>
      </c>
      <c r="D187" s="426" t="str">
        <v>Business Overheads</v>
      </c>
      <c r="E187" s="847">
        <f ca="1"/>
        <v>0</v>
      </c>
      <c r="F187" s="386">
        <f ca="1"/>
        <v>0</v>
      </c>
      <c r="G187" s="383">
        <f ca="1"/>
        <v>2.2249460510096387E-2</v>
      </c>
      <c r="H187" s="383">
        <f ca="1"/>
        <v>4.5413871240288478E-2</v>
      </c>
      <c r="I187" s="383">
        <f ca="1"/>
        <v>7.0806609786409319E-2</v>
      </c>
      <c r="J187" s="383">
        <f ca="1"/>
        <v>9.7317709679867873E-2</v>
      </c>
      <c r="K187" s="383">
        <f ca="1"/>
        <v>0.12483559157221825</v>
      </c>
      <c r="P187" s="386"/>
      <c r="Q187" s="768">
        <f ca="1">IF(F187&lt;&gt;0,+F187/'DA-12'!D$117,0)</f>
        <v>0</v>
      </c>
      <c r="R187" s="768">
        <f ca="1">IF(G187&lt;&gt;0,+G187/'DA-12'!E$117,0)</f>
        <v>1.0368858171965472</v>
      </c>
      <c r="S187" s="768">
        <f ca="1">IF(H187&lt;&gt;0,+H187/'DA-12'!F$117,0)</f>
        <v>1.0469724609968256</v>
      </c>
      <c r="T187" s="768">
        <f ca="1">IF(I187&lt;&gt;0,+I187/'DA-12'!G$117,0)</f>
        <v>1.0569429963889945</v>
      </c>
      <c r="U187" s="768">
        <f ca="1">IF(J187&lt;&gt;0,+J187/'DA-12'!H$117,0)</f>
        <v>1.0677602265008177</v>
      </c>
      <c r="V187" s="768">
        <f ca="1">IF(K187&lt;&gt;0,+K187/'DA-12'!I$117,0)</f>
        <v>1.0776688902397442</v>
      </c>
    </row>
    <row r="188" spans="1:22" s="767" customFormat="1">
      <c r="A188" s="5"/>
      <c r="B188" s="249"/>
      <c r="C188" s="425" t="str">
        <v>Materials - Land</v>
      </c>
      <c r="D188" s="426" t="str">
        <v>Other</v>
      </c>
      <c r="E188" s="847">
        <f ca="1"/>
        <v>0</v>
      </c>
      <c r="F188" s="386">
        <f ca="1"/>
        <v>0</v>
      </c>
      <c r="G188" s="383">
        <f ca="1"/>
        <v>0</v>
      </c>
      <c r="H188" s="383">
        <f ca="1"/>
        <v>0</v>
      </c>
      <c r="I188" s="383">
        <f ca="1"/>
        <v>0</v>
      </c>
      <c r="J188" s="383">
        <f ca="1"/>
        <v>0</v>
      </c>
      <c r="K188" s="383">
        <f ca="1"/>
        <v>0</v>
      </c>
      <c r="P188" s="386"/>
      <c r="Q188" s="768">
        <f ca="1">IF(F188&lt;&gt;0,+F188/'DA-12'!D$118,0)</f>
        <v>0</v>
      </c>
      <c r="R188" s="768">
        <f ca="1">IF(G188&lt;&gt;0,+G188/'DA-12'!E$118,0)</f>
        <v>0</v>
      </c>
      <c r="S188" s="768">
        <f ca="1">IF(H188&lt;&gt;0,+H188/'DA-12'!F$118,0)</f>
        <v>0</v>
      </c>
      <c r="T188" s="768">
        <f ca="1">IF(I188&lt;&gt;0,+I188/'DA-12'!G$118,0)</f>
        <v>0</v>
      </c>
      <c r="U188" s="768">
        <f ca="1">IF(J188&lt;&gt;0,+J188/'DA-12'!H$118,0)</f>
        <v>0</v>
      </c>
      <c r="V188" s="768">
        <f ca="1">IF(K188&lt;&gt;0,+K188/'DA-12'!I$118,0)</f>
        <v>0</v>
      </c>
    </row>
    <row r="189" spans="1:22">
      <c r="A189" s="5"/>
      <c r="B189" s="249" t="str">
        <f ca="1">+'I-4 History'!B115</f>
        <v>DA-13</v>
      </c>
      <c r="C189" s="14" t="str">
        <f ca="1">+'I-4 History'!C115</f>
        <v>Asset Maintenance</v>
      </c>
      <c r="D189" s="418"/>
      <c r="E189" s="507"/>
      <c r="F189" s="11"/>
      <c r="G189" s="11"/>
      <c r="H189" s="11"/>
      <c r="I189" s="11"/>
      <c r="J189" s="11"/>
      <c r="K189" s="11"/>
      <c r="P189" s="11"/>
      <c r="Q189" s="11"/>
      <c r="R189" s="11"/>
      <c r="S189" s="11"/>
      <c r="T189" s="11"/>
      <c r="U189" s="11"/>
      <c r="V189" s="11"/>
    </row>
    <row r="190" spans="1:22">
      <c r="A190" s="5"/>
      <c r="B190" s="249"/>
      <c r="C190" s="424" t="s">
        <v>74</v>
      </c>
      <c r="D190" s="416"/>
      <c r="E190" s="507"/>
      <c r="F190" s="11"/>
      <c r="G190" s="11"/>
      <c r="H190" s="11"/>
      <c r="I190" s="11"/>
      <c r="J190" s="11"/>
      <c r="K190" s="11"/>
      <c r="P190" s="11"/>
      <c r="Q190" s="11"/>
      <c r="R190" s="11"/>
      <c r="S190" s="11"/>
      <c r="T190" s="11"/>
      <c r="U190" s="11"/>
      <c r="V190" s="11"/>
    </row>
    <row r="191" spans="1:22">
      <c r="A191" s="5"/>
      <c r="B191" s="249"/>
      <c r="C191" s="425" t="str">
        <f t="array" ref="C191:D196">+'DA-13'!$A$77:$B$82</f>
        <v>Total Output Growth</v>
      </c>
      <c r="D191" s="426" t="str">
        <v>Labour</v>
      </c>
      <c r="E191" s="847">
        <f t="array" ref="E191:K196" ca="1">+'DA-13'!$N$77:$T$82</f>
        <v>0</v>
      </c>
      <c r="F191" s="386">
        <f ca="1"/>
        <v>0</v>
      </c>
      <c r="G191" s="383">
        <f ca="1"/>
        <v>8.9017549979562655E-2</v>
      </c>
      <c r="H191" s="383">
        <f ca="1"/>
        <v>0.17149994908710256</v>
      </c>
      <c r="I191" s="383">
        <f ca="1"/>
        <v>0.25303288470142588</v>
      </c>
      <c r="J191" s="383">
        <f ca="1"/>
        <v>0.34148957148329384</v>
      </c>
      <c r="K191" s="383">
        <f ca="1"/>
        <v>0.42251655858816145</v>
      </c>
      <c r="L191" s="790"/>
      <c r="M191" s="790"/>
      <c r="N191" s="790"/>
      <c r="O191" s="790"/>
      <c r="P191" s="386"/>
      <c r="Q191" s="768">
        <f ca="1">IF(F191&lt;&gt;0,+F191/'DA-13'!D$77,0)</f>
        <v>0</v>
      </c>
      <c r="R191" s="768">
        <f ca="1">IF(G191&lt;&gt;0,+G191/'DA-13'!E$77,0)</f>
        <v>8.3899999999999988</v>
      </c>
      <c r="S191" s="768">
        <f ca="1">IF(H191&lt;&gt;0,+H191/'DA-13'!F$77,0)</f>
        <v>8.3899999999999988</v>
      </c>
      <c r="T191" s="768">
        <f ca="1">IF(I191&lt;&gt;0,+I191/'DA-13'!G$77,0)</f>
        <v>8.3899999999999988</v>
      </c>
      <c r="U191" s="768">
        <f ca="1">IF(J191&lt;&gt;0,+J191/'DA-13'!H$77,0)</f>
        <v>8.3899999999999988</v>
      </c>
      <c r="V191" s="768">
        <f ca="1">IF(K191&lt;&gt;0,+K191/'DA-13'!I$77,0)</f>
        <v>8.3899999999999988</v>
      </c>
    </row>
    <row r="192" spans="1:22">
      <c r="A192" s="5"/>
      <c r="B192" s="249"/>
      <c r="C192" s="425" t="str">
        <v>Total Output Growth</v>
      </c>
      <c r="D192" s="426" t="str">
        <v>Materials</v>
      </c>
      <c r="E192" s="847">
        <f ca="1"/>
        <v>0</v>
      </c>
      <c r="F192" s="386">
        <f ca="1"/>
        <v>0</v>
      </c>
      <c r="G192" s="383">
        <f ca="1"/>
        <v>1.2678900146075971E-2</v>
      </c>
      <c r="H192" s="383">
        <f ca="1"/>
        <v>2.4426989172716043E-2</v>
      </c>
      <c r="I192" s="383">
        <f ca="1"/>
        <v>3.6039844722074367E-2</v>
      </c>
      <c r="J192" s="383">
        <f ca="1"/>
        <v>4.8638860300659857E-2</v>
      </c>
      <c r="K192" s="383">
        <f ca="1"/>
        <v>6.017965286208022E-2</v>
      </c>
      <c r="L192" s="790"/>
      <c r="M192" s="790"/>
      <c r="N192" s="790"/>
      <c r="O192" s="790"/>
      <c r="P192" s="386"/>
      <c r="Q192" s="768">
        <f ca="1">IF(F192&lt;&gt;0,+F192/'DA-13'!D$78,0)</f>
        <v>0</v>
      </c>
      <c r="R192" s="768">
        <f ca="1">IF(G192&lt;&gt;0,+G192/'DA-13'!E$78,0)</f>
        <v>1.1950000000000001</v>
      </c>
      <c r="S192" s="768">
        <f ca="1">IF(H192&lt;&gt;0,+H192/'DA-13'!F$78,0)</f>
        <v>1.1950000000000001</v>
      </c>
      <c r="T192" s="768">
        <f ca="1">IF(I192&lt;&gt;0,+I192/'DA-13'!G$78,0)</f>
        <v>1.1950000000000001</v>
      </c>
      <c r="U192" s="768">
        <f ca="1">IF(J192&lt;&gt;0,+J192/'DA-13'!H$78,0)</f>
        <v>1.1950000000000001</v>
      </c>
      <c r="V192" s="768">
        <f ca="1">IF(K192&lt;&gt;0,+K192/'DA-13'!I$78,0)</f>
        <v>1.1950000000000001</v>
      </c>
    </row>
    <row r="193" spans="1:22">
      <c r="A193" s="5"/>
      <c r="B193" s="249"/>
      <c r="C193" s="425" t="str">
        <v>Total Output Growth</v>
      </c>
      <c r="D193" s="426" t="str">
        <v>Contracts</v>
      </c>
      <c r="E193" s="847">
        <f ca="1"/>
        <v>0</v>
      </c>
      <c r="F193" s="386">
        <f ca="1"/>
        <v>0</v>
      </c>
      <c r="G193" s="383">
        <f ca="1"/>
        <v>1.4535642845292117E-3</v>
      </c>
      <c r="H193" s="383">
        <f ca="1"/>
        <v>2.8004163319348099E-3</v>
      </c>
      <c r="I193" s="383">
        <f ca="1"/>
        <v>4.1317646250411616E-3</v>
      </c>
      <c r="J193" s="383">
        <f ca="1"/>
        <v>5.5761705951384109E-3</v>
      </c>
      <c r="K193" s="383">
        <f ca="1"/>
        <v>6.8992572737280253E-3</v>
      </c>
      <c r="L193" s="790"/>
      <c r="M193" s="790"/>
      <c r="N193" s="790"/>
      <c r="O193" s="790"/>
      <c r="P193" s="386"/>
      <c r="Q193" s="768">
        <f ca="1">IF(F193&lt;&gt;0,+F193/'DA-13'!D$79,0)</f>
        <v>0</v>
      </c>
      <c r="R193" s="768">
        <f ca="1">IF(G193&lt;&gt;0,+G193/'DA-13'!E$79,0)</f>
        <v>0.13700000000000001</v>
      </c>
      <c r="S193" s="768">
        <f ca="1">IF(H193&lt;&gt;0,+H193/'DA-13'!F$79,0)</f>
        <v>0.13700000000000001</v>
      </c>
      <c r="T193" s="768">
        <f ca="1">IF(I193&lt;&gt;0,+I193/'DA-13'!G$79,0)</f>
        <v>0.13700000000000001</v>
      </c>
      <c r="U193" s="768">
        <f ca="1">IF(J193&lt;&gt;0,+J193/'DA-13'!H$79,0)</f>
        <v>0.13700000000000001</v>
      </c>
      <c r="V193" s="768">
        <f ca="1">IF(K193&lt;&gt;0,+K193/'DA-13'!I$79,0)</f>
        <v>0.13700000000000001</v>
      </c>
    </row>
    <row r="194" spans="1:22" s="790" customFormat="1">
      <c r="A194" s="5"/>
      <c r="B194" s="249"/>
      <c r="C194" s="425" t="str">
        <v>Total Output Growth</v>
      </c>
      <c r="D194" s="426" t="str">
        <v>Services Other</v>
      </c>
      <c r="E194" s="847">
        <f ca="1"/>
        <v>0</v>
      </c>
      <c r="F194" s="386">
        <f ca="1"/>
        <v>0</v>
      </c>
      <c r="G194" s="383">
        <f ca="1"/>
        <v>3.6126907947605584E-2</v>
      </c>
      <c r="H194" s="383">
        <f ca="1"/>
        <v>6.9601588395898001E-2</v>
      </c>
      <c r="I194" s="383">
        <f ca="1"/>
        <v>0.10269093830850477</v>
      </c>
      <c r="J194" s="383">
        <f ca="1"/>
        <v>0.13859022537552032</v>
      </c>
      <c r="K194" s="383">
        <f ca="1"/>
        <v>0.1714742410003206</v>
      </c>
      <c r="P194" s="386"/>
      <c r="Q194" s="768">
        <f ca="1">IF(F194&lt;&gt;0,+F194/'DA-13'!D$80,0)</f>
        <v>0</v>
      </c>
      <c r="R194" s="768">
        <f ca="1">IF(G194&lt;&gt;0,+G194/'DA-13'!E$80,0)</f>
        <v>3.4049999999999998</v>
      </c>
      <c r="S194" s="768">
        <f ca="1">IF(H194&lt;&gt;0,+H194/'DA-13'!F$80,0)</f>
        <v>3.4049999999999998</v>
      </c>
      <c r="T194" s="768">
        <f ca="1">IF(I194&lt;&gt;0,+I194/'DA-13'!G$80,0)</f>
        <v>3.4049999999999994</v>
      </c>
      <c r="U194" s="768">
        <f ca="1">IF(J194&lt;&gt;0,+J194/'DA-13'!H$80,0)</f>
        <v>3.4049999999999994</v>
      </c>
      <c r="V194" s="768">
        <f ca="1">IF(K194&lt;&gt;0,+K194/'DA-13'!I$80,0)</f>
        <v>3.4049999999999998</v>
      </c>
    </row>
    <row r="195" spans="1:22" s="790" customFormat="1">
      <c r="A195" s="5"/>
      <c r="B195" s="249"/>
      <c r="C195" s="425" t="str">
        <v>Total Output Growth</v>
      </c>
      <c r="D195" s="426" t="str">
        <v>Business Overheads</v>
      </c>
      <c r="E195" s="847">
        <f ca="1"/>
        <v>0</v>
      </c>
      <c r="F195" s="386">
        <f ca="1"/>
        <v>0</v>
      </c>
      <c r="G195" s="383">
        <f ca="1"/>
        <v>9.1033442052997331E-3</v>
      </c>
      <c r="H195" s="383">
        <f ca="1"/>
        <v>1.753837381605888E-2</v>
      </c>
      <c r="I195" s="383">
        <f ca="1"/>
        <v>2.5876306921790632E-2</v>
      </c>
      <c r="J195" s="383">
        <f ca="1"/>
        <v>3.4922294676122304E-2</v>
      </c>
      <c r="K195" s="383">
        <f ca="1"/>
        <v>4.3208487159552153E-2</v>
      </c>
      <c r="P195" s="386"/>
      <c r="Q195" s="768">
        <f ca="1">IF(F195&lt;&gt;0,+F195/'DA-13'!D$81,0)</f>
        <v>0</v>
      </c>
      <c r="R195" s="768">
        <f ca="1">IF(G195&lt;&gt;0,+G195/'DA-13'!E$81,0)</f>
        <v>0.85799999999999987</v>
      </c>
      <c r="S195" s="768">
        <f ca="1">IF(H195&lt;&gt;0,+H195/'DA-13'!F$81,0)</f>
        <v>0.85799999999999998</v>
      </c>
      <c r="T195" s="768">
        <f ca="1">IF(I195&lt;&gt;0,+I195/'DA-13'!G$81,0)</f>
        <v>0.85799999999999998</v>
      </c>
      <c r="U195" s="768">
        <f ca="1">IF(J195&lt;&gt;0,+J195/'DA-13'!H$81,0)</f>
        <v>0.85799999999999998</v>
      </c>
      <c r="V195" s="768">
        <f ca="1">IF(K195&lt;&gt;0,+K195/'DA-13'!I$81,0)</f>
        <v>0.85799999999999998</v>
      </c>
    </row>
    <row r="196" spans="1:22" s="790" customFormat="1">
      <c r="A196" s="5"/>
      <c r="B196" s="249"/>
      <c r="C196" s="425" t="str">
        <v>Total Output Growth</v>
      </c>
      <c r="D196" s="426" t="str">
        <v>Other</v>
      </c>
      <c r="E196" s="847">
        <f ca="1"/>
        <v>0</v>
      </c>
      <c r="F196" s="386">
        <f ca="1"/>
        <v>0</v>
      </c>
      <c r="G196" s="383">
        <f ca="1"/>
        <v>0</v>
      </c>
      <c r="H196" s="383">
        <f ca="1"/>
        <v>0</v>
      </c>
      <c r="I196" s="383">
        <f ca="1"/>
        <v>0</v>
      </c>
      <c r="J196" s="383">
        <f ca="1"/>
        <v>0</v>
      </c>
      <c r="K196" s="383">
        <f ca="1"/>
        <v>0</v>
      </c>
      <c r="P196" s="386"/>
      <c r="Q196" s="768">
        <f ca="1">IF(F196&lt;&gt;0,+F196/'DA-13'!D$82,0)</f>
        <v>0</v>
      </c>
      <c r="R196" s="768">
        <f ca="1">IF(G196&lt;&gt;0,+G196/'DA-13'!E$82,0)</f>
        <v>0</v>
      </c>
      <c r="S196" s="768">
        <f ca="1">IF(H196&lt;&gt;0,+H196/'DA-13'!F$82,0)</f>
        <v>0</v>
      </c>
      <c r="T196" s="768">
        <f ca="1">IF(I196&lt;&gt;0,+I196/'DA-13'!G$82,0)</f>
        <v>0</v>
      </c>
      <c r="U196" s="768">
        <f ca="1">IF(J196&lt;&gt;0,+J196/'DA-13'!H$82,0)</f>
        <v>0</v>
      </c>
      <c r="V196" s="768">
        <f ca="1">IF(K196&lt;&gt;0,+K196/'DA-13'!I$82,0)</f>
        <v>0</v>
      </c>
    </row>
    <row r="197" spans="1:22">
      <c r="A197" s="5"/>
      <c r="B197" s="249"/>
      <c r="C197" s="424" t="s">
        <v>73</v>
      </c>
      <c r="D197" s="417"/>
      <c r="E197" s="848"/>
      <c r="F197" s="387"/>
      <c r="G197" s="385"/>
      <c r="H197" s="385"/>
      <c r="I197" s="385"/>
      <c r="J197" s="385"/>
      <c r="K197" s="385"/>
      <c r="P197" s="387"/>
      <c r="Q197" s="385"/>
      <c r="R197" s="385"/>
      <c r="S197" s="385"/>
      <c r="T197" s="385"/>
      <c r="U197" s="385"/>
      <c r="V197" s="385"/>
    </row>
    <row r="198" spans="1:22" s="767" customFormat="1">
      <c r="A198" s="5"/>
      <c r="B198" s="249"/>
      <c r="C198" s="425" t="str">
        <f t="array" ref="C198:D203">+'DA-13'!$A$113:$B$119</f>
        <v>Labour</v>
      </c>
      <c r="D198" s="426" t="str">
        <v>Labour</v>
      </c>
      <c r="E198" s="847">
        <f t="array" ref="E198:K203" ca="1">+'DA-13'!$N$113:$T$119</f>
        <v>0</v>
      </c>
      <c r="F198" s="386">
        <f ca="1"/>
        <v>0</v>
      </c>
      <c r="G198" s="383">
        <f ca="1"/>
        <v>0.18194246947340026</v>
      </c>
      <c r="H198" s="383">
        <f ca="1"/>
        <v>0.37136684181873325</v>
      </c>
      <c r="I198" s="383">
        <f ca="1"/>
        <v>0.57901311511498454</v>
      </c>
      <c r="J198" s="383">
        <f ca="1"/>
        <v>0.79580466297669716</v>
      </c>
      <c r="K198" s="383">
        <f ca="1"/>
        <v>1.0208290577884123</v>
      </c>
      <c r="P198" s="386"/>
      <c r="Q198" s="768">
        <f ca="1">IF(F198&lt;&gt;0,+F198/'DA-13'!D$113,0)</f>
        <v>0</v>
      </c>
      <c r="R198" s="768">
        <f ca="1">IF(G198&lt;&gt;0,+G198/'DA-13'!E$113,0)</f>
        <v>8.4790175499795613</v>
      </c>
      <c r="S198" s="768">
        <f ca="1">IF(H198&lt;&gt;0,+H198/'DA-13'!F$113,0)</f>
        <v>8.5614999490871018</v>
      </c>
      <c r="T198" s="768">
        <f ca="1">IF(I198&lt;&gt;0,+I198/'DA-13'!G$113,0)</f>
        <v>8.6430328847014248</v>
      </c>
      <c r="U198" s="768">
        <f ca="1">IF(J198&lt;&gt;0,+J198/'DA-13'!H$113,0)</f>
        <v>8.7314895714832925</v>
      </c>
      <c r="V198" s="768">
        <f ca="1">IF(K198&lt;&gt;0,+K198/'DA-13'!I$113,0)</f>
        <v>8.8125165585881611</v>
      </c>
    </row>
    <row r="199" spans="1:22" s="767" customFormat="1">
      <c r="A199" s="5"/>
      <c r="B199" s="249"/>
      <c r="C199" s="425" t="str">
        <v>Materials</v>
      </c>
      <c r="D199" s="426" t="str">
        <v>Materials</v>
      </c>
      <c r="E199" s="847">
        <f ca="1"/>
        <v>0</v>
      </c>
      <c r="F199" s="386">
        <f ca="1"/>
        <v>0</v>
      </c>
      <c r="G199" s="383">
        <f ca="1"/>
        <v>0</v>
      </c>
      <c r="H199" s="383">
        <f ca="1"/>
        <v>0</v>
      </c>
      <c r="I199" s="383">
        <f ca="1"/>
        <v>0</v>
      </c>
      <c r="J199" s="383">
        <f ca="1"/>
        <v>0</v>
      </c>
      <c r="K199" s="383">
        <f ca="1"/>
        <v>0</v>
      </c>
      <c r="P199" s="386"/>
      <c r="Q199" s="768">
        <f ca="1">IF(F199&lt;&gt;0,+F199/'DA-13'!D$114,0)</f>
        <v>0</v>
      </c>
      <c r="R199" s="768">
        <f ca="1">IF(G199&lt;&gt;0,+G199/'DA-13'!E$114,0)</f>
        <v>0</v>
      </c>
      <c r="S199" s="768">
        <f ca="1">IF(H199&lt;&gt;0,+H199/'DA-13'!F$114,0)</f>
        <v>0</v>
      </c>
      <c r="T199" s="768">
        <f ca="1">IF(I199&lt;&gt;0,+I199/'DA-13'!G$114,0)</f>
        <v>0</v>
      </c>
      <c r="U199" s="768">
        <f ca="1">IF(J199&lt;&gt;0,+J199/'DA-13'!H$114,0)</f>
        <v>0</v>
      </c>
      <c r="V199" s="768">
        <f ca="1">IF(K199&lt;&gt;0,+K199/'DA-13'!I$114,0)</f>
        <v>0</v>
      </c>
    </row>
    <row r="200" spans="1:22" s="767" customFormat="1">
      <c r="A200" s="5"/>
      <c r="B200" s="249"/>
      <c r="C200" s="425" t="str">
        <v>Services-construction</v>
      </c>
      <c r="D200" s="426" t="str">
        <v>Contracts</v>
      </c>
      <c r="E200" s="847">
        <f ca="1"/>
        <v>0</v>
      </c>
      <c r="F200" s="386">
        <f ca="1"/>
        <v>0</v>
      </c>
      <c r="G200" s="383">
        <f ca="1"/>
        <v>6.922678214226314E-4</v>
      </c>
      <c r="H200" s="383">
        <f ca="1"/>
        <v>1.4014991737276087E-3</v>
      </c>
      <c r="I200" s="383">
        <f ca="1"/>
        <v>2.6977654354546341E-3</v>
      </c>
      <c r="J200" s="383">
        <f ca="1"/>
        <v>4.2510418154092719E-3</v>
      </c>
      <c r="K200" s="383">
        <f ca="1"/>
        <v>6.1428627335775891E-3</v>
      </c>
      <c r="P200" s="386"/>
      <c r="Q200" s="768">
        <f ca="1">IF(F200&lt;&gt;0,+F200/'DA-13'!D$115,0)</f>
        <v>0</v>
      </c>
      <c r="R200" s="768">
        <f ca="1">IF(G200&lt;&gt;0,+G200/'DA-13'!E$115,0)</f>
        <v>0.13845356428452923</v>
      </c>
      <c r="S200" s="768">
        <f ca="1">IF(H200&lt;&gt;0,+H200/'DA-13'!F$115,0)</f>
        <v>0.13980041633193482</v>
      </c>
      <c r="T200" s="768">
        <f ca="1">IF(I200&lt;&gt;0,+I200/'DA-13'!G$115,0)</f>
        <v>0.14113176462504118</v>
      </c>
      <c r="U200" s="768">
        <f ca="1">IF(J200&lt;&gt;0,+J200/'DA-13'!H$115,0)</f>
        <v>0.14257617059513841</v>
      </c>
      <c r="V200" s="768">
        <f ca="1">IF(K200&lt;&gt;0,+K200/'DA-13'!I$115,0)</f>
        <v>0.14389925727372804</v>
      </c>
    </row>
    <row r="201" spans="1:22" s="767" customFormat="1">
      <c r="A201" s="5"/>
      <c r="B201" s="249"/>
      <c r="C201" s="425" t="str">
        <v>Services-general</v>
      </c>
      <c r="D201" s="426" t="str">
        <v>Services Other</v>
      </c>
      <c r="E201" s="847">
        <f ca="1"/>
        <v>0</v>
      </c>
      <c r="F201" s="386">
        <f ca="1"/>
        <v>0</v>
      </c>
      <c r="G201" s="383">
        <f ca="1"/>
        <v>1.7205634539737658E-2</v>
      </c>
      <c r="H201" s="383">
        <f ca="1"/>
        <v>3.483288092366793E-2</v>
      </c>
      <c r="I201" s="383">
        <f ca="1"/>
        <v>6.7050301516226471E-2</v>
      </c>
      <c r="J201" s="383">
        <f ca="1"/>
        <v>0.10565545533918665</v>
      </c>
      <c r="K201" s="383">
        <f ca="1"/>
        <v>0.1526748000571656</v>
      </c>
      <c r="P201" s="386"/>
      <c r="Q201" s="768">
        <f ca="1">IF(F201&lt;&gt;0,+F201/'DA-13'!D$116,0)</f>
        <v>0</v>
      </c>
      <c r="R201" s="768">
        <f ca="1">IF(G201&lt;&gt;0,+G201/'DA-13'!E$116,0)</f>
        <v>3.4411269079476048</v>
      </c>
      <c r="S201" s="768">
        <f ca="1">IF(H201&lt;&gt;0,+H201/'DA-13'!F$116,0)</f>
        <v>3.4746015883958976</v>
      </c>
      <c r="T201" s="768">
        <f ca="1">IF(I201&lt;&gt;0,+I201/'DA-13'!G$116,0)</f>
        <v>3.507690938308504</v>
      </c>
      <c r="U201" s="768">
        <f ca="1">IF(J201&lt;&gt;0,+J201/'DA-13'!H$116,0)</f>
        <v>3.54359022537552</v>
      </c>
      <c r="V201" s="768">
        <f ca="1">IF(K201&lt;&gt;0,+K201/'DA-13'!I$116,0)</f>
        <v>3.5764742410003203</v>
      </c>
    </row>
    <row r="202" spans="1:22" s="767" customFormat="1">
      <c r="A202" s="5"/>
      <c r="B202" s="249"/>
      <c r="C202" s="425" t="str">
        <v>Labour</v>
      </c>
      <c r="D202" s="426" t="str">
        <v>Business Overheads</v>
      </c>
      <c r="E202" s="847">
        <f ca="1"/>
        <v>0</v>
      </c>
      <c r="F202" s="386">
        <f ca="1"/>
        <v>0</v>
      </c>
      <c r="G202" s="383">
        <f ca="1"/>
        <v>1.8606273993823294E-2</v>
      </c>
      <c r="H202" s="383">
        <f ca="1"/>
        <v>3.7977681797434222E-2</v>
      </c>
      <c r="I202" s="383">
        <f ca="1"/>
        <v>5.9212545026061596E-2</v>
      </c>
      <c r="J202" s="383">
        <f ca="1"/>
        <v>8.138264610655617E-2</v>
      </c>
      <c r="K202" s="383">
        <f ca="1"/>
        <v>0.10439467599314158</v>
      </c>
      <c r="P202" s="386"/>
      <c r="Q202" s="768">
        <f ca="1">IF(F202&lt;&gt;0,+F202/'DA-13'!D$117,0)</f>
        <v>0</v>
      </c>
      <c r="R202" s="768">
        <f ca="1">IF(G202&lt;&gt;0,+G202/'DA-13'!E$117,0)</f>
        <v>0.86710334420529966</v>
      </c>
      <c r="S202" s="768">
        <f ca="1">IF(H202&lt;&gt;0,+H202/'DA-13'!F$117,0)</f>
        <v>0.87553837381605881</v>
      </c>
      <c r="T202" s="768">
        <f ca="1">IF(I202&lt;&gt;0,+I202/'DA-13'!G$117,0)</f>
        <v>0.88387630692179064</v>
      </c>
      <c r="U202" s="768">
        <f ca="1">IF(J202&lt;&gt;0,+J202/'DA-13'!H$117,0)</f>
        <v>0.89292229467612239</v>
      </c>
      <c r="V202" s="768">
        <f ca="1">IF(K202&lt;&gt;0,+K202/'DA-13'!I$117,0)</f>
        <v>0.90120848715955215</v>
      </c>
    </row>
    <row r="203" spans="1:22" s="767" customFormat="1">
      <c r="A203" s="5"/>
      <c r="B203" s="249"/>
      <c r="C203" s="425" t="str">
        <v>Materials - Land</v>
      </c>
      <c r="D203" s="426" t="str">
        <v>Other</v>
      </c>
      <c r="E203" s="847">
        <f ca="1"/>
        <v>0</v>
      </c>
      <c r="F203" s="386">
        <f ca="1"/>
        <v>0</v>
      </c>
      <c r="G203" s="383">
        <f ca="1"/>
        <v>0</v>
      </c>
      <c r="H203" s="383">
        <f ca="1"/>
        <v>0</v>
      </c>
      <c r="I203" s="383">
        <f ca="1"/>
        <v>0</v>
      </c>
      <c r="J203" s="383">
        <f ca="1"/>
        <v>0</v>
      </c>
      <c r="K203" s="383">
        <f ca="1"/>
        <v>0</v>
      </c>
      <c r="P203" s="386"/>
      <c r="Q203" s="768">
        <f ca="1">IF(F203&lt;&gt;0,+F203/'DA-13'!D$118,0)</f>
        <v>0</v>
      </c>
      <c r="R203" s="768">
        <f ca="1">IF(G203&lt;&gt;0,+G203/'DA-13'!E$118,0)</f>
        <v>0</v>
      </c>
      <c r="S203" s="768">
        <f ca="1">IF(H203&lt;&gt;0,+H203/'DA-13'!F$118,0)</f>
        <v>0</v>
      </c>
      <c r="T203" s="768">
        <f ca="1">IF(I203&lt;&gt;0,+I203/'DA-13'!G$118,0)</f>
        <v>0</v>
      </c>
      <c r="U203" s="768">
        <f ca="1">IF(J203&lt;&gt;0,+J203/'DA-13'!H$118,0)</f>
        <v>0</v>
      </c>
      <c r="V203" s="768">
        <f ca="1">IF(K203&lt;&gt;0,+K203/'DA-13'!I$118,0)</f>
        <v>0</v>
      </c>
    </row>
    <row r="204" spans="1:22">
      <c r="A204" s="5"/>
      <c r="B204" s="249" t="str">
        <f ca="1">+'I-4 History'!B124</f>
        <v>DA-14</v>
      </c>
      <c r="C204" s="14" t="str">
        <f ca="1">+'I-4 History'!C124</f>
        <v>Vegetation Management</v>
      </c>
      <c r="D204" s="418"/>
      <c r="E204" s="507"/>
      <c r="F204" s="11"/>
      <c r="G204" s="11"/>
      <c r="H204" s="11"/>
      <c r="I204" s="11"/>
      <c r="J204" s="11"/>
      <c r="K204" s="11"/>
      <c r="P204" s="11"/>
      <c r="Q204" s="11"/>
      <c r="R204" s="11"/>
      <c r="S204" s="11"/>
      <c r="T204" s="11"/>
      <c r="U204" s="11"/>
      <c r="V204" s="11"/>
    </row>
    <row r="205" spans="1:22">
      <c r="A205" s="5"/>
      <c r="B205" s="249"/>
      <c r="C205" s="424" t="s">
        <v>74</v>
      </c>
      <c r="D205" s="416"/>
      <c r="E205" s="507"/>
      <c r="F205" s="11"/>
      <c r="G205" s="11"/>
      <c r="H205" s="11"/>
      <c r="I205" s="11"/>
      <c r="J205" s="11"/>
      <c r="K205" s="11"/>
      <c r="P205" s="11"/>
      <c r="Q205" s="11"/>
      <c r="R205" s="11"/>
      <c r="S205" s="11"/>
      <c r="T205" s="11"/>
      <c r="U205" s="11"/>
      <c r="V205" s="11"/>
    </row>
    <row r="206" spans="1:22">
      <c r="A206" s="5"/>
      <c r="B206" s="249"/>
      <c r="C206" s="425" t="str">
        <f t="array" ref="C206:D211">+'DA-14'!$A$77:$B$82</f>
        <v>Total Output Growth</v>
      </c>
      <c r="D206" s="426" t="str">
        <v>Labour</v>
      </c>
      <c r="E206" s="847">
        <f t="array" ref="E206:K211" ca="1">+'DA-14'!$N$77:$T$82</f>
        <v>0</v>
      </c>
      <c r="F206" s="386">
        <f ca="1"/>
        <v>0</v>
      </c>
      <c r="G206" s="383">
        <f ca="1"/>
        <v>1.802631911981847E-2</v>
      </c>
      <c r="H206" s="383">
        <f ca="1"/>
        <v>3.4729250715016362E-2</v>
      </c>
      <c r="I206" s="383">
        <f ca="1"/>
        <v>5.123991312368565E-2</v>
      </c>
      <c r="J206" s="383">
        <f ca="1"/>
        <v>6.9152655774745692E-2</v>
      </c>
      <c r="K206" s="383">
        <f ca="1"/>
        <v>8.5560862102656315E-2</v>
      </c>
      <c r="L206" s="790"/>
      <c r="M206" s="790"/>
      <c r="N206" s="790"/>
      <c r="O206" s="790"/>
      <c r="P206" s="386"/>
      <c r="Q206" s="768">
        <f ca="1">IF(F206&lt;&gt;0,+F206/'DA-14'!D$77,0)</f>
        <v>0</v>
      </c>
      <c r="R206" s="768">
        <f ca="1">IF(G206&lt;&gt;0,+G206/'DA-14'!E$77,0)</f>
        <v>1.6989999999999998</v>
      </c>
      <c r="S206" s="768">
        <f ca="1">IF(H206&lt;&gt;0,+H206/'DA-14'!F$77,0)</f>
        <v>1.6990000000000001</v>
      </c>
      <c r="T206" s="768">
        <f ca="1">IF(I206&lt;&gt;0,+I206/'DA-14'!G$77,0)</f>
        <v>1.6990000000000001</v>
      </c>
      <c r="U206" s="768">
        <f ca="1">IF(J206&lt;&gt;0,+J206/'DA-14'!H$77,0)</f>
        <v>1.6990000000000001</v>
      </c>
      <c r="V206" s="768">
        <f ca="1">IF(K206&lt;&gt;0,+K206/'DA-14'!I$77,0)</f>
        <v>1.6990000000000003</v>
      </c>
    </row>
    <row r="207" spans="1:22">
      <c r="A207" s="5"/>
      <c r="B207" s="249"/>
      <c r="C207" s="425" t="str">
        <v>Total Output Growth</v>
      </c>
      <c r="D207" s="426" t="str">
        <v>Materials</v>
      </c>
      <c r="E207" s="847">
        <f ca="1"/>
        <v>0</v>
      </c>
      <c r="F207" s="386">
        <f ca="1"/>
        <v>0</v>
      </c>
      <c r="G207" s="383">
        <f ca="1"/>
        <v>4.2439833124940487E-5</v>
      </c>
      <c r="H207" s="383">
        <f ca="1"/>
        <v>8.1763980494446996E-5</v>
      </c>
      <c r="I207" s="383">
        <f ca="1"/>
        <v>1.2063546350485144E-4</v>
      </c>
      <c r="J207" s="383">
        <f ca="1"/>
        <v>1.6280790058798277E-4</v>
      </c>
      <c r="K207" s="383">
        <f ca="1"/>
        <v>2.0143816857600072E-4</v>
      </c>
      <c r="L207" s="790"/>
      <c r="M207" s="790"/>
      <c r="N207" s="790"/>
      <c r="O207" s="790"/>
      <c r="P207" s="386"/>
      <c r="Q207" s="768">
        <f ca="1">IF(F207&lt;&gt;0,+F207/'DA-14'!D$78,0)</f>
        <v>0</v>
      </c>
      <c r="R207" s="768">
        <f ca="1">IF(G207&lt;&gt;0,+G207/'DA-14'!E$78,0)</f>
        <v>4.0000000000000001E-3</v>
      </c>
      <c r="S207" s="768">
        <f ca="1">IF(H207&lt;&gt;0,+H207/'DA-14'!F$78,0)</f>
        <v>4.0000000000000001E-3</v>
      </c>
      <c r="T207" s="768">
        <f ca="1">IF(I207&lt;&gt;0,+I207/'DA-14'!G$78,0)</f>
        <v>4.0000000000000001E-3</v>
      </c>
      <c r="U207" s="768">
        <f ca="1">IF(J207&lt;&gt;0,+J207/'DA-14'!H$78,0)</f>
        <v>4.0000000000000001E-3</v>
      </c>
      <c r="V207" s="768">
        <f ca="1">IF(K207&lt;&gt;0,+K207/'DA-14'!I$78,0)</f>
        <v>4.0000000000000001E-3</v>
      </c>
    </row>
    <row r="208" spans="1:22">
      <c r="A208" s="5"/>
      <c r="B208" s="249"/>
      <c r="C208" s="425" t="str">
        <v>Total Output Growth</v>
      </c>
      <c r="D208" s="426" t="str">
        <v>Contracts</v>
      </c>
      <c r="E208" s="847">
        <f ca="1"/>
        <v>0</v>
      </c>
      <c r="F208" s="386">
        <f ca="1"/>
        <v>0</v>
      </c>
      <c r="G208" s="383">
        <f ca="1"/>
        <v>0.31307864896268595</v>
      </c>
      <c r="H208" s="383">
        <f ca="1"/>
        <v>0.60317288410753545</v>
      </c>
      <c r="I208" s="383">
        <f ca="1"/>
        <v>0.889927814275289</v>
      </c>
      <c r="J208" s="383">
        <f ca="1"/>
        <v>1.2010338826375488</v>
      </c>
      <c r="K208" s="383">
        <f ca="1"/>
        <v>1.4860093695851573</v>
      </c>
      <c r="L208" s="790"/>
      <c r="M208" s="790"/>
      <c r="N208" s="790"/>
      <c r="O208" s="790"/>
      <c r="P208" s="386"/>
      <c r="Q208" s="768">
        <f ca="1">IF(F208&lt;&gt;0,+F208/'DA-14'!D$79,0)</f>
        <v>0</v>
      </c>
      <c r="R208" s="768">
        <f ca="1">IF(G208&lt;&gt;0,+G208/'DA-14'!E$79,0)</f>
        <v>29.507999999999999</v>
      </c>
      <c r="S208" s="768">
        <f ca="1">IF(H208&lt;&gt;0,+H208/'DA-14'!F$79,0)</f>
        <v>29.507999999999999</v>
      </c>
      <c r="T208" s="768">
        <f ca="1">IF(I208&lt;&gt;0,+I208/'DA-14'!G$79,0)</f>
        <v>29.507999999999999</v>
      </c>
      <c r="U208" s="768">
        <f ca="1">IF(J208&lt;&gt;0,+J208/'DA-14'!H$79,0)</f>
        <v>29.507999999999996</v>
      </c>
      <c r="V208" s="768">
        <f ca="1">IF(K208&lt;&gt;0,+K208/'DA-14'!I$79,0)</f>
        <v>29.507999999999999</v>
      </c>
    </row>
    <row r="209" spans="1:22" s="790" customFormat="1">
      <c r="A209" s="5"/>
      <c r="B209" s="249"/>
      <c r="C209" s="425" t="str">
        <v>Total Output Growth</v>
      </c>
      <c r="D209" s="426" t="str">
        <v>Services Other</v>
      </c>
      <c r="E209" s="847">
        <f ca="1"/>
        <v>0</v>
      </c>
      <c r="F209" s="386">
        <f ca="1"/>
        <v>0</v>
      </c>
      <c r="G209" s="383">
        <f ca="1"/>
        <v>3.7453152732759977E-3</v>
      </c>
      <c r="H209" s="383">
        <f ca="1"/>
        <v>7.2156712786349475E-3</v>
      </c>
      <c r="I209" s="383">
        <f ca="1"/>
        <v>1.0646079654303139E-2</v>
      </c>
      <c r="J209" s="383">
        <f ca="1"/>
        <v>1.4367797226889479E-2</v>
      </c>
      <c r="K209" s="383">
        <f ca="1"/>
        <v>1.7776918376832061E-2</v>
      </c>
      <c r="P209" s="386"/>
      <c r="Q209" s="768">
        <f ca="1">IF(F209&lt;&gt;0,+F209/'DA-14'!D$80,0)</f>
        <v>0</v>
      </c>
      <c r="R209" s="768">
        <f ca="1">IF(G209&lt;&gt;0,+G209/'DA-14'!E$80,0)</f>
        <v>0.35299999999999998</v>
      </c>
      <c r="S209" s="768">
        <f ca="1">IF(H209&lt;&gt;0,+H209/'DA-14'!F$80,0)</f>
        <v>0.35299999999999998</v>
      </c>
      <c r="T209" s="768">
        <f ca="1">IF(I209&lt;&gt;0,+I209/'DA-14'!G$80,0)</f>
        <v>0.35299999999999998</v>
      </c>
      <c r="U209" s="768">
        <f ca="1">IF(J209&lt;&gt;0,+J209/'DA-14'!H$80,0)</f>
        <v>0.35299999999999998</v>
      </c>
      <c r="V209" s="768">
        <f ca="1">IF(K209&lt;&gt;0,+K209/'DA-14'!I$80,0)</f>
        <v>0.35299999999999998</v>
      </c>
    </row>
    <row r="210" spans="1:22" s="790" customFormat="1">
      <c r="A210" s="5"/>
      <c r="B210" s="249"/>
      <c r="C210" s="425" t="str">
        <v>Total Output Growth</v>
      </c>
      <c r="D210" s="426" t="str">
        <v>Business Overheads</v>
      </c>
      <c r="E210" s="847">
        <f ca="1"/>
        <v>0</v>
      </c>
      <c r="F210" s="386">
        <f ca="1"/>
        <v>0</v>
      </c>
      <c r="G210" s="383">
        <f ca="1"/>
        <v>1.9872451860753381E-2</v>
      </c>
      <c r="H210" s="383">
        <f ca="1"/>
        <v>3.8285983866524806E-2</v>
      </c>
      <c r="I210" s="383">
        <f ca="1"/>
        <v>5.6487555786146684E-2</v>
      </c>
      <c r="J210" s="383">
        <f ca="1"/>
        <v>7.6234799450322938E-2</v>
      </c>
      <c r="K210" s="383">
        <f ca="1"/>
        <v>9.4323422435712331E-2</v>
      </c>
      <c r="P210" s="386"/>
      <c r="Q210" s="768">
        <f ca="1">IF(F210&lt;&gt;0,+F210/'DA-14'!D$81,0)</f>
        <v>0</v>
      </c>
      <c r="R210" s="768">
        <f ca="1">IF(G210&lt;&gt;0,+G210/'DA-14'!E$81,0)</f>
        <v>1.873</v>
      </c>
      <c r="S210" s="768">
        <f ca="1">IF(H210&lt;&gt;0,+H210/'DA-14'!F$81,0)</f>
        <v>1.873</v>
      </c>
      <c r="T210" s="768">
        <f ca="1">IF(I210&lt;&gt;0,+I210/'DA-14'!G$81,0)</f>
        <v>1.873</v>
      </c>
      <c r="U210" s="768">
        <f ca="1">IF(J210&lt;&gt;0,+J210/'DA-14'!H$81,0)</f>
        <v>1.873</v>
      </c>
      <c r="V210" s="768">
        <f ca="1">IF(K210&lt;&gt;0,+K210/'DA-14'!I$81,0)</f>
        <v>1.8729999999999998</v>
      </c>
    </row>
    <row r="211" spans="1:22" s="790" customFormat="1">
      <c r="A211" s="5"/>
      <c r="B211" s="249"/>
      <c r="C211" s="425" t="str">
        <v>Total Output Growth</v>
      </c>
      <c r="D211" s="426" t="str">
        <v>Other</v>
      </c>
      <c r="E211" s="847">
        <f ca="1"/>
        <v>0</v>
      </c>
      <c r="F211" s="386">
        <f ca="1"/>
        <v>0</v>
      </c>
      <c r="G211" s="383">
        <f ca="1"/>
        <v>0</v>
      </c>
      <c r="H211" s="383">
        <f ca="1"/>
        <v>0</v>
      </c>
      <c r="I211" s="383">
        <f ca="1"/>
        <v>0</v>
      </c>
      <c r="J211" s="383">
        <f ca="1"/>
        <v>0</v>
      </c>
      <c r="K211" s="383">
        <f ca="1"/>
        <v>0</v>
      </c>
      <c r="P211" s="386"/>
      <c r="Q211" s="768">
        <f ca="1">IF(F211&lt;&gt;0,+F211/'DA-14'!D$82,0)</f>
        <v>0</v>
      </c>
      <c r="R211" s="768">
        <f ca="1">IF(G211&lt;&gt;0,+G211/'DA-14'!E$82,0)</f>
        <v>0</v>
      </c>
      <c r="S211" s="768">
        <f ca="1">IF(H211&lt;&gt;0,+H211/'DA-14'!F$82,0)</f>
        <v>0</v>
      </c>
      <c r="T211" s="768">
        <f ca="1">IF(I211&lt;&gt;0,+I211/'DA-14'!G$82,0)</f>
        <v>0</v>
      </c>
      <c r="U211" s="768">
        <f ca="1">IF(J211&lt;&gt;0,+J211/'DA-14'!H$82,0)</f>
        <v>0</v>
      </c>
      <c r="V211" s="768">
        <f ca="1">IF(K211&lt;&gt;0,+K211/'DA-14'!I$82,0)</f>
        <v>0</v>
      </c>
    </row>
    <row r="212" spans="1:22">
      <c r="A212" s="5"/>
      <c r="B212" s="249"/>
      <c r="C212" s="424" t="s">
        <v>73</v>
      </c>
      <c r="D212" s="417"/>
      <c r="E212" s="848"/>
      <c r="F212" s="387"/>
      <c r="G212" s="385"/>
      <c r="H212" s="385"/>
      <c r="I212" s="385"/>
      <c r="J212" s="385"/>
      <c r="K212" s="385"/>
      <c r="P212" s="387"/>
      <c r="Q212" s="385"/>
      <c r="R212" s="385"/>
      <c r="S212" s="385"/>
      <c r="T212" s="385"/>
      <c r="U212" s="385"/>
      <c r="V212" s="385"/>
    </row>
    <row r="213" spans="1:22" s="767" customFormat="1">
      <c r="A213" s="5"/>
      <c r="B213" s="249"/>
      <c r="C213" s="425" t="str">
        <f t="array" ref="C213:D218">+'DA-14'!$A$113:$B$119</f>
        <v>Labour</v>
      </c>
      <c r="D213" s="426" t="str">
        <v>Labour</v>
      </c>
      <c r="E213" s="847">
        <f t="array" ref="E213:K218" ca="1">+'DA-14'!$N$113:$T$119</f>
        <v>0</v>
      </c>
      <c r="F213" s="386">
        <f ca="1"/>
        <v>0</v>
      </c>
      <c r="G213" s="383">
        <f ca="1"/>
        <v>3.6843892209214198E-2</v>
      </c>
      <c r="H213" s="383">
        <f ca="1"/>
        <v>7.5202892044103437E-2</v>
      </c>
      <c r="I213" s="383">
        <f ca="1"/>
        <v>0.11725188111804039</v>
      </c>
      <c r="J213" s="383">
        <f ca="1"/>
        <v>0.16115281554200342</v>
      </c>
      <c r="K213" s="383">
        <f ca="1"/>
        <v>0.20672092600506706</v>
      </c>
      <c r="P213" s="386"/>
      <c r="Q213" s="768">
        <f ca="1">IF(F213&lt;&gt;0,+F213/'DA-14'!D$113,0)</f>
        <v>0</v>
      </c>
      <c r="R213" s="768">
        <f ca="1">IF(G213&lt;&gt;0,+G213/'DA-14'!E$113,0)</f>
        <v>1.7170263191198187</v>
      </c>
      <c r="S213" s="768">
        <f ca="1">IF(H213&lt;&gt;0,+H213/'DA-14'!F$113,0)</f>
        <v>1.7337292507150164</v>
      </c>
      <c r="T213" s="768">
        <f ca="1">IF(I213&lt;&gt;0,+I213/'DA-14'!G$113,0)</f>
        <v>1.7502399131236857</v>
      </c>
      <c r="U213" s="768">
        <f ca="1">IF(J213&lt;&gt;0,+J213/'DA-14'!H$113,0)</f>
        <v>1.7681526557747458</v>
      </c>
      <c r="V213" s="768">
        <f ca="1">IF(K213&lt;&gt;0,+K213/'DA-14'!I$113,0)</f>
        <v>1.7845608621026563</v>
      </c>
    </row>
    <row r="214" spans="1:22" s="767" customFormat="1">
      <c r="A214" s="5"/>
      <c r="B214" s="249"/>
      <c r="C214" s="425" t="str">
        <v>Materials</v>
      </c>
      <c r="D214" s="426" t="str">
        <v>Materials</v>
      </c>
      <c r="E214" s="847">
        <f ca="1"/>
        <v>0</v>
      </c>
      <c r="F214" s="386">
        <f ca="1"/>
        <v>0</v>
      </c>
      <c r="G214" s="383">
        <f ca="1"/>
        <v>0</v>
      </c>
      <c r="H214" s="383">
        <f ca="1"/>
        <v>0</v>
      </c>
      <c r="I214" s="383">
        <f ca="1"/>
        <v>0</v>
      </c>
      <c r="J214" s="383">
        <f ca="1"/>
        <v>0</v>
      </c>
      <c r="K214" s="383">
        <f ca="1"/>
        <v>0</v>
      </c>
      <c r="P214" s="386"/>
      <c r="Q214" s="768">
        <f ca="1">IF(F214&lt;&gt;0,+F214/'DA-14'!D$114,0)</f>
        <v>0</v>
      </c>
      <c r="R214" s="768">
        <f ca="1">IF(G214&lt;&gt;0,+G214/'DA-14'!E$114,0)</f>
        <v>0</v>
      </c>
      <c r="S214" s="768">
        <f ca="1">IF(H214&lt;&gt;0,+H214/'DA-14'!F$114,0)</f>
        <v>0</v>
      </c>
      <c r="T214" s="768">
        <f ca="1">IF(I214&lt;&gt;0,+I214/'DA-14'!G$114,0)</f>
        <v>0</v>
      </c>
      <c r="U214" s="768">
        <f ca="1">IF(J214&lt;&gt;0,+J214/'DA-14'!H$114,0)</f>
        <v>0</v>
      </c>
      <c r="V214" s="768">
        <f ca="1">IF(K214&lt;&gt;0,+K214/'DA-14'!I$114,0)</f>
        <v>0</v>
      </c>
    </row>
    <row r="215" spans="1:22" s="767" customFormat="1">
      <c r="A215" s="5"/>
      <c r="B215" s="249"/>
      <c r="C215" s="425" t="str">
        <v>Services-construction</v>
      </c>
      <c r="D215" s="426" t="str">
        <v>Contracts</v>
      </c>
      <c r="E215" s="847">
        <f ca="1"/>
        <v>0</v>
      </c>
      <c r="F215" s="386">
        <f ca="1"/>
        <v>0</v>
      </c>
      <c r="G215" s="383">
        <f ca="1"/>
        <v>0.14910539324481026</v>
      </c>
      <c r="H215" s="383">
        <f ca="1"/>
        <v>0.30186450816316984</v>
      </c>
      <c r="I215" s="383">
        <f ca="1"/>
        <v>0.58106322970361557</v>
      </c>
      <c r="J215" s="383">
        <f ca="1"/>
        <v>0.91561855393501312</v>
      </c>
      <c r="K215" s="383">
        <f ca="1"/>
        <v>1.3230919236672078</v>
      </c>
      <c r="P215" s="386"/>
      <c r="Q215" s="768">
        <f ca="1">IF(F215&lt;&gt;0,+F215/'DA-14'!D$115,0)</f>
        <v>0</v>
      </c>
      <c r="R215" s="768">
        <f ca="1">IF(G215&lt;&gt;0,+G215/'DA-14'!E$115,0)</f>
        <v>29.821078648962686</v>
      </c>
      <c r="S215" s="768">
        <f ca="1">IF(H215&lt;&gt;0,+H215/'DA-14'!F$115,0)</f>
        <v>30.111172884107532</v>
      </c>
      <c r="T215" s="768">
        <f ca="1">IF(I215&lt;&gt;0,+I215/'DA-14'!G$115,0)</f>
        <v>30.397927814275288</v>
      </c>
      <c r="U215" s="768">
        <f ca="1">IF(J215&lt;&gt;0,+J215/'DA-14'!H$115,0)</f>
        <v>30.709033882637549</v>
      </c>
      <c r="V215" s="768">
        <f ca="1">IF(K215&lt;&gt;0,+K215/'DA-14'!I$115,0)</f>
        <v>30.994009369585157</v>
      </c>
    </row>
    <row r="216" spans="1:22" s="767" customFormat="1">
      <c r="A216" s="5"/>
      <c r="B216" s="249"/>
      <c r="C216" s="425" t="str">
        <v>Services-general</v>
      </c>
      <c r="D216" s="426" t="str">
        <v>Services Other</v>
      </c>
      <c r="E216" s="847">
        <f ca="1"/>
        <v>0</v>
      </c>
      <c r="F216" s="386">
        <f ca="1"/>
        <v>0</v>
      </c>
      <c r="G216" s="383">
        <f ca="1"/>
        <v>1.7837265763663418E-3</v>
      </c>
      <c r="H216" s="383">
        <f ca="1"/>
        <v>3.6111621045682172E-3</v>
      </c>
      <c r="I216" s="383">
        <f ca="1"/>
        <v>6.9511766329597496E-3</v>
      </c>
      <c r="J216" s="383">
        <f ca="1"/>
        <v>1.0953414312696882E-2</v>
      </c>
      <c r="K216" s="383">
        <f ca="1"/>
        <v>1.5827960182137873E-2</v>
      </c>
      <c r="P216" s="386"/>
      <c r="Q216" s="768">
        <f ca="1">IF(F216&lt;&gt;0,+F216/'DA-14'!D$116,0)</f>
        <v>0</v>
      </c>
      <c r="R216" s="768">
        <f ca="1">IF(G216&lt;&gt;0,+G216/'DA-14'!E$116,0)</f>
        <v>0.35674531527327596</v>
      </c>
      <c r="S216" s="768">
        <f ca="1">IF(H216&lt;&gt;0,+H216/'DA-14'!F$116,0)</f>
        <v>0.36021567127863491</v>
      </c>
      <c r="T216" s="768">
        <f ca="1">IF(I216&lt;&gt;0,+I216/'DA-14'!G$116,0)</f>
        <v>0.36364607965430312</v>
      </c>
      <c r="U216" s="768">
        <f ca="1">IF(J216&lt;&gt;0,+J216/'DA-14'!H$116,0)</f>
        <v>0.36736779722688945</v>
      </c>
      <c r="V216" s="768">
        <f ca="1">IF(K216&lt;&gt;0,+K216/'DA-14'!I$116,0)</f>
        <v>0.37077691837683202</v>
      </c>
    </row>
    <row r="217" spans="1:22" s="767" customFormat="1">
      <c r="A217" s="5"/>
      <c r="B217" s="249"/>
      <c r="C217" s="425" t="str">
        <v>Labour</v>
      </c>
      <c r="D217" s="426" t="str">
        <v>Business Overheads</v>
      </c>
      <c r="E217" s="847">
        <f ca="1"/>
        <v>0</v>
      </c>
      <c r="F217" s="386">
        <f ca="1"/>
        <v>0</v>
      </c>
      <c r="G217" s="383">
        <f ca="1"/>
        <v>4.0617192529639898E-2</v>
      </c>
      <c r="H217" s="383">
        <f ca="1"/>
        <v>8.2904659681345347E-2</v>
      </c>
      <c r="I217" s="383">
        <f ca="1"/>
        <v>0.12926001961982911</v>
      </c>
      <c r="J217" s="383">
        <f ca="1"/>
        <v>0.17765698852864767</v>
      </c>
      <c r="K217" s="383">
        <f ca="1"/>
        <v>0.22789187428339647</v>
      </c>
      <c r="P217" s="386"/>
      <c r="Q217" s="768">
        <f ca="1">IF(F217&lt;&gt;0,+F217/'DA-14'!D$117,0)</f>
        <v>0</v>
      </c>
      <c r="R217" s="768">
        <f ca="1">IF(G217&lt;&gt;0,+G217/'DA-14'!E$117,0)</f>
        <v>1.8928724518607534</v>
      </c>
      <c r="S217" s="768">
        <f ca="1">IF(H217&lt;&gt;0,+H217/'DA-14'!F$117,0)</f>
        <v>1.9112859838665248</v>
      </c>
      <c r="T217" s="768">
        <f ca="1">IF(I217&lt;&gt;0,+I217/'DA-14'!G$117,0)</f>
        <v>1.9294875557861468</v>
      </c>
      <c r="U217" s="768">
        <f ca="1">IF(J217&lt;&gt;0,+J217/'DA-14'!H$117,0)</f>
        <v>1.949234799450323</v>
      </c>
      <c r="V217" s="768">
        <f ca="1">IF(K217&lt;&gt;0,+K217/'DA-14'!I$117,0)</f>
        <v>1.9673234224357123</v>
      </c>
    </row>
    <row r="218" spans="1:22" s="767" customFormat="1">
      <c r="A218" s="5"/>
      <c r="B218" s="249"/>
      <c r="C218" s="425" t="str">
        <v>Materials - Land</v>
      </c>
      <c r="D218" s="426" t="str">
        <v>Other</v>
      </c>
      <c r="E218" s="847">
        <f ca="1"/>
        <v>0</v>
      </c>
      <c r="F218" s="386">
        <f ca="1"/>
        <v>0</v>
      </c>
      <c r="G218" s="383">
        <f ca="1"/>
        <v>0</v>
      </c>
      <c r="H218" s="383">
        <f ca="1"/>
        <v>0</v>
      </c>
      <c r="I218" s="383">
        <f ca="1"/>
        <v>0</v>
      </c>
      <c r="J218" s="383">
        <f ca="1"/>
        <v>0</v>
      </c>
      <c r="K218" s="383">
        <f ca="1"/>
        <v>0</v>
      </c>
      <c r="P218" s="386"/>
      <c r="Q218" s="768">
        <f ca="1">IF(F218&lt;&gt;0,+F218/'DA-14'!D$118,0)</f>
        <v>0</v>
      </c>
      <c r="R218" s="768">
        <f ca="1">IF(G218&lt;&gt;0,+G218/'DA-14'!E$118,0)</f>
        <v>0</v>
      </c>
      <c r="S218" s="768">
        <f ca="1">IF(H218&lt;&gt;0,+H218/'DA-14'!F$118,0)</f>
        <v>0</v>
      </c>
      <c r="T218" s="768">
        <f ca="1">IF(I218&lt;&gt;0,+I218/'DA-14'!G$118,0)</f>
        <v>0</v>
      </c>
      <c r="U218" s="768">
        <f ca="1">IF(J218&lt;&gt;0,+J218/'DA-14'!H$118,0)</f>
        <v>0</v>
      </c>
      <c r="V218" s="768">
        <f ca="1">IF(K218&lt;&gt;0,+K218/'DA-14'!I$118,0)</f>
        <v>0</v>
      </c>
    </row>
    <row r="219" spans="1:22">
      <c r="A219" s="5"/>
      <c r="B219" s="249" t="str">
        <f ca="1">+'I-4 History'!B133</f>
        <v>DA-15</v>
      </c>
      <c r="C219" s="14" t="str">
        <f ca="1">+'I-4 History'!C133</f>
        <v>Emergency Response</v>
      </c>
      <c r="D219" s="418"/>
      <c r="E219" s="507"/>
      <c r="F219" s="11"/>
      <c r="G219" s="11"/>
      <c r="H219" s="11"/>
      <c r="I219" s="11"/>
      <c r="J219" s="11"/>
      <c r="K219" s="11"/>
      <c r="P219" s="11"/>
      <c r="Q219" s="11"/>
      <c r="R219" s="11"/>
      <c r="S219" s="11"/>
      <c r="T219" s="11"/>
      <c r="U219" s="11"/>
      <c r="V219" s="11"/>
    </row>
    <row r="220" spans="1:22">
      <c r="A220" s="5"/>
      <c r="B220" s="249"/>
      <c r="C220" s="424" t="s">
        <v>74</v>
      </c>
      <c r="D220" s="416"/>
      <c r="E220" s="507"/>
      <c r="F220" s="11"/>
      <c r="G220" s="11"/>
      <c r="H220" s="11"/>
      <c r="I220" s="11"/>
      <c r="J220" s="11"/>
      <c r="K220" s="11"/>
      <c r="P220" s="11"/>
      <c r="Q220" s="11"/>
      <c r="R220" s="11"/>
      <c r="S220" s="11"/>
      <c r="T220" s="11"/>
      <c r="U220" s="11"/>
      <c r="V220" s="11"/>
    </row>
    <row r="221" spans="1:22">
      <c r="A221" s="5"/>
      <c r="B221" s="249"/>
      <c r="C221" s="425" t="str">
        <f t="array" ref="C221:D226">+'DA-15'!$A$77:$B$82</f>
        <v>Total Output Growth</v>
      </c>
      <c r="D221" s="426" t="str">
        <v>Labour</v>
      </c>
      <c r="E221" s="847">
        <f t="array" ref="E221:K226" ca="1">+'DA-15'!$N$77:$T$82</f>
        <v>0</v>
      </c>
      <c r="F221" s="386">
        <f ca="1"/>
        <v>0</v>
      </c>
      <c r="G221" s="383">
        <f ca="1"/>
        <v>0.23261272535779884</v>
      </c>
      <c r="H221" s="383">
        <f ca="1"/>
        <v>0.44814837709006405</v>
      </c>
      <c r="I221" s="383">
        <f ca="1"/>
        <v>0.66120297547009077</v>
      </c>
      <c r="J221" s="383">
        <f ca="1"/>
        <v>0.89235010312273377</v>
      </c>
      <c r="K221" s="383">
        <f ca="1"/>
        <v>1.10408260196506</v>
      </c>
      <c r="L221" s="790"/>
      <c r="M221" s="790"/>
      <c r="N221" s="790"/>
      <c r="O221" s="790"/>
      <c r="P221" s="386"/>
      <c r="Q221" s="768">
        <f ca="1">IF(F221&lt;&gt;0,+F221/'DA-15'!D$77,0)</f>
        <v>0</v>
      </c>
      <c r="R221" s="768">
        <f ca="1">IF(G221&lt;&gt;0,+G221/'DA-15'!E$77,0)</f>
        <v>21.924000000000003</v>
      </c>
      <c r="S221" s="768">
        <f ca="1">IF(H221&lt;&gt;0,+H221/'DA-15'!F$77,0)</f>
        <v>21.924000000000003</v>
      </c>
      <c r="T221" s="768">
        <f ca="1">IF(I221&lt;&gt;0,+I221/'DA-15'!G$77,0)</f>
        <v>21.924000000000003</v>
      </c>
      <c r="U221" s="768">
        <f ca="1">IF(J221&lt;&gt;0,+J221/'DA-15'!H$77,0)</f>
        <v>21.924000000000003</v>
      </c>
      <c r="V221" s="768">
        <f ca="1">IF(K221&lt;&gt;0,+K221/'DA-15'!I$77,0)</f>
        <v>21.924000000000003</v>
      </c>
    </row>
    <row r="222" spans="1:22">
      <c r="A222" s="5"/>
      <c r="B222" s="249"/>
      <c r="C222" s="425" t="str">
        <v>Total Output Growth</v>
      </c>
      <c r="D222" s="426" t="str">
        <v>Materials</v>
      </c>
      <c r="E222" s="847">
        <f ca="1"/>
        <v>0</v>
      </c>
      <c r="F222" s="386">
        <f ca="1"/>
        <v>0</v>
      </c>
      <c r="G222" s="383">
        <f ca="1"/>
        <v>-1.6042256921227502E-2</v>
      </c>
      <c r="H222" s="383">
        <f ca="1"/>
        <v>-3.0906784626900965E-2</v>
      </c>
      <c r="I222" s="383">
        <f ca="1"/>
        <v>-4.5600205204833842E-2</v>
      </c>
      <c r="J222" s="383">
        <f ca="1"/>
        <v>-6.1541386422257489E-2</v>
      </c>
      <c r="K222" s="383">
        <f ca="1"/>
        <v>-7.6143627721728266E-2</v>
      </c>
      <c r="L222" s="790"/>
      <c r="M222" s="790"/>
      <c r="N222" s="790"/>
      <c r="O222" s="790"/>
      <c r="P222" s="386"/>
      <c r="Q222" s="768">
        <f ca="1">IF(F222&lt;&gt;0,+F222/'DA-15'!D$78,0)</f>
        <v>0</v>
      </c>
      <c r="R222" s="768">
        <f ca="1">IF(G222&lt;&gt;0,+G222/'DA-15'!E$78,0)</f>
        <v>-1.5119999999999998</v>
      </c>
      <c r="S222" s="768">
        <f ca="1">IF(H222&lt;&gt;0,+H222/'DA-15'!F$78,0)</f>
        <v>-1.512</v>
      </c>
      <c r="T222" s="768">
        <f ca="1">IF(I222&lt;&gt;0,+I222/'DA-15'!G$78,0)</f>
        <v>-1.512</v>
      </c>
      <c r="U222" s="768">
        <f ca="1">IF(J222&lt;&gt;0,+J222/'DA-15'!H$78,0)</f>
        <v>-1.512</v>
      </c>
      <c r="V222" s="768">
        <f ca="1">IF(K222&lt;&gt;0,+K222/'DA-15'!I$78,0)</f>
        <v>-1.5119999999999998</v>
      </c>
    </row>
    <row r="223" spans="1:22">
      <c r="A223" s="5"/>
      <c r="B223" s="249"/>
      <c r="C223" s="425" t="str">
        <v>Total Output Growth</v>
      </c>
      <c r="D223" s="426" t="str">
        <v>Contracts</v>
      </c>
      <c r="E223" s="847">
        <f ca="1"/>
        <v>0</v>
      </c>
      <c r="F223" s="386">
        <f ca="1"/>
        <v>0</v>
      </c>
      <c r="G223" s="383">
        <f ca="1"/>
        <v>1.500248100966646E-2</v>
      </c>
      <c r="H223" s="383">
        <f ca="1"/>
        <v>2.890356710478701E-2</v>
      </c>
      <c r="I223" s="383">
        <f ca="1"/>
        <v>4.2644636348964982E-2</v>
      </c>
      <c r="J223" s="383">
        <f ca="1"/>
        <v>5.7552592857851907E-2</v>
      </c>
      <c r="K223" s="383">
        <f ca="1"/>
        <v>7.1208392591616251E-2</v>
      </c>
      <c r="L223" s="790"/>
      <c r="M223" s="790"/>
      <c r="N223" s="790"/>
      <c r="O223" s="790"/>
      <c r="P223" s="386"/>
      <c r="Q223" s="768">
        <f ca="1">IF(F223&lt;&gt;0,+F223/'DA-15'!D$79,0)</f>
        <v>0</v>
      </c>
      <c r="R223" s="768">
        <f ca="1">IF(G223&lt;&gt;0,+G223/'DA-15'!E$79,0)</f>
        <v>1.4139999999999999</v>
      </c>
      <c r="S223" s="768">
        <f ca="1">IF(H223&lt;&gt;0,+H223/'DA-15'!F$79,0)</f>
        <v>1.4139999999999999</v>
      </c>
      <c r="T223" s="768">
        <f ca="1">IF(I223&lt;&gt;0,+I223/'DA-15'!G$79,0)</f>
        <v>1.4139999999999999</v>
      </c>
      <c r="U223" s="768">
        <f ca="1">IF(J223&lt;&gt;0,+J223/'DA-15'!H$79,0)</f>
        <v>1.4139999999999999</v>
      </c>
      <c r="V223" s="768">
        <f ca="1">IF(K223&lt;&gt;0,+K223/'DA-15'!I$79,0)</f>
        <v>1.4139999999999999</v>
      </c>
    </row>
    <row r="224" spans="1:22" s="790" customFormat="1">
      <c r="A224" s="5"/>
      <c r="B224" s="249"/>
      <c r="C224" s="425" t="str">
        <v>Total Output Growth</v>
      </c>
      <c r="D224" s="426" t="str">
        <v>Services Other</v>
      </c>
      <c r="E224" s="847">
        <f ca="1"/>
        <v>0</v>
      </c>
      <c r="F224" s="386">
        <f ca="1"/>
        <v>0</v>
      </c>
      <c r="G224" s="383">
        <f ca="1"/>
        <v>7.7102566829735625E-2</v>
      </c>
      <c r="H224" s="383">
        <f ca="1"/>
        <v>0.14854471156328658</v>
      </c>
      <c r="I224" s="383">
        <f ca="1"/>
        <v>0.21916447832243882</v>
      </c>
      <c r="J224" s="383">
        <f ca="1"/>
        <v>0.2957812533932177</v>
      </c>
      <c r="K224" s="383">
        <f ca="1"/>
        <v>0.3659627927604493</v>
      </c>
      <c r="P224" s="386"/>
      <c r="Q224" s="768">
        <f ca="1">IF(F224&lt;&gt;0,+F224/'DA-15'!D$80,0)</f>
        <v>0</v>
      </c>
      <c r="R224" s="768">
        <f ca="1">IF(G224&lt;&gt;0,+G224/'DA-15'!E$80,0)</f>
        <v>7.2670000000000003</v>
      </c>
      <c r="S224" s="768">
        <f ca="1">IF(H224&lt;&gt;0,+H224/'DA-15'!F$80,0)</f>
        <v>7.2669999999999995</v>
      </c>
      <c r="T224" s="768">
        <f ca="1">IF(I224&lt;&gt;0,+I224/'DA-15'!G$80,0)</f>
        <v>7.2669999999999995</v>
      </c>
      <c r="U224" s="768">
        <f ca="1">IF(J224&lt;&gt;0,+J224/'DA-15'!H$80,0)</f>
        <v>7.2669999999999995</v>
      </c>
      <c r="V224" s="768">
        <f ca="1">IF(K224&lt;&gt;0,+K224/'DA-15'!I$80,0)</f>
        <v>7.2669999999999995</v>
      </c>
    </row>
    <row r="225" spans="1:22" s="790" customFormat="1">
      <c r="A225" s="5"/>
      <c r="B225" s="249"/>
      <c r="C225" s="425" t="str">
        <v>Total Output Growth</v>
      </c>
      <c r="D225" s="426" t="str">
        <v>Business Overheads</v>
      </c>
      <c r="E225" s="847">
        <f ca="1"/>
        <v>0</v>
      </c>
      <c r="F225" s="386">
        <f ca="1"/>
        <v>0</v>
      </c>
      <c r="G225" s="383">
        <f ca="1"/>
        <v>4.5633430567592261E-2</v>
      </c>
      <c r="H225" s="383">
        <f ca="1"/>
        <v>8.7916720026654141E-2</v>
      </c>
      <c r="I225" s="383">
        <f ca="1"/>
        <v>0.12971328213359151</v>
      </c>
      <c r="J225" s="383">
        <f ca="1"/>
        <v>0.17505919510722848</v>
      </c>
      <c r="K225" s="383">
        <f ca="1"/>
        <v>0.21659639076134479</v>
      </c>
      <c r="P225" s="386"/>
      <c r="Q225" s="768">
        <f ca="1">IF(F225&lt;&gt;0,+F225/'DA-15'!D$81,0)</f>
        <v>0</v>
      </c>
      <c r="R225" s="768">
        <f ca="1">IF(G225&lt;&gt;0,+G225/'DA-15'!E$81,0)</f>
        <v>4.3010000000000002</v>
      </c>
      <c r="S225" s="768">
        <f ca="1">IF(H225&lt;&gt;0,+H225/'DA-15'!F$81,0)</f>
        <v>4.3010000000000002</v>
      </c>
      <c r="T225" s="768">
        <f ca="1">IF(I225&lt;&gt;0,+I225/'DA-15'!G$81,0)</f>
        <v>4.3010000000000002</v>
      </c>
      <c r="U225" s="768">
        <f ca="1">IF(J225&lt;&gt;0,+J225/'DA-15'!H$81,0)</f>
        <v>4.3010000000000002</v>
      </c>
      <c r="V225" s="768">
        <f ca="1">IF(K225&lt;&gt;0,+K225/'DA-15'!I$81,0)</f>
        <v>4.3010000000000002</v>
      </c>
    </row>
    <row r="226" spans="1:22" s="790" customFormat="1">
      <c r="A226" s="5"/>
      <c r="B226" s="249"/>
      <c r="C226" s="425" t="str">
        <v>Total Output Growth</v>
      </c>
      <c r="D226" s="426" t="str">
        <v>Other</v>
      </c>
      <c r="E226" s="847">
        <f ca="1"/>
        <v>0</v>
      </c>
      <c r="F226" s="386">
        <f ca="1"/>
        <v>0</v>
      </c>
      <c r="G226" s="383">
        <f ca="1"/>
        <v>0</v>
      </c>
      <c r="H226" s="383">
        <f ca="1"/>
        <v>0</v>
      </c>
      <c r="I226" s="383">
        <f ca="1"/>
        <v>0</v>
      </c>
      <c r="J226" s="383">
        <f ca="1"/>
        <v>0</v>
      </c>
      <c r="K226" s="383">
        <f ca="1"/>
        <v>0</v>
      </c>
      <c r="P226" s="386"/>
      <c r="Q226" s="768">
        <f ca="1">IF(F226&lt;&gt;0,+F226/'DA-15'!D$82,0)</f>
        <v>0</v>
      </c>
      <c r="R226" s="768">
        <f ca="1">IF(G226&lt;&gt;0,+G226/'DA-15'!E$82,0)</f>
        <v>0</v>
      </c>
      <c r="S226" s="768">
        <f ca="1">IF(H226&lt;&gt;0,+H226/'DA-15'!F$82,0)</f>
        <v>0</v>
      </c>
      <c r="T226" s="768">
        <f ca="1">IF(I226&lt;&gt;0,+I226/'DA-15'!G$82,0)</f>
        <v>0</v>
      </c>
      <c r="U226" s="768">
        <f ca="1">IF(J226&lt;&gt;0,+J226/'DA-15'!H$82,0)</f>
        <v>0</v>
      </c>
      <c r="V226" s="768">
        <f ca="1">IF(K226&lt;&gt;0,+K226/'DA-15'!I$82,0)</f>
        <v>0</v>
      </c>
    </row>
    <row r="227" spans="1:22">
      <c r="A227" s="5"/>
      <c r="B227" s="249"/>
      <c r="C227" s="424" t="s">
        <v>73</v>
      </c>
      <c r="D227" s="417"/>
      <c r="E227" s="848"/>
      <c r="F227" s="387"/>
      <c r="G227" s="385"/>
      <c r="H227" s="385"/>
      <c r="I227" s="385"/>
      <c r="J227" s="385"/>
      <c r="K227" s="385"/>
      <c r="P227" s="387"/>
      <c r="Q227" s="385"/>
      <c r="R227" s="385"/>
      <c r="S227" s="385"/>
      <c r="T227" s="385"/>
      <c r="U227" s="385"/>
      <c r="V227" s="385"/>
    </row>
    <row r="228" spans="1:22" s="767" customFormat="1">
      <c r="A228" s="5"/>
      <c r="B228" s="249"/>
      <c r="C228" s="425" t="str">
        <f t="array" ref="C228:D233">+'DA-15'!$A$113:$B$119</f>
        <v>Labour</v>
      </c>
      <c r="D228" s="426" t="str">
        <v>Labour</v>
      </c>
      <c r="E228" s="847">
        <f t="array" ref="E228:K233" ca="1">+'DA-15'!$N$113:$T$119</f>
        <v>0</v>
      </c>
      <c r="F228" s="386">
        <f ca="1"/>
        <v>0</v>
      </c>
      <c r="G228" s="383">
        <f ca="1"/>
        <v>0.47543584037363867</v>
      </c>
      <c r="H228" s="383">
        <f ca="1"/>
        <v>0.97042272229248028</v>
      </c>
      <c r="I228" s="383">
        <f ca="1"/>
        <v>1.5130254512253782</v>
      </c>
      <c r="J228" s="383">
        <f ca="1"/>
        <v>2.0795257963171769</v>
      </c>
      <c r="K228" s="383">
        <f ca="1"/>
        <v>2.6675394830695063</v>
      </c>
      <c r="P228" s="386"/>
      <c r="Q228" s="768">
        <f ca="1">IF(F228&lt;&gt;0,+F228/'DA-15'!D$113,0)</f>
        <v>0</v>
      </c>
      <c r="R228" s="768">
        <f ca="1">IF(G228&lt;&gt;0,+G228/'DA-15'!E$113,0)</f>
        <v>22.156612725357803</v>
      </c>
      <c r="S228" s="768">
        <f ca="1">IF(H228&lt;&gt;0,+H228/'DA-15'!F$113,0)</f>
        <v>22.372148377090067</v>
      </c>
      <c r="T228" s="768">
        <f ca="1">IF(I228&lt;&gt;0,+I228/'DA-15'!G$113,0)</f>
        <v>22.585202975470093</v>
      </c>
      <c r="U228" s="768">
        <f ca="1">IF(J228&lt;&gt;0,+J228/'DA-15'!H$113,0)</f>
        <v>22.81635010312274</v>
      </c>
      <c r="V228" s="768">
        <f ca="1">IF(K228&lt;&gt;0,+K228/'DA-15'!I$113,0)</f>
        <v>23.028082601965064</v>
      </c>
    </row>
    <row r="229" spans="1:22" s="767" customFormat="1">
      <c r="A229" s="5"/>
      <c r="B229" s="249"/>
      <c r="C229" s="425" t="str">
        <v>Materials</v>
      </c>
      <c r="D229" s="426" t="str">
        <v>Materials</v>
      </c>
      <c r="E229" s="847">
        <f ca="1"/>
        <v>0</v>
      </c>
      <c r="F229" s="386">
        <f ca="1"/>
        <v>0</v>
      </c>
      <c r="G229" s="383">
        <f ca="1"/>
        <v>0</v>
      </c>
      <c r="H229" s="383">
        <f ca="1"/>
        <v>0</v>
      </c>
      <c r="I229" s="383">
        <f ca="1"/>
        <v>0</v>
      </c>
      <c r="J229" s="383">
        <f ca="1"/>
        <v>0</v>
      </c>
      <c r="K229" s="383">
        <f ca="1"/>
        <v>0</v>
      </c>
      <c r="P229" s="386"/>
      <c r="Q229" s="768">
        <f ca="1">IF(F229&lt;&gt;0,+F229/'DA-15'!D$114,0)</f>
        <v>0</v>
      </c>
      <c r="R229" s="768">
        <f ca="1">IF(G229&lt;&gt;0,+G229/'DA-15'!E$114,0)</f>
        <v>0</v>
      </c>
      <c r="S229" s="768">
        <f ca="1">IF(H229&lt;&gt;0,+H229/'DA-15'!F$114,0)</f>
        <v>0</v>
      </c>
      <c r="T229" s="768">
        <f ca="1">IF(I229&lt;&gt;0,+I229/'DA-15'!G$114,0)</f>
        <v>0</v>
      </c>
      <c r="U229" s="768">
        <f ca="1">IF(J229&lt;&gt;0,+J229/'DA-15'!H$114,0)</f>
        <v>0</v>
      </c>
      <c r="V229" s="768">
        <f ca="1">IF(K229&lt;&gt;0,+K229/'DA-15'!I$114,0)</f>
        <v>0</v>
      </c>
    </row>
    <row r="230" spans="1:22" s="767" customFormat="1">
      <c r="A230" s="5"/>
      <c r="B230" s="249"/>
      <c r="C230" s="425" t="str">
        <v>Services-construction</v>
      </c>
      <c r="D230" s="426" t="str">
        <v>Contracts</v>
      </c>
      <c r="E230" s="847">
        <f ca="1"/>
        <v>0</v>
      </c>
      <c r="F230" s="386">
        <f ca="1"/>
        <v>0</v>
      </c>
      <c r="G230" s="383">
        <f ca="1"/>
        <v>7.14501240504818E-3</v>
      </c>
      <c r="H230" s="383">
        <f ca="1"/>
        <v>1.4465108260225098E-2</v>
      </c>
      <c r="I230" s="383">
        <f ca="1"/>
        <v>2.7844089968852934E-2</v>
      </c>
      <c r="J230" s="383">
        <f ca="1"/>
        <v>4.387571625539205E-2</v>
      </c>
      <c r="K230" s="383">
        <f ca="1"/>
        <v>6.3401517556778905E-2</v>
      </c>
      <c r="P230" s="386"/>
      <c r="Q230" s="768">
        <f ca="1">IF(F230&lt;&gt;0,+F230/'DA-15'!D$115,0)</f>
        <v>0</v>
      </c>
      <c r="R230" s="768">
        <f ca="1">IF(G230&lt;&gt;0,+G230/'DA-15'!E$115,0)</f>
        <v>1.4290024810096664</v>
      </c>
      <c r="S230" s="768">
        <f ca="1">IF(H230&lt;&gt;0,+H230/'DA-15'!F$115,0)</f>
        <v>1.442903567104787</v>
      </c>
      <c r="T230" s="768">
        <f ca="1">IF(I230&lt;&gt;0,+I230/'DA-15'!G$115,0)</f>
        <v>1.4566446363489649</v>
      </c>
      <c r="U230" s="768">
        <f ca="1">IF(J230&lt;&gt;0,+J230/'DA-15'!H$115,0)</f>
        <v>1.4715525928578519</v>
      </c>
      <c r="V230" s="768">
        <f ca="1">IF(K230&lt;&gt;0,+K230/'DA-15'!I$115,0)</f>
        <v>1.4852083925916162</v>
      </c>
    </row>
    <row r="231" spans="1:22" s="767" customFormat="1">
      <c r="A231" s="5"/>
      <c r="B231" s="249"/>
      <c r="C231" s="425" t="str">
        <v>Services-general</v>
      </c>
      <c r="D231" s="426" t="str">
        <v>Services Other</v>
      </c>
      <c r="E231" s="847">
        <f ca="1"/>
        <v>0</v>
      </c>
      <c r="F231" s="386">
        <f ca="1"/>
        <v>0</v>
      </c>
      <c r="G231" s="383">
        <f ca="1"/>
        <v>3.6720512834147893E-2</v>
      </c>
      <c r="H231" s="383">
        <f ca="1"/>
        <v>7.434083573341993E-2</v>
      </c>
      <c r="I231" s="383">
        <f ca="1"/>
        <v>0.14309971839013738</v>
      </c>
      <c r="J231" s="383">
        <f ca="1"/>
        <v>0.22549139323050493</v>
      </c>
      <c r="K231" s="383">
        <f ca="1"/>
        <v>0.32584075536429441</v>
      </c>
      <c r="P231" s="386"/>
      <c r="Q231" s="768">
        <f ca="1">IF(F231&lt;&gt;0,+F231/'DA-15'!D$116,0)</f>
        <v>0</v>
      </c>
      <c r="R231" s="768">
        <f ca="1">IF(G231&lt;&gt;0,+G231/'DA-15'!E$116,0)</f>
        <v>7.3441025668297355</v>
      </c>
      <c r="S231" s="768">
        <f ca="1">IF(H231&lt;&gt;0,+H231/'DA-15'!F$116,0)</f>
        <v>7.4155447115632862</v>
      </c>
      <c r="T231" s="768">
        <f ca="1">IF(I231&lt;&gt;0,+I231/'DA-15'!G$116,0)</f>
        <v>7.4861644783224381</v>
      </c>
      <c r="U231" s="768">
        <f ca="1">IF(J231&lt;&gt;0,+J231/'DA-15'!H$116,0)</f>
        <v>7.5627812533932168</v>
      </c>
      <c r="V231" s="768">
        <f ca="1">IF(K231&lt;&gt;0,+K231/'DA-15'!I$116,0)</f>
        <v>7.6329627927604493</v>
      </c>
    </row>
    <row r="232" spans="1:22" s="767" customFormat="1">
      <c r="A232" s="5"/>
      <c r="B232" s="249"/>
      <c r="C232" s="425" t="str">
        <v>Labour</v>
      </c>
      <c r="D232" s="426" t="str">
        <v>Business Overheads</v>
      </c>
      <c r="E232" s="847">
        <f ca="1"/>
        <v>0</v>
      </c>
      <c r="F232" s="386">
        <f ca="1"/>
        <v>0</v>
      </c>
      <c r="G232" s="383">
        <f ca="1"/>
        <v>9.3269911943396261E-2</v>
      </c>
      <c r="H232" s="383">
        <f ca="1"/>
        <v>0.19037530234354849</v>
      </c>
      <c r="I232" s="383">
        <f ca="1"/>
        <v>0.29682186032294983</v>
      </c>
      <c r="J232" s="383">
        <f ca="1"/>
        <v>0.40795659779055721</v>
      </c>
      <c r="K232" s="383">
        <f ca="1"/>
        <v>0.52331177324767131</v>
      </c>
      <c r="P232" s="386"/>
      <c r="Q232" s="768">
        <f ca="1">IF(F232&lt;&gt;0,+F232/'DA-15'!D$117,0)</f>
        <v>0</v>
      </c>
      <c r="R232" s="768">
        <f ca="1">IF(G232&lt;&gt;0,+G232/'DA-15'!E$117,0)</f>
        <v>4.346633430567592</v>
      </c>
      <c r="S232" s="768">
        <f ca="1">IF(H232&lt;&gt;0,+H232/'DA-15'!F$117,0)</f>
        <v>4.3889167200266543</v>
      </c>
      <c r="T232" s="768">
        <f ca="1">IF(I232&lt;&gt;0,+I232/'DA-15'!G$117,0)</f>
        <v>4.4307132821335919</v>
      </c>
      <c r="U232" s="768">
        <f ca="1">IF(J232&lt;&gt;0,+J232/'DA-15'!H$117,0)</f>
        <v>4.4760591951072284</v>
      </c>
      <c r="V232" s="768">
        <f ca="1">IF(K232&lt;&gt;0,+K232/'DA-15'!I$117,0)</f>
        <v>4.5175963907613452</v>
      </c>
    </row>
    <row r="233" spans="1:22" s="767" customFormat="1">
      <c r="A233" s="5"/>
      <c r="B233" s="249"/>
      <c r="C233" s="425" t="str">
        <v>Materials - Land</v>
      </c>
      <c r="D233" s="426" t="str">
        <v>Other</v>
      </c>
      <c r="E233" s="847">
        <f ca="1"/>
        <v>0</v>
      </c>
      <c r="F233" s="386">
        <f ca="1"/>
        <v>0</v>
      </c>
      <c r="G233" s="383">
        <f ca="1"/>
        <v>0</v>
      </c>
      <c r="H233" s="383">
        <f ca="1"/>
        <v>0</v>
      </c>
      <c r="I233" s="383">
        <f ca="1"/>
        <v>0</v>
      </c>
      <c r="J233" s="383">
        <f ca="1"/>
        <v>0</v>
      </c>
      <c r="K233" s="383">
        <f ca="1"/>
        <v>0</v>
      </c>
      <c r="P233" s="386"/>
      <c r="Q233" s="768">
        <f ca="1">IF(F233&lt;&gt;0,+F233/'DA-15'!D$118,0)</f>
        <v>0</v>
      </c>
      <c r="R233" s="768">
        <f ca="1">IF(G233&lt;&gt;0,+G233/'DA-15'!E$118,0)</f>
        <v>0</v>
      </c>
      <c r="S233" s="768">
        <f ca="1">IF(H233&lt;&gt;0,+H233/'DA-15'!F$118,0)</f>
        <v>0</v>
      </c>
      <c r="T233" s="768">
        <f ca="1">IF(I233&lt;&gt;0,+I233/'DA-15'!G$118,0)</f>
        <v>0</v>
      </c>
      <c r="U233" s="768">
        <f ca="1">IF(J233&lt;&gt;0,+J233/'DA-15'!H$118,0)</f>
        <v>0</v>
      </c>
      <c r="V233" s="768">
        <f ca="1">IF(K233&lt;&gt;0,+K233/'DA-15'!I$118,0)</f>
        <v>0</v>
      </c>
    </row>
    <row r="234" spans="1:22">
      <c r="A234" s="5"/>
      <c r="B234" s="249" t="str">
        <f ca="1">+'I-4 History'!B142</f>
        <v>DA-16</v>
      </c>
      <c r="C234" s="14" t="str">
        <f ca="1">+'I-4 History'!C142</f>
        <v>Meter Reading Charges</v>
      </c>
      <c r="D234" s="418"/>
      <c r="E234" s="507"/>
      <c r="F234" s="11"/>
      <c r="G234" s="11"/>
      <c r="H234" s="11"/>
      <c r="I234" s="11"/>
      <c r="J234" s="11"/>
      <c r="K234" s="11"/>
      <c r="P234" s="11"/>
      <c r="Q234" s="11"/>
      <c r="R234" s="11"/>
      <c r="S234" s="11"/>
      <c r="T234" s="11"/>
      <c r="U234" s="11"/>
      <c r="V234" s="11"/>
    </row>
    <row r="235" spans="1:22">
      <c r="A235" s="5"/>
      <c r="B235" s="249"/>
      <c r="C235" s="424" t="s">
        <v>74</v>
      </c>
      <c r="D235" s="416"/>
      <c r="E235" s="507"/>
      <c r="F235" s="11"/>
      <c r="G235" s="11"/>
      <c r="H235" s="11"/>
      <c r="I235" s="11"/>
      <c r="J235" s="11"/>
      <c r="K235" s="11"/>
      <c r="P235" s="11"/>
      <c r="Q235" s="11"/>
      <c r="R235" s="11"/>
      <c r="S235" s="11"/>
      <c r="T235" s="11"/>
      <c r="U235" s="11"/>
      <c r="V235" s="11"/>
    </row>
    <row r="236" spans="1:22">
      <c r="A236" s="5"/>
      <c r="B236" s="249"/>
      <c r="C236" s="425" t="str">
        <f t="array" ref="C236:D241">+'DA-16'!$A$77:$B$82</f>
        <v>Total Output Growth</v>
      </c>
      <c r="D236" s="426" t="str">
        <v>Labour</v>
      </c>
      <c r="E236" s="847">
        <f t="array" ref="E236:K241" ca="1">+'DA-16'!$N$77:$T$82</f>
        <v>0</v>
      </c>
      <c r="F236" s="386">
        <f ca="1"/>
        <v>0</v>
      </c>
      <c r="G236" s="383">
        <f ca="1"/>
        <v>0</v>
      </c>
      <c r="H236" s="383">
        <f ca="1"/>
        <v>0</v>
      </c>
      <c r="I236" s="383">
        <f ca="1"/>
        <v>0</v>
      </c>
      <c r="J236" s="383">
        <f ca="1"/>
        <v>0</v>
      </c>
      <c r="K236" s="383">
        <f ca="1"/>
        <v>0</v>
      </c>
      <c r="L236" s="790"/>
      <c r="M236" s="790"/>
      <c r="N236" s="790"/>
      <c r="O236" s="790"/>
      <c r="P236" s="386"/>
      <c r="Q236" s="768">
        <f ca="1">IF(F236&lt;&gt;0,+F236/'DA-16'!D$77,0)</f>
        <v>0</v>
      </c>
      <c r="R236" s="768">
        <f ca="1">IF(G236&lt;&gt;0,+G236/'DA-16'!E$77,0)</f>
        <v>0</v>
      </c>
      <c r="S236" s="768">
        <f ca="1">IF(H236&lt;&gt;0,+H236/'DA-16'!F$77,0)</f>
        <v>0</v>
      </c>
      <c r="T236" s="768">
        <f ca="1">IF(I236&lt;&gt;0,+I236/'DA-16'!G$77,0)</f>
        <v>0</v>
      </c>
      <c r="U236" s="768">
        <f ca="1">IF(J236&lt;&gt;0,+J236/'DA-16'!H$77,0)</f>
        <v>0</v>
      </c>
      <c r="V236" s="768">
        <f ca="1">IF(K236&lt;&gt;0,+K236/'DA-16'!I$77,0)</f>
        <v>0</v>
      </c>
    </row>
    <row r="237" spans="1:22">
      <c r="A237" s="5"/>
      <c r="B237" s="249"/>
      <c r="C237" s="425" t="str">
        <v>Total Output Growth</v>
      </c>
      <c r="D237" s="426" t="str">
        <v>Materials</v>
      </c>
      <c r="E237" s="847">
        <f ca="1"/>
        <v>0</v>
      </c>
      <c r="F237" s="386">
        <f ca="1"/>
        <v>0</v>
      </c>
      <c r="G237" s="383">
        <f ca="1"/>
        <v>0</v>
      </c>
      <c r="H237" s="383">
        <f ca="1"/>
        <v>0</v>
      </c>
      <c r="I237" s="383">
        <f ca="1"/>
        <v>0</v>
      </c>
      <c r="J237" s="383">
        <f ca="1"/>
        <v>0</v>
      </c>
      <c r="K237" s="383">
        <f ca="1"/>
        <v>0</v>
      </c>
      <c r="L237" s="790"/>
      <c r="M237" s="790"/>
      <c r="N237" s="790"/>
      <c r="O237" s="790"/>
      <c r="P237" s="386"/>
      <c r="Q237" s="768">
        <f ca="1">IF(F237&lt;&gt;0,+F237/'DA-16'!D$78,0)</f>
        <v>0</v>
      </c>
      <c r="R237" s="768">
        <f ca="1">IF(G237&lt;&gt;0,+G237/'DA-16'!E$78,0)</f>
        <v>0</v>
      </c>
      <c r="S237" s="768">
        <f ca="1">IF(H237&lt;&gt;0,+H237/'DA-16'!F$78,0)</f>
        <v>0</v>
      </c>
      <c r="T237" s="768">
        <f ca="1">IF(I237&lt;&gt;0,+I237/'DA-16'!G$78,0)</f>
        <v>0</v>
      </c>
      <c r="U237" s="768">
        <f ca="1">IF(J237&lt;&gt;0,+J237/'DA-16'!H$78,0)</f>
        <v>0</v>
      </c>
      <c r="V237" s="768">
        <f ca="1">IF(K237&lt;&gt;0,+K237/'DA-16'!I$78,0)</f>
        <v>0</v>
      </c>
    </row>
    <row r="238" spans="1:22">
      <c r="A238" s="5"/>
      <c r="B238" s="249"/>
      <c r="C238" s="425" t="str">
        <v>Total Output Growth</v>
      </c>
      <c r="D238" s="426" t="str">
        <v>Contracts</v>
      </c>
      <c r="E238" s="847">
        <f ca="1"/>
        <v>0</v>
      </c>
      <c r="F238" s="386">
        <f ca="1"/>
        <v>0</v>
      </c>
      <c r="G238" s="383">
        <f ca="1"/>
        <v>0</v>
      </c>
      <c r="H238" s="383">
        <f ca="1"/>
        <v>0</v>
      </c>
      <c r="I238" s="383">
        <f ca="1"/>
        <v>0</v>
      </c>
      <c r="J238" s="383">
        <f ca="1"/>
        <v>0</v>
      </c>
      <c r="K238" s="383">
        <f ca="1"/>
        <v>0</v>
      </c>
      <c r="L238" s="790"/>
      <c r="M238" s="790"/>
      <c r="N238" s="790"/>
      <c r="O238" s="790"/>
      <c r="P238" s="386"/>
      <c r="Q238" s="768">
        <f ca="1">IF(F238&lt;&gt;0,+F238/'DA-16'!D$79,0)</f>
        <v>0</v>
      </c>
      <c r="R238" s="768">
        <f ca="1">IF(G238&lt;&gt;0,+G238/'DA-16'!E$79,0)</f>
        <v>0</v>
      </c>
      <c r="S238" s="768">
        <f ca="1">IF(H238&lt;&gt;0,+H238/'DA-16'!F$79,0)</f>
        <v>0</v>
      </c>
      <c r="T238" s="768">
        <f ca="1">IF(I238&lt;&gt;0,+I238/'DA-16'!G$79,0)</f>
        <v>0</v>
      </c>
      <c r="U238" s="768">
        <f ca="1">IF(J238&lt;&gt;0,+J238/'DA-16'!H$79,0)</f>
        <v>0</v>
      </c>
      <c r="V238" s="768">
        <f ca="1">IF(K238&lt;&gt;0,+K238/'DA-16'!I$79,0)</f>
        <v>0</v>
      </c>
    </row>
    <row r="239" spans="1:22" s="790" customFormat="1">
      <c r="A239" s="5"/>
      <c r="B239" s="249"/>
      <c r="C239" s="425" t="str">
        <v>Total Output Growth</v>
      </c>
      <c r="D239" s="426" t="str">
        <v>Services Other</v>
      </c>
      <c r="E239" s="847">
        <f ca="1"/>
        <v>0</v>
      </c>
      <c r="F239" s="386">
        <f ca="1"/>
        <v>0</v>
      </c>
      <c r="G239" s="383">
        <f ca="1"/>
        <v>0</v>
      </c>
      <c r="H239" s="383">
        <f ca="1"/>
        <v>0</v>
      </c>
      <c r="I239" s="383">
        <f ca="1"/>
        <v>0</v>
      </c>
      <c r="J239" s="383">
        <f ca="1"/>
        <v>0</v>
      </c>
      <c r="K239" s="383">
        <f ca="1"/>
        <v>0</v>
      </c>
      <c r="P239" s="386"/>
      <c r="Q239" s="768">
        <f ca="1">IF(F239&lt;&gt;0,+F239/'DA-16'!D$80,0)</f>
        <v>0</v>
      </c>
      <c r="R239" s="768">
        <f ca="1">IF(G239&lt;&gt;0,+G239/'DA-16'!E$80,0)</f>
        <v>0</v>
      </c>
      <c r="S239" s="768">
        <f ca="1">IF(H239&lt;&gt;0,+H239/'DA-16'!F$80,0)</f>
        <v>0</v>
      </c>
      <c r="T239" s="768">
        <f ca="1">IF(I239&lt;&gt;0,+I239/'DA-16'!G$80,0)</f>
        <v>0</v>
      </c>
      <c r="U239" s="768">
        <f ca="1">IF(J239&lt;&gt;0,+J239/'DA-16'!H$80,0)</f>
        <v>0</v>
      </c>
      <c r="V239" s="768">
        <f ca="1">IF(K239&lt;&gt;0,+K239/'DA-16'!I$80,0)</f>
        <v>0</v>
      </c>
    </row>
    <row r="240" spans="1:22" s="790" customFormat="1">
      <c r="A240" s="5"/>
      <c r="B240" s="249"/>
      <c r="C240" s="425" t="str">
        <v>Total Output Growth</v>
      </c>
      <c r="D240" s="426" t="str">
        <v>Business Overheads</v>
      </c>
      <c r="E240" s="847">
        <f ca="1"/>
        <v>0</v>
      </c>
      <c r="F240" s="386">
        <f ca="1"/>
        <v>0</v>
      </c>
      <c r="G240" s="383">
        <f ca="1"/>
        <v>0</v>
      </c>
      <c r="H240" s="383">
        <f ca="1"/>
        <v>0</v>
      </c>
      <c r="I240" s="383">
        <f ca="1"/>
        <v>0</v>
      </c>
      <c r="J240" s="383">
        <f ca="1"/>
        <v>0</v>
      </c>
      <c r="K240" s="383">
        <f ca="1"/>
        <v>0</v>
      </c>
      <c r="P240" s="386"/>
      <c r="Q240" s="768">
        <f ca="1">IF(F240&lt;&gt;0,+F240/'DA-16'!D$81,0)</f>
        <v>0</v>
      </c>
      <c r="R240" s="768">
        <f ca="1">IF(G240&lt;&gt;0,+G240/'DA-16'!E$81,0)</f>
        <v>0</v>
      </c>
      <c r="S240" s="768">
        <f ca="1">IF(H240&lt;&gt;0,+H240/'DA-16'!F$81,0)</f>
        <v>0</v>
      </c>
      <c r="T240" s="768">
        <f ca="1">IF(I240&lt;&gt;0,+I240/'DA-16'!G$81,0)</f>
        <v>0</v>
      </c>
      <c r="U240" s="768">
        <f ca="1">IF(J240&lt;&gt;0,+J240/'DA-16'!H$81,0)</f>
        <v>0</v>
      </c>
      <c r="V240" s="768">
        <f ca="1">IF(K240&lt;&gt;0,+K240/'DA-16'!I$81,0)</f>
        <v>0</v>
      </c>
    </row>
    <row r="241" spans="1:22" s="790" customFormat="1">
      <c r="A241" s="5"/>
      <c r="B241" s="249"/>
      <c r="C241" s="425" t="str">
        <v>Total Output Growth</v>
      </c>
      <c r="D241" s="426" t="str">
        <v>Other</v>
      </c>
      <c r="E241" s="847">
        <f ca="1"/>
        <v>0</v>
      </c>
      <c r="F241" s="386">
        <f ca="1"/>
        <v>0</v>
      </c>
      <c r="G241" s="383">
        <f ca="1"/>
        <v>0</v>
      </c>
      <c r="H241" s="383">
        <f ca="1"/>
        <v>0</v>
      </c>
      <c r="I241" s="383">
        <f ca="1"/>
        <v>0</v>
      </c>
      <c r="J241" s="383">
        <f ca="1"/>
        <v>0</v>
      </c>
      <c r="K241" s="383">
        <f ca="1"/>
        <v>0</v>
      </c>
      <c r="P241" s="386"/>
      <c r="Q241" s="768">
        <f ca="1">IF(F241&lt;&gt;0,+F241/'DA-16'!D$82,0)</f>
        <v>0</v>
      </c>
      <c r="R241" s="768">
        <f ca="1">IF(G241&lt;&gt;0,+G241/'DA-16'!E$82,0)</f>
        <v>0</v>
      </c>
      <c r="S241" s="768">
        <f ca="1">IF(H241&lt;&gt;0,+H241/'DA-16'!F$82,0)</f>
        <v>0</v>
      </c>
      <c r="T241" s="768">
        <f ca="1">IF(I241&lt;&gt;0,+I241/'DA-16'!G$82,0)</f>
        <v>0</v>
      </c>
      <c r="U241" s="768">
        <f ca="1">IF(J241&lt;&gt;0,+J241/'DA-16'!H$82,0)</f>
        <v>0</v>
      </c>
      <c r="V241" s="768">
        <f ca="1">IF(K241&lt;&gt;0,+K241/'DA-16'!I$82,0)</f>
        <v>0</v>
      </c>
    </row>
    <row r="242" spans="1:22">
      <c r="A242" s="5"/>
      <c r="B242" s="249"/>
      <c r="C242" s="424" t="s">
        <v>73</v>
      </c>
      <c r="D242" s="417"/>
      <c r="E242" s="848"/>
      <c r="F242" s="387"/>
      <c r="G242" s="385"/>
      <c r="H242" s="385"/>
      <c r="I242" s="385"/>
      <c r="J242" s="385"/>
      <c r="K242" s="385"/>
      <c r="P242" s="387"/>
      <c r="Q242" s="385"/>
      <c r="R242" s="385"/>
      <c r="S242" s="385"/>
      <c r="T242" s="385"/>
      <c r="U242" s="385"/>
      <c r="V242" s="385"/>
    </row>
    <row r="243" spans="1:22" s="767" customFormat="1">
      <c r="A243" s="5"/>
      <c r="B243" s="249"/>
      <c r="C243" s="425" t="str">
        <f t="array" ref="C243:D248">+'DA-16'!$A$113:$B$119</f>
        <v>Labour</v>
      </c>
      <c r="D243" s="426" t="str">
        <v>Labour</v>
      </c>
      <c r="E243" s="847">
        <f t="array" ref="E243:K248" ca="1">+'DA-16'!$N$113:$T$119</f>
        <v>0</v>
      </c>
      <c r="F243" s="386">
        <f ca="1"/>
        <v>0</v>
      </c>
      <c r="G243" s="383">
        <f ca="1"/>
        <v>0</v>
      </c>
      <c r="H243" s="383">
        <f ca="1"/>
        <v>0</v>
      </c>
      <c r="I243" s="383">
        <f ca="1"/>
        <v>0</v>
      </c>
      <c r="J243" s="383">
        <f ca="1"/>
        <v>0</v>
      </c>
      <c r="K243" s="383">
        <f ca="1"/>
        <v>0</v>
      </c>
      <c r="P243" s="386"/>
      <c r="Q243" s="768">
        <f ca="1">IF(F243&lt;&gt;0,+F243/'DA-16'!D$113,0)</f>
        <v>0</v>
      </c>
      <c r="R243" s="768">
        <f ca="1">IF(G243&lt;&gt;0,+G243/'DA-16'!E$113,0)</f>
        <v>0</v>
      </c>
      <c r="S243" s="768">
        <f ca="1">IF(H243&lt;&gt;0,+H243/'DA-16'!F$113,0)</f>
        <v>0</v>
      </c>
      <c r="T243" s="768">
        <f ca="1">IF(I243&lt;&gt;0,+I243/'DA-16'!G$113,0)</f>
        <v>0</v>
      </c>
      <c r="U243" s="768">
        <f ca="1">IF(J243&lt;&gt;0,+J243/'DA-16'!H$113,0)</f>
        <v>0</v>
      </c>
      <c r="V243" s="768">
        <f ca="1">IF(K243&lt;&gt;0,+K243/'DA-16'!I$113,0)</f>
        <v>0</v>
      </c>
    </row>
    <row r="244" spans="1:22" s="767" customFormat="1">
      <c r="A244" s="5"/>
      <c r="B244" s="249"/>
      <c r="C244" s="425" t="str">
        <v>Materials</v>
      </c>
      <c r="D244" s="426" t="str">
        <v>Materials</v>
      </c>
      <c r="E244" s="847">
        <f ca="1"/>
        <v>0</v>
      </c>
      <c r="F244" s="386">
        <f ca="1"/>
        <v>0</v>
      </c>
      <c r="G244" s="383">
        <f ca="1"/>
        <v>0</v>
      </c>
      <c r="H244" s="383">
        <f ca="1"/>
        <v>0</v>
      </c>
      <c r="I244" s="383">
        <f ca="1"/>
        <v>0</v>
      </c>
      <c r="J244" s="383">
        <f ca="1"/>
        <v>0</v>
      </c>
      <c r="K244" s="383">
        <f ca="1"/>
        <v>0</v>
      </c>
      <c r="P244" s="386"/>
      <c r="Q244" s="768">
        <f ca="1">IF(F244&lt;&gt;0,+F244/'DA-16'!D$114,0)</f>
        <v>0</v>
      </c>
      <c r="R244" s="768">
        <f ca="1">IF(G244&lt;&gt;0,+G244/'DA-16'!E$114,0)</f>
        <v>0</v>
      </c>
      <c r="S244" s="768">
        <f ca="1">IF(H244&lt;&gt;0,+H244/'DA-16'!F$114,0)</f>
        <v>0</v>
      </c>
      <c r="T244" s="768">
        <f ca="1">IF(I244&lt;&gt;0,+I244/'DA-16'!G$114,0)</f>
        <v>0</v>
      </c>
      <c r="U244" s="768">
        <f ca="1">IF(J244&lt;&gt;0,+J244/'DA-16'!H$114,0)</f>
        <v>0</v>
      </c>
      <c r="V244" s="768">
        <f ca="1">IF(K244&lt;&gt;0,+K244/'DA-16'!I$114,0)</f>
        <v>0</v>
      </c>
    </row>
    <row r="245" spans="1:22" s="767" customFormat="1">
      <c r="A245" s="5"/>
      <c r="B245" s="249"/>
      <c r="C245" s="425" t="str">
        <v>Services-construction</v>
      </c>
      <c r="D245" s="426" t="str">
        <v>Contracts</v>
      </c>
      <c r="E245" s="847">
        <f ca="1"/>
        <v>0</v>
      </c>
      <c r="F245" s="386">
        <f ca="1"/>
        <v>0</v>
      </c>
      <c r="G245" s="383">
        <f ca="1"/>
        <v>0</v>
      </c>
      <c r="H245" s="383">
        <f ca="1"/>
        <v>0</v>
      </c>
      <c r="I245" s="383">
        <f ca="1"/>
        <v>0</v>
      </c>
      <c r="J245" s="383">
        <f ca="1"/>
        <v>0</v>
      </c>
      <c r="K245" s="383">
        <f ca="1"/>
        <v>0</v>
      </c>
      <c r="P245" s="386"/>
      <c r="Q245" s="768">
        <f ca="1">IF(F245&lt;&gt;0,+F245/'DA-16'!D$115,0)</f>
        <v>0</v>
      </c>
      <c r="R245" s="768">
        <f ca="1">IF(G245&lt;&gt;0,+G245/'DA-16'!E$115,0)</f>
        <v>0</v>
      </c>
      <c r="S245" s="768">
        <f ca="1">IF(H245&lt;&gt;0,+H245/'DA-16'!F$115,0)</f>
        <v>0</v>
      </c>
      <c r="T245" s="768">
        <f ca="1">IF(I245&lt;&gt;0,+I245/'DA-16'!G$115,0)</f>
        <v>0</v>
      </c>
      <c r="U245" s="768">
        <f ca="1">IF(J245&lt;&gt;0,+J245/'DA-16'!H$115,0)</f>
        <v>0</v>
      </c>
      <c r="V245" s="768">
        <f ca="1">IF(K245&lt;&gt;0,+K245/'DA-16'!I$115,0)</f>
        <v>0</v>
      </c>
    </row>
    <row r="246" spans="1:22" s="767" customFormat="1">
      <c r="A246" s="5"/>
      <c r="B246" s="249"/>
      <c r="C246" s="425" t="str">
        <v>Services-general</v>
      </c>
      <c r="D246" s="426" t="str">
        <v>Services Other</v>
      </c>
      <c r="E246" s="847">
        <f ca="1"/>
        <v>0</v>
      </c>
      <c r="F246" s="386">
        <f ca="1"/>
        <v>0</v>
      </c>
      <c r="G246" s="383">
        <f ca="1"/>
        <v>0</v>
      </c>
      <c r="H246" s="383">
        <f ca="1"/>
        <v>0</v>
      </c>
      <c r="I246" s="383">
        <f ca="1"/>
        <v>0</v>
      </c>
      <c r="J246" s="383">
        <f ca="1"/>
        <v>0</v>
      </c>
      <c r="K246" s="383">
        <f ca="1"/>
        <v>0</v>
      </c>
      <c r="P246" s="386"/>
      <c r="Q246" s="768">
        <f ca="1">IF(F246&lt;&gt;0,+F246/'DA-16'!D$116,0)</f>
        <v>0</v>
      </c>
      <c r="R246" s="768">
        <f ca="1">IF(G246&lt;&gt;0,+G246/'DA-16'!E$116,0)</f>
        <v>0</v>
      </c>
      <c r="S246" s="768">
        <f ca="1">IF(H246&lt;&gt;0,+H246/'DA-16'!F$116,0)</f>
        <v>0</v>
      </c>
      <c r="T246" s="768">
        <f ca="1">IF(I246&lt;&gt;0,+I246/'DA-16'!G$116,0)</f>
        <v>0</v>
      </c>
      <c r="U246" s="768">
        <f ca="1">IF(J246&lt;&gt;0,+J246/'DA-16'!H$116,0)</f>
        <v>0</v>
      </c>
      <c r="V246" s="768">
        <f ca="1">IF(K246&lt;&gt;0,+K246/'DA-16'!I$116,0)</f>
        <v>0</v>
      </c>
    </row>
    <row r="247" spans="1:22" s="767" customFormat="1">
      <c r="A247" s="5"/>
      <c r="B247" s="249"/>
      <c r="C247" s="425" t="str">
        <v>Labour</v>
      </c>
      <c r="D247" s="426" t="str">
        <v>Business Overheads</v>
      </c>
      <c r="E247" s="847">
        <f ca="1"/>
        <v>0</v>
      </c>
      <c r="F247" s="386">
        <f ca="1"/>
        <v>0</v>
      </c>
      <c r="G247" s="383">
        <f ca="1"/>
        <v>0</v>
      </c>
      <c r="H247" s="383">
        <f ca="1"/>
        <v>0</v>
      </c>
      <c r="I247" s="383">
        <f ca="1"/>
        <v>0</v>
      </c>
      <c r="J247" s="383">
        <f ca="1"/>
        <v>0</v>
      </c>
      <c r="K247" s="383">
        <f ca="1"/>
        <v>0</v>
      </c>
      <c r="P247" s="386"/>
      <c r="Q247" s="768">
        <f ca="1">IF(F247&lt;&gt;0,+F247/'DA-16'!D$117,0)</f>
        <v>0</v>
      </c>
      <c r="R247" s="768">
        <f ca="1">IF(G247&lt;&gt;0,+G247/'DA-16'!E$117,0)</f>
        <v>0</v>
      </c>
      <c r="S247" s="768">
        <f ca="1">IF(H247&lt;&gt;0,+H247/'DA-16'!F$117,0)</f>
        <v>0</v>
      </c>
      <c r="T247" s="768">
        <f ca="1">IF(I247&lt;&gt;0,+I247/'DA-16'!G$117,0)</f>
        <v>0</v>
      </c>
      <c r="U247" s="768">
        <f ca="1">IF(J247&lt;&gt;0,+J247/'DA-16'!H$117,0)</f>
        <v>0</v>
      </c>
      <c r="V247" s="768">
        <f ca="1">IF(K247&lt;&gt;0,+K247/'DA-16'!I$117,0)</f>
        <v>0</v>
      </c>
    </row>
    <row r="248" spans="1:22" s="767" customFormat="1">
      <c r="A248" s="5"/>
      <c r="B248" s="249"/>
      <c r="C248" s="425" t="str">
        <v>Materials - Land</v>
      </c>
      <c r="D248" s="426" t="str">
        <v>Other</v>
      </c>
      <c r="E248" s="847">
        <f ca="1"/>
        <v>0</v>
      </c>
      <c r="F248" s="386">
        <f ca="1"/>
        <v>0</v>
      </c>
      <c r="G248" s="383">
        <f ca="1"/>
        <v>0</v>
      </c>
      <c r="H248" s="383">
        <f ca="1"/>
        <v>0</v>
      </c>
      <c r="I248" s="383">
        <f ca="1"/>
        <v>0</v>
      </c>
      <c r="J248" s="383">
        <f ca="1"/>
        <v>0</v>
      </c>
      <c r="K248" s="383">
        <f ca="1"/>
        <v>0</v>
      </c>
      <c r="P248" s="386"/>
      <c r="Q248" s="768">
        <f ca="1">IF(F248&lt;&gt;0,+F248/'DA-16'!D$118,0)</f>
        <v>0</v>
      </c>
      <c r="R248" s="768">
        <f ca="1">IF(G248&lt;&gt;0,+G248/'DA-16'!E$118,0)</f>
        <v>0</v>
      </c>
      <c r="S248" s="768">
        <f ca="1">IF(H248&lt;&gt;0,+H248/'DA-16'!F$118,0)</f>
        <v>0</v>
      </c>
      <c r="T248" s="768">
        <f ca="1">IF(I248&lt;&gt;0,+I248/'DA-16'!G$118,0)</f>
        <v>0</v>
      </c>
      <c r="U248" s="768">
        <f ca="1">IF(J248&lt;&gt;0,+J248/'DA-16'!H$118,0)</f>
        <v>0</v>
      </c>
      <c r="V248" s="768">
        <f ca="1">IF(K248&lt;&gt;0,+K248/'DA-16'!I$118,0)</f>
        <v>0</v>
      </c>
    </row>
    <row r="249" spans="1:22">
      <c r="A249" s="5"/>
      <c r="B249" s="249" t="str">
        <f ca="1">+'I-4 History'!B151</f>
        <v>DA-17</v>
      </c>
      <c r="C249" s="14" t="str">
        <f ca="1">+'I-4 History'!C151</f>
        <v>Call Centre Charges</v>
      </c>
      <c r="D249" s="418"/>
      <c r="E249" s="507"/>
      <c r="F249" s="11"/>
      <c r="G249" s="11"/>
      <c r="H249" s="11"/>
      <c r="I249" s="11"/>
      <c r="J249" s="11"/>
      <c r="K249" s="11"/>
      <c r="P249" s="11"/>
      <c r="Q249" s="11"/>
      <c r="R249" s="11"/>
      <c r="S249" s="11"/>
      <c r="T249" s="11"/>
      <c r="U249" s="11"/>
      <c r="V249" s="11"/>
    </row>
    <row r="250" spans="1:22">
      <c r="A250" s="5"/>
      <c r="B250" s="249"/>
      <c r="C250" s="424" t="s">
        <v>74</v>
      </c>
      <c r="D250" s="416"/>
      <c r="E250" s="507"/>
      <c r="F250" s="11"/>
      <c r="G250" s="11"/>
      <c r="H250" s="11"/>
      <c r="I250" s="11"/>
      <c r="J250" s="11"/>
      <c r="K250" s="11"/>
      <c r="P250" s="11"/>
      <c r="Q250" s="11"/>
      <c r="R250" s="11"/>
      <c r="S250" s="11"/>
      <c r="T250" s="11"/>
      <c r="U250" s="11"/>
      <c r="V250" s="11"/>
    </row>
    <row r="251" spans="1:22">
      <c r="A251" s="5"/>
      <c r="B251" s="249"/>
      <c r="C251" s="425" t="str">
        <f t="array" ref="C251:D256">+'DA-17'!$A$77:$B$82</f>
        <v>Total Output Growth</v>
      </c>
      <c r="D251" s="426" t="str">
        <v>Labour</v>
      </c>
      <c r="E251" s="847">
        <f t="array" ref="E251:K256" ca="1">+'DA-17'!$N$77:$T$82</f>
        <v>0</v>
      </c>
      <c r="F251" s="386">
        <f ca="1"/>
        <v>0</v>
      </c>
      <c r="G251" s="383">
        <f ca="1"/>
        <v>0</v>
      </c>
      <c r="H251" s="383">
        <f ca="1"/>
        <v>0</v>
      </c>
      <c r="I251" s="383">
        <f ca="1"/>
        <v>0</v>
      </c>
      <c r="J251" s="383">
        <f ca="1"/>
        <v>0</v>
      </c>
      <c r="K251" s="383">
        <f ca="1"/>
        <v>0</v>
      </c>
      <c r="L251" s="790"/>
      <c r="M251" s="790"/>
      <c r="N251" s="790"/>
      <c r="O251" s="790"/>
      <c r="P251" s="386"/>
      <c r="Q251" s="768">
        <f ca="1">IF(F251&lt;&gt;0,+F251/'DA-17'!D$77,0)</f>
        <v>0</v>
      </c>
      <c r="R251" s="768">
        <f ca="1">IF(G251&lt;&gt;0,+G251/'DA-17'!E$77,0)</f>
        <v>0</v>
      </c>
      <c r="S251" s="768">
        <f ca="1">IF(H251&lt;&gt;0,+H251/'DA-17'!F$77,0)</f>
        <v>0</v>
      </c>
      <c r="T251" s="768">
        <f ca="1">IF(I251&lt;&gt;0,+I251/'DA-17'!G$77,0)</f>
        <v>0</v>
      </c>
      <c r="U251" s="768">
        <f ca="1">IF(J251&lt;&gt;0,+J251/'DA-17'!H$77,0)</f>
        <v>0</v>
      </c>
      <c r="V251" s="768">
        <f ca="1">IF(K251&lt;&gt;0,+K251/'DA-17'!I$77,0)</f>
        <v>0</v>
      </c>
    </row>
    <row r="252" spans="1:22">
      <c r="A252" s="5"/>
      <c r="B252" s="249"/>
      <c r="C252" s="425" t="str">
        <v>Total Output Growth</v>
      </c>
      <c r="D252" s="426" t="str">
        <v>Materials</v>
      </c>
      <c r="E252" s="847">
        <f ca="1"/>
        <v>0</v>
      </c>
      <c r="F252" s="386">
        <f ca="1"/>
        <v>0</v>
      </c>
      <c r="G252" s="383">
        <f ca="1"/>
        <v>0</v>
      </c>
      <c r="H252" s="383">
        <f ca="1"/>
        <v>0</v>
      </c>
      <c r="I252" s="383">
        <f ca="1"/>
        <v>0</v>
      </c>
      <c r="J252" s="383">
        <f ca="1"/>
        <v>0</v>
      </c>
      <c r="K252" s="383">
        <f ca="1"/>
        <v>0</v>
      </c>
      <c r="L252" s="790"/>
      <c r="M252" s="790"/>
      <c r="N252" s="790"/>
      <c r="O252" s="790"/>
      <c r="P252" s="386"/>
      <c r="Q252" s="768">
        <f ca="1">IF(F252&lt;&gt;0,+F252/'DA-17'!D$78,0)</f>
        <v>0</v>
      </c>
      <c r="R252" s="768">
        <f ca="1">IF(G252&lt;&gt;0,+G252/'DA-17'!E$78,0)</f>
        <v>0</v>
      </c>
      <c r="S252" s="768">
        <f ca="1">IF(H252&lt;&gt;0,+H252/'DA-17'!F$78,0)</f>
        <v>0</v>
      </c>
      <c r="T252" s="768">
        <f ca="1">IF(I252&lt;&gt;0,+I252/'DA-17'!G$78,0)</f>
        <v>0</v>
      </c>
      <c r="U252" s="768">
        <f ca="1">IF(J252&lt;&gt;0,+J252/'DA-17'!H$78,0)</f>
        <v>0</v>
      </c>
      <c r="V252" s="768">
        <f ca="1">IF(K252&lt;&gt;0,+K252/'DA-17'!I$78,0)</f>
        <v>0</v>
      </c>
    </row>
    <row r="253" spans="1:22">
      <c r="A253" s="5"/>
      <c r="B253" s="249"/>
      <c r="C253" s="425" t="str">
        <v>Total Output Growth</v>
      </c>
      <c r="D253" s="426" t="str">
        <v>Contracts</v>
      </c>
      <c r="E253" s="847">
        <f ca="1"/>
        <v>0</v>
      </c>
      <c r="F253" s="386">
        <f ca="1"/>
        <v>0</v>
      </c>
      <c r="G253" s="383">
        <f ca="1"/>
        <v>0</v>
      </c>
      <c r="H253" s="383">
        <f ca="1"/>
        <v>0</v>
      </c>
      <c r="I253" s="383">
        <f ca="1"/>
        <v>0</v>
      </c>
      <c r="J253" s="383">
        <f ca="1"/>
        <v>0</v>
      </c>
      <c r="K253" s="383">
        <f ca="1"/>
        <v>0</v>
      </c>
      <c r="L253" s="790"/>
      <c r="M253" s="790"/>
      <c r="N253" s="790"/>
      <c r="O253" s="790"/>
      <c r="P253" s="386"/>
      <c r="Q253" s="768">
        <f ca="1">IF(F253&lt;&gt;0,+F253/'DA-17'!D$79,0)</f>
        <v>0</v>
      </c>
      <c r="R253" s="768">
        <f ca="1">IF(G253&lt;&gt;0,+G253/'DA-17'!E$79,0)</f>
        <v>0</v>
      </c>
      <c r="S253" s="768">
        <f ca="1">IF(H253&lt;&gt;0,+H253/'DA-17'!F$79,0)</f>
        <v>0</v>
      </c>
      <c r="T253" s="768">
        <f ca="1">IF(I253&lt;&gt;0,+I253/'DA-17'!G$79,0)</f>
        <v>0</v>
      </c>
      <c r="U253" s="768">
        <f ca="1">IF(J253&lt;&gt;0,+J253/'DA-17'!H$79,0)</f>
        <v>0</v>
      </c>
      <c r="V253" s="768">
        <f ca="1">IF(K253&lt;&gt;0,+K253/'DA-17'!I$79,0)</f>
        <v>0</v>
      </c>
    </row>
    <row r="254" spans="1:22" s="790" customFormat="1">
      <c r="A254" s="5"/>
      <c r="B254" s="249"/>
      <c r="C254" s="425" t="str">
        <v>Total Output Growth</v>
      </c>
      <c r="D254" s="426" t="str">
        <v>Services Other</v>
      </c>
      <c r="E254" s="847">
        <f ca="1"/>
        <v>0</v>
      </c>
      <c r="F254" s="386">
        <f ca="1"/>
        <v>0</v>
      </c>
      <c r="G254" s="383">
        <f ca="1"/>
        <v>3.1352426721049785E-2</v>
      </c>
      <c r="H254" s="383">
        <f ca="1"/>
        <v>6.0403140590272721E-2</v>
      </c>
      <c r="I254" s="383">
        <f ca="1"/>
        <v>8.9119448664208997E-2</v>
      </c>
      <c r="J254" s="383">
        <f ca="1"/>
        <v>0.12027433655937228</v>
      </c>
      <c r="K254" s="383">
        <f ca="1"/>
        <v>0.14881244703552055</v>
      </c>
      <c r="P254" s="386"/>
      <c r="Q254" s="768">
        <f ca="1">IF(F254&lt;&gt;0,+F254/'DA-17'!D$80,0)</f>
        <v>0</v>
      </c>
      <c r="R254" s="768">
        <f ca="1">IF(G254&lt;&gt;0,+G254/'DA-17'!E$80,0)</f>
        <v>2.9550000000000001</v>
      </c>
      <c r="S254" s="768">
        <f ca="1">IF(H254&lt;&gt;0,+H254/'DA-17'!F$80,0)</f>
        <v>2.9550000000000001</v>
      </c>
      <c r="T254" s="768">
        <f ca="1">IF(I254&lt;&gt;0,+I254/'DA-17'!G$80,0)</f>
        <v>2.9550000000000001</v>
      </c>
      <c r="U254" s="768">
        <f ca="1">IF(J254&lt;&gt;0,+J254/'DA-17'!H$80,0)</f>
        <v>2.9550000000000001</v>
      </c>
      <c r="V254" s="768">
        <f ca="1">IF(K254&lt;&gt;0,+K254/'DA-17'!I$80,0)</f>
        <v>2.9550000000000001</v>
      </c>
    </row>
    <row r="255" spans="1:22" s="790" customFormat="1">
      <c r="A255" s="5"/>
      <c r="B255" s="249"/>
      <c r="C255" s="425" t="str">
        <v>Total Output Growth</v>
      </c>
      <c r="D255" s="426" t="str">
        <v>Business Overheads</v>
      </c>
      <c r="E255" s="847">
        <f ca="1"/>
        <v>0</v>
      </c>
      <c r="F255" s="386">
        <f ca="1"/>
        <v>0</v>
      </c>
      <c r="G255" s="383">
        <f ca="1"/>
        <v>0</v>
      </c>
      <c r="H255" s="383">
        <f ca="1"/>
        <v>0</v>
      </c>
      <c r="I255" s="383">
        <f ca="1"/>
        <v>0</v>
      </c>
      <c r="J255" s="383">
        <f ca="1"/>
        <v>0</v>
      </c>
      <c r="K255" s="383">
        <f ca="1"/>
        <v>0</v>
      </c>
      <c r="P255" s="386"/>
      <c r="Q255" s="768">
        <f ca="1">IF(F255&lt;&gt;0,+F255/'DA-17'!D$81,0)</f>
        <v>0</v>
      </c>
      <c r="R255" s="768">
        <f ca="1">IF(G255&lt;&gt;0,+G255/'DA-17'!E$81,0)</f>
        <v>0</v>
      </c>
      <c r="S255" s="768">
        <f ca="1">IF(H255&lt;&gt;0,+H255/'DA-17'!F$81,0)</f>
        <v>0</v>
      </c>
      <c r="T255" s="768">
        <f ca="1">IF(I255&lt;&gt;0,+I255/'DA-17'!G$81,0)</f>
        <v>0</v>
      </c>
      <c r="U255" s="768">
        <f ca="1">IF(J255&lt;&gt;0,+J255/'DA-17'!H$81,0)</f>
        <v>0</v>
      </c>
      <c r="V255" s="768">
        <f ca="1">IF(K255&lt;&gt;0,+K255/'DA-17'!I$81,0)</f>
        <v>0</v>
      </c>
    </row>
    <row r="256" spans="1:22" s="790" customFormat="1">
      <c r="A256" s="5"/>
      <c r="B256" s="249"/>
      <c r="C256" s="425" t="str">
        <v>Total Output Growth</v>
      </c>
      <c r="D256" s="426" t="str">
        <v>Other</v>
      </c>
      <c r="E256" s="847">
        <f ca="1"/>
        <v>0</v>
      </c>
      <c r="F256" s="386">
        <f ca="1"/>
        <v>0</v>
      </c>
      <c r="G256" s="383">
        <f ca="1"/>
        <v>0</v>
      </c>
      <c r="H256" s="383">
        <f ca="1"/>
        <v>0</v>
      </c>
      <c r="I256" s="383">
        <f ca="1"/>
        <v>0</v>
      </c>
      <c r="J256" s="383">
        <f ca="1"/>
        <v>0</v>
      </c>
      <c r="K256" s="383">
        <f ca="1"/>
        <v>0</v>
      </c>
      <c r="P256" s="386"/>
      <c r="Q256" s="768">
        <f ca="1">IF(F256&lt;&gt;0,+F256/'DA-17'!D$82,0)</f>
        <v>0</v>
      </c>
      <c r="R256" s="768">
        <f ca="1">IF(G256&lt;&gt;0,+G256/'DA-17'!E$82,0)</f>
        <v>0</v>
      </c>
      <c r="S256" s="768">
        <f ca="1">IF(H256&lt;&gt;0,+H256/'DA-17'!F$82,0)</f>
        <v>0</v>
      </c>
      <c r="T256" s="768">
        <f ca="1">IF(I256&lt;&gt;0,+I256/'DA-17'!G$82,0)</f>
        <v>0</v>
      </c>
      <c r="U256" s="768">
        <f ca="1">IF(J256&lt;&gt;0,+J256/'DA-17'!H$82,0)</f>
        <v>0</v>
      </c>
      <c r="V256" s="768">
        <f ca="1">IF(K256&lt;&gt;0,+K256/'DA-17'!I$82,0)</f>
        <v>0</v>
      </c>
    </row>
    <row r="257" spans="1:22">
      <c r="A257" s="5"/>
      <c r="B257" s="249"/>
      <c r="C257" s="424" t="s">
        <v>73</v>
      </c>
      <c r="D257" s="417"/>
      <c r="E257" s="848"/>
      <c r="F257" s="387"/>
      <c r="G257" s="385"/>
      <c r="H257" s="385"/>
      <c r="I257" s="385"/>
      <c r="J257" s="385"/>
      <c r="K257" s="385"/>
      <c r="P257" s="387"/>
      <c r="Q257" s="385"/>
      <c r="R257" s="385"/>
      <c r="S257" s="385"/>
      <c r="T257" s="385"/>
      <c r="U257" s="385"/>
      <c r="V257" s="385"/>
    </row>
    <row r="258" spans="1:22" s="767" customFormat="1">
      <c r="A258" s="5"/>
      <c r="B258" s="249"/>
      <c r="C258" s="425" t="str">
        <f t="array" ref="C258:D263">+'DA-17'!$A$113:$B$119</f>
        <v>Labour</v>
      </c>
      <c r="D258" s="426" t="str">
        <v>Labour</v>
      </c>
      <c r="E258" s="847">
        <f t="array" ref="E258:K263" ca="1">+'DA-17'!$N$113:$T$119</f>
        <v>0</v>
      </c>
      <c r="F258" s="386">
        <f ca="1"/>
        <v>0</v>
      </c>
      <c r="G258" s="383">
        <f ca="1"/>
        <v>0</v>
      </c>
      <c r="H258" s="383">
        <f ca="1"/>
        <v>0</v>
      </c>
      <c r="I258" s="383">
        <f ca="1"/>
        <v>0</v>
      </c>
      <c r="J258" s="383">
        <f ca="1"/>
        <v>0</v>
      </c>
      <c r="K258" s="383">
        <f ca="1"/>
        <v>0</v>
      </c>
      <c r="P258" s="386"/>
      <c r="Q258" s="768">
        <f ca="1">IF(F258&lt;&gt;0,+F258/'DA-17'!D$113,0)</f>
        <v>0</v>
      </c>
      <c r="R258" s="768">
        <f ca="1">IF(G258&lt;&gt;0,+G258/'DA-17'!E$113,0)</f>
        <v>0</v>
      </c>
      <c r="S258" s="768">
        <f ca="1">IF(H258&lt;&gt;0,+H258/'DA-17'!F$113,0)</f>
        <v>0</v>
      </c>
      <c r="T258" s="768">
        <f ca="1">IF(I258&lt;&gt;0,+I258/'DA-17'!G$113,0)</f>
        <v>0</v>
      </c>
      <c r="U258" s="768">
        <f ca="1">IF(J258&lt;&gt;0,+J258/'DA-17'!H$113,0)</f>
        <v>0</v>
      </c>
      <c r="V258" s="768">
        <f ca="1">IF(K258&lt;&gt;0,+K258/'DA-17'!I$113,0)</f>
        <v>0</v>
      </c>
    </row>
    <row r="259" spans="1:22" s="767" customFormat="1">
      <c r="A259" s="5"/>
      <c r="B259" s="249"/>
      <c r="C259" s="425" t="str">
        <v>Materials</v>
      </c>
      <c r="D259" s="426" t="str">
        <v>Materials</v>
      </c>
      <c r="E259" s="847">
        <f ca="1"/>
        <v>0</v>
      </c>
      <c r="F259" s="386">
        <f ca="1"/>
        <v>0</v>
      </c>
      <c r="G259" s="383">
        <f ca="1"/>
        <v>0</v>
      </c>
      <c r="H259" s="383">
        <f ca="1"/>
        <v>0</v>
      </c>
      <c r="I259" s="383">
        <f ca="1"/>
        <v>0</v>
      </c>
      <c r="J259" s="383">
        <f ca="1"/>
        <v>0</v>
      </c>
      <c r="K259" s="383">
        <f ca="1"/>
        <v>0</v>
      </c>
      <c r="P259" s="386"/>
      <c r="Q259" s="768">
        <f ca="1">IF(F259&lt;&gt;0,+F259/'DA-17'!D$114,0)</f>
        <v>0</v>
      </c>
      <c r="R259" s="768">
        <f ca="1">IF(G259&lt;&gt;0,+G259/'DA-17'!E$114,0)</f>
        <v>0</v>
      </c>
      <c r="S259" s="768">
        <f ca="1">IF(H259&lt;&gt;0,+H259/'DA-17'!F$114,0)</f>
        <v>0</v>
      </c>
      <c r="T259" s="768">
        <f ca="1">IF(I259&lt;&gt;0,+I259/'DA-17'!G$114,0)</f>
        <v>0</v>
      </c>
      <c r="U259" s="768">
        <f ca="1">IF(J259&lt;&gt;0,+J259/'DA-17'!H$114,0)</f>
        <v>0</v>
      </c>
      <c r="V259" s="768">
        <f ca="1">IF(K259&lt;&gt;0,+K259/'DA-17'!I$114,0)</f>
        <v>0</v>
      </c>
    </row>
    <row r="260" spans="1:22" s="767" customFormat="1">
      <c r="A260" s="5"/>
      <c r="B260" s="249"/>
      <c r="C260" s="425" t="str">
        <v>Services-construction</v>
      </c>
      <c r="D260" s="426" t="str">
        <v>Contracts</v>
      </c>
      <c r="E260" s="847">
        <f ca="1"/>
        <v>0</v>
      </c>
      <c r="F260" s="386">
        <f ca="1"/>
        <v>0</v>
      </c>
      <c r="G260" s="383">
        <f ca="1"/>
        <v>0</v>
      </c>
      <c r="H260" s="383">
        <f ca="1"/>
        <v>0</v>
      </c>
      <c r="I260" s="383">
        <f ca="1"/>
        <v>0</v>
      </c>
      <c r="J260" s="383">
        <f ca="1"/>
        <v>0</v>
      </c>
      <c r="K260" s="383">
        <f ca="1"/>
        <v>0</v>
      </c>
      <c r="P260" s="386"/>
      <c r="Q260" s="768">
        <f ca="1">IF(F260&lt;&gt;0,+F260/'DA-17'!D$115,0)</f>
        <v>0</v>
      </c>
      <c r="R260" s="768">
        <f ca="1">IF(G260&lt;&gt;0,+G260/'DA-17'!E$115,0)</f>
        <v>0</v>
      </c>
      <c r="S260" s="768">
        <f ca="1">IF(H260&lt;&gt;0,+H260/'DA-17'!F$115,0)</f>
        <v>0</v>
      </c>
      <c r="T260" s="768">
        <f ca="1">IF(I260&lt;&gt;0,+I260/'DA-17'!G$115,0)</f>
        <v>0</v>
      </c>
      <c r="U260" s="768">
        <f ca="1">IF(J260&lt;&gt;0,+J260/'DA-17'!H$115,0)</f>
        <v>0</v>
      </c>
      <c r="V260" s="768">
        <f ca="1">IF(K260&lt;&gt;0,+K260/'DA-17'!I$115,0)</f>
        <v>0</v>
      </c>
    </row>
    <row r="261" spans="1:22" s="767" customFormat="1">
      <c r="A261" s="5"/>
      <c r="B261" s="249"/>
      <c r="C261" s="425" t="str">
        <v>Services-general</v>
      </c>
      <c r="D261" s="426" t="str">
        <v>Services Other</v>
      </c>
      <c r="E261" s="847">
        <f ca="1"/>
        <v>0</v>
      </c>
      <c r="F261" s="386">
        <f ca="1"/>
        <v>0</v>
      </c>
      <c r="G261" s="383">
        <f ca="1"/>
        <v>1.493176213360493E-2</v>
      </c>
      <c r="H261" s="383">
        <f ca="1"/>
        <v>3.0229416484416665E-2</v>
      </c>
      <c r="I261" s="383">
        <f ca="1"/>
        <v>5.8189028188090824E-2</v>
      </c>
      <c r="J261" s="383">
        <f ca="1"/>
        <v>9.1692179303170793E-2</v>
      </c>
      <c r="K261" s="383">
        <f ca="1"/>
        <v>0.13249751370599835</v>
      </c>
      <c r="P261" s="386"/>
      <c r="Q261" s="768">
        <f ca="1">IF(F261&lt;&gt;0,+F261/'DA-17'!D$116,0)</f>
        <v>0</v>
      </c>
      <c r="R261" s="768">
        <f ca="1">IF(G261&lt;&gt;0,+G261/'DA-17'!E$116,0)</f>
        <v>2.9863524267210497</v>
      </c>
      <c r="S261" s="768">
        <f ca="1">IF(H261&lt;&gt;0,+H261/'DA-17'!F$116,0)</f>
        <v>3.0154031405902728</v>
      </c>
      <c r="T261" s="768">
        <f ca="1">IF(I261&lt;&gt;0,+I261/'DA-17'!G$116,0)</f>
        <v>3.0441194486642091</v>
      </c>
      <c r="U261" s="768">
        <f ca="1">IF(J261&lt;&gt;0,+J261/'DA-17'!H$116,0)</f>
        <v>3.0752743365593722</v>
      </c>
      <c r="V261" s="768">
        <f ca="1">IF(K261&lt;&gt;0,+K261/'DA-17'!I$116,0)</f>
        <v>3.1038124470355206</v>
      </c>
    </row>
    <row r="262" spans="1:22" s="767" customFormat="1">
      <c r="A262" s="5"/>
      <c r="B262" s="249"/>
      <c r="C262" s="425" t="str">
        <v>Labour</v>
      </c>
      <c r="D262" s="426" t="str">
        <v>Business Overheads</v>
      </c>
      <c r="E262" s="847">
        <f ca="1"/>
        <v>0</v>
      </c>
      <c r="F262" s="386">
        <f ca="1"/>
        <v>0</v>
      </c>
      <c r="G262" s="383">
        <f ca="1"/>
        <v>0</v>
      </c>
      <c r="H262" s="383">
        <f ca="1"/>
        <v>0</v>
      </c>
      <c r="I262" s="383">
        <f ca="1"/>
        <v>0</v>
      </c>
      <c r="J262" s="383">
        <f ca="1"/>
        <v>0</v>
      </c>
      <c r="K262" s="383">
        <f ca="1"/>
        <v>0</v>
      </c>
      <c r="P262" s="386"/>
      <c r="Q262" s="768">
        <f ca="1">IF(F262&lt;&gt;0,+F262/'DA-17'!D$117,0)</f>
        <v>0</v>
      </c>
      <c r="R262" s="768">
        <f ca="1">IF(G262&lt;&gt;0,+G262/'DA-17'!E$117,0)</f>
        <v>0</v>
      </c>
      <c r="S262" s="768">
        <f ca="1">IF(H262&lt;&gt;0,+H262/'DA-17'!F$117,0)</f>
        <v>0</v>
      </c>
      <c r="T262" s="768">
        <f ca="1">IF(I262&lt;&gt;0,+I262/'DA-17'!G$117,0)</f>
        <v>0</v>
      </c>
      <c r="U262" s="768">
        <f ca="1">IF(J262&lt;&gt;0,+J262/'DA-17'!H$117,0)</f>
        <v>0</v>
      </c>
      <c r="V262" s="768">
        <f ca="1">IF(K262&lt;&gt;0,+K262/'DA-17'!I$117,0)</f>
        <v>0</v>
      </c>
    </row>
    <row r="263" spans="1:22" s="767" customFormat="1">
      <c r="A263" s="5"/>
      <c r="B263" s="249"/>
      <c r="C263" s="425" t="str">
        <v>Materials - Land</v>
      </c>
      <c r="D263" s="426" t="str">
        <v>Other</v>
      </c>
      <c r="E263" s="847">
        <f ca="1"/>
        <v>0</v>
      </c>
      <c r="F263" s="386">
        <f ca="1"/>
        <v>0</v>
      </c>
      <c r="G263" s="383">
        <f ca="1"/>
        <v>0</v>
      </c>
      <c r="H263" s="383">
        <f ca="1"/>
        <v>0</v>
      </c>
      <c r="I263" s="383">
        <f ca="1"/>
        <v>0</v>
      </c>
      <c r="J263" s="383">
        <f ca="1"/>
        <v>0</v>
      </c>
      <c r="K263" s="383">
        <f ca="1"/>
        <v>0</v>
      </c>
      <c r="P263" s="386"/>
      <c r="Q263" s="768">
        <f ca="1">IF(F263&lt;&gt;0,+F263/'DA-17'!D$118,0)</f>
        <v>0</v>
      </c>
      <c r="R263" s="768">
        <f ca="1">IF(G263&lt;&gt;0,+G263/'DA-17'!E$118,0)</f>
        <v>0</v>
      </c>
      <c r="S263" s="768">
        <f ca="1">IF(H263&lt;&gt;0,+H263/'DA-17'!F$118,0)</f>
        <v>0</v>
      </c>
      <c r="T263" s="768">
        <f ca="1">IF(I263&lt;&gt;0,+I263/'DA-17'!G$118,0)</f>
        <v>0</v>
      </c>
      <c r="U263" s="768">
        <f ca="1">IF(J263&lt;&gt;0,+J263/'DA-17'!H$118,0)</f>
        <v>0</v>
      </c>
      <c r="V263" s="768">
        <f ca="1">IF(K263&lt;&gt;0,+K263/'DA-17'!I$118,0)</f>
        <v>0</v>
      </c>
    </row>
    <row r="264" spans="1:22">
      <c r="A264" s="5"/>
      <c r="B264" s="249" t="str">
        <f ca="1">+'I-4 History'!B160</f>
        <v>DA-18</v>
      </c>
      <c r="C264" s="14" t="str">
        <f ca="1">+'I-4 History'!C160</f>
        <v>Demand Management</v>
      </c>
      <c r="D264" s="418"/>
      <c r="E264" s="507"/>
      <c r="F264" s="11"/>
      <c r="G264" s="11"/>
      <c r="H264" s="11"/>
      <c r="I264" s="11"/>
      <c r="J264" s="11"/>
      <c r="K264" s="11"/>
      <c r="P264" s="11"/>
      <c r="Q264" s="11"/>
      <c r="R264" s="11"/>
      <c r="S264" s="11"/>
      <c r="T264" s="11"/>
      <c r="U264" s="11"/>
      <c r="V264" s="11"/>
    </row>
    <row r="265" spans="1:22">
      <c r="A265" s="5"/>
      <c r="B265" s="249"/>
      <c r="C265" s="424" t="s">
        <v>74</v>
      </c>
      <c r="D265" s="416"/>
      <c r="E265" s="507"/>
      <c r="F265" s="11"/>
      <c r="G265" s="11"/>
      <c r="H265" s="11"/>
      <c r="I265" s="11"/>
      <c r="J265" s="11"/>
      <c r="K265" s="11"/>
      <c r="P265" s="11"/>
      <c r="Q265" s="11"/>
      <c r="R265" s="11"/>
      <c r="S265" s="11"/>
      <c r="T265" s="11"/>
      <c r="U265" s="11"/>
      <c r="V265" s="11"/>
    </row>
    <row r="266" spans="1:22">
      <c r="A266" s="5"/>
      <c r="B266" s="249"/>
      <c r="C266" s="425" t="str">
        <f t="array" ref="C266:D271">+'DA-18'!$A$77:$B$82</f>
        <v>Total Output Growth</v>
      </c>
      <c r="D266" s="426" t="str">
        <v>Labour</v>
      </c>
      <c r="E266" s="847">
        <f t="array" ref="E266:K271" ca="1">+'DA-18'!$N$77:$T$82</f>
        <v>0</v>
      </c>
      <c r="F266" s="386">
        <f ca="1"/>
        <v>0</v>
      </c>
      <c r="G266" s="383">
        <f ca="1"/>
        <v>7.5330703796769359E-3</v>
      </c>
      <c r="H266" s="383">
        <f ca="1"/>
        <v>1.4513106537764341E-2</v>
      </c>
      <c r="I266" s="383">
        <f ca="1"/>
        <v>2.1412794772111127E-2</v>
      </c>
      <c r="J266" s="383">
        <f ca="1"/>
        <v>2.8898402354366942E-2</v>
      </c>
      <c r="K266" s="383">
        <f ca="1"/>
        <v>3.5755274922240128E-2</v>
      </c>
      <c r="L266" s="790"/>
      <c r="M266" s="790"/>
      <c r="N266" s="790"/>
      <c r="O266" s="790"/>
      <c r="P266" s="386"/>
      <c r="Q266" s="768">
        <f ca="1">IF(F266&lt;&gt;0,+F266/'DA-18'!D$77,0)</f>
        <v>0</v>
      </c>
      <c r="R266" s="768">
        <f ca="1">IF(G266&lt;&gt;0,+G266/'DA-18'!E$77,0)</f>
        <v>0.71</v>
      </c>
      <c r="S266" s="768">
        <f ca="1">IF(H266&lt;&gt;0,+H266/'DA-18'!F$77,0)</f>
        <v>0.71</v>
      </c>
      <c r="T266" s="768">
        <f ca="1">IF(I266&lt;&gt;0,+I266/'DA-18'!G$77,0)</f>
        <v>0.71</v>
      </c>
      <c r="U266" s="768">
        <f ca="1">IF(J266&lt;&gt;0,+J266/'DA-18'!H$77,0)</f>
        <v>0.71</v>
      </c>
      <c r="V266" s="768">
        <f ca="1">IF(K266&lt;&gt;0,+K266/'DA-18'!I$77,0)</f>
        <v>0.71</v>
      </c>
    </row>
    <row r="267" spans="1:22">
      <c r="A267" s="5"/>
      <c r="B267" s="249"/>
      <c r="C267" s="425" t="str">
        <v>Total Output Growth</v>
      </c>
      <c r="D267" s="426" t="str">
        <v>Materials</v>
      </c>
      <c r="E267" s="847">
        <f ca="1"/>
        <v>0</v>
      </c>
      <c r="F267" s="386">
        <f ca="1"/>
        <v>0</v>
      </c>
      <c r="G267" s="383">
        <f ca="1"/>
        <v>2.2174812807781402E-3</v>
      </c>
      <c r="H267" s="383">
        <f ca="1"/>
        <v>4.2721679808348555E-3</v>
      </c>
      <c r="I267" s="383">
        <f ca="1"/>
        <v>6.303202968128487E-3</v>
      </c>
      <c r="J267" s="383">
        <f ca="1"/>
        <v>8.5067128057220998E-3</v>
      </c>
      <c r="K267" s="383">
        <f ca="1"/>
        <v>1.0525144308096037E-2</v>
      </c>
      <c r="L267" s="790"/>
      <c r="M267" s="790"/>
      <c r="N267" s="790"/>
      <c r="O267" s="790"/>
      <c r="P267" s="386"/>
      <c r="Q267" s="768">
        <f ca="1">IF(F267&lt;&gt;0,+F267/'DA-18'!D$78,0)</f>
        <v>0</v>
      </c>
      <c r="R267" s="768">
        <f ca="1">IF(G267&lt;&gt;0,+G267/'DA-18'!E$78,0)</f>
        <v>0.20899999999999999</v>
      </c>
      <c r="S267" s="768">
        <f ca="1">IF(H267&lt;&gt;0,+H267/'DA-18'!F$78,0)</f>
        <v>0.20899999999999999</v>
      </c>
      <c r="T267" s="768">
        <f ca="1">IF(I267&lt;&gt;0,+I267/'DA-18'!G$78,0)</f>
        <v>0.20899999999999999</v>
      </c>
      <c r="U267" s="768">
        <f ca="1">IF(J267&lt;&gt;0,+J267/'DA-18'!H$78,0)</f>
        <v>0.20899999999999999</v>
      </c>
      <c r="V267" s="768">
        <f ca="1">IF(K267&lt;&gt;0,+K267/'DA-18'!I$78,0)</f>
        <v>0.20899999999999999</v>
      </c>
    </row>
    <row r="268" spans="1:22">
      <c r="A268" s="5"/>
      <c r="B268" s="249"/>
      <c r="C268" s="425" t="str">
        <v>Total Output Growth</v>
      </c>
      <c r="D268" s="426" t="str">
        <v>Contracts</v>
      </c>
      <c r="E268" s="847">
        <f ca="1"/>
        <v>0</v>
      </c>
      <c r="F268" s="386">
        <f ca="1"/>
        <v>0</v>
      </c>
      <c r="G268" s="383">
        <f ca="1"/>
        <v>7.9574687109263407E-4</v>
      </c>
      <c r="H268" s="383">
        <f ca="1"/>
        <v>1.5330746342708812E-3</v>
      </c>
      <c r="I268" s="383">
        <f ca="1"/>
        <v>2.2619149407159642E-3</v>
      </c>
      <c r="J268" s="383">
        <f ca="1"/>
        <v>3.052648136024677E-3</v>
      </c>
      <c r="K268" s="383">
        <f ca="1"/>
        <v>3.7769656608000134E-3</v>
      </c>
      <c r="L268" s="790"/>
      <c r="M268" s="790"/>
      <c r="N268" s="790"/>
      <c r="O268" s="790"/>
      <c r="P268" s="386"/>
      <c r="Q268" s="768">
        <f ca="1">IF(F268&lt;&gt;0,+F268/'DA-18'!D$79,0)</f>
        <v>0</v>
      </c>
      <c r="R268" s="768">
        <f ca="1">IF(G268&lt;&gt;0,+G268/'DA-18'!E$79,0)</f>
        <v>7.4999999999999997E-2</v>
      </c>
      <c r="S268" s="768">
        <f ca="1">IF(H268&lt;&gt;0,+H268/'DA-18'!F$79,0)</f>
        <v>7.4999999999999997E-2</v>
      </c>
      <c r="T268" s="768">
        <f ca="1">IF(I268&lt;&gt;0,+I268/'DA-18'!G$79,0)</f>
        <v>7.4999999999999997E-2</v>
      </c>
      <c r="U268" s="768">
        <f ca="1">IF(J268&lt;&gt;0,+J268/'DA-18'!H$79,0)</f>
        <v>7.4999999999999997E-2</v>
      </c>
      <c r="V268" s="768">
        <f ca="1">IF(K268&lt;&gt;0,+K268/'DA-18'!I$79,0)</f>
        <v>7.4999999999999997E-2</v>
      </c>
    </row>
    <row r="269" spans="1:22" s="790" customFormat="1">
      <c r="A269" s="5"/>
      <c r="B269" s="249"/>
      <c r="C269" s="425" t="str">
        <v>Total Output Growth</v>
      </c>
      <c r="D269" s="426" t="str">
        <v>Services Other</v>
      </c>
      <c r="E269" s="847">
        <f ca="1"/>
        <v>0</v>
      </c>
      <c r="F269" s="386">
        <f ca="1"/>
        <v>0</v>
      </c>
      <c r="G269" s="383">
        <f ca="1"/>
        <v>3.4376264831201793E-3</v>
      </c>
      <c r="H269" s="383">
        <f ca="1"/>
        <v>6.6228824200502074E-3</v>
      </c>
      <c r="I269" s="383">
        <f ca="1"/>
        <v>9.7714725438929669E-3</v>
      </c>
      <c r="J269" s="383">
        <f ca="1"/>
        <v>1.3187439947626606E-2</v>
      </c>
      <c r="K269" s="383">
        <f ca="1"/>
        <v>1.6316491654656057E-2</v>
      </c>
      <c r="P269" s="386"/>
      <c r="Q269" s="768">
        <f ca="1">IF(F269&lt;&gt;0,+F269/'DA-18'!D$80,0)</f>
        <v>0</v>
      </c>
      <c r="R269" s="768">
        <f ca="1">IF(G269&lt;&gt;0,+G269/'DA-18'!E$80,0)</f>
        <v>0.32400000000000001</v>
      </c>
      <c r="S269" s="768">
        <f ca="1">IF(H269&lt;&gt;0,+H269/'DA-18'!F$80,0)</f>
        <v>0.32400000000000001</v>
      </c>
      <c r="T269" s="768">
        <f ca="1">IF(I269&lt;&gt;0,+I269/'DA-18'!G$80,0)</f>
        <v>0.32400000000000001</v>
      </c>
      <c r="U269" s="768">
        <f ca="1">IF(J269&lt;&gt;0,+J269/'DA-18'!H$80,0)</f>
        <v>0.32400000000000001</v>
      </c>
      <c r="V269" s="768">
        <f ca="1">IF(K269&lt;&gt;0,+K269/'DA-18'!I$80,0)</f>
        <v>0.32400000000000001</v>
      </c>
    </row>
    <row r="270" spans="1:22" s="790" customFormat="1">
      <c r="A270" s="5"/>
      <c r="B270" s="249"/>
      <c r="C270" s="425" t="str">
        <v>Total Output Growth</v>
      </c>
      <c r="D270" s="426" t="str">
        <v>Business Overheads</v>
      </c>
      <c r="E270" s="847">
        <f ca="1"/>
        <v>0</v>
      </c>
      <c r="F270" s="386">
        <f ca="1"/>
        <v>0</v>
      </c>
      <c r="G270" s="383">
        <f ca="1"/>
        <v>-1.2944149103106847E-3</v>
      </c>
      <c r="H270" s="383">
        <f ca="1"/>
        <v>-2.4938014050806335E-3</v>
      </c>
      <c r="I270" s="383">
        <f ca="1"/>
        <v>-3.6793816368979686E-3</v>
      </c>
      <c r="J270" s="383">
        <f ca="1"/>
        <v>-4.965640967933475E-3</v>
      </c>
      <c r="K270" s="383">
        <f ca="1"/>
        <v>-6.1438641415680218E-3</v>
      </c>
      <c r="P270" s="386"/>
      <c r="Q270" s="768">
        <f ca="1">IF(F270&lt;&gt;0,+F270/'DA-18'!D$81,0)</f>
        <v>0</v>
      </c>
      <c r="R270" s="768">
        <f ca="1">IF(G270&lt;&gt;0,+G270/'DA-18'!E$81,0)</f>
        <v>-0.122</v>
      </c>
      <c r="S270" s="768">
        <f ca="1">IF(H270&lt;&gt;0,+H270/'DA-18'!F$81,0)</f>
        <v>-0.122</v>
      </c>
      <c r="T270" s="768">
        <f ca="1">IF(I270&lt;&gt;0,+I270/'DA-18'!G$81,0)</f>
        <v>-0.122</v>
      </c>
      <c r="U270" s="768">
        <f ca="1">IF(J270&lt;&gt;0,+J270/'DA-18'!H$81,0)</f>
        <v>-0.12200000000000001</v>
      </c>
      <c r="V270" s="768">
        <f ca="1">IF(K270&lt;&gt;0,+K270/'DA-18'!I$81,0)</f>
        <v>-0.122</v>
      </c>
    </row>
    <row r="271" spans="1:22" s="790" customFormat="1">
      <c r="A271" s="5"/>
      <c r="B271" s="249"/>
      <c r="C271" s="425" t="str">
        <v>Total Output Growth</v>
      </c>
      <c r="D271" s="426" t="str">
        <v>Other</v>
      </c>
      <c r="E271" s="847">
        <f ca="1"/>
        <v>0</v>
      </c>
      <c r="F271" s="386">
        <f ca="1"/>
        <v>0</v>
      </c>
      <c r="G271" s="383">
        <f ca="1"/>
        <v>0</v>
      </c>
      <c r="H271" s="383">
        <f ca="1"/>
        <v>0</v>
      </c>
      <c r="I271" s="383">
        <f ca="1"/>
        <v>0</v>
      </c>
      <c r="J271" s="383">
        <f ca="1"/>
        <v>0</v>
      </c>
      <c r="K271" s="383">
        <f ca="1"/>
        <v>0</v>
      </c>
      <c r="P271" s="386"/>
      <c r="Q271" s="768">
        <f ca="1">IF(F271&lt;&gt;0,+F271/'DA-18'!D$82,0)</f>
        <v>0</v>
      </c>
      <c r="R271" s="768">
        <f ca="1">IF(G271&lt;&gt;0,+G271/'DA-18'!E$82,0)</f>
        <v>0</v>
      </c>
      <c r="S271" s="768">
        <f ca="1">IF(H271&lt;&gt;0,+H271/'DA-18'!F$82,0)</f>
        <v>0</v>
      </c>
      <c r="T271" s="768">
        <f ca="1">IF(I271&lt;&gt;0,+I271/'DA-18'!G$82,0)</f>
        <v>0</v>
      </c>
      <c r="U271" s="768">
        <f ca="1">IF(J271&lt;&gt;0,+J271/'DA-18'!H$82,0)</f>
        <v>0</v>
      </c>
      <c r="V271" s="768">
        <f ca="1">IF(K271&lt;&gt;0,+K271/'DA-18'!I$82,0)</f>
        <v>0</v>
      </c>
    </row>
    <row r="272" spans="1:22">
      <c r="A272" s="5"/>
      <c r="B272" s="249"/>
      <c r="C272" s="424" t="s">
        <v>73</v>
      </c>
      <c r="D272" s="417"/>
      <c r="E272" s="848"/>
      <c r="F272" s="387"/>
      <c r="G272" s="385"/>
      <c r="H272" s="385"/>
      <c r="I272" s="385"/>
      <c r="J272" s="385"/>
      <c r="K272" s="385"/>
      <c r="P272" s="387"/>
      <c r="Q272" s="385"/>
      <c r="R272" s="385"/>
      <c r="S272" s="385"/>
      <c r="T272" s="385"/>
      <c r="U272" s="385"/>
      <c r="V272" s="385"/>
    </row>
    <row r="273" spans="1:22" s="767" customFormat="1">
      <c r="A273" s="5"/>
      <c r="B273" s="249"/>
      <c r="C273" s="425" t="str">
        <f t="array" ref="C273:D278">+'DA-18'!$A$113:$B$119</f>
        <v>Labour</v>
      </c>
      <c r="D273" s="426" t="str">
        <v>Labour</v>
      </c>
      <c r="E273" s="847">
        <f t="array" ref="E273:K278" ca="1">+'DA-18'!$N$113:$T$119</f>
        <v>0</v>
      </c>
      <c r="F273" s="386">
        <f ca="1"/>
        <v>0</v>
      </c>
      <c r="G273" s="383">
        <f ca="1"/>
        <v>1.5396800158058905E-2</v>
      </c>
      <c r="H273" s="383">
        <f ca="1"/>
        <v>3.1426753002538811E-2</v>
      </c>
      <c r="I273" s="383">
        <f ca="1"/>
        <v>4.8998726070517168E-2</v>
      </c>
      <c r="J273" s="383">
        <f ca="1"/>
        <v>6.734461391101966E-2</v>
      </c>
      <c r="K273" s="383">
        <f ca="1"/>
        <v>8.6387202744907368E-2</v>
      </c>
      <c r="P273" s="386"/>
      <c r="Q273" s="768">
        <f ca="1">IF(F273&lt;&gt;0,+F273/'DA-18'!D$113,0)</f>
        <v>0</v>
      </c>
      <c r="R273" s="768">
        <f ca="1">IF(G273&lt;&gt;0,+G273/'DA-18'!E$113,0)</f>
        <v>0.71753307037967695</v>
      </c>
      <c r="S273" s="768">
        <f ca="1">IF(H273&lt;&gt;0,+H273/'DA-18'!F$113,0)</f>
        <v>0.72451310653776435</v>
      </c>
      <c r="T273" s="768">
        <f ca="1">IF(I273&lt;&gt;0,+I273/'DA-18'!G$113,0)</f>
        <v>0.73141279477211107</v>
      </c>
      <c r="U273" s="768">
        <f ca="1">IF(J273&lt;&gt;0,+J273/'DA-18'!H$113,0)</f>
        <v>0.73889840235436677</v>
      </c>
      <c r="V273" s="768">
        <f ca="1">IF(K273&lt;&gt;0,+K273/'DA-18'!I$113,0)</f>
        <v>0.74575527492224014</v>
      </c>
    </row>
    <row r="274" spans="1:22" s="767" customFormat="1">
      <c r="A274" s="5"/>
      <c r="B274" s="249"/>
      <c r="C274" s="425" t="str">
        <v>Materials</v>
      </c>
      <c r="D274" s="426" t="str">
        <v>Materials</v>
      </c>
      <c r="E274" s="847">
        <f ca="1"/>
        <v>0</v>
      </c>
      <c r="F274" s="386">
        <f ca="1"/>
        <v>0</v>
      </c>
      <c r="G274" s="383">
        <f ca="1"/>
        <v>0</v>
      </c>
      <c r="H274" s="383">
        <f ca="1"/>
        <v>0</v>
      </c>
      <c r="I274" s="383">
        <f ca="1"/>
        <v>0</v>
      </c>
      <c r="J274" s="383">
        <f ca="1"/>
        <v>0</v>
      </c>
      <c r="K274" s="383">
        <f ca="1"/>
        <v>0</v>
      </c>
      <c r="P274" s="386"/>
      <c r="Q274" s="768">
        <f ca="1">IF(F274&lt;&gt;0,+F274/'DA-18'!D$114,0)</f>
        <v>0</v>
      </c>
      <c r="R274" s="768">
        <f ca="1">IF(G274&lt;&gt;0,+G274/'DA-18'!E$114,0)</f>
        <v>0</v>
      </c>
      <c r="S274" s="768">
        <f ca="1">IF(H274&lt;&gt;0,+H274/'DA-18'!F$114,0)</f>
        <v>0</v>
      </c>
      <c r="T274" s="768">
        <f ca="1">IF(I274&lt;&gt;0,+I274/'DA-18'!G$114,0)</f>
        <v>0</v>
      </c>
      <c r="U274" s="768">
        <f ca="1">IF(J274&lt;&gt;0,+J274/'DA-18'!H$114,0)</f>
        <v>0</v>
      </c>
      <c r="V274" s="768">
        <f ca="1">IF(K274&lt;&gt;0,+K274/'DA-18'!I$114,0)</f>
        <v>0</v>
      </c>
    </row>
    <row r="275" spans="1:22" s="767" customFormat="1">
      <c r="A275" s="5"/>
      <c r="B275" s="249"/>
      <c r="C275" s="425" t="str">
        <v>Services-construction</v>
      </c>
      <c r="D275" s="426" t="str">
        <v>Contracts</v>
      </c>
      <c r="E275" s="847">
        <f ca="1"/>
        <v>0</v>
      </c>
      <c r="F275" s="386">
        <f ca="1"/>
        <v>0</v>
      </c>
      <c r="G275" s="383">
        <f ca="1"/>
        <v>3.7897873435545506E-4</v>
      </c>
      <c r="H275" s="383">
        <f ca="1"/>
        <v>7.6724407320854474E-4</v>
      </c>
      <c r="I275" s="383">
        <f ca="1"/>
        <v>1.4768788880226097E-3</v>
      </c>
      <c r="J275" s="383">
        <f ca="1"/>
        <v>2.3272126726693095E-3</v>
      </c>
      <c r="K275" s="383">
        <f ca="1"/>
        <v>3.3628810585278773E-3</v>
      </c>
      <c r="P275" s="386"/>
      <c r="Q275" s="768">
        <f ca="1">IF(F275&lt;&gt;0,+F275/'DA-18'!D$115,0)</f>
        <v>0</v>
      </c>
      <c r="R275" s="768">
        <f ca="1">IF(G275&lt;&gt;0,+G275/'DA-18'!E$115,0)</f>
        <v>7.5795746871092626E-2</v>
      </c>
      <c r="S275" s="768">
        <f ca="1">IF(H275&lt;&gt;0,+H275/'DA-18'!F$115,0)</f>
        <v>7.6533074634270878E-2</v>
      </c>
      <c r="T275" s="768">
        <f ca="1">IF(I275&lt;&gt;0,+I275/'DA-18'!G$115,0)</f>
        <v>7.7261914940715964E-2</v>
      </c>
      <c r="U275" s="768">
        <f ca="1">IF(J275&lt;&gt;0,+J275/'DA-18'!H$115,0)</f>
        <v>7.805264813602468E-2</v>
      </c>
      <c r="V275" s="768">
        <f ca="1">IF(K275&lt;&gt;0,+K275/'DA-18'!I$115,0)</f>
        <v>7.8776965660800016E-2</v>
      </c>
    </row>
    <row r="276" spans="1:22" s="767" customFormat="1">
      <c r="A276" s="5"/>
      <c r="B276" s="249"/>
      <c r="C276" s="425" t="str">
        <v>Services-general</v>
      </c>
      <c r="D276" s="426" t="str">
        <v>Services Other</v>
      </c>
      <c r="E276" s="847">
        <f ca="1"/>
        <v>0</v>
      </c>
      <c r="F276" s="386">
        <f ca="1"/>
        <v>0</v>
      </c>
      <c r="G276" s="383">
        <f ca="1"/>
        <v>1.6371881324155661E-3</v>
      </c>
      <c r="H276" s="383">
        <f ca="1"/>
        <v>3.3144943962609137E-3</v>
      </c>
      <c r="I276" s="383">
        <f ca="1"/>
        <v>6.3801167962576752E-3</v>
      </c>
      <c r="J276" s="383">
        <f ca="1"/>
        <v>1.0053558745931418E-2</v>
      </c>
      <c r="K276" s="383">
        <f ca="1"/>
        <v>1.4527646172840428E-2</v>
      </c>
      <c r="P276" s="386"/>
      <c r="Q276" s="768">
        <f ca="1">IF(F276&lt;&gt;0,+F276/'DA-18'!D$116,0)</f>
        <v>0</v>
      </c>
      <c r="R276" s="768">
        <f ca="1">IF(G276&lt;&gt;0,+G276/'DA-18'!E$116,0)</f>
        <v>0.32743762648312019</v>
      </c>
      <c r="S276" s="768">
        <f ca="1">IF(H276&lt;&gt;0,+H276/'DA-18'!F$116,0)</f>
        <v>0.33062288242005022</v>
      </c>
      <c r="T276" s="768">
        <f ca="1">IF(I276&lt;&gt;0,+I276/'DA-18'!G$116,0)</f>
        <v>0.333771472543893</v>
      </c>
      <c r="U276" s="768">
        <f ca="1">IF(J276&lt;&gt;0,+J276/'DA-18'!H$116,0)</f>
        <v>0.33718743994762662</v>
      </c>
      <c r="V276" s="768">
        <f ca="1">IF(K276&lt;&gt;0,+K276/'DA-18'!I$116,0)</f>
        <v>0.34031649165465605</v>
      </c>
    </row>
    <row r="277" spans="1:22" s="767" customFormat="1">
      <c r="A277" s="5"/>
      <c r="B277" s="249"/>
      <c r="C277" s="425" t="str">
        <v>Labour</v>
      </c>
      <c r="D277" s="426" t="str">
        <v>Business Overheads</v>
      </c>
      <c r="E277" s="847">
        <f ca="1"/>
        <v>0</v>
      </c>
      <c r="F277" s="386">
        <f ca="1"/>
        <v>0</v>
      </c>
      <c r="G277" s="383">
        <f ca="1"/>
        <v>-2.645647351103079E-3</v>
      </c>
      <c r="H277" s="383">
        <f ca="1"/>
        <v>-5.4000899525489228E-3</v>
      </c>
      <c r="I277" s="383">
        <f ca="1"/>
        <v>-8.4194994093001324E-3</v>
      </c>
      <c r="J277" s="383">
        <f ca="1"/>
        <v>-1.1571891404428733E-2</v>
      </c>
      <c r="K277" s="383">
        <f ca="1"/>
        <v>-1.4843998218139013E-2</v>
      </c>
      <c r="P277" s="386"/>
      <c r="Q277" s="768">
        <f ca="1">IF(F277&lt;&gt;0,+F277/'DA-18'!D$117,0)</f>
        <v>0</v>
      </c>
      <c r="R277" s="768">
        <f ca="1">IF(G277&lt;&gt;0,+G277/'DA-18'!E$117,0)</f>
        <v>-0.12329441491031068</v>
      </c>
      <c r="S277" s="768">
        <f ca="1">IF(H277&lt;&gt;0,+H277/'DA-18'!F$117,0)</f>
        <v>-0.12449380140508064</v>
      </c>
      <c r="T277" s="768">
        <f ca="1">IF(I277&lt;&gt;0,+I277/'DA-18'!G$117,0)</f>
        <v>-0.12567938163689796</v>
      </c>
      <c r="U277" s="768">
        <f ca="1">IF(J277&lt;&gt;0,+J277/'DA-18'!H$117,0)</f>
        <v>-0.12696564096793347</v>
      </c>
      <c r="V277" s="768">
        <f ca="1">IF(K277&lt;&gt;0,+K277/'DA-18'!I$117,0)</f>
        <v>-0.12814386414156803</v>
      </c>
    </row>
    <row r="278" spans="1:22" s="767" customFormat="1">
      <c r="A278" s="5"/>
      <c r="B278" s="249"/>
      <c r="C278" s="425" t="str">
        <v>Materials - Land</v>
      </c>
      <c r="D278" s="426" t="str">
        <v>Other</v>
      </c>
      <c r="E278" s="847">
        <f ca="1"/>
        <v>0</v>
      </c>
      <c r="F278" s="386">
        <f ca="1"/>
        <v>0</v>
      </c>
      <c r="G278" s="383">
        <f ca="1"/>
        <v>0</v>
      </c>
      <c r="H278" s="383">
        <f ca="1"/>
        <v>0</v>
      </c>
      <c r="I278" s="383">
        <f ca="1"/>
        <v>0</v>
      </c>
      <c r="J278" s="383">
        <f ca="1"/>
        <v>0</v>
      </c>
      <c r="K278" s="383">
        <f ca="1"/>
        <v>0</v>
      </c>
      <c r="P278" s="386"/>
      <c r="Q278" s="768">
        <f ca="1">IF(F278&lt;&gt;0,+F278/'DA-18'!D$118,0)</f>
        <v>0</v>
      </c>
      <c r="R278" s="768">
        <f ca="1">IF(G278&lt;&gt;0,+G278/'DA-18'!E$118,0)</f>
        <v>0</v>
      </c>
      <c r="S278" s="768">
        <f ca="1">IF(H278&lt;&gt;0,+H278/'DA-18'!F$118,0)</f>
        <v>0</v>
      </c>
      <c r="T278" s="768">
        <f ca="1">IF(I278&lt;&gt;0,+I278/'DA-18'!G$118,0)</f>
        <v>0</v>
      </c>
      <c r="U278" s="768">
        <f ca="1">IF(J278&lt;&gt;0,+J278/'DA-18'!H$118,0)</f>
        <v>0</v>
      </c>
      <c r="V278" s="768">
        <f ca="1">IF(K278&lt;&gt;0,+K278/'DA-18'!I$118,0)</f>
        <v>0</v>
      </c>
    </row>
    <row r="279" spans="1:22">
      <c r="A279" s="5"/>
      <c r="B279" s="249" t="str">
        <f ca="1">+'I-4 History'!B169</f>
        <v>DA-19</v>
      </c>
      <c r="C279" s="14" t="str">
        <f ca="1">+'I-4 History'!C169</f>
        <v>Demand Management Innovation Fund</v>
      </c>
      <c r="D279" s="418"/>
      <c r="E279" s="507"/>
      <c r="F279" s="11"/>
      <c r="G279" s="11"/>
      <c r="H279" s="11"/>
      <c r="I279" s="11"/>
      <c r="J279" s="11"/>
      <c r="K279" s="11"/>
      <c r="P279" s="11"/>
      <c r="Q279" s="11"/>
      <c r="R279" s="11"/>
      <c r="S279" s="11"/>
      <c r="T279" s="11"/>
      <c r="U279" s="11"/>
      <c r="V279" s="11"/>
    </row>
    <row r="280" spans="1:22">
      <c r="A280" s="5"/>
      <c r="B280" s="249"/>
      <c r="C280" s="424" t="s">
        <v>74</v>
      </c>
      <c r="D280" s="416"/>
      <c r="E280" s="507"/>
      <c r="F280" s="11"/>
      <c r="G280" s="11"/>
      <c r="H280" s="11"/>
      <c r="I280" s="11"/>
      <c r="J280" s="11"/>
      <c r="K280" s="11"/>
      <c r="P280" s="11"/>
      <c r="Q280" s="11"/>
      <c r="R280" s="11"/>
      <c r="S280" s="11"/>
      <c r="T280" s="11"/>
      <c r="U280" s="11"/>
      <c r="V280" s="11"/>
    </row>
    <row r="281" spans="1:22">
      <c r="A281" s="5"/>
      <c r="B281" s="249"/>
      <c r="C281" s="425" t="str">
        <f t="array" ref="C281:D286">+'DA-19'!$A$77:$B$82</f>
        <v>Nil</v>
      </c>
      <c r="D281" s="426" t="str">
        <v>Labour</v>
      </c>
      <c r="E281" s="847">
        <f t="array" ref="E281:K286" ca="1">+'DA-19'!$N$77:$T$82</f>
        <v>0</v>
      </c>
      <c r="F281" s="386">
        <f ca="1"/>
        <v>0</v>
      </c>
      <c r="G281" s="383">
        <f ca="1"/>
        <v>0</v>
      </c>
      <c r="H281" s="383">
        <f ca="1"/>
        <v>0</v>
      </c>
      <c r="I281" s="383">
        <f ca="1"/>
        <v>0</v>
      </c>
      <c r="J281" s="383">
        <f ca="1"/>
        <v>0</v>
      </c>
      <c r="K281" s="383">
        <f ca="1"/>
        <v>0</v>
      </c>
      <c r="L281" s="790"/>
      <c r="M281" s="790"/>
      <c r="N281" s="790"/>
      <c r="O281" s="790"/>
      <c r="P281" s="386"/>
      <c r="Q281" s="768">
        <f ca="1">IF(F281&lt;&gt;0,+F281/'DA-19'!D$77,0)</f>
        <v>0</v>
      </c>
      <c r="R281" s="768">
        <f ca="1">IF(G281&lt;&gt;0,+G281/'DA-19'!E$77,0)</f>
        <v>0</v>
      </c>
      <c r="S281" s="768">
        <f ca="1">IF(H281&lt;&gt;0,+H281/'DA-19'!F$77,0)</f>
        <v>0</v>
      </c>
      <c r="T281" s="768">
        <f ca="1">IF(I281&lt;&gt;0,+I281/'DA-19'!G$77,0)</f>
        <v>0</v>
      </c>
      <c r="U281" s="768">
        <f ca="1">IF(J281&lt;&gt;0,+J281/'DA-19'!H$77,0)</f>
        <v>0</v>
      </c>
      <c r="V281" s="768">
        <f ca="1">IF(K281&lt;&gt;0,+K281/'DA-19'!I$77,0)</f>
        <v>0</v>
      </c>
    </row>
    <row r="282" spans="1:22">
      <c r="A282" s="5"/>
      <c r="B282" s="249"/>
      <c r="C282" s="425" t="str">
        <v>Nil</v>
      </c>
      <c r="D282" s="426" t="str">
        <v>Materials</v>
      </c>
      <c r="E282" s="847">
        <f ca="1"/>
        <v>0</v>
      </c>
      <c r="F282" s="386">
        <f ca="1"/>
        <v>0</v>
      </c>
      <c r="G282" s="383">
        <f ca="1"/>
        <v>0</v>
      </c>
      <c r="H282" s="383">
        <f ca="1"/>
        <v>0</v>
      </c>
      <c r="I282" s="383">
        <f ca="1"/>
        <v>0</v>
      </c>
      <c r="J282" s="383">
        <f ca="1"/>
        <v>0</v>
      </c>
      <c r="K282" s="383">
        <f ca="1"/>
        <v>0</v>
      </c>
      <c r="L282" s="790"/>
      <c r="M282" s="790"/>
      <c r="N282" s="790"/>
      <c r="O282" s="790"/>
      <c r="P282" s="386"/>
      <c r="Q282" s="768">
        <f ca="1">IF(F282&lt;&gt;0,+F282/'DA-19'!D$78,0)</f>
        <v>0</v>
      </c>
      <c r="R282" s="768">
        <f ca="1">IF(G282&lt;&gt;0,+G282/'DA-19'!E$78,0)</f>
        <v>0</v>
      </c>
      <c r="S282" s="768">
        <f ca="1">IF(H282&lt;&gt;0,+H282/'DA-19'!F$78,0)</f>
        <v>0</v>
      </c>
      <c r="T282" s="768">
        <f ca="1">IF(I282&lt;&gt;0,+I282/'DA-19'!G$78,0)</f>
        <v>0</v>
      </c>
      <c r="U282" s="768">
        <f ca="1">IF(J282&lt;&gt;0,+J282/'DA-19'!H$78,0)</f>
        <v>0</v>
      </c>
      <c r="V282" s="768">
        <f ca="1">IF(K282&lt;&gt;0,+K282/'DA-19'!I$78,0)</f>
        <v>0</v>
      </c>
    </row>
    <row r="283" spans="1:22">
      <c r="A283" s="5"/>
      <c r="B283" s="249"/>
      <c r="C283" s="425" t="str">
        <v>Nil</v>
      </c>
      <c r="D283" s="426" t="str">
        <v>Contracts</v>
      </c>
      <c r="E283" s="847">
        <f ca="1"/>
        <v>0</v>
      </c>
      <c r="F283" s="386">
        <f ca="1"/>
        <v>0</v>
      </c>
      <c r="G283" s="383">
        <f ca="1"/>
        <v>0</v>
      </c>
      <c r="H283" s="383">
        <f ca="1"/>
        <v>0</v>
      </c>
      <c r="I283" s="383">
        <f ca="1"/>
        <v>0</v>
      </c>
      <c r="J283" s="383">
        <f ca="1"/>
        <v>0</v>
      </c>
      <c r="K283" s="383">
        <f ca="1"/>
        <v>0</v>
      </c>
      <c r="L283" s="790"/>
      <c r="M283" s="790"/>
      <c r="N283" s="790"/>
      <c r="O283" s="790"/>
      <c r="P283" s="386"/>
      <c r="Q283" s="768">
        <f ca="1">IF(F283&lt;&gt;0,+F283/'DA-19'!D$79,0)</f>
        <v>0</v>
      </c>
      <c r="R283" s="768">
        <f ca="1">IF(G283&lt;&gt;0,+G283/'DA-19'!E$79,0)</f>
        <v>0</v>
      </c>
      <c r="S283" s="768">
        <f ca="1">IF(H283&lt;&gt;0,+H283/'DA-19'!F$79,0)</f>
        <v>0</v>
      </c>
      <c r="T283" s="768">
        <f ca="1">IF(I283&lt;&gt;0,+I283/'DA-19'!G$79,0)</f>
        <v>0</v>
      </c>
      <c r="U283" s="768">
        <f ca="1">IF(J283&lt;&gt;0,+J283/'DA-19'!H$79,0)</f>
        <v>0</v>
      </c>
      <c r="V283" s="768">
        <f ca="1">IF(K283&lt;&gt;0,+K283/'DA-19'!I$79,0)</f>
        <v>0</v>
      </c>
    </row>
    <row r="284" spans="1:22" s="790" customFormat="1">
      <c r="A284" s="5"/>
      <c r="B284" s="249"/>
      <c r="C284" s="425" t="str">
        <v>Nil</v>
      </c>
      <c r="D284" s="426" t="str">
        <v>Services Other</v>
      </c>
      <c r="E284" s="847">
        <f ca="1"/>
        <v>0</v>
      </c>
      <c r="F284" s="386">
        <f ca="1"/>
        <v>0</v>
      </c>
      <c r="G284" s="383">
        <f ca="1"/>
        <v>0</v>
      </c>
      <c r="H284" s="383">
        <f ca="1"/>
        <v>0</v>
      </c>
      <c r="I284" s="383">
        <f ca="1"/>
        <v>0</v>
      </c>
      <c r="J284" s="383">
        <f ca="1"/>
        <v>0</v>
      </c>
      <c r="K284" s="383">
        <f ca="1"/>
        <v>0</v>
      </c>
      <c r="P284" s="386"/>
      <c r="Q284" s="768">
        <f ca="1">IF(F284&lt;&gt;0,+F284/'DA-19'!D$80,0)</f>
        <v>0</v>
      </c>
      <c r="R284" s="768">
        <f ca="1">IF(G284&lt;&gt;0,+G284/'DA-19'!E$80,0)</f>
        <v>0</v>
      </c>
      <c r="S284" s="768">
        <f ca="1">IF(H284&lt;&gt;0,+H284/'DA-19'!F$80,0)</f>
        <v>0</v>
      </c>
      <c r="T284" s="768">
        <f ca="1">IF(I284&lt;&gt;0,+I284/'DA-19'!G$80,0)</f>
        <v>0</v>
      </c>
      <c r="U284" s="768">
        <f ca="1">IF(J284&lt;&gt;0,+J284/'DA-19'!H$80,0)</f>
        <v>0</v>
      </c>
      <c r="V284" s="768">
        <f ca="1">IF(K284&lt;&gt;0,+K284/'DA-19'!I$80,0)</f>
        <v>0</v>
      </c>
    </row>
    <row r="285" spans="1:22" s="790" customFormat="1">
      <c r="A285" s="5"/>
      <c r="B285" s="249"/>
      <c r="C285" s="425" t="str">
        <v>Nil</v>
      </c>
      <c r="D285" s="426" t="str">
        <v>Business Overheads</v>
      </c>
      <c r="E285" s="847">
        <f ca="1"/>
        <v>0</v>
      </c>
      <c r="F285" s="386">
        <f ca="1"/>
        <v>0</v>
      </c>
      <c r="G285" s="383">
        <f ca="1"/>
        <v>0</v>
      </c>
      <c r="H285" s="383">
        <f ca="1"/>
        <v>0</v>
      </c>
      <c r="I285" s="383">
        <f ca="1"/>
        <v>0</v>
      </c>
      <c r="J285" s="383">
        <f ca="1"/>
        <v>0</v>
      </c>
      <c r="K285" s="383">
        <f ca="1"/>
        <v>0</v>
      </c>
      <c r="P285" s="386"/>
      <c r="Q285" s="768">
        <f ca="1">IF(F285&lt;&gt;0,+F285/'DA-19'!D$81,0)</f>
        <v>0</v>
      </c>
      <c r="R285" s="768">
        <f ca="1">IF(G285&lt;&gt;0,+G285/'DA-19'!E$81,0)</f>
        <v>0</v>
      </c>
      <c r="S285" s="768">
        <f ca="1">IF(H285&lt;&gt;0,+H285/'DA-19'!F$81,0)</f>
        <v>0</v>
      </c>
      <c r="T285" s="768">
        <f ca="1">IF(I285&lt;&gt;0,+I285/'DA-19'!G$81,0)</f>
        <v>0</v>
      </c>
      <c r="U285" s="768">
        <f ca="1">IF(J285&lt;&gt;0,+J285/'DA-19'!H$81,0)</f>
        <v>0</v>
      </c>
      <c r="V285" s="768">
        <f ca="1">IF(K285&lt;&gt;0,+K285/'DA-19'!I$81,0)</f>
        <v>0</v>
      </c>
    </row>
    <row r="286" spans="1:22" s="790" customFormat="1">
      <c r="A286" s="5"/>
      <c r="B286" s="249"/>
      <c r="C286" s="425" t="str">
        <v>Nil</v>
      </c>
      <c r="D286" s="426" t="str">
        <v>Other</v>
      </c>
      <c r="E286" s="847">
        <f ca="1"/>
        <v>0</v>
      </c>
      <c r="F286" s="386">
        <f ca="1"/>
        <v>0</v>
      </c>
      <c r="G286" s="383">
        <f ca="1"/>
        <v>0</v>
      </c>
      <c r="H286" s="383">
        <f ca="1"/>
        <v>0</v>
      </c>
      <c r="I286" s="383">
        <f ca="1"/>
        <v>0</v>
      </c>
      <c r="J286" s="383">
        <f ca="1"/>
        <v>0</v>
      </c>
      <c r="K286" s="383">
        <f ca="1"/>
        <v>0</v>
      </c>
      <c r="P286" s="386"/>
      <c r="Q286" s="768">
        <f ca="1">IF(F286&lt;&gt;0,+F286/'DA-19'!D$82,0)</f>
        <v>0</v>
      </c>
      <c r="R286" s="768">
        <f ca="1">IF(G286&lt;&gt;0,+G286/'DA-19'!E$82,0)</f>
        <v>0</v>
      </c>
      <c r="S286" s="768">
        <f ca="1">IF(H286&lt;&gt;0,+H286/'DA-19'!F$82,0)</f>
        <v>0</v>
      </c>
      <c r="T286" s="768">
        <f ca="1">IF(I286&lt;&gt;0,+I286/'DA-19'!G$82,0)</f>
        <v>0</v>
      </c>
      <c r="U286" s="768">
        <f ca="1">IF(J286&lt;&gt;0,+J286/'DA-19'!H$82,0)</f>
        <v>0</v>
      </c>
      <c r="V286" s="768">
        <f ca="1">IF(K286&lt;&gt;0,+K286/'DA-19'!I$82,0)</f>
        <v>0</v>
      </c>
    </row>
    <row r="287" spans="1:22">
      <c r="A287" s="5"/>
      <c r="B287" s="249"/>
      <c r="C287" s="424" t="s">
        <v>73</v>
      </c>
      <c r="D287" s="417"/>
      <c r="E287" s="848"/>
      <c r="F287" s="387"/>
      <c r="G287" s="385"/>
      <c r="H287" s="385"/>
      <c r="I287" s="385"/>
      <c r="J287" s="385"/>
      <c r="K287" s="385"/>
      <c r="P287" s="387"/>
      <c r="Q287" s="385"/>
      <c r="R287" s="385"/>
      <c r="S287" s="385"/>
      <c r="T287" s="385"/>
      <c r="U287" s="385"/>
      <c r="V287" s="385"/>
    </row>
    <row r="288" spans="1:22" s="767" customFormat="1">
      <c r="A288" s="5"/>
      <c r="B288" s="249"/>
      <c r="C288" s="425" t="str">
        <f t="array" ref="C288:D293">+'DA-19'!$A$113:$B$119</f>
        <v>Labour</v>
      </c>
      <c r="D288" s="426" t="str">
        <v>Labour</v>
      </c>
      <c r="E288" s="847">
        <f t="array" ref="E288:K293" ca="1">+'DA-19'!$N$113:$T$119</f>
        <v>0</v>
      </c>
      <c r="F288" s="386">
        <f ca="1"/>
        <v>0</v>
      </c>
      <c r="G288" s="383">
        <f ca="1"/>
        <v>0</v>
      </c>
      <c r="H288" s="383">
        <f ca="1"/>
        <v>0</v>
      </c>
      <c r="I288" s="383">
        <f ca="1"/>
        <v>0</v>
      </c>
      <c r="J288" s="383">
        <f ca="1"/>
        <v>0</v>
      </c>
      <c r="K288" s="383">
        <f ca="1"/>
        <v>0</v>
      </c>
      <c r="P288" s="386"/>
      <c r="Q288" s="768">
        <f ca="1">IF(F288&lt;&gt;0,+F288/'DA-19'!D$113,0)</f>
        <v>0</v>
      </c>
      <c r="R288" s="768">
        <f ca="1">IF(G288&lt;&gt;0,+G288/'DA-19'!E$113,0)</f>
        <v>0</v>
      </c>
      <c r="S288" s="768">
        <f ca="1">IF(H288&lt;&gt;0,+H288/'DA-19'!F$113,0)</f>
        <v>0</v>
      </c>
      <c r="T288" s="768">
        <f ca="1">IF(I288&lt;&gt;0,+I288/'DA-19'!G$113,0)</f>
        <v>0</v>
      </c>
      <c r="U288" s="768">
        <f ca="1">IF(J288&lt;&gt;0,+J288/'DA-19'!H$113,0)</f>
        <v>0</v>
      </c>
      <c r="V288" s="768">
        <f ca="1">IF(K288&lt;&gt;0,+K288/'DA-19'!I$113,0)</f>
        <v>0</v>
      </c>
    </row>
    <row r="289" spans="1:22" s="767" customFormat="1">
      <c r="A289" s="5"/>
      <c r="B289" s="249"/>
      <c r="C289" s="425" t="str">
        <v>Materials</v>
      </c>
      <c r="D289" s="426" t="str">
        <v>Materials</v>
      </c>
      <c r="E289" s="847">
        <f ca="1"/>
        <v>0</v>
      </c>
      <c r="F289" s="386">
        <f ca="1"/>
        <v>0</v>
      </c>
      <c r="G289" s="383">
        <f ca="1"/>
        <v>0</v>
      </c>
      <c r="H289" s="383">
        <f ca="1"/>
        <v>0</v>
      </c>
      <c r="I289" s="383">
        <f ca="1"/>
        <v>0</v>
      </c>
      <c r="J289" s="383">
        <f ca="1"/>
        <v>0</v>
      </c>
      <c r="K289" s="383">
        <f ca="1"/>
        <v>0</v>
      </c>
      <c r="P289" s="386"/>
      <c r="Q289" s="768">
        <f ca="1">IF(F289&lt;&gt;0,+F289/'DA-19'!D$114,0)</f>
        <v>0</v>
      </c>
      <c r="R289" s="768">
        <f ca="1">IF(G289&lt;&gt;0,+G289/'DA-19'!E$114,0)</f>
        <v>0</v>
      </c>
      <c r="S289" s="768">
        <f ca="1">IF(H289&lt;&gt;0,+H289/'DA-19'!F$114,0)</f>
        <v>0</v>
      </c>
      <c r="T289" s="768">
        <f ca="1">IF(I289&lt;&gt;0,+I289/'DA-19'!G$114,0)</f>
        <v>0</v>
      </c>
      <c r="U289" s="768">
        <f ca="1">IF(J289&lt;&gt;0,+J289/'DA-19'!H$114,0)</f>
        <v>0</v>
      </c>
      <c r="V289" s="768">
        <f ca="1">IF(K289&lt;&gt;0,+K289/'DA-19'!I$114,0)</f>
        <v>0</v>
      </c>
    </row>
    <row r="290" spans="1:22" s="767" customFormat="1">
      <c r="A290" s="5"/>
      <c r="B290" s="249"/>
      <c r="C290" s="425" t="str">
        <v>Services-construction</v>
      </c>
      <c r="D290" s="426" t="str">
        <v>Contracts</v>
      </c>
      <c r="E290" s="847">
        <f ca="1"/>
        <v>0</v>
      </c>
      <c r="F290" s="386">
        <f ca="1"/>
        <v>0</v>
      </c>
      <c r="G290" s="383">
        <f ca="1"/>
        <v>0</v>
      </c>
      <c r="H290" s="383">
        <f ca="1"/>
        <v>0</v>
      </c>
      <c r="I290" s="383">
        <f ca="1"/>
        <v>0</v>
      </c>
      <c r="J290" s="383">
        <f ca="1"/>
        <v>0</v>
      </c>
      <c r="K290" s="383">
        <f ca="1"/>
        <v>0</v>
      </c>
      <c r="P290" s="386"/>
      <c r="Q290" s="768">
        <f ca="1">IF(F290&lt;&gt;0,+F290/'DA-19'!D$115,0)</f>
        <v>0</v>
      </c>
      <c r="R290" s="768">
        <f ca="1">IF(G290&lt;&gt;0,+G290/'DA-19'!E$115,0)</f>
        <v>0</v>
      </c>
      <c r="S290" s="768">
        <f ca="1">IF(H290&lt;&gt;0,+H290/'DA-19'!F$115,0)</f>
        <v>0</v>
      </c>
      <c r="T290" s="768">
        <f ca="1">IF(I290&lt;&gt;0,+I290/'DA-19'!G$115,0)</f>
        <v>0</v>
      </c>
      <c r="U290" s="768">
        <f ca="1">IF(J290&lt;&gt;0,+J290/'DA-19'!H$115,0)</f>
        <v>0</v>
      </c>
      <c r="V290" s="768">
        <f ca="1">IF(K290&lt;&gt;0,+K290/'DA-19'!I$115,0)</f>
        <v>0</v>
      </c>
    </row>
    <row r="291" spans="1:22" s="767" customFormat="1">
      <c r="A291" s="5"/>
      <c r="B291" s="249"/>
      <c r="C291" s="425" t="str">
        <v>Services-general</v>
      </c>
      <c r="D291" s="426" t="str">
        <v>Services Other</v>
      </c>
      <c r="E291" s="847">
        <f ca="1"/>
        <v>0</v>
      </c>
      <c r="F291" s="386">
        <f ca="1"/>
        <v>0</v>
      </c>
      <c r="G291" s="383">
        <f ca="1"/>
        <v>0</v>
      </c>
      <c r="H291" s="383">
        <f ca="1"/>
        <v>0</v>
      </c>
      <c r="I291" s="383">
        <f ca="1"/>
        <v>0</v>
      </c>
      <c r="J291" s="383">
        <f ca="1"/>
        <v>0</v>
      </c>
      <c r="K291" s="383">
        <f ca="1"/>
        <v>0</v>
      </c>
      <c r="P291" s="386"/>
      <c r="Q291" s="768">
        <f ca="1">IF(F291&lt;&gt;0,+F291/'DA-19'!D$116,0)</f>
        <v>0</v>
      </c>
      <c r="R291" s="768">
        <f ca="1">IF(G291&lt;&gt;0,+G291/'DA-19'!E$116,0)</f>
        <v>0</v>
      </c>
      <c r="S291" s="768">
        <f ca="1">IF(H291&lt;&gt;0,+H291/'DA-19'!F$116,0)</f>
        <v>0</v>
      </c>
      <c r="T291" s="768">
        <f ca="1">IF(I291&lt;&gt;0,+I291/'DA-19'!G$116,0)</f>
        <v>0</v>
      </c>
      <c r="U291" s="768">
        <f ca="1">IF(J291&lt;&gt;0,+J291/'DA-19'!H$116,0)</f>
        <v>0</v>
      </c>
      <c r="V291" s="768">
        <f ca="1">IF(K291&lt;&gt;0,+K291/'DA-19'!I$116,0)</f>
        <v>0</v>
      </c>
    </row>
    <row r="292" spans="1:22" s="767" customFormat="1">
      <c r="A292" s="5"/>
      <c r="B292" s="249"/>
      <c r="C292" s="425" t="str">
        <v>Labour</v>
      </c>
      <c r="D292" s="426" t="str">
        <v>Business Overheads</v>
      </c>
      <c r="E292" s="847">
        <f ca="1"/>
        <v>0</v>
      </c>
      <c r="F292" s="386">
        <f ca="1"/>
        <v>0</v>
      </c>
      <c r="G292" s="383">
        <f ca="1"/>
        <v>0</v>
      </c>
      <c r="H292" s="383">
        <f ca="1"/>
        <v>0</v>
      </c>
      <c r="I292" s="383">
        <f ca="1"/>
        <v>0</v>
      </c>
      <c r="J292" s="383">
        <f ca="1"/>
        <v>0</v>
      </c>
      <c r="K292" s="383">
        <f ca="1"/>
        <v>0</v>
      </c>
      <c r="P292" s="386"/>
      <c r="Q292" s="768">
        <f ca="1">IF(F292&lt;&gt;0,+F292/'DA-19'!D$117,0)</f>
        <v>0</v>
      </c>
      <c r="R292" s="768">
        <f ca="1">IF(G292&lt;&gt;0,+G292/'DA-19'!E$117,0)</f>
        <v>0</v>
      </c>
      <c r="S292" s="768">
        <f ca="1">IF(H292&lt;&gt;0,+H292/'DA-19'!F$117,0)</f>
        <v>0</v>
      </c>
      <c r="T292" s="768">
        <f ca="1">IF(I292&lt;&gt;0,+I292/'DA-19'!G$117,0)</f>
        <v>0</v>
      </c>
      <c r="U292" s="768">
        <f ca="1">IF(J292&lt;&gt;0,+J292/'DA-19'!H$117,0)</f>
        <v>0</v>
      </c>
      <c r="V292" s="768">
        <f ca="1">IF(K292&lt;&gt;0,+K292/'DA-19'!I$117,0)</f>
        <v>0</v>
      </c>
    </row>
    <row r="293" spans="1:22" s="767" customFormat="1">
      <c r="A293" s="5"/>
      <c r="B293" s="249"/>
      <c r="C293" s="425" t="str">
        <v>Materials - Land</v>
      </c>
      <c r="D293" s="426" t="str">
        <v>Other</v>
      </c>
      <c r="E293" s="847">
        <f ca="1"/>
        <v>0</v>
      </c>
      <c r="F293" s="386">
        <f ca="1"/>
        <v>0</v>
      </c>
      <c r="G293" s="383">
        <f ca="1"/>
        <v>0</v>
      </c>
      <c r="H293" s="383">
        <f ca="1"/>
        <v>0</v>
      </c>
      <c r="I293" s="383">
        <f ca="1"/>
        <v>0</v>
      </c>
      <c r="J293" s="383">
        <f ca="1"/>
        <v>0</v>
      </c>
      <c r="K293" s="383">
        <f ca="1"/>
        <v>0</v>
      </c>
      <c r="P293" s="386"/>
      <c r="Q293" s="768">
        <f ca="1">IF(F293&lt;&gt;0,+F293/'DA-19'!D$118,0)</f>
        <v>0</v>
      </c>
      <c r="R293" s="768">
        <f ca="1">IF(G293&lt;&gt;0,+G293/'DA-19'!E$118,0)</f>
        <v>0</v>
      </c>
      <c r="S293" s="768">
        <f ca="1">IF(H293&lt;&gt;0,+H293/'DA-19'!F$118,0)</f>
        <v>0</v>
      </c>
      <c r="T293" s="768">
        <f ca="1">IF(I293&lt;&gt;0,+I293/'DA-19'!G$118,0)</f>
        <v>0</v>
      </c>
      <c r="U293" s="768">
        <f ca="1">IF(J293&lt;&gt;0,+J293/'DA-19'!H$118,0)</f>
        <v>0</v>
      </c>
      <c r="V293" s="768">
        <f ca="1">IF(K293&lt;&gt;0,+K293/'DA-19'!I$118,0)</f>
        <v>0</v>
      </c>
    </row>
    <row r="294" spans="1:22">
      <c r="A294" s="5"/>
      <c r="B294" s="249" t="str">
        <f ca="1">+'I-4 History'!B178</f>
        <v>DA-20</v>
      </c>
      <c r="C294" s="14" t="str">
        <f ca="1">+'I-4 History'!C178</f>
        <v>Guaranteed Service Level Payments</v>
      </c>
      <c r="D294" s="418"/>
      <c r="E294" s="507"/>
      <c r="F294" s="11"/>
      <c r="G294" s="11"/>
      <c r="H294" s="11"/>
      <c r="I294" s="11"/>
      <c r="J294" s="11"/>
      <c r="K294" s="11"/>
      <c r="P294" s="11"/>
      <c r="Q294" s="11"/>
      <c r="R294" s="11"/>
      <c r="S294" s="11"/>
      <c r="T294" s="11"/>
      <c r="U294" s="11"/>
      <c r="V294" s="11"/>
    </row>
    <row r="295" spans="1:22">
      <c r="A295" s="5"/>
      <c r="B295" s="249"/>
      <c r="C295" s="424" t="s">
        <v>74</v>
      </c>
      <c r="D295" s="416"/>
      <c r="E295" s="507"/>
      <c r="F295" s="11"/>
      <c r="G295" s="11"/>
      <c r="H295" s="11"/>
      <c r="I295" s="11"/>
      <c r="J295" s="11"/>
      <c r="K295" s="11"/>
      <c r="P295" s="11"/>
      <c r="Q295" s="11"/>
      <c r="R295" s="11"/>
      <c r="S295" s="11"/>
      <c r="T295" s="11"/>
      <c r="U295" s="11"/>
      <c r="V295" s="11"/>
    </row>
    <row r="296" spans="1:22">
      <c r="A296" s="5"/>
      <c r="B296" s="249"/>
      <c r="C296" s="425" t="str">
        <f t="array" ref="C296:D301">+'DA-20'!$A$77:$B$82</f>
        <v>Total Output Growth</v>
      </c>
      <c r="D296" s="426" t="str">
        <v>Labour</v>
      </c>
      <c r="E296" s="847">
        <f t="array" ref="E296:K301" ca="1">+'DA-20'!$N$77:$T$82</f>
        <v>0</v>
      </c>
      <c r="F296" s="386">
        <f ca="1"/>
        <v>0</v>
      </c>
      <c r="G296" s="383">
        <f ca="1"/>
        <v>0</v>
      </c>
      <c r="H296" s="383">
        <f ca="1"/>
        <v>0</v>
      </c>
      <c r="I296" s="383">
        <f ca="1"/>
        <v>0</v>
      </c>
      <c r="J296" s="383">
        <f ca="1"/>
        <v>0</v>
      </c>
      <c r="K296" s="383">
        <f ca="1"/>
        <v>0</v>
      </c>
      <c r="L296" s="790"/>
      <c r="M296" s="790"/>
      <c r="N296" s="790"/>
      <c r="O296" s="790"/>
      <c r="P296" s="386"/>
      <c r="Q296" s="768">
        <f ca="1">IF(F296&lt;&gt;0,+F296/'DA-20'!D$77,0)</f>
        <v>0</v>
      </c>
      <c r="R296" s="768">
        <f ca="1">IF(G296&lt;&gt;0,+G296/'DA-20'!E$77,0)</f>
        <v>0</v>
      </c>
      <c r="S296" s="768">
        <f ca="1">IF(H296&lt;&gt;0,+H296/'DA-20'!F$77,0)</f>
        <v>0</v>
      </c>
      <c r="T296" s="768">
        <f ca="1">IF(I296&lt;&gt;0,+I296/'DA-20'!G$77,0)</f>
        <v>0</v>
      </c>
      <c r="U296" s="768">
        <f ca="1">IF(J296&lt;&gt;0,+J296/'DA-20'!H$77,0)</f>
        <v>0</v>
      </c>
      <c r="V296" s="768">
        <f ca="1">IF(K296&lt;&gt;0,+K296/'DA-20'!I$77,0)</f>
        <v>0</v>
      </c>
    </row>
    <row r="297" spans="1:22">
      <c r="A297" s="5"/>
      <c r="B297" s="249"/>
      <c r="C297" s="425" t="str">
        <v>Total Output Growth</v>
      </c>
      <c r="D297" s="426" t="str">
        <v>Materials</v>
      </c>
      <c r="E297" s="847">
        <f ca="1"/>
        <v>0</v>
      </c>
      <c r="F297" s="386">
        <f ca="1"/>
        <v>0</v>
      </c>
      <c r="G297" s="383">
        <f ca="1"/>
        <v>0</v>
      </c>
      <c r="H297" s="383">
        <f ca="1"/>
        <v>0</v>
      </c>
      <c r="I297" s="383">
        <f ca="1"/>
        <v>0</v>
      </c>
      <c r="J297" s="383">
        <f ca="1"/>
        <v>0</v>
      </c>
      <c r="K297" s="383">
        <f ca="1"/>
        <v>0</v>
      </c>
      <c r="L297" s="790"/>
      <c r="M297" s="790"/>
      <c r="N297" s="790"/>
      <c r="O297" s="790"/>
      <c r="P297" s="386"/>
      <c r="Q297" s="768">
        <f ca="1">IF(F297&lt;&gt;0,+F297/'DA-20'!D$78,0)</f>
        <v>0</v>
      </c>
      <c r="R297" s="768">
        <f ca="1">IF(G297&lt;&gt;0,+G297/'DA-20'!E$78,0)</f>
        <v>0</v>
      </c>
      <c r="S297" s="768">
        <f ca="1">IF(H297&lt;&gt;0,+H297/'DA-20'!F$78,0)</f>
        <v>0</v>
      </c>
      <c r="T297" s="768">
        <f ca="1">IF(I297&lt;&gt;0,+I297/'DA-20'!G$78,0)</f>
        <v>0</v>
      </c>
      <c r="U297" s="768">
        <f ca="1">IF(J297&lt;&gt;0,+J297/'DA-20'!H$78,0)</f>
        <v>0</v>
      </c>
      <c r="V297" s="768">
        <f ca="1">IF(K297&lt;&gt;0,+K297/'DA-20'!I$78,0)</f>
        <v>0</v>
      </c>
    </row>
    <row r="298" spans="1:22">
      <c r="A298" s="5"/>
      <c r="B298" s="249"/>
      <c r="C298" s="425" t="str">
        <v>Total Output Growth</v>
      </c>
      <c r="D298" s="426" t="str">
        <v>Contracts</v>
      </c>
      <c r="E298" s="847">
        <f ca="1"/>
        <v>0</v>
      </c>
      <c r="F298" s="386">
        <f ca="1"/>
        <v>0</v>
      </c>
      <c r="G298" s="383">
        <f ca="1"/>
        <v>0</v>
      </c>
      <c r="H298" s="383">
        <f ca="1"/>
        <v>0</v>
      </c>
      <c r="I298" s="383">
        <f ca="1"/>
        <v>0</v>
      </c>
      <c r="J298" s="383">
        <f ca="1"/>
        <v>0</v>
      </c>
      <c r="K298" s="383">
        <f ca="1"/>
        <v>0</v>
      </c>
      <c r="L298" s="790"/>
      <c r="M298" s="790"/>
      <c r="N298" s="790"/>
      <c r="O298" s="790"/>
      <c r="P298" s="386"/>
      <c r="Q298" s="768">
        <f ca="1">IF(F298&lt;&gt;0,+F298/'DA-20'!D$79,0)</f>
        <v>0</v>
      </c>
      <c r="R298" s="768">
        <f ca="1">IF(G298&lt;&gt;0,+G298/'DA-20'!E$79,0)</f>
        <v>0</v>
      </c>
      <c r="S298" s="768">
        <f ca="1">IF(H298&lt;&gt;0,+H298/'DA-20'!F$79,0)</f>
        <v>0</v>
      </c>
      <c r="T298" s="768">
        <f ca="1">IF(I298&lt;&gt;0,+I298/'DA-20'!G$79,0)</f>
        <v>0</v>
      </c>
      <c r="U298" s="768">
        <f ca="1">IF(J298&lt;&gt;0,+J298/'DA-20'!H$79,0)</f>
        <v>0</v>
      </c>
      <c r="V298" s="768">
        <f ca="1">IF(K298&lt;&gt;0,+K298/'DA-20'!I$79,0)</f>
        <v>0</v>
      </c>
    </row>
    <row r="299" spans="1:22" s="790" customFormat="1">
      <c r="A299" s="5"/>
      <c r="B299" s="249"/>
      <c r="C299" s="425" t="str">
        <v>Total Output Growth</v>
      </c>
      <c r="D299" s="426" t="str">
        <v>Services Other</v>
      </c>
      <c r="E299" s="847">
        <f ca="1"/>
        <v>0</v>
      </c>
      <c r="F299" s="386">
        <f ca="1"/>
        <v>0</v>
      </c>
      <c r="G299" s="383">
        <f ca="1"/>
        <v>0</v>
      </c>
      <c r="H299" s="383">
        <f ca="1"/>
        <v>0</v>
      </c>
      <c r="I299" s="383">
        <f ca="1"/>
        <v>0</v>
      </c>
      <c r="J299" s="383">
        <f ca="1"/>
        <v>0</v>
      </c>
      <c r="K299" s="383">
        <f ca="1"/>
        <v>0</v>
      </c>
      <c r="P299" s="386"/>
      <c r="Q299" s="768">
        <f ca="1">IF(F299&lt;&gt;0,+F299/'DA-20'!D$80,0)</f>
        <v>0</v>
      </c>
      <c r="R299" s="768">
        <f ca="1">IF(G299&lt;&gt;0,+G299/'DA-20'!E$80,0)</f>
        <v>0</v>
      </c>
      <c r="S299" s="768">
        <f ca="1">IF(H299&lt;&gt;0,+H299/'DA-20'!F$80,0)</f>
        <v>0</v>
      </c>
      <c r="T299" s="768">
        <f ca="1">IF(I299&lt;&gt;0,+I299/'DA-20'!G$80,0)</f>
        <v>0</v>
      </c>
      <c r="U299" s="768">
        <f ca="1">IF(J299&lt;&gt;0,+J299/'DA-20'!H$80,0)</f>
        <v>0</v>
      </c>
      <c r="V299" s="768">
        <f ca="1">IF(K299&lt;&gt;0,+K299/'DA-20'!I$80,0)</f>
        <v>0</v>
      </c>
    </row>
    <row r="300" spans="1:22" s="790" customFormat="1">
      <c r="A300" s="5"/>
      <c r="B300" s="249"/>
      <c r="C300" s="425" t="str">
        <v>Total Output Growth</v>
      </c>
      <c r="D300" s="426" t="str">
        <v>Business Overheads</v>
      </c>
      <c r="E300" s="847">
        <f ca="1"/>
        <v>0</v>
      </c>
      <c r="F300" s="386">
        <f ca="1"/>
        <v>0</v>
      </c>
      <c r="G300" s="383">
        <f ca="1"/>
        <v>0</v>
      </c>
      <c r="H300" s="383">
        <f ca="1"/>
        <v>0</v>
      </c>
      <c r="I300" s="383">
        <f ca="1"/>
        <v>0</v>
      </c>
      <c r="J300" s="383">
        <f ca="1"/>
        <v>0</v>
      </c>
      <c r="K300" s="383">
        <f ca="1"/>
        <v>0</v>
      </c>
      <c r="P300" s="386"/>
      <c r="Q300" s="768">
        <f ca="1">IF(F300&lt;&gt;0,+F300/'DA-20'!D$81,0)</f>
        <v>0</v>
      </c>
      <c r="R300" s="768">
        <f ca="1">IF(G300&lt;&gt;0,+G300/'DA-20'!E$81,0)</f>
        <v>0</v>
      </c>
      <c r="S300" s="768">
        <f ca="1">IF(H300&lt;&gt;0,+H300/'DA-20'!F$81,0)</f>
        <v>0</v>
      </c>
      <c r="T300" s="768">
        <f ca="1">IF(I300&lt;&gt;0,+I300/'DA-20'!G$81,0)</f>
        <v>0</v>
      </c>
      <c r="U300" s="768">
        <f ca="1">IF(J300&lt;&gt;0,+J300/'DA-20'!H$81,0)</f>
        <v>0</v>
      </c>
      <c r="V300" s="768">
        <f ca="1">IF(K300&lt;&gt;0,+K300/'DA-20'!I$81,0)</f>
        <v>0</v>
      </c>
    </row>
    <row r="301" spans="1:22" s="790" customFormat="1">
      <c r="A301" s="5"/>
      <c r="B301" s="249"/>
      <c r="C301" s="425" t="str">
        <v>Total Output Growth</v>
      </c>
      <c r="D301" s="426" t="str">
        <v>Other</v>
      </c>
      <c r="E301" s="847">
        <f ca="1"/>
        <v>0</v>
      </c>
      <c r="F301" s="386">
        <f ca="1"/>
        <v>0</v>
      </c>
      <c r="G301" s="383">
        <f ca="1"/>
        <v>0.10538871560750845</v>
      </c>
      <c r="H301" s="383">
        <f ca="1"/>
        <v>0.20304040456283551</v>
      </c>
      <c r="I301" s="383">
        <f ca="1"/>
        <v>0.29956801474842232</v>
      </c>
      <c r="J301" s="383">
        <f ca="1"/>
        <v>0.40429271913510823</v>
      </c>
      <c r="K301" s="383">
        <f ca="1"/>
        <v>0.50022133211635378</v>
      </c>
      <c r="P301" s="386"/>
      <c r="Q301" s="768">
        <f ca="1">IF(F301&lt;&gt;0,+F301/'DA-20'!D$82,0)</f>
        <v>0</v>
      </c>
      <c r="R301" s="768">
        <f ca="1">IF(G301&lt;&gt;0,+G301/'DA-20'!E$82,0)</f>
        <v>9.9329999999999998</v>
      </c>
      <c r="S301" s="768">
        <f ca="1">IF(H301&lt;&gt;0,+H301/'DA-20'!F$82,0)</f>
        <v>9.9329999999999998</v>
      </c>
      <c r="T301" s="768">
        <f ca="1">IF(I301&lt;&gt;0,+I301/'DA-20'!G$82,0)</f>
        <v>9.9329999999999998</v>
      </c>
      <c r="U301" s="768">
        <f ca="1">IF(J301&lt;&gt;0,+J301/'DA-20'!H$82,0)</f>
        <v>9.9329999999999998</v>
      </c>
      <c r="V301" s="768">
        <f ca="1">IF(K301&lt;&gt;0,+K301/'DA-20'!I$82,0)</f>
        <v>9.9329999999999998</v>
      </c>
    </row>
    <row r="302" spans="1:22">
      <c r="A302" s="5"/>
      <c r="B302" s="249"/>
      <c r="C302" s="424" t="s">
        <v>73</v>
      </c>
      <c r="D302" s="417"/>
      <c r="E302" s="848"/>
      <c r="F302" s="387"/>
      <c r="G302" s="385"/>
      <c r="H302" s="385"/>
      <c r="I302" s="385"/>
      <c r="J302" s="385"/>
      <c r="K302" s="385"/>
      <c r="P302" s="387"/>
      <c r="Q302" s="385"/>
      <c r="R302" s="385"/>
      <c r="S302" s="385"/>
      <c r="T302" s="385"/>
      <c r="U302" s="385"/>
      <c r="V302" s="385"/>
    </row>
    <row r="303" spans="1:22" s="767" customFormat="1">
      <c r="A303" s="5"/>
      <c r="B303" s="249"/>
      <c r="C303" s="425" t="str">
        <f t="array" ref="C303:D308">+'DA-20'!$A$113:$B$119</f>
        <v>Labour</v>
      </c>
      <c r="D303" s="426" t="str">
        <v>Labour</v>
      </c>
      <c r="E303" s="847">
        <f t="array" ref="E303:K308" ca="1">+'DA-20'!$N$113:$T$119</f>
        <v>0</v>
      </c>
      <c r="F303" s="386">
        <f ca="1"/>
        <v>0</v>
      </c>
      <c r="G303" s="383">
        <f ca="1"/>
        <v>0</v>
      </c>
      <c r="H303" s="383">
        <f ca="1"/>
        <v>0</v>
      </c>
      <c r="I303" s="383">
        <f ca="1"/>
        <v>0</v>
      </c>
      <c r="J303" s="383">
        <f ca="1"/>
        <v>0</v>
      </c>
      <c r="K303" s="383">
        <f ca="1"/>
        <v>0</v>
      </c>
      <c r="P303" s="386"/>
      <c r="Q303" s="768">
        <f ca="1">IF(F303&lt;&gt;0,+F303/'DA-20'!D$113,0)</f>
        <v>0</v>
      </c>
      <c r="R303" s="768">
        <f ca="1">IF(G303&lt;&gt;0,+G303/'DA-20'!E$113,0)</f>
        <v>0</v>
      </c>
      <c r="S303" s="768">
        <f ca="1">IF(H303&lt;&gt;0,+H303/'DA-20'!F$113,0)</f>
        <v>0</v>
      </c>
      <c r="T303" s="768">
        <f ca="1">IF(I303&lt;&gt;0,+I303/'DA-20'!G$113,0)</f>
        <v>0</v>
      </c>
      <c r="U303" s="768">
        <f ca="1">IF(J303&lt;&gt;0,+J303/'DA-20'!H$113,0)</f>
        <v>0</v>
      </c>
      <c r="V303" s="768">
        <f ca="1">IF(K303&lt;&gt;0,+K303/'DA-20'!I$113,0)</f>
        <v>0</v>
      </c>
    </row>
    <row r="304" spans="1:22" s="767" customFormat="1">
      <c r="A304" s="5"/>
      <c r="B304" s="249"/>
      <c r="C304" s="425" t="str">
        <v>Materials</v>
      </c>
      <c r="D304" s="426" t="str">
        <v>Materials</v>
      </c>
      <c r="E304" s="847">
        <f ca="1"/>
        <v>0</v>
      </c>
      <c r="F304" s="386">
        <f ca="1"/>
        <v>0</v>
      </c>
      <c r="G304" s="383">
        <f ca="1"/>
        <v>0</v>
      </c>
      <c r="H304" s="383">
        <f ca="1"/>
        <v>0</v>
      </c>
      <c r="I304" s="383">
        <f ca="1"/>
        <v>0</v>
      </c>
      <c r="J304" s="383">
        <f ca="1"/>
        <v>0</v>
      </c>
      <c r="K304" s="383">
        <f ca="1"/>
        <v>0</v>
      </c>
      <c r="P304" s="386"/>
      <c r="Q304" s="768">
        <f ca="1">IF(F304&lt;&gt;0,+F304/'DA-20'!D$114,0)</f>
        <v>0</v>
      </c>
      <c r="R304" s="768">
        <f ca="1">IF(G304&lt;&gt;0,+G304/'DA-20'!E$114,0)</f>
        <v>0</v>
      </c>
      <c r="S304" s="768">
        <f ca="1">IF(H304&lt;&gt;0,+H304/'DA-20'!F$114,0)</f>
        <v>0</v>
      </c>
      <c r="T304" s="768">
        <f ca="1">IF(I304&lt;&gt;0,+I304/'DA-20'!G$114,0)</f>
        <v>0</v>
      </c>
      <c r="U304" s="768">
        <f ca="1">IF(J304&lt;&gt;0,+J304/'DA-20'!H$114,0)</f>
        <v>0</v>
      </c>
      <c r="V304" s="768">
        <f ca="1">IF(K304&lt;&gt;0,+K304/'DA-20'!I$114,0)</f>
        <v>0</v>
      </c>
    </row>
    <row r="305" spans="1:22" s="767" customFormat="1">
      <c r="A305" s="5"/>
      <c r="B305" s="249"/>
      <c r="C305" s="425" t="str">
        <v>Services-construction</v>
      </c>
      <c r="D305" s="426" t="str">
        <v>Contracts</v>
      </c>
      <c r="E305" s="847">
        <f ca="1"/>
        <v>0</v>
      </c>
      <c r="F305" s="386">
        <f ca="1"/>
        <v>0</v>
      </c>
      <c r="G305" s="383">
        <f ca="1"/>
        <v>0</v>
      </c>
      <c r="H305" s="383">
        <f ca="1"/>
        <v>0</v>
      </c>
      <c r="I305" s="383">
        <f ca="1"/>
        <v>0</v>
      </c>
      <c r="J305" s="383">
        <f ca="1"/>
        <v>0</v>
      </c>
      <c r="K305" s="383">
        <f ca="1"/>
        <v>0</v>
      </c>
      <c r="P305" s="386"/>
      <c r="Q305" s="768">
        <f ca="1">IF(F305&lt;&gt;0,+F305/'DA-20'!D$115,0)</f>
        <v>0</v>
      </c>
      <c r="R305" s="768">
        <f ca="1">IF(G305&lt;&gt;0,+G305/'DA-20'!E$115,0)</f>
        <v>0</v>
      </c>
      <c r="S305" s="768">
        <f ca="1">IF(H305&lt;&gt;0,+H305/'DA-20'!F$115,0)</f>
        <v>0</v>
      </c>
      <c r="T305" s="768">
        <f ca="1">IF(I305&lt;&gt;0,+I305/'DA-20'!G$115,0)</f>
        <v>0</v>
      </c>
      <c r="U305" s="768">
        <f ca="1">IF(J305&lt;&gt;0,+J305/'DA-20'!H$115,0)</f>
        <v>0</v>
      </c>
      <c r="V305" s="768">
        <f ca="1">IF(K305&lt;&gt;0,+K305/'DA-20'!I$115,0)</f>
        <v>0</v>
      </c>
    </row>
    <row r="306" spans="1:22" s="767" customFormat="1">
      <c r="A306" s="5"/>
      <c r="B306" s="249"/>
      <c r="C306" s="425" t="str">
        <v>Services-general</v>
      </c>
      <c r="D306" s="426" t="str">
        <v>Services Other</v>
      </c>
      <c r="E306" s="847">
        <f ca="1"/>
        <v>0</v>
      </c>
      <c r="F306" s="386">
        <f ca="1"/>
        <v>0</v>
      </c>
      <c r="G306" s="383">
        <f ca="1"/>
        <v>0</v>
      </c>
      <c r="H306" s="383">
        <f ca="1"/>
        <v>0</v>
      </c>
      <c r="I306" s="383">
        <f ca="1"/>
        <v>0</v>
      </c>
      <c r="J306" s="383">
        <f ca="1"/>
        <v>0</v>
      </c>
      <c r="K306" s="383">
        <f ca="1"/>
        <v>0</v>
      </c>
      <c r="P306" s="386"/>
      <c r="Q306" s="768">
        <f ca="1">IF(F306&lt;&gt;0,+F306/'DA-20'!D$116,0)</f>
        <v>0</v>
      </c>
      <c r="R306" s="768">
        <f ca="1">IF(G306&lt;&gt;0,+G306/'DA-20'!E$116,0)</f>
        <v>0</v>
      </c>
      <c r="S306" s="768">
        <f ca="1">IF(H306&lt;&gt;0,+H306/'DA-20'!F$116,0)</f>
        <v>0</v>
      </c>
      <c r="T306" s="768">
        <f ca="1">IF(I306&lt;&gt;0,+I306/'DA-20'!G$116,0)</f>
        <v>0</v>
      </c>
      <c r="U306" s="768">
        <f ca="1">IF(J306&lt;&gt;0,+J306/'DA-20'!H$116,0)</f>
        <v>0</v>
      </c>
      <c r="V306" s="768">
        <f ca="1">IF(K306&lt;&gt;0,+K306/'DA-20'!I$116,0)</f>
        <v>0</v>
      </c>
    </row>
    <row r="307" spans="1:22" s="767" customFormat="1">
      <c r="A307" s="5"/>
      <c r="B307" s="249"/>
      <c r="C307" s="425" t="str">
        <v>Labour</v>
      </c>
      <c r="D307" s="426" t="str">
        <v>Business Overheads</v>
      </c>
      <c r="E307" s="847">
        <f ca="1"/>
        <v>0</v>
      </c>
      <c r="F307" s="386">
        <f ca="1"/>
        <v>0</v>
      </c>
      <c r="G307" s="383">
        <f ca="1"/>
        <v>0</v>
      </c>
      <c r="H307" s="383">
        <f ca="1"/>
        <v>0</v>
      </c>
      <c r="I307" s="383">
        <f ca="1"/>
        <v>0</v>
      </c>
      <c r="J307" s="383">
        <f ca="1"/>
        <v>0</v>
      </c>
      <c r="K307" s="383">
        <f ca="1"/>
        <v>0</v>
      </c>
      <c r="P307" s="386"/>
      <c r="Q307" s="768">
        <f ca="1">IF(F307&lt;&gt;0,+F307/'DA-20'!D$117,0)</f>
        <v>0</v>
      </c>
      <c r="R307" s="768">
        <f ca="1">IF(G307&lt;&gt;0,+G307/'DA-20'!E$117,0)</f>
        <v>0</v>
      </c>
      <c r="S307" s="768">
        <f ca="1">IF(H307&lt;&gt;0,+H307/'DA-20'!F$117,0)</f>
        <v>0</v>
      </c>
      <c r="T307" s="768">
        <f ca="1">IF(I307&lt;&gt;0,+I307/'DA-20'!G$117,0)</f>
        <v>0</v>
      </c>
      <c r="U307" s="768">
        <f ca="1">IF(J307&lt;&gt;0,+J307/'DA-20'!H$117,0)</f>
        <v>0</v>
      </c>
      <c r="V307" s="768">
        <f ca="1">IF(K307&lt;&gt;0,+K307/'DA-20'!I$117,0)</f>
        <v>0</v>
      </c>
    </row>
    <row r="308" spans="1:22" s="767" customFormat="1">
      <c r="A308" s="5"/>
      <c r="B308" s="249"/>
      <c r="C308" s="425" t="str">
        <v>Materials - Land</v>
      </c>
      <c r="D308" s="426" t="str">
        <v>Other</v>
      </c>
      <c r="E308" s="847">
        <f ca="1"/>
        <v>0</v>
      </c>
      <c r="F308" s="386">
        <f ca="1"/>
        <v>0</v>
      </c>
      <c r="G308" s="383">
        <f ca="1"/>
        <v>0</v>
      </c>
      <c r="H308" s="383">
        <f ca="1"/>
        <v>0</v>
      </c>
      <c r="I308" s="383">
        <f ca="1"/>
        <v>0</v>
      </c>
      <c r="J308" s="383">
        <f ca="1"/>
        <v>0</v>
      </c>
      <c r="K308" s="383">
        <f ca="1"/>
        <v>0</v>
      </c>
      <c r="P308" s="386"/>
      <c r="Q308" s="768">
        <f ca="1">IF(F308&lt;&gt;0,+F308/'DA-20'!D$118,0)</f>
        <v>0</v>
      </c>
      <c r="R308" s="768">
        <f ca="1">IF(G308&lt;&gt;0,+G308/'DA-20'!E$118,0)</f>
        <v>0</v>
      </c>
      <c r="S308" s="768">
        <f ca="1">IF(H308&lt;&gt;0,+H308/'DA-20'!F$118,0)</f>
        <v>0</v>
      </c>
      <c r="T308" s="768">
        <f ca="1">IF(I308&lt;&gt;0,+I308/'DA-20'!G$118,0)</f>
        <v>0</v>
      </c>
      <c r="U308" s="768">
        <f ca="1">IF(J308&lt;&gt;0,+J308/'DA-20'!H$118,0)</f>
        <v>0</v>
      </c>
      <c r="V308" s="768">
        <f ca="1">IF(K308&lt;&gt;0,+K308/'DA-20'!I$118,0)</f>
        <v>0</v>
      </c>
    </row>
    <row r="309" spans="1:22">
      <c r="A309" s="5"/>
      <c r="B309" s="249" t="str">
        <f ca="1">+'I-4 History'!B187</f>
        <v>DA-21</v>
      </c>
      <c r="C309" s="14" t="str">
        <f ca="1">+'I-4 History'!C187</f>
        <v>Property – Substation Sites</v>
      </c>
      <c r="D309" s="418"/>
      <c r="E309" s="507"/>
      <c r="F309" s="11"/>
      <c r="G309" s="11"/>
      <c r="H309" s="11"/>
      <c r="I309" s="11"/>
      <c r="J309" s="11"/>
      <c r="K309" s="11"/>
      <c r="P309" s="11"/>
      <c r="Q309" s="11"/>
      <c r="R309" s="11"/>
      <c r="S309" s="11"/>
      <c r="T309" s="11"/>
      <c r="U309" s="11"/>
      <c r="V309" s="11"/>
    </row>
    <row r="310" spans="1:22">
      <c r="A310" s="5"/>
      <c r="B310" s="249"/>
      <c r="C310" s="424" t="s">
        <v>74</v>
      </c>
      <c r="D310" s="416"/>
      <c r="E310" s="507"/>
      <c r="F310" s="11"/>
      <c r="G310" s="11"/>
      <c r="H310" s="11"/>
      <c r="I310" s="11"/>
      <c r="J310" s="11"/>
      <c r="K310" s="11"/>
      <c r="P310" s="11"/>
      <c r="Q310" s="11"/>
      <c r="R310" s="11"/>
      <c r="S310" s="11"/>
      <c r="T310" s="11"/>
      <c r="U310" s="11"/>
      <c r="V310" s="11"/>
    </row>
    <row r="311" spans="1:22">
      <c r="A311" s="5"/>
      <c r="B311" s="249"/>
      <c r="C311" s="425" t="str">
        <f t="array" ref="C311:D316">+'DA-21'!$A$77:$B$82</f>
        <v>Total Output Growth</v>
      </c>
      <c r="D311" s="426" t="str">
        <v>Labour</v>
      </c>
      <c r="E311" s="847">
        <f t="array" ref="E311:K316" ca="1">+'DA-21'!$N$77:$T$82</f>
        <v>0</v>
      </c>
      <c r="F311" s="386">
        <f ca="1"/>
        <v>0</v>
      </c>
      <c r="G311" s="383">
        <f ca="1"/>
        <v>6.7903732999904775E-3</v>
      </c>
      <c r="H311" s="383">
        <f ca="1"/>
        <v>1.308223687911152E-2</v>
      </c>
      <c r="I311" s="383">
        <f ca="1"/>
        <v>1.930167416077623E-2</v>
      </c>
      <c r="J311" s="383">
        <f ca="1"/>
        <v>2.6049264094077245E-2</v>
      </c>
      <c r="K311" s="383">
        <f ca="1"/>
        <v>3.2230106972160118E-2</v>
      </c>
      <c r="L311" s="790"/>
      <c r="M311" s="790"/>
      <c r="N311" s="790"/>
      <c r="O311" s="790"/>
      <c r="P311" s="386"/>
      <c r="Q311" s="768">
        <f ca="1">IF(F311&lt;&gt;0,+F311/'DA-21'!D$77,0)</f>
        <v>0</v>
      </c>
      <c r="R311" s="768">
        <f ca="1">IF(G311&lt;&gt;0,+G311/'DA-21'!E$77,0)</f>
        <v>0.64</v>
      </c>
      <c r="S311" s="768">
        <f ca="1">IF(H311&lt;&gt;0,+H311/'DA-21'!F$77,0)</f>
        <v>0.64</v>
      </c>
      <c r="T311" s="768">
        <f ca="1">IF(I311&lt;&gt;0,+I311/'DA-21'!G$77,0)</f>
        <v>0.64</v>
      </c>
      <c r="U311" s="768">
        <f ca="1">IF(J311&lt;&gt;0,+J311/'DA-21'!H$77,0)</f>
        <v>0.64</v>
      </c>
      <c r="V311" s="768">
        <f ca="1">IF(K311&lt;&gt;0,+K311/'DA-21'!I$77,0)</f>
        <v>0.64</v>
      </c>
    </row>
    <row r="312" spans="1:22">
      <c r="A312" s="5"/>
      <c r="B312" s="249"/>
      <c r="C312" s="425" t="str">
        <v>Total Output Growth</v>
      </c>
      <c r="D312" s="426" t="str">
        <v>Materials</v>
      </c>
      <c r="E312" s="847">
        <f ca="1"/>
        <v>0</v>
      </c>
      <c r="F312" s="386">
        <f ca="1"/>
        <v>0</v>
      </c>
      <c r="G312" s="383">
        <f ca="1"/>
        <v>1.580883783904033E-3</v>
      </c>
      <c r="H312" s="383">
        <f ca="1"/>
        <v>3.0457082734181504E-3</v>
      </c>
      <c r="I312" s="383">
        <f ca="1"/>
        <v>4.4936710155557159E-3</v>
      </c>
      <c r="J312" s="383">
        <f ca="1"/>
        <v>6.0645942969023581E-3</v>
      </c>
      <c r="K312" s="383">
        <f ca="1"/>
        <v>7.5035717794560263E-3</v>
      </c>
      <c r="L312" s="790"/>
      <c r="M312" s="790"/>
      <c r="N312" s="790"/>
      <c r="O312" s="790"/>
      <c r="P312" s="386"/>
      <c r="Q312" s="768">
        <f ca="1">IF(F312&lt;&gt;0,+F312/'DA-21'!D$78,0)</f>
        <v>0</v>
      </c>
      <c r="R312" s="768">
        <f ca="1">IF(G312&lt;&gt;0,+G312/'DA-21'!E$78,0)</f>
        <v>0.14899999999999999</v>
      </c>
      <c r="S312" s="768">
        <f ca="1">IF(H312&lt;&gt;0,+H312/'DA-21'!F$78,0)</f>
        <v>0.14899999999999999</v>
      </c>
      <c r="T312" s="768">
        <f ca="1">IF(I312&lt;&gt;0,+I312/'DA-21'!G$78,0)</f>
        <v>0.14899999999999999</v>
      </c>
      <c r="U312" s="768">
        <f ca="1">IF(J312&lt;&gt;0,+J312/'DA-21'!H$78,0)</f>
        <v>0.14899999999999999</v>
      </c>
      <c r="V312" s="768">
        <f ca="1">IF(K312&lt;&gt;0,+K312/'DA-21'!I$78,0)</f>
        <v>0.14899999999999999</v>
      </c>
    </row>
    <row r="313" spans="1:22">
      <c r="A313" s="5"/>
      <c r="B313" s="249"/>
      <c r="C313" s="425" t="str">
        <v>Total Output Growth</v>
      </c>
      <c r="D313" s="426" t="str">
        <v>Contracts</v>
      </c>
      <c r="E313" s="847">
        <f ca="1"/>
        <v>0</v>
      </c>
      <c r="F313" s="386">
        <f ca="1"/>
        <v>0</v>
      </c>
      <c r="G313" s="383">
        <f ca="1"/>
        <v>5.3049791406175605E-5</v>
      </c>
      <c r="H313" s="383">
        <f ca="1"/>
        <v>1.0220497561805875E-4</v>
      </c>
      <c r="I313" s="383">
        <f ca="1"/>
        <v>1.507943293810643E-4</v>
      </c>
      <c r="J313" s="383">
        <f ca="1"/>
        <v>2.0350987573497848E-4</v>
      </c>
      <c r="K313" s="383">
        <f ca="1"/>
        <v>2.5179771072000092E-4</v>
      </c>
      <c r="L313" s="790"/>
      <c r="M313" s="790"/>
      <c r="N313" s="790"/>
      <c r="O313" s="790"/>
      <c r="P313" s="386"/>
      <c r="Q313" s="768">
        <f ca="1">IF(F313&lt;&gt;0,+F313/'DA-21'!D$79,0)</f>
        <v>0</v>
      </c>
      <c r="R313" s="768">
        <f ca="1">IF(G313&lt;&gt;0,+G313/'DA-21'!E$79,0)</f>
        <v>5.0000000000000001E-3</v>
      </c>
      <c r="S313" s="768">
        <f ca="1">IF(H313&lt;&gt;0,+H313/'DA-21'!F$79,0)</f>
        <v>5.0000000000000001E-3</v>
      </c>
      <c r="T313" s="768">
        <f ca="1">IF(I313&lt;&gt;0,+I313/'DA-21'!G$79,0)</f>
        <v>5.0000000000000001E-3</v>
      </c>
      <c r="U313" s="768">
        <f ca="1">IF(J313&lt;&gt;0,+J313/'DA-21'!H$79,0)</f>
        <v>5.0000000000000001E-3</v>
      </c>
      <c r="V313" s="768">
        <f ca="1">IF(K313&lt;&gt;0,+K313/'DA-21'!I$79,0)</f>
        <v>5.0000000000000001E-3</v>
      </c>
    </row>
    <row r="314" spans="1:22" s="790" customFormat="1">
      <c r="A314" s="5"/>
      <c r="B314" s="249"/>
      <c r="C314" s="425" t="str">
        <v>Total Output Growth</v>
      </c>
      <c r="D314" s="426" t="str">
        <v>Services Other</v>
      </c>
      <c r="E314" s="847">
        <f ca="1"/>
        <v>0</v>
      </c>
      <c r="F314" s="386">
        <f ca="1"/>
        <v>0</v>
      </c>
      <c r="G314" s="383">
        <f ca="1"/>
        <v>4.6651986562590821E-2</v>
      </c>
      <c r="H314" s="383">
        <f ca="1"/>
        <v>8.9879055558520854E-2</v>
      </c>
      <c r="I314" s="383">
        <f ca="1"/>
        <v>0.13260853325770791</v>
      </c>
      <c r="J314" s="383">
        <f ca="1"/>
        <v>0.17896658472134006</v>
      </c>
      <c r="K314" s="383">
        <f ca="1"/>
        <v>0.22143090680716876</v>
      </c>
      <c r="P314" s="386"/>
      <c r="Q314" s="768">
        <f ca="1">IF(F314&lt;&gt;0,+F314/'DA-21'!D$80,0)</f>
        <v>0</v>
      </c>
      <c r="R314" s="768">
        <f ca="1">IF(G314&lt;&gt;0,+G314/'DA-21'!E$80,0)</f>
        <v>4.3969999999999994</v>
      </c>
      <c r="S314" s="768">
        <f ca="1">IF(H314&lt;&gt;0,+H314/'DA-21'!F$80,0)</f>
        <v>4.3969999999999994</v>
      </c>
      <c r="T314" s="768">
        <f ca="1">IF(I314&lt;&gt;0,+I314/'DA-21'!G$80,0)</f>
        <v>4.3969999999999994</v>
      </c>
      <c r="U314" s="768">
        <f ca="1">IF(J314&lt;&gt;0,+J314/'DA-21'!H$80,0)</f>
        <v>4.3969999999999994</v>
      </c>
      <c r="V314" s="768">
        <f ca="1">IF(K314&lt;&gt;0,+K314/'DA-21'!I$80,0)</f>
        <v>4.3969999999999994</v>
      </c>
    </row>
    <row r="315" spans="1:22" s="790" customFormat="1">
      <c r="A315" s="5"/>
      <c r="B315" s="249"/>
      <c r="C315" s="425" t="str">
        <v>Total Output Growth</v>
      </c>
      <c r="D315" s="426" t="str">
        <v>Business Overheads</v>
      </c>
      <c r="E315" s="847">
        <f ca="1"/>
        <v>0</v>
      </c>
      <c r="F315" s="386">
        <f ca="1"/>
        <v>0</v>
      </c>
      <c r="G315" s="383">
        <f ca="1"/>
        <v>0</v>
      </c>
      <c r="H315" s="383">
        <f ca="1"/>
        <v>0</v>
      </c>
      <c r="I315" s="383">
        <f ca="1"/>
        <v>0</v>
      </c>
      <c r="J315" s="383">
        <f ca="1"/>
        <v>0</v>
      </c>
      <c r="K315" s="383">
        <f ca="1"/>
        <v>0</v>
      </c>
      <c r="P315" s="386"/>
      <c r="Q315" s="768">
        <f ca="1">IF(F315&lt;&gt;0,+F315/'DA-21'!D$81,0)</f>
        <v>0</v>
      </c>
      <c r="R315" s="768">
        <f ca="1">IF(G315&lt;&gt;0,+G315/'DA-21'!E$81,0)</f>
        <v>0</v>
      </c>
      <c r="S315" s="768">
        <f ca="1">IF(H315&lt;&gt;0,+H315/'DA-21'!F$81,0)</f>
        <v>0</v>
      </c>
      <c r="T315" s="768">
        <f ca="1">IF(I315&lt;&gt;0,+I315/'DA-21'!G$81,0)</f>
        <v>0</v>
      </c>
      <c r="U315" s="768">
        <f ca="1">IF(J315&lt;&gt;0,+J315/'DA-21'!H$81,0)</f>
        <v>0</v>
      </c>
      <c r="V315" s="768">
        <f ca="1">IF(K315&lt;&gt;0,+K315/'DA-21'!I$81,0)</f>
        <v>0</v>
      </c>
    </row>
    <row r="316" spans="1:22" s="790" customFormat="1">
      <c r="A316" s="5"/>
      <c r="B316" s="249"/>
      <c r="C316" s="425" t="str">
        <v>Total Output Growth</v>
      </c>
      <c r="D316" s="426" t="str">
        <v>Other</v>
      </c>
      <c r="E316" s="847">
        <f ca="1"/>
        <v>0</v>
      </c>
      <c r="F316" s="386">
        <f ca="1"/>
        <v>0</v>
      </c>
      <c r="G316" s="383">
        <f ca="1"/>
        <v>1.6402995502789498E-2</v>
      </c>
      <c r="H316" s="383">
        <f ca="1"/>
        <v>3.1601778461103763E-2</v>
      </c>
      <c r="I316" s="383">
        <f ca="1"/>
        <v>4.6625606644625082E-2</v>
      </c>
      <c r="J316" s="383">
        <f ca="1"/>
        <v>6.2925253577255341E-2</v>
      </c>
      <c r="K316" s="383">
        <f ca="1"/>
        <v>7.7855852154624275E-2</v>
      </c>
      <c r="P316" s="386"/>
      <c r="Q316" s="768">
        <f ca="1">IF(F316&lt;&gt;0,+F316/'DA-21'!D$82,0)</f>
        <v>0</v>
      </c>
      <c r="R316" s="768">
        <f ca="1">IF(G316&lt;&gt;0,+G316/'DA-21'!E$82,0)</f>
        <v>1.546</v>
      </c>
      <c r="S316" s="768">
        <f ca="1">IF(H316&lt;&gt;0,+H316/'DA-21'!F$82,0)</f>
        <v>1.546</v>
      </c>
      <c r="T316" s="768">
        <f ca="1">IF(I316&lt;&gt;0,+I316/'DA-21'!G$82,0)</f>
        <v>1.546</v>
      </c>
      <c r="U316" s="768">
        <f ca="1">IF(J316&lt;&gt;0,+J316/'DA-21'!H$82,0)</f>
        <v>1.5459999999999998</v>
      </c>
      <c r="V316" s="768">
        <f ca="1">IF(K316&lt;&gt;0,+K316/'DA-21'!I$82,0)</f>
        <v>1.546</v>
      </c>
    </row>
    <row r="317" spans="1:22">
      <c r="A317" s="5"/>
      <c r="B317" s="249"/>
      <c r="C317" s="424" t="s">
        <v>73</v>
      </c>
      <c r="D317" s="417"/>
      <c r="E317" s="848"/>
      <c r="F317" s="387"/>
      <c r="G317" s="385"/>
      <c r="H317" s="385"/>
      <c r="I317" s="385"/>
      <c r="J317" s="385"/>
      <c r="K317" s="385"/>
      <c r="P317" s="387"/>
      <c r="Q317" s="385"/>
      <c r="R317" s="385"/>
      <c r="S317" s="385"/>
      <c r="T317" s="385"/>
      <c r="U317" s="385"/>
      <c r="V317" s="385"/>
    </row>
    <row r="318" spans="1:22" s="767" customFormat="1">
      <c r="A318" s="5"/>
      <c r="B318" s="249"/>
      <c r="C318" s="425" t="str">
        <f t="array" ref="C318:D323">+'DA-21'!$A$113:$B$119</f>
        <v>Labour</v>
      </c>
      <c r="D318" s="426" t="str">
        <v>Labour</v>
      </c>
      <c r="E318" s="847">
        <f t="array" ref="E318:K323" ca="1">+'DA-21'!$N$113:$T$119</f>
        <v>0</v>
      </c>
      <c r="F318" s="386">
        <f ca="1"/>
        <v>0</v>
      </c>
      <c r="G318" s="383">
        <f ca="1"/>
        <v>1.3878805776278449E-2</v>
      </c>
      <c r="H318" s="383">
        <f ca="1"/>
        <v>2.8328340734682871E-2</v>
      </c>
      <c r="I318" s="383">
        <f ca="1"/>
        <v>4.4167865753705619E-2</v>
      </c>
      <c r="J318" s="383">
        <f ca="1"/>
        <v>6.0705004088806469E-2</v>
      </c>
      <c r="K318" s="383">
        <f ca="1"/>
        <v>7.7870154586958756E-2</v>
      </c>
      <c r="P318" s="386"/>
      <c r="Q318" s="768">
        <f ca="1">IF(F318&lt;&gt;0,+F318/'DA-21'!D$113,0)</f>
        <v>0</v>
      </c>
      <c r="R318" s="768">
        <f ca="1">IF(G318&lt;&gt;0,+G318/'DA-21'!E$113,0)</f>
        <v>0.64679037329999045</v>
      </c>
      <c r="S318" s="768">
        <f ca="1">IF(H318&lt;&gt;0,+H318/'DA-21'!F$113,0)</f>
        <v>0.65308223687911149</v>
      </c>
      <c r="T318" s="768">
        <f ca="1">IF(I318&lt;&gt;0,+I318/'DA-21'!G$113,0)</f>
        <v>0.65930167416077623</v>
      </c>
      <c r="U318" s="768">
        <f ca="1">IF(J318&lt;&gt;0,+J318/'DA-21'!H$113,0)</f>
        <v>0.66604926409407728</v>
      </c>
      <c r="V318" s="768">
        <f ca="1">IF(K318&lt;&gt;0,+K318/'DA-21'!I$113,0)</f>
        <v>0.67223010697216012</v>
      </c>
    </row>
    <row r="319" spans="1:22" s="767" customFormat="1">
      <c r="A319" s="5"/>
      <c r="B319" s="249"/>
      <c r="C319" s="425" t="str">
        <v>Materials</v>
      </c>
      <c r="D319" s="426" t="str">
        <v>Materials</v>
      </c>
      <c r="E319" s="847">
        <f ca="1"/>
        <v>0</v>
      </c>
      <c r="F319" s="386">
        <f ca="1"/>
        <v>0</v>
      </c>
      <c r="G319" s="383">
        <f ca="1"/>
        <v>0</v>
      </c>
      <c r="H319" s="383">
        <f ca="1"/>
        <v>0</v>
      </c>
      <c r="I319" s="383">
        <f ca="1"/>
        <v>0</v>
      </c>
      <c r="J319" s="383">
        <f ca="1"/>
        <v>0</v>
      </c>
      <c r="K319" s="383">
        <f ca="1"/>
        <v>0</v>
      </c>
      <c r="P319" s="386"/>
      <c r="Q319" s="768">
        <f ca="1">IF(F319&lt;&gt;0,+F319/'DA-21'!D$114,0)</f>
        <v>0</v>
      </c>
      <c r="R319" s="768">
        <f ca="1">IF(G319&lt;&gt;0,+G319/'DA-21'!E$114,0)</f>
        <v>0</v>
      </c>
      <c r="S319" s="768">
        <f ca="1">IF(H319&lt;&gt;0,+H319/'DA-21'!F$114,0)</f>
        <v>0</v>
      </c>
      <c r="T319" s="768">
        <f ca="1">IF(I319&lt;&gt;0,+I319/'DA-21'!G$114,0)</f>
        <v>0</v>
      </c>
      <c r="U319" s="768">
        <f ca="1">IF(J319&lt;&gt;0,+J319/'DA-21'!H$114,0)</f>
        <v>0</v>
      </c>
      <c r="V319" s="768">
        <f ca="1">IF(K319&lt;&gt;0,+K319/'DA-21'!I$114,0)</f>
        <v>0</v>
      </c>
    </row>
    <row r="320" spans="1:22" s="767" customFormat="1">
      <c r="A320" s="5"/>
      <c r="B320" s="249"/>
      <c r="C320" s="425" t="str">
        <v>Services-construction</v>
      </c>
      <c r="D320" s="426" t="str">
        <v>Contracts</v>
      </c>
      <c r="E320" s="847">
        <f ca="1"/>
        <v>0</v>
      </c>
      <c r="F320" s="386">
        <f ca="1"/>
        <v>0</v>
      </c>
      <c r="G320" s="383">
        <f ca="1"/>
        <v>2.5265248957030338E-5</v>
      </c>
      <c r="H320" s="383">
        <f ca="1"/>
        <v>5.1149604880569651E-5</v>
      </c>
      <c r="I320" s="383">
        <f ca="1"/>
        <v>9.8458592534840649E-5</v>
      </c>
      <c r="J320" s="383">
        <f ca="1"/>
        <v>1.551475115112873E-4</v>
      </c>
      <c r="K320" s="383">
        <f ca="1"/>
        <v>2.2419207056852513E-4</v>
      </c>
      <c r="P320" s="386"/>
      <c r="Q320" s="768">
        <f ca="1">IF(F320&lt;&gt;0,+F320/'DA-21'!D$115,0)</f>
        <v>0</v>
      </c>
      <c r="R320" s="768">
        <f ca="1">IF(G320&lt;&gt;0,+G320/'DA-21'!E$115,0)</f>
        <v>5.0530497914061754E-3</v>
      </c>
      <c r="S320" s="768">
        <f ca="1">IF(H320&lt;&gt;0,+H320/'DA-21'!F$115,0)</f>
        <v>5.1022049756180585E-3</v>
      </c>
      <c r="T320" s="768">
        <f ca="1">IF(I320&lt;&gt;0,+I320/'DA-21'!G$115,0)</f>
        <v>5.1507943293810643E-3</v>
      </c>
      <c r="U320" s="768">
        <f ca="1">IF(J320&lt;&gt;0,+J320/'DA-21'!H$115,0)</f>
        <v>5.2035098757349787E-3</v>
      </c>
      <c r="V320" s="768">
        <f ca="1">IF(K320&lt;&gt;0,+K320/'DA-21'!I$115,0)</f>
        <v>5.251797710720001E-3</v>
      </c>
    </row>
    <row r="321" spans="1:22" s="767" customFormat="1">
      <c r="A321" s="5"/>
      <c r="B321" s="249"/>
      <c r="C321" s="425" t="str">
        <v>Services-general</v>
      </c>
      <c r="D321" s="426" t="str">
        <v>Services Other</v>
      </c>
      <c r="E321" s="847">
        <f ca="1"/>
        <v>0</v>
      </c>
      <c r="F321" s="386">
        <f ca="1"/>
        <v>0</v>
      </c>
      <c r="G321" s="383">
        <f ca="1"/>
        <v>2.2218259932812477E-2</v>
      </c>
      <c r="H321" s="383">
        <f ca="1"/>
        <v>4.4980962531972951E-2</v>
      </c>
      <c r="I321" s="383">
        <f ca="1"/>
        <v>8.6584486275138844E-2</v>
      </c>
      <c r="J321" s="383">
        <f ca="1"/>
        <v>0.13643672162302603</v>
      </c>
      <c r="K321" s="383">
        <f ca="1"/>
        <v>0.19715450685796096</v>
      </c>
      <c r="P321" s="386"/>
      <c r="Q321" s="768">
        <f ca="1">IF(F321&lt;&gt;0,+F321/'DA-21'!D$116,0)</f>
        <v>0</v>
      </c>
      <c r="R321" s="768">
        <f ca="1">IF(G321&lt;&gt;0,+G321/'DA-21'!E$116,0)</f>
        <v>4.4436519865625899</v>
      </c>
      <c r="S321" s="768">
        <f ca="1">IF(H321&lt;&gt;0,+H321/'DA-21'!F$116,0)</f>
        <v>4.4868790555585205</v>
      </c>
      <c r="T321" s="768">
        <f ca="1">IF(I321&lt;&gt;0,+I321/'DA-21'!G$116,0)</f>
        <v>4.529608533257707</v>
      </c>
      <c r="U321" s="768">
        <f ca="1">IF(J321&lt;&gt;0,+J321/'DA-21'!H$116,0)</f>
        <v>4.5759665847213391</v>
      </c>
      <c r="V321" s="768">
        <f ca="1">IF(K321&lt;&gt;0,+K321/'DA-21'!I$116,0)</f>
        <v>4.6184309068071681</v>
      </c>
    </row>
    <row r="322" spans="1:22" s="767" customFormat="1">
      <c r="A322" s="5"/>
      <c r="B322" s="249"/>
      <c r="C322" s="425" t="str">
        <v>Labour</v>
      </c>
      <c r="D322" s="426" t="str">
        <v>Business Overheads</v>
      </c>
      <c r="E322" s="847">
        <f ca="1"/>
        <v>0</v>
      </c>
      <c r="F322" s="386">
        <f ca="1"/>
        <v>0</v>
      </c>
      <c r="G322" s="383">
        <f ca="1"/>
        <v>0</v>
      </c>
      <c r="H322" s="383">
        <f ca="1"/>
        <v>0</v>
      </c>
      <c r="I322" s="383">
        <f ca="1"/>
        <v>0</v>
      </c>
      <c r="J322" s="383">
        <f ca="1"/>
        <v>0</v>
      </c>
      <c r="K322" s="383">
        <f ca="1"/>
        <v>0</v>
      </c>
      <c r="P322" s="386"/>
      <c r="Q322" s="768">
        <f ca="1">IF(F322&lt;&gt;0,+F322/'DA-21'!D$117,0)</f>
        <v>0</v>
      </c>
      <c r="R322" s="768">
        <f ca="1">IF(G322&lt;&gt;0,+G322/'DA-21'!E$117,0)</f>
        <v>0</v>
      </c>
      <c r="S322" s="768">
        <f ca="1">IF(H322&lt;&gt;0,+H322/'DA-21'!F$117,0)</f>
        <v>0</v>
      </c>
      <c r="T322" s="768">
        <f ca="1">IF(I322&lt;&gt;0,+I322/'DA-21'!G$117,0)</f>
        <v>0</v>
      </c>
      <c r="U322" s="768">
        <f ca="1">IF(J322&lt;&gt;0,+J322/'DA-21'!H$117,0)</f>
        <v>0</v>
      </c>
      <c r="V322" s="768">
        <f ca="1">IF(K322&lt;&gt;0,+K322/'DA-21'!I$117,0)</f>
        <v>0</v>
      </c>
    </row>
    <row r="323" spans="1:22" s="767" customFormat="1">
      <c r="A323" s="5"/>
      <c r="B323" s="249"/>
      <c r="C323" s="425" t="str">
        <v>Materials - Land</v>
      </c>
      <c r="D323" s="426" t="str">
        <v>Other</v>
      </c>
      <c r="E323" s="847">
        <f ca="1"/>
        <v>0</v>
      </c>
      <c r="F323" s="386">
        <f ca="1"/>
        <v>0</v>
      </c>
      <c r="G323" s="383">
        <f ca="1"/>
        <v>0</v>
      </c>
      <c r="H323" s="383">
        <f ca="1"/>
        <v>0</v>
      </c>
      <c r="I323" s="383">
        <f ca="1"/>
        <v>0</v>
      </c>
      <c r="J323" s="383">
        <f ca="1"/>
        <v>0</v>
      </c>
      <c r="K323" s="383">
        <f ca="1"/>
        <v>0</v>
      </c>
      <c r="P323" s="386"/>
      <c r="Q323" s="768">
        <f ca="1">IF(F323&lt;&gt;0,+F323/'DA-21'!D$118,0)</f>
        <v>0</v>
      </c>
      <c r="R323" s="768">
        <f ca="1">IF(G323&lt;&gt;0,+G323/'DA-21'!E$118,0)</f>
        <v>0</v>
      </c>
      <c r="S323" s="768">
        <f ca="1">IF(H323&lt;&gt;0,+H323/'DA-21'!F$118,0)</f>
        <v>0</v>
      </c>
      <c r="T323" s="768">
        <f ca="1">IF(I323&lt;&gt;0,+I323/'DA-21'!G$118,0)</f>
        <v>0</v>
      </c>
      <c r="U323" s="768">
        <f ca="1">IF(J323&lt;&gt;0,+J323/'DA-21'!H$118,0)</f>
        <v>0</v>
      </c>
      <c r="V323" s="768">
        <f ca="1">IF(K323&lt;&gt;0,+K323/'DA-21'!I$118,0)</f>
        <v>0</v>
      </c>
    </row>
    <row r="324" spans="1:22">
      <c r="A324" s="5"/>
      <c r="B324" s="249" t="str">
        <f ca="1">+'I-4 History'!B196</f>
        <v>DA-22</v>
      </c>
      <c r="C324" s="14" t="str">
        <f ca="1">+'I-4 History'!C196</f>
        <v>Network Insurance</v>
      </c>
      <c r="D324" s="418"/>
      <c r="E324" s="507"/>
      <c r="F324" s="11"/>
      <c r="G324" s="11"/>
      <c r="H324" s="11"/>
      <c r="I324" s="11"/>
      <c r="J324" s="11"/>
      <c r="K324" s="11"/>
      <c r="P324" s="11"/>
      <c r="Q324" s="11"/>
      <c r="R324" s="11"/>
      <c r="S324" s="11"/>
      <c r="T324" s="11"/>
      <c r="U324" s="11"/>
      <c r="V324" s="11"/>
    </row>
    <row r="325" spans="1:22">
      <c r="A325" s="5"/>
      <c r="B325" s="249"/>
      <c r="C325" s="424" t="s">
        <v>74</v>
      </c>
      <c r="D325" s="416"/>
      <c r="E325" s="507"/>
      <c r="F325" s="11"/>
      <c r="G325" s="11"/>
      <c r="H325" s="11"/>
      <c r="I325" s="11"/>
      <c r="J325" s="11"/>
      <c r="K325" s="11"/>
      <c r="P325" s="11"/>
      <c r="Q325" s="11"/>
      <c r="R325" s="11"/>
      <c r="S325" s="11"/>
      <c r="T325" s="11"/>
      <c r="U325" s="11"/>
      <c r="V325" s="11"/>
    </row>
    <row r="326" spans="1:22">
      <c r="A326" s="5"/>
      <c r="B326" s="249"/>
      <c r="C326" s="425" t="str">
        <f t="array" ref="C326:D331">+'DA-22'!$A$77:$B$82</f>
        <v>Total Output Growth</v>
      </c>
      <c r="D326" s="426" t="str">
        <v>Labour</v>
      </c>
      <c r="E326" s="847">
        <f t="array" ref="E326:K331" ca="1">+'DA-22'!$N$77:$T$82</f>
        <v>0</v>
      </c>
      <c r="F326" s="386">
        <f ca="1"/>
        <v>0</v>
      </c>
      <c r="G326" s="383">
        <f ca="1"/>
        <v>4.8751277675013532E-3</v>
      </c>
      <c r="H326" s="383">
        <f ca="1"/>
        <v>9.3923520037515838E-3</v>
      </c>
      <c r="I326" s="383">
        <f ca="1"/>
        <v>1.3857578000990835E-2</v>
      </c>
      <c r="J326" s="383">
        <f ca="1"/>
        <v>1.8701989581072082E-2</v>
      </c>
      <c r="K326" s="383">
        <f ca="1"/>
        <v>2.3139506844157904E-2</v>
      </c>
      <c r="L326" s="790"/>
      <c r="M326" s="790"/>
      <c r="N326" s="790"/>
      <c r="O326" s="790"/>
      <c r="P326" s="386"/>
      <c r="Q326" s="768">
        <f ca="1">IF(F326&lt;&gt;0,+F326/'DA-22'!D$77,0)</f>
        <v>0</v>
      </c>
      <c r="R326" s="768">
        <f ca="1">IF(G326&lt;&gt;0,+G326/'DA-22'!E$77,0)</f>
        <v>0.4594860449285228</v>
      </c>
      <c r="S326" s="768">
        <f ca="1">IF(H326&lt;&gt;0,+H326/'DA-22'!F$77,0)</f>
        <v>0.4594860449285228</v>
      </c>
      <c r="T326" s="768">
        <f ca="1">IF(I326&lt;&gt;0,+I326/'DA-22'!G$77,0)</f>
        <v>0.4594860449285228</v>
      </c>
      <c r="U326" s="768">
        <f ca="1">IF(J326&lt;&gt;0,+J326/'DA-22'!H$77,0)</f>
        <v>0.4594860449285228</v>
      </c>
      <c r="V326" s="768">
        <f ca="1">IF(K326&lt;&gt;0,+K326/'DA-22'!I$77,0)</f>
        <v>0.4594860449285228</v>
      </c>
    </row>
    <row r="327" spans="1:22">
      <c r="A327" s="5"/>
      <c r="B327" s="249"/>
      <c r="C327" s="425" t="str">
        <v>Total Output Growth</v>
      </c>
      <c r="D327" s="426" t="str">
        <v>Materials</v>
      </c>
      <c r="E327" s="847">
        <f ca="1"/>
        <v>0</v>
      </c>
      <c r="F327" s="386">
        <f ca="1"/>
        <v>0</v>
      </c>
      <c r="G327" s="383">
        <f ca="1"/>
        <v>0</v>
      </c>
      <c r="H327" s="383">
        <f ca="1"/>
        <v>0</v>
      </c>
      <c r="I327" s="383">
        <f ca="1"/>
        <v>0</v>
      </c>
      <c r="J327" s="383">
        <f ca="1"/>
        <v>0</v>
      </c>
      <c r="K327" s="383">
        <f ca="1"/>
        <v>0</v>
      </c>
      <c r="L327" s="790"/>
      <c r="M327" s="790"/>
      <c r="N327" s="790"/>
      <c r="O327" s="790"/>
      <c r="P327" s="386"/>
      <c r="Q327" s="768">
        <f ca="1">IF(F327&lt;&gt;0,+F327/'DA-22'!D$78,0)</f>
        <v>0</v>
      </c>
      <c r="R327" s="768">
        <f ca="1">IF(G327&lt;&gt;0,+G327/'DA-22'!E$78,0)</f>
        <v>0</v>
      </c>
      <c r="S327" s="768">
        <f ca="1">IF(H327&lt;&gt;0,+H327/'DA-22'!F$78,0)</f>
        <v>0</v>
      </c>
      <c r="T327" s="768">
        <f ca="1">IF(I327&lt;&gt;0,+I327/'DA-22'!G$78,0)</f>
        <v>0</v>
      </c>
      <c r="U327" s="768">
        <f ca="1">IF(J327&lt;&gt;0,+J327/'DA-22'!H$78,0)</f>
        <v>0</v>
      </c>
      <c r="V327" s="768">
        <f ca="1">IF(K327&lt;&gt;0,+K327/'DA-22'!I$78,0)</f>
        <v>0</v>
      </c>
    </row>
    <row r="328" spans="1:22">
      <c r="A328" s="5"/>
      <c r="B328" s="249"/>
      <c r="C328" s="425" t="str">
        <v>Total Output Growth</v>
      </c>
      <c r="D328" s="426" t="str">
        <v>Contracts</v>
      </c>
      <c r="E328" s="847">
        <f ca="1"/>
        <v>0</v>
      </c>
      <c r="F328" s="386">
        <f ca="1"/>
        <v>0</v>
      </c>
      <c r="G328" s="383">
        <f ca="1"/>
        <v>7.3359663895510642E-5</v>
      </c>
      <c r="H328" s="383">
        <f ca="1"/>
        <v>1.4133368786284857E-4</v>
      </c>
      <c r="I328" s="383">
        <f ca="1"/>
        <v>2.0852525575540778E-4</v>
      </c>
      <c r="J328" s="383">
        <f ca="1"/>
        <v>2.8142271039348896E-4</v>
      </c>
      <c r="K328" s="383">
        <f ca="1"/>
        <v>3.4819732440885624E-4</v>
      </c>
      <c r="L328" s="790"/>
      <c r="M328" s="790"/>
      <c r="N328" s="790"/>
      <c r="O328" s="790"/>
      <c r="P328" s="386"/>
      <c r="Q328" s="768">
        <f ca="1">IF(F328&lt;&gt;0,+F328/'DA-22'!D$79,0)</f>
        <v>0</v>
      </c>
      <c r="R328" s="768">
        <f ca="1">IF(G328&lt;&gt;0,+G328/'DA-22'!E$79,0)</f>
        <v>6.9142273655547993E-3</v>
      </c>
      <c r="S328" s="768">
        <f ca="1">IF(H328&lt;&gt;0,+H328/'DA-22'!F$79,0)</f>
        <v>6.9142273655547993E-3</v>
      </c>
      <c r="T328" s="768">
        <f ca="1">IF(I328&lt;&gt;0,+I328/'DA-22'!G$79,0)</f>
        <v>6.9142273655547993E-3</v>
      </c>
      <c r="U328" s="768">
        <f ca="1">IF(J328&lt;&gt;0,+J328/'DA-22'!H$79,0)</f>
        <v>6.9142273655547993E-3</v>
      </c>
      <c r="V328" s="768">
        <f ca="1">IF(K328&lt;&gt;0,+K328/'DA-22'!I$79,0)</f>
        <v>6.9142273655547993E-3</v>
      </c>
    </row>
    <row r="329" spans="1:22" s="790" customFormat="1">
      <c r="A329" s="5"/>
      <c r="B329" s="249"/>
      <c r="C329" s="425" t="str">
        <v>Total Output Growth</v>
      </c>
      <c r="D329" s="426" t="str">
        <v>Services Other</v>
      </c>
      <c r="E329" s="847">
        <f ca="1"/>
        <v>0</v>
      </c>
      <c r="F329" s="386">
        <f ca="1"/>
        <v>0</v>
      </c>
      <c r="G329" s="383">
        <f ca="1"/>
        <v>0</v>
      </c>
      <c r="H329" s="383">
        <f ca="1"/>
        <v>0</v>
      </c>
      <c r="I329" s="383">
        <f ca="1"/>
        <v>0</v>
      </c>
      <c r="J329" s="383">
        <f ca="1"/>
        <v>0</v>
      </c>
      <c r="K329" s="383">
        <f ca="1"/>
        <v>0</v>
      </c>
      <c r="P329" s="386"/>
      <c r="Q329" s="768">
        <f ca="1">IF(F329&lt;&gt;0,+F329/'DA-22'!D$80,0)</f>
        <v>0</v>
      </c>
      <c r="R329" s="768">
        <f ca="1">IF(G329&lt;&gt;0,+G329/'DA-22'!E$80,0)</f>
        <v>0</v>
      </c>
      <c r="S329" s="768">
        <f ca="1">IF(H329&lt;&gt;0,+H329/'DA-22'!F$80,0)</f>
        <v>0</v>
      </c>
      <c r="T329" s="768">
        <f ca="1">IF(I329&lt;&gt;0,+I329/'DA-22'!G$80,0)</f>
        <v>0</v>
      </c>
      <c r="U329" s="768">
        <f ca="1">IF(J329&lt;&gt;0,+J329/'DA-22'!H$80,0)</f>
        <v>0</v>
      </c>
      <c r="V329" s="768">
        <f ca="1">IF(K329&lt;&gt;0,+K329/'DA-22'!I$80,0)</f>
        <v>0</v>
      </c>
    </row>
    <row r="330" spans="1:22" s="790" customFormat="1">
      <c r="A330" s="5"/>
      <c r="B330" s="249"/>
      <c r="C330" s="425" t="str">
        <v>Total Output Growth</v>
      </c>
      <c r="D330" s="426" t="str">
        <v>Business Overheads</v>
      </c>
      <c r="E330" s="847">
        <f ca="1"/>
        <v>0</v>
      </c>
      <c r="F330" s="386">
        <f ca="1"/>
        <v>0</v>
      </c>
      <c r="G330" s="383">
        <f ca="1"/>
        <v>0</v>
      </c>
      <c r="H330" s="383">
        <f ca="1"/>
        <v>0</v>
      </c>
      <c r="I330" s="383">
        <f ca="1"/>
        <v>0</v>
      </c>
      <c r="J330" s="383">
        <f ca="1"/>
        <v>0</v>
      </c>
      <c r="K330" s="383">
        <f ca="1"/>
        <v>0</v>
      </c>
      <c r="P330" s="386"/>
      <c r="Q330" s="768">
        <f ca="1">IF(F330&lt;&gt;0,+F330/'DA-22'!D$81,0)</f>
        <v>0</v>
      </c>
      <c r="R330" s="768">
        <f ca="1">IF(G330&lt;&gt;0,+G330/'DA-22'!E$81,0)</f>
        <v>0</v>
      </c>
      <c r="S330" s="768">
        <f ca="1">IF(H330&lt;&gt;0,+H330/'DA-22'!F$81,0)</f>
        <v>0</v>
      </c>
      <c r="T330" s="768">
        <f ca="1">IF(I330&lt;&gt;0,+I330/'DA-22'!G$81,0)</f>
        <v>0</v>
      </c>
      <c r="U330" s="768">
        <f ca="1">IF(J330&lt;&gt;0,+J330/'DA-22'!H$81,0)</f>
        <v>0</v>
      </c>
      <c r="V330" s="768">
        <f ca="1">IF(K330&lt;&gt;0,+K330/'DA-22'!I$81,0)</f>
        <v>0</v>
      </c>
    </row>
    <row r="331" spans="1:22" s="790" customFormat="1">
      <c r="A331" s="5"/>
      <c r="B331" s="249"/>
      <c r="C331" s="425" t="str">
        <v>Total Output Growth</v>
      </c>
      <c r="D331" s="426" t="str">
        <v>Other</v>
      </c>
      <c r="E331" s="847">
        <f ca="1"/>
        <v>0</v>
      </c>
      <c r="F331" s="386">
        <f ca="1"/>
        <v>0</v>
      </c>
      <c r="G331" s="383">
        <f ca="1"/>
        <v>2.6913217287152201E-2</v>
      </c>
      <c r="H331" s="383">
        <f ca="1"/>
        <v>5.1850622664591645E-2</v>
      </c>
      <c r="I331" s="383">
        <f ca="1"/>
        <v>7.6500970969520965E-2</v>
      </c>
      <c r="J331" s="383">
        <f ca="1"/>
        <v>0.10324461907496249</v>
      </c>
      <c r="K331" s="383">
        <f ca="1"/>
        <v>0.12774200088986576</v>
      </c>
      <c r="P331" s="386"/>
      <c r="Q331" s="768">
        <f ca="1">IF(F331&lt;&gt;0,+F331/'DA-22'!D$82,0)</f>
        <v>0</v>
      </c>
      <c r="R331" s="768">
        <f ca="1">IF(G331&lt;&gt;0,+G331/'DA-22'!E$82,0)</f>
        <v>2.536599727705922</v>
      </c>
      <c r="S331" s="768">
        <f ca="1">IF(H331&lt;&gt;0,+H331/'DA-22'!F$82,0)</f>
        <v>2.536599727705922</v>
      </c>
      <c r="T331" s="768">
        <f ca="1">IF(I331&lt;&gt;0,+I331/'DA-22'!G$82,0)</f>
        <v>2.536599727705922</v>
      </c>
      <c r="U331" s="768">
        <f ca="1">IF(J331&lt;&gt;0,+J331/'DA-22'!H$82,0)</f>
        <v>2.536599727705922</v>
      </c>
      <c r="V331" s="768">
        <f ca="1">IF(K331&lt;&gt;0,+K331/'DA-22'!I$82,0)</f>
        <v>2.536599727705922</v>
      </c>
    </row>
    <row r="332" spans="1:22">
      <c r="A332" s="5"/>
      <c r="B332" s="249"/>
      <c r="C332" s="424" t="s">
        <v>73</v>
      </c>
      <c r="D332" s="417"/>
      <c r="E332" s="848"/>
      <c r="F332" s="387"/>
      <c r="G332" s="385"/>
      <c r="H332" s="385"/>
      <c r="I332" s="385"/>
      <c r="J332" s="385"/>
      <c r="K332" s="385"/>
      <c r="P332" s="387"/>
      <c r="Q332" s="385"/>
      <c r="R332" s="385"/>
      <c r="S332" s="385"/>
      <c r="T332" s="385"/>
      <c r="U332" s="385"/>
      <c r="V332" s="385"/>
    </row>
    <row r="333" spans="1:22" s="767" customFormat="1">
      <c r="A333" s="5"/>
      <c r="B333" s="249"/>
      <c r="C333" s="425" t="str">
        <f t="array" ref="C333:D338">+'DA-22'!$A$113:$B$119</f>
        <v>Labour</v>
      </c>
      <c r="D333" s="426" t="str">
        <v>Labour</v>
      </c>
      <c r="E333" s="847">
        <f t="array" ref="E333:K338" ca="1">+'DA-22'!$N$113:$T$119</f>
        <v>0</v>
      </c>
      <c r="F333" s="386">
        <f ca="1"/>
        <v>0</v>
      </c>
      <c r="G333" s="383">
        <f ca="1"/>
        <v>9.9642462101145642E-3</v>
      </c>
      <c r="H333" s="383">
        <f ca="1"/>
        <v>2.0338245693073433E-2</v>
      </c>
      <c r="I333" s="383">
        <f ca="1"/>
        <v>3.1710184293912723E-2</v>
      </c>
      <c r="J333" s="383">
        <f ca="1"/>
        <v>4.3582972243961703E-2</v>
      </c>
      <c r="K333" s="383">
        <f ca="1"/>
        <v>5.5906639608022411E-2</v>
      </c>
      <c r="P333" s="386"/>
      <c r="Q333" s="768">
        <f ca="1">IF(F333&lt;&gt;0,+F333/'DA-22'!D$113,0)</f>
        <v>0</v>
      </c>
      <c r="R333" s="768">
        <f ca="1">IF(G333&lt;&gt;0,+G333/'DA-22'!E$113,0)</f>
        <v>0.46436117269602417</v>
      </c>
      <c r="S333" s="768">
        <f ca="1">IF(H333&lt;&gt;0,+H333/'DA-22'!F$113,0)</f>
        <v>0.4688783969322744</v>
      </c>
      <c r="T333" s="768">
        <f ca="1">IF(I333&lt;&gt;0,+I333/'DA-22'!G$113,0)</f>
        <v>0.4733436229295136</v>
      </c>
      <c r="U333" s="768">
        <f ca="1">IF(J333&lt;&gt;0,+J333/'DA-22'!H$113,0)</f>
        <v>0.47818803450959491</v>
      </c>
      <c r="V333" s="768">
        <f ca="1">IF(K333&lt;&gt;0,+K333/'DA-22'!I$113,0)</f>
        <v>0.48262555177268068</v>
      </c>
    </row>
    <row r="334" spans="1:22" s="767" customFormat="1">
      <c r="A334" s="5"/>
      <c r="B334" s="249"/>
      <c r="C334" s="425" t="str">
        <v>Materials</v>
      </c>
      <c r="D334" s="426" t="str">
        <v>Materials</v>
      </c>
      <c r="E334" s="847">
        <f ca="1"/>
        <v>0</v>
      </c>
      <c r="F334" s="386">
        <f ca="1"/>
        <v>0</v>
      </c>
      <c r="G334" s="383">
        <f ca="1"/>
        <v>0</v>
      </c>
      <c r="H334" s="383">
        <f ca="1"/>
        <v>0</v>
      </c>
      <c r="I334" s="383">
        <f ca="1"/>
        <v>0</v>
      </c>
      <c r="J334" s="383">
        <f ca="1"/>
        <v>0</v>
      </c>
      <c r="K334" s="383">
        <f ca="1"/>
        <v>0</v>
      </c>
      <c r="P334" s="386"/>
      <c r="Q334" s="768">
        <f ca="1">IF(F334&lt;&gt;0,+F334/'DA-22'!D$114,0)</f>
        <v>0</v>
      </c>
      <c r="R334" s="768">
        <f ca="1">IF(G334&lt;&gt;0,+G334/'DA-22'!E$114,0)</f>
        <v>0</v>
      </c>
      <c r="S334" s="768">
        <f ca="1">IF(H334&lt;&gt;0,+H334/'DA-22'!F$114,0)</f>
        <v>0</v>
      </c>
      <c r="T334" s="768">
        <f ca="1">IF(I334&lt;&gt;0,+I334/'DA-22'!G$114,0)</f>
        <v>0</v>
      </c>
      <c r="U334" s="768">
        <f ca="1">IF(J334&lt;&gt;0,+J334/'DA-22'!H$114,0)</f>
        <v>0</v>
      </c>
      <c r="V334" s="768">
        <f ca="1">IF(K334&lt;&gt;0,+K334/'DA-22'!I$114,0)</f>
        <v>0</v>
      </c>
    </row>
    <row r="335" spans="1:22" s="767" customFormat="1">
      <c r="A335" s="5"/>
      <c r="B335" s="249"/>
      <c r="C335" s="425" t="str">
        <v>Services-construction</v>
      </c>
      <c r="D335" s="426" t="str">
        <v>Contracts</v>
      </c>
      <c r="E335" s="847">
        <f ca="1"/>
        <v>0</v>
      </c>
      <c r="F335" s="386">
        <f ca="1"/>
        <v>0</v>
      </c>
      <c r="G335" s="383">
        <f ca="1"/>
        <v>3.4937935147250808E-5</v>
      </c>
      <c r="H335" s="383">
        <f ca="1"/>
        <v>7.0731999560510003E-5</v>
      </c>
      <c r="I335" s="383">
        <f ca="1"/>
        <v>1.3615301897568094E-4</v>
      </c>
      <c r="J335" s="383">
        <f ca="1"/>
        <v>2.1454503395781417E-4</v>
      </c>
      <c r="K335" s="383">
        <f ca="1"/>
        <v>3.1002298989305784E-4</v>
      </c>
      <c r="P335" s="386"/>
      <c r="Q335" s="768">
        <f ca="1">IF(F335&lt;&gt;0,+F335/'DA-22'!D$115,0)</f>
        <v>0</v>
      </c>
      <c r="R335" s="768">
        <f ca="1">IF(G335&lt;&gt;0,+G335/'DA-22'!E$115,0)</f>
        <v>6.9875870294503102E-3</v>
      </c>
      <c r="S335" s="768">
        <f ca="1">IF(H335&lt;&gt;0,+H335/'DA-22'!F$115,0)</f>
        <v>7.055561053417648E-3</v>
      </c>
      <c r="T335" s="768">
        <f ca="1">IF(I335&lt;&gt;0,+I335/'DA-22'!G$115,0)</f>
        <v>7.1227526213102068E-3</v>
      </c>
      <c r="U335" s="768">
        <f ca="1">IF(J335&lt;&gt;0,+J335/'DA-22'!H$115,0)</f>
        <v>7.1956500759482881E-3</v>
      </c>
      <c r="V335" s="768">
        <f ca="1">IF(K335&lt;&gt;0,+K335/'DA-22'!I$115,0)</f>
        <v>7.2624246899636556E-3</v>
      </c>
    </row>
    <row r="336" spans="1:22" s="767" customFormat="1">
      <c r="A336" s="5"/>
      <c r="B336" s="249"/>
      <c r="C336" s="425" t="str">
        <v>Services-general</v>
      </c>
      <c r="D336" s="426" t="str">
        <v>Services Other</v>
      </c>
      <c r="E336" s="847">
        <f ca="1"/>
        <v>0</v>
      </c>
      <c r="F336" s="386">
        <f ca="1"/>
        <v>0</v>
      </c>
      <c r="G336" s="383">
        <f ca="1"/>
        <v>0</v>
      </c>
      <c r="H336" s="383">
        <f ca="1"/>
        <v>0</v>
      </c>
      <c r="I336" s="383">
        <f ca="1"/>
        <v>0</v>
      </c>
      <c r="J336" s="383">
        <f ca="1"/>
        <v>0</v>
      </c>
      <c r="K336" s="383">
        <f ca="1"/>
        <v>0</v>
      </c>
      <c r="P336" s="386"/>
      <c r="Q336" s="768">
        <f ca="1">IF(F336&lt;&gt;0,+F336/'DA-22'!D$116,0)</f>
        <v>0</v>
      </c>
      <c r="R336" s="768">
        <f ca="1">IF(G336&lt;&gt;0,+G336/'DA-22'!E$116,0)</f>
        <v>0</v>
      </c>
      <c r="S336" s="768">
        <f ca="1">IF(H336&lt;&gt;0,+H336/'DA-22'!F$116,0)</f>
        <v>0</v>
      </c>
      <c r="T336" s="768">
        <f ca="1">IF(I336&lt;&gt;0,+I336/'DA-22'!G$116,0)</f>
        <v>0</v>
      </c>
      <c r="U336" s="768">
        <f ca="1">IF(J336&lt;&gt;0,+J336/'DA-22'!H$116,0)</f>
        <v>0</v>
      </c>
      <c r="V336" s="768">
        <f ca="1">IF(K336&lt;&gt;0,+K336/'DA-22'!I$116,0)</f>
        <v>0</v>
      </c>
    </row>
    <row r="337" spans="1:22" s="767" customFormat="1">
      <c r="A337" s="5"/>
      <c r="B337" s="249"/>
      <c r="C337" s="425" t="str">
        <v>Labour</v>
      </c>
      <c r="D337" s="426" t="str">
        <v>Business Overheads</v>
      </c>
      <c r="E337" s="847">
        <f ca="1"/>
        <v>0</v>
      </c>
      <c r="F337" s="386">
        <f ca="1"/>
        <v>0</v>
      </c>
      <c r="G337" s="383">
        <f ca="1"/>
        <v>0</v>
      </c>
      <c r="H337" s="383">
        <f ca="1"/>
        <v>0</v>
      </c>
      <c r="I337" s="383">
        <f ca="1"/>
        <v>0</v>
      </c>
      <c r="J337" s="383">
        <f ca="1"/>
        <v>0</v>
      </c>
      <c r="K337" s="383">
        <f ca="1"/>
        <v>0</v>
      </c>
      <c r="P337" s="386"/>
      <c r="Q337" s="768">
        <f ca="1">IF(F337&lt;&gt;0,+F337/'DA-22'!D$117,0)</f>
        <v>0</v>
      </c>
      <c r="R337" s="768">
        <f ca="1">IF(G337&lt;&gt;0,+G337/'DA-22'!E$117,0)</f>
        <v>0</v>
      </c>
      <c r="S337" s="768">
        <f ca="1">IF(H337&lt;&gt;0,+H337/'DA-22'!F$117,0)</f>
        <v>0</v>
      </c>
      <c r="T337" s="768">
        <f ca="1">IF(I337&lt;&gt;0,+I337/'DA-22'!G$117,0)</f>
        <v>0</v>
      </c>
      <c r="U337" s="768">
        <f ca="1">IF(J337&lt;&gt;0,+J337/'DA-22'!H$117,0)</f>
        <v>0</v>
      </c>
      <c r="V337" s="768">
        <f ca="1">IF(K337&lt;&gt;0,+K337/'DA-22'!I$117,0)</f>
        <v>0</v>
      </c>
    </row>
    <row r="338" spans="1:22" s="767" customFormat="1">
      <c r="A338" s="5"/>
      <c r="B338" s="249"/>
      <c r="C338" s="425" t="str">
        <v>Materials - Land</v>
      </c>
      <c r="D338" s="426" t="str">
        <v>Other</v>
      </c>
      <c r="E338" s="847">
        <f ca="1"/>
        <v>0</v>
      </c>
      <c r="F338" s="386">
        <f ca="1"/>
        <v>0</v>
      </c>
      <c r="G338" s="383">
        <f ca="1"/>
        <v>0</v>
      </c>
      <c r="H338" s="383">
        <f ca="1"/>
        <v>0</v>
      </c>
      <c r="I338" s="383">
        <f ca="1"/>
        <v>0</v>
      </c>
      <c r="J338" s="383">
        <f ca="1"/>
        <v>0</v>
      </c>
      <c r="K338" s="383">
        <f ca="1"/>
        <v>0</v>
      </c>
      <c r="P338" s="386"/>
      <c r="Q338" s="768">
        <f ca="1">IF(F338&lt;&gt;0,+F338/'DA-22'!D$118,0)</f>
        <v>0</v>
      </c>
      <c r="R338" s="768">
        <f ca="1">IF(G338&lt;&gt;0,+G338/'DA-22'!E$118,0)</f>
        <v>0</v>
      </c>
      <c r="S338" s="768">
        <f ca="1">IF(H338&lt;&gt;0,+H338/'DA-22'!F$118,0)</f>
        <v>0</v>
      </c>
      <c r="T338" s="768">
        <f ca="1">IF(I338&lt;&gt;0,+I338/'DA-22'!G$118,0)</f>
        <v>0</v>
      </c>
      <c r="U338" s="768">
        <f ca="1">IF(J338&lt;&gt;0,+J338/'DA-22'!H$118,0)</f>
        <v>0</v>
      </c>
      <c r="V338" s="768">
        <f ca="1">IF(K338&lt;&gt;0,+K338/'DA-22'!I$118,0)</f>
        <v>0</v>
      </c>
    </row>
    <row r="339" spans="1:22">
      <c r="A339" s="5"/>
      <c r="B339" s="249" t="str">
        <f ca="1">+'I-4 History'!B205</f>
        <v>DA-23</v>
      </c>
      <c r="C339" s="14" t="str">
        <f ca="1">+'I-4 History'!C205</f>
        <v>Retail Contestability</v>
      </c>
      <c r="D339" s="418"/>
      <c r="E339" s="507"/>
      <c r="F339" s="11"/>
      <c r="G339" s="11"/>
      <c r="H339" s="11"/>
      <c r="I339" s="11"/>
      <c r="J339" s="11"/>
      <c r="K339" s="11"/>
      <c r="P339" s="11"/>
      <c r="Q339" s="11"/>
      <c r="R339" s="11"/>
      <c r="S339" s="11"/>
      <c r="T339" s="11"/>
      <c r="U339" s="11"/>
      <c r="V339" s="11"/>
    </row>
    <row r="340" spans="1:22">
      <c r="A340" s="5"/>
      <c r="B340" s="249"/>
      <c r="C340" s="424" t="s">
        <v>74</v>
      </c>
      <c r="D340" s="416"/>
      <c r="E340" s="507"/>
      <c r="F340" s="11"/>
      <c r="G340" s="11"/>
      <c r="H340" s="11"/>
      <c r="I340" s="11"/>
      <c r="J340" s="11"/>
      <c r="K340" s="11"/>
      <c r="P340" s="11"/>
      <c r="Q340" s="11"/>
      <c r="R340" s="11"/>
      <c r="S340" s="11"/>
      <c r="T340" s="11"/>
      <c r="U340" s="11"/>
      <c r="V340" s="11"/>
    </row>
    <row r="341" spans="1:22">
      <c r="A341" s="5"/>
      <c r="B341" s="249"/>
      <c r="C341" s="425" t="str">
        <f t="array" ref="C341:D346">+'DA-23'!$A$77:$B$82</f>
        <v>Total Output Growth</v>
      </c>
      <c r="D341" s="426" t="str">
        <v>Labour</v>
      </c>
      <c r="E341" s="847">
        <f t="array" ref="E341:K346" ca="1">+'DA-23'!$N$77:$T$82</f>
        <v>0</v>
      </c>
      <c r="F341" s="386">
        <f ca="1"/>
        <v>0</v>
      </c>
      <c r="G341" s="383">
        <f ca="1"/>
        <v>4.4031326867125749E-2</v>
      </c>
      <c r="H341" s="383">
        <f ca="1"/>
        <v>8.4830129762988746E-2</v>
      </c>
      <c r="I341" s="383">
        <f ca="1"/>
        <v>0.12515929338628334</v>
      </c>
      <c r="J341" s="383">
        <f ca="1"/>
        <v>0.16891319686003212</v>
      </c>
      <c r="K341" s="383">
        <f ca="1"/>
        <v>0.20899209989760073</v>
      </c>
      <c r="L341" s="790"/>
      <c r="M341" s="790"/>
      <c r="N341" s="790"/>
      <c r="O341" s="790"/>
      <c r="P341" s="386"/>
      <c r="Q341" s="768">
        <f ca="1">IF(F341&lt;&gt;0,+F341/'DA-23'!D$77,0)</f>
        <v>0</v>
      </c>
      <c r="R341" s="768">
        <f ca="1">IF(G341&lt;&gt;0,+G341/'DA-23'!E$77,0)</f>
        <v>4.1499999999999995</v>
      </c>
      <c r="S341" s="768">
        <f ca="1">IF(H341&lt;&gt;0,+H341/'DA-23'!F$77,0)</f>
        <v>4.1499999999999995</v>
      </c>
      <c r="T341" s="768">
        <f ca="1">IF(I341&lt;&gt;0,+I341/'DA-23'!G$77,0)</f>
        <v>4.1499999999999995</v>
      </c>
      <c r="U341" s="768">
        <f ca="1">IF(J341&lt;&gt;0,+J341/'DA-23'!H$77,0)</f>
        <v>4.1499999999999995</v>
      </c>
      <c r="V341" s="768">
        <f ca="1">IF(K341&lt;&gt;0,+K341/'DA-23'!I$77,0)</f>
        <v>4.1499999999999995</v>
      </c>
    </row>
    <row r="342" spans="1:22">
      <c r="A342" s="5"/>
      <c r="B342" s="249"/>
      <c r="C342" s="425" t="str">
        <v>Total Output Growth</v>
      </c>
      <c r="D342" s="426" t="str">
        <v>Materials</v>
      </c>
      <c r="E342" s="847">
        <f ca="1"/>
        <v>0</v>
      </c>
      <c r="F342" s="386">
        <f ca="1"/>
        <v>0</v>
      </c>
      <c r="G342" s="383">
        <f ca="1"/>
        <v>5.6232778890546141E-4</v>
      </c>
      <c r="H342" s="383">
        <f ca="1"/>
        <v>1.0833727415514227E-3</v>
      </c>
      <c r="I342" s="383">
        <f ca="1"/>
        <v>1.5984198914392816E-3</v>
      </c>
      <c r="J342" s="383">
        <f ca="1"/>
        <v>2.1572046827907716E-3</v>
      </c>
      <c r="K342" s="383">
        <f ca="1"/>
        <v>2.6690557336320093E-3</v>
      </c>
      <c r="L342" s="790"/>
      <c r="M342" s="790"/>
      <c r="N342" s="790"/>
      <c r="O342" s="790"/>
      <c r="P342" s="386"/>
      <c r="Q342" s="768">
        <f ca="1">IF(F342&lt;&gt;0,+F342/'DA-23'!D$78,0)</f>
        <v>0</v>
      </c>
      <c r="R342" s="768">
        <f ca="1">IF(G342&lt;&gt;0,+G342/'DA-23'!E$78,0)</f>
        <v>5.2999999999999999E-2</v>
      </c>
      <c r="S342" s="768">
        <f ca="1">IF(H342&lt;&gt;0,+H342/'DA-23'!F$78,0)</f>
        <v>5.2999999999999999E-2</v>
      </c>
      <c r="T342" s="768">
        <f ca="1">IF(I342&lt;&gt;0,+I342/'DA-23'!G$78,0)</f>
        <v>5.2999999999999999E-2</v>
      </c>
      <c r="U342" s="768">
        <f ca="1">IF(J342&lt;&gt;0,+J342/'DA-23'!H$78,0)</f>
        <v>5.2999999999999999E-2</v>
      </c>
      <c r="V342" s="768">
        <f ca="1">IF(K342&lt;&gt;0,+K342/'DA-23'!I$78,0)</f>
        <v>5.2999999999999999E-2</v>
      </c>
    </row>
    <row r="343" spans="1:22">
      <c r="A343" s="5"/>
      <c r="B343" s="249"/>
      <c r="C343" s="425" t="str">
        <v>Total Output Growth</v>
      </c>
      <c r="D343" s="426" t="str">
        <v>Contracts</v>
      </c>
      <c r="E343" s="847">
        <f ca="1"/>
        <v>0</v>
      </c>
      <c r="F343" s="386">
        <f ca="1"/>
        <v>0</v>
      </c>
      <c r="G343" s="383">
        <f ca="1"/>
        <v>0.12256623806482811</v>
      </c>
      <c r="H343" s="383">
        <f ca="1"/>
        <v>0.23613437566796291</v>
      </c>
      <c r="I343" s="383">
        <f ca="1"/>
        <v>0.34839521860201095</v>
      </c>
      <c r="J343" s="383">
        <f ca="1"/>
        <v>0.47018921689809423</v>
      </c>
      <c r="K343" s="383">
        <f ca="1"/>
        <v>0.58175343084749009</v>
      </c>
      <c r="L343" s="790"/>
      <c r="M343" s="790"/>
      <c r="N343" s="790"/>
      <c r="O343" s="790"/>
      <c r="P343" s="386"/>
      <c r="Q343" s="768">
        <f ca="1">IF(F343&lt;&gt;0,+F343/'DA-23'!D$79,0)</f>
        <v>0</v>
      </c>
      <c r="R343" s="768">
        <f ca="1">IF(G343&lt;&gt;0,+G343/'DA-23'!E$79,0)</f>
        <v>11.552</v>
      </c>
      <c r="S343" s="768">
        <f ca="1">IF(H343&lt;&gt;0,+H343/'DA-23'!F$79,0)</f>
        <v>11.552</v>
      </c>
      <c r="T343" s="768">
        <f ca="1">IF(I343&lt;&gt;0,+I343/'DA-23'!G$79,0)</f>
        <v>11.552</v>
      </c>
      <c r="U343" s="768">
        <f ca="1">IF(J343&lt;&gt;0,+J343/'DA-23'!H$79,0)</f>
        <v>11.552</v>
      </c>
      <c r="V343" s="768">
        <f ca="1">IF(K343&lt;&gt;0,+K343/'DA-23'!I$79,0)</f>
        <v>11.552</v>
      </c>
    </row>
    <row r="344" spans="1:22" s="790" customFormat="1">
      <c r="A344" s="5"/>
      <c r="B344" s="249"/>
      <c r="C344" s="425" t="str">
        <v>Total Output Growth</v>
      </c>
      <c r="D344" s="426" t="str">
        <v>Services Other</v>
      </c>
      <c r="E344" s="847">
        <f ca="1"/>
        <v>0</v>
      </c>
      <c r="F344" s="386">
        <f ca="1"/>
        <v>0</v>
      </c>
      <c r="G344" s="383">
        <f ca="1"/>
        <v>-8.6577259574878596E-3</v>
      </c>
      <c r="H344" s="383">
        <f ca="1"/>
        <v>-1.6679852020867188E-2</v>
      </c>
      <c r="I344" s="383">
        <f ca="1"/>
        <v>-2.4609634554989695E-2</v>
      </c>
      <c r="J344" s="383">
        <f ca="1"/>
        <v>-3.3212811719948492E-2</v>
      </c>
      <c r="K344" s="383">
        <f ca="1"/>
        <v>-4.1093386389504147E-2</v>
      </c>
      <c r="P344" s="386"/>
      <c r="Q344" s="768">
        <f ca="1">IF(F344&lt;&gt;0,+F344/'DA-23'!D$80,0)</f>
        <v>0</v>
      </c>
      <c r="R344" s="768">
        <f ca="1">IF(G344&lt;&gt;0,+G344/'DA-23'!E$80,0)</f>
        <v>-0.81600000000000006</v>
      </c>
      <c r="S344" s="768">
        <f ca="1">IF(H344&lt;&gt;0,+H344/'DA-23'!F$80,0)</f>
        <v>-0.81600000000000006</v>
      </c>
      <c r="T344" s="768">
        <f ca="1">IF(I344&lt;&gt;0,+I344/'DA-23'!G$80,0)</f>
        <v>-0.81600000000000006</v>
      </c>
      <c r="U344" s="768">
        <f ca="1">IF(J344&lt;&gt;0,+J344/'DA-23'!H$80,0)</f>
        <v>-0.81600000000000006</v>
      </c>
      <c r="V344" s="768">
        <f ca="1">IF(K344&lt;&gt;0,+K344/'DA-23'!I$80,0)</f>
        <v>-0.81599999999999995</v>
      </c>
    </row>
    <row r="345" spans="1:22" s="790" customFormat="1">
      <c r="A345" s="5"/>
      <c r="B345" s="249"/>
      <c r="C345" s="425" t="str">
        <v>Total Output Growth</v>
      </c>
      <c r="D345" s="426" t="str">
        <v>Business Overheads</v>
      </c>
      <c r="E345" s="847">
        <f ca="1"/>
        <v>0</v>
      </c>
      <c r="F345" s="386">
        <f ca="1"/>
        <v>0</v>
      </c>
      <c r="G345" s="383">
        <f ca="1"/>
        <v>-7.8513691281139892E-4</v>
      </c>
      <c r="H345" s="383">
        <f ca="1"/>
        <v>-1.5126336391472694E-3</v>
      </c>
      <c r="I345" s="383">
        <f ca="1"/>
        <v>-2.2317560748397513E-3</v>
      </c>
      <c r="J345" s="383">
        <f ca="1"/>
        <v>-3.0119461608776811E-3</v>
      </c>
      <c r="K345" s="383">
        <f ca="1"/>
        <v>-3.7266061186560133E-3</v>
      </c>
      <c r="P345" s="386"/>
      <c r="Q345" s="768">
        <f ca="1">IF(F345&lt;&gt;0,+F345/'DA-23'!D$81,0)</f>
        <v>0</v>
      </c>
      <c r="R345" s="768">
        <f ca="1">IF(G345&lt;&gt;0,+G345/'DA-23'!E$81,0)</f>
        <v>-7.3999999999999996E-2</v>
      </c>
      <c r="S345" s="768">
        <f ca="1">IF(H345&lt;&gt;0,+H345/'DA-23'!F$81,0)</f>
        <v>-7.3999999999999996E-2</v>
      </c>
      <c r="T345" s="768">
        <f ca="1">IF(I345&lt;&gt;0,+I345/'DA-23'!G$81,0)</f>
        <v>-7.3999999999999982E-2</v>
      </c>
      <c r="U345" s="768">
        <f ca="1">IF(J345&lt;&gt;0,+J345/'DA-23'!H$81,0)</f>
        <v>-7.3999999999999996E-2</v>
      </c>
      <c r="V345" s="768">
        <f ca="1">IF(K345&lt;&gt;0,+K345/'DA-23'!I$81,0)</f>
        <v>-7.3999999999999996E-2</v>
      </c>
    </row>
    <row r="346" spans="1:22" s="790" customFormat="1">
      <c r="A346" s="5"/>
      <c r="B346" s="249"/>
      <c r="C346" s="425" t="str">
        <v>Total Output Growth</v>
      </c>
      <c r="D346" s="426" t="str">
        <v>Other</v>
      </c>
      <c r="E346" s="847">
        <f ca="1"/>
        <v>0</v>
      </c>
      <c r="F346" s="386">
        <f ca="1"/>
        <v>0</v>
      </c>
      <c r="G346" s="383">
        <f ca="1"/>
        <v>0</v>
      </c>
      <c r="H346" s="383">
        <f ca="1"/>
        <v>0</v>
      </c>
      <c r="I346" s="383">
        <f ca="1"/>
        <v>0</v>
      </c>
      <c r="J346" s="383">
        <f ca="1"/>
        <v>0</v>
      </c>
      <c r="K346" s="383">
        <f ca="1"/>
        <v>0</v>
      </c>
      <c r="P346" s="386"/>
      <c r="Q346" s="768">
        <f ca="1">IF(F346&lt;&gt;0,+F346/'DA-23'!D$82,0)</f>
        <v>0</v>
      </c>
      <c r="R346" s="768">
        <f ca="1">IF(G346&lt;&gt;0,+G346/'DA-23'!E$82,0)</f>
        <v>0</v>
      </c>
      <c r="S346" s="768">
        <f ca="1">IF(H346&lt;&gt;0,+H346/'DA-23'!F$82,0)</f>
        <v>0</v>
      </c>
      <c r="T346" s="768">
        <f ca="1">IF(I346&lt;&gt;0,+I346/'DA-23'!G$82,0)</f>
        <v>0</v>
      </c>
      <c r="U346" s="768">
        <f ca="1">IF(J346&lt;&gt;0,+J346/'DA-23'!H$82,0)</f>
        <v>0</v>
      </c>
      <c r="V346" s="768">
        <f ca="1">IF(K346&lt;&gt;0,+K346/'DA-23'!I$82,0)</f>
        <v>0</v>
      </c>
    </row>
    <row r="347" spans="1:22">
      <c r="A347" s="5"/>
      <c r="B347" s="249"/>
      <c r="C347" s="424" t="s">
        <v>73</v>
      </c>
      <c r="D347" s="417"/>
      <c r="E347" s="848"/>
      <c r="F347" s="387"/>
      <c r="G347" s="385"/>
      <c r="H347" s="385"/>
      <c r="I347" s="385"/>
      <c r="J347" s="385"/>
      <c r="K347" s="385"/>
      <c r="P347" s="387"/>
      <c r="Q347" s="385"/>
      <c r="R347" s="385"/>
      <c r="S347" s="385"/>
      <c r="T347" s="385"/>
      <c r="U347" s="385"/>
      <c r="V347" s="385"/>
    </row>
    <row r="348" spans="1:22" s="767" customFormat="1">
      <c r="A348" s="5"/>
      <c r="B348" s="249"/>
      <c r="C348" s="425" t="str">
        <f t="array" ref="C348:D353">+'DA-23'!$A$113:$B$119</f>
        <v>Labour</v>
      </c>
      <c r="D348" s="426" t="str">
        <v>Labour</v>
      </c>
      <c r="E348" s="847">
        <f t="array" ref="E348:K353" ca="1">+'DA-23'!$N$113:$T$119</f>
        <v>0</v>
      </c>
      <c r="F348" s="386">
        <f ca="1"/>
        <v>0</v>
      </c>
      <c r="G348" s="383">
        <f ca="1"/>
        <v>8.9995381205555558E-2</v>
      </c>
      <c r="H348" s="383">
        <f ca="1"/>
        <v>0.18369158445145922</v>
      </c>
      <c r="I348" s="383">
        <f ca="1"/>
        <v>0.28640100449668482</v>
      </c>
      <c r="J348" s="383">
        <f ca="1"/>
        <v>0.39363401088835437</v>
      </c>
      <c r="K348" s="383">
        <f ca="1"/>
        <v>0.50493928364981056</v>
      </c>
      <c r="P348" s="386"/>
      <c r="Q348" s="768">
        <f ca="1">IF(F348&lt;&gt;0,+F348/'DA-23'!D$113,0)</f>
        <v>0</v>
      </c>
      <c r="R348" s="768">
        <f ca="1">IF(G348&lt;&gt;0,+G348/'DA-23'!E$113,0)</f>
        <v>4.1940313268671252</v>
      </c>
      <c r="S348" s="768">
        <f ca="1">IF(H348&lt;&gt;0,+H348/'DA-23'!F$113,0)</f>
        <v>4.2348301297629884</v>
      </c>
      <c r="T348" s="768">
        <f ca="1">IF(I348&lt;&gt;0,+I348/'DA-23'!G$113,0)</f>
        <v>4.2751592933862828</v>
      </c>
      <c r="U348" s="768">
        <f ca="1">IF(J348&lt;&gt;0,+J348/'DA-23'!H$113,0)</f>
        <v>4.3189131968600316</v>
      </c>
      <c r="V348" s="768">
        <f ca="1">IF(K348&lt;&gt;0,+K348/'DA-23'!I$113,0)</f>
        <v>4.3589920998976002</v>
      </c>
    </row>
    <row r="349" spans="1:22" s="767" customFormat="1">
      <c r="A349" s="5"/>
      <c r="B349" s="249"/>
      <c r="C349" s="425" t="str">
        <v>Materials</v>
      </c>
      <c r="D349" s="426" t="str">
        <v>Materials</v>
      </c>
      <c r="E349" s="847">
        <f ca="1"/>
        <v>0</v>
      </c>
      <c r="F349" s="386">
        <f ca="1"/>
        <v>0</v>
      </c>
      <c r="G349" s="383">
        <f ca="1"/>
        <v>0</v>
      </c>
      <c r="H349" s="383">
        <f ca="1"/>
        <v>0</v>
      </c>
      <c r="I349" s="383">
        <f ca="1"/>
        <v>0</v>
      </c>
      <c r="J349" s="383">
        <f ca="1"/>
        <v>0</v>
      </c>
      <c r="K349" s="383">
        <f ca="1"/>
        <v>0</v>
      </c>
      <c r="P349" s="386"/>
      <c r="Q349" s="768">
        <f ca="1">IF(F349&lt;&gt;0,+F349/'DA-23'!D$114,0)</f>
        <v>0</v>
      </c>
      <c r="R349" s="768">
        <f ca="1">IF(G349&lt;&gt;0,+G349/'DA-23'!E$114,0)</f>
        <v>0</v>
      </c>
      <c r="S349" s="768">
        <f ca="1">IF(H349&lt;&gt;0,+H349/'DA-23'!F$114,0)</f>
        <v>0</v>
      </c>
      <c r="T349" s="768">
        <f ca="1">IF(I349&lt;&gt;0,+I349/'DA-23'!G$114,0)</f>
        <v>0</v>
      </c>
      <c r="U349" s="768">
        <f ca="1">IF(J349&lt;&gt;0,+J349/'DA-23'!H$114,0)</f>
        <v>0</v>
      </c>
      <c r="V349" s="768">
        <f ca="1">IF(K349&lt;&gt;0,+K349/'DA-23'!I$114,0)</f>
        <v>0</v>
      </c>
    </row>
    <row r="350" spans="1:22" s="767" customFormat="1">
      <c r="A350" s="5"/>
      <c r="B350" s="249"/>
      <c r="C350" s="425" t="str">
        <v>Services-construction</v>
      </c>
      <c r="D350" s="426" t="str">
        <v>Contracts</v>
      </c>
      <c r="E350" s="847">
        <f ca="1"/>
        <v>0</v>
      </c>
      <c r="F350" s="386">
        <f ca="1"/>
        <v>0</v>
      </c>
      <c r="G350" s="383">
        <f ca="1"/>
        <v>5.8372831190322889E-2</v>
      </c>
      <c r="H350" s="383">
        <f ca="1"/>
        <v>0.11817604711606812</v>
      </c>
      <c r="I350" s="383">
        <f ca="1"/>
        <v>0.22747873219249584</v>
      </c>
      <c r="J350" s="383">
        <f ca="1"/>
        <v>0.35845281059567813</v>
      </c>
      <c r="K350" s="383">
        <f ca="1"/>
        <v>0.51797335984152049</v>
      </c>
      <c r="P350" s="386"/>
      <c r="Q350" s="768">
        <f ca="1">IF(F350&lt;&gt;0,+F350/'DA-23'!D$115,0)</f>
        <v>0</v>
      </c>
      <c r="R350" s="768">
        <f ca="1">IF(G350&lt;&gt;0,+G350/'DA-23'!E$115,0)</f>
        <v>11.674566238064827</v>
      </c>
      <c r="S350" s="768">
        <f ca="1">IF(H350&lt;&gt;0,+H350/'DA-23'!F$115,0)</f>
        <v>11.788134375667962</v>
      </c>
      <c r="T350" s="768">
        <f ca="1">IF(I350&lt;&gt;0,+I350/'DA-23'!G$115,0)</f>
        <v>11.900395218602011</v>
      </c>
      <c r="U350" s="768">
        <f ca="1">IF(J350&lt;&gt;0,+J350/'DA-23'!H$115,0)</f>
        <v>12.022189216898093</v>
      </c>
      <c r="V350" s="768">
        <f ca="1">IF(K350&lt;&gt;0,+K350/'DA-23'!I$115,0)</f>
        <v>12.133753430847491</v>
      </c>
    </row>
    <row r="351" spans="1:22" s="767" customFormat="1">
      <c r="A351" s="5"/>
      <c r="B351" s="249"/>
      <c r="C351" s="425" t="str">
        <v>Services-general</v>
      </c>
      <c r="D351" s="426" t="str">
        <v>Services Other</v>
      </c>
      <c r="E351" s="847">
        <f ca="1"/>
        <v>0</v>
      </c>
      <c r="F351" s="386">
        <f ca="1"/>
        <v>0</v>
      </c>
      <c r="G351" s="383">
        <f ca="1"/>
        <v>-4.1232886297873517E-3</v>
      </c>
      <c r="H351" s="383">
        <f ca="1"/>
        <v>-8.3476155165089685E-3</v>
      </c>
      <c r="I351" s="383">
        <f ca="1"/>
        <v>-1.6068442301685994E-2</v>
      </c>
      <c r="J351" s="383">
        <f ca="1"/>
        <v>-2.5320073878642088E-2</v>
      </c>
      <c r="K351" s="383">
        <f ca="1"/>
        <v>-3.6588145916783305E-2</v>
      </c>
      <c r="P351" s="386"/>
      <c r="Q351" s="768">
        <f ca="1">IF(F351&lt;&gt;0,+F351/'DA-23'!D$116,0)</f>
        <v>0</v>
      </c>
      <c r="R351" s="768">
        <f ca="1">IF(G351&lt;&gt;0,+G351/'DA-23'!E$116,0)</f>
        <v>-0.82465772595748787</v>
      </c>
      <c r="S351" s="768">
        <f ca="1">IF(H351&lt;&gt;0,+H351/'DA-23'!F$116,0)</f>
        <v>-0.83267985202086725</v>
      </c>
      <c r="T351" s="768">
        <f ca="1">IF(I351&lt;&gt;0,+I351/'DA-23'!G$116,0)</f>
        <v>-0.84060963455498972</v>
      </c>
      <c r="U351" s="768">
        <f ca="1">IF(J351&lt;&gt;0,+J351/'DA-23'!H$116,0)</f>
        <v>-0.84921281171994856</v>
      </c>
      <c r="V351" s="768">
        <f ca="1">IF(K351&lt;&gt;0,+K351/'DA-23'!I$116,0)</f>
        <v>-0.85709338638950427</v>
      </c>
    </row>
    <row r="352" spans="1:22" s="767" customFormat="1">
      <c r="A352" s="5"/>
      <c r="B352" s="249"/>
      <c r="C352" s="425" t="str">
        <v>Labour</v>
      </c>
      <c r="D352" s="426" t="str">
        <v>Business Overheads</v>
      </c>
      <c r="E352" s="847">
        <f ca="1"/>
        <v>0</v>
      </c>
      <c r="F352" s="386">
        <f ca="1"/>
        <v>0</v>
      </c>
      <c r="G352" s="383">
        <f ca="1"/>
        <v>-1.6047369178821957E-3</v>
      </c>
      <c r="H352" s="383">
        <f ca="1"/>
        <v>-3.2754643974477072E-3</v>
      </c>
      <c r="I352" s="383">
        <f ca="1"/>
        <v>-5.1069094777722113E-3</v>
      </c>
      <c r="J352" s="383">
        <f ca="1"/>
        <v>-7.0190160977682478E-3</v>
      </c>
      <c r="K352" s="383">
        <f ca="1"/>
        <v>-9.0037366241171052E-3</v>
      </c>
      <c r="P352" s="386"/>
      <c r="Q352" s="768">
        <f ca="1">IF(F352&lt;&gt;0,+F352/'DA-23'!D$117,0)</f>
        <v>0</v>
      </c>
      <c r="R352" s="768">
        <f ca="1">IF(G352&lt;&gt;0,+G352/'DA-23'!E$117,0)</f>
        <v>-7.4785136912811398E-2</v>
      </c>
      <c r="S352" s="768">
        <f ca="1">IF(H352&lt;&gt;0,+H352/'DA-23'!F$117,0)</f>
        <v>-7.5512633639147272E-2</v>
      </c>
      <c r="T352" s="768">
        <f ca="1">IF(I352&lt;&gt;0,+I352/'DA-23'!G$117,0)</f>
        <v>-7.6231756074839743E-2</v>
      </c>
      <c r="U352" s="768">
        <f ca="1">IF(J352&lt;&gt;0,+J352/'DA-23'!H$117,0)</f>
        <v>-7.7011946160877684E-2</v>
      </c>
      <c r="V352" s="768">
        <f ca="1">IF(K352&lt;&gt;0,+K352/'DA-23'!I$117,0)</f>
        <v>-7.7726606118656005E-2</v>
      </c>
    </row>
    <row r="353" spans="1:22" s="767" customFormat="1">
      <c r="A353" s="5"/>
      <c r="B353" s="249"/>
      <c r="C353" s="425" t="str">
        <v>Materials - Land</v>
      </c>
      <c r="D353" s="426" t="str">
        <v>Other</v>
      </c>
      <c r="E353" s="847">
        <f ca="1"/>
        <v>0</v>
      </c>
      <c r="F353" s="386">
        <f ca="1"/>
        <v>0</v>
      </c>
      <c r="G353" s="383">
        <f ca="1"/>
        <v>0</v>
      </c>
      <c r="H353" s="383">
        <f ca="1"/>
        <v>0</v>
      </c>
      <c r="I353" s="383">
        <f ca="1"/>
        <v>0</v>
      </c>
      <c r="J353" s="383">
        <f ca="1"/>
        <v>0</v>
      </c>
      <c r="K353" s="383">
        <f ca="1"/>
        <v>0</v>
      </c>
      <c r="P353" s="386"/>
      <c r="Q353" s="768">
        <f ca="1">IF(F353&lt;&gt;0,+F353/'DA-23'!D$118,0)</f>
        <v>0</v>
      </c>
      <c r="R353" s="768">
        <f ca="1">IF(G353&lt;&gt;0,+G353/'DA-23'!E$118,0)</f>
        <v>0</v>
      </c>
      <c r="S353" s="768">
        <f ca="1">IF(H353&lt;&gt;0,+H353/'DA-23'!F$118,0)</f>
        <v>0</v>
      </c>
      <c r="T353" s="768">
        <f ca="1">IF(I353&lt;&gt;0,+I353/'DA-23'!G$118,0)</f>
        <v>0</v>
      </c>
      <c r="U353" s="768">
        <f ca="1">IF(J353&lt;&gt;0,+J353/'DA-23'!H$118,0)</f>
        <v>0</v>
      </c>
      <c r="V353" s="768">
        <f ca="1">IF(K353&lt;&gt;0,+K353/'DA-23'!I$118,0)</f>
        <v>0</v>
      </c>
    </row>
    <row r="354" spans="1:22" ht="18">
      <c r="B354" s="252"/>
      <c r="C354" s="297" t="s">
        <v>70</v>
      </c>
      <c r="D354" s="420"/>
      <c r="E354" s="839"/>
      <c r="F354" s="265"/>
      <c r="G354" s="265"/>
      <c r="H354" s="265"/>
      <c r="I354" s="265"/>
      <c r="J354" s="265"/>
      <c r="K354" s="265"/>
      <c r="P354" s="265"/>
      <c r="Q354" s="265"/>
      <c r="R354" s="265"/>
      <c r="S354" s="265"/>
      <c r="T354" s="265"/>
      <c r="U354" s="265"/>
      <c r="V354" s="265"/>
    </row>
    <row r="355" spans="1:22">
      <c r="A355" s="5"/>
      <c r="B355" s="249" t="str">
        <f ca="1">+'I-4 History'!B214</f>
        <v>DA-24</v>
      </c>
      <c r="C355" s="14" t="str">
        <f ca="1">+'I-4 History'!C214</f>
        <v>Non Network Solutions</v>
      </c>
      <c r="D355" s="418"/>
      <c r="E355" s="507"/>
      <c r="F355" s="11"/>
      <c r="G355" s="11"/>
      <c r="H355" s="11"/>
      <c r="I355" s="11"/>
      <c r="J355" s="11"/>
      <c r="K355" s="11"/>
      <c r="P355" s="11"/>
      <c r="Q355" s="11"/>
      <c r="R355" s="11"/>
      <c r="S355" s="11"/>
      <c r="T355" s="11"/>
      <c r="U355" s="11"/>
      <c r="V355" s="11"/>
    </row>
    <row r="356" spans="1:22">
      <c r="A356" s="5"/>
      <c r="B356" s="249"/>
      <c r="C356" s="424" t="s">
        <v>74</v>
      </c>
      <c r="D356" s="416"/>
      <c r="E356" s="507"/>
      <c r="F356" s="11"/>
      <c r="G356" s="11"/>
      <c r="H356" s="11"/>
      <c r="I356" s="11"/>
      <c r="J356" s="11"/>
      <c r="K356" s="11"/>
      <c r="P356" s="11"/>
      <c r="Q356" s="11"/>
      <c r="R356" s="11"/>
      <c r="S356" s="11"/>
      <c r="T356" s="11"/>
      <c r="U356" s="11"/>
      <c r="V356" s="11"/>
    </row>
    <row r="357" spans="1:22">
      <c r="A357" s="5"/>
      <c r="B357" s="249"/>
      <c r="C357" s="425" t="str">
        <f t="array" ref="C357:D362">+'DA-24'!$A$77:$B$82</f>
        <v>Total Output Growth</v>
      </c>
      <c r="D357" s="426" t="str">
        <v>Labour</v>
      </c>
      <c r="E357" s="847">
        <f t="array" ref="E357:K362" ca="1">+'DA-24'!$N$77:$T$82</f>
        <v>0</v>
      </c>
      <c r="F357" s="386">
        <f ca="1"/>
        <v>0</v>
      </c>
      <c r="G357" s="383">
        <f ca="1"/>
        <v>0</v>
      </c>
      <c r="H357" s="383">
        <f ca="1"/>
        <v>0</v>
      </c>
      <c r="I357" s="383">
        <f ca="1"/>
        <v>0</v>
      </c>
      <c r="J357" s="383">
        <f ca="1"/>
        <v>0</v>
      </c>
      <c r="K357" s="383">
        <f ca="1"/>
        <v>0</v>
      </c>
      <c r="L357" s="790"/>
      <c r="M357" s="790"/>
      <c r="N357" s="790"/>
      <c r="O357" s="790"/>
      <c r="P357" s="386"/>
      <c r="Q357" s="768">
        <f ca="1">IF(F357&lt;&gt;0,+F357/'DA-24'!D$77,0)</f>
        <v>0</v>
      </c>
      <c r="R357" s="768">
        <f ca="1">IF(G357&lt;&gt;0,+G357/'DA-24'!E$77,0)</f>
        <v>0</v>
      </c>
      <c r="S357" s="768">
        <f ca="1">IF(H357&lt;&gt;0,+H357/'DA-24'!F$77,0)</f>
        <v>0</v>
      </c>
      <c r="T357" s="768">
        <f ca="1">IF(I357&lt;&gt;0,+I357/'DA-24'!G$77,0)</f>
        <v>0</v>
      </c>
      <c r="U357" s="768">
        <f ca="1">IF(J357&lt;&gt;0,+J357/'DA-24'!H$77,0)</f>
        <v>0</v>
      </c>
      <c r="V357" s="768">
        <f ca="1">IF(K357&lt;&gt;0,+K357/'DA-24'!I$77,0)</f>
        <v>0</v>
      </c>
    </row>
    <row r="358" spans="1:22">
      <c r="A358" s="5"/>
      <c r="B358" s="249"/>
      <c r="C358" s="425" t="str">
        <v>Total Output Growth</v>
      </c>
      <c r="D358" s="426" t="str">
        <v>Materials</v>
      </c>
      <c r="E358" s="847">
        <f ca="1"/>
        <v>0</v>
      </c>
      <c r="F358" s="386">
        <f ca="1"/>
        <v>0</v>
      </c>
      <c r="G358" s="383">
        <f ca="1"/>
        <v>0</v>
      </c>
      <c r="H358" s="383">
        <f ca="1"/>
        <v>0</v>
      </c>
      <c r="I358" s="383">
        <f ca="1"/>
        <v>0</v>
      </c>
      <c r="J358" s="383">
        <f ca="1"/>
        <v>0</v>
      </c>
      <c r="K358" s="383">
        <f ca="1"/>
        <v>0</v>
      </c>
      <c r="L358" s="790"/>
      <c r="M358" s="790"/>
      <c r="N358" s="790"/>
      <c r="O358" s="790"/>
      <c r="P358" s="386"/>
      <c r="Q358" s="768">
        <f ca="1">IF(F358&lt;&gt;0,+F358/'DA-24'!D$78,0)</f>
        <v>0</v>
      </c>
      <c r="R358" s="768">
        <f ca="1">IF(G358&lt;&gt;0,+G358/'DA-24'!E$78,0)</f>
        <v>0</v>
      </c>
      <c r="S358" s="768">
        <f ca="1">IF(H358&lt;&gt;0,+H358/'DA-24'!F$78,0)</f>
        <v>0</v>
      </c>
      <c r="T358" s="768">
        <f ca="1">IF(I358&lt;&gt;0,+I358/'DA-24'!G$78,0)</f>
        <v>0</v>
      </c>
      <c r="U358" s="768">
        <f ca="1">IF(J358&lt;&gt;0,+J358/'DA-24'!H$78,0)</f>
        <v>0</v>
      </c>
      <c r="V358" s="768">
        <f ca="1">IF(K358&lt;&gt;0,+K358/'DA-24'!I$78,0)</f>
        <v>0</v>
      </c>
    </row>
    <row r="359" spans="1:22">
      <c r="A359" s="5"/>
      <c r="B359" s="249"/>
      <c r="C359" s="425" t="str">
        <v>Total Output Growth</v>
      </c>
      <c r="D359" s="426" t="str">
        <v>Contracts</v>
      </c>
      <c r="E359" s="847">
        <f ca="1"/>
        <v>0</v>
      </c>
      <c r="F359" s="386">
        <f ca="1"/>
        <v>0</v>
      </c>
      <c r="G359" s="383">
        <f ca="1"/>
        <v>0</v>
      </c>
      <c r="H359" s="383">
        <f ca="1"/>
        <v>0</v>
      </c>
      <c r="I359" s="383">
        <f ca="1"/>
        <v>0</v>
      </c>
      <c r="J359" s="383">
        <f ca="1"/>
        <v>0</v>
      </c>
      <c r="K359" s="383">
        <f ca="1"/>
        <v>0</v>
      </c>
      <c r="L359" s="790"/>
      <c r="M359" s="790"/>
      <c r="N359" s="790"/>
      <c r="O359" s="790"/>
      <c r="P359" s="386"/>
      <c r="Q359" s="768">
        <f ca="1">IF(F359&lt;&gt;0,+F359/'DA-24'!D$79,0)</f>
        <v>0</v>
      </c>
      <c r="R359" s="768">
        <f ca="1">IF(G359&lt;&gt;0,+G359/'DA-24'!E$79,0)</f>
        <v>0</v>
      </c>
      <c r="S359" s="768">
        <f ca="1">IF(H359&lt;&gt;0,+H359/'DA-24'!F$79,0)</f>
        <v>0</v>
      </c>
      <c r="T359" s="768">
        <f ca="1">IF(I359&lt;&gt;0,+I359/'DA-24'!G$79,0)</f>
        <v>0</v>
      </c>
      <c r="U359" s="768">
        <f ca="1">IF(J359&lt;&gt;0,+J359/'DA-24'!H$79,0)</f>
        <v>0</v>
      </c>
      <c r="V359" s="768">
        <f ca="1">IF(K359&lt;&gt;0,+K359/'DA-24'!I$79,0)</f>
        <v>0</v>
      </c>
    </row>
    <row r="360" spans="1:22" s="790" customFormat="1">
      <c r="A360" s="5"/>
      <c r="B360" s="249"/>
      <c r="C360" s="425" t="str">
        <v>Total Output Growth</v>
      </c>
      <c r="D360" s="426" t="str">
        <v>Services Other</v>
      </c>
      <c r="E360" s="847">
        <f ca="1"/>
        <v>0</v>
      </c>
      <c r="F360" s="386">
        <f ca="1"/>
        <v>0</v>
      </c>
      <c r="G360" s="383">
        <f ca="1"/>
        <v>0</v>
      </c>
      <c r="H360" s="383">
        <f ca="1"/>
        <v>0</v>
      </c>
      <c r="I360" s="383">
        <f ca="1"/>
        <v>0</v>
      </c>
      <c r="J360" s="383">
        <f ca="1"/>
        <v>0</v>
      </c>
      <c r="K360" s="383">
        <f ca="1"/>
        <v>0</v>
      </c>
      <c r="P360" s="386"/>
      <c r="Q360" s="768">
        <f ca="1">IF(F360&lt;&gt;0,+F360/'DA-24'!D$80,0)</f>
        <v>0</v>
      </c>
      <c r="R360" s="768">
        <f ca="1">IF(G360&lt;&gt;0,+G360/'DA-24'!E$80,0)</f>
        <v>0</v>
      </c>
      <c r="S360" s="768">
        <f ca="1">IF(H360&lt;&gt;0,+H360/'DA-24'!F$80,0)</f>
        <v>0</v>
      </c>
      <c r="T360" s="768">
        <f ca="1">IF(I360&lt;&gt;0,+I360/'DA-24'!G$80,0)</f>
        <v>0</v>
      </c>
      <c r="U360" s="768">
        <f ca="1">IF(J360&lt;&gt;0,+J360/'DA-24'!H$80,0)</f>
        <v>0</v>
      </c>
      <c r="V360" s="768">
        <f ca="1">IF(K360&lt;&gt;0,+K360/'DA-24'!I$80,0)</f>
        <v>0</v>
      </c>
    </row>
    <row r="361" spans="1:22" s="790" customFormat="1">
      <c r="A361" s="5"/>
      <c r="B361" s="249"/>
      <c r="C361" s="425" t="str">
        <v>Total Output Growth</v>
      </c>
      <c r="D361" s="426" t="str">
        <v>Business Overheads</v>
      </c>
      <c r="E361" s="847">
        <f ca="1"/>
        <v>0</v>
      </c>
      <c r="F361" s="386">
        <f ca="1"/>
        <v>0</v>
      </c>
      <c r="G361" s="383">
        <f ca="1"/>
        <v>0</v>
      </c>
      <c r="H361" s="383">
        <f ca="1"/>
        <v>0</v>
      </c>
      <c r="I361" s="383">
        <f ca="1"/>
        <v>0</v>
      </c>
      <c r="J361" s="383">
        <f ca="1"/>
        <v>0</v>
      </c>
      <c r="K361" s="383">
        <f ca="1"/>
        <v>0</v>
      </c>
      <c r="P361" s="386"/>
      <c r="Q361" s="768">
        <f ca="1">IF(F361&lt;&gt;0,+F361/'DA-24'!D$81,0)</f>
        <v>0</v>
      </c>
      <c r="R361" s="768">
        <f ca="1">IF(G361&lt;&gt;0,+G361/'DA-24'!E$81,0)</f>
        <v>0</v>
      </c>
      <c r="S361" s="768">
        <f ca="1">IF(H361&lt;&gt;0,+H361/'DA-24'!F$81,0)</f>
        <v>0</v>
      </c>
      <c r="T361" s="768">
        <f ca="1">IF(I361&lt;&gt;0,+I361/'DA-24'!G$81,0)</f>
        <v>0</v>
      </c>
      <c r="U361" s="768">
        <f ca="1">IF(J361&lt;&gt;0,+J361/'DA-24'!H$81,0)</f>
        <v>0</v>
      </c>
      <c r="V361" s="768">
        <f ca="1">IF(K361&lt;&gt;0,+K361/'DA-24'!I$81,0)</f>
        <v>0</v>
      </c>
    </row>
    <row r="362" spans="1:22" s="790" customFormat="1">
      <c r="A362" s="5"/>
      <c r="B362" s="249"/>
      <c r="C362" s="425" t="str">
        <v>Total Output Growth</v>
      </c>
      <c r="D362" s="426" t="str">
        <v>Other</v>
      </c>
      <c r="E362" s="847">
        <f ca="1"/>
        <v>0</v>
      </c>
      <c r="F362" s="386">
        <f ca="1"/>
        <v>0</v>
      </c>
      <c r="G362" s="383">
        <f ca="1"/>
        <v>0</v>
      </c>
      <c r="H362" s="383">
        <f ca="1"/>
        <v>0</v>
      </c>
      <c r="I362" s="383">
        <f ca="1"/>
        <v>0</v>
      </c>
      <c r="J362" s="383">
        <f ca="1"/>
        <v>0</v>
      </c>
      <c r="K362" s="383">
        <f ca="1"/>
        <v>0</v>
      </c>
      <c r="P362" s="386"/>
      <c r="Q362" s="768">
        <f ca="1">IF(F362&lt;&gt;0,+F362/'DA-24'!D$82,0)</f>
        <v>0</v>
      </c>
      <c r="R362" s="768">
        <f ca="1">IF(G362&lt;&gt;0,+G362/'DA-24'!E$82,0)</f>
        <v>0</v>
      </c>
      <c r="S362" s="768">
        <f ca="1">IF(H362&lt;&gt;0,+H362/'DA-24'!F$82,0)</f>
        <v>0</v>
      </c>
      <c r="T362" s="768">
        <f ca="1">IF(I362&lt;&gt;0,+I362/'DA-24'!G$82,0)</f>
        <v>0</v>
      </c>
      <c r="U362" s="768">
        <f ca="1">IF(J362&lt;&gt;0,+J362/'DA-24'!H$82,0)</f>
        <v>0</v>
      </c>
      <c r="V362" s="768">
        <f ca="1">IF(K362&lt;&gt;0,+K362/'DA-24'!I$82,0)</f>
        <v>0</v>
      </c>
    </row>
    <row r="363" spans="1:22">
      <c r="A363" s="5"/>
      <c r="B363" s="249"/>
      <c r="C363" s="424" t="s">
        <v>73</v>
      </c>
      <c r="D363" s="417"/>
      <c r="E363" s="848"/>
      <c r="F363" s="387"/>
      <c r="G363" s="385"/>
      <c r="H363" s="385"/>
      <c r="I363" s="385"/>
      <c r="J363" s="385"/>
      <c r="K363" s="385"/>
      <c r="P363" s="387"/>
      <c r="Q363" s="385"/>
      <c r="R363" s="385"/>
      <c r="S363" s="385"/>
      <c r="T363" s="385"/>
      <c r="U363" s="385"/>
      <c r="V363" s="385"/>
    </row>
    <row r="364" spans="1:22" s="767" customFormat="1">
      <c r="A364" s="5"/>
      <c r="B364" s="249"/>
      <c r="C364" s="425" t="str">
        <f t="array" ref="C364:D369">+'DA-24'!$A$113:$B$119</f>
        <v>Labour</v>
      </c>
      <c r="D364" s="426" t="str">
        <v>Labour</v>
      </c>
      <c r="E364" s="847">
        <f t="array" ref="E364:K369" ca="1">+'DA-24'!$N$113:$T$119</f>
        <v>0</v>
      </c>
      <c r="F364" s="386">
        <f ca="1"/>
        <v>0</v>
      </c>
      <c r="G364" s="383">
        <f ca="1"/>
        <v>0</v>
      </c>
      <c r="H364" s="383">
        <f ca="1"/>
        <v>0</v>
      </c>
      <c r="I364" s="383">
        <f ca="1"/>
        <v>0</v>
      </c>
      <c r="J364" s="383">
        <f ca="1"/>
        <v>0</v>
      </c>
      <c r="K364" s="383">
        <f ca="1"/>
        <v>0</v>
      </c>
      <c r="P364" s="386"/>
      <c r="Q364" s="768">
        <f ca="1">IF(F364&lt;&gt;0,+F364/'DA-24'!D$113,0)</f>
        <v>0</v>
      </c>
      <c r="R364" s="768">
        <f ca="1">IF(G364&lt;&gt;0,+G364/'DA-24'!E$113,0)</f>
        <v>0</v>
      </c>
      <c r="S364" s="768">
        <f ca="1">IF(H364&lt;&gt;0,+H364/'DA-24'!F$113,0)</f>
        <v>0</v>
      </c>
      <c r="T364" s="768">
        <f ca="1">IF(I364&lt;&gt;0,+I364/'DA-24'!G$113,0)</f>
        <v>0</v>
      </c>
      <c r="U364" s="768">
        <f ca="1">IF(J364&lt;&gt;0,+J364/'DA-24'!H$113,0)</f>
        <v>0</v>
      </c>
      <c r="V364" s="768">
        <f ca="1">IF(K364&lt;&gt;0,+K364/'DA-24'!I$113,0)</f>
        <v>0</v>
      </c>
    </row>
    <row r="365" spans="1:22" s="767" customFormat="1">
      <c r="A365" s="5"/>
      <c r="B365" s="249"/>
      <c r="C365" s="425" t="str">
        <v>Materials</v>
      </c>
      <c r="D365" s="426" t="str">
        <v>Materials</v>
      </c>
      <c r="E365" s="847">
        <f ca="1"/>
        <v>0</v>
      </c>
      <c r="F365" s="386">
        <f ca="1"/>
        <v>0</v>
      </c>
      <c r="G365" s="383">
        <f ca="1"/>
        <v>0</v>
      </c>
      <c r="H365" s="383">
        <f ca="1"/>
        <v>0</v>
      </c>
      <c r="I365" s="383">
        <f ca="1"/>
        <v>0</v>
      </c>
      <c r="J365" s="383">
        <f ca="1"/>
        <v>0</v>
      </c>
      <c r="K365" s="383">
        <f ca="1"/>
        <v>0</v>
      </c>
      <c r="P365" s="386"/>
      <c r="Q365" s="768">
        <f ca="1">IF(F365&lt;&gt;0,+F365/'DA-24'!D$114,0)</f>
        <v>0</v>
      </c>
      <c r="R365" s="768">
        <f ca="1">IF(G365&lt;&gt;0,+G365/'DA-24'!E$114,0)</f>
        <v>0</v>
      </c>
      <c r="S365" s="768">
        <f ca="1">IF(H365&lt;&gt;0,+H365/'DA-24'!F$114,0)</f>
        <v>0</v>
      </c>
      <c r="T365" s="768">
        <f ca="1">IF(I365&lt;&gt;0,+I365/'DA-24'!G$114,0)</f>
        <v>0</v>
      </c>
      <c r="U365" s="768">
        <f ca="1">IF(J365&lt;&gt;0,+J365/'DA-24'!H$114,0)</f>
        <v>0</v>
      </c>
      <c r="V365" s="768">
        <f ca="1">IF(K365&lt;&gt;0,+K365/'DA-24'!I$114,0)</f>
        <v>0</v>
      </c>
    </row>
    <row r="366" spans="1:22" s="767" customFormat="1">
      <c r="A366" s="5"/>
      <c r="B366" s="249"/>
      <c r="C366" s="425" t="str">
        <v>Services-construction</v>
      </c>
      <c r="D366" s="426" t="str">
        <v>Contracts</v>
      </c>
      <c r="E366" s="847">
        <f ca="1"/>
        <v>0</v>
      </c>
      <c r="F366" s="386">
        <f ca="1"/>
        <v>0</v>
      </c>
      <c r="G366" s="383">
        <f ca="1"/>
        <v>0</v>
      </c>
      <c r="H366" s="383">
        <f ca="1"/>
        <v>0</v>
      </c>
      <c r="I366" s="383">
        <f ca="1"/>
        <v>0</v>
      </c>
      <c r="J366" s="383">
        <f ca="1"/>
        <v>0</v>
      </c>
      <c r="K366" s="383">
        <f ca="1"/>
        <v>0</v>
      </c>
      <c r="P366" s="386"/>
      <c r="Q366" s="768">
        <f ca="1">IF(F366&lt;&gt;0,+F366/'DA-24'!D$115,0)</f>
        <v>0</v>
      </c>
      <c r="R366" s="768">
        <f ca="1">IF(G366&lt;&gt;0,+G366/'DA-24'!E$115,0)</f>
        <v>0</v>
      </c>
      <c r="S366" s="768">
        <f ca="1">IF(H366&lt;&gt;0,+H366/'DA-24'!F$115,0)</f>
        <v>0</v>
      </c>
      <c r="T366" s="768">
        <f ca="1">IF(I366&lt;&gt;0,+I366/'DA-24'!G$115,0)</f>
        <v>0</v>
      </c>
      <c r="U366" s="768">
        <f ca="1">IF(J366&lt;&gt;0,+J366/'DA-24'!H$115,0)</f>
        <v>0</v>
      </c>
      <c r="V366" s="768">
        <f ca="1">IF(K366&lt;&gt;0,+K366/'DA-24'!I$115,0)</f>
        <v>0</v>
      </c>
    </row>
    <row r="367" spans="1:22" s="767" customFormat="1">
      <c r="A367" s="5"/>
      <c r="B367" s="249"/>
      <c r="C367" s="425" t="str">
        <v>Services-general</v>
      </c>
      <c r="D367" s="426" t="str">
        <v>Services Other</v>
      </c>
      <c r="E367" s="847">
        <f ca="1"/>
        <v>0</v>
      </c>
      <c r="F367" s="386">
        <f ca="1"/>
        <v>0</v>
      </c>
      <c r="G367" s="383">
        <f ca="1"/>
        <v>0</v>
      </c>
      <c r="H367" s="383">
        <f ca="1"/>
        <v>0</v>
      </c>
      <c r="I367" s="383">
        <f ca="1"/>
        <v>0</v>
      </c>
      <c r="J367" s="383">
        <f ca="1"/>
        <v>0</v>
      </c>
      <c r="K367" s="383">
        <f ca="1"/>
        <v>0</v>
      </c>
      <c r="P367" s="386"/>
      <c r="Q367" s="768">
        <f ca="1">IF(F367&lt;&gt;0,+F367/'DA-24'!D$116,0)</f>
        <v>0</v>
      </c>
      <c r="R367" s="768">
        <f ca="1">IF(G367&lt;&gt;0,+G367/'DA-24'!E$116,0)</f>
        <v>0</v>
      </c>
      <c r="S367" s="768">
        <f ca="1">IF(H367&lt;&gt;0,+H367/'DA-24'!F$116,0)</f>
        <v>0</v>
      </c>
      <c r="T367" s="768">
        <f ca="1">IF(I367&lt;&gt;0,+I367/'DA-24'!G$116,0)</f>
        <v>0</v>
      </c>
      <c r="U367" s="768">
        <f ca="1">IF(J367&lt;&gt;0,+J367/'DA-24'!H$116,0)</f>
        <v>0</v>
      </c>
      <c r="V367" s="768">
        <f ca="1">IF(K367&lt;&gt;0,+K367/'DA-24'!I$116,0)</f>
        <v>0</v>
      </c>
    </row>
    <row r="368" spans="1:22" s="767" customFormat="1">
      <c r="A368" s="5"/>
      <c r="B368" s="249"/>
      <c r="C368" s="425" t="str">
        <v>Labour</v>
      </c>
      <c r="D368" s="426" t="str">
        <v>Business Overheads</v>
      </c>
      <c r="E368" s="847">
        <f ca="1"/>
        <v>0</v>
      </c>
      <c r="F368" s="386">
        <f ca="1"/>
        <v>0</v>
      </c>
      <c r="G368" s="383">
        <f ca="1"/>
        <v>0</v>
      </c>
      <c r="H368" s="383">
        <f ca="1"/>
        <v>0</v>
      </c>
      <c r="I368" s="383">
        <f ca="1"/>
        <v>0</v>
      </c>
      <c r="J368" s="383">
        <f ca="1"/>
        <v>0</v>
      </c>
      <c r="K368" s="383">
        <f ca="1"/>
        <v>0</v>
      </c>
      <c r="P368" s="386"/>
      <c r="Q368" s="768">
        <f ca="1">IF(F368&lt;&gt;0,+F368/'DA-24'!D$117,0)</f>
        <v>0</v>
      </c>
      <c r="R368" s="768">
        <f ca="1">IF(G368&lt;&gt;0,+G368/'DA-24'!E$117,0)</f>
        <v>0</v>
      </c>
      <c r="S368" s="768">
        <f ca="1">IF(H368&lt;&gt;0,+H368/'DA-24'!F$117,0)</f>
        <v>0</v>
      </c>
      <c r="T368" s="768">
        <f ca="1">IF(I368&lt;&gt;0,+I368/'DA-24'!G$117,0)</f>
        <v>0</v>
      </c>
      <c r="U368" s="768">
        <f ca="1">IF(J368&lt;&gt;0,+J368/'DA-24'!H$117,0)</f>
        <v>0</v>
      </c>
      <c r="V368" s="768">
        <f ca="1">IF(K368&lt;&gt;0,+K368/'DA-24'!I$117,0)</f>
        <v>0</v>
      </c>
    </row>
    <row r="369" spans="1:22" s="767" customFormat="1">
      <c r="A369" s="5"/>
      <c r="B369" s="249"/>
      <c r="C369" s="425" t="str">
        <v>Materials - Land</v>
      </c>
      <c r="D369" s="426" t="str">
        <v>Other</v>
      </c>
      <c r="E369" s="847">
        <f ca="1"/>
        <v>0</v>
      </c>
      <c r="F369" s="386">
        <f ca="1"/>
        <v>0</v>
      </c>
      <c r="G369" s="383">
        <f ca="1"/>
        <v>0</v>
      </c>
      <c r="H369" s="383">
        <f ca="1"/>
        <v>0</v>
      </c>
      <c r="I369" s="383">
        <f ca="1"/>
        <v>0</v>
      </c>
      <c r="J369" s="383">
        <f ca="1"/>
        <v>0</v>
      </c>
      <c r="K369" s="383">
        <f ca="1"/>
        <v>0</v>
      </c>
      <c r="P369" s="386"/>
      <c r="Q369" s="768">
        <f ca="1">IF(F369&lt;&gt;0,+F369/'DA-24'!D$118,0)</f>
        <v>0</v>
      </c>
      <c r="R369" s="768">
        <f ca="1">IF(G369&lt;&gt;0,+G369/'DA-24'!E$118,0)</f>
        <v>0</v>
      </c>
      <c r="S369" s="768">
        <f ca="1">IF(H369&lt;&gt;0,+H369/'DA-24'!F$118,0)</f>
        <v>0</v>
      </c>
      <c r="T369" s="768">
        <f ca="1">IF(I369&lt;&gt;0,+I369/'DA-24'!G$118,0)</f>
        <v>0</v>
      </c>
      <c r="U369" s="768">
        <f ca="1">IF(J369&lt;&gt;0,+J369/'DA-24'!H$118,0)</f>
        <v>0</v>
      </c>
      <c r="V369" s="768">
        <f ca="1">IF(K369&lt;&gt;0,+K369/'DA-24'!I$118,0)</f>
        <v>0</v>
      </c>
    </row>
    <row r="370" spans="1:22" ht="26.25" thickBot="1">
      <c r="B370" s="250"/>
      <c r="C370" s="437" t="s">
        <v>271</v>
      </c>
      <c r="D370" s="421"/>
      <c r="E370" s="513">
        <f ca="1">SUBTOTAL(9,E159:E369)</f>
        <v>0</v>
      </c>
      <c r="F370" s="313">
        <f ca="1">SUBTOTAL(9,F159:F369)</f>
        <v>0</v>
      </c>
      <c r="G370" s="311">
        <f ca="1">SUBTOTAL(9,G159:G369)</f>
        <v>2.811823357610101</v>
      </c>
      <c r="H370" s="311">
        <f t="shared" ref="H370:K370" ca="1" si="1">SUBTOTAL(9,H159:H369)</f>
        <v>5.5723999026380868</v>
      </c>
      <c r="I370" s="311">
        <f t="shared" ca="1" si="1"/>
        <v>8.7223544372521218</v>
      </c>
      <c r="J370" s="311">
        <f t="shared" ca="1" si="1"/>
        <v>12.16545328848982</v>
      </c>
      <c r="K370" s="311">
        <f t="shared" ca="1" si="1"/>
        <v>15.711241454568887</v>
      </c>
      <c r="P370" s="313"/>
      <c r="Q370" s="311"/>
      <c r="R370" s="311"/>
      <c r="S370" s="311"/>
      <c r="T370" s="311"/>
      <c r="U370" s="311"/>
      <c r="V370" s="311"/>
    </row>
    <row r="371" spans="1:22" ht="15.75">
      <c r="B371" s="270"/>
      <c r="C371" s="466" t="s">
        <v>272</v>
      </c>
      <c r="D371" s="467"/>
      <c r="E371" s="840">
        <f t="shared" ref="E371:K371" ca="1" si="2">SUBTOTAL(9,E9:E370)</f>
        <v>0</v>
      </c>
      <c r="F371" s="456">
        <f t="shared" ca="1" si="2"/>
        <v>0</v>
      </c>
      <c r="G371" s="456">
        <f t="shared" ca="1" si="2"/>
        <v>3.6282466658622052</v>
      </c>
      <c r="H371" s="456">
        <f t="shared" ca="1" si="2"/>
        <v>7.2013393815054965</v>
      </c>
      <c r="I371" s="456">
        <f t="shared" ca="1" si="2"/>
        <v>11.23077930284013</v>
      </c>
      <c r="J371" s="456">
        <f t="shared" ca="1" si="2"/>
        <v>15.612312523445942</v>
      </c>
      <c r="K371" s="456">
        <f t="shared" ca="1" si="2"/>
        <v>20.10435395011552</v>
      </c>
      <c r="P371" s="456"/>
      <c r="Q371" s="456"/>
      <c r="R371" s="456"/>
      <c r="S371" s="456"/>
      <c r="T371" s="456"/>
      <c r="U371" s="456"/>
      <c r="V371" s="456"/>
    </row>
    <row r="372" spans="1:22">
      <c r="B372" s="274"/>
      <c r="C372" s="457"/>
      <c r="D372" s="457"/>
      <c r="E372" s="458"/>
      <c r="F372" s="844"/>
      <c r="G372" s="458"/>
      <c r="H372" s="458"/>
      <c r="I372" s="458"/>
      <c r="J372" s="458"/>
      <c r="K372" s="458"/>
      <c r="P372" s="844"/>
      <c r="Q372" s="458"/>
      <c r="R372" s="458"/>
      <c r="S372" s="458"/>
      <c r="T372" s="458"/>
      <c r="U372" s="458"/>
      <c r="V372" s="458"/>
    </row>
    <row r="373" spans="1:22" ht="18">
      <c r="B373" s="270"/>
      <c r="C373" s="468" t="s">
        <v>268</v>
      </c>
      <c r="D373" s="469"/>
      <c r="E373" s="841"/>
      <c r="F373" s="460"/>
      <c r="G373" s="460"/>
      <c r="H373" s="460"/>
      <c r="I373" s="460"/>
      <c r="J373" s="460"/>
      <c r="K373" s="460"/>
      <c r="P373" s="460"/>
      <c r="Q373" s="460"/>
      <c r="R373" s="460"/>
      <c r="S373" s="460"/>
      <c r="T373" s="460"/>
      <c r="U373" s="460"/>
      <c r="V373" s="460"/>
    </row>
    <row r="374" spans="1:22" ht="18">
      <c r="B374" s="252"/>
      <c r="C374" s="297" t="str">
        <f>+'I-3 Allocated'!A5</f>
        <v>Office of the CEO</v>
      </c>
      <c r="D374" s="415"/>
      <c r="E374" s="839"/>
      <c r="F374" s="265"/>
      <c r="G374" s="265"/>
      <c r="H374" s="265"/>
      <c r="I374" s="265"/>
      <c r="J374" s="265"/>
      <c r="K374" s="265"/>
      <c r="P374" s="265"/>
      <c r="Q374" s="265"/>
      <c r="R374" s="265"/>
      <c r="S374" s="265"/>
      <c r="T374" s="265"/>
      <c r="U374" s="265"/>
      <c r="V374" s="265"/>
    </row>
    <row r="375" spans="1:22">
      <c r="A375" s="5"/>
      <c r="B375" s="249" t="str">
        <f ca="1">+'I-4 History'!B228</f>
        <v>A-1</v>
      </c>
      <c r="C375" s="14" t="str">
        <f ca="1">+'I-4 History'!C228</f>
        <v>CEO</v>
      </c>
      <c r="D375" s="418"/>
      <c r="E375" s="507"/>
      <c r="F375" s="11"/>
      <c r="G375" s="11"/>
      <c r="H375" s="11"/>
      <c r="I375" s="11"/>
      <c r="J375" s="11"/>
      <c r="K375" s="11"/>
      <c r="P375" s="11"/>
      <c r="Q375" s="11"/>
      <c r="R375" s="11"/>
      <c r="S375" s="11"/>
      <c r="T375" s="11"/>
      <c r="U375" s="11"/>
      <c r="V375" s="11"/>
    </row>
    <row r="376" spans="1:22">
      <c r="A376" s="5"/>
      <c r="B376" s="249"/>
      <c r="C376" s="424" t="s">
        <v>74</v>
      </c>
      <c r="D376" s="416"/>
      <c r="E376" s="507"/>
      <c r="F376" s="11"/>
      <c r="G376" s="11"/>
      <c r="H376" s="11"/>
      <c r="I376" s="11"/>
      <c r="J376" s="11"/>
      <c r="K376" s="11"/>
      <c r="P376" s="11"/>
      <c r="Q376" s="11"/>
      <c r="R376" s="11"/>
      <c r="S376" s="11"/>
      <c r="T376" s="11"/>
      <c r="U376" s="11"/>
      <c r="V376" s="11"/>
    </row>
    <row r="377" spans="1:22">
      <c r="A377" s="5"/>
      <c r="B377" s="249"/>
      <c r="C377" s="425" t="str">
        <f t="array" ref="C377:D382">+'A-1'!$A$77:$B$82</f>
        <v>Total Output Growth</v>
      </c>
      <c r="D377" s="426" t="str">
        <v>Labour</v>
      </c>
      <c r="E377" s="847">
        <f t="array" ref="E377:K382" ca="1">+'A-1'!$N$77:$T$82</f>
        <v>0</v>
      </c>
      <c r="F377" s="386">
        <f ca="1"/>
        <v>0</v>
      </c>
      <c r="G377" s="383">
        <f ca="1"/>
        <v>1.1395095194046519E-2</v>
      </c>
      <c r="H377" s="383">
        <f ca="1"/>
        <v>2.1953628762759015E-2</v>
      </c>
      <c r="I377" s="383">
        <f ca="1"/>
        <v>3.2390621951052606E-2</v>
      </c>
      <c r="J377" s="383">
        <f ca="1"/>
        <v>4.3713921307873368E-2</v>
      </c>
      <c r="K377" s="383">
        <f ca="1"/>
        <v>5.4086148262656182E-2</v>
      </c>
      <c r="L377" s="790"/>
      <c r="M377" s="790"/>
      <c r="N377" s="790"/>
      <c r="O377" s="790"/>
      <c r="P377" s="386"/>
      <c r="Q377" s="768">
        <f ca="1">IF(F377&lt;&gt;0,+F377/'A-1'!D$77,0)</f>
        <v>0</v>
      </c>
      <c r="R377" s="768">
        <f ca="1">IF(G377&lt;&gt;0,+G377/'A-1'!E$77,0)</f>
        <v>1.0739999999999998</v>
      </c>
      <c r="S377" s="768">
        <f ca="1">IF(H377&lt;&gt;0,+H377/'A-1'!F$77,0)</f>
        <v>1.0739999999999998</v>
      </c>
      <c r="T377" s="768">
        <f ca="1">IF(I377&lt;&gt;0,+I377/'A-1'!G$77,0)</f>
        <v>1.0739999999999998</v>
      </c>
      <c r="U377" s="768">
        <f ca="1">IF(J377&lt;&gt;0,+J377/'A-1'!H$77,0)</f>
        <v>1.0739999999999998</v>
      </c>
      <c r="V377" s="768">
        <f ca="1">IF(K377&lt;&gt;0,+K377/'A-1'!I$77,0)</f>
        <v>1.0739999999999998</v>
      </c>
    </row>
    <row r="378" spans="1:22">
      <c r="A378" s="5"/>
      <c r="B378" s="249"/>
      <c r="C378" s="425" t="str">
        <v>Total Output Growth</v>
      </c>
      <c r="D378" s="426" t="str">
        <v>Materials</v>
      </c>
      <c r="E378" s="847">
        <f ca="1"/>
        <v>0</v>
      </c>
      <c r="F378" s="386">
        <f ca="1"/>
        <v>0</v>
      </c>
      <c r="G378" s="383">
        <f ca="1"/>
        <v>1.2625850354669795E-3</v>
      </c>
      <c r="H378" s="383">
        <f ca="1"/>
        <v>2.4324784197097982E-3</v>
      </c>
      <c r="I378" s="383">
        <f ca="1"/>
        <v>3.5889050392693307E-3</v>
      </c>
      <c r="J378" s="383">
        <f ca="1"/>
        <v>4.8435350424924882E-3</v>
      </c>
      <c r="K378" s="383">
        <f ca="1"/>
        <v>5.992785515136022E-3</v>
      </c>
      <c r="L378" s="790"/>
      <c r="M378" s="790"/>
      <c r="N378" s="790"/>
      <c r="O378" s="790"/>
      <c r="P378" s="386"/>
      <c r="Q378" s="768">
        <f ca="1">IF(F378&lt;&gt;0,+F378/'A-1'!D$78,0)</f>
        <v>0</v>
      </c>
      <c r="R378" s="768">
        <f ca="1">IF(G378&lt;&gt;0,+G378/'A-1'!E$78,0)</f>
        <v>0.11900000000000001</v>
      </c>
      <c r="S378" s="768">
        <f ca="1">IF(H378&lt;&gt;0,+H378/'A-1'!F$78,0)</f>
        <v>0.11900000000000001</v>
      </c>
      <c r="T378" s="768">
        <f ca="1">IF(I378&lt;&gt;0,+I378/'A-1'!G$78,0)</f>
        <v>0.11900000000000002</v>
      </c>
      <c r="U378" s="768">
        <f ca="1">IF(J378&lt;&gt;0,+J378/'A-1'!H$78,0)</f>
        <v>0.11900000000000001</v>
      </c>
      <c r="V378" s="768">
        <f ca="1">IF(K378&lt;&gt;0,+K378/'A-1'!I$78,0)</f>
        <v>0.11900000000000001</v>
      </c>
    </row>
    <row r="379" spans="1:22">
      <c r="A379" s="5"/>
      <c r="B379" s="249"/>
      <c r="C379" s="425" t="str">
        <v>Total Output Growth</v>
      </c>
      <c r="D379" s="426" t="str">
        <v>Contracts</v>
      </c>
      <c r="E379" s="847">
        <f ca="1"/>
        <v>0</v>
      </c>
      <c r="F379" s="386">
        <f ca="1"/>
        <v>0</v>
      </c>
      <c r="G379" s="383">
        <f ca="1"/>
        <v>0</v>
      </c>
      <c r="H379" s="383">
        <f ca="1"/>
        <v>0</v>
      </c>
      <c r="I379" s="383">
        <f ca="1"/>
        <v>0</v>
      </c>
      <c r="J379" s="383">
        <f ca="1"/>
        <v>0</v>
      </c>
      <c r="K379" s="383">
        <f ca="1"/>
        <v>0</v>
      </c>
      <c r="L379" s="790"/>
      <c r="M379" s="790"/>
      <c r="N379" s="790"/>
      <c r="O379" s="790"/>
      <c r="P379" s="386"/>
      <c r="Q379" s="768">
        <f ca="1">IF(F379&lt;&gt;0,+F379/'A-1'!D$79,0)</f>
        <v>0</v>
      </c>
      <c r="R379" s="768">
        <f ca="1">IF(G379&lt;&gt;0,+G379/'A-1'!E$79,0)</f>
        <v>0</v>
      </c>
      <c r="S379" s="768">
        <f ca="1">IF(H379&lt;&gt;0,+H379/'A-1'!F$79,0)</f>
        <v>0</v>
      </c>
      <c r="T379" s="768">
        <f ca="1">IF(I379&lt;&gt;0,+I379/'A-1'!G$79,0)</f>
        <v>0</v>
      </c>
      <c r="U379" s="768">
        <f ca="1">IF(J379&lt;&gt;0,+J379/'A-1'!H$79,0)</f>
        <v>0</v>
      </c>
      <c r="V379" s="768">
        <f ca="1">IF(K379&lt;&gt;0,+K379/'A-1'!I$79,0)</f>
        <v>0</v>
      </c>
    </row>
    <row r="380" spans="1:22" s="790" customFormat="1">
      <c r="A380" s="5"/>
      <c r="B380" s="249"/>
      <c r="C380" s="425" t="str">
        <v>Total Output Growth</v>
      </c>
      <c r="D380" s="426" t="str">
        <v>Services Other</v>
      </c>
      <c r="E380" s="847">
        <f ca="1"/>
        <v>0</v>
      </c>
      <c r="F380" s="386">
        <f ca="1"/>
        <v>0</v>
      </c>
      <c r="G380" s="383">
        <f ca="1"/>
        <v>8.986634664206147E-3</v>
      </c>
      <c r="H380" s="383">
        <f ca="1"/>
        <v>1.7313522869699151E-2</v>
      </c>
      <c r="I380" s="383">
        <f ca="1"/>
        <v>2.5544559397152292E-2</v>
      </c>
      <c r="J380" s="383">
        <f ca="1"/>
        <v>3.4474572949505351E-2</v>
      </c>
      <c r="K380" s="383">
        <f ca="1"/>
        <v>4.2654532195968153E-2</v>
      </c>
      <c r="P380" s="386"/>
      <c r="Q380" s="768">
        <f ca="1">IF(F380&lt;&gt;0,+F380/'A-1'!D$80,0)</f>
        <v>0</v>
      </c>
      <c r="R380" s="768">
        <f ca="1">IF(G380&lt;&gt;0,+G380/'A-1'!E$80,0)</f>
        <v>0.84699999999999998</v>
      </c>
      <c r="S380" s="768">
        <f ca="1">IF(H380&lt;&gt;0,+H380/'A-1'!F$80,0)</f>
        <v>0.84699999999999998</v>
      </c>
      <c r="T380" s="768">
        <f ca="1">IF(I380&lt;&gt;0,+I380/'A-1'!G$80,0)</f>
        <v>0.84699999999999998</v>
      </c>
      <c r="U380" s="768">
        <f ca="1">IF(J380&lt;&gt;0,+J380/'A-1'!H$80,0)</f>
        <v>0.84699999999999998</v>
      </c>
      <c r="V380" s="768">
        <f ca="1">IF(K380&lt;&gt;0,+K380/'A-1'!I$80,0)</f>
        <v>0.84699999999999998</v>
      </c>
    </row>
    <row r="381" spans="1:22" s="790" customFormat="1">
      <c r="A381" s="5"/>
      <c r="B381" s="249"/>
      <c r="C381" s="425" t="str">
        <v>Total Output Growth</v>
      </c>
      <c r="D381" s="426" t="str">
        <v>Business Overheads</v>
      </c>
      <c r="E381" s="847">
        <f ca="1"/>
        <v>0</v>
      </c>
      <c r="F381" s="386">
        <f ca="1"/>
        <v>0</v>
      </c>
      <c r="G381" s="383">
        <f ca="1"/>
        <v>0</v>
      </c>
      <c r="H381" s="383">
        <f ca="1"/>
        <v>0</v>
      </c>
      <c r="I381" s="383">
        <f ca="1"/>
        <v>0</v>
      </c>
      <c r="J381" s="383">
        <f ca="1"/>
        <v>0</v>
      </c>
      <c r="K381" s="383">
        <f ca="1"/>
        <v>0</v>
      </c>
      <c r="P381" s="386"/>
      <c r="Q381" s="768">
        <f ca="1">IF(F381&lt;&gt;0,+F381/'A-1'!D$81,0)</f>
        <v>0</v>
      </c>
      <c r="R381" s="768">
        <f ca="1">IF(G381&lt;&gt;0,+G381/'A-1'!E$81,0)</f>
        <v>0</v>
      </c>
      <c r="S381" s="768">
        <f ca="1">IF(H381&lt;&gt;0,+H381/'A-1'!F$81,0)</f>
        <v>0</v>
      </c>
      <c r="T381" s="768">
        <f ca="1">IF(I381&lt;&gt;0,+I381/'A-1'!G$81,0)</f>
        <v>0</v>
      </c>
      <c r="U381" s="768">
        <f ca="1">IF(J381&lt;&gt;0,+J381/'A-1'!H$81,0)</f>
        <v>0</v>
      </c>
      <c r="V381" s="768">
        <f ca="1">IF(K381&lt;&gt;0,+K381/'A-1'!I$81,0)</f>
        <v>0</v>
      </c>
    </row>
    <row r="382" spans="1:22" s="790" customFormat="1">
      <c r="A382" s="5"/>
      <c r="B382" s="249"/>
      <c r="C382" s="425" t="str">
        <v>Total Output Growth</v>
      </c>
      <c r="D382" s="426" t="str">
        <v>Other</v>
      </c>
      <c r="E382" s="847">
        <f ca="1"/>
        <v>0</v>
      </c>
      <c r="F382" s="386">
        <f ca="1"/>
        <v>0</v>
      </c>
      <c r="G382" s="383">
        <f ca="1"/>
        <v>0</v>
      </c>
      <c r="H382" s="383">
        <f ca="1"/>
        <v>0</v>
      </c>
      <c r="I382" s="383">
        <f ca="1"/>
        <v>0</v>
      </c>
      <c r="J382" s="383">
        <f ca="1"/>
        <v>0</v>
      </c>
      <c r="K382" s="383">
        <f ca="1"/>
        <v>0</v>
      </c>
      <c r="P382" s="386"/>
      <c r="Q382" s="768">
        <f ca="1">IF(F382&lt;&gt;0,+F382/'A-1'!D$82,0)</f>
        <v>0</v>
      </c>
      <c r="R382" s="768">
        <f ca="1">IF(G382&lt;&gt;0,+G382/'A-1'!E$82,0)</f>
        <v>0</v>
      </c>
      <c r="S382" s="768">
        <f ca="1">IF(H382&lt;&gt;0,+H382/'A-1'!F$82,0)</f>
        <v>0</v>
      </c>
      <c r="T382" s="768">
        <f ca="1">IF(I382&lt;&gt;0,+I382/'A-1'!G$82,0)</f>
        <v>0</v>
      </c>
      <c r="U382" s="768">
        <f ca="1">IF(J382&lt;&gt;0,+J382/'A-1'!H$82,0)</f>
        <v>0</v>
      </c>
      <c r="V382" s="768">
        <f ca="1">IF(K382&lt;&gt;0,+K382/'A-1'!I$82,0)</f>
        <v>0</v>
      </c>
    </row>
    <row r="383" spans="1:22">
      <c r="A383" s="5"/>
      <c r="B383" s="249"/>
      <c r="C383" s="424" t="s">
        <v>73</v>
      </c>
      <c r="D383" s="417"/>
      <c r="E383" s="848"/>
      <c r="F383" s="387"/>
      <c r="G383" s="385"/>
      <c r="H383" s="385"/>
      <c r="I383" s="385"/>
      <c r="J383" s="385"/>
      <c r="K383" s="385"/>
      <c r="P383" s="387"/>
      <c r="Q383" s="385"/>
      <c r="R383" s="385"/>
      <c r="S383" s="385"/>
      <c r="T383" s="385"/>
      <c r="U383" s="385"/>
      <c r="V383" s="385"/>
    </row>
    <row r="384" spans="1:22" s="767" customFormat="1">
      <c r="A384" s="5"/>
      <c r="B384" s="249"/>
      <c r="C384" s="425" t="str">
        <f t="array" ref="C384:D389">+'A-1'!$A$113:$B$119</f>
        <v>Labour</v>
      </c>
      <c r="D384" s="426" t="str">
        <v>Labour</v>
      </c>
      <c r="E384" s="847">
        <f t="array" ref="E384:K389" ca="1">+'A-1'!$N$113:$T$119</f>
        <v>0</v>
      </c>
      <c r="F384" s="386">
        <f ca="1"/>
        <v>0</v>
      </c>
      <c r="G384" s="383">
        <f ca="1"/>
        <v>2.3290370943317266E-2</v>
      </c>
      <c r="H384" s="383">
        <f ca="1"/>
        <v>4.7538496795389691E-2</v>
      </c>
      <c r="I384" s="383">
        <f ca="1"/>
        <v>7.4119199717937234E-2</v>
      </c>
      <c r="J384" s="383">
        <f ca="1"/>
        <v>0.10187058498652835</v>
      </c>
      <c r="K384" s="383">
        <f ca="1"/>
        <v>0.13067585316624014</v>
      </c>
      <c r="P384" s="386"/>
      <c r="Q384" s="768">
        <f ca="1">IF(F384&lt;&gt;0,+F384/'A-1'!D$113,0)</f>
        <v>0</v>
      </c>
      <c r="R384" s="768">
        <f ca="1">IF(G384&lt;&gt;0,+G384/'A-1'!E$113,0)</f>
        <v>1.0853950951940463</v>
      </c>
      <c r="S384" s="768">
        <f ca="1">IF(H384&lt;&gt;0,+H384/'A-1'!F$113,0)</f>
        <v>1.0959536287627589</v>
      </c>
      <c r="T384" s="768">
        <f ca="1">IF(I384&lt;&gt;0,+I384/'A-1'!G$113,0)</f>
        <v>1.1063906219510524</v>
      </c>
      <c r="U384" s="768">
        <f ca="1">IF(J384&lt;&gt;0,+J384/'A-1'!H$113,0)</f>
        <v>1.1177139213078733</v>
      </c>
      <c r="V384" s="768">
        <f ca="1">IF(K384&lt;&gt;0,+K384/'A-1'!I$113,0)</f>
        <v>1.1280861482626561</v>
      </c>
    </row>
    <row r="385" spans="1:22" s="767" customFormat="1">
      <c r="A385" s="5"/>
      <c r="B385" s="249"/>
      <c r="C385" s="425" t="str">
        <v>Materials</v>
      </c>
      <c r="D385" s="426" t="str">
        <v>Materials</v>
      </c>
      <c r="E385" s="847">
        <f ca="1"/>
        <v>0</v>
      </c>
      <c r="F385" s="386">
        <f ca="1"/>
        <v>0</v>
      </c>
      <c r="G385" s="383">
        <f ca="1"/>
        <v>0</v>
      </c>
      <c r="H385" s="383">
        <f ca="1"/>
        <v>0</v>
      </c>
      <c r="I385" s="383">
        <f ca="1"/>
        <v>0</v>
      </c>
      <c r="J385" s="383">
        <f ca="1"/>
        <v>0</v>
      </c>
      <c r="K385" s="383">
        <f ca="1"/>
        <v>0</v>
      </c>
      <c r="P385" s="386"/>
      <c r="Q385" s="768">
        <f ca="1">IF(F385&lt;&gt;0,+F385/'A-1'!D$114,0)</f>
        <v>0</v>
      </c>
      <c r="R385" s="768">
        <f ca="1">IF(G385&lt;&gt;0,+G385/'A-1'!E$114,0)</f>
        <v>0</v>
      </c>
      <c r="S385" s="768">
        <f ca="1">IF(H385&lt;&gt;0,+H385/'A-1'!F$114,0)</f>
        <v>0</v>
      </c>
      <c r="T385" s="768">
        <f ca="1">IF(I385&lt;&gt;0,+I385/'A-1'!G$114,0)</f>
        <v>0</v>
      </c>
      <c r="U385" s="768">
        <f ca="1">IF(J385&lt;&gt;0,+J385/'A-1'!H$114,0)</f>
        <v>0</v>
      </c>
      <c r="V385" s="768">
        <f ca="1">IF(K385&lt;&gt;0,+K385/'A-1'!I$114,0)</f>
        <v>0</v>
      </c>
    </row>
    <row r="386" spans="1:22" s="767" customFormat="1">
      <c r="A386" s="5"/>
      <c r="B386" s="249"/>
      <c r="C386" s="425" t="str">
        <v>Services-construction</v>
      </c>
      <c r="D386" s="426" t="str">
        <v>Contracts</v>
      </c>
      <c r="E386" s="847">
        <f ca="1"/>
        <v>0</v>
      </c>
      <c r="F386" s="386">
        <f ca="1"/>
        <v>0</v>
      </c>
      <c r="G386" s="383">
        <f ca="1"/>
        <v>0</v>
      </c>
      <c r="H386" s="383">
        <f ca="1"/>
        <v>0</v>
      </c>
      <c r="I386" s="383">
        <f ca="1"/>
        <v>0</v>
      </c>
      <c r="J386" s="383">
        <f ca="1"/>
        <v>0</v>
      </c>
      <c r="K386" s="383">
        <f ca="1"/>
        <v>0</v>
      </c>
      <c r="P386" s="386"/>
      <c r="Q386" s="768">
        <f ca="1">IF(F386&lt;&gt;0,+F386/'A-1'!D$115,0)</f>
        <v>0</v>
      </c>
      <c r="R386" s="768">
        <f ca="1">IF(G386&lt;&gt;0,+G386/'A-1'!E$115,0)</f>
        <v>0</v>
      </c>
      <c r="S386" s="768">
        <f ca="1">IF(H386&lt;&gt;0,+H386/'A-1'!F$115,0)</f>
        <v>0</v>
      </c>
      <c r="T386" s="768">
        <f ca="1">IF(I386&lt;&gt;0,+I386/'A-1'!G$115,0)</f>
        <v>0</v>
      </c>
      <c r="U386" s="768">
        <f ca="1">IF(J386&lt;&gt;0,+J386/'A-1'!H$115,0)</f>
        <v>0</v>
      </c>
      <c r="V386" s="768">
        <f ca="1">IF(K386&lt;&gt;0,+K386/'A-1'!I$115,0)</f>
        <v>0</v>
      </c>
    </row>
    <row r="387" spans="1:22" s="767" customFormat="1">
      <c r="A387" s="5"/>
      <c r="B387" s="249"/>
      <c r="C387" s="425" t="str">
        <v>Services-general</v>
      </c>
      <c r="D387" s="426" t="str">
        <v>Services Other</v>
      </c>
      <c r="E387" s="847">
        <f ca="1"/>
        <v>0</v>
      </c>
      <c r="F387" s="386">
        <f ca="1"/>
        <v>0</v>
      </c>
      <c r="G387" s="383">
        <f ca="1"/>
        <v>4.2799331733209389E-3</v>
      </c>
      <c r="H387" s="383">
        <f ca="1"/>
        <v>8.6647430667684995E-3</v>
      </c>
      <c r="I387" s="383">
        <f ca="1"/>
        <v>1.6678885575402005E-2</v>
      </c>
      <c r="J387" s="383">
        <f ca="1"/>
        <v>2.6281988450012068E-2</v>
      </c>
      <c r="K387" s="383">
        <f ca="1"/>
        <v>3.7978136754308153E-2</v>
      </c>
      <c r="P387" s="386"/>
      <c r="Q387" s="768">
        <f ca="1">IF(F387&lt;&gt;0,+F387/'A-1'!D$116,0)</f>
        <v>0</v>
      </c>
      <c r="R387" s="768">
        <f ca="1">IF(G387&lt;&gt;0,+G387/'A-1'!E$116,0)</f>
        <v>0.85598663466420599</v>
      </c>
      <c r="S387" s="768">
        <f ca="1">IF(H387&lt;&gt;0,+H387/'A-1'!F$116,0)</f>
        <v>0.8643135228696992</v>
      </c>
      <c r="T387" s="768">
        <f ca="1">IF(I387&lt;&gt;0,+I387/'A-1'!G$116,0)</f>
        <v>0.87254455939715225</v>
      </c>
      <c r="U387" s="768">
        <f ca="1">IF(J387&lt;&gt;0,+J387/'A-1'!H$116,0)</f>
        <v>0.88147457294950537</v>
      </c>
      <c r="V387" s="768">
        <f ca="1">IF(K387&lt;&gt;0,+K387/'A-1'!I$116,0)</f>
        <v>0.88965453219596802</v>
      </c>
    </row>
    <row r="388" spans="1:22" s="767" customFormat="1">
      <c r="A388" s="5"/>
      <c r="B388" s="249"/>
      <c r="C388" s="425" t="str">
        <v>Labour</v>
      </c>
      <c r="D388" s="426" t="str">
        <v>Business Overheads</v>
      </c>
      <c r="E388" s="847">
        <f ca="1"/>
        <v>0</v>
      </c>
      <c r="F388" s="386">
        <f ca="1"/>
        <v>0</v>
      </c>
      <c r="G388" s="383">
        <f ca="1"/>
        <v>0</v>
      </c>
      <c r="H388" s="383">
        <f ca="1"/>
        <v>0</v>
      </c>
      <c r="I388" s="383">
        <f ca="1"/>
        <v>0</v>
      </c>
      <c r="J388" s="383">
        <f ca="1"/>
        <v>0</v>
      </c>
      <c r="K388" s="383">
        <f ca="1"/>
        <v>0</v>
      </c>
      <c r="P388" s="386"/>
      <c r="Q388" s="768">
        <f ca="1">IF(F388&lt;&gt;0,+F388/'A-1'!D$117,0)</f>
        <v>0</v>
      </c>
      <c r="R388" s="768">
        <f ca="1">IF(G388&lt;&gt;0,+G388/'A-1'!E$117,0)</f>
        <v>0</v>
      </c>
      <c r="S388" s="768">
        <f ca="1">IF(H388&lt;&gt;0,+H388/'A-1'!F$117,0)</f>
        <v>0</v>
      </c>
      <c r="T388" s="768">
        <f ca="1">IF(I388&lt;&gt;0,+I388/'A-1'!G$117,0)</f>
        <v>0</v>
      </c>
      <c r="U388" s="768">
        <f ca="1">IF(J388&lt;&gt;0,+J388/'A-1'!H$117,0)</f>
        <v>0</v>
      </c>
      <c r="V388" s="768">
        <f ca="1">IF(K388&lt;&gt;0,+K388/'A-1'!I$117,0)</f>
        <v>0</v>
      </c>
    </row>
    <row r="389" spans="1:22" s="767" customFormat="1">
      <c r="A389" s="5"/>
      <c r="B389" s="249"/>
      <c r="C389" s="425" t="str">
        <v>Materials - Land</v>
      </c>
      <c r="D389" s="426" t="str">
        <v>Other</v>
      </c>
      <c r="E389" s="847">
        <f ca="1"/>
        <v>0</v>
      </c>
      <c r="F389" s="386">
        <f ca="1"/>
        <v>0</v>
      </c>
      <c r="G389" s="383">
        <f ca="1"/>
        <v>0</v>
      </c>
      <c r="H389" s="383">
        <f ca="1"/>
        <v>0</v>
      </c>
      <c r="I389" s="383">
        <f ca="1"/>
        <v>0</v>
      </c>
      <c r="J389" s="383">
        <f ca="1"/>
        <v>0</v>
      </c>
      <c r="K389" s="383">
        <f ca="1"/>
        <v>0</v>
      </c>
      <c r="P389" s="386"/>
      <c r="Q389" s="768">
        <f ca="1">IF(F389&lt;&gt;0,+F389/'A-1'!D$118,0)</f>
        <v>0</v>
      </c>
      <c r="R389" s="768">
        <f ca="1">IF(G389&lt;&gt;0,+G389/'A-1'!E$118,0)</f>
        <v>0</v>
      </c>
      <c r="S389" s="768">
        <f ca="1">IF(H389&lt;&gt;0,+H389/'A-1'!F$118,0)</f>
        <v>0</v>
      </c>
      <c r="T389" s="768">
        <f ca="1">IF(I389&lt;&gt;0,+I389/'A-1'!G$118,0)</f>
        <v>0</v>
      </c>
      <c r="U389" s="768">
        <f ca="1">IF(J389&lt;&gt;0,+J389/'A-1'!H$118,0)</f>
        <v>0</v>
      </c>
      <c r="V389" s="768">
        <f ca="1">IF(K389&lt;&gt;0,+K389/'A-1'!I$118,0)</f>
        <v>0</v>
      </c>
    </row>
    <row r="390" spans="1:22">
      <c r="A390" s="5"/>
      <c r="B390" s="249" t="str">
        <f ca="1">+'I-4 History'!B237</f>
        <v>A-2</v>
      </c>
      <c r="C390" s="14" t="str">
        <f ca="1">+'I-4 History'!C237</f>
        <v xml:space="preserve">Strategic Planning  </v>
      </c>
      <c r="D390" s="418"/>
      <c r="E390" s="507"/>
      <c r="F390" s="11"/>
      <c r="G390" s="11"/>
      <c r="H390" s="11"/>
      <c r="I390" s="11"/>
      <c r="J390" s="11"/>
      <c r="K390" s="11"/>
      <c r="P390" s="11"/>
      <c r="Q390" s="11"/>
      <c r="R390" s="11"/>
      <c r="S390" s="11"/>
      <c r="T390" s="11"/>
      <c r="U390" s="11"/>
      <c r="V390" s="11"/>
    </row>
    <row r="391" spans="1:22">
      <c r="A391" s="5"/>
      <c r="B391" s="249"/>
      <c r="C391" s="424" t="s">
        <v>74</v>
      </c>
      <c r="D391" s="416"/>
      <c r="E391" s="507"/>
      <c r="F391" s="11"/>
      <c r="G391" s="11"/>
      <c r="H391" s="11"/>
      <c r="I391" s="11"/>
      <c r="J391" s="11"/>
      <c r="K391" s="11"/>
      <c r="P391" s="11"/>
      <c r="Q391" s="11"/>
      <c r="R391" s="11"/>
      <c r="S391" s="11"/>
      <c r="T391" s="11"/>
      <c r="U391" s="11"/>
      <c r="V391" s="11"/>
    </row>
    <row r="392" spans="1:22">
      <c r="A392" s="5"/>
      <c r="B392" s="249"/>
      <c r="C392" s="425" t="str">
        <f t="array" ref="C392:D397">+'A-2'!$A$77:$B$82</f>
        <v>Total Output Growth</v>
      </c>
      <c r="D392" s="426" t="str">
        <v>Labour</v>
      </c>
      <c r="E392" s="847">
        <f t="array" ref="E392:K397" ca="1">+'A-2'!$N$77:$T$82</f>
        <v>0</v>
      </c>
      <c r="F392" s="386">
        <f ca="1"/>
        <v>0</v>
      </c>
      <c r="G392" s="383">
        <f ca="1"/>
        <v>0</v>
      </c>
      <c r="H392" s="383">
        <f ca="1"/>
        <v>0</v>
      </c>
      <c r="I392" s="383">
        <f ca="1"/>
        <v>0</v>
      </c>
      <c r="J392" s="383">
        <f ca="1"/>
        <v>0</v>
      </c>
      <c r="K392" s="383">
        <f ca="1"/>
        <v>0</v>
      </c>
      <c r="L392" s="790"/>
      <c r="M392" s="790"/>
      <c r="N392" s="790"/>
      <c r="O392" s="790"/>
      <c r="P392" s="386"/>
      <c r="Q392" s="768">
        <f ca="1">IF(F392&lt;&gt;0,+F392/'A-2'!D$77,0)</f>
        <v>0</v>
      </c>
      <c r="R392" s="768">
        <f ca="1">IF(G392&lt;&gt;0,+G392/'A-2'!E$77,0)</f>
        <v>0</v>
      </c>
      <c r="S392" s="768">
        <f ca="1">IF(H392&lt;&gt;0,+H392/'A-2'!F$77,0)</f>
        <v>0</v>
      </c>
      <c r="T392" s="768">
        <f ca="1">IF(I392&lt;&gt;0,+I392/'A-2'!G$77,0)</f>
        <v>0</v>
      </c>
      <c r="U392" s="768">
        <f ca="1">IF(J392&lt;&gt;0,+J392/'A-2'!H$77,0)</f>
        <v>0</v>
      </c>
      <c r="V392" s="768">
        <f ca="1">IF(K392&lt;&gt;0,+K392/'A-2'!I$77,0)</f>
        <v>0</v>
      </c>
    </row>
    <row r="393" spans="1:22">
      <c r="A393" s="5"/>
      <c r="B393" s="249"/>
      <c r="C393" s="425" t="str">
        <v>Total Output Growth</v>
      </c>
      <c r="D393" s="426" t="str">
        <v>Materials</v>
      </c>
      <c r="E393" s="847">
        <f ca="1"/>
        <v>0</v>
      </c>
      <c r="F393" s="386">
        <f ca="1"/>
        <v>0</v>
      </c>
      <c r="G393" s="383">
        <f ca="1"/>
        <v>0</v>
      </c>
      <c r="H393" s="383">
        <f ca="1"/>
        <v>0</v>
      </c>
      <c r="I393" s="383">
        <f ca="1"/>
        <v>0</v>
      </c>
      <c r="J393" s="383">
        <f ca="1"/>
        <v>0</v>
      </c>
      <c r="K393" s="383">
        <f ca="1"/>
        <v>0</v>
      </c>
      <c r="L393" s="790"/>
      <c r="M393" s="790"/>
      <c r="N393" s="790"/>
      <c r="O393" s="790"/>
      <c r="P393" s="386"/>
      <c r="Q393" s="768">
        <f ca="1">IF(F393&lt;&gt;0,+F393/'A-2'!D$78,0)</f>
        <v>0</v>
      </c>
      <c r="R393" s="768">
        <f ca="1">IF(G393&lt;&gt;0,+G393/'A-2'!E$78,0)</f>
        <v>0</v>
      </c>
      <c r="S393" s="768">
        <f ca="1">IF(H393&lt;&gt;0,+H393/'A-2'!F$78,0)</f>
        <v>0</v>
      </c>
      <c r="T393" s="768">
        <f ca="1">IF(I393&lt;&gt;0,+I393/'A-2'!G$78,0)</f>
        <v>0</v>
      </c>
      <c r="U393" s="768">
        <f ca="1">IF(J393&lt;&gt;0,+J393/'A-2'!H$78,0)</f>
        <v>0</v>
      </c>
      <c r="V393" s="768">
        <f ca="1">IF(K393&lt;&gt;0,+K393/'A-2'!I$78,0)</f>
        <v>0</v>
      </c>
    </row>
    <row r="394" spans="1:22">
      <c r="A394" s="5"/>
      <c r="B394" s="249"/>
      <c r="C394" s="425" t="str">
        <v>Total Output Growth</v>
      </c>
      <c r="D394" s="426" t="str">
        <v>Contracts</v>
      </c>
      <c r="E394" s="847">
        <f ca="1"/>
        <v>0</v>
      </c>
      <c r="F394" s="386">
        <f ca="1"/>
        <v>0</v>
      </c>
      <c r="G394" s="383">
        <f ca="1"/>
        <v>0</v>
      </c>
      <c r="H394" s="383">
        <f ca="1"/>
        <v>0</v>
      </c>
      <c r="I394" s="383">
        <f ca="1"/>
        <v>0</v>
      </c>
      <c r="J394" s="383">
        <f ca="1"/>
        <v>0</v>
      </c>
      <c r="K394" s="383">
        <f ca="1"/>
        <v>0</v>
      </c>
      <c r="L394" s="790"/>
      <c r="M394" s="790"/>
      <c r="N394" s="790"/>
      <c r="O394" s="790"/>
      <c r="P394" s="386"/>
      <c r="Q394" s="768">
        <f ca="1">IF(F394&lt;&gt;0,+F394/'A-2'!D$79,0)</f>
        <v>0</v>
      </c>
      <c r="R394" s="768">
        <f ca="1">IF(G394&lt;&gt;0,+G394/'A-2'!E$79,0)</f>
        <v>0</v>
      </c>
      <c r="S394" s="768">
        <f ca="1">IF(H394&lt;&gt;0,+H394/'A-2'!F$79,0)</f>
        <v>0</v>
      </c>
      <c r="T394" s="768">
        <f ca="1">IF(I394&lt;&gt;0,+I394/'A-2'!G$79,0)</f>
        <v>0</v>
      </c>
      <c r="U394" s="768">
        <f ca="1">IF(J394&lt;&gt;0,+J394/'A-2'!H$79,0)</f>
        <v>0</v>
      </c>
      <c r="V394" s="768">
        <f ca="1">IF(K394&lt;&gt;0,+K394/'A-2'!I$79,0)</f>
        <v>0</v>
      </c>
    </row>
    <row r="395" spans="1:22" s="790" customFormat="1">
      <c r="A395" s="5"/>
      <c r="B395" s="249"/>
      <c r="C395" s="425" t="str">
        <v>Total Output Growth</v>
      </c>
      <c r="D395" s="426" t="str">
        <v>Services Other</v>
      </c>
      <c r="E395" s="847">
        <f ca="1"/>
        <v>0</v>
      </c>
      <c r="F395" s="386">
        <f ca="1"/>
        <v>0</v>
      </c>
      <c r="G395" s="383">
        <f ca="1"/>
        <v>0</v>
      </c>
      <c r="H395" s="383">
        <f ca="1"/>
        <v>0</v>
      </c>
      <c r="I395" s="383">
        <f ca="1"/>
        <v>0</v>
      </c>
      <c r="J395" s="383">
        <f ca="1"/>
        <v>0</v>
      </c>
      <c r="K395" s="383">
        <f ca="1"/>
        <v>0</v>
      </c>
      <c r="P395" s="386"/>
      <c r="Q395" s="768">
        <f ca="1">IF(F395&lt;&gt;0,+F395/'A-2'!D$80,0)</f>
        <v>0</v>
      </c>
      <c r="R395" s="768">
        <f ca="1">IF(G395&lt;&gt;0,+G395/'A-2'!E$80,0)</f>
        <v>0</v>
      </c>
      <c r="S395" s="768">
        <f ca="1">IF(H395&lt;&gt;0,+H395/'A-2'!F$80,0)</f>
        <v>0</v>
      </c>
      <c r="T395" s="768">
        <f ca="1">IF(I395&lt;&gt;0,+I395/'A-2'!G$80,0)</f>
        <v>0</v>
      </c>
      <c r="U395" s="768">
        <f ca="1">IF(J395&lt;&gt;0,+J395/'A-2'!H$80,0)</f>
        <v>0</v>
      </c>
      <c r="V395" s="768">
        <f ca="1">IF(K395&lt;&gt;0,+K395/'A-2'!I$80,0)</f>
        <v>0</v>
      </c>
    </row>
    <row r="396" spans="1:22" s="790" customFormat="1">
      <c r="A396" s="5"/>
      <c r="B396" s="249"/>
      <c r="C396" s="425" t="str">
        <v>Total Output Growth</v>
      </c>
      <c r="D396" s="426" t="str">
        <v>Business Overheads</v>
      </c>
      <c r="E396" s="847">
        <f ca="1"/>
        <v>0</v>
      </c>
      <c r="F396" s="386">
        <f ca="1"/>
        <v>0</v>
      </c>
      <c r="G396" s="383">
        <f ca="1"/>
        <v>0</v>
      </c>
      <c r="H396" s="383">
        <f ca="1"/>
        <v>0</v>
      </c>
      <c r="I396" s="383">
        <f ca="1"/>
        <v>0</v>
      </c>
      <c r="J396" s="383">
        <f ca="1"/>
        <v>0</v>
      </c>
      <c r="K396" s="383">
        <f ca="1"/>
        <v>0</v>
      </c>
      <c r="P396" s="386"/>
      <c r="Q396" s="768">
        <f ca="1">IF(F396&lt;&gt;0,+F396/'A-2'!D$81,0)</f>
        <v>0</v>
      </c>
      <c r="R396" s="768">
        <f ca="1">IF(G396&lt;&gt;0,+G396/'A-2'!E$81,0)</f>
        <v>0</v>
      </c>
      <c r="S396" s="768">
        <f ca="1">IF(H396&lt;&gt;0,+H396/'A-2'!F$81,0)</f>
        <v>0</v>
      </c>
      <c r="T396" s="768">
        <f ca="1">IF(I396&lt;&gt;0,+I396/'A-2'!G$81,0)</f>
        <v>0</v>
      </c>
      <c r="U396" s="768">
        <f ca="1">IF(J396&lt;&gt;0,+J396/'A-2'!H$81,0)</f>
        <v>0</v>
      </c>
      <c r="V396" s="768">
        <f ca="1">IF(K396&lt;&gt;0,+K396/'A-2'!I$81,0)</f>
        <v>0</v>
      </c>
    </row>
    <row r="397" spans="1:22" s="790" customFormat="1">
      <c r="A397" s="5"/>
      <c r="B397" s="249"/>
      <c r="C397" s="425" t="str">
        <v>Total Output Growth</v>
      </c>
      <c r="D397" s="426" t="str">
        <v>Other</v>
      </c>
      <c r="E397" s="847">
        <f ca="1"/>
        <v>0</v>
      </c>
      <c r="F397" s="386">
        <f ca="1"/>
        <v>0</v>
      </c>
      <c r="G397" s="383">
        <f ca="1"/>
        <v>0</v>
      </c>
      <c r="H397" s="383">
        <f ca="1"/>
        <v>0</v>
      </c>
      <c r="I397" s="383">
        <f ca="1"/>
        <v>0</v>
      </c>
      <c r="J397" s="383">
        <f ca="1"/>
        <v>0</v>
      </c>
      <c r="K397" s="383">
        <f ca="1"/>
        <v>0</v>
      </c>
      <c r="P397" s="386"/>
      <c r="Q397" s="768">
        <f ca="1">IF(F397&lt;&gt;0,+F397/'A-2'!D$82,0)</f>
        <v>0</v>
      </c>
      <c r="R397" s="768">
        <f ca="1">IF(G397&lt;&gt;0,+G397/'A-2'!E$82,0)</f>
        <v>0</v>
      </c>
      <c r="S397" s="768">
        <f ca="1">IF(H397&lt;&gt;0,+H397/'A-2'!F$82,0)</f>
        <v>0</v>
      </c>
      <c r="T397" s="768">
        <f ca="1">IF(I397&lt;&gt;0,+I397/'A-2'!G$82,0)</f>
        <v>0</v>
      </c>
      <c r="U397" s="768">
        <f ca="1">IF(J397&lt;&gt;0,+J397/'A-2'!H$82,0)</f>
        <v>0</v>
      </c>
      <c r="V397" s="768">
        <f ca="1">IF(K397&lt;&gt;0,+K397/'A-2'!I$82,0)</f>
        <v>0</v>
      </c>
    </row>
    <row r="398" spans="1:22">
      <c r="A398" s="5"/>
      <c r="B398" s="249"/>
      <c r="C398" s="424" t="s">
        <v>73</v>
      </c>
      <c r="D398" s="417"/>
      <c r="E398" s="848"/>
      <c r="F398" s="387"/>
      <c r="G398" s="385"/>
      <c r="H398" s="385"/>
      <c r="I398" s="385"/>
      <c r="J398" s="385"/>
      <c r="K398" s="385"/>
      <c r="P398" s="387"/>
      <c r="Q398" s="385"/>
      <c r="R398" s="385"/>
      <c r="S398" s="385"/>
      <c r="T398" s="385"/>
      <c r="U398" s="385"/>
      <c r="V398" s="385"/>
    </row>
    <row r="399" spans="1:22" s="767" customFormat="1">
      <c r="A399" s="5"/>
      <c r="B399" s="249"/>
      <c r="C399" s="425" t="str">
        <f t="array" ref="C399:D404">+'A-2'!$A$113:$B$119</f>
        <v>Labour</v>
      </c>
      <c r="D399" s="426" t="str">
        <v>Labour</v>
      </c>
      <c r="E399" s="847">
        <f t="array" ref="E399:K404" ca="1">+'A-2'!$N$113:$T$119</f>
        <v>0</v>
      </c>
      <c r="F399" s="386">
        <f ca="1"/>
        <v>0</v>
      </c>
      <c r="G399" s="383">
        <f ca="1"/>
        <v>0</v>
      </c>
      <c r="H399" s="383">
        <f ca="1"/>
        <v>0</v>
      </c>
      <c r="I399" s="383">
        <f ca="1"/>
        <v>0</v>
      </c>
      <c r="J399" s="383">
        <f ca="1"/>
        <v>0</v>
      </c>
      <c r="K399" s="383">
        <f ca="1"/>
        <v>0</v>
      </c>
      <c r="P399" s="386"/>
      <c r="Q399" s="768">
        <f ca="1">IF(F399&lt;&gt;0,+F399/'A-2'!D$113,0)</f>
        <v>0</v>
      </c>
      <c r="R399" s="768">
        <f ca="1">IF(G399&lt;&gt;0,+G399/'A-2'!E$113,0)</f>
        <v>0</v>
      </c>
      <c r="S399" s="768">
        <f ca="1">IF(H399&lt;&gt;0,+H399/'A-2'!F$113,0)</f>
        <v>0</v>
      </c>
      <c r="T399" s="768">
        <f ca="1">IF(I399&lt;&gt;0,+I399/'A-2'!G$113,0)</f>
        <v>0</v>
      </c>
      <c r="U399" s="768">
        <f ca="1">IF(J399&lt;&gt;0,+J399/'A-2'!H$113,0)</f>
        <v>0</v>
      </c>
      <c r="V399" s="768">
        <f ca="1">IF(K399&lt;&gt;0,+K399/'A-2'!I$113,0)</f>
        <v>0</v>
      </c>
    </row>
    <row r="400" spans="1:22" s="767" customFormat="1">
      <c r="A400" s="5"/>
      <c r="B400" s="249"/>
      <c r="C400" s="425" t="str">
        <v>Materials</v>
      </c>
      <c r="D400" s="426" t="str">
        <v>Materials</v>
      </c>
      <c r="E400" s="847">
        <f ca="1"/>
        <v>0</v>
      </c>
      <c r="F400" s="386">
        <f ca="1"/>
        <v>0</v>
      </c>
      <c r="G400" s="383">
        <f ca="1"/>
        <v>0</v>
      </c>
      <c r="H400" s="383">
        <f ca="1"/>
        <v>0</v>
      </c>
      <c r="I400" s="383">
        <f ca="1"/>
        <v>0</v>
      </c>
      <c r="J400" s="383">
        <f ca="1"/>
        <v>0</v>
      </c>
      <c r="K400" s="383">
        <f ca="1"/>
        <v>0</v>
      </c>
      <c r="P400" s="386"/>
      <c r="Q400" s="768">
        <f ca="1">IF(F400&lt;&gt;0,+F400/'A-2'!D$114,0)</f>
        <v>0</v>
      </c>
      <c r="R400" s="768">
        <f ca="1">IF(G400&lt;&gt;0,+G400/'A-2'!E$114,0)</f>
        <v>0</v>
      </c>
      <c r="S400" s="768">
        <f ca="1">IF(H400&lt;&gt;0,+H400/'A-2'!F$114,0)</f>
        <v>0</v>
      </c>
      <c r="T400" s="768">
        <f ca="1">IF(I400&lt;&gt;0,+I400/'A-2'!G$114,0)</f>
        <v>0</v>
      </c>
      <c r="U400" s="768">
        <f ca="1">IF(J400&lt;&gt;0,+J400/'A-2'!H$114,0)</f>
        <v>0</v>
      </c>
      <c r="V400" s="768">
        <f ca="1">IF(K400&lt;&gt;0,+K400/'A-2'!I$114,0)</f>
        <v>0</v>
      </c>
    </row>
    <row r="401" spans="1:22" s="767" customFormat="1">
      <c r="A401" s="5"/>
      <c r="B401" s="249"/>
      <c r="C401" s="425" t="str">
        <v>Services-construction</v>
      </c>
      <c r="D401" s="426" t="str">
        <v>Contracts</v>
      </c>
      <c r="E401" s="847">
        <f ca="1"/>
        <v>0</v>
      </c>
      <c r="F401" s="386">
        <f ca="1"/>
        <v>0</v>
      </c>
      <c r="G401" s="383">
        <f ca="1"/>
        <v>0</v>
      </c>
      <c r="H401" s="383">
        <f ca="1"/>
        <v>0</v>
      </c>
      <c r="I401" s="383">
        <f ca="1"/>
        <v>0</v>
      </c>
      <c r="J401" s="383">
        <f ca="1"/>
        <v>0</v>
      </c>
      <c r="K401" s="383">
        <f ca="1"/>
        <v>0</v>
      </c>
      <c r="P401" s="386"/>
      <c r="Q401" s="768">
        <f ca="1">IF(F401&lt;&gt;0,+F401/'A-2'!D$115,0)</f>
        <v>0</v>
      </c>
      <c r="R401" s="768">
        <f ca="1">IF(G401&lt;&gt;0,+G401/'A-2'!E$115,0)</f>
        <v>0</v>
      </c>
      <c r="S401" s="768">
        <f ca="1">IF(H401&lt;&gt;0,+H401/'A-2'!F$115,0)</f>
        <v>0</v>
      </c>
      <c r="T401" s="768">
        <f ca="1">IF(I401&lt;&gt;0,+I401/'A-2'!G$115,0)</f>
        <v>0</v>
      </c>
      <c r="U401" s="768">
        <f ca="1">IF(J401&lt;&gt;0,+J401/'A-2'!H$115,0)</f>
        <v>0</v>
      </c>
      <c r="V401" s="768">
        <f ca="1">IF(K401&lt;&gt;0,+K401/'A-2'!I$115,0)</f>
        <v>0</v>
      </c>
    </row>
    <row r="402" spans="1:22" s="767" customFormat="1">
      <c r="A402" s="5"/>
      <c r="B402" s="249"/>
      <c r="C402" s="425" t="str">
        <v>Services-general</v>
      </c>
      <c r="D402" s="426" t="str">
        <v>Services Other</v>
      </c>
      <c r="E402" s="847">
        <f ca="1"/>
        <v>0</v>
      </c>
      <c r="F402" s="386">
        <f ca="1"/>
        <v>0</v>
      </c>
      <c r="G402" s="383">
        <f ca="1"/>
        <v>0</v>
      </c>
      <c r="H402" s="383">
        <f ca="1"/>
        <v>0</v>
      </c>
      <c r="I402" s="383">
        <f ca="1"/>
        <v>0</v>
      </c>
      <c r="J402" s="383">
        <f ca="1"/>
        <v>0</v>
      </c>
      <c r="K402" s="383">
        <f ca="1"/>
        <v>0</v>
      </c>
      <c r="P402" s="386"/>
      <c r="Q402" s="768">
        <f ca="1">IF(F402&lt;&gt;0,+F402/'A-2'!D$116,0)</f>
        <v>0</v>
      </c>
      <c r="R402" s="768">
        <f ca="1">IF(G402&lt;&gt;0,+G402/'A-2'!E$116,0)</f>
        <v>0</v>
      </c>
      <c r="S402" s="768">
        <f ca="1">IF(H402&lt;&gt;0,+H402/'A-2'!F$116,0)</f>
        <v>0</v>
      </c>
      <c r="T402" s="768">
        <f ca="1">IF(I402&lt;&gt;0,+I402/'A-2'!G$116,0)</f>
        <v>0</v>
      </c>
      <c r="U402" s="768">
        <f ca="1">IF(J402&lt;&gt;0,+J402/'A-2'!H$116,0)</f>
        <v>0</v>
      </c>
      <c r="V402" s="768">
        <f ca="1">IF(K402&lt;&gt;0,+K402/'A-2'!I$116,0)</f>
        <v>0</v>
      </c>
    </row>
    <row r="403" spans="1:22" s="767" customFormat="1">
      <c r="A403" s="5"/>
      <c r="B403" s="249"/>
      <c r="C403" s="425" t="str">
        <v>Labour</v>
      </c>
      <c r="D403" s="426" t="str">
        <v>Business Overheads</v>
      </c>
      <c r="E403" s="847">
        <f ca="1"/>
        <v>0</v>
      </c>
      <c r="F403" s="386">
        <f ca="1"/>
        <v>0</v>
      </c>
      <c r="G403" s="383">
        <f ca="1"/>
        <v>0</v>
      </c>
      <c r="H403" s="383">
        <f ca="1"/>
        <v>0</v>
      </c>
      <c r="I403" s="383">
        <f ca="1"/>
        <v>0</v>
      </c>
      <c r="J403" s="383">
        <f ca="1"/>
        <v>0</v>
      </c>
      <c r="K403" s="383">
        <f ca="1"/>
        <v>0</v>
      </c>
      <c r="P403" s="386"/>
      <c r="Q403" s="768">
        <f ca="1">IF(F403&lt;&gt;0,+F403/'A-2'!D$117,0)</f>
        <v>0</v>
      </c>
      <c r="R403" s="768">
        <f ca="1">IF(G403&lt;&gt;0,+G403/'A-2'!E$117,0)</f>
        <v>0</v>
      </c>
      <c r="S403" s="768">
        <f ca="1">IF(H403&lt;&gt;0,+H403/'A-2'!F$117,0)</f>
        <v>0</v>
      </c>
      <c r="T403" s="768">
        <f ca="1">IF(I403&lt;&gt;0,+I403/'A-2'!G$117,0)</f>
        <v>0</v>
      </c>
      <c r="U403" s="768">
        <f ca="1">IF(J403&lt;&gt;0,+J403/'A-2'!H$117,0)</f>
        <v>0</v>
      </c>
      <c r="V403" s="768">
        <f ca="1">IF(K403&lt;&gt;0,+K403/'A-2'!I$117,0)</f>
        <v>0</v>
      </c>
    </row>
    <row r="404" spans="1:22" s="767" customFormat="1">
      <c r="A404" s="5"/>
      <c r="B404" s="249"/>
      <c r="C404" s="425" t="str">
        <v>Materials - Land</v>
      </c>
      <c r="D404" s="426" t="str">
        <v>Other</v>
      </c>
      <c r="E404" s="847">
        <f ca="1"/>
        <v>0</v>
      </c>
      <c r="F404" s="386">
        <f ca="1"/>
        <v>0</v>
      </c>
      <c r="G404" s="383">
        <f ca="1"/>
        <v>0</v>
      </c>
      <c r="H404" s="383">
        <f ca="1"/>
        <v>0</v>
      </c>
      <c r="I404" s="383">
        <f ca="1"/>
        <v>0</v>
      </c>
      <c r="J404" s="383">
        <f ca="1"/>
        <v>0</v>
      </c>
      <c r="K404" s="383">
        <f ca="1"/>
        <v>0</v>
      </c>
      <c r="P404" s="386"/>
      <c r="Q404" s="768">
        <f ca="1">IF(F404&lt;&gt;0,+F404/'A-2'!D$118,0)</f>
        <v>0</v>
      </c>
      <c r="R404" s="768">
        <f ca="1">IF(G404&lt;&gt;0,+G404/'A-2'!E$118,0)</f>
        <v>0</v>
      </c>
      <c r="S404" s="768">
        <f ca="1">IF(H404&lt;&gt;0,+H404/'A-2'!F$118,0)</f>
        <v>0</v>
      </c>
      <c r="T404" s="768">
        <f ca="1">IF(I404&lt;&gt;0,+I404/'A-2'!G$118,0)</f>
        <v>0</v>
      </c>
      <c r="U404" s="768">
        <f ca="1">IF(J404&lt;&gt;0,+J404/'A-2'!H$118,0)</f>
        <v>0</v>
      </c>
      <c r="V404" s="768">
        <f ca="1">IF(K404&lt;&gt;0,+K404/'A-2'!I$118,0)</f>
        <v>0</v>
      </c>
    </row>
    <row r="405" spans="1:22">
      <c r="A405" s="5"/>
      <c r="B405" s="249" t="str">
        <f ca="1">+'I-4 History'!B246</f>
        <v>A-3</v>
      </c>
      <c r="C405" s="14" t="str">
        <f ca="1">+'I-4 History'!C246</f>
        <v>Communications</v>
      </c>
      <c r="D405" s="418"/>
      <c r="E405" s="507"/>
      <c r="F405" s="11"/>
      <c r="G405" s="11"/>
      <c r="H405" s="11"/>
      <c r="I405" s="11"/>
      <c r="J405" s="11"/>
      <c r="K405" s="11"/>
      <c r="P405" s="11"/>
      <c r="Q405" s="11"/>
      <c r="R405" s="11"/>
      <c r="S405" s="11"/>
      <c r="T405" s="11"/>
      <c r="U405" s="11"/>
      <c r="V405" s="11"/>
    </row>
    <row r="406" spans="1:22">
      <c r="A406" s="5"/>
      <c r="B406" s="249"/>
      <c r="C406" s="424" t="s">
        <v>74</v>
      </c>
      <c r="D406" s="416"/>
      <c r="E406" s="507"/>
      <c r="F406" s="11"/>
      <c r="G406" s="11"/>
      <c r="H406" s="11"/>
      <c r="I406" s="11"/>
      <c r="J406" s="11"/>
      <c r="K406" s="11"/>
      <c r="P406" s="11"/>
      <c r="Q406" s="11"/>
      <c r="R406" s="11"/>
      <c r="S406" s="11"/>
      <c r="T406" s="11"/>
      <c r="U406" s="11"/>
      <c r="V406" s="11"/>
    </row>
    <row r="407" spans="1:22">
      <c r="A407" s="5"/>
      <c r="B407" s="249"/>
      <c r="C407" s="425" t="str">
        <f t="array" ref="C407:D412">+'A-3'!$A$77:$B$82</f>
        <v>Total Output Growth</v>
      </c>
      <c r="D407" s="426" t="str">
        <v>Labour</v>
      </c>
      <c r="E407" s="847">
        <f t="array" ref="E407:K412" ca="1">+'A-3'!$N$77:$T$82</f>
        <v>0</v>
      </c>
      <c r="F407" s="386">
        <f ca="1"/>
        <v>0</v>
      </c>
      <c r="G407" s="383">
        <f ca="1"/>
        <v>8.0317384188949865E-3</v>
      </c>
      <c r="H407" s="383">
        <f ca="1"/>
        <v>1.5473833308574094E-2</v>
      </c>
      <c r="I407" s="383">
        <f ca="1"/>
        <v>2.2830261468293134E-2</v>
      </c>
      <c r="J407" s="383">
        <f ca="1"/>
        <v>3.081139518627574E-2</v>
      </c>
      <c r="K407" s="383">
        <f ca="1"/>
        <v>3.8122173403008136E-2</v>
      </c>
      <c r="L407" s="790"/>
      <c r="M407" s="790"/>
      <c r="N407" s="790"/>
      <c r="O407" s="790"/>
      <c r="P407" s="386"/>
      <c r="Q407" s="768">
        <f ca="1">IF(F407&lt;&gt;0,+F407/'A-3'!D$77,0)</f>
        <v>0</v>
      </c>
      <c r="R407" s="768">
        <f ca="1">IF(G407&lt;&gt;0,+G407/'A-3'!E$77,0)</f>
        <v>0.75700000000000001</v>
      </c>
      <c r="S407" s="768">
        <f ca="1">IF(H407&lt;&gt;0,+H407/'A-3'!F$77,0)</f>
        <v>0.75700000000000001</v>
      </c>
      <c r="T407" s="768">
        <f ca="1">IF(I407&lt;&gt;0,+I407/'A-3'!G$77,0)</f>
        <v>0.75700000000000001</v>
      </c>
      <c r="U407" s="768">
        <f ca="1">IF(J407&lt;&gt;0,+J407/'A-3'!H$77,0)</f>
        <v>0.75700000000000001</v>
      </c>
      <c r="V407" s="768">
        <f ca="1">IF(K407&lt;&gt;0,+K407/'A-3'!I$77,0)</f>
        <v>0.75700000000000001</v>
      </c>
    </row>
    <row r="408" spans="1:22">
      <c r="A408" s="5"/>
      <c r="B408" s="249"/>
      <c r="C408" s="425" t="str">
        <v>Total Output Growth</v>
      </c>
      <c r="D408" s="426" t="str">
        <v>Materials</v>
      </c>
      <c r="E408" s="847">
        <f ca="1"/>
        <v>0</v>
      </c>
      <c r="F408" s="386">
        <f ca="1"/>
        <v>0</v>
      </c>
      <c r="G408" s="383">
        <f ca="1"/>
        <v>5.0185102670242121E-3</v>
      </c>
      <c r="H408" s="383">
        <f ca="1"/>
        <v>9.6685906934683569E-3</v>
      </c>
      <c r="I408" s="383">
        <f ca="1"/>
        <v>1.4265143559448681E-2</v>
      </c>
      <c r="J408" s="383">
        <f ca="1"/>
        <v>1.9252034244528964E-2</v>
      </c>
      <c r="K408" s="383">
        <f ca="1"/>
        <v>2.3820063434112086E-2</v>
      </c>
      <c r="L408" s="790"/>
      <c r="M408" s="790"/>
      <c r="N408" s="790"/>
      <c r="O408" s="790"/>
      <c r="P408" s="386"/>
      <c r="Q408" s="768">
        <f ca="1">IF(F408&lt;&gt;0,+F408/'A-3'!D$78,0)</f>
        <v>0</v>
      </c>
      <c r="R408" s="768">
        <f ca="1">IF(G408&lt;&gt;0,+G408/'A-3'!E$78,0)</f>
        <v>0.47299999999999998</v>
      </c>
      <c r="S408" s="768">
        <f ca="1">IF(H408&lt;&gt;0,+H408/'A-3'!F$78,0)</f>
        <v>0.47299999999999998</v>
      </c>
      <c r="T408" s="768">
        <f ca="1">IF(I408&lt;&gt;0,+I408/'A-3'!G$78,0)</f>
        <v>0.47299999999999998</v>
      </c>
      <c r="U408" s="768">
        <f ca="1">IF(J408&lt;&gt;0,+J408/'A-3'!H$78,0)</f>
        <v>0.47300000000000003</v>
      </c>
      <c r="V408" s="768">
        <f ca="1">IF(K408&lt;&gt;0,+K408/'A-3'!I$78,0)</f>
        <v>0.47300000000000003</v>
      </c>
    </row>
    <row r="409" spans="1:22">
      <c r="A409" s="5"/>
      <c r="B409" s="249"/>
      <c r="C409" s="425" t="str">
        <v>Total Output Growth</v>
      </c>
      <c r="D409" s="426" t="str">
        <v>Contracts</v>
      </c>
      <c r="E409" s="847">
        <f ca="1"/>
        <v>0</v>
      </c>
      <c r="F409" s="386">
        <f ca="1"/>
        <v>0</v>
      </c>
      <c r="G409" s="383">
        <f ca="1"/>
        <v>2.9707883187458342E-4</v>
      </c>
      <c r="H409" s="383">
        <f ca="1"/>
        <v>5.7234786346112895E-4</v>
      </c>
      <c r="I409" s="383">
        <f ca="1"/>
        <v>8.4444824453396006E-4</v>
      </c>
      <c r="J409" s="383">
        <f ca="1"/>
        <v>1.1396553041158794E-3</v>
      </c>
      <c r="K409" s="383">
        <f ca="1"/>
        <v>1.410067180032005E-3</v>
      </c>
      <c r="L409" s="790"/>
      <c r="M409" s="790"/>
      <c r="N409" s="790"/>
      <c r="O409" s="790"/>
      <c r="P409" s="386"/>
      <c r="Q409" s="768">
        <f ca="1">IF(F409&lt;&gt;0,+F409/'A-3'!D$79,0)</f>
        <v>0</v>
      </c>
      <c r="R409" s="768">
        <f ca="1">IF(G409&lt;&gt;0,+G409/'A-3'!E$79,0)</f>
        <v>2.8000000000000004E-2</v>
      </c>
      <c r="S409" s="768">
        <f ca="1">IF(H409&lt;&gt;0,+H409/'A-3'!F$79,0)</f>
        <v>2.7999999999999997E-2</v>
      </c>
      <c r="T409" s="768">
        <f ca="1">IF(I409&lt;&gt;0,+I409/'A-3'!G$79,0)</f>
        <v>2.8000000000000001E-2</v>
      </c>
      <c r="U409" s="768">
        <f ca="1">IF(J409&lt;&gt;0,+J409/'A-3'!H$79,0)</f>
        <v>2.8000000000000001E-2</v>
      </c>
      <c r="V409" s="768">
        <f ca="1">IF(K409&lt;&gt;0,+K409/'A-3'!I$79,0)</f>
        <v>2.8000000000000001E-2</v>
      </c>
    </row>
    <row r="410" spans="1:22" s="790" customFormat="1">
      <c r="A410" s="5"/>
      <c r="B410" s="249"/>
      <c r="C410" s="425" t="str">
        <v>Total Output Growth</v>
      </c>
      <c r="D410" s="426" t="str">
        <v>Services Other</v>
      </c>
      <c r="E410" s="847">
        <f ca="1"/>
        <v>0</v>
      </c>
      <c r="F410" s="386">
        <f ca="1"/>
        <v>0</v>
      </c>
      <c r="G410" s="383">
        <f ca="1"/>
        <v>9.3792031206118478E-3</v>
      </c>
      <c r="H410" s="383">
        <f ca="1"/>
        <v>1.8069839689272785E-2</v>
      </c>
      <c r="I410" s="383">
        <f ca="1"/>
        <v>2.6660437434572169E-2</v>
      </c>
      <c r="J410" s="383">
        <f ca="1"/>
        <v>3.5980546029944195E-2</v>
      </c>
      <c r="K410" s="383">
        <f ca="1"/>
        <v>4.4517835255296158E-2</v>
      </c>
      <c r="P410" s="386"/>
      <c r="Q410" s="768">
        <f ca="1">IF(F410&lt;&gt;0,+F410/'A-3'!D$80,0)</f>
        <v>0</v>
      </c>
      <c r="R410" s="768">
        <f ca="1">IF(G410&lt;&gt;0,+G410/'A-3'!E$80,0)</f>
        <v>0.88400000000000001</v>
      </c>
      <c r="S410" s="768">
        <f ca="1">IF(H410&lt;&gt;0,+H410/'A-3'!F$80,0)</f>
        <v>0.8839999999999999</v>
      </c>
      <c r="T410" s="768">
        <f ca="1">IF(I410&lt;&gt;0,+I410/'A-3'!G$80,0)</f>
        <v>0.88400000000000001</v>
      </c>
      <c r="U410" s="768">
        <f ca="1">IF(J410&lt;&gt;0,+J410/'A-3'!H$80,0)</f>
        <v>0.88400000000000001</v>
      </c>
      <c r="V410" s="768">
        <f ca="1">IF(K410&lt;&gt;0,+K410/'A-3'!I$80,0)</f>
        <v>0.88400000000000001</v>
      </c>
    </row>
    <row r="411" spans="1:22" s="790" customFormat="1">
      <c r="A411" s="5"/>
      <c r="B411" s="249"/>
      <c r="C411" s="425" t="str">
        <v>Total Output Growth</v>
      </c>
      <c r="D411" s="426" t="str">
        <v>Business Overheads</v>
      </c>
      <c r="E411" s="847">
        <f ca="1"/>
        <v>0</v>
      </c>
      <c r="F411" s="386">
        <f ca="1"/>
        <v>0</v>
      </c>
      <c r="G411" s="383">
        <f ca="1"/>
        <v>1.0609958281235122E-5</v>
      </c>
      <c r="H411" s="383">
        <f ca="1"/>
        <v>2.0440995123611749E-5</v>
      </c>
      <c r="I411" s="383">
        <f ca="1"/>
        <v>3.0158865876212861E-5</v>
      </c>
      <c r="J411" s="383">
        <f ca="1"/>
        <v>4.0701975146995693E-5</v>
      </c>
      <c r="K411" s="383">
        <f ca="1"/>
        <v>5.0359542144000181E-5</v>
      </c>
      <c r="P411" s="386"/>
      <c r="Q411" s="768">
        <f ca="1">IF(F411&lt;&gt;0,+F411/'A-3'!D$81,0)</f>
        <v>0</v>
      </c>
      <c r="R411" s="768">
        <f ca="1">IF(G411&lt;&gt;0,+G411/'A-3'!E$81,0)</f>
        <v>1E-3</v>
      </c>
      <c r="S411" s="768">
        <f ca="1">IF(H411&lt;&gt;0,+H411/'A-3'!F$81,0)</f>
        <v>1E-3</v>
      </c>
      <c r="T411" s="768">
        <f ca="1">IF(I411&lt;&gt;0,+I411/'A-3'!G$81,0)</f>
        <v>1E-3</v>
      </c>
      <c r="U411" s="768">
        <f ca="1">IF(J411&lt;&gt;0,+J411/'A-3'!H$81,0)</f>
        <v>1E-3</v>
      </c>
      <c r="V411" s="768">
        <f ca="1">IF(K411&lt;&gt;0,+K411/'A-3'!I$81,0)</f>
        <v>1E-3</v>
      </c>
    </row>
    <row r="412" spans="1:22" s="790" customFormat="1">
      <c r="A412" s="5"/>
      <c r="B412" s="249"/>
      <c r="C412" s="425" t="str">
        <v>Total Output Growth</v>
      </c>
      <c r="D412" s="426" t="str">
        <v>Other</v>
      </c>
      <c r="E412" s="847">
        <f ca="1"/>
        <v>0</v>
      </c>
      <c r="F412" s="386">
        <f ca="1"/>
        <v>0</v>
      </c>
      <c r="G412" s="383">
        <f ca="1"/>
        <v>0</v>
      </c>
      <c r="H412" s="383">
        <f ca="1"/>
        <v>0</v>
      </c>
      <c r="I412" s="383">
        <f ca="1"/>
        <v>0</v>
      </c>
      <c r="J412" s="383">
        <f ca="1"/>
        <v>0</v>
      </c>
      <c r="K412" s="383">
        <f ca="1"/>
        <v>0</v>
      </c>
      <c r="P412" s="386"/>
      <c r="Q412" s="768">
        <f ca="1">IF(F412&lt;&gt;0,+F412/'A-3'!D$82,0)</f>
        <v>0</v>
      </c>
      <c r="R412" s="768">
        <f ca="1">IF(G412&lt;&gt;0,+G412/'A-3'!E$82,0)</f>
        <v>0</v>
      </c>
      <c r="S412" s="768">
        <f ca="1">IF(H412&lt;&gt;0,+H412/'A-3'!F$82,0)</f>
        <v>0</v>
      </c>
      <c r="T412" s="768">
        <f ca="1">IF(I412&lt;&gt;0,+I412/'A-3'!G$82,0)</f>
        <v>0</v>
      </c>
      <c r="U412" s="768">
        <f ca="1">IF(J412&lt;&gt;0,+J412/'A-3'!H$82,0)</f>
        <v>0</v>
      </c>
      <c r="V412" s="768">
        <f ca="1">IF(K412&lt;&gt;0,+K412/'A-3'!I$82,0)</f>
        <v>0</v>
      </c>
    </row>
    <row r="413" spans="1:22">
      <c r="A413" s="5"/>
      <c r="B413" s="249"/>
      <c r="C413" s="424" t="s">
        <v>73</v>
      </c>
      <c r="D413" s="417"/>
      <c r="E413" s="848"/>
      <c r="F413" s="387"/>
      <c r="G413" s="385"/>
      <c r="H413" s="385"/>
      <c r="I413" s="385"/>
      <c r="J413" s="385"/>
      <c r="K413" s="385"/>
      <c r="P413" s="387"/>
      <c r="Q413" s="385"/>
      <c r="R413" s="385"/>
      <c r="S413" s="385"/>
      <c r="T413" s="385"/>
      <c r="U413" s="385"/>
      <c r="V413" s="385"/>
    </row>
    <row r="414" spans="1:22" s="767" customFormat="1">
      <c r="A414" s="5"/>
      <c r="B414" s="249"/>
      <c r="C414" s="425" t="str">
        <f t="array" ref="C414:D419">+'A-3'!$A$113:$B$119</f>
        <v>Labour</v>
      </c>
      <c r="D414" s="426" t="str">
        <v>Labour</v>
      </c>
      <c r="E414" s="847">
        <f t="array" ref="E414:K419" ca="1">+'A-3'!$N$113:$T$119</f>
        <v>0</v>
      </c>
      <c r="F414" s="386">
        <f ca="1"/>
        <v>0</v>
      </c>
      <c r="G414" s="383">
        <f ca="1"/>
        <v>1.6416024957254353E-2</v>
      </c>
      <c r="H414" s="383">
        <f ca="1"/>
        <v>3.3507115525242083E-2</v>
      </c>
      <c r="I414" s="383">
        <f ca="1"/>
        <v>5.2242303711804931E-2</v>
      </c>
      <c r="J414" s="383">
        <f ca="1"/>
        <v>7.1802637648791398E-2</v>
      </c>
      <c r="K414" s="383">
        <f ca="1"/>
        <v>9.2105792222387156E-2</v>
      </c>
      <c r="P414" s="386"/>
      <c r="Q414" s="768">
        <f ca="1">IF(F414&lt;&gt;0,+F414/'A-3'!D$113,0)</f>
        <v>0</v>
      </c>
      <c r="R414" s="768">
        <f ca="1">IF(G414&lt;&gt;0,+G414/'A-3'!E$113,0)</f>
        <v>0.76503173841889505</v>
      </c>
      <c r="S414" s="768">
        <f ca="1">IF(H414&lt;&gt;0,+H414/'A-3'!F$113,0)</f>
        <v>0.77247383330857411</v>
      </c>
      <c r="T414" s="768">
        <f ca="1">IF(I414&lt;&gt;0,+I414/'A-3'!G$113,0)</f>
        <v>0.77983026146829315</v>
      </c>
      <c r="U414" s="768">
        <f ca="1">IF(J414&lt;&gt;0,+J414/'A-3'!H$113,0)</f>
        <v>0.78781139518627574</v>
      </c>
      <c r="V414" s="768">
        <f ca="1">IF(K414&lt;&gt;0,+K414/'A-3'!I$113,0)</f>
        <v>0.79512217340300817</v>
      </c>
    </row>
    <row r="415" spans="1:22" s="767" customFormat="1">
      <c r="A415" s="5"/>
      <c r="B415" s="249"/>
      <c r="C415" s="425" t="str">
        <v>Materials</v>
      </c>
      <c r="D415" s="426" t="str">
        <v>Materials</v>
      </c>
      <c r="E415" s="847">
        <f ca="1"/>
        <v>0</v>
      </c>
      <c r="F415" s="386">
        <f ca="1"/>
        <v>0</v>
      </c>
      <c r="G415" s="383">
        <f ca="1"/>
        <v>0</v>
      </c>
      <c r="H415" s="383">
        <f ca="1"/>
        <v>0</v>
      </c>
      <c r="I415" s="383">
        <f ca="1"/>
        <v>0</v>
      </c>
      <c r="J415" s="383">
        <f ca="1"/>
        <v>0</v>
      </c>
      <c r="K415" s="383">
        <f ca="1"/>
        <v>0</v>
      </c>
      <c r="P415" s="386"/>
      <c r="Q415" s="768">
        <f ca="1">IF(F415&lt;&gt;0,+F415/'A-3'!D$114,0)</f>
        <v>0</v>
      </c>
      <c r="R415" s="768">
        <f ca="1">IF(G415&lt;&gt;0,+G415/'A-3'!E$114,0)</f>
        <v>0</v>
      </c>
      <c r="S415" s="768">
        <f ca="1">IF(H415&lt;&gt;0,+H415/'A-3'!F$114,0)</f>
        <v>0</v>
      </c>
      <c r="T415" s="768">
        <f ca="1">IF(I415&lt;&gt;0,+I415/'A-3'!G$114,0)</f>
        <v>0</v>
      </c>
      <c r="U415" s="768">
        <f ca="1">IF(J415&lt;&gt;0,+J415/'A-3'!H$114,0)</f>
        <v>0</v>
      </c>
      <c r="V415" s="768">
        <f ca="1">IF(K415&lt;&gt;0,+K415/'A-3'!I$114,0)</f>
        <v>0</v>
      </c>
    </row>
    <row r="416" spans="1:22" s="767" customFormat="1">
      <c r="A416" s="5"/>
      <c r="B416" s="249"/>
      <c r="C416" s="425" t="str">
        <v>Services-construction</v>
      </c>
      <c r="D416" s="426" t="str">
        <v>Contracts</v>
      </c>
      <c r="E416" s="847">
        <f ca="1"/>
        <v>0</v>
      </c>
      <c r="F416" s="386">
        <f ca="1"/>
        <v>0</v>
      </c>
      <c r="G416" s="383">
        <f ca="1"/>
        <v>1.4148539415936989E-4</v>
      </c>
      <c r="H416" s="383">
        <f ca="1"/>
        <v>2.8643778733119005E-4</v>
      </c>
      <c r="I416" s="383">
        <f ca="1"/>
        <v>5.5136811819510767E-4</v>
      </c>
      <c r="J416" s="383">
        <f ca="1"/>
        <v>8.6882606446320881E-4</v>
      </c>
      <c r="K416" s="383">
        <f ca="1"/>
        <v>1.2554755951837407E-3</v>
      </c>
      <c r="P416" s="386"/>
      <c r="Q416" s="768">
        <f ca="1">IF(F416&lt;&gt;0,+F416/'A-3'!D$115,0)</f>
        <v>0</v>
      </c>
      <c r="R416" s="768">
        <f ca="1">IF(G416&lt;&gt;0,+G416/'A-3'!E$115,0)</f>
        <v>2.8297078831874579E-2</v>
      </c>
      <c r="S416" s="768">
        <f ca="1">IF(H416&lt;&gt;0,+H416/'A-3'!F$115,0)</f>
        <v>2.8572347863461127E-2</v>
      </c>
      <c r="T416" s="768">
        <f ca="1">IF(I416&lt;&gt;0,+I416/'A-3'!G$115,0)</f>
        <v>2.8844448244533961E-2</v>
      </c>
      <c r="U416" s="768">
        <f ca="1">IF(J416&lt;&gt;0,+J416/'A-3'!H$115,0)</f>
        <v>2.9139655304115879E-2</v>
      </c>
      <c r="V416" s="768">
        <f ca="1">IF(K416&lt;&gt;0,+K416/'A-3'!I$115,0)</f>
        <v>2.9410067180032005E-2</v>
      </c>
    </row>
    <row r="417" spans="1:22" s="767" customFormat="1">
      <c r="A417" s="5"/>
      <c r="B417" s="249"/>
      <c r="C417" s="425" t="str">
        <v>Services-general</v>
      </c>
      <c r="D417" s="426" t="str">
        <v>Services Other</v>
      </c>
      <c r="E417" s="847">
        <f ca="1"/>
        <v>0</v>
      </c>
      <c r="F417" s="386">
        <f ca="1"/>
        <v>0</v>
      </c>
      <c r="G417" s="383">
        <f ca="1"/>
        <v>4.4668960156029639E-3</v>
      </c>
      <c r="H417" s="383">
        <f ca="1"/>
        <v>9.0432501428847154E-3</v>
      </c>
      <c r="I417" s="383">
        <f ca="1"/>
        <v>1.7407479160159826E-2</v>
      </c>
      <c r="J417" s="383">
        <f ca="1"/>
        <v>2.7430080035195592E-2</v>
      </c>
      <c r="K417" s="383">
        <f ca="1"/>
        <v>3.9637158076515244E-2</v>
      </c>
      <c r="P417" s="386"/>
      <c r="Q417" s="768">
        <f ca="1">IF(F417&lt;&gt;0,+F417/'A-3'!D$116,0)</f>
        <v>0</v>
      </c>
      <c r="R417" s="768">
        <f ca="1">IF(G417&lt;&gt;0,+G417/'A-3'!E$116,0)</f>
        <v>0.89337920312061181</v>
      </c>
      <c r="S417" s="768">
        <f ca="1">IF(H417&lt;&gt;0,+H417/'A-3'!F$116,0)</f>
        <v>0.90206983968927279</v>
      </c>
      <c r="T417" s="768">
        <f ca="1">IF(I417&lt;&gt;0,+I417/'A-3'!G$116,0)</f>
        <v>0.91066043743457215</v>
      </c>
      <c r="U417" s="768">
        <f ca="1">IF(J417&lt;&gt;0,+J417/'A-3'!H$116,0)</f>
        <v>0.91998054602994417</v>
      </c>
      <c r="V417" s="768">
        <f ca="1">IF(K417&lt;&gt;0,+K417/'A-3'!I$116,0)</f>
        <v>0.92851783525529619</v>
      </c>
    </row>
    <row r="418" spans="1:22" s="767" customFormat="1">
      <c r="A418" s="5"/>
      <c r="B418" s="249"/>
      <c r="C418" s="425" t="str">
        <v>Labour</v>
      </c>
      <c r="D418" s="426" t="str">
        <v>Business Overheads</v>
      </c>
      <c r="E418" s="847">
        <f ca="1"/>
        <v>0</v>
      </c>
      <c r="F418" s="386">
        <f ca="1"/>
        <v>0</v>
      </c>
      <c r="G418" s="383">
        <f ca="1"/>
        <v>2.1685634025435076E-5</v>
      </c>
      <c r="H418" s="383">
        <f ca="1"/>
        <v>4.4263032397941988E-5</v>
      </c>
      <c r="I418" s="383">
        <f ca="1"/>
        <v>6.9012290240165041E-5</v>
      </c>
      <c r="J418" s="383">
        <f ca="1"/>
        <v>9.4851568888760105E-5</v>
      </c>
      <c r="K418" s="383">
        <f ca="1"/>
        <v>1.2167211654212304E-4</v>
      </c>
      <c r="P418" s="386"/>
      <c r="Q418" s="768">
        <f ca="1">IF(F418&lt;&gt;0,+F418/'A-3'!D$117,0)</f>
        <v>0</v>
      </c>
      <c r="R418" s="768">
        <f ca="1">IF(G418&lt;&gt;0,+G418/'A-3'!E$117,0)</f>
        <v>1.0106099582812352E-3</v>
      </c>
      <c r="S418" s="768">
        <f ca="1">IF(H418&lt;&gt;0,+H418/'A-3'!F$117,0)</f>
        <v>1.0204409951236118E-3</v>
      </c>
      <c r="T418" s="768">
        <f ca="1">IF(I418&lt;&gt;0,+I418/'A-3'!G$117,0)</f>
        <v>1.0301588658762129E-3</v>
      </c>
      <c r="U418" s="768">
        <f ca="1">IF(J418&lt;&gt;0,+J418/'A-3'!H$117,0)</f>
        <v>1.0407019751469957E-3</v>
      </c>
      <c r="V418" s="768">
        <f ca="1">IF(K418&lt;&gt;0,+K418/'A-3'!I$117,0)</f>
        <v>1.0503595421440001E-3</v>
      </c>
    </row>
    <row r="419" spans="1:22" s="767" customFormat="1">
      <c r="A419" s="5"/>
      <c r="B419" s="249"/>
      <c r="C419" s="425" t="str">
        <v>Materials - Land</v>
      </c>
      <c r="D419" s="426" t="str">
        <v>Other</v>
      </c>
      <c r="E419" s="847">
        <f ca="1"/>
        <v>0</v>
      </c>
      <c r="F419" s="386">
        <f ca="1"/>
        <v>0</v>
      </c>
      <c r="G419" s="383">
        <f ca="1"/>
        <v>0</v>
      </c>
      <c r="H419" s="383">
        <f ca="1"/>
        <v>0</v>
      </c>
      <c r="I419" s="383">
        <f ca="1"/>
        <v>0</v>
      </c>
      <c r="J419" s="383">
        <f ca="1"/>
        <v>0</v>
      </c>
      <c r="K419" s="383">
        <f ca="1"/>
        <v>0</v>
      </c>
      <c r="P419" s="386"/>
      <c r="Q419" s="768">
        <f ca="1">IF(F419&lt;&gt;0,+F419/'A-3'!D$118,0)</f>
        <v>0</v>
      </c>
      <c r="R419" s="768">
        <f ca="1">IF(G419&lt;&gt;0,+G419/'A-3'!E$118,0)</f>
        <v>0</v>
      </c>
      <c r="S419" s="768">
        <f ca="1">IF(H419&lt;&gt;0,+H419/'A-3'!F$118,0)</f>
        <v>0</v>
      </c>
      <c r="T419" s="768">
        <f ca="1">IF(I419&lt;&gt;0,+I419/'A-3'!G$118,0)</f>
        <v>0</v>
      </c>
      <c r="U419" s="768">
        <f ca="1">IF(J419&lt;&gt;0,+J419/'A-3'!H$118,0)</f>
        <v>0</v>
      </c>
      <c r="V419" s="768">
        <f ca="1">IF(K419&lt;&gt;0,+K419/'A-3'!I$118,0)</f>
        <v>0</v>
      </c>
    </row>
    <row r="420" spans="1:22">
      <c r="A420" s="5"/>
      <c r="B420" s="249" t="str">
        <f ca="1">+'I-4 History'!B255</f>
        <v>A-4</v>
      </c>
      <c r="C420" s="14" t="str">
        <f ca="1">+'I-4 History'!C255</f>
        <v>Audit Services</v>
      </c>
      <c r="D420" s="418"/>
      <c r="E420" s="507"/>
      <c r="F420" s="11"/>
      <c r="G420" s="11"/>
      <c r="H420" s="11"/>
      <c r="I420" s="11"/>
      <c r="J420" s="11"/>
      <c r="K420" s="11"/>
      <c r="P420" s="11"/>
      <c r="Q420" s="11"/>
      <c r="R420" s="11"/>
      <c r="S420" s="11"/>
      <c r="T420" s="11"/>
      <c r="U420" s="11"/>
      <c r="V420" s="11"/>
    </row>
    <row r="421" spans="1:22">
      <c r="A421" s="5"/>
      <c r="B421" s="249"/>
      <c r="C421" s="424" t="s">
        <v>74</v>
      </c>
      <c r="D421" s="416"/>
      <c r="E421" s="507"/>
      <c r="F421" s="11"/>
      <c r="G421" s="11"/>
      <c r="H421" s="11"/>
      <c r="I421" s="11"/>
      <c r="J421" s="11"/>
      <c r="K421" s="11"/>
      <c r="P421" s="11"/>
      <c r="Q421" s="11"/>
      <c r="R421" s="11"/>
      <c r="S421" s="11"/>
      <c r="T421" s="11"/>
      <c r="U421" s="11"/>
      <c r="V421" s="11"/>
    </row>
    <row r="422" spans="1:22">
      <c r="A422" s="5"/>
      <c r="B422" s="249"/>
      <c r="C422" s="425" t="str">
        <f t="array" ref="C422:D427">+'A-4'!$A$77:$B$82</f>
        <v>Total Output Growth</v>
      </c>
      <c r="D422" s="426" t="str">
        <v>Labour</v>
      </c>
      <c r="E422" s="847">
        <f t="array" ref="E422:K427" ca="1">+'A-4'!$N$77:$T$82</f>
        <v>0</v>
      </c>
      <c r="F422" s="386">
        <f ca="1"/>
        <v>0</v>
      </c>
      <c r="G422" s="383">
        <f ca="1"/>
        <v>5.0927799749928577E-3</v>
      </c>
      <c r="H422" s="383">
        <f ca="1"/>
        <v>9.8116776593336393E-3</v>
      </c>
      <c r="I422" s="383">
        <f ca="1"/>
        <v>1.4476255620582171E-2</v>
      </c>
      <c r="J422" s="383">
        <f ca="1"/>
        <v>1.9536948070557933E-2</v>
      </c>
      <c r="K422" s="383">
        <f ca="1"/>
        <v>2.4172580229120087E-2</v>
      </c>
      <c r="L422" s="790"/>
      <c r="M422" s="790"/>
      <c r="N422" s="790"/>
      <c r="O422" s="790"/>
      <c r="P422" s="386"/>
      <c r="Q422" s="768">
        <f ca="1">IF(F422&lt;&gt;0,+F422/'A-4'!D$77,0)</f>
        <v>0</v>
      </c>
      <c r="R422" s="768">
        <f ca="1">IF(G422&lt;&gt;0,+G422/'A-4'!E$77,0)</f>
        <v>0.47999999999999993</v>
      </c>
      <c r="S422" s="768">
        <f ca="1">IF(H422&lt;&gt;0,+H422/'A-4'!F$77,0)</f>
        <v>0.48</v>
      </c>
      <c r="T422" s="768">
        <f ca="1">IF(I422&lt;&gt;0,+I422/'A-4'!G$77,0)</f>
        <v>0.48</v>
      </c>
      <c r="U422" s="768">
        <f ca="1">IF(J422&lt;&gt;0,+J422/'A-4'!H$77,0)</f>
        <v>0.48</v>
      </c>
      <c r="V422" s="768">
        <f ca="1">IF(K422&lt;&gt;0,+K422/'A-4'!I$77,0)</f>
        <v>0.48</v>
      </c>
    </row>
    <row r="423" spans="1:22">
      <c r="A423" s="5"/>
      <c r="B423" s="249"/>
      <c r="C423" s="425" t="str">
        <v>Total Output Growth</v>
      </c>
      <c r="D423" s="426" t="str">
        <v>Materials</v>
      </c>
      <c r="E423" s="847">
        <f ca="1"/>
        <v>0</v>
      </c>
      <c r="F423" s="386">
        <f ca="1"/>
        <v>0</v>
      </c>
      <c r="G423" s="383">
        <f ca="1"/>
        <v>5.3049791406175605E-5</v>
      </c>
      <c r="H423" s="383">
        <f ca="1"/>
        <v>1.0220497561805875E-4</v>
      </c>
      <c r="I423" s="383">
        <f ca="1"/>
        <v>1.507943293810643E-4</v>
      </c>
      <c r="J423" s="383">
        <f ca="1"/>
        <v>2.0350987573497848E-4</v>
      </c>
      <c r="K423" s="383">
        <f ca="1"/>
        <v>2.5179771072000092E-4</v>
      </c>
      <c r="L423" s="790"/>
      <c r="M423" s="790"/>
      <c r="N423" s="790"/>
      <c r="O423" s="790"/>
      <c r="P423" s="386"/>
      <c r="Q423" s="768">
        <f ca="1">IF(F423&lt;&gt;0,+F423/'A-4'!D$78,0)</f>
        <v>0</v>
      </c>
      <c r="R423" s="768">
        <f ca="1">IF(G423&lt;&gt;0,+G423/'A-4'!E$78,0)</f>
        <v>5.0000000000000001E-3</v>
      </c>
      <c r="S423" s="768">
        <f ca="1">IF(H423&lt;&gt;0,+H423/'A-4'!F$78,0)</f>
        <v>5.0000000000000001E-3</v>
      </c>
      <c r="T423" s="768">
        <f ca="1">IF(I423&lt;&gt;0,+I423/'A-4'!G$78,0)</f>
        <v>5.0000000000000001E-3</v>
      </c>
      <c r="U423" s="768">
        <f ca="1">IF(J423&lt;&gt;0,+J423/'A-4'!H$78,0)</f>
        <v>5.0000000000000001E-3</v>
      </c>
      <c r="V423" s="768">
        <f ca="1">IF(K423&lt;&gt;0,+K423/'A-4'!I$78,0)</f>
        <v>5.0000000000000001E-3</v>
      </c>
    </row>
    <row r="424" spans="1:22">
      <c r="A424" s="5"/>
      <c r="B424" s="249"/>
      <c r="C424" s="425" t="str">
        <v>Total Output Growth</v>
      </c>
      <c r="D424" s="426" t="str">
        <v>Contracts</v>
      </c>
      <c r="E424" s="847">
        <f ca="1"/>
        <v>0</v>
      </c>
      <c r="F424" s="386">
        <f ca="1"/>
        <v>0</v>
      </c>
      <c r="G424" s="383">
        <f ca="1"/>
        <v>0</v>
      </c>
      <c r="H424" s="383">
        <f ca="1"/>
        <v>0</v>
      </c>
      <c r="I424" s="383">
        <f ca="1"/>
        <v>0</v>
      </c>
      <c r="J424" s="383">
        <f ca="1"/>
        <v>0</v>
      </c>
      <c r="K424" s="383">
        <f ca="1"/>
        <v>0</v>
      </c>
      <c r="L424" s="790"/>
      <c r="M424" s="790"/>
      <c r="N424" s="790"/>
      <c r="O424" s="790"/>
      <c r="P424" s="386"/>
      <c r="Q424" s="768">
        <f ca="1">IF(F424&lt;&gt;0,+F424/'A-4'!D$79,0)</f>
        <v>0</v>
      </c>
      <c r="R424" s="768">
        <f ca="1">IF(G424&lt;&gt;0,+G424/'A-4'!E$79,0)</f>
        <v>0</v>
      </c>
      <c r="S424" s="768">
        <f ca="1">IF(H424&lt;&gt;0,+H424/'A-4'!F$79,0)</f>
        <v>0</v>
      </c>
      <c r="T424" s="768">
        <f ca="1">IF(I424&lt;&gt;0,+I424/'A-4'!G$79,0)</f>
        <v>0</v>
      </c>
      <c r="U424" s="768">
        <f ca="1">IF(J424&lt;&gt;0,+J424/'A-4'!H$79,0)</f>
        <v>0</v>
      </c>
      <c r="V424" s="768">
        <f ca="1">IF(K424&lt;&gt;0,+K424/'A-4'!I$79,0)</f>
        <v>0</v>
      </c>
    </row>
    <row r="425" spans="1:22" s="790" customFormat="1">
      <c r="A425" s="5"/>
      <c r="B425" s="249"/>
      <c r="C425" s="425" t="str">
        <v>Total Output Growth</v>
      </c>
      <c r="D425" s="426" t="str">
        <v>Services Other</v>
      </c>
      <c r="E425" s="847">
        <f ca="1"/>
        <v>0</v>
      </c>
      <c r="F425" s="386">
        <f ca="1"/>
        <v>0</v>
      </c>
      <c r="G425" s="383">
        <f ca="1"/>
        <v>3.1829874843705363E-3</v>
      </c>
      <c r="H425" s="383">
        <f ca="1"/>
        <v>6.1322985370835248E-3</v>
      </c>
      <c r="I425" s="383">
        <f ca="1"/>
        <v>9.0476597628638567E-3</v>
      </c>
      <c r="J425" s="383">
        <f ca="1"/>
        <v>1.2210592544098708E-2</v>
      </c>
      <c r="K425" s="383">
        <f ca="1"/>
        <v>1.5107862643200054E-2</v>
      </c>
      <c r="P425" s="386"/>
      <c r="Q425" s="768">
        <f ca="1">IF(F425&lt;&gt;0,+F425/'A-4'!D$80,0)</f>
        <v>0</v>
      </c>
      <c r="R425" s="768">
        <f ca="1">IF(G425&lt;&gt;0,+G425/'A-4'!E$80,0)</f>
        <v>0.3</v>
      </c>
      <c r="S425" s="768">
        <f ca="1">IF(H425&lt;&gt;0,+H425/'A-4'!F$80,0)</f>
        <v>0.3</v>
      </c>
      <c r="T425" s="768">
        <f ca="1">IF(I425&lt;&gt;0,+I425/'A-4'!G$80,0)</f>
        <v>0.3</v>
      </c>
      <c r="U425" s="768">
        <f ca="1">IF(J425&lt;&gt;0,+J425/'A-4'!H$80,0)</f>
        <v>0.3</v>
      </c>
      <c r="V425" s="768">
        <f ca="1">IF(K425&lt;&gt;0,+K425/'A-4'!I$80,0)</f>
        <v>0.3</v>
      </c>
    </row>
    <row r="426" spans="1:22" s="790" customFormat="1">
      <c r="A426" s="5"/>
      <c r="B426" s="249"/>
      <c r="C426" s="425" t="str">
        <v>Total Output Growth</v>
      </c>
      <c r="D426" s="426" t="str">
        <v>Business Overheads</v>
      </c>
      <c r="E426" s="847">
        <f ca="1"/>
        <v>0</v>
      </c>
      <c r="F426" s="386">
        <f ca="1"/>
        <v>0</v>
      </c>
      <c r="G426" s="383">
        <f ca="1"/>
        <v>0</v>
      </c>
      <c r="H426" s="383">
        <f ca="1"/>
        <v>0</v>
      </c>
      <c r="I426" s="383">
        <f ca="1"/>
        <v>0</v>
      </c>
      <c r="J426" s="383">
        <f ca="1"/>
        <v>0</v>
      </c>
      <c r="K426" s="383">
        <f ca="1"/>
        <v>0</v>
      </c>
      <c r="P426" s="386"/>
      <c r="Q426" s="768">
        <f ca="1">IF(F426&lt;&gt;0,+F426/'A-4'!D$81,0)</f>
        <v>0</v>
      </c>
      <c r="R426" s="768">
        <f ca="1">IF(G426&lt;&gt;0,+G426/'A-4'!E$81,0)</f>
        <v>0</v>
      </c>
      <c r="S426" s="768">
        <f ca="1">IF(H426&lt;&gt;0,+H426/'A-4'!F$81,0)</f>
        <v>0</v>
      </c>
      <c r="T426" s="768">
        <f ca="1">IF(I426&lt;&gt;0,+I426/'A-4'!G$81,0)</f>
        <v>0</v>
      </c>
      <c r="U426" s="768">
        <f ca="1">IF(J426&lt;&gt;0,+J426/'A-4'!H$81,0)</f>
        <v>0</v>
      </c>
      <c r="V426" s="768">
        <f ca="1">IF(K426&lt;&gt;0,+K426/'A-4'!I$81,0)</f>
        <v>0</v>
      </c>
    </row>
    <row r="427" spans="1:22" s="790" customFormat="1">
      <c r="A427" s="5"/>
      <c r="B427" s="249"/>
      <c r="C427" s="425" t="str">
        <v>Total Output Growth</v>
      </c>
      <c r="D427" s="426" t="str">
        <v>Other</v>
      </c>
      <c r="E427" s="847">
        <f ca="1"/>
        <v>0</v>
      </c>
      <c r="F427" s="386">
        <f ca="1"/>
        <v>0</v>
      </c>
      <c r="G427" s="383">
        <f ca="1"/>
        <v>0</v>
      </c>
      <c r="H427" s="383">
        <f ca="1"/>
        <v>0</v>
      </c>
      <c r="I427" s="383">
        <f ca="1"/>
        <v>0</v>
      </c>
      <c r="J427" s="383">
        <f ca="1"/>
        <v>0</v>
      </c>
      <c r="K427" s="383">
        <f ca="1"/>
        <v>0</v>
      </c>
      <c r="P427" s="386"/>
      <c r="Q427" s="768">
        <f ca="1">IF(F427&lt;&gt;0,+F427/'A-4'!D$82,0)</f>
        <v>0</v>
      </c>
      <c r="R427" s="768">
        <f ca="1">IF(G427&lt;&gt;0,+G427/'A-4'!E$82,0)</f>
        <v>0</v>
      </c>
      <c r="S427" s="768">
        <f ca="1">IF(H427&lt;&gt;0,+H427/'A-4'!F$82,0)</f>
        <v>0</v>
      </c>
      <c r="T427" s="768">
        <f ca="1">IF(I427&lt;&gt;0,+I427/'A-4'!G$82,0)</f>
        <v>0</v>
      </c>
      <c r="U427" s="768">
        <f ca="1">IF(J427&lt;&gt;0,+J427/'A-4'!H$82,0)</f>
        <v>0</v>
      </c>
      <c r="V427" s="768">
        <f ca="1">IF(K427&lt;&gt;0,+K427/'A-4'!I$82,0)</f>
        <v>0</v>
      </c>
    </row>
    <row r="428" spans="1:22">
      <c r="A428" s="5"/>
      <c r="B428" s="249"/>
      <c r="C428" s="424" t="s">
        <v>73</v>
      </c>
      <c r="D428" s="417"/>
      <c r="E428" s="848"/>
      <c r="F428" s="387"/>
      <c r="G428" s="385"/>
      <c r="H428" s="385"/>
      <c r="I428" s="385"/>
      <c r="J428" s="385"/>
      <c r="K428" s="385"/>
      <c r="P428" s="387"/>
      <c r="Q428" s="385"/>
      <c r="R428" s="385"/>
      <c r="S428" s="385"/>
      <c r="T428" s="385"/>
      <c r="U428" s="385"/>
      <c r="V428" s="385"/>
    </row>
    <row r="429" spans="1:22" s="767" customFormat="1">
      <c r="A429" s="5"/>
      <c r="B429" s="249"/>
      <c r="C429" s="425" t="str">
        <f t="array" ref="C429:D434">+'A-4'!$A$113:$B$119</f>
        <v>Labour</v>
      </c>
      <c r="D429" s="426" t="str">
        <v>Labour</v>
      </c>
      <c r="E429" s="847">
        <f t="array" ref="E429:K434" ca="1">+'A-4'!$N$113:$T$119</f>
        <v>0</v>
      </c>
      <c r="F429" s="386">
        <f ca="1"/>
        <v>0</v>
      </c>
      <c r="G429" s="383">
        <f ca="1"/>
        <v>1.0409104332208836E-2</v>
      </c>
      <c r="H429" s="383">
        <f ca="1"/>
        <v>2.1246255551012155E-2</v>
      </c>
      <c r="I429" s="383">
        <f ca="1"/>
        <v>3.3125899315279213E-2</v>
      </c>
      <c r="J429" s="383">
        <f ca="1"/>
        <v>4.5528753066604845E-2</v>
      </c>
      <c r="K429" s="383">
        <f ca="1"/>
        <v>5.840261594021906E-2</v>
      </c>
      <c r="P429" s="386"/>
      <c r="Q429" s="768">
        <f ca="1">IF(F429&lt;&gt;0,+F429/'A-4'!D$113,0)</f>
        <v>0</v>
      </c>
      <c r="R429" s="768">
        <f ca="1">IF(G429&lt;&gt;0,+G429/'A-4'!E$113,0)</f>
        <v>0.48509277997499284</v>
      </c>
      <c r="S429" s="768">
        <f ca="1">IF(H429&lt;&gt;0,+H429/'A-4'!F$113,0)</f>
        <v>0.48981167765933364</v>
      </c>
      <c r="T429" s="768">
        <f ca="1">IF(I429&lt;&gt;0,+I429/'A-4'!G$113,0)</f>
        <v>0.49447625562058217</v>
      </c>
      <c r="U429" s="768">
        <f ca="1">IF(J429&lt;&gt;0,+J429/'A-4'!H$113,0)</f>
        <v>0.49953694807055787</v>
      </c>
      <c r="V429" s="768">
        <f ca="1">IF(K429&lt;&gt;0,+K429/'A-4'!I$113,0)</f>
        <v>0.50417258022912004</v>
      </c>
    </row>
    <row r="430" spans="1:22" s="767" customFormat="1">
      <c r="A430" s="5"/>
      <c r="B430" s="249"/>
      <c r="C430" s="425" t="str">
        <v>Materials</v>
      </c>
      <c r="D430" s="426" t="str">
        <v>Materials</v>
      </c>
      <c r="E430" s="847">
        <f ca="1"/>
        <v>0</v>
      </c>
      <c r="F430" s="386">
        <f ca="1"/>
        <v>0</v>
      </c>
      <c r="G430" s="383">
        <f ca="1"/>
        <v>0</v>
      </c>
      <c r="H430" s="383">
        <f ca="1"/>
        <v>0</v>
      </c>
      <c r="I430" s="383">
        <f ca="1"/>
        <v>0</v>
      </c>
      <c r="J430" s="383">
        <f ca="1"/>
        <v>0</v>
      </c>
      <c r="K430" s="383">
        <f ca="1"/>
        <v>0</v>
      </c>
      <c r="P430" s="386"/>
      <c r="Q430" s="768">
        <f ca="1">IF(F430&lt;&gt;0,+F430/'A-4'!D$114,0)</f>
        <v>0</v>
      </c>
      <c r="R430" s="768">
        <f ca="1">IF(G430&lt;&gt;0,+G430/'A-4'!E$114,0)</f>
        <v>0</v>
      </c>
      <c r="S430" s="768">
        <f ca="1">IF(H430&lt;&gt;0,+H430/'A-4'!F$114,0)</f>
        <v>0</v>
      </c>
      <c r="T430" s="768">
        <f ca="1">IF(I430&lt;&gt;0,+I430/'A-4'!G$114,0)</f>
        <v>0</v>
      </c>
      <c r="U430" s="768">
        <f ca="1">IF(J430&lt;&gt;0,+J430/'A-4'!H$114,0)</f>
        <v>0</v>
      </c>
      <c r="V430" s="768">
        <f ca="1">IF(K430&lt;&gt;0,+K430/'A-4'!I$114,0)</f>
        <v>0</v>
      </c>
    </row>
    <row r="431" spans="1:22" s="767" customFormat="1">
      <c r="A431" s="5"/>
      <c r="B431" s="249"/>
      <c r="C431" s="425" t="str">
        <v>Services-construction</v>
      </c>
      <c r="D431" s="426" t="str">
        <v>Contracts</v>
      </c>
      <c r="E431" s="847">
        <f ca="1"/>
        <v>0</v>
      </c>
      <c r="F431" s="386">
        <f ca="1"/>
        <v>0</v>
      </c>
      <c r="G431" s="383">
        <f ca="1"/>
        <v>0</v>
      </c>
      <c r="H431" s="383">
        <f ca="1"/>
        <v>0</v>
      </c>
      <c r="I431" s="383">
        <f ca="1"/>
        <v>0</v>
      </c>
      <c r="J431" s="383">
        <f ca="1"/>
        <v>0</v>
      </c>
      <c r="K431" s="383">
        <f ca="1"/>
        <v>0</v>
      </c>
      <c r="P431" s="386"/>
      <c r="Q431" s="768">
        <f ca="1">IF(F431&lt;&gt;0,+F431/'A-4'!D$115,0)</f>
        <v>0</v>
      </c>
      <c r="R431" s="768">
        <f ca="1">IF(G431&lt;&gt;0,+G431/'A-4'!E$115,0)</f>
        <v>0</v>
      </c>
      <c r="S431" s="768">
        <f ca="1">IF(H431&lt;&gt;0,+H431/'A-4'!F$115,0)</f>
        <v>0</v>
      </c>
      <c r="T431" s="768">
        <f ca="1">IF(I431&lt;&gt;0,+I431/'A-4'!G$115,0)</f>
        <v>0</v>
      </c>
      <c r="U431" s="768">
        <f ca="1">IF(J431&lt;&gt;0,+J431/'A-4'!H$115,0)</f>
        <v>0</v>
      </c>
      <c r="V431" s="768">
        <f ca="1">IF(K431&lt;&gt;0,+K431/'A-4'!I$115,0)</f>
        <v>0</v>
      </c>
    </row>
    <row r="432" spans="1:22" s="767" customFormat="1">
      <c r="A432" s="5"/>
      <c r="B432" s="249"/>
      <c r="C432" s="425" t="str">
        <v>Services-general</v>
      </c>
      <c r="D432" s="426" t="str">
        <v>Services Other</v>
      </c>
      <c r="E432" s="847">
        <f ca="1"/>
        <v>0</v>
      </c>
      <c r="F432" s="386">
        <f ca="1"/>
        <v>0</v>
      </c>
      <c r="G432" s="383">
        <f ca="1"/>
        <v>1.5159149374218202E-3</v>
      </c>
      <c r="H432" s="383">
        <f ca="1"/>
        <v>3.0689762928341789E-3</v>
      </c>
      <c r="I432" s="383">
        <f ca="1"/>
        <v>5.9075155520904388E-3</v>
      </c>
      <c r="J432" s="383">
        <f ca="1"/>
        <v>9.3088506906772381E-3</v>
      </c>
      <c r="K432" s="383">
        <f ca="1"/>
        <v>1.3451524234111509E-2</v>
      </c>
      <c r="P432" s="386"/>
      <c r="Q432" s="768">
        <f ca="1">IF(F432&lt;&gt;0,+F432/'A-4'!D$116,0)</f>
        <v>0</v>
      </c>
      <c r="R432" s="768">
        <f ca="1">IF(G432&lt;&gt;0,+G432/'A-4'!E$116,0)</f>
        <v>0.3031829874843705</v>
      </c>
      <c r="S432" s="768">
        <f ca="1">IF(H432&lt;&gt;0,+H432/'A-4'!F$116,0)</f>
        <v>0.30613229853708351</v>
      </c>
      <c r="T432" s="768">
        <f ca="1">IF(I432&lt;&gt;0,+I432/'A-4'!G$116,0)</f>
        <v>0.30904765976286386</v>
      </c>
      <c r="U432" s="768">
        <f ca="1">IF(J432&lt;&gt;0,+J432/'A-4'!H$116,0)</f>
        <v>0.31221059254409872</v>
      </c>
      <c r="V432" s="768">
        <f ca="1">IF(K432&lt;&gt;0,+K432/'A-4'!I$116,0)</f>
        <v>0.31510786264320007</v>
      </c>
    </row>
    <row r="433" spans="1:22" s="767" customFormat="1">
      <c r="A433" s="5"/>
      <c r="B433" s="249"/>
      <c r="C433" s="425" t="str">
        <v>Labour</v>
      </c>
      <c r="D433" s="426" t="str">
        <v>Business Overheads</v>
      </c>
      <c r="E433" s="847">
        <f ca="1"/>
        <v>0</v>
      </c>
      <c r="F433" s="386">
        <f ca="1"/>
        <v>0</v>
      </c>
      <c r="G433" s="383">
        <f ca="1"/>
        <v>0</v>
      </c>
      <c r="H433" s="383">
        <f ca="1"/>
        <v>0</v>
      </c>
      <c r="I433" s="383">
        <f ca="1"/>
        <v>0</v>
      </c>
      <c r="J433" s="383">
        <f ca="1"/>
        <v>0</v>
      </c>
      <c r="K433" s="383">
        <f ca="1"/>
        <v>0</v>
      </c>
      <c r="P433" s="386"/>
      <c r="Q433" s="768">
        <f ca="1">IF(F433&lt;&gt;0,+F433/'A-4'!D$117,0)</f>
        <v>0</v>
      </c>
      <c r="R433" s="768">
        <f ca="1">IF(G433&lt;&gt;0,+G433/'A-4'!E$117,0)</f>
        <v>0</v>
      </c>
      <c r="S433" s="768">
        <f ca="1">IF(H433&lt;&gt;0,+H433/'A-4'!F$117,0)</f>
        <v>0</v>
      </c>
      <c r="T433" s="768">
        <f ca="1">IF(I433&lt;&gt;0,+I433/'A-4'!G$117,0)</f>
        <v>0</v>
      </c>
      <c r="U433" s="768">
        <f ca="1">IF(J433&lt;&gt;0,+J433/'A-4'!H$117,0)</f>
        <v>0</v>
      </c>
      <c r="V433" s="768">
        <f ca="1">IF(K433&lt;&gt;0,+K433/'A-4'!I$117,0)</f>
        <v>0</v>
      </c>
    </row>
    <row r="434" spans="1:22" s="767" customFormat="1">
      <c r="A434" s="5"/>
      <c r="B434" s="249"/>
      <c r="C434" s="425" t="str">
        <v>Materials - Land</v>
      </c>
      <c r="D434" s="426" t="str">
        <v>Other</v>
      </c>
      <c r="E434" s="847">
        <f ca="1"/>
        <v>0</v>
      </c>
      <c r="F434" s="386">
        <f ca="1"/>
        <v>0</v>
      </c>
      <c r="G434" s="383">
        <f ca="1"/>
        <v>0</v>
      </c>
      <c r="H434" s="383">
        <f ca="1"/>
        <v>0</v>
      </c>
      <c r="I434" s="383">
        <f ca="1"/>
        <v>0</v>
      </c>
      <c r="J434" s="383">
        <f ca="1"/>
        <v>0</v>
      </c>
      <c r="K434" s="383">
        <f ca="1"/>
        <v>0</v>
      </c>
      <c r="P434" s="386"/>
      <c r="Q434" s="768">
        <f ca="1">IF(F434&lt;&gt;0,+F434/'A-4'!D$118,0)</f>
        <v>0</v>
      </c>
      <c r="R434" s="768">
        <f ca="1">IF(G434&lt;&gt;0,+G434/'A-4'!E$118,0)</f>
        <v>0</v>
      </c>
      <c r="S434" s="768">
        <f ca="1">IF(H434&lt;&gt;0,+H434/'A-4'!F$118,0)</f>
        <v>0</v>
      </c>
      <c r="T434" s="768">
        <f ca="1">IF(I434&lt;&gt;0,+I434/'A-4'!G$118,0)</f>
        <v>0</v>
      </c>
      <c r="U434" s="768">
        <f ca="1">IF(J434&lt;&gt;0,+J434/'A-4'!H$118,0)</f>
        <v>0</v>
      </c>
      <c r="V434" s="768">
        <f ca="1">IF(K434&lt;&gt;0,+K434/'A-4'!I$118,0)</f>
        <v>0</v>
      </c>
    </row>
    <row r="435" spans="1:22" ht="17.25" customHeight="1" thickBot="1">
      <c r="A435" s="5"/>
      <c r="B435" s="250"/>
      <c r="C435" s="437" t="str">
        <f>CONCATENATE("Total ", +C374)</f>
        <v>Total Office of the CEO</v>
      </c>
      <c r="D435" s="421"/>
      <c r="E435" s="513">
        <f ca="1">SUBTOTAL(9,E377:E434)</f>
        <v>0</v>
      </c>
      <c r="F435" s="313">
        <f t="shared" ref="F435:K435" ca="1" si="3">SUBTOTAL(9,F377:F434)</f>
        <v>0</v>
      </c>
      <c r="G435" s="311">
        <f t="shared" ca="1" si="3"/>
        <v>0.11325168812848707</v>
      </c>
      <c r="H435" s="311">
        <f t="shared" ca="1" si="3"/>
        <v>0.22495040196796356</v>
      </c>
      <c r="I435" s="311">
        <f t="shared" ca="1" si="3"/>
        <v>0.34993090911413444</v>
      </c>
      <c r="J435" s="311">
        <f t="shared" ca="1" si="3"/>
        <v>0.4853939850414361</v>
      </c>
      <c r="K435" s="311">
        <f t="shared" ca="1" si="3"/>
        <v>0.62381443347690024</v>
      </c>
      <c r="P435" s="313"/>
      <c r="Q435" s="311"/>
      <c r="R435" s="311"/>
      <c r="S435" s="311"/>
      <c r="T435" s="311"/>
      <c r="U435" s="311"/>
      <c r="V435" s="311"/>
    </row>
    <row r="436" spans="1:22" ht="18">
      <c r="B436" s="251"/>
      <c r="C436" s="254" t="str">
        <f>+'I-3 Allocated'!A9</f>
        <v>Regulation and Company Secretary</v>
      </c>
      <c r="D436" s="422"/>
      <c r="E436" s="842"/>
      <c r="F436" s="266"/>
      <c r="G436" s="266"/>
      <c r="H436" s="266"/>
      <c r="I436" s="266"/>
      <c r="J436" s="266"/>
      <c r="K436" s="266"/>
      <c r="P436" s="266"/>
      <c r="Q436" s="266"/>
      <c r="R436" s="266"/>
      <c r="S436" s="266"/>
      <c r="T436" s="266"/>
      <c r="U436" s="266"/>
      <c r="V436" s="266"/>
    </row>
    <row r="437" spans="1:22" ht="25.5">
      <c r="A437" s="5"/>
      <c r="B437" s="249" t="str">
        <f ca="1">+'I-4 History'!B264</f>
        <v>A-5</v>
      </c>
      <c r="C437" s="14" t="str">
        <f ca="1">+'I-4 History'!C264</f>
        <v>General Manager Regulation &amp; Company Secretary</v>
      </c>
      <c r="D437" s="418"/>
      <c r="E437" s="507"/>
      <c r="F437" s="11"/>
      <c r="G437" s="11"/>
      <c r="H437" s="11"/>
      <c r="I437" s="11"/>
      <c r="J437" s="11"/>
      <c r="K437" s="11"/>
      <c r="P437" s="11"/>
      <c r="Q437" s="11"/>
      <c r="R437" s="11"/>
      <c r="S437" s="11"/>
      <c r="T437" s="11"/>
      <c r="U437" s="11"/>
      <c r="V437" s="11"/>
    </row>
    <row r="438" spans="1:22">
      <c r="A438" s="5"/>
      <c r="B438" s="249"/>
      <c r="C438" s="424" t="s">
        <v>74</v>
      </c>
      <c r="D438" s="416"/>
      <c r="E438" s="507"/>
      <c r="F438" s="11"/>
      <c r="G438" s="11"/>
      <c r="H438" s="11"/>
      <c r="I438" s="11"/>
      <c r="J438" s="11"/>
      <c r="K438" s="11"/>
      <c r="P438" s="11"/>
      <c r="Q438" s="11"/>
      <c r="R438" s="11"/>
      <c r="S438" s="11"/>
      <c r="T438" s="11"/>
      <c r="U438" s="11"/>
      <c r="V438" s="11"/>
    </row>
    <row r="439" spans="1:22">
      <c r="A439" s="5"/>
      <c r="B439" s="249"/>
      <c r="C439" s="425" t="str">
        <f t="array" ref="C439:D444">+'A-5'!$A$77:$B$82</f>
        <v>Total Output Growth</v>
      </c>
      <c r="D439" s="426" t="str">
        <v>Labour</v>
      </c>
      <c r="E439" s="847">
        <f t="array" ref="E439:K444" ca="1">+'A-5'!$N$77:$T$82</f>
        <v>0</v>
      </c>
      <c r="F439" s="386">
        <f ca="1"/>
        <v>0</v>
      </c>
      <c r="G439" s="383">
        <f ca="1"/>
        <v>1.6169576420602325E-2</v>
      </c>
      <c r="H439" s="383">
        <f ca="1"/>
        <v>3.1152076568384306E-2</v>
      </c>
      <c r="I439" s="383">
        <f ca="1"/>
        <v>4.5962111595348396E-2</v>
      </c>
      <c r="J439" s="383">
        <f ca="1"/>
        <v>6.2029810124021437E-2</v>
      </c>
      <c r="K439" s="383">
        <f ca="1"/>
        <v>7.6747942227456276E-2</v>
      </c>
      <c r="L439" s="790"/>
      <c r="M439" s="790"/>
      <c r="N439" s="790"/>
      <c r="O439" s="790"/>
      <c r="P439" s="386"/>
      <c r="Q439" s="768">
        <f ca="1">IF(F439&lt;&gt;0,+F439/'A-5'!D$77,0)</f>
        <v>0</v>
      </c>
      <c r="R439" s="768">
        <f ca="1">IF(G439&lt;&gt;0,+G439/'A-5'!E$77,0)</f>
        <v>1.524</v>
      </c>
      <c r="S439" s="768">
        <f ca="1">IF(H439&lt;&gt;0,+H439/'A-5'!F$77,0)</f>
        <v>1.524</v>
      </c>
      <c r="T439" s="768">
        <f ca="1">IF(I439&lt;&gt;0,+I439/'A-5'!G$77,0)</f>
        <v>1.524</v>
      </c>
      <c r="U439" s="768">
        <f ca="1">IF(J439&lt;&gt;0,+J439/'A-5'!H$77,0)</f>
        <v>1.524</v>
      </c>
      <c r="V439" s="768">
        <f ca="1">IF(K439&lt;&gt;0,+K439/'A-5'!I$77,0)</f>
        <v>1.524</v>
      </c>
    </row>
    <row r="440" spans="1:22">
      <c r="A440" s="5"/>
      <c r="B440" s="249"/>
      <c r="C440" s="425" t="str">
        <v>Total Output Growth</v>
      </c>
      <c r="D440" s="426" t="str">
        <v>Materials</v>
      </c>
      <c r="E440" s="847">
        <f ca="1"/>
        <v>0</v>
      </c>
      <c r="F440" s="386">
        <f ca="1"/>
        <v>0</v>
      </c>
      <c r="G440" s="383">
        <f ca="1"/>
        <v>3.6073858156199413E-4</v>
      </c>
      <c r="H440" s="383">
        <f ca="1"/>
        <v>6.9499383420279948E-4</v>
      </c>
      <c r="I440" s="383">
        <f ca="1"/>
        <v>1.0254014397912373E-3</v>
      </c>
      <c r="J440" s="383">
        <f ca="1"/>
        <v>1.3838671549978537E-3</v>
      </c>
      <c r="K440" s="383">
        <f ca="1"/>
        <v>1.7122244328960062E-3</v>
      </c>
      <c r="L440" s="790"/>
      <c r="M440" s="790"/>
      <c r="N440" s="790"/>
      <c r="O440" s="790"/>
      <c r="P440" s="386"/>
      <c r="Q440" s="768">
        <f ca="1">IF(F440&lt;&gt;0,+F440/'A-5'!D$78,0)</f>
        <v>0</v>
      </c>
      <c r="R440" s="768">
        <f ca="1">IF(G440&lt;&gt;0,+G440/'A-5'!E$78,0)</f>
        <v>3.4000000000000002E-2</v>
      </c>
      <c r="S440" s="768">
        <f ca="1">IF(H440&lt;&gt;0,+H440/'A-5'!F$78,0)</f>
        <v>3.4000000000000002E-2</v>
      </c>
      <c r="T440" s="768">
        <f ca="1">IF(I440&lt;&gt;0,+I440/'A-5'!G$78,0)</f>
        <v>3.4000000000000002E-2</v>
      </c>
      <c r="U440" s="768">
        <f ca="1">IF(J440&lt;&gt;0,+J440/'A-5'!H$78,0)</f>
        <v>3.4000000000000002E-2</v>
      </c>
      <c r="V440" s="768">
        <f ca="1">IF(K440&lt;&gt;0,+K440/'A-5'!I$78,0)</f>
        <v>3.4000000000000002E-2</v>
      </c>
    </row>
    <row r="441" spans="1:22">
      <c r="A441" s="5"/>
      <c r="B441" s="249"/>
      <c r="C441" s="425" t="str">
        <v>Total Output Growth</v>
      </c>
      <c r="D441" s="426" t="str">
        <v>Contracts</v>
      </c>
      <c r="E441" s="847">
        <f ca="1"/>
        <v>0</v>
      </c>
      <c r="F441" s="386">
        <f ca="1"/>
        <v>0</v>
      </c>
      <c r="G441" s="383">
        <f ca="1"/>
        <v>3.9256845640569946E-4</v>
      </c>
      <c r="H441" s="383">
        <f ca="1"/>
        <v>7.5631681957363469E-4</v>
      </c>
      <c r="I441" s="383">
        <f ca="1"/>
        <v>1.1158780374198756E-3</v>
      </c>
      <c r="J441" s="383">
        <f ca="1"/>
        <v>1.5059730804388406E-3</v>
      </c>
      <c r="K441" s="383">
        <f ca="1"/>
        <v>1.8633030593280067E-3</v>
      </c>
      <c r="L441" s="790"/>
      <c r="M441" s="790"/>
      <c r="N441" s="790"/>
      <c r="O441" s="790"/>
      <c r="P441" s="386"/>
      <c r="Q441" s="768">
        <f ca="1">IF(F441&lt;&gt;0,+F441/'A-5'!D$79,0)</f>
        <v>0</v>
      </c>
      <c r="R441" s="768">
        <f ca="1">IF(G441&lt;&gt;0,+G441/'A-5'!E$79,0)</f>
        <v>3.6999999999999998E-2</v>
      </c>
      <c r="S441" s="768">
        <f ca="1">IF(H441&lt;&gt;0,+H441/'A-5'!F$79,0)</f>
        <v>3.6999999999999998E-2</v>
      </c>
      <c r="T441" s="768">
        <f ca="1">IF(I441&lt;&gt;0,+I441/'A-5'!G$79,0)</f>
        <v>3.6999999999999991E-2</v>
      </c>
      <c r="U441" s="768">
        <f ca="1">IF(J441&lt;&gt;0,+J441/'A-5'!H$79,0)</f>
        <v>3.6999999999999998E-2</v>
      </c>
      <c r="V441" s="768">
        <f ca="1">IF(K441&lt;&gt;0,+K441/'A-5'!I$79,0)</f>
        <v>3.6999999999999998E-2</v>
      </c>
    </row>
    <row r="442" spans="1:22" s="790" customFormat="1">
      <c r="A442" s="5"/>
      <c r="B442" s="249"/>
      <c r="C442" s="425" t="str">
        <v>Total Output Growth</v>
      </c>
      <c r="D442" s="426" t="str">
        <v>Services Other</v>
      </c>
      <c r="E442" s="847">
        <f ca="1"/>
        <v>0</v>
      </c>
      <c r="F442" s="386">
        <f ca="1"/>
        <v>0</v>
      </c>
      <c r="G442" s="383">
        <f ca="1"/>
        <v>1.389904534841801E-3</v>
      </c>
      <c r="H442" s="383">
        <f ca="1"/>
        <v>2.6777703611931391E-3</v>
      </c>
      <c r="I442" s="383">
        <f ca="1"/>
        <v>3.9508114297838849E-3</v>
      </c>
      <c r="J442" s="383">
        <f ca="1"/>
        <v>5.3319587442564364E-3</v>
      </c>
      <c r="K442" s="383">
        <f ca="1"/>
        <v>6.5971000208640239E-3</v>
      </c>
      <c r="P442" s="386"/>
      <c r="Q442" s="768">
        <f ca="1">IF(F442&lt;&gt;0,+F442/'A-5'!D$80,0)</f>
        <v>0</v>
      </c>
      <c r="R442" s="768">
        <f ca="1">IF(G442&lt;&gt;0,+G442/'A-5'!E$80,0)</f>
        <v>0.13100000000000001</v>
      </c>
      <c r="S442" s="768">
        <f ca="1">IF(H442&lt;&gt;0,+H442/'A-5'!F$80,0)</f>
        <v>0.13100000000000001</v>
      </c>
      <c r="T442" s="768">
        <f ca="1">IF(I442&lt;&gt;0,+I442/'A-5'!G$80,0)</f>
        <v>0.13100000000000001</v>
      </c>
      <c r="U442" s="768">
        <f ca="1">IF(J442&lt;&gt;0,+J442/'A-5'!H$80,0)</f>
        <v>0.13100000000000001</v>
      </c>
      <c r="V442" s="768">
        <f ca="1">IF(K442&lt;&gt;0,+K442/'A-5'!I$80,0)</f>
        <v>0.13100000000000001</v>
      </c>
    </row>
    <row r="443" spans="1:22" s="790" customFormat="1">
      <c r="A443" s="5"/>
      <c r="B443" s="249"/>
      <c r="C443" s="425" t="str">
        <v>Total Output Growth</v>
      </c>
      <c r="D443" s="426" t="str">
        <v>Business Overheads</v>
      </c>
      <c r="E443" s="847">
        <f ca="1"/>
        <v>0</v>
      </c>
      <c r="F443" s="386">
        <f ca="1"/>
        <v>0</v>
      </c>
      <c r="G443" s="383">
        <f ca="1"/>
        <v>0</v>
      </c>
      <c r="H443" s="383">
        <f ca="1"/>
        <v>0</v>
      </c>
      <c r="I443" s="383">
        <f ca="1"/>
        <v>0</v>
      </c>
      <c r="J443" s="383">
        <f ca="1"/>
        <v>0</v>
      </c>
      <c r="K443" s="383">
        <f ca="1"/>
        <v>0</v>
      </c>
      <c r="P443" s="386"/>
      <c r="Q443" s="768">
        <f ca="1">IF(F443&lt;&gt;0,+F443/'A-5'!D$81,0)</f>
        <v>0</v>
      </c>
      <c r="R443" s="768">
        <f ca="1">IF(G443&lt;&gt;0,+G443/'A-5'!E$81,0)</f>
        <v>0</v>
      </c>
      <c r="S443" s="768">
        <f ca="1">IF(H443&lt;&gt;0,+H443/'A-5'!F$81,0)</f>
        <v>0</v>
      </c>
      <c r="T443" s="768">
        <f ca="1">IF(I443&lt;&gt;0,+I443/'A-5'!G$81,0)</f>
        <v>0</v>
      </c>
      <c r="U443" s="768">
        <f ca="1">IF(J443&lt;&gt;0,+J443/'A-5'!H$81,0)</f>
        <v>0</v>
      </c>
      <c r="V443" s="768">
        <f ca="1">IF(K443&lt;&gt;0,+K443/'A-5'!I$81,0)</f>
        <v>0</v>
      </c>
    </row>
    <row r="444" spans="1:22" s="790" customFormat="1">
      <c r="A444" s="5"/>
      <c r="B444" s="249"/>
      <c r="C444" s="425" t="str">
        <v>Total Output Growth</v>
      </c>
      <c r="D444" s="426" t="str">
        <v>Other</v>
      </c>
      <c r="E444" s="847">
        <f ca="1"/>
        <v>0</v>
      </c>
      <c r="F444" s="386">
        <f ca="1"/>
        <v>0</v>
      </c>
      <c r="G444" s="383">
        <f ca="1"/>
        <v>0</v>
      </c>
      <c r="H444" s="383">
        <f ca="1"/>
        <v>0</v>
      </c>
      <c r="I444" s="383">
        <f ca="1"/>
        <v>0</v>
      </c>
      <c r="J444" s="383">
        <f ca="1"/>
        <v>0</v>
      </c>
      <c r="K444" s="383">
        <f ca="1"/>
        <v>0</v>
      </c>
      <c r="P444" s="386"/>
      <c r="Q444" s="768">
        <f ca="1">IF(F444&lt;&gt;0,+F444/'A-5'!D$82,0)</f>
        <v>0</v>
      </c>
      <c r="R444" s="768">
        <f ca="1">IF(G444&lt;&gt;0,+G444/'A-5'!E$82,0)</f>
        <v>0</v>
      </c>
      <c r="S444" s="768">
        <f ca="1">IF(H444&lt;&gt;0,+H444/'A-5'!F$82,0)</f>
        <v>0</v>
      </c>
      <c r="T444" s="768">
        <f ca="1">IF(I444&lt;&gt;0,+I444/'A-5'!G$82,0)</f>
        <v>0</v>
      </c>
      <c r="U444" s="768">
        <f ca="1">IF(J444&lt;&gt;0,+J444/'A-5'!H$82,0)</f>
        <v>0</v>
      </c>
      <c r="V444" s="768">
        <f ca="1">IF(K444&lt;&gt;0,+K444/'A-5'!I$82,0)</f>
        <v>0</v>
      </c>
    </row>
    <row r="445" spans="1:22">
      <c r="A445" s="5"/>
      <c r="B445" s="249"/>
      <c r="C445" s="424" t="s">
        <v>73</v>
      </c>
      <c r="D445" s="417"/>
      <c r="E445" s="848"/>
      <c r="F445" s="387"/>
      <c r="G445" s="385"/>
      <c r="H445" s="385"/>
      <c r="I445" s="385"/>
      <c r="J445" s="385"/>
      <c r="K445" s="385"/>
      <c r="P445" s="387"/>
      <c r="Q445" s="385"/>
      <c r="R445" s="385"/>
      <c r="S445" s="385"/>
      <c r="T445" s="385"/>
      <c r="U445" s="385"/>
      <c r="V445" s="385"/>
    </row>
    <row r="446" spans="1:22" s="767" customFormat="1">
      <c r="A446" s="5"/>
      <c r="B446" s="249"/>
      <c r="C446" s="425" t="str">
        <f t="array" ref="C446:D451">+'A-5'!$A$113:$B$119</f>
        <v>Labour</v>
      </c>
      <c r="D446" s="426" t="str">
        <v>Labour</v>
      </c>
      <c r="E446" s="847">
        <f t="array" ref="E446:K451" ca="1">+'A-5'!$N$113:$T$119</f>
        <v>0</v>
      </c>
      <c r="F446" s="386">
        <f ca="1"/>
        <v>0</v>
      </c>
      <c r="G446" s="383">
        <f ca="1"/>
        <v>3.3048906254763054E-2</v>
      </c>
      <c r="H446" s="383">
        <f ca="1"/>
        <v>6.7456861374463592E-2</v>
      </c>
      <c r="I446" s="383">
        <f ca="1"/>
        <v>0.1051747303260115</v>
      </c>
      <c r="J446" s="383">
        <f ca="1"/>
        <v>0.14455379098647039</v>
      </c>
      <c r="K446" s="383">
        <f ca="1"/>
        <v>0.18542830561019552</v>
      </c>
      <c r="P446" s="386"/>
      <c r="Q446" s="768">
        <f ca="1">IF(F446&lt;&gt;0,+F446/'A-5'!D$113,0)</f>
        <v>0</v>
      </c>
      <c r="R446" s="768">
        <f ca="1">IF(G446&lt;&gt;0,+G446/'A-5'!E$113,0)</f>
        <v>1.5401695764206023</v>
      </c>
      <c r="S446" s="768">
        <f ca="1">IF(H446&lt;&gt;0,+H446/'A-5'!F$113,0)</f>
        <v>1.5551520765683844</v>
      </c>
      <c r="T446" s="768">
        <f ca="1">IF(I446&lt;&gt;0,+I446/'A-5'!G$113,0)</f>
        <v>1.5699621115953484</v>
      </c>
      <c r="U446" s="768">
        <f ca="1">IF(J446&lt;&gt;0,+J446/'A-5'!H$113,0)</f>
        <v>1.5860298101240213</v>
      </c>
      <c r="V446" s="768">
        <f ca="1">IF(K446&lt;&gt;0,+K446/'A-5'!I$113,0)</f>
        <v>1.6007479422274562</v>
      </c>
    </row>
    <row r="447" spans="1:22" s="767" customFormat="1">
      <c r="A447" s="5"/>
      <c r="B447" s="249"/>
      <c r="C447" s="425" t="str">
        <v>Materials</v>
      </c>
      <c r="D447" s="426" t="str">
        <v>Materials</v>
      </c>
      <c r="E447" s="847">
        <f ca="1"/>
        <v>0</v>
      </c>
      <c r="F447" s="386">
        <f ca="1"/>
        <v>0</v>
      </c>
      <c r="G447" s="383">
        <f ca="1"/>
        <v>0</v>
      </c>
      <c r="H447" s="383">
        <f ca="1"/>
        <v>0</v>
      </c>
      <c r="I447" s="383">
        <f ca="1"/>
        <v>0</v>
      </c>
      <c r="J447" s="383">
        <f ca="1"/>
        <v>0</v>
      </c>
      <c r="K447" s="383">
        <f ca="1"/>
        <v>0</v>
      </c>
      <c r="P447" s="386"/>
      <c r="Q447" s="768">
        <f ca="1">IF(F447&lt;&gt;0,+F447/'A-5'!D$114,0)</f>
        <v>0</v>
      </c>
      <c r="R447" s="768">
        <f ca="1">IF(G447&lt;&gt;0,+G447/'A-5'!E$114,0)</f>
        <v>0</v>
      </c>
      <c r="S447" s="768">
        <f ca="1">IF(H447&lt;&gt;0,+H447/'A-5'!F$114,0)</f>
        <v>0</v>
      </c>
      <c r="T447" s="768">
        <f ca="1">IF(I447&lt;&gt;0,+I447/'A-5'!G$114,0)</f>
        <v>0</v>
      </c>
      <c r="U447" s="768">
        <f ca="1">IF(J447&lt;&gt;0,+J447/'A-5'!H$114,0)</f>
        <v>0</v>
      </c>
      <c r="V447" s="768">
        <f ca="1">IF(K447&lt;&gt;0,+K447/'A-5'!I$114,0)</f>
        <v>0</v>
      </c>
    </row>
    <row r="448" spans="1:22" s="767" customFormat="1">
      <c r="A448" s="5"/>
      <c r="B448" s="249"/>
      <c r="C448" s="425" t="str">
        <v>Services-construction</v>
      </c>
      <c r="D448" s="426" t="str">
        <v>Contracts</v>
      </c>
      <c r="E448" s="847">
        <f ca="1"/>
        <v>0</v>
      </c>
      <c r="F448" s="386">
        <f ca="1"/>
        <v>0</v>
      </c>
      <c r="G448" s="383">
        <f ca="1"/>
        <v>1.869628422820245E-4</v>
      </c>
      <c r="H448" s="383">
        <f ca="1"/>
        <v>3.7850707611621548E-4</v>
      </c>
      <c r="I448" s="383">
        <f ca="1"/>
        <v>7.2859358475782076E-4</v>
      </c>
      <c r="J448" s="383">
        <f ca="1"/>
        <v>1.1480915851835259E-3</v>
      </c>
      <c r="K448" s="383">
        <f ca="1"/>
        <v>1.6590213222070858E-3</v>
      </c>
      <c r="P448" s="386"/>
      <c r="Q448" s="768">
        <f ca="1">IF(F448&lt;&gt;0,+F448/'A-5'!D$115,0)</f>
        <v>0</v>
      </c>
      <c r="R448" s="768">
        <f ca="1">IF(G448&lt;&gt;0,+G448/'A-5'!E$115,0)</f>
        <v>3.7392568456405699E-2</v>
      </c>
      <c r="S448" s="768">
        <f ca="1">IF(H448&lt;&gt;0,+H448/'A-5'!F$115,0)</f>
        <v>3.7756316819573636E-2</v>
      </c>
      <c r="T448" s="768">
        <f ca="1">IF(I448&lt;&gt;0,+I448/'A-5'!G$115,0)</f>
        <v>3.8115878037419872E-2</v>
      </c>
      <c r="U448" s="768">
        <f ca="1">IF(J448&lt;&gt;0,+J448/'A-5'!H$115,0)</f>
        <v>3.8505973080438835E-2</v>
      </c>
      <c r="V448" s="768">
        <f ca="1">IF(K448&lt;&gt;0,+K448/'A-5'!I$115,0)</f>
        <v>3.8863303059328003E-2</v>
      </c>
    </row>
    <row r="449" spans="1:22" s="767" customFormat="1">
      <c r="A449" s="5"/>
      <c r="B449" s="249"/>
      <c r="C449" s="425" t="str">
        <v>Services-general</v>
      </c>
      <c r="D449" s="426" t="str">
        <v>Services Other</v>
      </c>
      <c r="E449" s="847">
        <f ca="1"/>
        <v>0</v>
      </c>
      <c r="F449" s="386">
        <f ca="1"/>
        <v>0</v>
      </c>
      <c r="G449" s="383">
        <f ca="1"/>
        <v>6.6194952267419494E-4</v>
      </c>
      <c r="H449" s="383">
        <f ca="1"/>
        <v>1.340119647870925E-3</v>
      </c>
      <c r="I449" s="383">
        <f ca="1"/>
        <v>2.579615124412825E-3</v>
      </c>
      <c r="J449" s="383">
        <f ca="1"/>
        <v>4.0648648015957269E-3</v>
      </c>
      <c r="K449" s="383">
        <f ca="1"/>
        <v>5.873832248895359E-3</v>
      </c>
      <c r="P449" s="386"/>
      <c r="Q449" s="768">
        <f ca="1">IF(F449&lt;&gt;0,+F449/'A-5'!D$116,0)</f>
        <v>0</v>
      </c>
      <c r="R449" s="768">
        <f ca="1">IF(G449&lt;&gt;0,+G449/'A-5'!E$116,0)</f>
        <v>0.13238990453484181</v>
      </c>
      <c r="S449" s="768">
        <f ca="1">IF(H449&lt;&gt;0,+H449/'A-5'!F$116,0)</f>
        <v>0.13367777036119313</v>
      </c>
      <c r="T449" s="768">
        <f ca="1">IF(I449&lt;&gt;0,+I449/'A-5'!G$116,0)</f>
        <v>0.13495081142978388</v>
      </c>
      <c r="U449" s="768">
        <f ca="1">IF(J449&lt;&gt;0,+J449/'A-5'!H$116,0)</f>
        <v>0.13633195874425644</v>
      </c>
      <c r="V449" s="768">
        <f ca="1">IF(K449&lt;&gt;0,+K449/'A-5'!I$116,0)</f>
        <v>0.13759710002086403</v>
      </c>
    </row>
    <row r="450" spans="1:22" s="767" customFormat="1">
      <c r="A450" s="5"/>
      <c r="B450" s="249"/>
      <c r="C450" s="425" t="str">
        <v>Labour</v>
      </c>
      <c r="D450" s="426" t="str">
        <v>Business Overheads</v>
      </c>
      <c r="E450" s="847">
        <f ca="1"/>
        <v>0</v>
      </c>
      <c r="F450" s="386">
        <f ca="1"/>
        <v>0</v>
      </c>
      <c r="G450" s="383">
        <f ca="1"/>
        <v>0</v>
      </c>
      <c r="H450" s="383">
        <f ca="1"/>
        <v>0</v>
      </c>
      <c r="I450" s="383">
        <f ca="1"/>
        <v>0</v>
      </c>
      <c r="J450" s="383">
        <f ca="1"/>
        <v>0</v>
      </c>
      <c r="K450" s="383">
        <f ca="1"/>
        <v>0</v>
      </c>
      <c r="P450" s="386"/>
      <c r="Q450" s="768">
        <f ca="1">IF(F450&lt;&gt;0,+F450/'A-5'!D$117,0)</f>
        <v>0</v>
      </c>
      <c r="R450" s="768">
        <f ca="1">IF(G450&lt;&gt;0,+G450/'A-5'!E$117,0)</f>
        <v>0</v>
      </c>
      <c r="S450" s="768">
        <f ca="1">IF(H450&lt;&gt;0,+H450/'A-5'!F$117,0)</f>
        <v>0</v>
      </c>
      <c r="T450" s="768">
        <f ca="1">IF(I450&lt;&gt;0,+I450/'A-5'!G$117,0)</f>
        <v>0</v>
      </c>
      <c r="U450" s="768">
        <f ca="1">IF(J450&lt;&gt;0,+J450/'A-5'!H$117,0)</f>
        <v>0</v>
      </c>
      <c r="V450" s="768">
        <f ca="1">IF(K450&lt;&gt;0,+K450/'A-5'!I$117,0)</f>
        <v>0</v>
      </c>
    </row>
    <row r="451" spans="1:22" s="767" customFormat="1">
      <c r="A451" s="5"/>
      <c r="B451" s="249"/>
      <c r="C451" s="425" t="str">
        <v>Materials - Land</v>
      </c>
      <c r="D451" s="426" t="str">
        <v>Other</v>
      </c>
      <c r="E451" s="847">
        <f ca="1"/>
        <v>0</v>
      </c>
      <c r="F451" s="386">
        <f ca="1"/>
        <v>0</v>
      </c>
      <c r="G451" s="383">
        <f ca="1"/>
        <v>0</v>
      </c>
      <c r="H451" s="383">
        <f ca="1"/>
        <v>0</v>
      </c>
      <c r="I451" s="383">
        <f ca="1"/>
        <v>0</v>
      </c>
      <c r="J451" s="383">
        <f ca="1"/>
        <v>0</v>
      </c>
      <c r="K451" s="383">
        <f ca="1"/>
        <v>0</v>
      </c>
      <c r="P451" s="386"/>
      <c r="Q451" s="768">
        <f ca="1">IF(F451&lt;&gt;0,+F451/'A-5'!D$118,0)</f>
        <v>0</v>
      </c>
      <c r="R451" s="768">
        <f ca="1">IF(G451&lt;&gt;0,+G451/'A-5'!E$118,0)</f>
        <v>0</v>
      </c>
      <c r="S451" s="768">
        <f ca="1">IF(H451&lt;&gt;0,+H451/'A-5'!F$118,0)</f>
        <v>0</v>
      </c>
      <c r="T451" s="768">
        <f ca="1">IF(I451&lt;&gt;0,+I451/'A-5'!G$118,0)</f>
        <v>0</v>
      </c>
      <c r="U451" s="768">
        <f ca="1">IF(J451&lt;&gt;0,+J451/'A-5'!H$118,0)</f>
        <v>0</v>
      </c>
      <c r="V451" s="768">
        <f ca="1">IF(K451&lt;&gt;0,+K451/'A-5'!I$118,0)</f>
        <v>0</v>
      </c>
    </row>
    <row r="452" spans="1:22">
      <c r="A452" s="5"/>
      <c r="B452" s="249" t="str">
        <f ca="1">+'I-4 History'!B273</f>
        <v>A-6</v>
      </c>
      <c r="C452" s="14" t="str">
        <f ca="1">+'I-4 History'!C273</f>
        <v>Regulation</v>
      </c>
      <c r="D452" s="418"/>
      <c r="E452" s="507"/>
      <c r="F452" s="11"/>
      <c r="G452" s="11"/>
      <c r="H452" s="11"/>
      <c r="I452" s="11"/>
      <c r="J452" s="11"/>
      <c r="K452" s="11"/>
      <c r="P452" s="11"/>
      <c r="Q452" s="11"/>
      <c r="R452" s="11"/>
      <c r="S452" s="11"/>
      <c r="T452" s="11"/>
      <c r="U452" s="11"/>
      <c r="V452" s="11"/>
    </row>
    <row r="453" spans="1:22">
      <c r="A453" s="5"/>
      <c r="B453" s="249"/>
      <c r="C453" s="424" t="s">
        <v>74</v>
      </c>
      <c r="D453" s="416"/>
      <c r="E453" s="507"/>
      <c r="F453" s="11"/>
      <c r="G453" s="11"/>
      <c r="H453" s="11"/>
      <c r="I453" s="11"/>
      <c r="J453" s="11"/>
      <c r="K453" s="11"/>
      <c r="P453" s="11"/>
      <c r="Q453" s="11"/>
      <c r="R453" s="11"/>
      <c r="S453" s="11"/>
      <c r="T453" s="11"/>
      <c r="U453" s="11"/>
      <c r="V453" s="11"/>
    </row>
    <row r="454" spans="1:22">
      <c r="A454" s="5"/>
      <c r="B454" s="249"/>
      <c r="C454" s="425" t="str">
        <f t="array" ref="C454:D459">+'A-6'!$A$77:$B$82</f>
        <v>Total Output Growth</v>
      </c>
      <c r="D454" s="426" t="str">
        <v>Labour</v>
      </c>
      <c r="E454" s="847">
        <f t="array" ref="E454:K459" ca="1">+'A-6'!$N$77:$T$82</f>
        <v>0</v>
      </c>
      <c r="F454" s="386">
        <f ca="1"/>
        <v>0</v>
      </c>
      <c r="G454" s="383">
        <f ca="1"/>
        <v>5.1702326704458748E-2</v>
      </c>
      <c r="H454" s="383">
        <f ca="1"/>
        <v>9.9608969237360054E-2</v>
      </c>
      <c r="I454" s="383">
        <f ca="1"/>
        <v>0.14696415341478528</v>
      </c>
      <c r="J454" s="383">
        <f ca="1"/>
        <v>0.19834072489131002</v>
      </c>
      <c r="K454" s="383">
        <f ca="1"/>
        <v>0.24540204886771289</v>
      </c>
      <c r="L454" s="790"/>
      <c r="M454" s="790"/>
      <c r="N454" s="790"/>
      <c r="O454" s="790"/>
      <c r="P454" s="386"/>
      <c r="Q454" s="768">
        <f ca="1">IF(F454&lt;&gt;0,+F454/'A-6'!D$77,0)</f>
        <v>0</v>
      </c>
      <c r="R454" s="768">
        <f ca="1">IF(G454&lt;&gt;0,+G454/'A-6'!E$77,0)</f>
        <v>4.8730000000000002</v>
      </c>
      <c r="S454" s="768">
        <f ca="1">IF(H454&lt;&gt;0,+H454/'A-6'!F$77,0)</f>
        <v>4.8730000000000002</v>
      </c>
      <c r="T454" s="768">
        <f ca="1">IF(I454&lt;&gt;0,+I454/'A-6'!G$77,0)</f>
        <v>4.8730000000000002</v>
      </c>
      <c r="U454" s="768">
        <f ca="1">IF(J454&lt;&gt;0,+J454/'A-6'!H$77,0)</f>
        <v>4.8730000000000002</v>
      </c>
      <c r="V454" s="768">
        <f ca="1">IF(K454&lt;&gt;0,+K454/'A-6'!I$77,0)</f>
        <v>4.8730000000000002</v>
      </c>
    </row>
    <row r="455" spans="1:22">
      <c r="A455" s="5"/>
      <c r="B455" s="249"/>
      <c r="C455" s="425" t="str">
        <v>Total Output Growth</v>
      </c>
      <c r="D455" s="426" t="str">
        <v>Materials</v>
      </c>
      <c r="E455" s="847">
        <f ca="1"/>
        <v>0</v>
      </c>
      <c r="F455" s="386">
        <f ca="1"/>
        <v>0</v>
      </c>
      <c r="G455" s="383">
        <f ca="1"/>
        <v>1.7294231998413248E-3</v>
      </c>
      <c r="H455" s="383">
        <f ca="1"/>
        <v>3.3318822051487153E-3</v>
      </c>
      <c r="I455" s="383">
        <f ca="1"/>
        <v>4.915895137822696E-3</v>
      </c>
      <c r="J455" s="383">
        <f ca="1"/>
        <v>6.6344219489602981E-3</v>
      </c>
      <c r="K455" s="383">
        <f ca="1"/>
        <v>8.2086053694720301E-3</v>
      </c>
      <c r="L455" s="790"/>
      <c r="M455" s="790"/>
      <c r="N455" s="790"/>
      <c r="O455" s="790"/>
      <c r="P455" s="386"/>
      <c r="Q455" s="768">
        <f ca="1">IF(F455&lt;&gt;0,+F455/'A-6'!D$78,0)</f>
        <v>0</v>
      </c>
      <c r="R455" s="768">
        <f ca="1">IF(G455&lt;&gt;0,+G455/'A-6'!E$78,0)</f>
        <v>0.16300000000000001</v>
      </c>
      <c r="S455" s="768">
        <f ca="1">IF(H455&lt;&gt;0,+H455/'A-6'!F$78,0)</f>
        <v>0.16300000000000001</v>
      </c>
      <c r="T455" s="768">
        <f ca="1">IF(I455&lt;&gt;0,+I455/'A-6'!G$78,0)</f>
        <v>0.16300000000000001</v>
      </c>
      <c r="U455" s="768">
        <f ca="1">IF(J455&lt;&gt;0,+J455/'A-6'!H$78,0)</f>
        <v>0.16300000000000001</v>
      </c>
      <c r="V455" s="768">
        <f ca="1">IF(K455&lt;&gt;0,+K455/'A-6'!I$78,0)</f>
        <v>0.16300000000000001</v>
      </c>
    </row>
    <row r="456" spans="1:22">
      <c r="A456" s="5"/>
      <c r="B456" s="249"/>
      <c r="C456" s="425" t="str">
        <v>Total Output Growth</v>
      </c>
      <c r="D456" s="426" t="str">
        <v>Contracts</v>
      </c>
      <c r="E456" s="847">
        <f ca="1"/>
        <v>0</v>
      </c>
      <c r="F456" s="386">
        <f ca="1"/>
        <v>0</v>
      </c>
      <c r="G456" s="383">
        <f ca="1"/>
        <v>1.6233236170289736E-3</v>
      </c>
      <c r="H456" s="383">
        <f ca="1"/>
        <v>3.1274722539125976E-3</v>
      </c>
      <c r="I456" s="383">
        <f ca="1"/>
        <v>4.6143064790605676E-3</v>
      </c>
      <c r="J456" s="383">
        <f ca="1"/>
        <v>6.2274021974903409E-3</v>
      </c>
      <c r="K456" s="383">
        <f ca="1"/>
        <v>7.7050099480320275E-3</v>
      </c>
      <c r="L456" s="790"/>
      <c r="M456" s="790"/>
      <c r="N456" s="790"/>
      <c r="O456" s="790"/>
      <c r="P456" s="386"/>
      <c r="Q456" s="768">
        <f ca="1">IF(F456&lt;&gt;0,+F456/'A-6'!D$79,0)</f>
        <v>0</v>
      </c>
      <c r="R456" s="768">
        <f ca="1">IF(G456&lt;&gt;0,+G456/'A-6'!E$79,0)</f>
        <v>0.153</v>
      </c>
      <c r="S456" s="768">
        <f ca="1">IF(H456&lt;&gt;0,+H456/'A-6'!F$79,0)</f>
        <v>0.153</v>
      </c>
      <c r="T456" s="768">
        <f ca="1">IF(I456&lt;&gt;0,+I456/'A-6'!G$79,0)</f>
        <v>0.153</v>
      </c>
      <c r="U456" s="768">
        <f ca="1">IF(J456&lt;&gt;0,+J456/'A-6'!H$79,0)</f>
        <v>0.153</v>
      </c>
      <c r="V456" s="768">
        <f ca="1">IF(K456&lt;&gt;0,+K456/'A-6'!I$79,0)</f>
        <v>0.153</v>
      </c>
    </row>
    <row r="457" spans="1:22" s="790" customFormat="1">
      <c r="A457" s="5"/>
      <c r="B457" s="249"/>
      <c r="C457" s="425" t="str">
        <v>Total Output Growth</v>
      </c>
      <c r="D457" s="426" t="str">
        <v>Services Other</v>
      </c>
      <c r="E457" s="847">
        <f ca="1"/>
        <v>0</v>
      </c>
      <c r="F457" s="386">
        <f ca="1"/>
        <v>0</v>
      </c>
      <c r="G457" s="383">
        <f ca="1"/>
        <v>8.986634664206147E-3</v>
      </c>
      <c r="H457" s="383">
        <f ca="1"/>
        <v>1.7313522869699151E-2</v>
      </c>
      <c r="I457" s="383">
        <f ca="1"/>
        <v>2.5544559397152292E-2</v>
      </c>
      <c r="J457" s="383">
        <f ca="1"/>
        <v>3.4474572949505351E-2</v>
      </c>
      <c r="K457" s="383">
        <f ca="1"/>
        <v>4.2654532195968153E-2</v>
      </c>
      <c r="P457" s="386"/>
      <c r="Q457" s="768">
        <f ca="1">IF(F457&lt;&gt;0,+F457/'A-6'!D$80,0)</f>
        <v>0</v>
      </c>
      <c r="R457" s="768">
        <f ca="1">IF(G457&lt;&gt;0,+G457/'A-6'!E$80,0)</f>
        <v>0.84699999999999998</v>
      </c>
      <c r="S457" s="768">
        <f ca="1">IF(H457&lt;&gt;0,+H457/'A-6'!F$80,0)</f>
        <v>0.84699999999999998</v>
      </c>
      <c r="T457" s="768">
        <f ca="1">IF(I457&lt;&gt;0,+I457/'A-6'!G$80,0)</f>
        <v>0.84699999999999998</v>
      </c>
      <c r="U457" s="768">
        <f ca="1">IF(J457&lt;&gt;0,+J457/'A-6'!H$80,0)</f>
        <v>0.84699999999999998</v>
      </c>
      <c r="V457" s="768">
        <f ca="1">IF(K457&lt;&gt;0,+K457/'A-6'!I$80,0)</f>
        <v>0.84699999999999998</v>
      </c>
    </row>
    <row r="458" spans="1:22" s="790" customFormat="1">
      <c r="A458" s="5"/>
      <c r="B458" s="249"/>
      <c r="C458" s="425" t="str">
        <v>Total Output Growth</v>
      </c>
      <c r="D458" s="426" t="str">
        <v>Business Overheads</v>
      </c>
      <c r="E458" s="847">
        <f ca="1"/>
        <v>0</v>
      </c>
      <c r="F458" s="386">
        <f ca="1"/>
        <v>0</v>
      </c>
      <c r="G458" s="383">
        <f ca="1"/>
        <v>0</v>
      </c>
      <c r="H458" s="383">
        <f ca="1"/>
        <v>0</v>
      </c>
      <c r="I458" s="383">
        <f ca="1"/>
        <v>0</v>
      </c>
      <c r="J458" s="383">
        <f ca="1"/>
        <v>0</v>
      </c>
      <c r="K458" s="383">
        <f ca="1"/>
        <v>0</v>
      </c>
      <c r="P458" s="386"/>
      <c r="Q458" s="768">
        <f ca="1">IF(F458&lt;&gt;0,+F458/'A-6'!D$81,0)</f>
        <v>0</v>
      </c>
      <c r="R458" s="768">
        <f ca="1">IF(G458&lt;&gt;0,+G458/'A-6'!E$81,0)</f>
        <v>0</v>
      </c>
      <c r="S458" s="768">
        <f ca="1">IF(H458&lt;&gt;0,+H458/'A-6'!F$81,0)</f>
        <v>0</v>
      </c>
      <c r="T458" s="768">
        <f ca="1">IF(I458&lt;&gt;0,+I458/'A-6'!G$81,0)</f>
        <v>0</v>
      </c>
      <c r="U458" s="768">
        <f ca="1">IF(J458&lt;&gt;0,+J458/'A-6'!H$81,0)</f>
        <v>0</v>
      </c>
      <c r="V458" s="768">
        <f ca="1">IF(K458&lt;&gt;0,+K458/'A-6'!I$81,0)</f>
        <v>0</v>
      </c>
    </row>
    <row r="459" spans="1:22" s="790" customFormat="1">
      <c r="A459" s="5"/>
      <c r="B459" s="249"/>
      <c r="C459" s="425" t="str">
        <v>Total Output Growth</v>
      </c>
      <c r="D459" s="426" t="str">
        <v>Other</v>
      </c>
      <c r="E459" s="847">
        <f ca="1"/>
        <v>0</v>
      </c>
      <c r="F459" s="386">
        <f ca="1"/>
        <v>0</v>
      </c>
      <c r="G459" s="383">
        <f ca="1"/>
        <v>0</v>
      </c>
      <c r="H459" s="383">
        <f ca="1"/>
        <v>0</v>
      </c>
      <c r="I459" s="383">
        <f ca="1"/>
        <v>0</v>
      </c>
      <c r="J459" s="383">
        <f ca="1"/>
        <v>0</v>
      </c>
      <c r="K459" s="383">
        <f ca="1"/>
        <v>0</v>
      </c>
      <c r="P459" s="386"/>
      <c r="Q459" s="768">
        <f ca="1">IF(F459&lt;&gt;0,+F459/'A-6'!D$82,0)</f>
        <v>0</v>
      </c>
      <c r="R459" s="768">
        <f ca="1">IF(G459&lt;&gt;0,+G459/'A-6'!E$82,0)</f>
        <v>0</v>
      </c>
      <c r="S459" s="768">
        <f ca="1">IF(H459&lt;&gt;0,+H459/'A-6'!F$82,0)</f>
        <v>0</v>
      </c>
      <c r="T459" s="768">
        <f ca="1">IF(I459&lt;&gt;0,+I459/'A-6'!G$82,0)</f>
        <v>0</v>
      </c>
      <c r="U459" s="768">
        <f ca="1">IF(J459&lt;&gt;0,+J459/'A-6'!H$82,0)</f>
        <v>0</v>
      </c>
      <c r="V459" s="768">
        <f ca="1">IF(K459&lt;&gt;0,+K459/'A-6'!I$82,0)</f>
        <v>0</v>
      </c>
    </row>
    <row r="460" spans="1:22">
      <c r="A460" s="5"/>
      <c r="B460" s="249"/>
      <c r="C460" s="424" t="s">
        <v>73</v>
      </c>
      <c r="D460" s="417"/>
      <c r="E460" s="848"/>
      <c r="F460" s="387"/>
      <c r="G460" s="385"/>
      <c r="H460" s="385"/>
      <c r="I460" s="385"/>
      <c r="J460" s="385"/>
      <c r="K460" s="385"/>
      <c r="P460" s="387"/>
      <c r="Q460" s="385"/>
      <c r="R460" s="385"/>
      <c r="S460" s="385"/>
      <c r="T460" s="385"/>
      <c r="U460" s="385"/>
      <c r="V460" s="385"/>
    </row>
    <row r="461" spans="1:22" s="767" customFormat="1">
      <c r="A461" s="5"/>
      <c r="B461" s="249"/>
      <c r="C461" s="425" t="str">
        <f t="array" ref="C461:D466">+'A-6'!$A$113:$B$119</f>
        <v>Labour</v>
      </c>
      <c r="D461" s="426" t="str">
        <v>Labour</v>
      </c>
      <c r="E461" s="847">
        <f t="array" ref="E461:K466" ca="1">+'A-6'!$N$113:$T$119</f>
        <v>0</v>
      </c>
      <c r="F461" s="386">
        <f ca="1"/>
        <v>0</v>
      </c>
      <c r="G461" s="383">
        <f ca="1"/>
        <v>0.10567409460594512</v>
      </c>
      <c r="H461" s="383">
        <f ca="1"/>
        <v>0.21569375687517128</v>
      </c>
      <c r="I461" s="383">
        <f ca="1"/>
        <v>0.33629689034032423</v>
      </c>
      <c r="J461" s="383">
        <f ca="1"/>
        <v>0.46221169519492794</v>
      </c>
      <c r="K461" s="383">
        <f ca="1"/>
        <v>0.59290822390976561</v>
      </c>
      <c r="P461" s="386"/>
      <c r="Q461" s="768">
        <f ca="1">IF(F461&lt;&gt;0,+F461/'A-6'!D$113,0)</f>
        <v>0</v>
      </c>
      <c r="R461" s="768">
        <f ca="1">IF(G461&lt;&gt;0,+G461/'A-6'!E$113,0)</f>
        <v>4.924702326704459</v>
      </c>
      <c r="S461" s="768">
        <f ca="1">IF(H461&lt;&gt;0,+H461/'A-6'!F$113,0)</f>
        <v>4.9726089692373598</v>
      </c>
      <c r="T461" s="768">
        <f ca="1">IF(I461&lt;&gt;0,+I461/'A-6'!G$113,0)</f>
        <v>5.0199641534147856</v>
      </c>
      <c r="U461" s="768">
        <f ca="1">IF(J461&lt;&gt;0,+J461/'A-6'!H$113,0)</f>
        <v>5.0713407248913098</v>
      </c>
      <c r="V461" s="768">
        <f ca="1">IF(K461&lt;&gt;0,+K461/'A-6'!I$113,0)</f>
        <v>5.1184020488677131</v>
      </c>
    </row>
    <row r="462" spans="1:22" s="767" customFormat="1">
      <c r="A462" s="5"/>
      <c r="B462" s="249"/>
      <c r="C462" s="425" t="str">
        <v>Materials</v>
      </c>
      <c r="D462" s="426" t="str">
        <v>Materials</v>
      </c>
      <c r="E462" s="847">
        <f ca="1"/>
        <v>0</v>
      </c>
      <c r="F462" s="386">
        <f ca="1"/>
        <v>0</v>
      </c>
      <c r="G462" s="383">
        <f ca="1"/>
        <v>0</v>
      </c>
      <c r="H462" s="383">
        <f ca="1"/>
        <v>0</v>
      </c>
      <c r="I462" s="383">
        <f ca="1"/>
        <v>0</v>
      </c>
      <c r="J462" s="383">
        <f ca="1"/>
        <v>0</v>
      </c>
      <c r="K462" s="383">
        <f ca="1"/>
        <v>0</v>
      </c>
      <c r="P462" s="386"/>
      <c r="Q462" s="768">
        <f ca="1">IF(F462&lt;&gt;0,+F462/'A-6'!D$114,0)</f>
        <v>0</v>
      </c>
      <c r="R462" s="768">
        <f ca="1">IF(G462&lt;&gt;0,+G462/'A-6'!E$114,0)</f>
        <v>0</v>
      </c>
      <c r="S462" s="768">
        <f ca="1">IF(H462&lt;&gt;0,+H462/'A-6'!F$114,0)</f>
        <v>0</v>
      </c>
      <c r="T462" s="768">
        <f ca="1">IF(I462&lt;&gt;0,+I462/'A-6'!G$114,0)</f>
        <v>0</v>
      </c>
      <c r="U462" s="768">
        <f ca="1">IF(J462&lt;&gt;0,+J462/'A-6'!H$114,0)</f>
        <v>0</v>
      </c>
      <c r="V462" s="768">
        <f ca="1">IF(K462&lt;&gt;0,+K462/'A-6'!I$114,0)</f>
        <v>0</v>
      </c>
    </row>
    <row r="463" spans="1:22" s="767" customFormat="1">
      <c r="A463" s="5"/>
      <c r="B463" s="249"/>
      <c r="C463" s="425" t="str">
        <v>Services-construction</v>
      </c>
      <c r="D463" s="426" t="str">
        <v>Contracts</v>
      </c>
      <c r="E463" s="847">
        <f ca="1"/>
        <v>0</v>
      </c>
      <c r="F463" s="386">
        <f ca="1"/>
        <v>0</v>
      </c>
      <c r="G463" s="383">
        <f ca="1"/>
        <v>7.7311661808512834E-4</v>
      </c>
      <c r="H463" s="383">
        <f ca="1"/>
        <v>1.5651779093454315E-3</v>
      </c>
      <c r="I463" s="383">
        <f ca="1"/>
        <v>3.0128329315661237E-3</v>
      </c>
      <c r="J463" s="383">
        <f ca="1"/>
        <v>4.7475138522453915E-3</v>
      </c>
      <c r="K463" s="383">
        <f ca="1"/>
        <v>6.8602773593968687E-3</v>
      </c>
      <c r="P463" s="386"/>
      <c r="Q463" s="768">
        <f ca="1">IF(F463&lt;&gt;0,+F463/'A-6'!D$115,0)</f>
        <v>0</v>
      </c>
      <c r="R463" s="768">
        <f ca="1">IF(G463&lt;&gt;0,+G463/'A-6'!E$115,0)</f>
        <v>0.15462332361702896</v>
      </c>
      <c r="S463" s="768">
        <f ca="1">IF(H463&lt;&gt;0,+H463/'A-6'!F$115,0)</f>
        <v>0.1561274722539126</v>
      </c>
      <c r="T463" s="768">
        <f ca="1">IF(I463&lt;&gt;0,+I463/'A-6'!G$115,0)</f>
        <v>0.15761430647906055</v>
      </c>
      <c r="U463" s="768">
        <f ca="1">IF(J463&lt;&gt;0,+J463/'A-6'!H$115,0)</f>
        <v>0.15922740219749035</v>
      </c>
      <c r="V463" s="768">
        <f ca="1">IF(K463&lt;&gt;0,+K463/'A-6'!I$115,0)</f>
        <v>0.16070500994803202</v>
      </c>
    </row>
    <row r="464" spans="1:22" s="767" customFormat="1">
      <c r="A464" s="5"/>
      <c r="B464" s="249"/>
      <c r="C464" s="425" t="str">
        <v>Services-general</v>
      </c>
      <c r="D464" s="426" t="str">
        <v>Services Other</v>
      </c>
      <c r="E464" s="847">
        <f ca="1"/>
        <v>0</v>
      </c>
      <c r="F464" s="386">
        <f ca="1"/>
        <v>0</v>
      </c>
      <c r="G464" s="383">
        <f ca="1"/>
        <v>4.2799331733209389E-3</v>
      </c>
      <c r="H464" s="383">
        <f ca="1"/>
        <v>8.6647430667684995E-3</v>
      </c>
      <c r="I464" s="383">
        <f ca="1"/>
        <v>1.6678885575402005E-2</v>
      </c>
      <c r="J464" s="383">
        <f ca="1"/>
        <v>2.6281988450012068E-2</v>
      </c>
      <c r="K464" s="383">
        <f ca="1"/>
        <v>3.7978136754308153E-2</v>
      </c>
      <c r="P464" s="386"/>
      <c r="Q464" s="768">
        <f ca="1">IF(F464&lt;&gt;0,+F464/'A-6'!D$116,0)</f>
        <v>0</v>
      </c>
      <c r="R464" s="768">
        <f ca="1">IF(G464&lt;&gt;0,+G464/'A-6'!E$116,0)</f>
        <v>0.85598663466420599</v>
      </c>
      <c r="S464" s="768">
        <f ca="1">IF(H464&lt;&gt;0,+H464/'A-6'!F$116,0)</f>
        <v>0.8643135228696992</v>
      </c>
      <c r="T464" s="768">
        <f ca="1">IF(I464&lt;&gt;0,+I464/'A-6'!G$116,0)</f>
        <v>0.87254455939715225</v>
      </c>
      <c r="U464" s="768">
        <f ca="1">IF(J464&lt;&gt;0,+J464/'A-6'!H$116,0)</f>
        <v>0.88147457294950537</v>
      </c>
      <c r="V464" s="768">
        <f ca="1">IF(K464&lt;&gt;0,+K464/'A-6'!I$116,0)</f>
        <v>0.88965453219596802</v>
      </c>
    </row>
    <row r="465" spans="1:22" s="767" customFormat="1">
      <c r="A465" s="5"/>
      <c r="B465" s="249"/>
      <c r="C465" s="425" t="str">
        <v>Labour</v>
      </c>
      <c r="D465" s="426" t="str">
        <v>Business Overheads</v>
      </c>
      <c r="E465" s="847">
        <f ca="1"/>
        <v>0</v>
      </c>
      <c r="F465" s="386">
        <f ca="1"/>
        <v>0</v>
      </c>
      <c r="G465" s="383">
        <f ca="1"/>
        <v>0</v>
      </c>
      <c r="H465" s="383">
        <f ca="1"/>
        <v>0</v>
      </c>
      <c r="I465" s="383">
        <f ca="1"/>
        <v>0</v>
      </c>
      <c r="J465" s="383">
        <f ca="1"/>
        <v>0</v>
      </c>
      <c r="K465" s="383">
        <f ca="1"/>
        <v>0</v>
      </c>
      <c r="P465" s="386"/>
      <c r="Q465" s="768">
        <f ca="1">IF(F465&lt;&gt;0,+F465/'A-6'!D$117,0)</f>
        <v>0</v>
      </c>
      <c r="R465" s="768">
        <f ca="1">IF(G465&lt;&gt;0,+G465/'A-6'!E$117,0)</f>
        <v>0</v>
      </c>
      <c r="S465" s="768">
        <f ca="1">IF(H465&lt;&gt;0,+H465/'A-6'!F$117,0)</f>
        <v>0</v>
      </c>
      <c r="T465" s="768">
        <f ca="1">IF(I465&lt;&gt;0,+I465/'A-6'!G$117,0)</f>
        <v>0</v>
      </c>
      <c r="U465" s="768">
        <f ca="1">IF(J465&lt;&gt;0,+J465/'A-6'!H$117,0)</f>
        <v>0</v>
      </c>
      <c r="V465" s="768">
        <f ca="1">IF(K465&lt;&gt;0,+K465/'A-6'!I$117,0)</f>
        <v>0</v>
      </c>
    </row>
    <row r="466" spans="1:22" s="767" customFormat="1">
      <c r="A466" s="5"/>
      <c r="B466" s="249"/>
      <c r="C466" s="425" t="str">
        <v>Materials - Land</v>
      </c>
      <c r="D466" s="426" t="str">
        <v>Other</v>
      </c>
      <c r="E466" s="847">
        <f ca="1"/>
        <v>0</v>
      </c>
      <c r="F466" s="386">
        <f ca="1"/>
        <v>0</v>
      </c>
      <c r="G466" s="383">
        <f ca="1"/>
        <v>0</v>
      </c>
      <c r="H466" s="383">
        <f ca="1"/>
        <v>0</v>
      </c>
      <c r="I466" s="383">
        <f ca="1"/>
        <v>0</v>
      </c>
      <c r="J466" s="383">
        <f ca="1"/>
        <v>0</v>
      </c>
      <c r="K466" s="383">
        <f ca="1"/>
        <v>0</v>
      </c>
      <c r="P466" s="386"/>
      <c r="Q466" s="768">
        <f ca="1">IF(F466&lt;&gt;0,+F466/'A-6'!D$118,0)</f>
        <v>0</v>
      </c>
      <c r="R466" s="768">
        <f ca="1">IF(G466&lt;&gt;0,+G466/'A-6'!E$118,0)</f>
        <v>0</v>
      </c>
      <c r="S466" s="768">
        <f ca="1">IF(H466&lt;&gt;0,+H466/'A-6'!F$118,0)</f>
        <v>0</v>
      </c>
      <c r="T466" s="768">
        <f ca="1">IF(I466&lt;&gt;0,+I466/'A-6'!G$118,0)</f>
        <v>0</v>
      </c>
      <c r="U466" s="768">
        <f ca="1">IF(J466&lt;&gt;0,+J466/'A-6'!H$118,0)</f>
        <v>0</v>
      </c>
      <c r="V466" s="768">
        <f ca="1">IF(K466&lt;&gt;0,+K466/'A-6'!I$118,0)</f>
        <v>0</v>
      </c>
    </row>
    <row r="467" spans="1:22" ht="17.25" customHeight="1" thickBot="1">
      <c r="A467" s="5"/>
      <c r="B467" s="250"/>
      <c r="C467" s="437" t="str">
        <f>CONCATENATE("Total ", +C436)</f>
        <v>Total Regulation and Company Secretary</v>
      </c>
      <c r="D467" s="419"/>
      <c r="E467" s="500">
        <f ca="1">SUBTOTAL(9,E439:E466)</f>
        <v>0</v>
      </c>
      <c r="F467" s="314">
        <f t="shared" ref="F467:K467" ca="1" si="4">SUBTOTAL(9,F439:F466)</f>
        <v>0</v>
      </c>
      <c r="G467" s="315">
        <f t="shared" ca="1" si="4"/>
        <v>0.22697945919601747</v>
      </c>
      <c r="H467" s="315">
        <f t="shared" ca="1" si="4"/>
        <v>0.45376217009921033</v>
      </c>
      <c r="I467" s="315">
        <f t="shared" ca="1" si="4"/>
        <v>0.69856466481363877</v>
      </c>
      <c r="J467" s="315">
        <f t="shared" ca="1" si="4"/>
        <v>0.95893667596141563</v>
      </c>
      <c r="K467" s="315">
        <f t="shared" ca="1" si="4"/>
        <v>1.2215985633264981</v>
      </c>
      <c r="P467" s="314"/>
      <c r="Q467" s="315"/>
      <c r="R467" s="315"/>
      <c r="S467" s="315"/>
      <c r="T467" s="315"/>
      <c r="U467" s="315"/>
      <c r="V467" s="315"/>
    </row>
    <row r="468" spans="1:22" ht="18">
      <c r="B468" s="251"/>
      <c r="C468" s="438" t="str">
        <f>+'I-3 Allocated'!A11</f>
        <v>Finance</v>
      </c>
      <c r="D468" s="423"/>
      <c r="E468" s="842"/>
      <c r="F468" s="266"/>
      <c r="G468" s="266"/>
      <c r="H468" s="266"/>
      <c r="I468" s="266"/>
      <c r="J468" s="266"/>
      <c r="K468" s="266"/>
      <c r="P468" s="266"/>
      <c r="Q468" s="266"/>
      <c r="R468" s="266"/>
      <c r="S468" s="266"/>
      <c r="T468" s="266"/>
      <c r="U468" s="266"/>
      <c r="V468" s="266"/>
    </row>
    <row r="469" spans="1:22">
      <c r="A469" s="5"/>
      <c r="B469" s="249" t="str">
        <f ca="1">+'I-4 History'!B282</f>
        <v>A-7</v>
      </c>
      <c r="C469" s="14" t="str">
        <f ca="1">+'I-4 History'!C282</f>
        <v>CFO</v>
      </c>
      <c r="D469" s="418"/>
      <c r="E469" s="507"/>
      <c r="F469" s="11"/>
      <c r="G469" s="11"/>
      <c r="H469" s="11"/>
      <c r="I469" s="11"/>
      <c r="J469" s="11"/>
      <c r="K469" s="11"/>
      <c r="P469" s="11"/>
      <c r="Q469" s="11"/>
      <c r="R469" s="11"/>
      <c r="S469" s="11"/>
      <c r="T469" s="11"/>
      <c r="U469" s="11"/>
      <c r="V469" s="11"/>
    </row>
    <row r="470" spans="1:22">
      <c r="A470" s="5"/>
      <c r="B470" s="249"/>
      <c r="C470" s="424" t="s">
        <v>74</v>
      </c>
      <c r="D470" s="416"/>
      <c r="E470" s="507"/>
      <c r="F470" s="11"/>
      <c r="G470" s="11"/>
      <c r="H470" s="11"/>
      <c r="I470" s="11"/>
      <c r="J470" s="11"/>
      <c r="K470" s="11"/>
      <c r="P470" s="11"/>
      <c r="Q470" s="11"/>
      <c r="R470" s="11"/>
      <c r="S470" s="11"/>
      <c r="T470" s="11"/>
      <c r="U470" s="11"/>
      <c r="V470" s="11"/>
    </row>
    <row r="471" spans="1:22">
      <c r="A471" s="5"/>
      <c r="B471" s="249"/>
      <c r="C471" s="425" t="str">
        <f t="array" ref="C471:D476">+'A-7'!$A$77:$B$82</f>
        <v>Total Output Growth</v>
      </c>
      <c r="D471" s="426" t="str">
        <v>Labour</v>
      </c>
      <c r="E471" s="847">
        <f t="array" ref="E471:K476" ca="1">+'A-7'!$N$77:$T$82</f>
        <v>0</v>
      </c>
      <c r="F471" s="386">
        <f ca="1"/>
        <v>0</v>
      </c>
      <c r="G471" s="383">
        <f ca="1"/>
        <v>6.0582861785852546E-3</v>
      </c>
      <c r="H471" s="383">
        <f ca="1"/>
        <v>1.1671808215582309E-2</v>
      </c>
      <c r="I471" s="383">
        <f ca="1"/>
        <v>1.7220712415317543E-2</v>
      </c>
      <c r="J471" s="383">
        <f ca="1"/>
        <v>2.3240827808934543E-2</v>
      </c>
      <c r="K471" s="383">
        <f ca="1"/>
        <v>2.8755298564224107E-2</v>
      </c>
      <c r="L471" s="790"/>
      <c r="M471" s="790"/>
      <c r="N471" s="790"/>
      <c r="O471" s="790"/>
      <c r="P471" s="386"/>
      <c r="Q471" s="768">
        <f ca="1">IF(F471&lt;&gt;0,+F471/'A-7'!D$77,0)</f>
        <v>0</v>
      </c>
      <c r="R471" s="768">
        <f ca="1">IF(G471&lt;&gt;0,+G471/'A-7'!E$77,0)</f>
        <v>0.57100000000000006</v>
      </c>
      <c r="S471" s="768">
        <f ca="1">IF(H471&lt;&gt;0,+H471/'A-7'!F$77,0)</f>
        <v>0.57100000000000006</v>
      </c>
      <c r="T471" s="768">
        <f ca="1">IF(I471&lt;&gt;0,+I471/'A-7'!G$77,0)</f>
        <v>0.57100000000000006</v>
      </c>
      <c r="U471" s="768">
        <f ca="1">IF(J471&lt;&gt;0,+J471/'A-7'!H$77,0)</f>
        <v>0.57100000000000006</v>
      </c>
      <c r="V471" s="768">
        <f ca="1">IF(K471&lt;&gt;0,+K471/'A-7'!I$77,0)</f>
        <v>0.57100000000000006</v>
      </c>
    </row>
    <row r="472" spans="1:22">
      <c r="A472" s="5"/>
      <c r="B472" s="249"/>
      <c r="C472" s="425" t="str">
        <v>Total Output Growth</v>
      </c>
      <c r="D472" s="426" t="str">
        <v>Materials</v>
      </c>
      <c r="E472" s="847">
        <f ca="1"/>
        <v>0</v>
      </c>
      <c r="F472" s="386">
        <f ca="1"/>
        <v>0</v>
      </c>
      <c r="G472" s="383">
        <f ca="1"/>
        <v>8.4879666249880974E-5</v>
      </c>
      <c r="H472" s="383">
        <f ca="1"/>
        <v>1.6352796098889399E-4</v>
      </c>
      <c r="I472" s="383">
        <f ca="1"/>
        <v>2.4127092700970289E-4</v>
      </c>
      <c r="J472" s="383">
        <f ca="1"/>
        <v>3.2561580117596554E-4</v>
      </c>
      <c r="K472" s="383">
        <f ca="1"/>
        <v>4.0287633715200145E-4</v>
      </c>
      <c r="L472" s="790"/>
      <c r="M472" s="790"/>
      <c r="N472" s="790"/>
      <c r="O472" s="790"/>
      <c r="P472" s="386"/>
      <c r="Q472" s="768">
        <f ca="1">IF(F472&lt;&gt;0,+F472/'A-7'!D$78,0)</f>
        <v>0</v>
      </c>
      <c r="R472" s="768">
        <f ca="1">IF(G472&lt;&gt;0,+G472/'A-7'!E$78,0)</f>
        <v>8.0000000000000002E-3</v>
      </c>
      <c r="S472" s="768">
        <f ca="1">IF(H472&lt;&gt;0,+H472/'A-7'!F$78,0)</f>
        <v>8.0000000000000002E-3</v>
      </c>
      <c r="T472" s="768">
        <f ca="1">IF(I472&lt;&gt;0,+I472/'A-7'!G$78,0)</f>
        <v>8.0000000000000002E-3</v>
      </c>
      <c r="U472" s="768">
        <f ca="1">IF(J472&lt;&gt;0,+J472/'A-7'!H$78,0)</f>
        <v>8.0000000000000002E-3</v>
      </c>
      <c r="V472" s="768">
        <f ca="1">IF(K472&lt;&gt;0,+K472/'A-7'!I$78,0)</f>
        <v>8.0000000000000002E-3</v>
      </c>
    </row>
    <row r="473" spans="1:22">
      <c r="A473" s="5"/>
      <c r="B473" s="249"/>
      <c r="C473" s="425" t="str">
        <v>Total Output Growth</v>
      </c>
      <c r="D473" s="426" t="str">
        <v>Contracts</v>
      </c>
      <c r="E473" s="847">
        <f ca="1"/>
        <v>0</v>
      </c>
      <c r="F473" s="386">
        <f ca="1"/>
        <v>0</v>
      </c>
      <c r="G473" s="383">
        <f ca="1"/>
        <v>0</v>
      </c>
      <c r="H473" s="383">
        <f ca="1"/>
        <v>0</v>
      </c>
      <c r="I473" s="383">
        <f ca="1"/>
        <v>0</v>
      </c>
      <c r="J473" s="383">
        <f ca="1"/>
        <v>0</v>
      </c>
      <c r="K473" s="383">
        <f ca="1"/>
        <v>0</v>
      </c>
      <c r="L473" s="790"/>
      <c r="M473" s="790"/>
      <c r="N473" s="790"/>
      <c r="O473" s="790"/>
      <c r="P473" s="386"/>
      <c r="Q473" s="768">
        <f ca="1">IF(F473&lt;&gt;0,+F473/'A-7'!D$79,0)</f>
        <v>0</v>
      </c>
      <c r="R473" s="768">
        <f ca="1">IF(G473&lt;&gt;0,+G473/'A-7'!E$79,0)</f>
        <v>0</v>
      </c>
      <c r="S473" s="768">
        <f ca="1">IF(H473&lt;&gt;0,+H473/'A-7'!F$79,0)</f>
        <v>0</v>
      </c>
      <c r="T473" s="768">
        <f ca="1">IF(I473&lt;&gt;0,+I473/'A-7'!G$79,0)</f>
        <v>0</v>
      </c>
      <c r="U473" s="768">
        <f ca="1">IF(J473&lt;&gt;0,+J473/'A-7'!H$79,0)</f>
        <v>0</v>
      </c>
      <c r="V473" s="768">
        <f ca="1">IF(K473&lt;&gt;0,+K473/'A-7'!I$79,0)</f>
        <v>0</v>
      </c>
    </row>
    <row r="474" spans="1:22" s="790" customFormat="1">
      <c r="A474" s="5"/>
      <c r="B474" s="249"/>
      <c r="C474" s="425" t="str">
        <v>Total Output Growth</v>
      </c>
      <c r="D474" s="426" t="str">
        <v>Services Other</v>
      </c>
      <c r="E474" s="847">
        <f ca="1"/>
        <v>0</v>
      </c>
      <c r="F474" s="386">
        <f ca="1"/>
        <v>0</v>
      </c>
      <c r="G474" s="383">
        <f ca="1"/>
        <v>8.8062653734251512E-4</v>
      </c>
      <c r="H474" s="383">
        <f ca="1"/>
        <v>1.6966025952597752E-3</v>
      </c>
      <c r="I474" s="383">
        <f ca="1"/>
        <v>2.5031858677256676E-3</v>
      </c>
      <c r="J474" s="383">
        <f ca="1"/>
        <v>3.3782639372006429E-3</v>
      </c>
      <c r="K474" s="383">
        <f ca="1"/>
        <v>4.1798419979520154E-3</v>
      </c>
      <c r="P474" s="386"/>
      <c r="Q474" s="768">
        <f ca="1">IF(F474&lt;&gt;0,+F474/'A-7'!D$80,0)</f>
        <v>0</v>
      </c>
      <c r="R474" s="768">
        <f ca="1">IF(G474&lt;&gt;0,+G474/'A-7'!E$80,0)</f>
        <v>8.3000000000000004E-2</v>
      </c>
      <c r="S474" s="768">
        <f ca="1">IF(H474&lt;&gt;0,+H474/'A-7'!F$80,0)</f>
        <v>8.3000000000000004E-2</v>
      </c>
      <c r="T474" s="768">
        <f ca="1">IF(I474&lt;&gt;0,+I474/'A-7'!G$80,0)</f>
        <v>8.3000000000000004E-2</v>
      </c>
      <c r="U474" s="768">
        <f ca="1">IF(J474&lt;&gt;0,+J474/'A-7'!H$80,0)</f>
        <v>8.3000000000000004E-2</v>
      </c>
      <c r="V474" s="768">
        <f ca="1">IF(K474&lt;&gt;0,+K474/'A-7'!I$80,0)</f>
        <v>8.3000000000000004E-2</v>
      </c>
    </row>
    <row r="475" spans="1:22" s="790" customFormat="1">
      <c r="A475" s="5"/>
      <c r="B475" s="249"/>
      <c r="C475" s="425" t="str">
        <v>Total Output Growth</v>
      </c>
      <c r="D475" s="426" t="str">
        <v>Business Overheads</v>
      </c>
      <c r="E475" s="847">
        <f ca="1"/>
        <v>0</v>
      </c>
      <c r="F475" s="386">
        <f ca="1"/>
        <v>0</v>
      </c>
      <c r="G475" s="383">
        <f ca="1"/>
        <v>0</v>
      </c>
      <c r="H475" s="383">
        <f ca="1"/>
        <v>0</v>
      </c>
      <c r="I475" s="383">
        <f ca="1"/>
        <v>0</v>
      </c>
      <c r="J475" s="383">
        <f ca="1"/>
        <v>0</v>
      </c>
      <c r="K475" s="383">
        <f ca="1"/>
        <v>0</v>
      </c>
      <c r="P475" s="386"/>
      <c r="Q475" s="768">
        <f ca="1">IF(F475&lt;&gt;0,+F475/'A-7'!D$81,0)</f>
        <v>0</v>
      </c>
      <c r="R475" s="768">
        <f ca="1">IF(G475&lt;&gt;0,+G475/'A-7'!E$81,0)</f>
        <v>0</v>
      </c>
      <c r="S475" s="768">
        <f ca="1">IF(H475&lt;&gt;0,+H475/'A-7'!F$81,0)</f>
        <v>0</v>
      </c>
      <c r="T475" s="768">
        <f ca="1">IF(I475&lt;&gt;0,+I475/'A-7'!G$81,0)</f>
        <v>0</v>
      </c>
      <c r="U475" s="768">
        <f ca="1">IF(J475&lt;&gt;0,+J475/'A-7'!H$81,0)</f>
        <v>0</v>
      </c>
      <c r="V475" s="768">
        <f ca="1">IF(K475&lt;&gt;0,+K475/'A-7'!I$81,0)</f>
        <v>0</v>
      </c>
    </row>
    <row r="476" spans="1:22" s="790" customFormat="1">
      <c r="A476" s="5"/>
      <c r="B476" s="249"/>
      <c r="C476" s="425" t="str">
        <v>Total Output Growth</v>
      </c>
      <c r="D476" s="426" t="str">
        <v>Other</v>
      </c>
      <c r="E476" s="847">
        <f ca="1"/>
        <v>0</v>
      </c>
      <c r="F476" s="386">
        <f ca="1"/>
        <v>0</v>
      </c>
      <c r="G476" s="383">
        <f ca="1"/>
        <v>0</v>
      </c>
      <c r="H476" s="383">
        <f ca="1"/>
        <v>0</v>
      </c>
      <c r="I476" s="383">
        <f ca="1"/>
        <v>0</v>
      </c>
      <c r="J476" s="383">
        <f ca="1"/>
        <v>0</v>
      </c>
      <c r="K476" s="383">
        <f ca="1"/>
        <v>0</v>
      </c>
      <c r="P476" s="386"/>
      <c r="Q476" s="768">
        <f ca="1">IF(F476&lt;&gt;0,+F476/'A-7'!D$82,0)</f>
        <v>0</v>
      </c>
      <c r="R476" s="768">
        <f ca="1">IF(G476&lt;&gt;0,+G476/'A-7'!E$82,0)</f>
        <v>0</v>
      </c>
      <c r="S476" s="768">
        <f ca="1">IF(H476&lt;&gt;0,+H476/'A-7'!F$82,0)</f>
        <v>0</v>
      </c>
      <c r="T476" s="768">
        <f ca="1">IF(I476&lt;&gt;0,+I476/'A-7'!G$82,0)</f>
        <v>0</v>
      </c>
      <c r="U476" s="768">
        <f ca="1">IF(J476&lt;&gt;0,+J476/'A-7'!H$82,0)</f>
        <v>0</v>
      </c>
      <c r="V476" s="768">
        <f ca="1">IF(K476&lt;&gt;0,+K476/'A-7'!I$82,0)</f>
        <v>0</v>
      </c>
    </row>
    <row r="477" spans="1:22">
      <c r="A477" s="5"/>
      <c r="B477" s="249"/>
      <c r="C477" s="424" t="s">
        <v>73</v>
      </c>
      <c r="D477" s="417"/>
      <c r="E477" s="848"/>
      <c r="F477" s="387"/>
      <c r="G477" s="385"/>
      <c r="H477" s="385"/>
      <c r="I477" s="385"/>
      <c r="J477" s="385"/>
      <c r="K477" s="385"/>
      <c r="P477" s="387"/>
      <c r="Q477" s="385"/>
      <c r="R477" s="385"/>
      <c r="S477" s="385"/>
      <c r="T477" s="385"/>
      <c r="U477" s="385"/>
      <c r="V477" s="385"/>
    </row>
    <row r="478" spans="1:22" s="767" customFormat="1">
      <c r="A478" s="5"/>
      <c r="B478" s="249"/>
      <c r="C478" s="425" t="str">
        <f t="array" ref="C478:D483">+'A-7'!$A$113:$B$119</f>
        <v>Labour</v>
      </c>
      <c r="D478" s="426" t="str">
        <v>Labour</v>
      </c>
      <c r="E478" s="847">
        <f t="array" ref="E478:K483" ca="1">+'A-7'!$N$113:$T$119</f>
        <v>0</v>
      </c>
      <c r="F478" s="386">
        <f ca="1"/>
        <v>0</v>
      </c>
      <c r="G478" s="383">
        <f ca="1"/>
        <v>1.2382497028523429E-2</v>
      </c>
      <c r="H478" s="383">
        <f ca="1"/>
        <v>2.5274191499224878E-2</v>
      </c>
      <c r="I478" s="383">
        <f ca="1"/>
        <v>3.9406017727134236E-2</v>
      </c>
      <c r="J478" s="383">
        <f ca="1"/>
        <v>5.4160245835482027E-2</v>
      </c>
      <c r="K478" s="383">
        <f ca="1"/>
        <v>6.9474778545552271E-2</v>
      </c>
      <c r="P478" s="386"/>
      <c r="Q478" s="768">
        <f ca="1">IF(F478&lt;&gt;0,+F478/'A-7'!D$113,0)</f>
        <v>0</v>
      </c>
      <c r="R478" s="768">
        <f ca="1">IF(G478&lt;&gt;0,+G478/'A-7'!E$113,0)</f>
        <v>0.57705828617858534</v>
      </c>
      <c r="S478" s="768">
        <f ca="1">IF(H478&lt;&gt;0,+H478/'A-7'!F$113,0)</f>
        <v>0.5826718082155824</v>
      </c>
      <c r="T478" s="768">
        <f ca="1">IF(I478&lt;&gt;0,+I478/'A-7'!G$113,0)</f>
        <v>0.58822071241531759</v>
      </c>
      <c r="U478" s="768">
        <f ca="1">IF(J478&lt;&gt;0,+J478/'A-7'!H$113,0)</f>
        <v>0.59424082780893461</v>
      </c>
      <c r="V478" s="768">
        <f ca="1">IF(K478&lt;&gt;0,+K478/'A-7'!I$113,0)</f>
        <v>0.59975529856422416</v>
      </c>
    </row>
    <row r="479" spans="1:22" s="767" customFormat="1">
      <c r="A479" s="5"/>
      <c r="B479" s="249"/>
      <c r="C479" s="425" t="str">
        <v>Materials</v>
      </c>
      <c r="D479" s="426" t="str">
        <v>Materials</v>
      </c>
      <c r="E479" s="847">
        <f ca="1"/>
        <v>0</v>
      </c>
      <c r="F479" s="386">
        <f ca="1"/>
        <v>0</v>
      </c>
      <c r="G479" s="383">
        <f ca="1"/>
        <v>0</v>
      </c>
      <c r="H479" s="383">
        <f ca="1"/>
        <v>0</v>
      </c>
      <c r="I479" s="383">
        <f ca="1"/>
        <v>0</v>
      </c>
      <c r="J479" s="383">
        <f ca="1"/>
        <v>0</v>
      </c>
      <c r="K479" s="383">
        <f ca="1"/>
        <v>0</v>
      </c>
      <c r="P479" s="386"/>
      <c r="Q479" s="768">
        <f ca="1">IF(F479&lt;&gt;0,+F479/'A-7'!D$114,0)</f>
        <v>0</v>
      </c>
      <c r="R479" s="768">
        <f ca="1">IF(G479&lt;&gt;0,+G479/'A-7'!E$114,0)</f>
        <v>0</v>
      </c>
      <c r="S479" s="768">
        <f ca="1">IF(H479&lt;&gt;0,+H479/'A-7'!F$114,0)</f>
        <v>0</v>
      </c>
      <c r="T479" s="768">
        <f ca="1">IF(I479&lt;&gt;0,+I479/'A-7'!G$114,0)</f>
        <v>0</v>
      </c>
      <c r="U479" s="768">
        <f ca="1">IF(J479&lt;&gt;0,+J479/'A-7'!H$114,0)</f>
        <v>0</v>
      </c>
      <c r="V479" s="768">
        <f ca="1">IF(K479&lt;&gt;0,+K479/'A-7'!I$114,0)</f>
        <v>0</v>
      </c>
    </row>
    <row r="480" spans="1:22" s="767" customFormat="1">
      <c r="A480" s="5"/>
      <c r="B480" s="249"/>
      <c r="C480" s="425" t="str">
        <v>Services-construction</v>
      </c>
      <c r="D480" s="426" t="str">
        <v>Contracts</v>
      </c>
      <c r="E480" s="847">
        <f ca="1"/>
        <v>0</v>
      </c>
      <c r="F480" s="386">
        <f ca="1"/>
        <v>0</v>
      </c>
      <c r="G480" s="383">
        <f ca="1"/>
        <v>0</v>
      </c>
      <c r="H480" s="383">
        <f ca="1"/>
        <v>0</v>
      </c>
      <c r="I480" s="383">
        <f ca="1"/>
        <v>0</v>
      </c>
      <c r="J480" s="383">
        <f ca="1"/>
        <v>0</v>
      </c>
      <c r="K480" s="383">
        <f ca="1"/>
        <v>0</v>
      </c>
      <c r="P480" s="386"/>
      <c r="Q480" s="768">
        <f ca="1">IF(F480&lt;&gt;0,+F480/'A-7'!D$115,0)</f>
        <v>0</v>
      </c>
      <c r="R480" s="768">
        <f ca="1">IF(G480&lt;&gt;0,+G480/'A-7'!E$115,0)</f>
        <v>0</v>
      </c>
      <c r="S480" s="768">
        <f ca="1">IF(H480&lt;&gt;0,+H480/'A-7'!F$115,0)</f>
        <v>0</v>
      </c>
      <c r="T480" s="768">
        <f ca="1">IF(I480&lt;&gt;0,+I480/'A-7'!G$115,0)</f>
        <v>0</v>
      </c>
      <c r="U480" s="768">
        <f ca="1">IF(J480&lt;&gt;0,+J480/'A-7'!H$115,0)</f>
        <v>0</v>
      </c>
      <c r="V480" s="768">
        <f ca="1">IF(K480&lt;&gt;0,+K480/'A-7'!I$115,0)</f>
        <v>0</v>
      </c>
    </row>
    <row r="481" spans="1:22" s="767" customFormat="1">
      <c r="A481" s="5"/>
      <c r="B481" s="249"/>
      <c r="C481" s="425" t="str">
        <v>Services-general</v>
      </c>
      <c r="D481" s="426" t="str">
        <v>Services Other</v>
      </c>
      <c r="E481" s="847">
        <f ca="1"/>
        <v>0</v>
      </c>
      <c r="F481" s="386">
        <f ca="1"/>
        <v>0</v>
      </c>
      <c r="G481" s="383">
        <f ca="1"/>
        <v>4.1940313268670363E-4</v>
      </c>
      <c r="H481" s="383">
        <f ca="1"/>
        <v>8.4908344101745632E-4</v>
      </c>
      <c r="I481" s="383">
        <f ca="1"/>
        <v>1.6344126360783549E-3</v>
      </c>
      <c r="J481" s="383">
        <f ca="1"/>
        <v>2.5754486910873693E-3</v>
      </c>
      <c r="K481" s="383">
        <f ca="1"/>
        <v>3.7215883714375175E-3</v>
      </c>
      <c r="P481" s="386"/>
      <c r="Q481" s="768">
        <f ca="1">IF(F481&lt;&gt;0,+F481/'A-7'!D$116,0)</f>
        <v>0</v>
      </c>
      <c r="R481" s="768">
        <f ca="1">IF(G481&lt;&gt;0,+G481/'A-7'!E$116,0)</f>
        <v>8.3880626537342518E-2</v>
      </c>
      <c r="S481" s="768">
        <f ca="1">IF(H481&lt;&gt;0,+H481/'A-7'!F$116,0)</f>
        <v>8.4696602595259782E-2</v>
      </c>
      <c r="T481" s="768">
        <f ca="1">IF(I481&lt;&gt;0,+I481/'A-7'!G$116,0)</f>
        <v>8.5503185867725678E-2</v>
      </c>
      <c r="U481" s="768">
        <f ca="1">IF(J481&lt;&gt;0,+J481/'A-7'!H$116,0)</f>
        <v>8.6378263937200647E-2</v>
      </c>
      <c r="V481" s="768">
        <f ca="1">IF(K481&lt;&gt;0,+K481/'A-7'!I$116,0)</f>
        <v>8.7179841997952021E-2</v>
      </c>
    </row>
    <row r="482" spans="1:22" s="767" customFormat="1">
      <c r="A482" s="5"/>
      <c r="B482" s="249"/>
      <c r="C482" s="425" t="str">
        <v>Labour</v>
      </c>
      <c r="D482" s="426" t="str">
        <v>Business Overheads</v>
      </c>
      <c r="E482" s="847">
        <f ca="1"/>
        <v>0</v>
      </c>
      <c r="F482" s="386">
        <f ca="1"/>
        <v>0</v>
      </c>
      <c r="G482" s="383">
        <f ca="1"/>
        <v>0</v>
      </c>
      <c r="H482" s="383">
        <f ca="1"/>
        <v>0</v>
      </c>
      <c r="I482" s="383">
        <f ca="1"/>
        <v>0</v>
      </c>
      <c r="J482" s="383">
        <f ca="1"/>
        <v>0</v>
      </c>
      <c r="K482" s="383">
        <f ca="1"/>
        <v>0</v>
      </c>
      <c r="P482" s="386"/>
      <c r="Q482" s="768">
        <f ca="1">IF(F482&lt;&gt;0,+F482/'A-7'!D$117,0)</f>
        <v>0</v>
      </c>
      <c r="R482" s="768">
        <f ca="1">IF(G482&lt;&gt;0,+G482/'A-7'!E$117,0)</f>
        <v>0</v>
      </c>
      <c r="S482" s="768">
        <f ca="1">IF(H482&lt;&gt;0,+H482/'A-7'!F$117,0)</f>
        <v>0</v>
      </c>
      <c r="T482" s="768">
        <f ca="1">IF(I482&lt;&gt;0,+I482/'A-7'!G$117,0)</f>
        <v>0</v>
      </c>
      <c r="U482" s="768">
        <f ca="1">IF(J482&lt;&gt;0,+J482/'A-7'!H$117,0)</f>
        <v>0</v>
      </c>
      <c r="V482" s="768">
        <f ca="1">IF(K482&lt;&gt;0,+K482/'A-7'!I$117,0)</f>
        <v>0</v>
      </c>
    </row>
    <row r="483" spans="1:22" s="767" customFormat="1">
      <c r="A483" s="5"/>
      <c r="B483" s="249"/>
      <c r="C483" s="425" t="str">
        <v>Materials - Land</v>
      </c>
      <c r="D483" s="426" t="str">
        <v>Other</v>
      </c>
      <c r="E483" s="847">
        <f ca="1"/>
        <v>0</v>
      </c>
      <c r="F483" s="386">
        <f ca="1"/>
        <v>0</v>
      </c>
      <c r="G483" s="383">
        <f ca="1"/>
        <v>0</v>
      </c>
      <c r="H483" s="383">
        <f ca="1"/>
        <v>0</v>
      </c>
      <c r="I483" s="383">
        <f ca="1"/>
        <v>0</v>
      </c>
      <c r="J483" s="383">
        <f ca="1"/>
        <v>0</v>
      </c>
      <c r="K483" s="383">
        <f ca="1"/>
        <v>0</v>
      </c>
      <c r="P483" s="386"/>
      <c r="Q483" s="768">
        <f ca="1">IF(F483&lt;&gt;0,+F483/'A-7'!D$118,0)</f>
        <v>0</v>
      </c>
      <c r="R483" s="768">
        <f ca="1">IF(G483&lt;&gt;0,+G483/'A-7'!E$118,0)</f>
        <v>0</v>
      </c>
      <c r="S483" s="768">
        <f ca="1">IF(H483&lt;&gt;0,+H483/'A-7'!F$118,0)</f>
        <v>0</v>
      </c>
      <c r="T483" s="768">
        <f ca="1">IF(I483&lt;&gt;0,+I483/'A-7'!G$118,0)</f>
        <v>0</v>
      </c>
      <c r="U483" s="768">
        <f ca="1">IF(J483&lt;&gt;0,+J483/'A-7'!H$118,0)</f>
        <v>0</v>
      </c>
      <c r="V483" s="768">
        <f ca="1">IF(K483&lt;&gt;0,+K483/'A-7'!I$118,0)</f>
        <v>0</v>
      </c>
    </row>
    <row r="484" spans="1:22">
      <c r="A484" s="5"/>
      <c r="B484" s="249" t="str">
        <f ca="1">+'I-4 History'!B291</f>
        <v>A-8</v>
      </c>
      <c r="C484" s="14" t="str">
        <f ca="1">+'I-4 History'!C291</f>
        <v>Accounts Receivable – Asset Damage</v>
      </c>
      <c r="D484" s="418"/>
      <c r="E484" s="507"/>
      <c r="F484" s="11"/>
      <c r="G484" s="11"/>
      <c r="H484" s="11"/>
      <c r="I484" s="11"/>
      <c r="J484" s="11"/>
      <c r="K484" s="11"/>
      <c r="P484" s="11"/>
      <c r="Q484" s="11"/>
      <c r="R484" s="11"/>
      <c r="S484" s="11"/>
      <c r="T484" s="11"/>
      <c r="U484" s="11"/>
      <c r="V484" s="11"/>
    </row>
    <row r="485" spans="1:22">
      <c r="A485" s="5"/>
      <c r="B485" s="249"/>
      <c r="C485" s="424" t="s">
        <v>74</v>
      </c>
      <c r="D485" s="416"/>
      <c r="E485" s="507"/>
      <c r="F485" s="11"/>
      <c r="G485" s="11"/>
      <c r="H485" s="11"/>
      <c r="I485" s="11"/>
      <c r="J485" s="11"/>
      <c r="K485" s="11"/>
      <c r="P485" s="11"/>
      <c r="Q485" s="11"/>
      <c r="R485" s="11"/>
      <c r="S485" s="11"/>
      <c r="T485" s="11"/>
      <c r="U485" s="11"/>
      <c r="V485" s="11"/>
    </row>
    <row r="486" spans="1:22">
      <c r="A486" s="5"/>
      <c r="B486" s="249"/>
      <c r="C486" s="425" t="str">
        <f t="array" ref="C486:D491">+'A-8'!$A$77:$B$82</f>
        <v>Total Output Growth</v>
      </c>
      <c r="D486" s="426" t="str">
        <v>Labour</v>
      </c>
      <c r="E486" s="847">
        <f t="array" ref="E486:K491" ca="1">+'A-8'!$N$77:$T$82</f>
        <v>0</v>
      </c>
      <c r="F486" s="386">
        <f ca="1"/>
        <v>0</v>
      </c>
      <c r="G486" s="383">
        <f ca="1"/>
        <v>0</v>
      </c>
      <c r="H486" s="383">
        <f ca="1"/>
        <v>0</v>
      </c>
      <c r="I486" s="383">
        <f ca="1"/>
        <v>0</v>
      </c>
      <c r="J486" s="383">
        <f ca="1"/>
        <v>0</v>
      </c>
      <c r="K486" s="383">
        <f ca="1"/>
        <v>0</v>
      </c>
      <c r="L486" s="790"/>
      <c r="M486" s="790"/>
      <c r="N486" s="790"/>
      <c r="O486" s="790"/>
      <c r="P486" s="386"/>
      <c r="Q486" s="768">
        <f ca="1">IF(F486&lt;&gt;0,+F486/'A-8'!D$77,0)</f>
        <v>0</v>
      </c>
      <c r="R486" s="768">
        <f ca="1">IF(G486&lt;&gt;0,+G486/'A-8'!E$77,0)</f>
        <v>0</v>
      </c>
      <c r="S486" s="768">
        <f ca="1">IF(H486&lt;&gt;0,+H486/'A-8'!F$77,0)</f>
        <v>0</v>
      </c>
      <c r="T486" s="768">
        <f ca="1">IF(I486&lt;&gt;0,+I486/'A-8'!G$77,0)</f>
        <v>0</v>
      </c>
      <c r="U486" s="768">
        <f ca="1">IF(J486&lt;&gt;0,+J486/'A-8'!H$77,0)</f>
        <v>0</v>
      </c>
      <c r="V486" s="768">
        <f ca="1">IF(K486&lt;&gt;0,+K486/'A-8'!I$77,0)</f>
        <v>0</v>
      </c>
    </row>
    <row r="487" spans="1:22">
      <c r="A487" s="5"/>
      <c r="B487" s="249"/>
      <c r="C487" s="425" t="str">
        <v>Total Output Growth</v>
      </c>
      <c r="D487" s="426" t="str">
        <v>Materials</v>
      </c>
      <c r="E487" s="847">
        <f ca="1"/>
        <v>0</v>
      </c>
      <c r="F487" s="386">
        <f ca="1"/>
        <v>0</v>
      </c>
      <c r="G487" s="383">
        <f ca="1"/>
        <v>0</v>
      </c>
      <c r="H487" s="383">
        <f ca="1"/>
        <v>0</v>
      </c>
      <c r="I487" s="383">
        <f ca="1"/>
        <v>0</v>
      </c>
      <c r="J487" s="383">
        <f ca="1"/>
        <v>0</v>
      </c>
      <c r="K487" s="383">
        <f ca="1"/>
        <v>0</v>
      </c>
      <c r="L487" s="790"/>
      <c r="M487" s="790"/>
      <c r="N487" s="790"/>
      <c r="O487" s="790"/>
      <c r="P487" s="386"/>
      <c r="Q487" s="768">
        <f ca="1">IF(F487&lt;&gt;0,+F487/'A-8'!D$78,0)</f>
        <v>0</v>
      </c>
      <c r="R487" s="768">
        <f ca="1">IF(G487&lt;&gt;0,+G487/'A-8'!E$78,0)</f>
        <v>0</v>
      </c>
      <c r="S487" s="768">
        <f ca="1">IF(H487&lt;&gt;0,+H487/'A-8'!F$78,0)</f>
        <v>0</v>
      </c>
      <c r="T487" s="768">
        <f ca="1">IF(I487&lt;&gt;0,+I487/'A-8'!G$78,0)</f>
        <v>0</v>
      </c>
      <c r="U487" s="768">
        <f ca="1">IF(J487&lt;&gt;0,+J487/'A-8'!H$78,0)</f>
        <v>0</v>
      </c>
      <c r="V487" s="768">
        <f ca="1">IF(K487&lt;&gt;0,+K487/'A-8'!I$78,0)</f>
        <v>0</v>
      </c>
    </row>
    <row r="488" spans="1:22">
      <c r="A488" s="5"/>
      <c r="B488" s="249"/>
      <c r="C488" s="425" t="str">
        <v>Total Output Growth</v>
      </c>
      <c r="D488" s="426" t="str">
        <v>Contracts</v>
      </c>
      <c r="E488" s="847">
        <f ca="1"/>
        <v>0</v>
      </c>
      <c r="F488" s="386">
        <f ca="1"/>
        <v>0</v>
      </c>
      <c r="G488" s="383">
        <f ca="1"/>
        <v>0</v>
      </c>
      <c r="H488" s="383">
        <f ca="1"/>
        <v>0</v>
      </c>
      <c r="I488" s="383">
        <f ca="1"/>
        <v>0</v>
      </c>
      <c r="J488" s="383">
        <f ca="1"/>
        <v>0</v>
      </c>
      <c r="K488" s="383">
        <f ca="1"/>
        <v>0</v>
      </c>
      <c r="L488" s="790"/>
      <c r="M488" s="790"/>
      <c r="N488" s="790"/>
      <c r="O488" s="790"/>
      <c r="P488" s="386"/>
      <c r="Q488" s="768">
        <f ca="1">IF(F488&lt;&gt;0,+F488/'A-8'!D$79,0)</f>
        <v>0</v>
      </c>
      <c r="R488" s="768">
        <f ca="1">IF(G488&lt;&gt;0,+G488/'A-8'!E$79,0)</f>
        <v>0</v>
      </c>
      <c r="S488" s="768">
        <f ca="1">IF(H488&lt;&gt;0,+H488/'A-8'!F$79,0)</f>
        <v>0</v>
      </c>
      <c r="T488" s="768">
        <f ca="1">IF(I488&lt;&gt;0,+I488/'A-8'!G$79,0)</f>
        <v>0</v>
      </c>
      <c r="U488" s="768">
        <f ca="1">IF(J488&lt;&gt;0,+J488/'A-8'!H$79,0)</f>
        <v>0</v>
      </c>
      <c r="V488" s="768">
        <f ca="1">IF(K488&lt;&gt;0,+K488/'A-8'!I$79,0)</f>
        <v>0</v>
      </c>
    </row>
    <row r="489" spans="1:22" s="790" customFormat="1">
      <c r="A489" s="5"/>
      <c r="B489" s="249"/>
      <c r="C489" s="425" t="str">
        <v>Total Output Growth</v>
      </c>
      <c r="D489" s="426" t="str">
        <v>Services Other</v>
      </c>
      <c r="E489" s="847">
        <f ca="1"/>
        <v>0</v>
      </c>
      <c r="F489" s="386">
        <f ca="1"/>
        <v>0</v>
      </c>
      <c r="G489" s="383">
        <f ca="1"/>
        <v>3.6816555235885872E-3</v>
      </c>
      <c r="H489" s="383">
        <f ca="1"/>
        <v>7.0930253078932779E-3</v>
      </c>
      <c r="I489" s="383">
        <f ca="1"/>
        <v>1.0465126459045864E-2</v>
      </c>
      <c r="J489" s="383">
        <f ca="1"/>
        <v>1.4123585376007507E-2</v>
      </c>
      <c r="K489" s="383">
        <f ca="1"/>
        <v>1.7474761123968063E-2</v>
      </c>
      <c r="P489" s="386"/>
      <c r="Q489" s="768">
        <f ca="1">IF(F489&lt;&gt;0,+F489/'A-8'!D$80,0)</f>
        <v>0</v>
      </c>
      <c r="R489" s="768">
        <f ca="1">IF(G489&lt;&gt;0,+G489/'A-8'!E$80,0)</f>
        <v>0.34700000000000003</v>
      </c>
      <c r="S489" s="768">
        <f ca="1">IF(H489&lt;&gt;0,+H489/'A-8'!F$80,0)</f>
        <v>0.34700000000000003</v>
      </c>
      <c r="T489" s="768">
        <f ca="1">IF(I489&lt;&gt;0,+I489/'A-8'!G$80,0)</f>
        <v>0.34700000000000003</v>
      </c>
      <c r="U489" s="768">
        <f ca="1">IF(J489&lt;&gt;0,+J489/'A-8'!H$80,0)</f>
        <v>0.34700000000000003</v>
      </c>
      <c r="V489" s="768">
        <f ca="1">IF(K489&lt;&gt;0,+K489/'A-8'!I$80,0)</f>
        <v>0.34700000000000003</v>
      </c>
    </row>
    <row r="490" spans="1:22" s="790" customFormat="1">
      <c r="A490" s="5"/>
      <c r="B490" s="249"/>
      <c r="C490" s="425" t="str">
        <v>Total Output Growth</v>
      </c>
      <c r="D490" s="426" t="str">
        <v>Business Overheads</v>
      </c>
      <c r="E490" s="847">
        <f ca="1"/>
        <v>0</v>
      </c>
      <c r="F490" s="386">
        <f ca="1"/>
        <v>0</v>
      </c>
      <c r="G490" s="383">
        <f ca="1"/>
        <v>0</v>
      </c>
      <c r="H490" s="383">
        <f ca="1"/>
        <v>0</v>
      </c>
      <c r="I490" s="383">
        <f ca="1"/>
        <v>0</v>
      </c>
      <c r="J490" s="383">
        <f ca="1"/>
        <v>0</v>
      </c>
      <c r="K490" s="383">
        <f ca="1"/>
        <v>0</v>
      </c>
      <c r="P490" s="386"/>
      <c r="Q490" s="768">
        <f ca="1">IF(F490&lt;&gt;0,+F490/'A-8'!D$81,0)</f>
        <v>0</v>
      </c>
      <c r="R490" s="768">
        <f ca="1">IF(G490&lt;&gt;0,+G490/'A-8'!E$81,0)</f>
        <v>0</v>
      </c>
      <c r="S490" s="768">
        <f ca="1">IF(H490&lt;&gt;0,+H490/'A-8'!F$81,0)</f>
        <v>0</v>
      </c>
      <c r="T490" s="768">
        <f ca="1">IF(I490&lt;&gt;0,+I490/'A-8'!G$81,0)</f>
        <v>0</v>
      </c>
      <c r="U490" s="768">
        <f ca="1">IF(J490&lt;&gt;0,+J490/'A-8'!H$81,0)</f>
        <v>0</v>
      </c>
      <c r="V490" s="768">
        <f ca="1">IF(K490&lt;&gt;0,+K490/'A-8'!I$81,0)</f>
        <v>0</v>
      </c>
    </row>
    <row r="491" spans="1:22" s="790" customFormat="1">
      <c r="A491" s="5"/>
      <c r="B491" s="249"/>
      <c r="C491" s="425" t="str">
        <v>Total Output Growth</v>
      </c>
      <c r="D491" s="426" t="str">
        <v>Other</v>
      </c>
      <c r="E491" s="847">
        <f ca="1"/>
        <v>0</v>
      </c>
      <c r="F491" s="386">
        <f ca="1"/>
        <v>0</v>
      </c>
      <c r="G491" s="383">
        <f ca="1"/>
        <v>0</v>
      </c>
      <c r="H491" s="383">
        <f ca="1"/>
        <v>0</v>
      </c>
      <c r="I491" s="383">
        <f ca="1"/>
        <v>0</v>
      </c>
      <c r="J491" s="383">
        <f ca="1"/>
        <v>0</v>
      </c>
      <c r="K491" s="383">
        <f ca="1"/>
        <v>0</v>
      </c>
      <c r="P491" s="386"/>
      <c r="Q491" s="768">
        <f ca="1">IF(F491&lt;&gt;0,+F491/'A-8'!D$82,0)</f>
        <v>0</v>
      </c>
      <c r="R491" s="768">
        <f ca="1">IF(G491&lt;&gt;0,+G491/'A-8'!E$82,0)</f>
        <v>0</v>
      </c>
      <c r="S491" s="768">
        <f ca="1">IF(H491&lt;&gt;0,+H491/'A-8'!F$82,0)</f>
        <v>0</v>
      </c>
      <c r="T491" s="768">
        <f ca="1">IF(I491&lt;&gt;0,+I491/'A-8'!G$82,0)</f>
        <v>0</v>
      </c>
      <c r="U491" s="768">
        <f ca="1">IF(J491&lt;&gt;0,+J491/'A-8'!H$82,0)</f>
        <v>0</v>
      </c>
      <c r="V491" s="768">
        <f ca="1">IF(K491&lt;&gt;0,+K491/'A-8'!I$82,0)</f>
        <v>0</v>
      </c>
    </row>
    <row r="492" spans="1:22">
      <c r="A492" s="5"/>
      <c r="B492" s="249"/>
      <c r="C492" s="424" t="s">
        <v>73</v>
      </c>
      <c r="D492" s="417"/>
      <c r="E492" s="848"/>
      <c r="F492" s="387"/>
      <c r="G492" s="385"/>
      <c r="H492" s="385"/>
      <c r="I492" s="385"/>
      <c r="J492" s="385"/>
      <c r="K492" s="385"/>
      <c r="P492" s="387"/>
      <c r="Q492" s="385"/>
      <c r="R492" s="385"/>
      <c r="S492" s="385"/>
      <c r="T492" s="385"/>
      <c r="U492" s="385"/>
      <c r="V492" s="385"/>
    </row>
    <row r="493" spans="1:22" s="767" customFormat="1">
      <c r="A493" s="5"/>
      <c r="B493" s="249"/>
      <c r="C493" s="425" t="str">
        <f t="array" ref="C493:D498">+'A-8'!$A$113:$B$119</f>
        <v>Labour</v>
      </c>
      <c r="D493" s="426" t="str">
        <v>Labour</v>
      </c>
      <c r="E493" s="847">
        <f t="array" ref="E493:K498" ca="1">+'A-8'!$N$113:$T$119</f>
        <v>0</v>
      </c>
      <c r="F493" s="386">
        <f ca="1"/>
        <v>0</v>
      </c>
      <c r="G493" s="383">
        <f ca="1"/>
        <v>0</v>
      </c>
      <c r="H493" s="383">
        <f ca="1"/>
        <v>0</v>
      </c>
      <c r="I493" s="383">
        <f ca="1"/>
        <v>0</v>
      </c>
      <c r="J493" s="383">
        <f ca="1"/>
        <v>0</v>
      </c>
      <c r="K493" s="383">
        <f ca="1"/>
        <v>0</v>
      </c>
      <c r="P493" s="386"/>
      <c r="Q493" s="768">
        <f ca="1">IF(F493&lt;&gt;0,+F493/'A-8'!D$113,0)</f>
        <v>0</v>
      </c>
      <c r="R493" s="768">
        <f ca="1">IF(G493&lt;&gt;0,+G493/'A-8'!E$113,0)</f>
        <v>0</v>
      </c>
      <c r="S493" s="768">
        <f ca="1">IF(H493&lt;&gt;0,+H493/'A-8'!F$113,0)</f>
        <v>0</v>
      </c>
      <c r="T493" s="768">
        <f ca="1">IF(I493&lt;&gt;0,+I493/'A-8'!G$113,0)</f>
        <v>0</v>
      </c>
      <c r="U493" s="768">
        <f ca="1">IF(J493&lt;&gt;0,+J493/'A-8'!H$113,0)</f>
        <v>0</v>
      </c>
      <c r="V493" s="768">
        <f ca="1">IF(K493&lt;&gt;0,+K493/'A-8'!I$113,0)</f>
        <v>0</v>
      </c>
    </row>
    <row r="494" spans="1:22" s="767" customFormat="1">
      <c r="A494" s="5"/>
      <c r="B494" s="249"/>
      <c r="C494" s="425" t="str">
        <v>Materials</v>
      </c>
      <c r="D494" s="426" t="str">
        <v>Materials</v>
      </c>
      <c r="E494" s="847">
        <f ca="1"/>
        <v>0</v>
      </c>
      <c r="F494" s="386">
        <f ca="1"/>
        <v>0</v>
      </c>
      <c r="G494" s="383">
        <f ca="1"/>
        <v>0</v>
      </c>
      <c r="H494" s="383">
        <f ca="1"/>
        <v>0</v>
      </c>
      <c r="I494" s="383">
        <f ca="1"/>
        <v>0</v>
      </c>
      <c r="J494" s="383">
        <f ca="1"/>
        <v>0</v>
      </c>
      <c r="K494" s="383">
        <f ca="1"/>
        <v>0</v>
      </c>
      <c r="P494" s="386"/>
      <c r="Q494" s="768">
        <f ca="1">IF(F494&lt;&gt;0,+F494/'A-8'!D$114,0)</f>
        <v>0</v>
      </c>
      <c r="R494" s="768">
        <f ca="1">IF(G494&lt;&gt;0,+G494/'A-8'!E$114,0)</f>
        <v>0</v>
      </c>
      <c r="S494" s="768">
        <f ca="1">IF(H494&lt;&gt;0,+H494/'A-8'!F$114,0)</f>
        <v>0</v>
      </c>
      <c r="T494" s="768">
        <f ca="1">IF(I494&lt;&gt;0,+I494/'A-8'!G$114,0)</f>
        <v>0</v>
      </c>
      <c r="U494" s="768">
        <f ca="1">IF(J494&lt;&gt;0,+J494/'A-8'!H$114,0)</f>
        <v>0</v>
      </c>
      <c r="V494" s="768">
        <f ca="1">IF(K494&lt;&gt;0,+K494/'A-8'!I$114,0)</f>
        <v>0</v>
      </c>
    </row>
    <row r="495" spans="1:22" s="767" customFormat="1">
      <c r="A495" s="5"/>
      <c r="B495" s="249"/>
      <c r="C495" s="425" t="str">
        <v>Services-construction</v>
      </c>
      <c r="D495" s="426" t="str">
        <v>Contracts</v>
      </c>
      <c r="E495" s="847">
        <f ca="1"/>
        <v>0</v>
      </c>
      <c r="F495" s="386">
        <f ca="1"/>
        <v>0</v>
      </c>
      <c r="G495" s="383">
        <f ca="1"/>
        <v>0</v>
      </c>
      <c r="H495" s="383">
        <f ca="1"/>
        <v>0</v>
      </c>
      <c r="I495" s="383">
        <f ca="1"/>
        <v>0</v>
      </c>
      <c r="J495" s="383">
        <f ca="1"/>
        <v>0</v>
      </c>
      <c r="K495" s="383">
        <f ca="1"/>
        <v>0</v>
      </c>
      <c r="P495" s="386"/>
      <c r="Q495" s="768">
        <f ca="1">IF(F495&lt;&gt;0,+F495/'A-8'!D$115,0)</f>
        <v>0</v>
      </c>
      <c r="R495" s="768">
        <f ca="1">IF(G495&lt;&gt;0,+G495/'A-8'!E$115,0)</f>
        <v>0</v>
      </c>
      <c r="S495" s="768">
        <f ca="1">IF(H495&lt;&gt;0,+H495/'A-8'!F$115,0)</f>
        <v>0</v>
      </c>
      <c r="T495" s="768">
        <f ca="1">IF(I495&lt;&gt;0,+I495/'A-8'!G$115,0)</f>
        <v>0</v>
      </c>
      <c r="U495" s="768">
        <f ca="1">IF(J495&lt;&gt;0,+J495/'A-8'!H$115,0)</f>
        <v>0</v>
      </c>
      <c r="V495" s="768">
        <f ca="1">IF(K495&lt;&gt;0,+K495/'A-8'!I$115,0)</f>
        <v>0</v>
      </c>
    </row>
    <row r="496" spans="1:22" s="767" customFormat="1">
      <c r="A496" s="5"/>
      <c r="B496" s="249"/>
      <c r="C496" s="425" t="str">
        <v>Services-general</v>
      </c>
      <c r="D496" s="426" t="str">
        <v>Services Other</v>
      </c>
      <c r="E496" s="847">
        <f ca="1"/>
        <v>0</v>
      </c>
      <c r="F496" s="386">
        <f ca="1"/>
        <v>0</v>
      </c>
      <c r="G496" s="383">
        <f ca="1"/>
        <v>1.7534082776179056E-3</v>
      </c>
      <c r="H496" s="383">
        <f ca="1"/>
        <v>3.5497825787115344E-3</v>
      </c>
      <c r="I496" s="383">
        <f ca="1"/>
        <v>6.8330263219179418E-3</v>
      </c>
      <c r="J496" s="383">
        <f ca="1"/>
        <v>1.0767237298883339E-2</v>
      </c>
      <c r="K496" s="383">
        <f ca="1"/>
        <v>1.5558929697455646E-2</v>
      </c>
      <c r="P496" s="386"/>
      <c r="Q496" s="768">
        <f ca="1">IF(F496&lt;&gt;0,+F496/'A-8'!D$116,0)</f>
        <v>0</v>
      </c>
      <c r="R496" s="768">
        <f ca="1">IF(G496&lt;&gt;0,+G496/'A-8'!E$116,0)</f>
        <v>0.3506816555235886</v>
      </c>
      <c r="S496" s="768">
        <f ca="1">IF(H496&lt;&gt;0,+H496/'A-8'!F$116,0)</f>
        <v>0.35409302530789333</v>
      </c>
      <c r="T496" s="768">
        <f ca="1">IF(I496&lt;&gt;0,+I496/'A-8'!G$116,0)</f>
        <v>0.35746512645904588</v>
      </c>
      <c r="U496" s="768">
        <f ca="1">IF(J496&lt;&gt;0,+J496/'A-8'!H$116,0)</f>
        <v>0.36112358537600753</v>
      </c>
      <c r="V496" s="768">
        <f ca="1">IF(K496&lt;&gt;0,+K496/'A-8'!I$116,0)</f>
        <v>0.36447476112396809</v>
      </c>
    </row>
    <row r="497" spans="1:22" s="767" customFormat="1">
      <c r="A497" s="5"/>
      <c r="B497" s="249"/>
      <c r="C497" s="425" t="str">
        <v>Labour</v>
      </c>
      <c r="D497" s="426" t="str">
        <v>Business Overheads</v>
      </c>
      <c r="E497" s="847">
        <f ca="1"/>
        <v>0</v>
      </c>
      <c r="F497" s="386">
        <f ca="1"/>
        <v>0</v>
      </c>
      <c r="G497" s="383">
        <f ca="1"/>
        <v>0</v>
      </c>
      <c r="H497" s="383">
        <f ca="1"/>
        <v>0</v>
      </c>
      <c r="I497" s="383">
        <f ca="1"/>
        <v>0</v>
      </c>
      <c r="J497" s="383">
        <f ca="1"/>
        <v>0</v>
      </c>
      <c r="K497" s="383">
        <f ca="1"/>
        <v>0</v>
      </c>
      <c r="P497" s="386"/>
      <c r="Q497" s="768">
        <f ca="1">IF(F497&lt;&gt;0,+F497/'A-8'!D$117,0)</f>
        <v>0</v>
      </c>
      <c r="R497" s="768">
        <f ca="1">IF(G497&lt;&gt;0,+G497/'A-8'!E$117,0)</f>
        <v>0</v>
      </c>
      <c r="S497" s="768">
        <f ca="1">IF(H497&lt;&gt;0,+H497/'A-8'!F$117,0)</f>
        <v>0</v>
      </c>
      <c r="T497" s="768">
        <f ca="1">IF(I497&lt;&gt;0,+I497/'A-8'!G$117,0)</f>
        <v>0</v>
      </c>
      <c r="U497" s="768">
        <f ca="1">IF(J497&lt;&gt;0,+J497/'A-8'!H$117,0)</f>
        <v>0</v>
      </c>
      <c r="V497" s="768">
        <f ca="1">IF(K497&lt;&gt;0,+K497/'A-8'!I$117,0)</f>
        <v>0</v>
      </c>
    </row>
    <row r="498" spans="1:22" s="767" customFormat="1">
      <c r="A498" s="5"/>
      <c r="B498" s="249"/>
      <c r="C498" s="425" t="str">
        <v>Materials - Land</v>
      </c>
      <c r="D498" s="426" t="str">
        <v>Other</v>
      </c>
      <c r="E498" s="847">
        <f ca="1"/>
        <v>0</v>
      </c>
      <c r="F498" s="386">
        <f ca="1"/>
        <v>0</v>
      </c>
      <c r="G498" s="383">
        <f ca="1"/>
        <v>0</v>
      </c>
      <c r="H498" s="383">
        <f ca="1"/>
        <v>0</v>
      </c>
      <c r="I498" s="383">
        <f ca="1"/>
        <v>0</v>
      </c>
      <c r="J498" s="383">
        <f ca="1"/>
        <v>0</v>
      </c>
      <c r="K498" s="383">
        <f ca="1"/>
        <v>0</v>
      </c>
      <c r="P498" s="386"/>
      <c r="Q498" s="768">
        <f ca="1">IF(F498&lt;&gt;0,+F498/'A-8'!D$118,0)</f>
        <v>0</v>
      </c>
      <c r="R498" s="768">
        <f ca="1">IF(G498&lt;&gt;0,+G498/'A-8'!E$118,0)</f>
        <v>0</v>
      </c>
      <c r="S498" s="768">
        <f ca="1">IF(H498&lt;&gt;0,+H498/'A-8'!F$118,0)</f>
        <v>0</v>
      </c>
      <c r="T498" s="768">
        <f ca="1">IF(I498&lt;&gt;0,+I498/'A-8'!G$118,0)</f>
        <v>0</v>
      </c>
      <c r="U498" s="768">
        <f ca="1">IF(J498&lt;&gt;0,+J498/'A-8'!H$118,0)</f>
        <v>0</v>
      </c>
      <c r="V498" s="768">
        <f ca="1">IF(K498&lt;&gt;0,+K498/'A-8'!I$118,0)</f>
        <v>0</v>
      </c>
    </row>
    <row r="499" spans="1:22">
      <c r="A499" s="5"/>
      <c r="B499" s="249" t="str">
        <f ca="1">+'I-4 History'!B300</f>
        <v>A-9</v>
      </c>
      <c r="C499" s="14" t="str">
        <f ca="1">+'I-4 History'!C300</f>
        <v>Taxation – Specific Allocation</v>
      </c>
      <c r="D499" s="418"/>
      <c r="E499" s="507"/>
      <c r="F499" s="11"/>
      <c r="G499" s="11"/>
      <c r="H499" s="11"/>
      <c r="I499" s="11"/>
      <c r="J499" s="11"/>
      <c r="K499" s="11"/>
      <c r="P499" s="11"/>
      <c r="Q499" s="11"/>
      <c r="R499" s="11"/>
      <c r="S499" s="11"/>
      <c r="T499" s="11"/>
      <c r="U499" s="11"/>
      <c r="V499" s="11"/>
    </row>
    <row r="500" spans="1:22">
      <c r="A500" s="5"/>
      <c r="B500" s="249"/>
      <c r="C500" s="424" t="s">
        <v>74</v>
      </c>
      <c r="D500" s="416"/>
      <c r="E500" s="507"/>
      <c r="F500" s="11"/>
      <c r="G500" s="11"/>
      <c r="H500" s="11"/>
      <c r="I500" s="11"/>
      <c r="J500" s="11"/>
      <c r="K500" s="11"/>
      <c r="P500" s="11"/>
      <c r="Q500" s="11"/>
      <c r="R500" s="11"/>
      <c r="S500" s="11"/>
      <c r="T500" s="11"/>
      <c r="U500" s="11"/>
      <c r="V500" s="11"/>
    </row>
    <row r="501" spans="1:22">
      <c r="A501" s="5"/>
      <c r="B501" s="249"/>
      <c r="C501" s="425" t="str">
        <f t="array" ref="C501:D506">+'A-9'!$A$77:$B$82</f>
        <v>Total Output Growth</v>
      </c>
      <c r="D501" s="426" t="str">
        <v>Labour</v>
      </c>
      <c r="E501" s="847">
        <f t="array" ref="E501:K506" ca="1">+'A-9'!$N$77:$T$82</f>
        <v>0</v>
      </c>
      <c r="F501" s="386">
        <f ca="1"/>
        <v>0</v>
      </c>
      <c r="G501" s="383">
        <f ca="1"/>
        <v>3.2572571923391823E-3</v>
      </c>
      <c r="H501" s="383">
        <f ca="1"/>
        <v>6.2753855029488072E-3</v>
      </c>
      <c r="I501" s="383">
        <f ca="1"/>
        <v>9.2587718239973468E-3</v>
      </c>
      <c r="J501" s="383">
        <f ca="1"/>
        <v>1.2495506370127678E-2</v>
      </c>
      <c r="K501" s="383">
        <f ca="1"/>
        <v>1.5460379438208055E-2</v>
      </c>
      <c r="L501" s="790"/>
      <c r="M501" s="790"/>
      <c r="N501" s="790"/>
      <c r="O501" s="790"/>
      <c r="P501" s="386"/>
      <c r="Q501" s="768">
        <f ca="1">IF(F501&lt;&gt;0,+F501/'A-9'!D$77,0)</f>
        <v>0</v>
      </c>
      <c r="R501" s="768">
        <f ca="1">IF(G501&lt;&gt;0,+G501/'A-9'!E$77,0)</f>
        <v>0.307</v>
      </c>
      <c r="S501" s="768">
        <f ca="1">IF(H501&lt;&gt;0,+H501/'A-9'!F$77,0)</f>
        <v>0.307</v>
      </c>
      <c r="T501" s="768">
        <f ca="1">IF(I501&lt;&gt;0,+I501/'A-9'!G$77,0)</f>
        <v>0.30699999999999994</v>
      </c>
      <c r="U501" s="768">
        <f ca="1">IF(J501&lt;&gt;0,+J501/'A-9'!H$77,0)</f>
        <v>0.307</v>
      </c>
      <c r="V501" s="768">
        <f ca="1">IF(K501&lt;&gt;0,+K501/'A-9'!I$77,0)</f>
        <v>0.307</v>
      </c>
    </row>
    <row r="502" spans="1:22">
      <c r="A502" s="5"/>
      <c r="B502" s="249"/>
      <c r="C502" s="425" t="str">
        <v>Total Output Growth</v>
      </c>
      <c r="D502" s="426" t="str">
        <v>Materials</v>
      </c>
      <c r="E502" s="847">
        <f ca="1"/>
        <v>0</v>
      </c>
      <c r="F502" s="386">
        <f ca="1"/>
        <v>0</v>
      </c>
      <c r="G502" s="383">
        <f ca="1"/>
        <v>0</v>
      </c>
      <c r="H502" s="383">
        <f ca="1"/>
        <v>0</v>
      </c>
      <c r="I502" s="383">
        <f ca="1"/>
        <v>0</v>
      </c>
      <c r="J502" s="383">
        <f ca="1"/>
        <v>0</v>
      </c>
      <c r="K502" s="383">
        <f ca="1"/>
        <v>0</v>
      </c>
      <c r="L502" s="790"/>
      <c r="M502" s="790"/>
      <c r="N502" s="790"/>
      <c r="O502" s="790"/>
      <c r="P502" s="386"/>
      <c r="Q502" s="768">
        <f ca="1">IF(F502&lt;&gt;0,+F502/'A-9'!D$78,0)</f>
        <v>0</v>
      </c>
      <c r="R502" s="768">
        <f ca="1">IF(G502&lt;&gt;0,+G502/'A-9'!E$78,0)</f>
        <v>0</v>
      </c>
      <c r="S502" s="768">
        <f ca="1">IF(H502&lt;&gt;0,+H502/'A-9'!F$78,0)</f>
        <v>0</v>
      </c>
      <c r="T502" s="768">
        <f ca="1">IF(I502&lt;&gt;0,+I502/'A-9'!G$78,0)</f>
        <v>0</v>
      </c>
      <c r="U502" s="768">
        <f ca="1">IF(J502&lt;&gt;0,+J502/'A-9'!H$78,0)</f>
        <v>0</v>
      </c>
      <c r="V502" s="768">
        <f ca="1">IF(K502&lt;&gt;0,+K502/'A-9'!I$78,0)</f>
        <v>0</v>
      </c>
    </row>
    <row r="503" spans="1:22">
      <c r="A503" s="5"/>
      <c r="B503" s="249"/>
      <c r="C503" s="425" t="str">
        <v>Total Output Growth</v>
      </c>
      <c r="D503" s="426" t="str">
        <v>Contracts</v>
      </c>
      <c r="E503" s="847">
        <f ca="1"/>
        <v>0</v>
      </c>
      <c r="F503" s="386">
        <f ca="1"/>
        <v>0</v>
      </c>
      <c r="G503" s="383">
        <f ca="1"/>
        <v>0</v>
      </c>
      <c r="H503" s="383">
        <f ca="1"/>
        <v>0</v>
      </c>
      <c r="I503" s="383">
        <f ca="1"/>
        <v>0</v>
      </c>
      <c r="J503" s="383">
        <f ca="1"/>
        <v>0</v>
      </c>
      <c r="K503" s="383">
        <f ca="1"/>
        <v>0</v>
      </c>
      <c r="L503" s="790"/>
      <c r="M503" s="790"/>
      <c r="N503" s="790"/>
      <c r="O503" s="790"/>
      <c r="P503" s="386"/>
      <c r="Q503" s="768">
        <f ca="1">IF(F503&lt;&gt;0,+F503/'A-9'!D$79,0)</f>
        <v>0</v>
      </c>
      <c r="R503" s="768">
        <f ca="1">IF(G503&lt;&gt;0,+G503/'A-9'!E$79,0)</f>
        <v>0</v>
      </c>
      <c r="S503" s="768">
        <f ca="1">IF(H503&lt;&gt;0,+H503/'A-9'!F$79,0)</f>
        <v>0</v>
      </c>
      <c r="T503" s="768">
        <f ca="1">IF(I503&lt;&gt;0,+I503/'A-9'!G$79,0)</f>
        <v>0</v>
      </c>
      <c r="U503" s="768">
        <f ca="1">IF(J503&lt;&gt;0,+J503/'A-9'!H$79,0)</f>
        <v>0</v>
      </c>
      <c r="V503" s="768">
        <f ca="1">IF(K503&lt;&gt;0,+K503/'A-9'!I$79,0)</f>
        <v>0</v>
      </c>
    </row>
    <row r="504" spans="1:22" s="790" customFormat="1">
      <c r="A504" s="5"/>
      <c r="B504" s="249"/>
      <c r="C504" s="425" t="str">
        <v>Total Output Growth</v>
      </c>
      <c r="D504" s="426" t="str">
        <v>Services Other</v>
      </c>
      <c r="E504" s="847">
        <f ca="1"/>
        <v>0</v>
      </c>
      <c r="F504" s="386">
        <f ca="1"/>
        <v>0</v>
      </c>
      <c r="G504" s="383">
        <f ca="1"/>
        <v>0</v>
      </c>
      <c r="H504" s="383">
        <f ca="1"/>
        <v>0</v>
      </c>
      <c r="I504" s="383">
        <f ca="1"/>
        <v>0</v>
      </c>
      <c r="J504" s="383">
        <f ca="1"/>
        <v>0</v>
      </c>
      <c r="K504" s="383">
        <f ca="1"/>
        <v>0</v>
      </c>
      <c r="P504" s="386"/>
      <c r="Q504" s="768">
        <f ca="1">IF(F504&lt;&gt;0,+F504/'A-9'!D$80,0)</f>
        <v>0</v>
      </c>
      <c r="R504" s="768">
        <f ca="1">IF(G504&lt;&gt;0,+G504/'A-9'!E$80,0)</f>
        <v>0</v>
      </c>
      <c r="S504" s="768">
        <f ca="1">IF(H504&lt;&gt;0,+H504/'A-9'!F$80,0)</f>
        <v>0</v>
      </c>
      <c r="T504" s="768">
        <f ca="1">IF(I504&lt;&gt;0,+I504/'A-9'!G$80,0)</f>
        <v>0</v>
      </c>
      <c r="U504" s="768">
        <f ca="1">IF(J504&lt;&gt;0,+J504/'A-9'!H$80,0)</f>
        <v>0</v>
      </c>
      <c r="V504" s="768">
        <f ca="1">IF(K504&lt;&gt;0,+K504/'A-9'!I$80,0)</f>
        <v>0</v>
      </c>
    </row>
    <row r="505" spans="1:22" s="790" customFormat="1">
      <c r="A505" s="5"/>
      <c r="B505" s="249"/>
      <c r="C505" s="425" t="str">
        <v>Total Output Growth</v>
      </c>
      <c r="D505" s="426" t="str">
        <v>Business Overheads</v>
      </c>
      <c r="E505" s="847">
        <f ca="1"/>
        <v>0</v>
      </c>
      <c r="F505" s="386">
        <f ca="1"/>
        <v>0</v>
      </c>
      <c r="G505" s="383">
        <f ca="1"/>
        <v>0</v>
      </c>
      <c r="H505" s="383">
        <f ca="1"/>
        <v>0</v>
      </c>
      <c r="I505" s="383">
        <f ca="1"/>
        <v>0</v>
      </c>
      <c r="J505" s="383">
        <f ca="1"/>
        <v>0</v>
      </c>
      <c r="K505" s="383">
        <f ca="1"/>
        <v>0</v>
      </c>
      <c r="P505" s="386"/>
      <c r="Q505" s="768">
        <f ca="1">IF(F505&lt;&gt;0,+F505/'A-9'!D$81,0)</f>
        <v>0</v>
      </c>
      <c r="R505" s="768">
        <f ca="1">IF(G505&lt;&gt;0,+G505/'A-9'!E$81,0)</f>
        <v>0</v>
      </c>
      <c r="S505" s="768">
        <f ca="1">IF(H505&lt;&gt;0,+H505/'A-9'!F$81,0)</f>
        <v>0</v>
      </c>
      <c r="T505" s="768">
        <f ca="1">IF(I505&lt;&gt;0,+I505/'A-9'!G$81,0)</f>
        <v>0</v>
      </c>
      <c r="U505" s="768">
        <f ca="1">IF(J505&lt;&gt;0,+J505/'A-9'!H$81,0)</f>
        <v>0</v>
      </c>
      <c r="V505" s="768">
        <f ca="1">IF(K505&lt;&gt;0,+K505/'A-9'!I$81,0)</f>
        <v>0</v>
      </c>
    </row>
    <row r="506" spans="1:22" s="790" customFormat="1">
      <c r="A506" s="5"/>
      <c r="B506" s="249"/>
      <c r="C506" s="425" t="str">
        <v>Total Output Growth</v>
      </c>
      <c r="D506" s="426" t="str">
        <v>Other</v>
      </c>
      <c r="E506" s="847">
        <f ca="1"/>
        <v>0</v>
      </c>
      <c r="F506" s="386">
        <f ca="1"/>
        <v>0</v>
      </c>
      <c r="G506" s="383">
        <f ca="1"/>
        <v>0</v>
      </c>
      <c r="H506" s="383">
        <f ca="1"/>
        <v>0</v>
      </c>
      <c r="I506" s="383">
        <f ca="1"/>
        <v>0</v>
      </c>
      <c r="J506" s="383">
        <f ca="1"/>
        <v>0</v>
      </c>
      <c r="K506" s="383">
        <f ca="1"/>
        <v>0</v>
      </c>
      <c r="P506" s="386"/>
      <c r="Q506" s="768">
        <f ca="1">IF(F506&lt;&gt;0,+F506/'A-9'!D$82,0)</f>
        <v>0</v>
      </c>
      <c r="R506" s="768">
        <f ca="1">IF(G506&lt;&gt;0,+G506/'A-9'!E$82,0)</f>
        <v>0</v>
      </c>
      <c r="S506" s="768">
        <f ca="1">IF(H506&lt;&gt;0,+H506/'A-9'!F$82,0)</f>
        <v>0</v>
      </c>
      <c r="T506" s="768">
        <f ca="1">IF(I506&lt;&gt;0,+I506/'A-9'!G$82,0)</f>
        <v>0</v>
      </c>
      <c r="U506" s="768">
        <f ca="1">IF(J506&lt;&gt;0,+J506/'A-9'!H$82,0)</f>
        <v>0</v>
      </c>
      <c r="V506" s="768">
        <f ca="1">IF(K506&lt;&gt;0,+K506/'A-9'!I$82,0)</f>
        <v>0</v>
      </c>
    </row>
    <row r="507" spans="1:22">
      <c r="A507" s="5"/>
      <c r="B507" s="249"/>
      <c r="C507" s="424" t="s">
        <v>73</v>
      </c>
      <c r="D507" s="417"/>
      <c r="E507" s="848"/>
      <c r="F507" s="387"/>
      <c r="G507" s="385"/>
      <c r="H507" s="385"/>
      <c r="I507" s="385"/>
      <c r="J507" s="385"/>
      <c r="K507" s="385"/>
      <c r="P507" s="387"/>
      <c r="Q507" s="385"/>
      <c r="R507" s="385"/>
      <c r="S507" s="385"/>
      <c r="T507" s="385"/>
      <c r="U507" s="385"/>
      <c r="V507" s="385"/>
    </row>
    <row r="508" spans="1:22" s="767" customFormat="1">
      <c r="A508" s="5"/>
      <c r="B508" s="249"/>
      <c r="C508" s="425" t="str">
        <f t="array" ref="C508:D513">+'A-9'!$A$113:$B$119</f>
        <v>Labour</v>
      </c>
      <c r="D508" s="426" t="str">
        <v>Labour</v>
      </c>
      <c r="E508" s="847">
        <f t="array" ref="E508:K513" ca="1">+'A-9'!$N$113:$T$119</f>
        <v>0</v>
      </c>
      <c r="F508" s="386">
        <f ca="1"/>
        <v>0</v>
      </c>
      <c r="G508" s="383">
        <f ca="1"/>
        <v>6.657489645808568E-3</v>
      </c>
      <c r="H508" s="383">
        <f ca="1"/>
        <v>1.3588750946168191E-2</v>
      </c>
      <c r="I508" s="383">
        <f ca="1"/>
        <v>2.1186773103730665E-2</v>
      </c>
      <c r="J508" s="383">
        <f ca="1"/>
        <v>2.911943164884935E-2</v>
      </c>
      <c r="K508" s="383">
        <f ca="1"/>
        <v>3.7353339778431777E-2</v>
      </c>
      <c r="P508" s="386"/>
      <c r="Q508" s="768">
        <f ca="1">IF(F508&lt;&gt;0,+F508/'A-9'!D$113,0)</f>
        <v>0</v>
      </c>
      <c r="R508" s="768">
        <f ca="1">IF(G508&lt;&gt;0,+G508/'A-9'!E$113,0)</f>
        <v>0.31025725719233915</v>
      </c>
      <c r="S508" s="768">
        <f ca="1">IF(H508&lt;&gt;0,+H508/'A-9'!F$113,0)</f>
        <v>0.31327538550294881</v>
      </c>
      <c r="T508" s="768">
        <f ca="1">IF(I508&lt;&gt;0,+I508/'A-9'!G$113,0)</f>
        <v>0.31625877182399736</v>
      </c>
      <c r="U508" s="768">
        <f ca="1">IF(J508&lt;&gt;0,+J508/'A-9'!H$113,0)</f>
        <v>0.31949550637012769</v>
      </c>
      <c r="V508" s="768">
        <f ca="1">IF(K508&lt;&gt;0,+K508/'A-9'!I$113,0)</f>
        <v>0.32246037943820804</v>
      </c>
    </row>
    <row r="509" spans="1:22" s="767" customFormat="1">
      <c r="A509" s="5"/>
      <c r="B509" s="249"/>
      <c r="C509" s="425" t="str">
        <v>Materials</v>
      </c>
      <c r="D509" s="426" t="str">
        <v>Materials</v>
      </c>
      <c r="E509" s="847">
        <f ca="1"/>
        <v>0</v>
      </c>
      <c r="F509" s="386">
        <f ca="1"/>
        <v>0</v>
      </c>
      <c r="G509" s="383">
        <f ca="1"/>
        <v>0</v>
      </c>
      <c r="H509" s="383">
        <f ca="1"/>
        <v>0</v>
      </c>
      <c r="I509" s="383">
        <f ca="1"/>
        <v>0</v>
      </c>
      <c r="J509" s="383">
        <f ca="1"/>
        <v>0</v>
      </c>
      <c r="K509" s="383">
        <f ca="1"/>
        <v>0</v>
      </c>
      <c r="P509" s="386"/>
      <c r="Q509" s="768">
        <f ca="1">IF(F509&lt;&gt;0,+F509/'A-9'!D$114,0)</f>
        <v>0</v>
      </c>
      <c r="R509" s="768">
        <f ca="1">IF(G509&lt;&gt;0,+G509/'A-9'!E$114,0)</f>
        <v>0</v>
      </c>
      <c r="S509" s="768">
        <f ca="1">IF(H509&lt;&gt;0,+H509/'A-9'!F$114,0)</f>
        <v>0</v>
      </c>
      <c r="T509" s="768">
        <f ca="1">IF(I509&lt;&gt;0,+I509/'A-9'!G$114,0)</f>
        <v>0</v>
      </c>
      <c r="U509" s="768">
        <f ca="1">IF(J509&lt;&gt;0,+J509/'A-9'!H$114,0)</f>
        <v>0</v>
      </c>
      <c r="V509" s="768">
        <f ca="1">IF(K509&lt;&gt;0,+K509/'A-9'!I$114,0)</f>
        <v>0</v>
      </c>
    </row>
    <row r="510" spans="1:22" s="767" customFormat="1">
      <c r="A510" s="5"/>
      <c r="B510" s="249"/>
      <c r="C510" s="425" t="str">
        <v>Services-construction</v>
      </c>
      <c r="D510" s="426" t="str">
        <v>Contracts</v>
      </c>
      <c r="E510" s="847">
        <f ca="1"/>
        <v>0</v>
      </c>
      <c r="F510" s="386">
        <f ca="1"/>
        <v>0</v>
      </c>
      <c r="G510" s="383">
        <f ca="1"/>
        <v>0</v>
      </c>
      <c r="H510" s="383">
        <f ca="1"/>
        <v>0</v>
      </c>
      <c r="I510" s="383">
        <f ca="1"/>
        <v>0</v>
      </c>
      <c r="J510" s="383">
        <f ca="1"/>
        <v>0</v>
      </c>
      <c r="K510" s="383">
        <f ca="1"/>
        <v>0</v>
      </c>
      <c r="P510" s="386"/>
      <c r="Q510" s="768">
        <f ca="1">IF(F510&lt;&gt;0,+F510/'A-9'!D$115,0)</f>
        <v>0</v>
      </c>
      <c r="R510" s="768">
        <f ca="1">IF(G510&lt;&gt;0,+G510/'A-9'!E$115,0)</f>
        <v>0</v>
      </c>
      <c r="S510" s="768">
        <f ca="1">IF(H510&lt;&gt;0,+H510/'A-9'!F$115,0)</f>
        <v>0</v>
      </c>
      <c r="T510" s="768">
        <f ca="1">IF(I510&lt;&gt;0,+I510/'A-9'!G$115,0)</f>
        <v>0</v>
      </c>
      <c r="U510" s="768">
        <f ca="1">IF(J510&lt;&gt;0,+J510/'A-9'!H$115,0)</f>
        <v>0</v>
      </c>
      <c r="V510" s="768">
        <f ca="1">IF(K510&lt;&gt;0,+K510/'A-9'!I$115,0)</f>
        <v>0</v>
      </c>
    </row>
    <row r="511" spans="1:22" s="767" customFormat="1">
      <c r="A511" s="5"/>
      <c r="B511" s="249"/>
      <c r="C511" s="425" t="str">
        <v>Services-general</v>
      </c>
      <c r="D511" s="426" t="str">
        <v>Services Other</v>
      </c>
      <c r="E511" s="847">
        <f ca="1"/>
        <v>0</v>
      </c>
      <c r="F511" s="386">
        <f ca="1"/>
        <v>0</v>
      </c>
      <c r="G511" s="383">
        <f ca="1"/>
        <v>0</v>
      </c>
      <c r="H511" s="383">
        <f ca="1"/>
        <v>0</v>
      </c>
      <c r="I511" s="383">
        <f ca="1"/>
        <v>0</v>
      </c>
      <c r="J511" s="383">
        <f ca="1"/>
        <v>0</v>
      </c>
      <c r="K511" s="383">
        <f ca="1"/>
        <v>0</v>
      </c>
      <c r="P511" s="386"/>
      <c r="Q511" s="768">
        <f ca="1">IF(F511&lt;&gt;0,+F511/'A-9'!D$116,0)</f>
        <v>0</v>
      </c>
      <c r="R511" s="768">
        <f ca="1">IF(G511&lt;&gt;0,+G511/'A-9'!E$116,0)</f>
        <v>0</v>
      </c>
      <c r="S511" s="768">
        <f ca="1">IF(H511&lt;&gt;0,+H511/'A-9'!F$116,0)</f>
        <v>0</v>
      </c>
      <c r="T511" s="768">
        <f ca="1">IF(I511&lt;&gt;0,+I511/'A-9'!G$116,0)</f>
        <v>0</v>
      </c>
      <c r="U511" s="768">
        <f ca="1">IF(J511&lt;&gt;0,+J511/'A-9'!H$116,0)</f>
        <v>0</v>
      </c>
      <c r="V511" s="768">
        <f ca="1">IF(K511&lt;&gt;0,+K511/'A-9'!I$116,0)</f>
        <v>0</v>
      </c>
    </row>
    <row r="512" spans="1:22" s="767" customFormat="1">
      <c r="A512" s="5"/>
      <c r="B512" s="249"/>
      <c r="C512" s="425" t="str">
        <v>Labour</v>
      </c>
      <c r="D512" s="426" t="str">
        <v>Business Overheads</v>
      </c>
      <c r="E512" s="847">
        <f ca="1"/>
        <v>0</v>
      </c>
      <c r="F512" s="386">
        <f ca="1"/>
        <v>0</v>
      </c>
      <c r="G512" s="383">
        <f ca="1"/>
        <v>0</v>
      </c>
      <c r="H512" s="383">
        <f ca="1"/>
        <v>0</v>
      </c>
      <c r="I512" s="383">
        <f ca="1"/>
        <v>0</v>
      </c>
      <c r="J512" s="383">
        <f ca="1"/>
        <v>0</v>
      </c>
      <c r="K512" s="383">
        <f ca="1"/>
        <v>0</v>
      </c>
      <c r="P512" s="386"/>
      <c r="Q512" s="768">
        <f ca="1">IF(F512&lt;&gt;0,+F512/'A-9'!D$117,0)</f>
        <v>0</v>
      </c>
      <c r="R512" s="768">
        <f ca="1">IF(G512&lt;&gt;0,+G512/'A-9'!E$117,0)</f>
        <v>0</v>
      </c>
      <c r="S512" s="768">
        <f ca="1">IF(H512&lt;&gt;0,+H512/'A-9'!F$117,0)</f>
        <v>0</v>
      </c>
      <c r="T512" s="768">
        <f ca="1">IF(I512&lt;&gt;0,+I512/'A-9'!G$117,0)</f>
        <v>0</v>
      </c>
      <c r="U512" s="768">
        <f ca="1">IF(J512&lt;&gt;0,+J512/'A-9'!H$117,0)</f>
        <v>0</v>
      </c>
      <c r="V512" s="768">
        <f ca="1">IF(K512&lt;&gt;0,+K512/'A-9'!I$117,0)</f>
        <v>0</v>
      </c>
    </row>
    <row r="513" spans="1:22" s="767" customFormat="1">
      <c r="A513" s="5"/>
      <c r="B513" s="249"/>
      <c r="C513" s="425" t="str">
        <v>Materials - Land</v>
      </c>
      <c r="D513" s="426" t="str">
        <v>Other</v>
      </c>
      <c r="E513" s="847">
        <f ca="1"/>
        <v>0</v>
      </c>
      <c r="F513" s="386">
        <f ca="1"/>
        <v>0</v>
      </c>
      <c r="G513" s="383">
        <f ca="1"/>
        <v>0</v>
      </c>
      <c r="H513" s="383">
        <f ca="1"/>
        <v>0</v>
      </c>
      <c r="I513" s="383">
        <f ca="1"/>
        <v>0</v>
      </c>
      <c r="J513" s="383">
        <f ca="1"/>
        <v>0</v>
      </c>
      <c r="K513" s="383">
        <f ca="1"/>
        <v>0</v>
      </c>
      <c r="P513" s="386"/>
      <c r="Q513" s="768">
        <f ca="1">IF(F513&lt;&gt;0,+F513/'A-9'!D$118,0)</f>
        <v>0</v>
      </c>
      <c r="R513" s="768">
        <f ca="1">IF(G513&lt;&gt;0,+G513/'A-9'!E$118,0)</f>
        <v>0</v>
      </c>
      <c r="S513" s="768">
        <f ca="1">IF(H513&lt;&gt;0,+H513/'A-9'!F$118,0)</f>
        <v>0</v>
      </c>
      <c r="T513" s="768">
        <f ca="1">IF(I513&lt;&gt;0,+I513/'A-9'!G$118,0)</f>
        <v>0</v>
      </c>
      <c r="U513" s="768">
        <f ca="1">IF(J513&lt;&gt;0,+J513/'A-9'!H$118,0)</f>
        <v>0</v>
      </c>
      <c r="V513" s="768">
        <f ca="1">IF(K513&lt;&gt;0,+K513/'A-9'!I$118,0)</f>
        <v>0</v>
      </c>
    </row>
    <row r="514" spans="1:22">
      <c r="A514" s="5"/>
      <c r="B514" s="249" t="str">
        <f ca="1">+'I-4 History'!B309</f>
        <v>A-10</v>
      </c>
      <c r="C514" s="14" t="str">
        <f ca="1">+'I-4 History'!C309</f>
        <v>Corporate Finance</v>
      </c>
      <c r="D514" s="418"/>
      <c r="E514" s="507"/>
      <c r="F514" s="11"/>
      <c r="G514" s="11"/>
      <c r="H514" s="11"/>
      <c r="I514" s="11"/>
      <c r="J514" s="11"/>
      <c r="K514" s="11"/>
      <c r="P514" s="11"/>
      <c r="Q514" s="11"/>
      <c r="R514" s="11"/>
      <c r="S514" s="11"/>
      <c r="T514" s="11"/>
      <c r="U514" s="11"/>
      <c r="V514" s="11"/>
    </row>
    <row r="515" spans="1:22">
      <c r="A515" s="5"/>
      <c r="B515" s="249"/>
      <c r="C515" s="424" t="s">
        <v>74</v>
      </c>
      <c r="D515" s="416"/>
      <c r="E515" s="507"/>
      <c r="F515" s="11"/>
      <c r="G515" s="11"/>
      <c r="H515" s="11"/>
      <c r="I515" s="11"/>
      <c r="J515" s="11"/>
      <c r="K515" s="11"/>
      <c r="P515" s="11"/>
      <c r="Q515" s="11"/>
      <c r="R515" s="11"/>
      <c r="S515" s="11"/>
      <c r="T515" s="11"/>
      <c r="U515" s="11"/>
      <c r="V515" s="11"/>
    </row>
    <row r="516" spans="1:22">
      <c r="A516" s="5"/>
      <c r="B516" s="249"/>
      <c r="C516" s="425" t="str">
        <f t="array" ref="C516:D521">+'A-10'!$A$77:$B$82</f>
        <v>Total Output Growth</v>
      </c>
      <c r="D516" s="426" t="str">
        <v>Labour</v>
      </c>
      <c r="E516" s="847">
        <f t="array" ref="E516:K521" ca="1">+'A-10'!$N$77:$T$82</f>
        <v>0</v>
      </c>
      <c r="F516" s="386">
        <f ca="1"/>
        <v>0</v>
      </c>
      <c r="G516" s="383">
        <f ca="1"/>
        <v>2.4020945548716317E-2</v>
      </c>
      <c r="H516" s="383">
        <f ca="1"/>
        <v>4.6278412959857004E-2</v>
      </c>
      <c r="I516" s="383">
        <f ca="1"/>
        <v>6.827967234374592E-2</v>
      </c>
      <c r="J516" s="383">
        <f ca="1"/>
        <v>9.2149271732798257E-2</v>
      </c>
      <c r="K516" s="383">
        <f ca="1"/>
        <v>0.11401400341401642</v>
      </c>
      <c r="L516" s="790"/>
      <c r="M516" s="790"/>
      <c r="N516" s="790"/>
      <c r="O516" s="790"/>
      <c r="P516" s="386"/>
      <c r="Q516" s="768">
        <f ca="1">IF(F516&lt;&gt;0,+F516/'A-10'!D$77,0)</f>
        <v>0</v>
      </c>
      <c r="R516" s="768">
        <f ca="1">IF(G516&lt;&gt;0,+G516/'A-10'!E$77,0)</f>
        <v>2.2640000000000002</v>
      </c>
      <c r="S516" s="768">
        <f ca="1">IF(H516&lt;&gt;0,+H516/'A-10'!F$77,0)</f>
        <v>2.2640000000000002</v>
      </c>
      <c r="T516" s="768">
        <f ca="1">IF(I516&lt;&gt;0,+I516/'A-10'!G$77,0)</f>
        <v>2.2640000000000002</v>
      </c>
      <c r="U516" s="768">
        <f ca="1">IF(J516&lt;&gt;0,+J516/'A-10'!H$77,0)</f>
        <v>2.2640000000000002</v>
      </c>
      <c r="V516" s="768">
        <f ca="1">IF(K516&lt;&gt;0,+K516/'A-10'!I$77,0)</f>
        <v>2.2640000000000002</v>
      </c>
    </row>
    <row r="517" spans="1:22">
      <c r="A517" s="5"/>
      <c r="B517" s="249"/>
      <c r="C517" s="425" t="str">
        <v>Total Output Growth</v>
      </c>
      <c r="D517" s="426" t="str">
        <v>Materials</v>
      </c>
      <c r="E517" s="847">
        <f ca="1"/>
        <v>0</v>
      </c>
      <c r="F517" s="386">
        <f ca="1"/>
        <v>0</v>
      </c>
      <c r="G517" s="383">
        <f ca="1"/>
        <v>5.6232778890546141E-4</v>
      </c>
      <c r="H517" s="383">
        <f ca="1"/>
        <v>1.0833727415514227E-3</v>
      </c>
      <c r="I517" s="383">
        <f ca="1"/>
        <v>1.5984198914392816E-3</v>
      </c>
      <c r="J517" s="383">
        <f ca="1"/>
        <v>2.1572046827907716E-3</v>
      </c>
      <c r="K517" s="383">
        <f ca="1"/>
        <v>2.6690557336320093E-3</v>
      </c>
      <c r="L517" s="790"/>
      <c r="M517" s="790"/>
      <c r="N517" s="790"/>
      <c r="O517" s="790"/>
      <c r="P517" s="386"/>
      <c r="Q517" s="768">
        <f ca="1">IF(F517&lt;&gt;0,+F517/'A-10'!D$78,0)</f>
        <v>0</v>
      </c>
      <c r="R517" s="768">
        <f ca="1">IF(G517&lt;&gt;0,+G517/'A-10'!E$78,0)</f>
        <v>5.2999999999999999E-2</v>
      </c>
      <c r="S517" s="768">
        <f ca="1">IF(H517&lt;&gt;0,+H517/'A-10'!F$78,0)</f>
        <v>5.2999999999999999E-2</v>
      </c>
      <c r="T517" s="768">
        <f ca="1">IF(I517&lt;&gt;0,+I517/'A-10'!G$78,0)</f>
        <v>5.2999999999999999E-2</v>
      </c>
      <c r="U517" s="768">
        <f ca="1">IF(J517&lt;&gt;0,+J517/'A-10'!H$78,0)</f>
        <v>5.2999999999999999E-2</v>
      </c>
      <c r="V517" s="768">
        <f ca="1">IF(K517&lt;&gt;0,+K517/'A-10'!I$78,0)</f>
        <v>5.2999999999999999E-2</v>
      </c>
    </row>
    <row r="518" spans="1:22">
      <c r="A518" s="5"/>
      <c r="B518" s="249"/>
      <c r="C518" s="425" t="str">
        <v>Total Output Growth</v>
      </c>
      <c r="D518" s="426" t="str">
        <v>Contracts</v>
      </c>
      <c r="E518" s="847">
        <f ca="1"/>
        <v>0</v>
      </c>
      <c r="F518" s="386">
        <f ca="1"/>
        <v>0</v>
      </c>
      <c r="G518" s="383">
        <f ca="1"/>
        <v>1.591493742185268E-4</v>
      </c>
      <c r="H518" s="383">
        <f ca="1"/>
        <v>3.0661492685417623E-4</v>
      </c>
      <c r="I518" s="383">
        <f ca="1"/>
        <v>4.5238298814319285E-4</v>
      </c>
      <c r="J518" s="383">
        <f ca="1"/>
        <v>6.105296272049354E-4</v>
      </c>
      <c r="K518" s="383">
        <f ca="1"/>
        <v>7.553931321600027E-4</v>
      </c>
      <c r="L518" s="790"/>
      <c r="M518" s="790"/>
      <c r="N518" s="790"/>
      <c r="O518" s="790"/>
      <c r="P518" s="386"/>
      <c r="Q518" s="768">
        <f ca="1">IF(F518&lt;&gt;0,+F518/'A-10'!D$79,0)</f>
        <v>0</v>
      </c>
      <c r="R518" s="768">
        <f ca="1">IF(G518&lt;&gt;0,+G518/'A-10'!E$79,0)</f>
        <v>1.4999999999999998E-2</v>
      </c>
      <c r="S518" s="768">
        <f ca="1">IF(H518&lt;&gt;0,+H518/'A-10'!F$79,0)</f>
        <v>1.4999999999999999E-2</v>
      </c>
      <c r="T518" s="768">
        <f ca="1">IF(I518&lt;&gt;0,+I518/'A-10'!G$79,0)</f>
        <v>1.4999999999999999E-2</v>
      </c>
      <c r="U518" s="768">
        <f ca="1">IF(J518&lt;&gt;0,+J518/'A-10'!H$79,0)</f>
        <v>1.4999999999999999E-2</v>
      </c>
      <c r="V518" s="768">
        <f ca="1">IF(K518&lt;&gt;0,+K518/'A-10'!I$79,0)</f>
        <v>1.4999999999999999E-2</v>
      </c>
    </row>
    <row r="519" spans="1:22" s="790" customFormat="1">
      <c r="A519" s="5"/>
      <c r="B519" s="249"/>
      <c r="C519" s="425" t="str">
        <v>Total Output Growth</v>
      </c>
      <c r="D519" s="426" t="str">
        <v>Services Other</v>
      </c>
      <c r="E519" s="847">
        <f ca="1"/>
        <v>0</v>
      </c>
      <c r="F519" s="386">
        <f ca="1"/>
        <v>0</v>
      </c>
      <c r="G519" s="383">
        <f ca="1"/>
        <v>6.4508546349909537E-3</v>
      </c>
      <c r="H519" s="383">
        <f ca="1"/>
        <v>1.2428125035155944E-2</v>
      </c>
      <c r="I519" s="383">
        <f ca="1"/>
        <v>1.8336590452737417E-2</v>
      </c>
      <c r="J519" s="383">
        <f ca="1"/>
        <v>2.4746800889373383E-2</v>
      </c>
      <c r="K519" s="383">
        <f ca="1"/>
        <v>3.0618601623552108E-2</v>
      </c>
      <c r="P519" s="386"/>
      <c r="Q519" s="768">
        <f ca="1">IF(F519&lt;&gt;0,+F519/'A-10'!D$80,0)</f>
        <v>0</v>
      </c>
      <c r="R519" s="768">
        <f ca="1">IF(G519&lt;&gt;0,+G519/'A-10'!E$80,0)</f>
        <v>0.60799999999999998</v>
      </c>
      <c r="S519" s="768">
        <f ca="1">IF(H519&lt;&gt;0,+H519/'A-10'!F$80,0)</f>
        <v>0.60799999999999998</v>
      </c>
      <c r="T519" s="768">
        <f ca="1">IF(I519&lt;&gt;0,+I519/'A-10'!G$80,0)</f>
        <v>0.60799999999999998</v>
      </c>
      <c r="U519" s="768">
        <f ca="1">IF(J519&lt;&gt;0,+J519/'A-10'!H$80,0)</f>
        <v>0.60799999999999998</v>
      </c>
      <c r="V519" s="768">
        <f ca="1">IF(K519&lt;&gt;0,+K519/'A-10'!I$80,0)</f>
        <v>0.60799999999999998</v>
      </c>
    </row>
    <row r="520" spans="1:22" s="790" customFormat="1">
      <c r="A520" s="5"/>
      <c r="B520" s="249"/>
      <c r="C520" s="425" t="str">
        <v>Total Output Growth</v>
      </c>
      <c r="D520" s="426" t="str">
        <v>Business Overheads</v>
      </c>
      <c r="E520" s="847">
        <f ca="1"/>
        <v>0</v>
      </c>
      <c r="F520" s="386">
        <f ca="1"/>
        <v>0</v>
      </c>
      <c r="G520" s="383">
        <f ca="1"/>
        <v>0</v>
      </c>
      <c r="H520" s="383">
        <f ca="1"/>
        <v>0</v>
      </c>
      <c r="I520" s="383">
        <f ca="1"/>
        <v>0</v>
      </c>
      <c r="J520" s="383">
        <f ca="1"/>
        <v>0</v>
      </c>
      <c r="K520" s="383">
        <f ca="1"/>
        <v>0</v>
      </c>
      <c r="P520" s="386"/>
      <c r="Q520" s="768">
        <f ca="1">IF(F520&lt;&gt;0,+F520/'A-10'!D$81,0)</f>
        <v>0</v>
      </c>
      <c r="R520" s="768">
        <f ca="1">IF(G520&lt;&gt;0,+G520/'A-10'!E$81,0)</f>
        <v>0</v>
      </c>
      <c r="S520" s="768">
        <f ca="1">IF(H520&lt;&gt;0,+H520/'A-10'!F$81,0)</f>
        <v>0</v>
      </c>
      <c r="T520" s="768">
        <f ca="1">IF(I520&lt;&gt;0,+I520/'A-10'!G$81,0)</f>
        <v>0</v>
      </c>
      <c r="U520" s="768">
        <f ca="1">IF(J520&lt;&gt;0,+J520/'A-10'!H$81,0)</f>
        <v>0</v>
      </c>
      <c r="V520" s="768">
        <f ca="1">IF(K520&lt;&gt;0,+K520/'A-10'!I$81,0)</f>
        <v>0</v>
      </c>
    </row>
    <row r="521" spans="1:22" s="790" customFormat="1">
      <c r="A521" s="5"/>
      <c r="B521" s="249"/>
      <c r="C521" s="425" t="str">
        <v>Total Output Growth</v>
      </c>
      <c r="D521" s="426" t="str">
        <v>Other</v>
      </c>
      <c r="E521" s="847">
        <f ca="1"/>
        <v>0</v>
      </c>
      <c r="F521" s="386">
        <f ca="1"/>
        <v>0</v>
      </c>
      <c r="G521" s="383">
        <f ca="1"/>
        <v>0</v>
      </c>
      <c r="H521" s="383">
        <f ca="1"/>
        <v>0</v>
      </c>
      <c r="I521" s="383">
        <f ca="1"/>
        <v>0</v>
      </c>
      <c r="J521" s="383">
        <f ca="1"/>
        <v>0</v>
      </c>
      <c r="K521" s="383">
        <f ca="1"/>
        <v>0</v>
      </c>
      <c r="P521" s="386"/>
      <c r="Q521" s="768">
        <f ca="1">IF(F521&lt;&gt;0,+F521/'A-10'!D$82,0)</f>
        <v>0</v>
      </c>
      <c r="R521" s="768">
        <f ca="1">IF(G521&lt;&gt;0,+G521/'A-10'!E$82,0)</f>
        <v>0</v>
      </c>
      <c r="S521" s="768">
        <f ca="1">IF(H521&lt;&gt;0,+H521/'A-10'!F$82,0)</f>
        <v>0</v>
      </c>
      <c r="T521" s="768">
        <f ca="1">IF(I521&lt;&gt;0,+I521/'A-10'!G$82,0)</f>
        <v>0</v>
      </c>
      <c r="U521" s="768">
        <f ca="1">IF(J521&lt;&gt;0,+J521/'A-10'!H$82,0)</f>
        <v>0</v>
      </c>
      <c r="V521" s="768">
        <f ca="1">IF(K521&lt;&gt;0,+K521/'A-10'!I$82,0)</f>
        <v>0</v>
      </c>
    </row>
    <row r="522" spans="1:22">
      <c r="A522" s="5"/>
      <c r="B522" s="249"/>
      <c r="C522" s="424" t="s">
        <v>73</v>
      </c>
      <c r="D522" s="417"/>
      <c r="E522" s="848"/>
      <c r="F522" s="387"/>
      <c r="G522" s="385"/>
      <c r="H522" s="385"/>
      <c r="I522" s="385"/>
      <c r="J522" s="385"/>
      <c r="K522" s="385"/>
      <c r="P522" s="387"/>
      <c r="Q522" s="385"/>
      <c r="R522" s="385"/>
      <c r="S522" s="385"/>
      <c r="T522" s="385"/>
      <c r="U522" s="385"/>
      <c r="V522" s="385"/>
    </row>
    <row r="523" spans="1:22" s="767" customFormat="1">
      <c r="A523" s="5"/>
      <c r="B523" s="249"/>
      <c r="C523" s="425" t="str">
        <f t="array" ref="C523:D528">+'A-10'!$A$113:$B$119</f>
        <v>Labour</v>
      </c>
      <c r="D523" s="426" t="str">
        <v>Labour</v>
      </c>
      <c r="E523" s="847">
        <f t="array" ref="E523:K528" ca="1">+'A-10'!$N$113:$T$119</f>
        <v>0</v>
      </c>
      <c r="F523" s="386">
        <f ca="1"/>
        <v>0</v>
      </c>
      <c r="G523" s="383">
        <f ca="1"/>
        <v>4.9096275433585017E-2</v>
      </c>
      <c r="H523" s="383">
        <f ca="1"/>
        <v>0.10021150534894067</v>
      </c>
      <c r="I523" s="383">
        <f ca="1"/>
        <v>0.15624382510373364</v>
      </c>
      <c r="J523" s="383">
        <f ca="1"/>
        <v>0.21474395196415288</v>
      </c>
      <c r="K523" s="383">
        <f ca="1"/>
        <v>0.27546567185136661</v>
      </c>
      <c r="P523" s="386"/>
      <c r="Q523" s="768">
        <f ca="1">IF(F523&lt;&gt;0,+F523/'A-10'!D$113,0)</f>
        <v>0</v>
      </c>
      <c r="R523" s="768">
        <f ca="1">IF(G523&lt;&gt;0,+G523/'A-10'!E$113,0)</f>
        <v>2.2880209455487166</v>
      </c>
      <c r="S523" s="768">
        <f ca="1">IF(H523&lt;&gt;0,+H523/'A-10'!F$113,0)</f>
        <v>2.3102784129598573</v>
      </c>
      <c r="T523" s="768">
        <f ca="1">IF(I523&lt;&gt;0,+I523/'A-10'!G$113,0)</f>
        <v>2.3322796723437462</v>
      </c>
      <c r="U523" s="768">
        <f ca="1">IF(J523&lt;&gt;0,+J523/'A-10'!H$113,0)</f>
        <v>2.3561492717327983</v>
      </c>
      <c r="V523" s="768">
        <f ca="1">IF(K523&lt;&gt;0,+K523/'A-10'!I$113,0)</f>
        <v>2.3780140034140165</v>
      </c>
    </row>
    <row r="524" spans="1:22" s="767" customFormat="1">
      <c r="A524" s="5"/>
      <c r="B524" s="249"/>
      <c r="C524" s="425" t="str">
        <v>Materials</v>
      </c>
      <c r="D524" s="426" t="str">
        <v>Materials</v>
      </c>
      <c r="E524" s="847">
        <f ca="1"/>
        <v>0</v>
      </c>
      <c r="F524" s="386">
        <f ca="1"/>
        <v>0</v>
      </c>
      <c r="G524" s="383">
        <f ca="1"/>
        <v>0</v>
      </c>
      <c r="H524" s="383">
        <f ca="1"/>
        <v>0</v>
      </c>
      <c r="I524" s="383">
        <f ca="1"/>
        <v>0</v>
      </c>
      <c r="J524" s="383">
        <f ca="1"/>
        <v>0</v>
      </c>
      <c r="K524" s="383">
        <f ca="1"/>
        <v>0</v>
      </c>
      <c r="P524" s="386"/>
      <c r="Q524" s="768">
        <f ca="1">IF(F524&lt;&gt;0,+F524/'A-10'!D$114,0)</f>
        <v>0</v>
      </c>
      <c r="R524" s="768">
        <f ca="1">IF(G524&lt;&gt;0,+G524/'A-10'!E$114,0)</f>
        <v>0</v>
      </c>
      <c r="S524" s="768">
        <f ca="1">IF(H524&lt;&gt;0,+H524/'A-10'!F$114,0)</f>
        <v>0</v>
      </c>
      <c r="T524" s="768">
        <f ca="1">IF(I524&lt;&gt;0,+I524/'A-10'!G$114,0)</f>
        <v>0</v>
      </c>
      <c r="U524" s="768">
        <f ca="1">IF(J524&lt;&gt;0,+J524/'A-10'!H$114,0)</f>
        <v>0</v>
      </c>
      <c r="V524" s="768">
        <f ca="1">IF(K524&lt;&gt;0,+K524/'A-10'!I$114,0)</f>
        <v>0</v>
      </c>
    </row>
    <row r="525" spans="1:22" s="767" customFormat="1">
      <c r="A525" s="5"/>
      <c r="B525" s="249"/>
      <c r="C525" s="425" t="str">
        <v>Services-construction</v>
      </c>
      <c r="D525" s="426" t="str">
        <v>Contracts</v>
      </c>
      <c r="E525" s="847">
        <f ca="1"/>
        <v>0</v>
      </c>
      <c r="F525" s="386">
        <f ca="1"/>
        <v>0</v>
      </c>
      <c r="G525" s="383">
        <f ca="1"/>
        <v>7.5795746871091017E-5</v>
      </c>
      <c r="H525" s="383">
        <f ca="1"/>
        <v>1.5344881464170897E-4</v>
      </c>
      <c r="I525" s="383">
        <f ca="1"/>
        <v>2.9537577760452196E-4</v>
      </c>
      <c r="J525" s="383">
        <f ca="1"/>
        <v>4.6544253453386188E-4</v>
      </c>
      <c r="K525" s="383">
        <f ca="1"/>
        <v>6.725762117055753E-4</v>
      </c>
      <c r="P525" s="386"/>
      <c r="Q525" s="768">
        <f ca="1">IF(F525&lt;&gt;0,+F525/'A-10'!D$115,0)</f>
        <v>0</v>
      </c>
      <c r="R525" s="768">
        <f ca="1">IF(G525&lt;&gt;0,+G525/'A-10'!E$115,0)</f>
        <v>1.5159149374218526E-2</v>
      </c>
      <c r="S525" s="768">
        <f ca="1">IF(H525&lt;&gt;0,+H525/'A-10'!F$115,0)</f>
        <v>1.5306614926854178E-2</v>
      </c>
      <c r="T525" s="768">
        <f ca="1">IF(I525&lt;&gt;0,+I525/'A-10'!G$115,0)</f>
        <v>1.5452382988143193E-2</v>
      </c>
      <c r="U525" s="768">
        <f ca="1">IF(J525&lt;&gt;0,+J525/'A-10'!H$115,0)</f>
        <v>1.5610529627204935E-2</v>
      </c>
      <c r="V525" s="768">
        <f ca="1">IF(K525&lt;&gt;0,+K525/'A-10'!I$115,0)</f>
        <v>1.5755393132160001E-2</v>
      </c>
    </row>
    <row r="526" spans="1:22" s="767" customFormat="1">
      <c r="A526" s="5"/>
      <c r="B526" s="249"/>
      <c r="C526" s="425" t="str">
        <v>Services-general</v>
      </c>
      <c r="D526" s="426" t="str">
        <v>Services Other</v>
      </c>
      <c r="E526" s="847">
        <f ca="1"/>
        <v>0</v>
      </c>
      <c r="F526" s="386">
        <f ca="1"/>
        <v>0</v>
      </c>
      <c r="G526" s="383">
        <f ca="1"/>
        <v>3.0722542731748894E-3</v>
      </c>
      <c r="H526" s="383">
        <f ca="1"/>
        <v>6.219791953477269E-3</v>
      </c>
      <c r="I526" s="383">
        <f ca="1"/>
        <v>1.1972564852236623E-2</v>
      </c>
      <c r="J526" s="383">
        <f ca="1"/>
        <v>1.8865937399772537E-2</v>
      </c>
      <c r="K526" s="383">
        <f ca="1"/>
        <v>2.7261755781132657E-2</v>
      </c>
      <c r="P526" s="386"/>
      <c r="Q526" s="768">
        <f ca="1">IF(F526&lt;&gt;0,+F526/'A-10'!D$116,0)</f>
        <v>0</v>
      </c>
      <c r="R526" s="768">
        <f ca="1">IF(G526&lt;&gt;0,+G526/'A-10'!E$116,0)</f>
        <v>0.61445085463499094</v>
      </c>
      <c r="S526" s="768">
        <f ca="1">IF(H526&lt;&gt;0,+H526/'A-10'!F$116,0)</f>
        <v>0.62042812503515588</v>
      </c>
      <c r="T526" s="768">
        <f ca="1">IF(I526&lt;&gt;0,+I526/'A-10'!G$116,0)</f>
        <v>0.62633659045273737</v>
      </c>
      <c r="U526" s="768">
        <f ca="1">IF(J526&lt;&gt;0,+J526/'A-10'!H$116,0)</f>
        <v>0.63274680088937341</v>
      </c>
      <c r="V526" s="768">
        <f ca="1">IF(K526&lt;&gt;0,+K526/'A-10'!I$116,0)</f>
        <v>0.63861860162355211</v>
      </c>
    </row>
    <row r="527" spans="1:22" s="767" customFormat="1">
      <c r="A527" s="5"/>
      <c r="B527" s="249"/>
      <c r="C527" s="425" t="str">
        <v>Labour</v>
      </c>
      <c r="D527" s="426" t="str">
        <v>Business Overheads</v>
      </c>
      <c r="E527" s="847">
        <f ca="1"/>
        <v>0</v>
      </c>
      <c r="F527" s="386">
        <f ca="1"/>
        <v>0</v>
      </c>
      <c r="G527" s="383">
        <f ca="1"/>
        <v>0</v>
      </c>
      <c r="H527" s="383">
        <f ca="1"/>
        <v>0</v>
      </c>
      <c r="I527" s="383">
        <f ca="1"/>
        <v>0</v>
      </c>
      <c r="J527" s="383">
        <f ca="1"/>
        <v>0</v>
      </c>
      <c r="K527" s="383">
        <f ca="1"/>
        <v>0</v>
      </c>
      <c r="P527" s="386"/>
      <c r="Q527" s="768">
        <f ca="1">IF(F527&lt;&gt;0,+F527/'A-10'!D$117,0)</f>
        <v>0</v>
      </c>
      <c r="R527" s="768">
        <f ca="1">IF(G527&lt;&gt;0,+G527/'A-10'!E$117,0)</f>
        <v>0</v>
      </c>
      <c r="S527" s="768">
        <f ca="1">IF(H527&lt;&gt;0,+H527/'A-10'!F$117,0)</f>
        <v>0</v>
      </c>
      <c r="T527" s="768">
        <f ca="1">IF(I527&lt;&gt;0,+I527/'A-10'!G$117,0)</f>
        <v>0</v>
      </c>
      <c r="U527" s="768">
        <f ca="1">IF(J527&lt;&gt;0,+J527/'A-10'!H$117,0)</f>
        <v>0</v>
      </c>
      <c r="V527" s="768">
        <f ca="1">IF(K527&lt;&gt;0,+K527/'A-10'!I$117,0)</f>
        <v>0</v>
      </c>
    </row>
    <row r="528" spans="1:22" s="767" customFormat="1">
      <c r="A528" s="5"/>
      <c r="B528" s="249"/>
      <c r="C528" s="425" t="str">
        <v>Materials - Land</v>
      </c>
      <c r="D528" s="426" t="str">
        <v>Other</v>
      </c>
      <c r="E528" s="847">
        <f ca="1"/>
        <v>0</v>
      </c>
      <c r="F528" s="386">
        <f ca="1"/>
        <v>0</v>
      </c>
      <c r="G528" s="383">
        <f ca="1"/>
        <v>0</v>
      </c>
      <c r="H528" s="383">
        <f ca="1"/>
        <v>0</v>
      </c>
      <c r="I528" s="383">
        <f ca="1"/>
        <v>0</v>
      </c>
      <c r="J528" s="383">
        <f ca="1"/>
        <v>0</v>
      </c>
      <c r="K528" s="383">
        <f ca="1"/>
        <v>0</v>
      </c>
      <c r="P528" s="386"/>
      <c r="Q528" s="768">
        <f ca="1">IF(F528&lt;&gt;0,+F528/'A-10'!D$118,0)</f>
        <v>0</v>
      </c>
      <c r="R528" s="768">
        <f ca="1">IF(G528&lt;&gt;0,+G528/'A-10'!E$118,0)</f>
        <v>0</v>
      </c>
      <c r="S528" s="768">
        <f ca="1">IF(H528&lt;&gt;0,+H528/'A-10'!F$118,0)</f>
        <v>0</v>
      </c>
      <c r="T528" s="768">
        <f ca="1">IF(I528&lt;&gt;0,+I528/'A-10'!G$118,0)</f>
        <v>0</v>
      </c>
      <c r="U528" s="768">
        <f ca="1">IF(J528&lt;&gt;0,+J528/'A-10'!H$118,0)</f>
        <v>0</v>
      </c>
      <c r="V528" s="768">
        <f ca="1">IF(K528&lt;&gt;0,+K528/'A-10'!I$118,0)</f>
        <v>0</v>
      </c>
    </row>
    <row r="529" spans="1:22">
      <c r="A529" s="5"/>
      <c r="B529" s="249" t="str">
        <f ca="1">+'I-4 History'!B318</f>
        <v>A-11</v>
      </c>
      <c r="C529" s="14" t="str">
        <f ca="1">+'I-4 History'!C318</f>
        <v>Operational Finance</v>
      </c>
      <c r="D529" s="418"/>
      <c r="E529" s="507"/>
      <c r="F529" s="11"/>
      <c r="G529" s="11"/>
      <c r="H529" s="11"/>
      <c r="I529" s="11"/>
      <c r="J529" s="11"/>
      <c r="K529" s="11"/>
      <c r="P529" s="11"/>
      <c r="Q529" s="11"/>
      <c r="R529" s="11"/>
      <c r="S529" s="11"/>
      <c r="T529" s="11"/>
      <c r="U529" s="11"/>
      <c r="V529" s="11"/>
    </row>
    <row r="530" spans="1:22">
      <c r="A530" s="5"/>
      <c r="B530" s="249"/>
      <c r="C530" s="424" t="s">
        <v>74</v>
      </c>
      <c r="D530" s="416"/>
      <c r="E530" s="507"/>
      <c r="F530" s="11"/>
      <c r="G530" s="11"/>
      <c r="H530" s="11"/>
      <c r="I530" s="11"/>
      <c r="J530" s="11"/>
      <c r="K530" s="11"/>
      <c r="P530" s="11"/>
      <c r="Q530" s="11"/>
      <c r="R530" s="11"/>
      <c r="S530" s="11"/>
      <c r="T530" s="11"/>
      <c r="U530" s="11"/>
      <c r="V530" s="11"/>
    </row>
    <row r="531" spans="1:22">
      <c r="A531" s="5"/>
      <c r="B531" s="249"/>
      <c r="C531" s="425" t="str">
        <f t="array" ref="C531:D536">+'A-11'!$A$77:$B$82</f>
        <v>Total Output Growth</v>
      </c>
      <c r="D531" s="426" t="str">
        <v>Labour</v>
      </c>
      <c r="E531" s="847">
        <f t="array" ref="E531:K536" ca="1">+'A-11'!$N$77:$T$82</f>
        <v>0</v>
      </c>
      <c r="F531" s="386">
        <f ca="1"/>
        <v>0</v>
      </c>
      <c r="G531" s="383">
        <f ca="1"/>
        <v>1.2753169854044615E-2</v>
      </c>
      <c r="H531" s="383">
        <f ca="1"/>
        <v>2.4570076138581323E-2</v>
      </c>
      <c r="I531" s="383">
        <f ca="1"/>
        <v>3.6250956783207854E-2</v>
      </c>
      <c r="J531" s="383">
        <f ca="1"/>
        <v>4.8923774126688822E-2</v>
      </c>
      <c r="K531" s="383">
        <f ca="1"/>
        <v>6.0532169657088214E-2</v>
      </c>
      <c r="L531" s="790"/>
      <c r="M531" s="790"/>
      <c r="N531" s="790"/>
      <c r="O531" s="790"/>
      <c r="P531" s="386"/>
      <c r="Q531" s="768">
        <f ca="1">IF(F531&lt;&gt;0,+F531/'A-11'!D$77,0)</f>
        <v>0</v>
      </c>
      <c r="R531" s="768">
        <f ca="1">IF(G531&lt;&gt;0,+G531/'A-11'!E$77,0)</f>
        <v>1.202</v>
      </c>
      <c r="S531" s="768">
        <f ca="1">IF(H531&lt;&gt;0,+H531/'A-11'!F$77,0)</f>
        <v>1.202</v>
      </c>
      <c r="T531" s="768">
        <f ca="1">IF(I531&lt;&gt;0,+I531/'A-11'!G$77,0)</f>
        <v>1.202</v>
      </c>
      <c r="U531" s="768">
        <f ca="1">IF(J531&lt;&gt;0,+J531/'A-11'!H$77,0)</f>
        <v>1.202</v>
      </c>
      <c r="V531" s="768">
        <f ca="1">IF(K531&lt;&gt;0,+K531/'A-11'!I$77,0)</f>
        <v>1.202</v>
      </c>
    </row>
    <row r="532" spans="1:22">
      <c r="A532" s="5"/>
      <c r="B532" s="249"/>
      <c r="C532" s="425" t="str">
        <v>Total Output Growth</v>
      </c>
      <c r="D532" s="426" t="str">
        <v>Materials</v>
      </c>
      <c r="E532" s="847">
        <f ca="1"/>
        <v>0</v>
      </c>
      <c r="F532" s="386">
        <f ca="1"/>
        <v>0</v>
      </c>
      <c r="G532" s="383">
        <f ca="1"/>
        <v>8.4879666249880974E-5</v>
      </c>
      <c r="H532" s="383">
        <f ca="1"/>
        <v>1.6352796098889399E-4</v>
      </c>
      <c r="I532" s="383">
        <f ca="1"/>
        <v>2.4127092700970289E-4</v>
      </c>
      <c r="J532" s="383">
        <f ca="1"/>
        <v>3.2561580117596554E-4</v>
      </c>
      <c r="K532" s="383">
        <f ca="1"/>
        <v>4.0287633715200145E-4</v>
      </c>
      <c r="L532" s="790"/>
      <c r="M532" s="790"/>
      <c r="N532" s="790"/>
      <c r="O532" s="790"/>
      <c r="P532" s="386"/>
      <c r="Q532" s="768">
        <f ca="1">IF(F532&lt;&gt;0,+F532/'A-11'!D$78,0)</f>
        <v>0</v>
      </c>
      <c r="R532" s="768">
        <f ca="1">IF(G532&lt;&gt;0,+G532/'A-11'!E$78,0)</f>
        <v>8.0000000000000002E-3</v>
      </c>
      <c r="S532" s="768">
        <f ca="1">IF(H532&lt;&gt;0,+H532/'A-11'!F$78,0)</f>
        <v>8.0000000000000002E-3</v>
      </c>
      <c r="T532" s="768">
        <f ca="1">IF(I532&lt;&gt;0,+I532/'A-11'!G$78,0)</f>
        <v>8.0000000000000002E-3</v>
      </c>
      <c r="U532" s="768">
        <f ca="1">IF(J532&lt;&gt;0,+J532/'A-11'!H$78,0)</f>
        <v>8.0000000000000002E-3</v>
      </c>
      <c r="V532" s="768">
        <f ca="1">IF(K532&lt;&gt;0,+K532/'A-11'!I$78,0)</f>
        <v>8.0000000000000002E-3</v>
      </c>
    </row>
    <row r="533" spans="1:22">
      <c r="A533" s="5"/>
      <c r="B533" s="249"/>
      <c r="C533" s="425" t="str">
        <v>Total Output Growth</v>
      </c>
      <c r="D533" s="426" t="str">
        <v>Contracts</v>
      </c>
      <c r="E533" s="847">
        <f ca="1"/>
        <v>0</v>
      </c>
      <c r="F533" s="386">
        <f ca="1"/>
        <v>0</v>
      </c>
      <c r="G533" s="383">
        <f ca="1"/>
        <v>0</v>
      </c>
      <c r="H533" s="383">
        <f ca="1"/>
        <v>0</v>
      </c>
      <c r="I533" s="383">
        <f ca="1"/>
        <v>0</v>
      </c>
      <c r="J533" s="383">
        <f ca="1"/>
        <v>0</v>
      </c>
      <c r="K533" s="383">
        <f ca="1"/>
        <v>0</v>
      </c>
      <c r="L533" s="790"/>
      <c r="M533" s="790"/>
      <c r="N533" s="790"/>
      <c r="O533" s="790"/>
      <c r="P533" s="386"/>
      <c r="Q533" s="768">
        <f ca="1">IF(F533&lt;&gt;0,+F533/'A-11'!D$79,0)</f>
        <v>0</v>
      </c>
      <c r="R533" s="768">
        <f ca="1">IF(G533&lt;&gt;0,+G533/'A-11'!E$79,0)</f>
        <v>0</v>
      </c>
      <c r="S533" s="768">
        <f ca="1">IF(H533&lt;&gt;0,+H533/'A-11'!F$79,0)</f>
        <v>0</v>
      </c>
      <c r="T533" s="768">
        <f ca="1">IF(I533&lt;&gt;0,+I533/'A-11'!G$79,0)</f>
        <v>0</v>
      </c>
      <c r="U533" s="768">
        <f ca="1">IF(J533&lt;&gt;0,+J533/'A-11'!H$79,0)</f>
        <v>0</v>
      </c>
      <c r="V533" s="768">
        <f ca="1">IF(K533&lt;&gt;0,+K533/'A-11'!I$79,0)</f>
        <v>0</v>
      </c>
    </row>
    <row r="534" spans="1:22" s="790" customFormat="1">
      <c r="A534" s="5"/>
      <c r="B534" s="249"/>
      <c r="C534" s="425" t="str">
        <v>Total Output Growth</v>
      </c>
      <c r="D534" s="426" t="str">
        <v>Services Other</v>
      </c>
      <c r="E534" s="847">
        <f ca="1"/>
        <v>0</v>
      </c>
      <c r="F534" s="386">
        <f ca="1"/>
        <v>0</v>
      </c>
      <c r="G534" s="383">
        <f ca="1"/>
        <v>5.0927799749928579E-4</v>
      </c>
      <c r="H534" s="383">
        <f ca="1"/>
        <v>9.8116776593336406E-4</v>
      </c>
      <c r="I534" s="383">
        <f ca="1"/>
        <v>1.4476255620582174E-3</v>
      </c>
      <c r="J534" s="383">
        <f ca="1"/>
        <v>1.9536948070557935E-3</v>
      </c>
      <c r="K534" s="383">
        <f ca="1"/>
        <v>2.4172580229120085E-3</v>
      </c>
      <c r="P534" s="386"/>
      <c r="Q534" s="768">
        <f ca="1">IF(F534&lt;&gt;0,+F534/'A-11'!D$80,0)</f>
        <v>0</v>
      </c>
      <c r="R534" s="768">
        <f ca="1">IF(G534&lt;&gt;0,+G534/'A-11'!E$80,0)</f>
        <v>4.7999999999999994E-2</v>
      </c>
      <c r="S534" s="768">
        <f ca="1">IF(H534&lt;&gt;0,+H534/'A-11'!F$80,0)</f>
        <v>4.8000000000000008E-2</v>
      </c>
      <c r="T534" s="768">
        <f ca="1">IF(I534&lt;&gt;0,+I534/'A-11'!G$80,0)</f>
        <v>4.8000000000000001E-2</v>
      </c>
      <c r="U534" s="768">
        <f ca="1">IF(J534&lt;&gt;0,+J534/'A-11'!H$80,0)</f>
        <v>4.8000000000000001E-2</v>
      </c>
      <c r="V534" s="768">
        <f ca="1">IF(K534&lt;&gt;0,+K534/'A-11'!I$80,0)</f>
        <v>4.7999999999999994E-2</v>
      </c>
    </row>
    <row r="535" spans="1:22" s="790" customFormat="1">
      <c r="A535" s="5"/>
      <c r="B535" s="249"/>
      <c r="C535" s="425" t="str">
        <v>Total Output Growth</v>
      </c>
      <c r="D535" s="426" t="str">
        <v>Business Overheads</v>
      </c>
      <c r="E535" s="847">
        <f ca="1"/>
        <v>0</v>
      </c>
      <c r="F535" s="386">
        <f ca="1"/>
        <v>0</v>
      </c>
      <c r="G535" s="383">
        <f ca="1"/>
        <v>0</v>
      </c>
      <c r="H535" s="383">
        <f ca="1"/>
        <v>0</v>
      </c>
      <c r="I535" s="383">
        <f ca="1"/>
        <v>0</v>
      </c>
      <c r="J535" s="383">
        <f ca="1"/>
        <v>0</v>
      </c>
      <c r="K535" s="383">
        <f ca="1"/>
        <v>0</v>
      </c>
      <c r="P535" s="386"/>
      <c r="Q535" s="768">
        <f ca="1">IF(F535&lt;&gt;0,+F535/'A-11'!D$81,0)</f>
        <v>0</v>
      </c>
      <c r="R535" s="768">
        <f ca="1">IF(G535&lt;&gt;0,+G535/'A-11'!E$81,0)</f>
        <v>0</v>
      </c>
      <c r="S535" s="768">
        <f ca="1">IF(H535&lt;&gt;0,+H535/'A-11'!F$81,0)</f>
        <v>0</v>
      </c>
      <c r="T535" s="768">
        <f ca="1">IF(I535&lt;&gt;0,+I535/'A-11'!G$81,0)</f>
        <v>0</v>
      </c>
      <c r="U535" s="768">
        <f ca="1">IF(J535&lt;&gt;0,+J535/'A-11'!H$81,0)</f>
        <v>0</v>
      </c>
      <c r="V535" s="768">
        <f ca="1">IF(K535&lt;&gt;0,+K535/'A-11'!I$81,0)</f>
        <v>0</v>
      </c>
    </row>
    <row r="536" spans="1:22" s="790" customFormat="1">
      <c r="A536" s="5"/>
      <c r="B536" s="249"/>
      <c r="C536" s="425" t="str">
        <v>Total Output Growth</v>
      </c>
      <c r="D536" s="426" t="str">
        <v>Other</v>
      </c>
      <c r="E536" s="847">
        <f ca="1"/>
        <v>0</v>
      </c>
      <c r="F536" s="386">
        <f ca="1"/>
        <v>0</v>
      </c>
      <c r="G536" s="383">
        <f ca="1"/>
        <v>0</v>
      </c>
      <c r="H536" s="383">
        <f ca="1"/>
        <v>0</v>
      </c>
      <c r="I536" s="383">
        <f ca="1"/>
        <v>0</v>
      </c>
      <c r="J536" s="383">
        <f ca="1"/>
        <v>0</v>
      </c>
      <c r="K536" s="383">
        <f ca="1"/>
        <v>0</v>
      </c>
      <c r="P536" s="386"/>
      <c r="Q536" s="768">
        <f ca="1">IF(F536&lt;&gt;0,+F536/'A-11'!D$82,0)</f>
        <v>0</v>
      </c>
      <c r="R536" s="768">
        <f ca="1">IF(G536&lt;&gt;0,+G536/'A-11'!E$82,0)</f>
        <v>0</v>
      </c>
      <c r="S536" s="768">
        <f ca="1">IF(H536&lt;&gt;0,+H536/'A-11'!F$82,0)</f>
        <v>0</v>
      </c>
      <c r="T536" s="768">
        <f ca="1">IF(I536&lt;&gt;0,+I536/'A-11'!G$82,0)</f>
        <v>0</v>
      </c>
      <c r="U536" s="768">
        <f ca="1">IF(J536&lt;&gt;0,+J536/'A-11'!H$82,0)</f>
        <v>0</v>
      </c>
      <c r="V536" s="768">
        <f ca="1">IF(K536&lt;&gt;0,+K536/'A-11'!I$82,0)</f>
        <v>0</v>
      </c>
    </row>
    <row r="537" spans="1:22">
      <c r="A537" s="5"/>
      <c r="B537" s="249"/>
      <c r="C537" s="424" t="s">
        <v>73</v>
      </c>
      <c r="D537" s="417"/>
      <c r="E537" s="848"/>
      <c r="F537" s="387"/>
      <c r="G537" s="385"/>
      <c r="H537" s="385"/>
      <c r="I537" s="385"/>
      <c r="J537" s="385"/>
      <c r="K537" s="385"/>
      <c r="P537" s="387"/>
      <c r="Q537" s="385"/>
      <c r="R537" s="385"/>
      <c r="S537" s="385"/>
      <c r="T537" s="385"/>
      <c r="U537" s="385"/>
      <c r="V537" s="385"/>
    </row>
    <row r="538" spans="1:22" s="767" customFormat="1">
      <c r="A538" s="5"/>
      <c r="B538" s="249"/>
      <c r="C538" s="425" t="str">
        <f t="array" ref="C538:D543">+'A-11'!$A$113:$B$119</f>
        <v>Labour</v>
      </c>
      <c r="D538" s="426" t="str">
        <v>Labour</v>
      </c>
      <c r="E538" s="847">
        <f t="array" ref="E538:K543" ca="1">+'A-11'!$N$113:$T$119</f>
        <v>0</v>
      </c>
      <c r="F538" s="386">
        <f ca="1"/>
        <v>0</v>
      </c>
      <c r="G538" s="383">
        <f ca="1"/>
        <v>2.6066132098572961E-2</v>
      </c>
      <c r="H538" s="383">
        <f ca="1"/>
        <v>5.3204164942326271E-2</v>
      </c>
      <c r="I538" s="383">
        <f ca="1"/>
        <v>8.2952772868678359E-2</v>
      </c>
      <c r="J538" s="383">
        <f ca="1"/>
        <v>0.11401158580428963</v>
      </c>
      <c r="K538" s="383">
        <f ca="1"/>
        <v>0.1462498840836319</v>
      </c>
      <c r="P538" s="386"/>
      <c r="Q538" s="768">
        <f ca="1">IF(F538&lt;&gt;0,+F538/'A-11'!D$113,0)</f>
        <v>0</v>
      </c>
      <c r="R538" s="768">
        <f ca="1">IF(G538&lt;&gt;0,+G538/'A-11'!E$113,0)</f>
        <v>1.2147531698540446</v>
      </c>
      <c r="S538" s="768">
        <f ca="1">IF(H538&lt;&gt;0,+H538/'A-11'!F$113,0)</f>
        <v>1.2265700761385814</v>
      </c>
      <c r="T538" s="768">
        <f ca="1">IF(I538&lt;&gt;0,+I538/'A-11'!G$113,0)</f>
        <v>1.2382509567832078</v>
      </c>
      <c r="U538" s="768">
        <f ca="1">IF(J538&lt;&gt;0,+J538/'A-11'!H$113,0)</f>
        <v>1.2509237741266888</v>
      </c>
      <c r="V538" s="768">
        <f ca="1">IF(K538&lt;&gt;0,+K538/'A-11'!I$113,0)</f>
        <v>1.2625321696570881</v>
      </c>
    </row>
    <row r="539" spans="1:22" s="767" customFormat="1">
      <c r="A539" s="5"/>
      <c r="B539" s="249"/>
      <c r="C539" s="425" t="str">
        <v>Materials</v>
      </c>
      <c r="D539" s="426" t="str">
        <v>Materials</v>
      </c>
      <c r="E539" s="847">
        <f ca="1"/>
        <v>0</v>
      </c>
      <c r="F539" s="386">
        <f ca="1"/>
        <v>0</v>
      </c>
      <c r="G539" s="383">
        <f ca="1"/>
        <v>0</v>
      </c>
      <c r="H539" s="383">
        <f ca="1"/>
        <v>0</v>
      </c>
      <c r="I539" s="383">
        <f ca="1"/>
        <v>0</v>
      </c>
      <c r="J539" s="383">
        <f ca="1"/>
        <v>0</v>
      </c>
      <c r="K539" s="383">
        <f ca="1"/>
        <v>0</v>
      </c>
      <c r="P539" s="386"/>
      <c r="Q539" s="768">
        <f ca="1">IF(F539&lt;&gt;0,+F539/'A-11'!D$114,0)</f>
        <v>0</v>
      </c>
      <c r="R539" s="768">
        <f ca="1">IF(G539&lt;&gt;0,+G539/'A-11'!E$114,0)</f>
        <v>0</v>
      </c>
      <c r="S539" s="768">
        <f ca="1">IF(H539&lt;&gt;0,+H539/'A-11'!F$114,0)</f>
        <v>0</v>
      </c>
      <c r="T539" s="768">
        <f ca="1">IF(I539&lt;&gt;0,+I539/'A-11'!G$114,0)</f>
        <v>0</v>
      </c>
      <c r="U539" s="768">
        <f ca="1">IF(J539&lt;&gt;0,+J539/'A-11'!H$114,0)</f>
        <v>0</v>
      </c>
      <c r="V539" s="768">
        <f ca="1">IF(K539&lt;&gt;0,+K539/'A-11'!I$114,0)</f>
        <v>0</v>
      </c>
    </row>
    <row r="540" spans="1:22" s="767" customFormat="1">
      <c r="A540" s="5"/>
      <c r="B540" s="249"/>
      <c r="C540" s="425" t="str">
        <v>Services-construction</v>
      </c>
      <c r="D540" s="426" t="str">
        <v>Contracts</v>
      </c>
      <c r="E540" s="847">
        <f ca="1"/>
        <v>0</v>
      </c>
      <c r="F540" s="386">
        <f ca="1"/>
        <v>0</v>
      </c>
      <c r="G540" s="383">
        <f ca="1"/>
        <v>0</v>
      </c>
      <c r="H540" s="383">
        <f ca="1"/>
        <v>0</v>
      </c>
      <c r="I540" s="383">
        <f ca="1"/>
        <v>0</v>
      </c>
      <c r="J540" s="383">
        <f ca="1"/>
        <v>0</v>
      </c>
      <c r="K540" s="383">
        <f ca="1"/>
        <v>0</v>
      </c>
      <c r="P540" s="386"/>
      <c r="Q540" s="768">
        <f ca="1">IF(F540&lt;&gt;0,+F540/'A-11'!D$115,0)</f>
        <v>0</v>
      </c>
      <c r="R540" s="768">
        <f ca="1">IF(G540&lt;&gt;0,+G540/'A-11'!E$115,0)</f>
        <v>0</v>
      </c>
      <c r="S540" s="768">
        <f ca="1">IF(H540&lt;&gt;0,+H540/'A-11'!F$115,0)</f>
        <v>0</v>
      </c>
      <c r="T540" s="768">
        <f ca="1">IF(I540&lt;&gt;0,+I540/'A-11'!G$115,0)</f>
        <v>0</v>
      </c>
      <c r="U540" s="768">
        <f ca="1">IF(J540&lt;&gt;0,+J540/'A-11'!H$115,0)</f>
        <v>0</v>
      </c>
      <c r="V540" s="768">
        <f ca="1">IF(K540&lt;&gt;0,+K540/'A-11'!I$115,0)</f>
        <v>0</v>
      </c>
    </row>
    <row r="541" spans="1:22" s="767" customFormat="1">
      <c r="A541" s="5"/>
      <c r="B541" s="249"/>
      <c r="C541" s="425" t="str">
        <v>Services-general</v>
      </c>
      <c r="D541" s="426" t="str">
        <v>Services Other</v>
      </c>
      <c r="E541" s="847">
        <f ca="1"/>
        <v>0</v>
      </c>
      <c r="F541" s="386">
        <f ca="1"/>
        <v>0</v>
      </c>
      <c r="G541" s="383">
        <f ca="1"/>
        <v>2.4254638998749128E-4</v>
      </c>
      <c r="H541" s="383">
        <f ca="1"/>
        <v>4.9103620685346863E-4</v>
      </c>
      <c r="I541" s="383">
        <f ca="1"/>
        <v>9.4520248833447032E-4</v>
      </c>
      <c r="J541" s="383">
        <f ca="1"/>
        <v>1.4894161105083582E-3</v>
      </c>
      <c r="K541" s="383">
        <f ca="1"/>
        <v>2.1522438774578415E-3</v>
      </c>
      <c r="P541" s="386"/>
      <c r="Q541" s="768">
        <f ca="1">IF(F541&lt;&gt;0,+F541/'A-11'!D$116,0)</f>
        <v>0</v>
      </c>
      <c r="R541" s="768">
        <f ca="1">IF(G541&lt;&gt;0,+G541/'A-11'!E$116,0)</f>
        <v>4.8509277997499288E-2</v>
      </c>
      <c r="S541" s="768">
        <f ca="1">IF(H541&lt;&gt;0,+H541/'A-11'!F$116,0)</f>
        <v>4.8981167765933357E-2</v>
      </c>
      <c r="T541" s="768">
        <f ca="1">IF(I541&lt;&gt;0,+I541/'A-11'!G$116,0)</f>
        <v>4.9447625562058221E-2</v>
      </c>
      <c r="U541" s="768">
        <f ca="1">IF(J541&lt;&gt;0,+J541/'A-11'!H$116,0)</f>
        <v>4.9953694807055797E-2</v>
      </c>
      <c r="V541" s="768">
        <f ca="1">IF(K541&lt;&gt;0,+K541/'A-11'!I$116,0)</f>
        <v>5.0417258022912012E-2</v>
      </c>
    </row>
    <row r="542" spans="1:22" s="767" customFormat="1">
      <c r="A542" s="5"/>
      <c r="B542" s="249"/>
      <c r="C542" s="425" t="str">
        <v>Labour</v>
      </c>
      <c r="D542" s="426" t="str">
        <v>Business Overheads</v>
      </c>
      <c r="E542" s="847">
        <f ca="1"/>
        <v>0</v>
      </c>
      <c r="F542" s="386">
        <f ca="1"/>
        <v>0</v>
      </c>
      <c r="G542" s="383">
        <f ca="1"/>
        <v>0</v>
      </c>
      <c r="H542" s="383">
        <f ca="1"/>
        <v>0</v>
      </c>
      <c r="I542" s="383">
        <f ca="1"/>
        <v>0</v>
      </c>
      <c r="J542" s="383">
        <f ca="1"/>
        <v>0</v>
      </c>
      <c r="K542" s="383">
        <f ca="1"/>
        <v>0</v>
      </c>
      <c r="P542" s="386"/>
      <c r="Q542" s="768">
        <f ca="1">IF(F542&lt;&gt;0,+F542/'A-11'!D$117,0)</f>
        <v>0</v>
      </c>
      <c r="R542" s="768">
        <f ca="1">IF(G542&lt;&gt;0,+G542/'A-11'!E$117,0)</f>
        <v>0</v>
      </c>
      <c r="S542" s="768">
        <f ca="1">IF(H542&lt;&gt;0,+H542/'A-11'!F$117,0)</f>
        <v>0</v>
      </c>
      <c r="T542" s="768">
        <f ca="1">IF(I542&lt;&gt;0,+I542/'A-11'!G$117,0)</f>
        <v>0</v>
      </c>
      <c r="U542" s="768">
        <f ca="1">IF(J542&lt;&gt;0,+J542/'A-11'!H$117,0)</f>
        <v>0</v>
      </c>
      <c r="V542" s="768">
        <f ca="1">IF(K542&lt;&gt;0,+K542/'A-11'!I$117,0)</f>
        <v>0</v>
      </c>
    </row>
    <row r="543" spans="1:22" s="767" customFormat="1">
      <c r="A543" s="5"/>
      <c r="B543" s="249"/>
      <c r="C543" s="425" t="str">
        <v>Materials - Land</v>
      </c>
      <c r="D543" s="426" t="str">
        <v>Other</v>
      </c>
      <c r="E543" s="847">
        <f ca="1"/>
        <v>0</v>
      </c>
      <c r="F543" s="386">
        <f ca="1"/>
        <v>0</v>
      </c>
      <c r="G543" s="383">
        <f ca="1"/>
        <v>0</v>
      </c>
      <c r="H543" s="383">
        <f ca="1"/>
        <v>0</v>
      </c>
      <c r="I543" s="383">
        <f ca="1"/>
        <v>0</v>
      </c>
      <c r="J543" s="383">
        <f ca="1"/>
        <v>0</v>
      </c>
      <c r="K543" s="383">
        <f ca="1"/>
        <v>0</v>
      </c>
      <c r="P543" s="386"/>
      <c r="Q543" s="768">
        <f ca="1">IF(F543&lt;&gt;0,+F543/'A-11'!D$118,0)</f>
        <v>0</v>
      </c>
      <c r="R543" s="768">
        <f ca="1">IF(G543&lt;&gt;0,+G543/'A-11'!E$118,0)</f>
        <v>0</v>
      </c>
      <c r="S543" s="768">
        <f ca="1">IF(H543&lt;&gt;0,+H543/'A-11'!F$118,0)</f>
        <v>0</v>
      </c>
      <c r="T543" s="768">
        <f ca="1">IF(I543&lt;&gt;0,+I543/'A-11'!G$118,0)</f>
        <v>0</v>
      </c>
      <c r="U543" s="768">
        <f ca="1">IF(J543&lt;&gt;0,+J543/'A-11'!H$118,0)</f>
        <v>0</v>
      </c>
      <c r="V543" s="768">
        <f ca="1">IF(K543&lt;&gt;0,+K543/'A-11'!I$118,0)</f>
        <v>0</v>
      </c>
    </row>
    <row r="544" spans="1:22">
      <c r="A544" s="5"/>
      <c r="B544" s="249" t="str">
        <f ca="1">+'I-4 History'!B327</f>
        <v>A-12</v>
      </c>
      <c r="C544" s="14" t="str">
        <f ca="1">+'I-4 History'!C327</f>
        <v>Regulatory Finance</v>
      </c>
      <c r="D544" s="418"/>
      <c r="E544" s="507"/>
      <c r="F544" s="11"/>
      <c r="G544" s="11"/>
      <c r="H544" s="11"/>
      <c r="I544" s="11"/>
      <c r="J544" s="11"/>
      <c r="K544" s="11"/>
      <c r="P544" s="11"/>
      <c r="Q544" s="385"/>
      <c r="R544" s="385"/>
      <c r="S544" s="385"/>
      <c r="T544" s="385"/>
      <c r="U544" s="385"/>
      <c r="V544" s="385"/>
    </row>
    <row r="545" spans="1:22">
      <c r="A545" s="5"/>
      <c r="B545" s="249"/>
      <c r="C545" s="424" t="s">
        <v>74</v>
      </c>
      <c r="D545" s="416"/>
      <c r="E545" s="507"/>
      <c r="F545" s="11"/>
      <c r="G545" s="11"/>
      <c r="H545" s="11"/>
      <c r="I545" s="11"/>
      <c r="J545" s="11"/>
      <c r="K545" s="11"/>
      <c r="P545" s="11"/>
      <c r="Q545" s="768"/>
      <c r="R545" s="768"/>
      <c r="S545" s="768"/>
      <c r="T545" s="768"/>
      <c r="U545" s="768"/>
      <c r="V545" s="768"/>
    </row>
    <row r="546" spans="1:22">
      <c r="A546" s="5"/>
      <c r="B546" s="249"/>
      <c r="C546" s="425" t="str">
        <f t="array" ref="C546:D551">+'A-12'!$A$77:$B$82</f>
        <v>Total Output Growth</v>
      </c>
      <c r="D546" s="426" t="str">
        <v>Labour</v>
      </c>
      <c r="E546" s="847">
        <f t="array" ref="E546:K551" ca="1">+'A-12'!$N$77:$T$82</f>
        <v>0</v>
      </c>
      <c r="F546" s="386">
        <f ca="1"/>
        <v>0</v>
      </c>
      <c r="G546" s="383">
        <f ca="1"/>
        <v>1.4429543262479765E-3</v>
      </c>
      <c r="H546" s="383">
        <f ca="1"/>
        <v>2.7799753368111979E-3</v>
      </c>
      <c r="I546" s="383">
        <f ca="1"/>
        <v>4.1016057591649491E-3</v>
      </c>
      <c r="J546" s="383">
        <f ca="1"/>
        <v>5.535468619991415E-3</v>
      </c>
      <c r="K546" s="383">
        <f ca="1"/>
        <v>6.8488977315840248E-3</v>
      </c>
      <c r="L546" s="790"/>
      <c r="M546" s="790"/>
      <c r="N546" s="790"/>
      <c r="O546" s="790"/>
      <c r="P546" s="386"/>
      <c r="Q546" s="768">
        <f ca="1">IF(F546&lt;&gt;0,+F546/'A-12'!D$77,0)</f>
        <v>0</v>
      </c>
      <c r="R546" s="768">
        <f ca="1">IF(G546&lt;&gt;0,+G546/'A-12'!E$77,0)</f>
        <v>0.13600000000000001</v>
      </c>
      <c r="S546" s="768">
        <f ca="1">IF(H546&lt;&gt;0,+H546/'A-12'!F$77,0)</f>
        <v>0.13600000000000001</v>
      </c>
      <c r="T546" s="768">
        <f ca="1">IF(I546&lt;&gt;0,+I546/'A-12'!G$77,0)</f>
        <v>0.13600000000000001</v>
      </c>
      <c r="U546" s="768">
        <f ca="1">IF(J546&lt;&gt;0,+J546/'A-12'!H$77,0)</f>
        <v>0.13600000000000001</v>
      </c>
      <c r="V546" s="768">
        <f ca="1">IF(K546&lt;&gt;0,+K546/'A-12'!I$77,0)</f>
        <v>0.13600000000000001</v>
      </c>
    </row>
    <row r="547" spans="1:22">
      <c r="A547" s="5"/>
      <c r="B547" s="249"/>
      <c r="C547" s="425" t="str">
        <v>Total Output Growth</v>
      </c>
      <c r="D547" s="426" t="str">
        <v>Materials</v>
      </c>
      <c r="E547" s="847">
        <f ca="1"/>
        <v>0</v>
      </c>
      <c r="F547" s="386">
        <f ca="1"/>
        <v>0</v>
      </c>
      <c r="G547" s="383">
        <f ca="1"/>
        <v>0</v>
      </c>
      <c r="H547" s="383">
        <f ca="1"/>
        <v>0</v>
      </c>
      <c r="I547" s="383">
        <f ca="1"/>
        <v>0</v>
      </c>
      <c r="J547" s="383">
        <f ca="1"/>
        <v>0</v>
      </c>
      <c r="K547" s="383">
        <f ca="1"/>
        <v>0</v>
      </c>
      <c r="L547" s="790"/>
      <c r="M547" s="790"/>
      <c r="N547" s="790"/>
      <c r="O547" s="790"/>
      <c r="P547" s="386"/>
      <c r="Q547" s="768">
        <f ca="1">IF(F547&lt;&gt;0,+F547/'A-12'!D$78,0)</f>
        <v>0</v>
      </c>
      <c r="R547" s="768">
        <f ca="1">IF(G547&lt;&gt;0,+G547/'A-12'!E$78,0)</f>
        <v>0</v>
      </c>
      <c r="S547" s="768">
        <f ca="1">IF(H547&lt;&gt;0,+H547/'A-12'!F$78,0)</f>
        <v>0</v>
      </c>
      <c r="T547" s="768">
        <f ca="1">IF(I547&lt;&gt;0,+I547/'A-12'!G$78,0)</f>
        <v>0</v>
      </c>
      <c r="U547" s="768">
        <f ca="1">IF(J547&lt;&gt;0,+J547/'A-12'!H$78,0)</f>
        <v>0</v>
      </c>
      <c r="V547" s="768">
        <f ca="1">IF(K547&lt;&gt;0,+K547/'A-12'!I$78,0)</f>
        <v>0</v>
      </c>
    </row>
    <row r="548" spans="1:22">
      <c r="A548" s="5"/>
      <c r="B548" s="249"/>
      <c r="C548" s="425" t="str">
        <v>Total Output Growth</v>
      </c>
      <c r="D548" s="426" t="str">
        <v>Contracts</v>
      </c>
      <c r="E548" s="847">
        <f ca="1"/>
        <v>0</v>
      </c>
      <c r="F548" s="386">
        <f ca="1"/>
        <v>0</v>
      </c>
      <c r="G548" s="383">
        <f ca="1"/>
        <v>0</v>
      </c>
      <c r="H548" s="383">
        <f ca="1"/>
        <v>0</v>
      </c>
      <c r="I548" s="383">
        <f ca="1"/>
        <v>0</v>
      </c>
      <c r="J548" s="383">
        <f ca="1"/>
        <v>0</v>
      </c>
      <c r="K548" s="383">
        <f ca="1"/>
        <v>0</v>
      </c>
      <c r="L548" s="790"/>
      <c r="M548" s="790"/>
      <c r="N548" s="790"/>
      <c r="O548" s="790"/>
      <c r="P548" s="386"/>
      <c r="Q548" s="768">
        <f ca="1">IF(F548&lt;&gt;0,+F548/'A-12'!D$79,0)</f>
        <v>0</v>
      </c>
      <c r="R548" s="768">
        <f ca="1">IF(G548&lt;&gt;0,+G548/'A-12'!E$79,0)</f>
        <v>0</v>
      </c>
      <c r="S548" s="768">
        <f ca="1">IF(H548&lt;&gt;0,+H548/'A-12'!F$79,0)</f>
        <v>0</v>
      </c>
      <c r="T548" s="768">
        <f ca="1">IF(I548&lt;&gt;0,+I548/'A-12'!G$79,0)</f>
        <v>0</v>
      </c>
      <c r="U548" s="768">
        <f ca="1">IF(J548&lt;&gt;0,+J548/'A-12'!H$79,0)</f>
        <v>0</v>
      </c>
      <c r="V548" s="768">
        <f ca="1">IF(K548&lt;&gt;0,+K548/'A-12'!I$79,0)</f>
        <v>0</v>
      </c>
    </row>
    <row r="549" spans="1:22" s="790" customFormat="1">
      <c r="A549" s="5"/>
      <c r="B549" s="249"/>
      <c r="C549" s="425" t="str">
        <v>Total Output Growth</v>
      </c>
      <c r="D549" s="426" t="str">
        <v>Services Other</v>
      </c>
      <c r="E549" s="847">
        <f ca="1"/>
        <v>0</v>
      </c>
      <c r="F549" s="386">
        <f ca="1"/>
        <v>0</v>
      </c>
      <c r="G549" s="383">
        <f ca="1"/>
        <v>0</v>
      </c>
      <c r="H549" s="383">
        <f ca="1"/>
        <v>0</v>
      </c>
      <c r="I549" s="383">
        <f ca="1"/>
        <v>0</v>
      </c>
      <c r="J549" s="383">
        <f ca="1"/>
        <v>0</v>
      </c>
      <c r="K549" s="383">
        <f ca="1"/>
        <v>0</v>
      </c>
      <c r="P549" s="386"/>
      <c r="Q549" s="768">
        <f ca="1">IF(F549&lt;&gt;0,+F549/'A-12'!D$80,0)</f>
        <v>0</v>
      </c>
      <c r="R549" s="768">
        <f ca="1">IF(G549&lt;&gt;0,+G549/'A-12'!E$80,0)</f>
        <v>0</v>
      </c>
      <c r="S549" s="768">
        <f ca="1">IF(H549&lt;&gt;0,+H549/'A-12'!F$80,0)</f>
        <v>0</v>
      </c>
      <c r="T549" s="768">
        <f ca="1">IF(I549&lt;&gt;0,+I549/'A-12'!G$80,0)</f>
        <v>0</v>
      </c>
      <c r="U549" s="768">
        <f ca="1">IF(J549&lt;&gt;0,+J549/'A-12'!H$80,0)</f>
        <v>0</v>
      </c>
      <c r="V549" s="768">
        <f ca="1">IF(K549&lt;&gt;0,+K549/'A-12'!I$80,0)</f>
        <v>0</v>
      </c>
    </row>
    <row r="550" spans="1:22" s="790" customFormat="1">
      <c r="A550" s="5"/>
      <c r="B550" s="249"/>
      <c r="C550" s="425" t="str">
        <v>Total Output Growth</v>
      </c>
      <c r="D550" s="426" t="str">
        <v>Business Overheads</v>
      </c>
      <c r="E550" s="847">
        <f ca="1"/>
        <v>0</v>
      </c>
      <c r="F550" s="386">
        <f ca="1"/>
        <v>0</v>
      </c>
      <c r="G550" s="383">
        <f ca="1"/>
        <v>0</v>
      </c>
      <c r="H550" s="383">
        <f ca="1"/>
        <v>0</v>
      </c>
      <c r="I550" s="383">
        <f ca="1"/>
        <v>0</v>
      </c>
      <c r="J550" s="383">
        <f ca="1"/>
        <v>0</v>
      </c>
      <c r="K550" s="383">
        <f ca="1"/>
        <v>0</v>
      </c>
      <c r="P550" s="386"/>
      <c r="Q550" s="768">
        <f ca="1">IF(F550&lt;&gt;0,+F550/'A-12'!D$81,0)</f>
        <v>0</v>
      </c>
      <c r="R550" s="768">
        <f ca="1">IF(G550&lt;&gt;0,+G550/'A-12'!E$81,0)</f>
        <v>0</v>
      </c>
      <c r="S550" s="768">
        <f ca="1">IF(H550&lt;&gt;0,+H550/'A-12'!F$81,0)</f>
        <v>0</v>
      </c>
      <c r="T550" s="768">
        <f ca="1">IF(I550&lt;&gt;0,+I550/'A-12'!G$81,0)</f>
        <v>0</v>
      </c>
      <c r="U550" s="768">
        <f ca="1">IF(J550&lt;&gt;0,+J550/'A-12'!H$81,0)</f>
        <v>0</v>
      </c>
      <c r="V550" s="768">
        <f ca="1">IF(K550&lt;&gt;0,+K550/'A-12'!I$81,0)</f>
        <v>0</v>
      </c>
    </row>
    <row r="551" spans="1:22" s="790" customFormat="1">
      <c r="A551" s="5"/>
      <c r="B551" s="249"/>
      <c r="C551" s="425" t="str">
        <v>Total Output Growth</v>
      </c>
      <c r="D551" s="426" t="str">
        <v>Other</v>
      </c>
      <c r="E551" s="847">
        <f ca="1"/>
        <v>0</v>
      </c>
      <c r="F551" s="386">
        <f ca="1"/>
        <v>0</v>
      </c>
      <c r="G551" s="383">
        <f ca="1"/>
        <v>0</v>
      </c>
      <c r="H551" s="383">
        <f ca="1"/>
        <v>0</v>
      </c>
      <c r="I551" s="383">
        <f ca="1"/>
        <v>0</v>
      </c>
      <c r="J551" s="383">
        <f ca="1"/>
        <v>0</v>
      </c>
      <c r="K551" s="383">
        <f ca="1"/>
        <v>0</v>
      </c>
      <c r="P551" s="386"/>
      <c r="Q551" s="768">
        <f ca="1">IF(F551&lt;&gt;0,+F551/'A-12'!D$82,0)</f>
        <v>0</v>
      </c>
      <c r="R551" s="768">
        <f ca="1">IF(G551&lt;&gt;0,+G551/'A-12'!E$82,0)</f>
        <v>0</v>
      </c>
      <c r="S551" s="768">
        <f ca="1">IF(H551&lt;&gt;0,+H551/'A-12'!F$82,0)</f>
        <v>0</v>
      </c>
      <c r="T551" s="768">
        <f ca="1">IF(I551&lt;&gt;0,+I551/'A-12'!G$82,0)</f>
        <v>0</v>
      </c>
      <c r="U551" s="768">
        <f ca="1">IF(J551&lt;&gt;0,+J551/'A-12'!H$82,0)</f>
        <v>0</v>
      </c>
      <c r="V551" s="768">
        <f ca="1">IF(K551&lt;&gt;0,+K551/'A-12'!I$82,0)</f>
        <v>0</v>
      </c>
    </row>
    <row r="552" spans="1:22">
      <c r="A552" s="5"/>
      <c r="B552" s="249"/>
      <c r="C552" s="424" t="s">
        <v>73</v>
      </c>
      <c r="D552" s="417"/>
      <c r="E552" s="848"/>
      <c r="F552" s="387"/>
      <c r="G552" s="385"/>
      <c r="H552" s="385"/>
      <c r="I552" s="385"/>
      <c r="J552" s="385"/>
      <c r="K552" s="385"/>
      <c r="P552" s="387"/>
      <c r="Q552" s="385"/>
      <c r="R552" s="385"/>
      <c r="S552" s="385"/>
      <c r="T552" s="385"/>
      <c r="U552" s="385"/>
      <c r="V552" s="385"/>
    </row>
    <row r="553" spans="1:22" s="767" customFormat="1">
      <c r="A553" s="5"/>
      <c r="B553" s="249"/>
      <c r="C553" s="425" t="str">
        <f t="array" ref="C553:D558">+'A-12'!$A$113:$B$119</f>
        <v>Labour</v>
      </c>
      <c r="D553" s="426" t="str">
        <v>Labour</v>
      </c>
      <c r="E553" s="847">
        <f t="array" ref="E553:K558" ca="1">+'A-12'!$N$113:$T$119</f>
        <v>0</v>
      </c>
      <c r="F553" s="386">
        <f ca="1"/>
        <v>0</v>
      </c>
      <c r="G553" s="383">
        <f ca="1"/>
        <v>2.9492462274591704E-3</v>
      </c>
      <c r="H553" s="383">
        <f ca="1"/>
        <v>6.0197724061201111E-3</v>
      </c>
      <c r="I553" s="383">
        <f ca="1"/>
        <v>9.3856714726624456E-3</v>
      </c>
      <c r="J553" s="383">
        <f ca="1"/>
        <v>1.2899813368871374E-2</v>
      </c>
      <c r="K553" s="383">
        <f ca="1"/>
        <v>1.6547407849728735E-2</v>
      </c>
      <c r="P553" s="386"/>
      <c r="Q553" s="768">
        <f ca="1">IF(F553&lt;&gt;0,+F553/'A-12'!D$113,0)</f>
        <v>0</v>
      </c>
      <c r="R553" s="768">
        <f ca="1">IF(G553&lt;&gt;0,+G553/'A-12'!E$113,0)</f>
        <v>0.13744295432624798</v>
      </c>
      <c r="S553" s="768">
        <f ca="1">IF(H553&lt;&gt;0,+H553/'A-12'!F$113,0)</f>
        <v>0.13877997533681122</v>
      </c>
      <c r="T553" s="768">
        <f ca="1">IF(I553&lt;&gt;0,+I553/'A-12'!G$113,0)</f>
        <v>0.14010160575916497</v>
      </c>
      <c r="U553" s="768">
        <f ca="1">IF(J553&lt;&gt;0,+J553/'A-12'!H$113,0)</f>
        <v>0.14153546861999142</v>
      </c>
      <c r="V553" s="768">
        <f ca="1">IF(K553&lt;&gt;0,+K553/'A-12'!I$113,0)</f>
        <v>0.14284889773158405</v>
      </c>
    </row>
    <row r="554" spans="1:22" s="767" customFormat="1">
      <c r="A554" s="5"/>
      <c r="B554" s="249"/>
      <c r="C554" s="425" t="str">
        <v>Materials</v>
      </c>
      <c r="D554" s="426" t="str">
        <v>Materials</v>
      </c>
      <c r="E554" s="847">
        <f ca="1"/>
        <v>0</v>
      </c>
      <c r="F554" s="386">
        <f ca="1"/>
        <v>0</v>
      </c>
      <c r="G554" s="383">
        <f ca="1"/>
        <v>0</v>
      </c>
      <c r="H554" s="383">
        <f ca="1"/>
        <v>0</v>
      </c>
      <c r="I554" s="383">
        <f ca="1"/>
        <v>0</v>
      </c>
      <c r="J554" s="383">
        <f ca="1"/>
        <v>0</v>
      </c>
      <c r="K554" s="383">
        <f ca="1"/>
        <v>0</v>
      </c>
      <c r="P554" s="386"/>
      <c r="Q554" s="768">
        <f ca="1">IF(F554&lt;&gt;0,+F554/'A-12'!D$114,0)</f>
        <v>0</v>
      </c>
      <c r="R554" s="768">
        <f ca="1">IF(G554&lt;&gt;0,+G554/'A-12'!E$114,0)</f>
        <v>0</v>
      </c>
      <c r="S554" s="768">
        <f ca="1">IF(H554&lt;&gt;0,+H554/'A-12'!F$114,0)</f>
        <v>0</v>
      </c>
      <c r="T554" s="768">
        <f ca="1">IF(I554&lt;&gt;0,+I554/'A-12'!G$114,0)</f>
        <v>0</v>
      </c>
      <c r="U554" s="768">
        <f ca="1">IF(J554&lt;&gt;0,+J554/'A-12'!H$114,0)</f>
        <v>0</v>
      </c>
      <c r="V554" s="768">
        <f ca="1">IF(K554&lt;&gt;0,+K554/'A-12'!I$114,0)</f>
        <v>0</v>
      </c>
    </row>
    <row r="555" spans="1:22" s="767" customFormat="1">
      <c r="A555" s="5"/>
      <c r="B555" s="249"/>
      <c r="C555" s="425" t="str">
        <v>Services-construction</v>
      </c>
      <c r="D555" s="426" t="str">
        <v>Contracts</v>
      </c>
      <c r="E555" s="847">
        <f ca="1"/>
        <v>0</v>
      </c>
      <c r="F555" s="386">
        <f ca="1"/>
        <v>0</v>
      </c>
      <c r="G555" s="383">
        <f ca="1"/>
        <v>0</v>
      </c>
      <c r="H555" s="383">
        <f ca="1"/>
        <v>0</v>
      </c>
      <c r="I555" s="383">
        <f ca="1"/>
        <v>0</v>
      </c>
      <c r="J555" s="383">
        <f ca="1"/>
        <v>0</v>
      </c>
      <c r="K555" s="383">
        <f ca="1"/>
        <v>0</v>
      </c>
      <c r="P555" s="386"/>
      <c r="Q555" s="768">
        <f ca="1">IF(F555&lt;&gt;0,+F555/'A-12'!D$115,0)</f>
        <v>0</v>
      </c>
      <c r="R555" s="768">
        <f ca="1">IF(G555&lt;&gt;0,+G555/'A-12'!E$115,0)</f>
        <v>0</v>
      </c>
      <c r="S555" s="768">
        <f ca="1">IF(H555&lt;&gt;0,+H555/'A-12'!F$115,0)</f>
        <v>0</v>
      </c>
      <c r="T555" s="768">
        <f ca="1">IF(I555&lt;&gt;0,+I555/'A-12'!G$115,0)</f>
        <v>0</v>
      </c>
      <c r="U555" s="768">
        <f ca="1">IF(J555&lt;&gt;0,+J555/'A-12'!H$115,0)</f>
        <v>0</v>
      </c>
      <c r="V555" s="768">
        <f ca="1">IF(K555&lt;&gt;0,+K555/'A-12'!I$115,0)</f>
        <v>0</v>
      </c>
    </row>
    <row r="556" spans="1:22" s="767" customFormat="1">
      <c r="A556" s="5"/>
      <c r="B556" s="249"/>
      <c r="C556" s="425" t="str">
        <v>Services-general</v>
      </c>
      <c r="D556" s="426" t="str">
        <v>Services Other</v>
      </c>
      <c r="E556" s="847">
        <f ca="1"/>
        <v>0</v>
      </c>
      <c r="F556" s="386">
        <f ca="1"/>
        <v>0</v>
      </c>
      <c r="G556" s="383">
        <f ca="1"/>
        <v>0</v>
      </c>
      <c r="H556" s="383">
        <f ca="1"/>
        <v>0</v>
      </c>
      <c r="I556" s="383">
        <f ca="1"/>
        <v>0</v>
      </c>
      <c r="J556" s="383">
        <f ca="1"/>
        <v>0</v>
      </c>
      <c r="K556" s="383">
        <f ca="1"/>
        <v>0</v>
      </c>
      <c r="P556" s="386"/>
      <c r="Q556" s="768">
        <f ca="1">IF(F556&lt;&gt;0,+F556/'A-12'!D$116,0)</f>
        <v>0</v>
      </c>
      <c r="R556" s="768">
        <f ca="1">IF(G556&lt;&gt;0,+G556/'A-12'!E$116,0)</f>
        <v>0</v>
      </c>
      <c r="S556" s="768">
        <f ca="1">IF(H556&lt;&gt;0,+H556/'A-12'!F$116,0)</f>
        <v>0</v>
      </c>
      <c r="T556" s="768">
        <f ca="1">IF(I556&lt;&gt;0,+I556/'A-12'!G$116,0)</f>
        <v>0</v>
      </c>
      <c r="U556" s="768">
        <f ca="1">IF(J556&lt;&gt;0,+J556/'A-12'!H$116,0)</f>
        <v>0</v>
      </c>
      <c r="V556" s="768">
        <f ca="1">IF(K556&lt;&gt;0,+K556/'A-12'!I$116,0)</f>
        <v>0</v>
      </c>
    </row>
    <row r="557" spans="1:22" s="767" customFormat="1">
      <c r="A557" s="5"/>
      <c r="B557" s="249"/>
      <c r="C557" s="425" t="str">
        <v>Labour</v>
      </c>
      <c r="D557" s="426" t="str">
        <v>Business Overheads</v>
      </c>
      <c r="E557" s="847">
        <f ca="1"/>
        <v>0</v>
      </c>
      <c r="F557" s="386">
        <f ca="1"/>
        <v>0</v>
      </c>
      <c r="G557" s="383">
        <f ca="1"/>
        <v>0</v>
      </c>
      <c r="H557" s="383">
        <f ca="1"/>
        <v>0</v>
      </c>
      <c r="I557" s="383">
        <f ca="1"/>
        <v>0</v>
      </c>
      <c r="J557" s="383">
        <f ca="1"/>
        <v>0</v>
      </c>
      <c r="K557" s="383">
        <f ca="1"/>
        <v>0</v>
      </c>
      <c r="P557" s="386"/>
      <c r="Q557" s="768">
        <f ca="1">IF(F557&lt;&gt;0,+F557/'A-12'!D$117,0)</f>
        <v>0</v>
      </c>
      <c r="R557" s="768">
        <f ca="1">IF(G557&lt;&gt;0,+G557/'A-12'!E$117,0)</f>
        <v>0</v>
      </c>
      <c r="S557" s="768">
        <f ca="1">IF(H557&lt;&gt;0,+H557/'A-12'!F$117,0)</f>
        <v>0</v>
      </c>
      <c r="T557" s="768">
        <f ca="1">IF(I557&lt;&gt;0,+I557/'A-12'!G$117,0)</f>
        <v>0</v>
      </c>
      <c r="U557" s="768">
        <f ca="1">IF(J557&lt;&gt;0,+J557/'A-12'!H$117,0)</f>
        <v>0</v>
      </c>
      <c r="V557" s="768">
        <f ca="1">IF(K557&lt;&gt;0,+K557/'A-12'!I$117,0)</f>
        <v>0</v>
      </c>
    </row>
    <row r="558" spans="1:22" s="767" customFormat="1">
      <c r="A558" s="5"/>
      <c r="B558" s="249"/>
      <c r="C558" s="425" t="str">
        <v>Materials - Land</v>
      </c>
      <c r="D558" s="426" t="str">
        <v>Other</v>
      </c>
      <c r="E558" s="847">
        <f ca="1"/>
        <v>0</v>
      </c>
      <c r="F558" s="386">
        <f ca="1"/>
        <v>0</v>
      </c>
      <c r="G558" s="383">
        <f ca="1"/>
        <v>0</v>
      </c>
      <c r="H558" s="383">
        <f ca="1"/>
        <v>0</v>
      </c>
      <c r="I558" s="383">
        <f ca="1"/>
        <v>0</v>
      </c>
      <c r="J558" s="383">
        <f ca="1"/>
        <v>0</v>
      </c>
      <c r="K558" s="383">
        <f ca="1"/>
        <v>0</v>
      </c>
      <c r="P558" s="386"/>
      <c r="Q558" s="768">
        <f ca="1">IF(F558&lt;&gt;0,+F558/'A-12'!D$118,0)</f>
        <v>0</v>
      </c>
      <c r="R558" s="768">
        <f ca="1">IF(G558&lt;&gt;0,+G558/'A-12'!E$118,0)</f>
        <v>0</v>
      </c>
      <c r="S558" s="768">
        <f ca="1">IF(H558&lt;&gt;0,+H558/'A-12'!F$118,0)</f>
        <v>0</v>
      </c>
      <c r="T558" s="768">
        <f ca="1">IF(I558&lt;&gt;0,+I558/'A-12'!G$118,0)</f>
        <v>0</v>
      </c>
      <c r="U558" s="768">
        <f ca="1">IF(J558&lt;&gt;0,+J558/'A-12'!H$118,0)</f>
        <v>0</v>
      </c>
      <c r="V558" s="768">
        <f ca="1">IF(K558&lt;&gt;0,+K558/'A-12'!I$118,0)</f>
        <v>0</v>
      </c>
    </row>
    <row r="559" spans="1:22">
      <c r="A559" s="5"/>
      <c r="B559" s="249" t="str">
        <f ca="1">+'I-4 History'!B336</f>
        <v>A-13</v>
      </c>
      <c r="C559" s="14" t="str">
        <f ca="1">+'I-4 History'!C336</f>
        <v>Accounts Payable</v>
      </c>
      <c r="D559" s="418"/>
      <c r="E559" s="507"/>
      <c r="F559" s="11"/>
      <c r="G559" s="11"/>
      <c r="H559" s="11"/>
      <c r="I559" s="11"/>
      <c r="J559" s="11"/>
      <c r="K559" s="11"/>
      <c r="P559" s="11"/>
      <c r="Q559" s="11"/>
      <c r="R559" s="11"/>
      <c r="S559" s="11"/>
      <c r="T559" s="11"/>
      <c r="U559" s="11"/>
      <c r="V559" s="11"/>
    </row>
    <row r="560" spans="1:22">
      <c r="A560" s="5"/>
      <c r="B560" s="249"/>
      <c r="C560" s="424" t="s">
        <v>74</v>
      </c>
      <c r="D560" s="416"/>
      <c r="E560" s="507"/>
      <c r="F560" s="11"/>
      <c r="G560" s="11"/>
      <c r="H560" s="11"/>
      <c r="I560" s="11"/>
      <c r="J560" s="11"/>
      <c r="K560" s="11"/>
      <c r="P560" s="11"/>
      <c r="Q560" s="11"/>
      <c r="R560" s="11"/>
      <c r="S560" s="11"/>
      <c r="T560" s="11"/>
      <c r="U560" s="11"/>
      <c r="V560" s="11"/>
    </row>
    <row r="561" spans="1:22">
      <c r="A561" s="5"/>
      <c r="B561" s="249"/>
      <c r="C561" s="425" t="str">
        <f t="array" ref="C561:D566">+'A-13'!$A$77:$B$82</f>
        <v>Total Output Growth</v>
      </c>
      <c r="D561" s="426" t="str">
        <v>Labour</v>
      </c>
      <c r="E561" s="847">
        <f t="array" ref="E561:K566" ca="1">+'A-13'!$N$77:$T$82</f>
        <v>0</v>
      </c>
      <c r="F561" s="386">
        <f ca="1"/>
        <v>0</v>
      </c>
      <c r="G561" s="383">
        <f ca="1"/>
        <v>4.5835019774935724E-3</v>
      </c>
      <c r="H561" s="383">
        <f ca="1"/>
        <v>8.8305098934002759E-3</v>
      </c>
      <c r="I561" s="383">
        <f ca="1"/>
        <v>1.3028630058523954E-2</v>
      </c>
      <c r="J561" s="383">
        <f ca="1"/>
        <v>1.758325326350214E-2</v>
      </c>
      <c r="K561" s="383">
        <f ca="1"/>
        <v>2.1755322206208079E-2</v>
      </c>
      <c r="L561" s="790"/>
      <c r="M561" s="790"/>
      <c r="N561" s="790"/>
      <c r="O561" s="790"/>
      <c r="P561" s="386"/>
      <c r="Q561" s="768">
        <f ca="1">IF(F561&lt;&gt;0,+F561/'A-13'!D$77,0)</f>
        <v>0</v>
      </c>
      <c r="R561" s="768">
        <f ca="1">IF(G561&lt;&gt;0,+G561/'A-13'!E$77,0)</f>
        <v>0.432</v>
      </c>
      <c r="S561" s="768">
        <f ca="1">IF(H561&lt;&gt;0,+H561/'A-13'!F$77,0)</f>
        <v>0.432</v>
      </c>
      <c r="T561" s="768">
        <f ca="1">IF(I561&lt;&gt;0,+I561/'A-13'!G$77,0)</f>
        <v>0.43199999999999994</v>
      </c>
      <c r="U561" s="768">
        <f ca="1">IF(J561&lt;&gt;0,+J561/'A-13'!H$77,0)</f>
        <v>0.432</v>
      </c>
      <c r="V561" s="768">
        <f ca="1">IF(K561&lt;&gt;0,+K561/'A-13'!I$77,0)</f>
        <v>0.43200000000000005</v>
      </c>
    </row>
    <row r="562" spans="1:22">
      <c r="A562" s="5"/>
      <c r="B562" s="249"/>
      <c r="C562" s="425" t="str">
        <v>Total Output Growth</v>
      </c>
      <c r="D562" s="426" t="str">
        <v>Materials</v>
      </c>
      <c r="E562" s="847">
        <f ca="1"/>
        <v>0</v>
      </c>
      <c r="F562" s="386">
        <f ca="1"/>
        <v>0</v>
      </c>
      <c r="G562" s="383">
        <f ca="1"/>
        <v>0</v>
      </c>
      <c r="H562" s="383">
        <f ca="1"/>
        <v>0</v>
      </c>
      <c r="I562" s="383">
        <f ca="1"/>
        <v>0</v>
      </c>
      <c r="J562" s="383">
        <f ca="1"/>
        <v>0</v>
      </c>
      <c r="K562" s="383">
        <f ca="1"/>
        <v>0</v>
      </c>
      <c r="L562" s="790"/>
      <c r="M562" s="790"/>
      <c r="N562" s="790"/>
      <c r="O562" s="790"/>
      <c r="P562" s="386"/>
      <c r="Q562" s="768">
        <f ca="1">IF(F562&lt;&gt;0,+F562/'A-13'!D$78,0)</f>
        <v>0</v>
      </c>
      <c r="R562" s="768">
        <f ca="1">IF(G562&lt;&gt;0,+G562/'A-13'!E$78,0)</f>
        <v>0</v>
      </c>
      <c r="S562" s="768">
        <f ca="1">IF(H562&lt;&gt;0,+H562/'A-13'!F$78,0)</f>
        <v>0</v>
      </c>
      <c r="T562" s="768">
        <f ca="1">IF(I562&lt;&gt;0,+I562/'A-13'!G$78,0)</f>
        <v>0</v>
      </c>
      <c r="U562" s="768">
        <f ca="1">IF(J562&lt;&gt;0,+J562/'A-13'!H$78,0)</f>
        <v>0</v>
      </c>
      <c r="V562" s="768">
        <f ca="1">IF(K562&lt;&gt;0,+K562/'A-13'!I$78,0)</f>
        <v>0</v>
      </c>
    </row>
    <row r="563" spans="1:22">
      <c r="A563" s="5"/>
      <c r="B563" s="249"/>
      <c r="C563" s="425" t="str">
        <v>Total Output Growth</v>
      </c>
      <c r="D563" s="426" t="str">
        <v>Contracts</v>
      </c>
      <c r="E563" s="847">
        <f ca="1"/>
        <v>0</v>
      </c>
      <c r="F563" s="386">
        <f ca="1"/>
        <v>0</v>
      </c>
      <c r="G563" s="383">
        <f ca="1"/>
        <v>0</v>
      </c>
      <c r="H563" s="383">
        <f ca="1"/>
        <v>0</v>
      </c>
      <c r="I563" s="383">
        <f ca="1"/>
        <v>0</v>
      </c>
      <c r="J563" s="383">
        <f ca="1"/>
        <v>0</v>
      </c>
      <c r="K563" s="383">
        <f ca="1"/>
        <v>0</v>
      </c>
      <c r="L563" s="790"/>
      <c r="M563" s="790"/>
      <c r="N563" s="790"/>
      <c r="O563" s="790"/>
      <c r="P563" s="386"/>
      <c r="Q563" s="768">
        <f ca="1">IF(F563&lt;&gt;0,+F563/'A-13'!D$79,0)</f>
        <v>0</v>
      </c>
      <c r="R563" s="768">
        <f ca="1">IF(G563&lt;&gt;0,+G563/'A-13'!E$79,0)</f>
        <v>0</v>
      </c>
      <c r="S563" s="768">
        <f ca="1">IF(H563&lt;&gt;0,+H563/'A-13'!F$79,0)</f>
        <v>0</v>
      </c>
      <c r="T563" s="768">
        <f ca="1">IF(I563&lt;&gt;0,+I563/'A-13'!G$79,0)</f>
        <v>0</v>
      </c>
      <c r="U563" s="768">
        <f ca="1">IF(J563&lt;&gt;0,+J563/'A-13'!H$79,0)</f>
        <v>0</v>
      </c>
      <c r="V563" s="768">
        <f ca="1">IF(K563&lt;&gt;0,+K563/'A-13'!I$79,0)</f>
        <v>0</v>
      </c>
    </row>
    <row r="564" spans="1:22" s="790" customFormat="1">
      <c r="A564" s="5"/>
      <c r="B564" s="249"/>
      <c r="C564" s="425" t="str">
        <v>Total Output Growth</v>
      </c>
      <c r="D564" s="426" t="str">
        <v>Services Other</v>
      </c>
      <c r="E564" s="847">
        <f ca="1"/>
        <v>0</v>
      </c>
      <c r="F564" s="386">
        <f ca="1"/>
        <v>0</v>
      </c>
      <c r="G564" s="383">
        <f ca="1"/>
        <v>1.0609958281235122E-5</v>
      </c>
      <c r="H564" s="383">
        <f ca="1"/>
        <v>2.0440995123611749E-5</v>
      </c>
      <c r="I564" s="383">
        <f ca="1"/>
        <v>3.0158865876212861E-5</v>
      </c>
      <c r="J564" s="383">
        <f ca="1"/>
        <v>4.0701975146995693E-5</v>
      </c>
      <c r="K564" s="383">
        <f ca="1"/>
        <v>5.0359542144000181E-5</v>
      </c>
      <c r="P564" s="386"/>
      <c r="Q564" s="768">
        <f ca="1">IF(F564&lt;&gt;0,+F564/'A-13'!D$80,0)</f>
        <v>0</v>
      </c>
      <c r="R564" s="768">
        <f ca="1">IF(G564&lt;&gt;0,+G564/'A-13'!E$80,0)</f>
        <v>1E-3</v>
      </c>
      <c r="S564" s="768">
        <f ca="1">IF(H564&lt;&gt;0,+H564/'A-13'!F$80,0)</f>
        <v>1E-3</v>
      </c>
      <c r="T564" s="768">
        <f ca="1">IF(I564&lt;&gt;0,+I564/'A-13'!G$80,0)</f>
        <v>1E-3</v>
      </c>
      <c r="U564" s="768">
        <f ca="1">IF(J564&lt;&gt;0,+J564/'A-13'!H$80,0)</f>
        <v>1E-3</v>
      </c>
      <c r="V564" s="768">
        <f ca="1">IF(K564&lt;&gt;0,+K564/'A-13'!I$80,0)</f>
        <v>1E-3</v>
      </c>
    </row>
    <row r="565" spans="1:22" s="790" customFormat="1">
      <c r="A565" s="5"/>
      <c r="B565" s="249"/>
      <c r="C565" s="425" t="str">
        <v>Total Output Growth</v>
      </c>
      <c r="D565" s="426" t="str">
        <v>Business Overheads</v>
      </c>
      <c r="E565" s="847">
        <f ca="1"/>
        <v>0</v>
      </c>
      <c r="F565" s="386">
        <f ca="1"/>
        <v>0</v>
      </c>
      <c r="G565" s="383">
        <f ca="1"/>
        <v>0</v>
      </c>
      <c r="H565" s="383">
        <f ca="1"/>
        <v>0</v>
      </c>
      <c r="I565" s="383">
        <f ca="1"/>
        <v>0</v>
      </c>
      <c r="J565" s="383">
        <f ca="1"/>
        <v>0</v>
      </c>
      <c r="K565" s="383">
        <f ca="1"/>
        <v>0</v>
      </c>
      <c r="P565" s="386"/>
      <c r="Q565" s="768">
        <f ca="1">IF(F565&lt;&gt;0,+F565/'A-13'!D$81,0)</f>
        <v>0</v>
      </c>
      <c r="R565" s="768">
        <f ca="1">IF(G565&lt;&gt;0,+G565/'A-13'!E$81,0)</f>
        <v>0</v>
      </c>
      <c r="S565" s="768">
        <f ca="1">IF(H565&lt;&gt;0,+H565/'A-13'!F$81,0)</f>
        <v>0</v>
      </c>
      <c r="T565" s="768">
        <f ca="1">IF(I565&lt;&gt;0,+I565/'A-13'!G$81,0)</f>
        <v>0</v>
      </c>
      <c r="U565" s="768">
        <f ca="1">IF(J565&lt;&gt;0,+J565/'A-13'!H$81,0)</f>
        <v>0</v>
      </c>
      <c r="V565" s="768">
        <f ca="1">IF(K565&lt;&gt;0,+K565/'A-13'!I$81,0)</f>
        <v>0</v>
      </c>
    </row>
    <row r="566" spans="1:22" s="790" customFormat="1">
      <c r="A566" s="5"/>
      <c r="B566" s="249"/>
      <c r="C566" s="425" t="str">
        <v>Total Output Growth</v>
      </c>
      <c r="D566" s="426" t="str">
        <v>Other</v>
      </c>
      <c r="E566" s="847">
        <f ca="1"/>
        <v>0</v>
      </c>
      <c r="F566" s="386">
        <f ca="1"/>
        <v>0</v>
      </c>
      <c r="G566" s="383">
        <f ca="1"/>
        <v>0</v>
      </c>
      <c r="H566" s="383">
        <f ca="1"/>
        <v>0</v>
      </c>
      <c r="I566" s="383">
        <f ca="1"/>
        <v>0</v>
      </c>
      <c r="J566" s="383">
        <f ca="1"/>
        <v>0</v>
      </c>
      <c r="K566" s="383">
        <f ca="1"/>
        <v>0</v>
      </c>
      <c r="P566" s="386"/>
      <c r="Q566" s="768">
        <f ca="1">IF(F566&lt;&gt;0,+F566/'A-13'!D$82,0)</f>
        <v>0</v>
      </c>
      <c r="R566" s="768">
        <f ca="1">IF(G566&lt;&gt;0,+G566/'A-13'!E$82,0)</f>
        <v>0</v>
      </c>
      <c r="S566" s="768">
        <f ca="1">IF(H566&lt;&gt;0,+H566/'A-13'!F$82,0)</f>
        <v>0</v>
      </c>
      <c r="T566" s="768">
        <f ca="1">IF(I566&lt;&gt;0,+I566/'A-13'!G$82,0)</f>
        <v>0</v>
      </c>
      <c r="U566" s="768">
        <f ca="1">IF(J566&lt;&gt;0,+J566/'A-13'!H$82,0)</f>
        <v>0</v>
      </c>
      <c r="V566" s="768">
        <f ca="1">IF(K566&lt;&gt;0,+K566/'A-13'!I$82,0)</f>
        <v>0</v>
      </c>
    </row>
    <row r="567" spans="1:22">
      <c r="A567" s="5"/>
      <c r="B567" s="249"/>
      <c r="C567" s="424" t="s">
        <v>73</v>
      </c>
      <c r="D567" s="417"/>
      <c r="E567" s="848"/>
      <c r="F567" s="387"/>
      <c r="G567" s="385"/>
      <c r="H567" s="385"/>
      <c r="I567" s="385"/>
      <c r="J567" s="385"/>
      <c r="K567" s="385"/>
      <c r="P567" s="387"/>
      <c r="Q567" s="385"/>
      <c r="R567" s="385"/>
      <c r="S567" s="385"/>
      <c r="T567" s="385"/>
      <c r="U567" s="385"/>
      <c r="V567" s="385"/>
    </row>
    <row r="568" spans="1:22" s="767" customFormat="1">
      <c r="A568" s="5"/>
      <c r="B568" s="249"/>
      <c r="C568" s="425" t="str">
        <f t="array" ref="C568:D573">+'A-13'!$A$113:$B$119</f>
        <v>Labour</v>
      </c>
      <c r="D568" s="426" t="str">
        <v>Labour</v>
      </c>
      <c r="E568" s="847">
        <f t="array" ref="E568:K573" ca="1">+'A-13'!$N$113:$T$119</f>
        <v>0</v>
      </c>
      <c r="F568" s="386">
        <f ca="1"/>
        <v>0</v>
      </c>
      <c r="G568" s="383">
        <f ca="1"/>
        <v>9.3681938989879521E-3</v>
      </c>
      <c r="H568" s="383">
        <f ca="1"/>
        <v>1.9121629995910938E-2</v>
      </c>
      <c r="I568" s="383">
        <f ca="1"/>
        <v>2.9813309383751291E-2</v>
      </c>
      <c r="J568" s="383">
        <f ca="1"/>
        <v>4.0975877759944365E-2</v>
      </c>
      <c r="K568" s="383">
        <f ca="1"/>
        <v>5.2562354346197153E-2</v>
      </c>
      <c r="P568" s="386"/>
      <c r="Q568" s="768">
        <f ca="1">IF(F568&lt;&gt;0,+F568/'A-13'!D$113,0)</f>
        <v>0</v>
      </c>
      <c r="R568" s="768">
        <f ca="1">IF(G568&lt;&gt;0,+G568/'A-13'!E$113,0)</f>
        <v>0.43658350197749357</v>
      </c>
      <c r="S568" s="768">
        <f ca="1">IF(H568&lt;&gt;0,+H568/'A-13'!F$113,0)</f>
        <v>0.44083050989340028</v>
      </c>
      <c r="T568" s="768">
        <f ca="1">IF(I568&lt;&gt;0,+I568/'A-13'!G$113,0)</f>
        <v>0.44502863005852394</v>
      </c>
      <c r="U568" s="768">
        <f ca="1">IF(J568&lt;&gt;0,+J568/'A-13'!H$113,0)</f>
        <v>0.44958325326350218</v>
      </c>
      <c r="V568" s="768">
        <f ca="1">IF(K568&lt;&gt;0,+K568/'A-13'!I$113,0)</f>
        <v>0.45375532220620807</v>
      </c>
    </row>
    <row r="569" spans="1:22" s="767" customFormat="1">
      <c r="A569" s="5"/>
      <c r="B569" s="249"/>
      <c r="C569" s="425" t="str">
        <v>Materials</v>
      </c>
      <c r="D569" s="426" t="str">
        <v>Materials</v>
      </c>
      <c r="E569" s="847">
        <f ca="1"/>
        <v>0</v>
      </c>
      <c r="F569" s="386">
        <f ca="1"/>
        <v>0</v>
      </c>
      <c r="G569" s="383">
        <f ca="1"/>
        <v>0</v>
      </c>
      <c r="H569" s="383">
        <f ca="1"/>
        <v>0</v>
      </c>
      <c r="I569" s="383">
        <f ca="1"/>
        <v>0</v>
      </c>
      <c r="J569" s="383">
        <f ca="1"/>
        <v>0</v>
      </c>
      <c r="K569" s="383">
        <f ca="1"/>
        <v>0</v>
      </c>
      <c r="P569" s="386"/>
      <c r="Q569" s="768">
        <f ca="1">IF(F569&lt;&gt;0,+F569/'A-13'!D$114,0)</f>
        <v>0</v>
      </c>
      <c r="R569" s="768">
        <f ca="1">IF(G569&lt;&gt;0,+G569/'A-13'!E$114,0)</f>
        <v>0</v>
      </c>
      <c r="S569" s="768">
        <f ca="1">IF(H569&lt;&gt;0,+H569/'A-13'!F$114,0)</f>
        <v>0</v>
      </c>
      <c r="T569" s="768">
        <f ca="1">IF(I569&lt;&gt;0,+I569/'A-13'!G$114,0)</f>
        <v>0</v>
      </c>
      <c r="U569" s="768">
        <f ca="1">IF(J569&lt;&gt;0,+J569/'A-13'!H$114,0)</f>
        <v>0</v>
      </c>
      <c r="V569" s="768">
        <f ca="1">IF(K569&lt;&gt;0,+K569/'A-13'!I$114,0)</f>
        <v>0</v>
      </c>
    </row>
    <row r="570" spans="1:22" s="767" customFormat="1">
      <c r="A570" s="5"/>
      <c r="B570" s="249"/>
      <c r="C570" s="425" t="str">
        <v>Services-construction</v>
      </c>
      <c r="D570" s="426" t="str">
        <v>Contracts</v>
      </c>
      <c r="E570" s="847">
        <f ca="1"/>
        <v>0</v>
      </c>
      <c r="F570" s="386">
        <f ca="1"/>
        <v>0</v>
      </c>
      <c r="G570" s="383">
        <f ca="1"/>
        <v>0</v>
      </c>
      <c r="H570" s="383">
        <f ca="1"/>
        <v>0</v>
      </c>
      <c r="I570" s="383">
        <f ca="1"/>
        <v>0</v>
      </c>
      <c r="J570" s="383">
        <f ca="1"/>
        <v>0</v>
      </c>
      <c r="K570" s="383">
        <f ca="1"/>
        <v>0</v>
      </c>
      <c r="P570" s="386"/>
      <c r="Q570" s="768">
        <f ca="1">IF(F570&lt;&gt;0,+F570/'A-13'!D$115,0)</f>
        <v>0</v>
      </c>
      <c r="R570" s="768">
        <f ca="1">IF(G570&lt;&gt;0,+G570/'A-13'!E$115,0)</f>
        <v>0</v>
      </c>
      <c r="S570" s="768">
        <f ca="1">IF(H570&lt;&gt;0,+H570/'A-13'!F$115,0)</f>
        <v>0</v>
      </c>
      <c r="T570" s="768">
        <f ca="1">IF(I570&lt;&gt;0,+I570/'A-13'!G$115,0)</f>
        <v>0</v>
      </c>
      <c r="U570" s="768">
        <f ca="1">IF(J570&lt;&gt;0,+J570/'A-13'!H$115,0)</f>
        <v>0</v>
      </c>
      <c r="V570" s="768">
        <f ca="1">IF(K570&lt;&gt;0,+K570/'A-13'!I$115,0)</f>
        <v>0</v>
      </c>
    </row>
    <row r="571" spans="1:22" s="767" customFormat="1">
      <c r="A571" s="5"/>
      <c r="B571" s="249"/>
      <c r="C571" s="425" t="str">
        <v>Services-general</v>
      </c>
      <c r="D571" s="426" t="str">
        <v>Services Other</v>
      </c>
      <c r="E571" s="847">
        <f ca="1"/>
        <v>0</v>
      </c>
      <c r="F571" s="386">
        <f ca="1"/>
        <v>0</v>
      </c>
      <c r="G571" s="383">
        <f ca="1"/>
        <v>5.0530497914060681E-6</v>
      </c>
      <c r="H571" s="383">
        <f ca="1"/>
        <v>1.0229920976113931E-5</v>
      </c>
      <c r="I571" s="383">
        <f ca="1"/>
        <v>1.9691718506968131E-5</v>
      </c>
      <c r="J571" s="383">
        <f ca="1"/>
        <v>3.1029502302257457E-5</v>
      </c>
      <c r="K571" s="383">
        <f ca="1"/>
        <v>4.4838414113705024E-5</v>
      </c>
      <c r="P571" s="386"/>
      <c r="Q571" s="768">
        <f ca="1">IF(F571&lt;&gt;0,+F571/'A-13'!D$116,0)</f>
        <v>0</v>
      </c>
      <c r="R571" s="768">
        <f ca="1">IF(G571&lt;&gt;0,+G571/'A-13'!E$116,0)</f>
        <v>1.0106099582812352E-3</v>
      </c>
      <c r="S571" s="768">
        <f ca="1">IF(H571&lt;&gt;0,+H571/'A-13'!F$116,0)</f>
        <v>1.0204409951236118E-3</v>
      </c>
      <c r="T571" s="768">
        <f ca="1">IF(I571&lt;&gt;0,+I571/'A-13'!G$116,0)</f>
        <v>1.0301588658762129E-3</v>
      </c>
      <c r="U571" s="768">
        <f ca="1">IF(J571&lt;&gt;0,+J571/'A-13'!H$116,0)</f>
        <v>1.0407019751469955E-3</v>
      </c>
      <c r="V571" s="768">
        <f ca="1">IF(K571&lt;&gt;0,+K571/'A-13'!I$116,0)</f>
        <v>1.0503595421440001E-3</v>
      </c>
    </row>
    <row r="572" spans="1:22" s="767" customFormat="1">
      <c r="A572" s="5"/>
      <c r="B572" s="249"/>
      <c r="C572" s="425" t="str">
        <v>Labour</v>
      </c>
      <c r="D572" s="426" t="str">
        <v>Business Overheads</v>
      </c>
      <c r="E572" s="847">
        <f ca="1"/>
        <v>0</v>
      </c>
      <c r="F572" s="386">
        <f ca="1"/>
        <v>0</v>
      </c>
      <c r="G572" s="383">
        <f ca="1"/>
        <v>0</v>
      </c>
      <c r="H572" s="383">
        <f ca="1"/>
        <v>0</v>
      </c>
      <c r="I572" s="383">
        <f ca="1"/>
        <v>0</v>
      </c>
      <c r="J572" s="383">
        <f ca="1"/>
        <v>0</v>
      </c>
      <c r="K572" s="383">
        <f ca="1"/>
        <v>0</v>
      </c>
      <c r="P572" s="386"/>
      <c r="Q572" s="768">
        <f ca="1">IF(F572&lt;&gt;0,+F572/'A-13'!D$117,0)</f>
        <v>0</v>
      </c>
      <c r="R572" s="768">
        <f ca="1">IF(G572&lt;&gt;0,+G572/'A-13'!E$117,0)</f>
        <v>0</v>
      </c>
      <c r="S572" s="768">
        <f ca="1">IF(H572&lt;&gt;0,+H572/'A-13'!F$117,0)</f>
        <v>0</v>
      </c>
      <c r="T572" s="768">
        <f ca="1">IF(I572&lt;&gt;0,+I572/'A-13'!G$117,0)</f>
        <v>0</v>
      </c>
      <c r="U572" s="768">
        <f ca="1">IF(J572&lt;&gt;0,+J572/'A-13'!H$117,0)</f>
        <v>0</v>
      </c>
      <c r="V572" s="768">
        <f ca="1">IF(K572&lt;&gt;0,+K572/'A-13'!I$117,0)</f>
        <v>0</v>
      </c>
    </row>
    <row r="573" spans="1:22" s="767" customFormat="1">
      <c r="A573" s="5"/>
      <c r="B573" s="249"/>
      <c r="C573" s="425" t="str">
        <v>Materials - Land</v>
      </c>
      <c r="D573" s="426" t="str">
        <v>Other</v>
      </c>
      <c r="E573" s="847">
        <f ca="1"/>
        <v>0</v>
      </c>
      <c r="F573" s="386">
        <f ca="1"/>
        <v>0</v>
      </c>
      <c r="G573" s="383">
        <f ca="1"/>
        <v>0</v>
      </c>
      <c r="H573" s="383">
        <f ca="1"/>
        <v>0</v>
      </c>
      <c r="I573" s="383">
        <f ca="1"/>
        <v>0</v>
      </c>
      <c r="J573" s="383">
        <f ca="1"/>
        <v>0</v>
      </c>
      <c r="K573" s="383">
        <f ca="1"/>
        <v>0</v>
      </c>
      <c r="P573" s="386"/>
      <c r="Q573" s="768">
        <f ca="1">IF(F573&lt;&gt;0,+F573/'A-13'!D$118,0)</f>
        <v>0</v>
      </c>
      <c r="R573" s="768">
        <f ca="1">IF(G573&lt;&gt;0,+G573/'A-13'!E$118,0)</f>
        <v>0</v>
      </c>
      <c r="S573" s="768">
        <f ca="1">IF(H573&lt;&gt;0,+H573/'A-13'!F$118,0)</f>
        <v>0</v>
      </c>
      <c r="T573" s="768">
        <f ca="1">IF(I573&lt;&gt;0,+I573/'A-13'!G$118,0)</f>
        <v>0</v>
      </c>
      <c r="U573" s="768">
        <f ca="1">IF(J573&lt;&gt;0,+J573/'A-13'!H$118,0)</f>
        <v>0</v>
      </c>
      <c r="V573" s="768">
        <f ca="1">IF(K573&lt;&gt;0,+K573/'A-13'!I$118,0)</f>
        <v>0</v>
      </c>
    </row>
    <row r="574" spans="1:22">
      <c r="A574" s="5"/>
      <c r="B574" s="249" t="str">
        <f ca="1">+'I-4 History'!B345</f>
        <v>A-14</v>
      </c>
      <c r="C574" s="14" t="str">
        <f ca="1">+'I-4 History'!C345</f>
        <v>Payroll</v>
      </c>
      <c r="D574" s="418"/>
      <c r="E574" s="507"/>
      <c r="F574" s="11"/>
      <c r="G574" s="11"/>
      <c r="H574" s="11"/>
      <c r="I574" s="11"/>
      <c r="J574" s="11"/>
      <c r="K574" s="11"/>
      <c r="P574" s="11"/>
      <c r="Q574" s="11"/>
      <c r="R574" s="11"/>
      <c r="S574" s="11"/>
      <c r="T574" s="11"/>
      <c r="U574" s="11"/>
      <c r="V574" s="11"/>
    </row>
    <row r="575" spans="1:22">
      <c r="A575" s="5"/>
      <c r="B575" s="249"/>
      <c r="C575" s="424" t="s">
        <v>74</v>
      </c>
      <c r="D575" s="416"/>
      <c r="E575" s="507"/>
      <c r="F575" s="11"/>
      <c r="G575" s="11"/>
      <c r="H575" s="11"/>
      <c r="I575" s="11"/>
      <c r="J575" s="11"/>
      <c r="K575" s="11"/>
      <c r="P575" s="11"/>
      <c r="Q575" s="11"/>
      <c r="R575" s="11"/>
      <c r="S575" s="11"/>
      <c r="T575" s="11"/>
      <c r="U575" s="11"/>
      <c r="V575" s="11"/>
    </row>
    <row r="576" spans="1:22">
      <c r="A576" s="5"/>
      <c r="B576" s="249"/>
      <c r="C576" s="425" t="str">
        <f t="array" ref="C576:D581">+'A-14'!$A$77:$B$82</f>
        <v>Total Output Growth</v>
      </c>
      <c r="D576" s="426" t="str">
        <v>Labour</v>
      </c>
      <c r="E576" s="847">
        <f t="array" ref="E576:K581" ca="1">+'A-14'!$N$77:$T$82</f>
        <v>0</v>
      </c>
      <c r="F576" s="386">
        <f ca="1"/>
        <v>0</v>
      </c>
      <c r="G576" s="383">
        <f ca="1"/>
        <v>4.2970331039002239E-3</v>
      </c>
      <c r="H576" s="383">
        <f ca="1"/>
        <v>8.2786030250627599E-3</v>
      </c>
      <c r="I576" s="383">
        <f ca="1"/>
        <v>1.2214340679866209E-2</v>
      </c>
      <c r="J576" s="383">
        <f ca="1"/>
        <v>1.6484299934533257E-2</v>
      </c>
      <c r="K576" s="383">
        <f ca="1"/>
        <v>2.0395614568320074E-2</v>
      </c>
      <c r="L576" s="790"/>
      <c r="M576" s="790"/>
      <c r="N576" s="790"/>
      <c r="O576" s="790"/>
      <c r="P576" s="386"/>
      <c r="Q576" s="768">
        <f ca="1">IF(F576&lt;&gt;0,+F576/'A-14'!D$77,0)</f>
        <v>0</v>
      </c>
      <c r="R576" s="768">
        <f ca="1">IF(G576&lt;&gt;0,+G576/'A-14'!E$77,0)</f>
        <v>0.40499999999999997</v>
      </c>
      <c r="S576" s="768">
        <f ca="1">IF(H576&lt;&gt;0,+H576/'A-14'!F$77,0)</f>
        <v>0.40500000000000008</v>
      </c>
      <c r="T576" s="768">
        <f ca="1">IF(I576&lt;&gt;0,+I576/'A-14'!G$77,0)</f>
        <v>0.40500000000000003</v>
      </c>
      <c r="U576" s="768">
        <f ca="1">IF(J576&lt;&gt;0,+J576/'A-14'!H$77,0)</f>
        <v>0.40500000000000003</v>
      </c>
      <c r="V576" s="768">
        <f ca="1">IF(K576&lt;&gt;0,+K576/'A-14'!I$77,0)</f>
        <v>0.40500000000000003</v>
      </c>
    </row>
    <row r="577" spans="1:22">
      <c r="A577" s="5"/>
      <c r="B577" s="249"/>
      <c r="C577" s="425" t="str">
        <v>Total Output Growth</v>
      </c>
      <c r="D577" s="426" t="str">
        <v>Materials</v>
      </c>
      <c r="E577" s="847">
        <f ca="1"/>
        <v>0</v>
      </c>
      <c r="F577" s="386">
        <f ca="1"/>
        <v>0</v>
      </c>
      <c r="G577" s="383">
        <f ca="1"/>
        <v>2.1219916562470244E-5</v>
      </c>
      <c r="H577" s="383">
        <f ca="1"/>
        <v>4.0881990247223498E-5</v>
      </c>
      <c r="I577" s="383">
        <f ca="1"/>
        <v>6.0317731752425721E-5</v>
      </c>
      <c r="J577" s="383">
        <f ca="1"/>
        <v>8.1403950293991385E-5</v>
      </c>
      <c r="K577" s="383">
        <f ca="1"/>
        <v>1.0071908428800036E-4</v>
      </c>
      <c r="L577" s="790"/>
      <c r="M577" s="790"/>
      <c r="N577" s="790"/>
      <c r="O577" s="790"/>
      <c r="P577" s="386"/>
      <c r="Q577" s="768">
        <f ca="1">IF(F577&lt;&gt;0,+F577/'A-14'!D$78,0)</f>
        <v>0</v>
      </c>
      <c r="R577" s="768">
        <f ca="1">IF(G577&lt;&gt;0,+G577/'A-14'!E$78,0)</f>
        <v>2E-3</v>
      </c>
      <c r="S577" s="768">
        <f ca="1">IF(H577&lt;&gt;0,+H577/'A-14'!F$78,0)</f>
        <v>2E-3</v>
      </c>
      <c r="T577" s="768">
        <f ca="1">IF(I577&lt;&gt;0,+I577/'A-14'!G$78,0)</f>
        <v>2E-3</v>
      </c>
      <c r="U577" s="768">
        <f ca="1">IF(J577&lt;&gt;0,+J577/'A-14'!H$78,0)</f>
        <v>2E-3</v>
      </c>
      <c r="V577" s="768">
        <f ca="1">IF(K577&lt;&gt;0,+K577/'A-14'!I$78,0)</f>
        <v>2E-3</v>
      </c>
    </row>
    <row r="578" spans="1:22">
      <c r="A578" s="5"/>
      <c r="B578" s="249"/>
      <c r="C578" s="425" t="str">
        <v>Total Output Growth</v>
      </c>
      <c r="D578" s="426" t="str">
        <v>Contracts</v>
      </c>
      <c r="E578" s="847">
        <f ca="1"/>
        <v>0</v>
      </c>
      <c r="F578" s="386">
        <f ca="1"/>
        <v>0</v>
      </c>
      <c r="G578" s="383">
        <f ca="1"/>
        <v>0</v>
      </c>
      <c r="H578" s="383">
        <f ca="1"/>
        <v>0</v>
      </c>
      <c r="I578" s="383">
        <f ca="1"/>
        <v>0</v>
      </c>
      <c r="J578" s="383">
        <f ca="1"/>
        <v>0</v>
      </c>
      <c r="K578" s="383">
        <f ca="1"/>
        <v>0</v>
      </c>
      <c r="L578" s="790"/>
      <c r="M578" s="790"/>
      <c r="N578" s="790"/>
      <c r="O578" s="790"/>
      <c r="P578" s="386"/>
      <c r="Q578" s="768">
        <f ca="1">IF(F578&lt;&gt;0,+F578/'A-14'!D$79,0)</f>
        <v>0</v>
      </c>
      <c r="R578" s="768">
        <f ca="1">IF(G578&lt;&gt;0,+G578/'A-14'!E$79,0)</f>
        <v>0</v>
      </c>
      <c r="S578" s="768">
        <f ca="1">IF(H578&lt;&gt;0,+H578/'A-14'!F$79,0)</f>
        <v>0</v>
      </c>
      <c r="T578" s="768">
        <f ca="1">IF(I578&lt;&gt;0,+I578/'A-14'!G$79,0)</f>
        <v>0</v>
      </c>
      <c r="U578" s="768">
        <f ca="1">IF(J578&lt;&gt;0,+J578/'A-14'!H$79,0)</f>
        <v>0</v>
      </c>
      <c r="V578" s="768">
        <f ca="1">IF(K578&lt;&gt;0,+K578/'A-14'!I$79,0)</f>
        <v>0</v>
      </c>
    </row>
    <row r="579" spans="1:22" s="790" customFormat="1">
      <c r="A579" s="5"/>
      <c r="B579" s="249"/>
      <c r="C579" s="425" t="str">
        <v>Total Output Growth</v>
      </c>
      <c r="D579" s="426" t="str">
        <v>Services Other</v>
      </c>
      <c r="E579" s="847">
        <f ca="1"/>
        <v>0</v>
      </c>
      <c r="F579" s="386">
        <f ca="1"/>
        <v>0</v>
      </c>
      <c r="G579" s="383">
        <f ca="1"/>
        <v>9.5489624531116079E-5</v>
      </c>
      <c r="H579" s="383">
        <f ca="1"/>
        <v>1.8396895611250572E-4</v>
      </c>
      <c r="I579" s="383">
        <f ca="1"/>
        <v>2.7142979288591573E-4</v>
      </c>
      <c r="J579" s="383">
        <f ca="1"/>
        <v>3.6631777632296122E-4</v>
      </c>
      <c r="K579" s="383">
        <f ca="1"/>
        <v>4.5323587929600159E-4</v>
      </c>
      <c r="P579" s="386"/>
      <c r="Q579" s="768">
        <f ca="1">IF(F579&lt;&gt;0,+F579/'A-14'!D$80,0)</f>
        <v>0</v>
      </c>
      <c r="R579" s="768">
        <f ca="1">IF(G579&lt;&gt;0,+G579/'A-14'!E$80,0)</f>
        <v>8.9999999999999993E-3</v>
      </c>
      <c r="S579" s="768">
        <f ca="1">IF(H579&lt;&gt;0,+H579/'A-14'!F$80,0)</f>
        <v>8.9999999999999993E-3</v>
      </c>
      <c r="T579" s="768">
        <f ca="1">IF(I579&lt;&gt;0,+I579/'A-14'!G$80,0)</f>
        <v>8.9999999999999993E-3</v>
      </c>
      <c r="U579" s="768">
        <f ca="1">IF(J579&lt;&gt;0,+J579/'A-14'!H$80,0)</f>
        <v>8.9999999999999993E-3</v>
      </c>
      <c r="V579" s="768">
        <f ca="1">IF(K579&lt;&gt;0,+K579/'A-14'!I$80,0)</f>
        <v>8.9999999999999993E-3</v>
      </c>
    </row>
    <row r="580" spans="1:22" s="790" customFormat="1">
      <c r="A580" s="5"/>
      <c r="B580" s="249"/>
      <c r="C580" s="425" t="str">
        <v>Total Output Growth</v>
      </c>
      <c r="D580" s="426" t="str">
        <v>Business Overheads</v>
      </c>
      <c r="E580" s="847">
        <f ca="1"/>
        <v>0</v>
      </c>
      <c r="F580" s="386">
        <f ca="1"/>
        <v>0</v>
      </c>
      <c r="G580" s="383">
        <f ca="1"/>
        <v>0</v>
      </c>
      <c r="H580" s="383">
        <f ca="1"/>
        <v>0</v>
      </c>
      <c r="I580" s="383">
        <f ca="1"/>
        <v>0</v>
      </c>
      <c r="J580" s="383">
        <f ca="1"/>
        <v>0</v>
      </c>
      <c r="K580" s="383">
        <f ca="1"/>
        <v>0</v>
      </c>
      <c r="P580" s="386"/>
      <c r="Q580" s="768">
        <f ca="1">IF(F580&lt;&gt;0,+F580/'A-14'!D$81,0)</f>
        <v>0</v>
      </c>
      <c r="R580" s="768">
        <f ca="1">IF(G580&lt;&gt;0,+G580/'A-14'!E$81,0)</f>
        <v>0</v>
      </c>
      <c r="S580" s="768">
        <f ca="1">IF(H580&lt;&gt;0,+H580/'A-14'!F$81,0)</f>
        <v>0</v>
      </c>
      <c r="T580" s="768">
        <f ca="1">IF(I580&lt;&gt;0,+I580/'A-14'!G$81,0)</f>
        <v>0</v>
      </c>
      <c r="U580" s="768">
        <f ca="1">IF(J580&lt;&gt;0,+J580/'A-14'!H$81,0)</f>
        <v>0</v>
      </c>
      <c r="V580" s="768">
        <f ca="1">IF(K580&lt;&gt;0,+K580/'A-14'!I$81,0)</f>
        <v>0</v>
      </c>
    </row>
    <row r="581" spans="1:22" s="790" customFormat="1">
      <c r="A581" s="5"/>
      <c r="B581" s="249"/>
      <c r="C581" s="425" t="str">
        <v>Total Output Growth</v>
      </c>
      <c r="D581" s="426" t="str">
        <v>Other</v>
      </c>
      <c r="E581" s="847">
        <f ca="1"/>
        <v>0</v>
      </c>
      <c r="F581" s="386">
        <f ca="1"/>
        <v>0</v>
      </c>
      <c r="G581" s="383">
        <f ca="1"/>
        <v>0</v>
      </c>
      <c r="H581" s="383">
        <f ca="1"/>
        <v>0</v>
      </c>
      <c r="I581" s="383">
        <f ca="1"/>
        <v>0</v>
      </c>
      <c r="J581" s="383">
        <f ca="1"/>
        <v>0</v>
      </c>
      <c r="K581" s="383">
        <f ca="1"/>
        <v>0</v>
      </c>
      <c r="P581" s="386"/>
      <c r="Q581" s="768">
        <f ca="1">IF(F581&lt;&gt;0,+F581/'A-14'!D$82,0)</f>
        <v>0</v>
      </c>
      <c r="R581" s="768">
        <f ca="1">IF(G581&lt;&gt;0,+G581/'A-14'!E$82,0)</f>
        <v>0</v>
      </c>
      <c r="S581" s="768">
        <f ca="1">IF(H581&lt;&gt;0,+H581/'A-14'!F$82,0)</f>
        <v>0</v>
      </c>
      <c r="T581" s="768">
        <f ca="1">IF(I581&lt;&gt;0,+I581/'A-14'!G$82,0)</f>
        <v>0</v>
      </c>
      <c r="U581" s="768">
        <f ca="1">IF(J581&lt;&gt;0,+J581/'A-14'!H$82,0)</f>
        <v>0</v>
      </c>
      <c r="V581" s="768">
        <f ca="1">IF(K581&lt;&gt;0,+K581/'A-14'!I$82,0)</f>
        <v>0</v>
      </c>
    </row>
    <row r="582" spans="1:22">
      <c r="A582" s="5"/>
      <c r="B582" s="249"/>
      <c r="C582" s="424" t="s">
        <v>73</v>
      </c>
      <c r="D582" s="417"/>
      <c r="E582" s="848"/>
      <c r="F582" s="387"/>
      <c r="G582" s="385"/>
      <c r="H582" s="385"/>
      <c r="I582" s="385"/>
      <c r="J582" s="385"/>
      <c r="K582" s="385"/>
      <c r="P582" s="387"/>
      <c r="Q582" s="385"/>
      <c r="R582" s="385"/>
      <c r="S582" s="385"/>
      <c r="T582" s="385"/>
      <c r="U582" s="385"/>
      <c r="V582" s="385"/>
    </row>
    <row r="583" spans="1:22" s="767" customFormat="1">
      <c r="A583" s="5"/>
      <c r="B583" s="249"/>
      <c r="C583" s="425" t="str">
        <f t="array" ref="C583:D588">+'A-14'!$A$113:$B$119</f>
        <v>Labour</v>
      </c>
      <c r="D583" s="426" t="str">
        <v>Labour</v>
      </c>
      <c r="E583" s="847">
        <f t="array" ref="E583:K588" ca="1">+'A-14'!$N$113:$T$119</f>
        <v>0</v>
      </c>
      <c r="F583" s="386">
        <f ca="1"/>
        <v>0</v>
      </c>
      <c r="G583" s="383">
        <f ca="1"/>
        <v>8.7826817803012061E-3</v>
      </c>
      <c r="H583" s="383">
        <f ca="1"/>
        <v>1.7926528121166508E-2</v>
      </c>
      <c r="I583" s="383">
        <f ca="1"/>
        <v>2.794997754726684E-2</v>
      </c>
      <c r="J583" s="383">
        <f ca="1"/>
        <v>3.8414885399947842E-2</v>
      </c>
      <c r="K583" s="383">
        <f ca="1"/>
        <v>4.9277207199559837E-2</v>
      </c>
      <c r="P583" s="386"/>
      <c r="Q583" s="768">
        <f ca="1">IF(F583&lt;&gt;0,+F583/'A-14'!D$113,0)</f>
        <v>0</v>
      </c>
      <c r="R583" s="768">
        <f ca="1">IF(G583&lt;&gt;0,+G583/'A-14'!E$113,0)</f>
        <v>0.40929703310390025</v>
      </c>
      <c r="S583" s="768">
        <f ca="1">IF(H583&lt;&gt;0,+H583/'A-14'!F$113,0)</f>
        <v>0.41327860302506281</v>
      </c>
      <c r="T583" s="768">
        <f ca="1">IF(I583&lt;&gt;0,+I583/'A-14'!G$113,0)</f>
        <v>0.41721434067986624</v>
      </c>
      <c r="U583" s="768">
        <f ca="1">IF(J583&lt;&gt;0,+J583/'A-14'!H$113,0)</f>
        <v>0.42148429993453329</v>
      </c>
      <c r="V583" s="768">
        <f ca="1">IF(K583&lt;&gt;0,+K583/'A-14'!I$113,0)</f>
        <v>0.42539561456832009</v>
      </c>
    </row>
    <row r="584" spans="1:22" s="767" customFormat="1">
      <c r="A584" s="5"/>
      <c r="B584" s="249"/>
      <c r="C584" s="425" t="str">
        <v>Materials</v>
      </c>
      <c r="D584" s="426" t="str">
        <v>Materials</v>
      </c>
      <c r="E584" s="847">
        <f ca="1"/>
        <v>0</v>
      </c>
      <c r="F584" s="386">
        <f ca="1"/>
        <v>0</v>
      </c>
      <c r="G584" s="383">
        <f ca="1"/>
        <v>0</v>
      </c>
      <c r="H584" s="383">
        <f ca="1"/>
        <v>0</v>
      </c>
      <c r="I584" s="383">
        <f ca="1"/>
        <v>0</v>
      </c>
      <c r="J584" s="383">
        <f ca="1"/>
        <v>0</v>
      </c>
      <c r="K584" s="383">
        <f ca="1"/>
        <v>0</v>
      </c>
      <c r="P584" s="386"/>
      <c r="Q584" s="768">
        <f ca="1">IF(F584&lt;&gt;0,+F584/'A-14'!D$114,0)</f>
        <v>0</v>
      </c>
      <c r="R584" s="768">
        <f ca="1">IF(G584&lt;&gt;0,+G584/'A-14'!E$114,0)</f>
        <v>0</v>
      </c>
      <c r="S584" s="768">
        <f ca="1">IF(H584&lt;&gt;0,+H584/'A-14'!F$114,0)</f>
        <v>0</v>
      </c>
      <c r="T584" s="768">
        <f ca="1">IF(I584&lt;&gt;0,+I584/'A-14'!G$114,0)</f>
        <v>0</v>
      </c>
      <c r="U584" s="768">
        <f ca="1">IF(J584&lt;&gt;0,+J584/'A-14'!H$114,0)</f>
        <v>0</v>
      </c>
      <c r="V584" s="768">
        <f ca="1">IF(K584&lt;&gt;0,+K584/'A-14'!I$114,0)</f>
        <v>0</v>
      </c>
    </row>
    <row r="585" spans="1:22" s="767" customFormat="1">
      <c r="A585" s="5"/>
      <c r="B585" s="249"/>
      <c r="C585" s="425" t="str">
        <v>Services-construction</v>
      </c>
      <c r="D585" s="426" t="str">
        <v>Contracts</v>
      </c>
      <c r="E585" s="847">
        <f ca="1"/>
        <v>0</v>
      </c>
      <c r="F585" s="386">
        <f ca="1"/>
        <v>0</v>
      </c>
      <c r="G585" s="383">
        <f ca="1"/>
        <v>0</v>
      </c>
      <c r="H585" s="383">
        <f ca="1"/>
        <v>0</v>
      </c>
      <c r="I585" s="383">
        <f ca="1"/>
        <v>0</v>
      </c>
      <c r="J585" s="383">
        <f ca="1"/>
        <v>0</v>
      </c>
      <c r="K585" s="383">
        <f ca="1"/>
        <v>0</v>
      </c>
      <c r="P585" s="386"/>
      <c r="Q585" s="768">
        <f ca="1">IF(F585&lt;&gt;0,+F585/'A-14'!D$115,0)</f>
        <v>0</v>
      </c>
      <c r="R585" s="768">
        <f ca="1">IF(G585&lt;&gt;0,+G585/'A-14'!E$115,0)</f>
        <v>0</v>
      </c>
      <c r="S585" s="768">
        <f ca="1">IF(H585&lt;&gt;0,+H585/'A-14'!F$115,0)</f>
        <v>0</v>
      </c>
      <c r="T585" s="768">
        <f ca="1">IF(I585&lt;&gt;0,+I585/'A-14'!G$115,0)</f>
        <v>0</v>
      </c>
      <c r="U585" s="768">
        <f ca="1">IF(J585&lt;&gt;0,+J585/'A-14'!H$115,0)</f>
        <v>0</v>
      </c>
      <c r="V585" s="768">
        <f ca="1">IF(K585&lt;&gt;0,+K585/'A-14'!I$115,0)</f>
        <v>0</v>
      </c>
    </row>
    <row r="586" spans="1:22" s="767" customFormat="1">
      <c r="A586" s="5"/>
      <c r="B586" s="249"/>
      <c r="C586" s="425" t="str">
        <v>Services-general</v>
      </c>
      <c r="D586" s="426" t="str">
        <v>Services Other</v>
      </c>
      <c r="E586" s="847">
        <f ca="1"/>
        <v>0</v>
      </c>
      <c r="F586" s="386">
        <f ca="1"/>
        <v>0</v>
      </c>
      <c r="G586" s="383">
        <f ca="1"/>
        <v>4.547744812265461E-5</v>
      </c>
      <c r="H586" s="383">
        <f ca="1"/>
        <v>9.2069288785025382E-5</v>
      </c>
      <c r="I586" s="383">
        <f ca="1"/>
        <v>1.7722546656271314E-4</v>
      </c>
      <c r="J586" s="383">
        <f ca="1"/>
        <v>2.7926552072031708E-4</v>
      </c>
      <c r="K586" s="383">
        <f ca="1"/>
        <v>4.0354572702334523E-4</v>
      </c>
      <c r="P586" s="386"/>
      <c r="Q586" s="768">
        <f ca="1">IF(F586&lt;&gt;0,+F586/'A-14'!D$116,0)</f>
        <v>0</v>
      </c>
      <c r="R586" s="768">
        <f ca="1">IF(G586&lt;&gt;0,+G586/'A-14'!E$116,0)</f>
        <v>9.0954896245311161E-3</v>
      </c>
      <c r="S586" s="768">
        <f ca="1">IF(H586&lt;&gt;0,+H586/'A-14'!F$116,0)</f>
        <v>9.1839689561125058E-3</v>
      </c>
      <c r="T586" s="768">
        <f ca="1">IF(I586&lt;&gt;0,+I586/'A-14'!G$116,0)</f>
        <v>9.2714297928859143E-3</v>
      </c>
      <c r="U586" s="768">
        <f ca="1">IF(J586&lt;&gt;0,+J586/'A-14'!H$116,0)</f>
        <v>9.3663177763229598E-3</v>
      </c>
      <c r="V586" s="768">
        <f ca="1">IF(K586&lt;&gt;0,+K586/'A-14'!I$116,0)</f>
        <v>9.4532358792960014E-3</v>
      </c>
    </row>
    <row r="587" spans="1:22" s="767" customFormat="1">
      <c r="A587" s="5"/>
      <c r="B587" s="249"/>
      <c r="C587" s="425" t="str">
        <v>Labour</v>
      </c>
      <c r="D587" s="426" t="str">
        <v>Business Overheads</v>
      </c>
      <c r="E587" s="847">
        <f ca="1"/>
        <v>0</v>
      </c>
      <c r="F587" s="386">
        <f ca="1"/>
        <v>0</v>
      </c>
      <c r="G587" s="383">
        <f ca="1"/>
        <v>0</v>
      </c>
      <c r="H587" s="383">
        <f ca="1"/>
        <v>0</v>
      </c>
      <c r="I587" s="383">
        <f ca="1"/>
        <v>0</v>
      </c>
      <c r="J587" s="383">
        <f ca="1"/>
        <v>0</v>
      </c>
      <c r="K587" s="383">
        <f ca="1"/>
        <v>0</v>
      </c>
      <c r="P587" s="386"/>
      <c r="Q587" s="768">
        <f ca="1">IF(F587&lt;&gt;0,+F587/'A-14'!D$117,0)</f>
        <v>0</v>
      </c>
      <c r="R587" s="768">
        <f ca="1">IF(G587&lt;&gt;0,+G587/'A-14'!E$117,0)</f>
        <v>0</v>
      </c>
      <c r="S587" s="768">
        <f ca="1">IF(H587&lt;&gt;0,+H587/'A-14'!F$117,0)</f>
        <v>0</v>
      </c>
      <c r="T587" s="768">
        <f ca="1">IF(I587&lt;&gt;0,+I587/'A-14'!G$117,0)</f>
        <v>0</v>
      </c>
      <c r="U587" s="768">
        <f ca="1">IF(J587&lt;&gt;0,+J587/'A-14'!H$117,0)</f>
        <v>0</v>
      </c>
      <c r="V587" s="768">
        <f ca="1">IF(K587&lt;&gt;0,+K587/'A-14'!I$117,0)</f>
        <v>0</v>
      </c>
    </row>
    <row r="588" spans="1:22" s="767" customFormat="1">
      <c r="A588" s="5"/>
      <c r="B588" s="249"/>
      <c r="C588" s="425" t="str">
        <v>Materials - Land</v>
      </c>
      <c r="D588" s="426" t="str">
        <v>Other</v>
      </c>
      <c r="E588" s="847">
        <f ca="1"/>
        <v>0</v>
      </c>
      <c r="F588" s="386">
        <f ca="1"/>
        <v>0</v>
      </c>
      <c r="G588" s="383">
        <f ca="1"/>
        <v>0</v>
      </c>
      <c r="H588" s="383">
        <f ca="1"/>
        <v>0</v>
      </c>
      <c r="I588" s="383">
        <f ca="1"/>
        <v>0</v>
      </c>
      <c r="J588" s="383">
        <f ca="1"/>
        <v>0</v>
      </c>
      <c r="K588" s="383">
        <f ca="1"/>
        <v>0</v>
      </c>
      <c r="P588" s="386"/>
      <c r="Q588" s="768">
        <f ca="1">IF(F588&lt;&gt;0,+F588/'A-14'!D$118,0)</f>
        <v>0</v>
      </c>
      <c r="R588" s="768">
        <f ca="1">IF(G588&lt;&gt;0,+G588/'A-14'!E$118,0)</f>
        <v>0</v>
      </c>
      <c r="S588" s="768">
        <f ca="1">IF(H588&lt;&gt;0,+H588/'A-14'!F$118,0)</f>
        <v>0</v>
      </c>
      <c r="T588" s="768">
        <f ca="1">IF(I588&lt;&gt;0,+I588/'A-14'!G$118,0)</f>
        <v>0</v>
      </c>
      <c r="U588" s="768">
        <f ca="1">IF(J588&lt;&gt;0,+J588/'A-14'!H$118,0)</f>
        <v>0</v>
      </c>
      <c r="V588" s="768">
        <f ca="1">IF(K588&lt;&gt;0,+K588/'A-14'!I$118,0)</f>
        <v>0</v>
      </c>
    </row>
    <row r="589" spans="1:22">
      <c r="A589" s="5"/>
      <c r="B589" s="249" t="str">
        <f ca="1">+'I-4 History'!B354</f>
        <v>A-15</v>
      </c>
      <c r="C589" s="14" t="str">
        <f ca="1">+'I-4 History'!C354</f>
        <v>Purchasing and Contracts</v>
      </c>
      <c r="D589" s="418"/>
      <c r="E589" s="507"/>
      <c r="F589" s="11"/>
      <c r="G589" s="11"/>
      <c r="H589" s="11"/>
      <c r="I589" s="11"/>
      <c r="J589" s="11"/>
      <c r="K589" s="11"/>
      <c r="P589" s="11"/>
      <c r="Q589" s="11"/>
      <c r="R589" s="11"/>
      <c r="S589" s="11"/>
      <c r="T589" s="11"/>
      <c r="U589" s="11"/>
      <c r="V589" s="11"/>
    </row>
    <row r="590" spans="1:22">
      <c r="A590" s="5"/>
      <c r="B590" s="249"/>
      <c r="C590" s="424" t="s">
        <v>74</v>
      </c>
      <c r="D590" s="416"/>
      <c r="E590" s="507"/>
      <c r="F590" s="11"/>
      <c r="G590" s="11"/>
      <c r="H590" s="11"/>
      <c r="I590" s="11"/>
      <c r="J590" s="11"/>
      <c r="K590" s="11"/>
      <c r="P590" s="11"/>
      <c r="Q590" s="11"/>
      <c r="R590" s="11"/>
      <c r="S590" s="11"/>
      <c r="T590" s="11"/>
      <c r="U590" s="11"/>
      <c r="V590" s="11"/>
    </row>
    <row r="591" spans="1:22">
      <c r="A591" s="5"/>
      <c r="B591" s="249"/>
      <c r="C591" s="425" t="str">
        <f t="array" ref="C591:D596">+'A-15'!$A$77:$B$82</f>
        <v>Total Output Growth</v>
      </c>
      <c r="D591" s="426" t="str">
        <v>Labour</v>
      </c>
      <c r="E591" s="847">
        <f t="array" ref="E591:K596" ca="1">+'A-15'!$N$77:$T$82</f>
        <v>0</v>
      </c>
      <c r="F591" s="386">
        <f ca="1"/>
        <v>0</v>
      </c>
      <c r="G591" s="383">
        <f ca="1"/>
        <v>3.5267501326825539E-2</v>
      </c>
      <c r="H591" s="383">
        <f ca="1"/>
        <v>6.7945867790885447E-2</v>
      </c>
      <c r="I591" s="383">
        <f ca="1"/>
        <v>0.10024807017253154</v>
      </c>
      <c r="J591" s="383">
        <f ca="1"/>
        <v>0.1352933653886137</v>
      </c>
      <c r="K591" s="383">
        <f ca="1"/>
        <v>0.16739511808665658</v>
      </c>
      <c r="L591" s="790"/>
      <c r="M591" s="790"/>
      <c r="N591" s="790"/>
      <c r="O591" s="790"/>
      <c r="P591" s="386"/>
      <c r="Q591" s="768">
        <f ca="1">IF(F591&lt;&gt;0,+F591/'A-15'!D$77,0)</f>
        <v>0</v>
      </c>
      <c r="R591" s="768">
        <f ca="1">IF(G591&lt;&gt;0,+G591/'A-15'!E$77,0)</f>
        <v>3.3239999999999994</v>
      </c>
      <c r="S591" s="768">
        <f ca="1">IF(H591&lt;&gt;0,+H591/'A-15'!F$77,0)</f>
        <v>3.3239999999999998</v>
      </c>
      <c r="T591" s="768">
        <f ca="1">IF(I591&lt;&gt;0,+I591/'A-15'!G$77,0)</f>
        <v>3.3239999999999998</v>
      </c>
      <c r="U591" s="768">
        <f ca="1">IF(J591&lt;&gt;0,+J591/'A-15'!H$77,0)</f>
        <v>3.3240000000000003</v>
      </c>
      <c r="V591" s="768">
        <f ca="1">IF(K591&lt;&gt;0,+K591/'A-15'!I$77,0)</f>
        <v>3.3239999999999998</v>
      </c>
    </row>
    <row r="592" spans="1:22">
      <c r="A592" s="5"/>
      <c r="B592" s="249"/>
      <c r="C592" s="425" t="str">
        <v>Total Output Growth</v>
      </c>
      <c r="D592" s="426" t="str">
        <v>Materials</v>
      </c>
      <c r="E592" s="847">
        <f ca="1"/>
        <v>0</v>
      </c>
      <c r="F592" s="386">
        <f ca="1"/>
        <v>0</v>
      </c>
      <c r="G592" s="383">
        <f ca="1"/>
        <v>-1.2731949937482145E-4</v>
      </c>
      <c r="H592" s="383">
        <f ca="1"/>
        <v>-2.4529194148334102E-4</v>
      </c>
      <c r="I592" s="383">
        <f ca="1"/>
        <v>-3.6190639051455434E-4</v>
      </c>
      <c r="J592" s="383">
        <f ca="1"/>
        <v>-4.8842370176394837E-4</v>
      </c>
      <c r="K592" s="383">
        <f ca="1"/>
        <v>-6.0431450572800212E-4</v>
      </c>
      <c r="L592" s="790"/>
      <c r="M592" s="790"/>
      <c r="N592" s="790"/>
      <c r="O592" s="790"/>
      <c r="P592" s="386"/>
      <c r="Q592" s="768">
        <f ca="1">IF(F592&lt;&gt;0,+F592/'A-15'!D$78,0)</f>
        <v>0</v>
      </c>
      <c r="R592" s="768">
        <f ca="1">IF(G592&lt;&gt;0,+G592/'A-15'!E$78,0)</f>
        <v>-1.1999999999999999E-2</v>
      </c>
      <c r="S592" s="768">
        <f ca="1">IF(H592&lt;&gt;0,+H592/'A-15'!F$78,0)</f>
        <v>-1.2000000000000002E-2</v>
      </c>
      <c r="T592" s="768">
        <f ca="1">IF(I592&lt;&gt;0,+I592/'A-15'!G$78,0)</f>
        <v>-1.2E-2</v>
      </c>
      <c r="U592" s="768">
        <f ca="1">IF(J592&lt;&gt;0,+J592/'A-15'!H$78,0)</f>
        <v>-1.2E-2</v>
      </c>
      <c r="V592" s="768">
        <f ca="1">IF(K592&lt;&gt;0,+K592/'A-15'!I$78,0)</f>
        <v>-1.1999999999999999E-2</v>
      </c>
    </row>
    <row r="593" spans="1:22">
      <c r="A593" s="5"/>
      <c r="B593" s="249"/>
      <c r="C593" s="425" t="str">
        <v>Total Output Growth</v>
      </c>
      <c r="D593" s="426" t="str">
        <v>Contracts</v>
      </c>
      <c r="E593" s="847">
        <f ca="1"/>
        <v>0</v>
      </c>
      <c r="F593" s="386">
        <f ca="1"/>
        <v>0</v>
      </c>
      <c r="G593" s="383">
        <f ca="1"/>
        <v>3.2890870671828875E-4</v>
      </c>
      <c r="H593" s="383">
        <f ca="1"/>
        <v>6.3367084883196427E-4</v>
      </c>
      <c r="I593" s="383">
        <f ca="1"/>
        <v>9.3492484216259862E-4</v>
      </c>
      <c r="J593" s="383">
        <f ca="1"/>
        <v>1.2617612295568665E-3</v>
      </c>
      <c r="K593" s="383">
        <f ca="1"/>
        <v>1.5611458064640055E-3</v>
      </c>
      <c r="L593" s="790"/>
      <c r="M593" s="790"/>
      <c r="N593" s="790"/>
      <c r="O593" s="790"/>
      <c r="P593" s="386"/>
      <c r="Q593" s="768">
        <f ca="1">IF(F593&lt;&gt;0,+F593/'A-15'!D$79,0)</f>
        <v>0</v>
      </c>
      <c r="R593" s="768">
        <f ca="1">IF(G593&lt;&gt;0,+G593/'A-15'!E$79,0)</f>
        <v>3.1E-2</v>
      </c>
      <c r="S593" s="768">
        <f ca="1">IF(H593&lt;&gt;0,+H593/'A-15'!F$79,0)</f>
        <v>3.1000000000000003E-2</v>
      </c>
      <c r="T593" s="768">
        <f ca="1">IF(I593&lt;&gt;0,+I593/'A-15'!G$79,0)</f>
        <v>3.1E-2</v>
      </c>
      <c r="U593" s="768">
        <f ca="1">IF(J593&lt;&gt;0,+J593/'A-15'!H$79,0)</f>
        <v>3.1E-2</v>
      </c>
      <c r="V593" s="768">
        <f ca="1">IF(K593&lt;&gt;0,+K593/'A-15'!I$79,0)</f>
        <v>3.1E-2</v>
      </c>
    </row>
    <row r="594" spans="1:22" s="790" customFormat="1">
      <c r="A594" s="5"/>
      <c r="B594" s="249"/>
      <c r="C594" s="425" t="str">
        <v>Total Output Growth</v>
      </c>
      <c r="D594" s="426" t="str">
        <v>Services Other</v>
      </c>
      <c r="E594" s="847">
        <f ca="1"/>
        <v>0</v>
      </c>
      <c r="F594" s="386">
        <f ca="1"/>
        <v>0</v>
      </c>
      <c r="G594" s="383">
        <f ca="1"/>
        <v>1.6021037004665033E-3</v>
      </c>
      <c r="H594" s="383">
        <f ca="1"/>
        <v>3.086590263665374E-3</v>
      </c>
      <c r="I594" s="383">
        <f ca="1"/>
        <v>4.5539887473081417E-3</v>
      </c>
      <c r="J594" s="383">
        <f ca="1"/>
        <v>6.1459982471963499E-3</v>
      </c>
      <c r="K594" s="383">
        <f ca="1"/>
        <v>7.6042908637440274E-3</v>
      </c>
      <c r="P594" s="386"/>
      <c r="Q594" s="768">
        <f ca="1">IF(F594&lt;&gt;0,+F594/'A-15'!D$80,0)</f>
        <v>0</v>
      </c>
      <c r="R594" s="768">
        <f ca="1">IF(G594&lt;&gt;0,+G594/'A-15'!E$80,0)</f>
        <v>0.151</v>
      </c>
      <c r="S594" s="768">
        <f ca="1">IF(H594&lt;&gt;0,+H594/'A-15'!F$80,0)</f>
        <v>0.151</v>
      </c>
      <c r="T594" s="768">
        <f ca="1">IF(I594&lt;&gt;0,+I594/'A-15'!G$80,0)</f>
        <v>0.151</v>
      </c>
      <c r="U594" s="768">
        <f ca="1">IF(J594&lt;&gt;0,+J594/'A-15'!H$80,0)</f>
        <v>0.151</v>
      </c>
      <c r="V594" s="768">
        <f ca="1">IF(K594&lt;&gt;0,+K594/'A-15'!I$80,0)</f>
        <v>0.151</v>
      </c>
    </row>
    <row r="595" spans="1:22" s="790" customFormat="1">
      <c r="A595" s="5"/>
      <c r="B595" s="249"/>
      <c r="C595" s="425" t="str">
        <v>Total Output Growth</v>
      </c>
      <c r="D595" s="426" t="str">
        <v>Business Overheads</v>
      </c>
      <c r="E595" s="847">
        <f ca="1"/>
        <v>0</v>
      </c>
      <c r="F595" s="386">
        <f ca="1"/>
        <v>0</v>
      </c>
      <c r="G595" s="383">
        <f ca="1"/>
        <v>0</v>
      </c>
      <c r="H595" s="383">
        <f ca="1"/>
        <v>0</v>
      </c>
      <c r="I595" s="383">
        <f ca="1"/>
        <v>0</v>
      </c>
      <c r="J595" s="383">
        <f ca="1"/>
        <v>0</v>
      </c>
      <c r="K595" s="383">
        <f ca="1"/>
        <v>0</v>
      </c>
      <c r="P595" s="386"/>
      <c r="Q595" s="768">
        <f ca="1">IF(F595&lt;&gt;0,+F595/'A-15'!D$81,0)</f>
        <v>0</v>
      </c>
      <c r="R595" s="768">
        <f ca="1">IF(G595&lt;&gt;0,+G595/'A-15'!E$81,0)</f>
        <v>0</v>
      </c>
      <c r="S595" s="768">
        <f ca="1">IF(H595&lt;&gt;0,+H595/'A-15'!F$81,0)</f>
        <v>0</v>
      </c>
      <c r="T595" s="768">
        <f ca="1">IF(I595&lt;&gt;0,+I595/'A-15'!G$81,0)</f>
        <v>0</v>
      </c>
      <c r="U595" s="768">
        <f ca="1">IF(J595&lt;&gt;0,+J595/'A-15'!H$81,0)</f>
        <v>0</v>
      </c>
      <c r="V595" s="768">
        <f ca="1">IF(K595&lt;&gt;0,+K595/'A-15'!I$81,0)</f>
        <v>0</v>
      </c>
    </row>
    <row r="596" spans="1:22" s="790" customFormat="1">
      <c r="A596" s="5"/>
      <c r="B596" s="249"/>
      <c r="C596" s="425" t="str">
        <v>Total Output Growth</v>
      </c>
      <c r="D596" s="426" t="str">
        <v>Other</v>
      </c>
      <c r="E596" s="847">
        <f ca="1"/>
        <v>0</v>
      </c>
      <c r="F596" s="386">
        <f ca="1"/>
        <v>0</v>
      </c>
      <c r="G596" s="383">
        <f ca="1"/>
        <v>0</v>
      </c>
      <c r="H596" s="383">
        <f ca="1"/>
        <v>0</v>
      </c>
      <c r="I596" s="383">
        <f ca="1"/>
        <v>0</v>
      </c>
      <c r="J596" s="383">
        <f ca="1"/>
        <v>0</v>
      </c>
      <c r="K596" s="383">
        <f ca="1"/>
        <v>0</v>
      </c>
      <c r="P596" s="386"/>
      <c r="Q596" s="768">
        <f ca="1">IF(F596&lt;&gt;0,+F596/'A-15'!D$82,0)</f>
        <v>0</v>
      </c>
      <c r="R596" s="768">
        <f ca="1">IF(G596&lt;&gt;0,+G596/'A-15'!E$82,0)</f>
        <v>0</v>
      </c>
      <c r="S596" s="768">
        <f ca="1">IF(H596&lt;&gt;0,+H596/'A-15'!F$82,0)</f>
        <v>0</v>
      </c>
      <c r="T596" s="768">
        <f ca="1">IF(I596&lt;&gt;0,+I596/'A-15'!G$82,0)</f>
        <v>0</v>
      </c>
      <c r="U596" s="768">
        <f ca="1">IF(J596&lt;&gt;0,+J596/'A-15'!H$82,0)</f>
        <v>0</v>
      </c>
      <c r="V596" s="768">
        <f ca="1">IF(K596&lt;&gt;0,+K596/'A-15'!I$82,0)</f>
        <v>0</v>
      </c>
    </row>
    <row r="597" spans="1:22">
      <c r="A597" s="5"/>
      <c r="B597" s="249"/>
      <c r="C597" s="424" t="s">
        <v>73</v>
      </c>
      <c r="D597" s="417"/>
      <c r="E597" s="848"/>
      <c r="F597" s="387"/>
      <c r="G597" s="385"/>
      <c r="H597" s="385"/>
      <c r="I597" s="385"/>
      <c r="J597" s="385"/>
      <c r="K597" s="385"/>
      <c r="P597" s="387"/>
      <c r="Q597" s="385"/>
      <c r="R597" s="385"/>
      <c r="S597" s="385"/>
      <c r="T597" s="385"/>
      <c r="U597" s="385"/>
      <c r="V597" s="385"/>
    </row>
    <row r="598" spans="1:22" s="767" customFormat="1">
      <c r="A598" s="5"/>
      <c r="B598" s="249"/>
      <c r="C598" s="425" t="str">
        <f t="array" ref="C598:D603">+'A-15'!$A$113:$B$119</f>
        <v>Labour</v>
      </c>
      <c r="D598" s="426" t="str">
        <v>Labour</v>
      </c>
      <c r="E598" s="847">
        <f t="array" ref="E598:K603" ca="1">+'A-15'!$N$113:$T$119</f>
        <v>0</v>
      </c>
      <c r="F598" s="386">
        <f ca="1"/>
        <v>0</v>
      </c>
      <c r="G598" s="383">
        <f ca="1"/>
        <v>7.2083047500546185E-2</v>
      </c>
      <c r="H598" s="383">
        <f ca="1"/>
        <v>0.14713031969075915</v>
      </c>
      <c r="I598" s="383">
        <f ca="1"/>
        <v>0.22939685275830854</v>
      </c>
      <c r="J598" s="383">
        <f ca="1"/>
        <v>0.31528661498623856</v>
      </c>
      <c r="K598" s="383">
        <f ca="1"/>
        <v>0.40443811538601698</v>
      </c>
      <c r="P598" s="386"/>
      <c r="Q598" s="768">
        <f ca="1">IF(F598&lt;&gt;0,+F598/'A-15'!D$113,0)</f>
        <v>0</v>
      </c>
      <c r="R598" s="768">
        <f ca="1">IF(G598&lt;&gt;0,+G598/'A-15'!E$113,0)</f>
        <v>3.3592675013268254</v>
      </c>
      <c r="S598" s="768">
        <f ca="1">IF(H598&lt;&gt;0,+H598/'A-15'!F$113,0)</f>
        <v>3.3919458677908851</v>
      </c>
      <c r="T598" s="768">
        <f ca="1">IF(I598&lt;&gt;0,+I598/'A-15'!G$113,0)</f>
        <v>3.4242480701725313</v>
      </c>
      <c r="U598" s="768">
        <f ca="1">IF(J598&lt;&gt;0,+J598/'A-15'!H$113,0)</f>
        <v>3.4592933653886133</v>
      </c>
      <c r="V598" s="768">
        <f ca="1">IF(K598&lt;&gt;0,+K598/'A-15'!I$113,0)</f>
        <v>3.4913951180866563</v>
      </c>
    </row>
    <row r="599" spans="1:22" s="767" customFormat="1">
      <c r="A599" s="5"/>
      <c r="B599" s="249"/>
      <c r="C599" s="425" t="str">
        <v>Materials</v>
      </c>
      <c r="D599" s="426" t="str">
        <v>Materials</v>
      </c>
      <c r="E599" s="847">
        <f ca="1"/>
        <v>0</v>
      </c>
      <c r="F599" s="386">
        <f ca="1"/>
        <v>0</v>
      </c>
      <c r="G599" s="383">
        <f ca="1"/>
        <v>0</v>
      </c>
      <c r="H599" s="383">
        <f ca="1"/>
        <v>0</v>
      </c>
      <c r="I599" s="383">
        <f ca="1"/>
        <v>0</v>
      </c>
      <c r="J599" s="383">
        <f ca="1"/>
        <v>0</v>
      </c>
      <c r="K599" s="383">
        <f ca="1"/>
        <v>0</v>
      </c>
      <c r="P599" s="386"/>
      <c r="Q599" s="768">
        <f ca="1">IF(F599&lt;&gt;0,+F599/'A-15'!D$114,0)</f>
        <v>0</v>
      </c>
      <c r="R599" s="768">
        <f ca="1">IF(G599&lt;&gt;0,+G599/'A-15'!E$114,0)</f>
        <v>0</v>
      </c>
      <c r="S599" s="768">
        <f ca="1">IF(H599&lt;&gt;0,+H599/'A-15'!F$114,0)</f>
        <v>0</v>
      </c>
      <c r="T599" s="768">
        <f ca="1">IF(I599&lt;&gt;0,+I599/'A-15'!G$114,0)</f>
        <v>0</v>
      </c>
      <c r="U599" s="768">
        <f ca="1">IF(J599&lt;&gt;0,+J599/'A-15'!H$114,0)</f>
        <v>0</v>
      </c>
      <c r="V599" s="768">
        <f ca="1">IF(K599&lt;&gt;0,+K599/'A-15'!I$114,0)</f>
        <v>0</v>
      </c>
    </row>
    <row r="600" spans="1:22" s="767" customFormat="1">
      <c r="A600" s="5"/>
      <c r="B600" s="249"/>
      <c r="C600" s="425" t="str">
        <v>Services-construction</v>
      </c>
      <c r="D600" s="426" t="str">
        <v>Contracts</v>
      </c>
      <c r="E600" s="847">
        <f ca="1"/>
        <v>0</v>
      </c>
      <c r="F600" s="386">
        <f ca="1"/>
        <v>0</v>
      </c>
      <c r="G600" s="383">
        <f ca="1"/>
        <v>1.5664454353358812E-4</v>
      </c>
      <c r="H600" s="383">
        <f ca="1"/>
        <v>3.1712755025953184E-4</v>
      </c>
      <c r="I600" s="383">
        <f ca="1"/>
        <v>6.1044327371601211E-4</v>
      </c>
      <c r="J600" s="383">
        <f ca="1"/>
        <v>9.619145713699813E-4</v>
      </c>
      <c r="K600" s="383">
        <f ca="1"/>
        <v>1.3899908375248559E-3</v>
      </c>
      <c r="P600" s="386"/>
      <c r="Q600" s="768">
        <f ca="1">IF(F600&lt;&gt;0,+F600/'A-15'!D$115,0)</f>
        <v>0</v>
      </c>
      <c r="R600" s="768">
        <f ca="1">IF(G600&lt;&gt;0,+G600/'A-15'!E$115,0)</f>
        <v>3.1328908706718291E-2</v>
      </c>
      <c r="S600" s="768">
        <f ca="1">IF(H600&lt;&gt;0,+H600/'A-15'!F$115,0)</f>
        <v>3.1633670848831966E-2</v>
      </c>
      <c r="T600" s="768">
        <f ca="1">IF(I600&lt;&gt;0,+I600/'A-15'!G$115,0)</f>
        <v>3.19349248421626E-2</v>
      </c>
      <c r="U600" s="768">
        <f ca="1">IF(J600&lt;&gt;0,+J600/'A-15'!H$115,0)</f>
        <v>3.2261761229556866E-2</v>
      </c>
      <c r="V600" s="768">
        <f ca="1">IF(K600&lt;&gt;0,+K600/'A-15'!I$115,0)</f>
        <v>3.2561145806464006E-2</v>
      </c>
    </row>
    <row r="601" spans="1:22" s="767" customFormat="1">
      <c r="A601" s="5"/>
      <c r="B601" s="249"/>
      <c r="C601" s="425" t="str">
        <v>Services-general</v>
      </c>
      <c r="D601" s="426" t="str">
        <v>Services Other</v>
      </c>
      <c r="E601" s="847">
        <f ca="1"/>
        <v>0</v>
      </c>
      <c r="F601" s="386">
        <f ca="1"/>
        <v>0</v>
      </c>
      <c r="G601" s="383">
        <f ca="1"/>
        <v>7.6301051850231622E-4</v>
      </c>
      <c r="H601" s="383">
        <f ca="1"/>
        <v>1.5447180673932035E-3</v>
      </c>
      <c r="I601" s="383">
        <f ca="1"/>
        <v>2.9734494945521874E-3</v>
      </c>
      <c r="J601" s="383">
        <f ca="1"/>
        <v>4.6854548476408762E-3</v>
      </c>
      <c r="K601" s="383">
        <f ca="1"/>
        <v>6.770600531169459E-3</v>
      </c>
      <c r="P601" s="386"/>
      <c r="Q601" s="768">
        <f ca="1">IF(F601&lt;&gt;0,+F601/'A-15'!D$116,0)</f>
        <v>0</v>
      </c>
      <c r="R601" s="768">
        <f ca="1">IF(G601&lt;&gt;0,+G601/'A-15'!E$116,0)</f>
        <v>0.15260210370046651</v>
      </c>
      <c r="S601" s="768">
        <f ca="1">IF(H601&lt;&gt;0,+H601/'A-15'!F$116,0)</f>
        <v>0.15408659026366536</v>
      </c>
      <c r="T601" s="768">
        <f ca="1">IF(I601&lt;&gt;0,+I601/'A-15'!G$116,0)</f>
        <v>0.15555398874730814</v>
      </c>
      <c r="U601" s="768">
        <f ca="1">IF(J601&lt;&gt;0,+J601/'A-15'!H$116,0)</f>
        <v>0.15714599824719636</v>
      </c>
      <c r="V601" s="768">
        <f ca="1">IF(K601&lt;&gt;0,+K601/'A-15'!I$116,0)</f>
        <v>0.15860429086374403</v>
      </c>
    </row>
    <row r="602" spans="1:22" s="767" customFormat="1">
      <c r="A602" s="5"/>
      <c r="B602" s="249"/>
      <c r="C602" s="425" t="str">
        <v>Labour</v>
      </c>
      <c r="D602" s="426" t="str">
        <v>Business Overheads</v>
      </c>
      <c r="E602" s="847">
        <f ca="1"/>
        <v>0</v>
      </c>
      <c r="F602" s="386">
        <f ca="1"/>
        <v>0</v>
      </c>
      <c r="G602" s="383">
        <f ca="1"/>
        <v>0</v>
      </c>
      <c r="H602" s="383">
        <f ca="1"/>
        <v>0</v>
      </c>
      <c r="I602" s="383">
        <f ca="1"/>
        <v>0</v>
      </c>
      <c r="J602" s="383">
        <f ca="1"/>
        <v>0</v>
      </c>
      <c r="K602" s="383">
        <f ca="1"/>
        <v>0</v>
      </c>
      <c r="P602" s="386"/>
      <c r="Q602" s="768">
        <f ca="1">IF(F602&lt;&gt;0,+F602/'A-15'!D$117,0)</f>
        <v>0</v>
      </c>
      <c r="R602" s="768">
        <f ca="1">IF(G602&lt;&gt;0,+G602/'A-15'!E$117,0)</f>
        <v>0</v>
      </c>
      <c r="S602" s="768">
        <f ca="1">IF(H602&lt;&gt;0,+H602/'A-15'!F$117,0)</f>
        <v>0</v>
      </c>
      <c r="T602" s="768">
        <f ca="1">IF(I602&lt;&gt;0,+I602/'A-15'!G$117,0)</f>
        <v>0</v>
      </c>
      <c r="U602" s="768">
        <f ca="1">IF(J602&lt;&gt;0,+J602/'A-15'!H$117,0)</f>
        <v>0</v>
      </c>
      <c r="V602" s="768">
        <f ca="1">IF(K602&lt;&gt;0,+K602/'A-15'!I$117,0)</f>
        <v>0</v>
      </c>
    </row>
    <row r="603" spans="1:22" s="767" customFormat="1">
      <c r="A603" s="5"/>
      <c r="B603" s="249"/>
      <c r="C603" s="425" t="str">
        <v>Materials - Land</v>
      </c>
      <c r="D603" s="426" t="str">
        <v>Other</v>
      </c>
      <c r="E603" s="847">
        <f ca="1"/>
        <v>0</v>
      </c>
      <c r="F603" s="386">
        <f ca="1"/>
        <v>0</v>
      </c>
      <c r="G603" s="383">
        <f ca="1"/>
        <v>0</v>
      </c>
      <c r="H603" s="383">
        <f ca="1"/>
        <v>0</v>
      </c>
      <c r="I603" s="383">
        <f ca="1"/>
        <v>0</v>
      </c>
      <c r="J603" s="383">
        <f ca="1"/>
        <v>0</v>
      </c>
      <c r="K603" s="383">
        <f ca="1"/>
        <v>0</v>
      </c>
      <c r="P603" s="386"/>
      <c r="Q603" s="768">
        <f ca="1">IF(F603&lt;&gt;0,+F603/'A-15'!D$118,0)</f>
        <v>0</v>
      </c>
      <c r="R603" s="768">
        <f ca="1">IF(G603&lt;&gt;0,+G603/'A-15'!E$118,0)</f>
        <v>0</v>
      </c>
      <c r="S603" s="768">
        <f ca="1">IF(H603&lt;&gt;0,+H603/'A-15'!F$118,0)</f>
        <v>0</v>
      </c>
      <c r="T603" s="768">
        <f ca="1">IF(I603&lt;&gt;0,+I603/'A-15'!G$118,0)</f>
        <v>0</v>
      </c>
      <c r="U603" s="768">
        <f ca="1">IF(J603&lt;&gt;0,+J603/'A-15'!H$118,0)</f>
        <v>0</v>
      </c>
      <c r="V603" s="768">
        <f ca="1">IF(K603&lt;&gt;0,+K603/'A-15'!I$118,0)</f>
        <v>0</v>
      </c>
    </row>
    <row r="604" spans="1:22">
      <c r="A604" s="5"/>
      <c r="B604" s="811" t="str">
        <f ca="1">+'I-4 History'!B363</f>
        <v>A-16</v>
      </c>
      <c r="C604" s="14" t="str">
        <f ca="1">+'I-4 History'!C363</f>
        <v>Finance - Adjustments</v>
      </c>
      <c r="D604" s="418"/>
      <c r="E604" s="507"/>
      <c r="F604" s="11"/>
      <c r="G604" s="11"/>
      <c r="H604" s="11"/>
      <c r="I604" s="11"/>
      <c r="J604" s="11"/>
      <c r="K604" s="11"/>
      <c r="P604" s="11"/>
      <c r="Q604" s="11"/>
      <c r="R604" s="11"/>
      <c r="S604" s="11"/>
      <c r="T604" s="11"/>
      <c r="U604" s="11"/>
      <c r="V604" s="11"/>
    </row>
    <row r="605" spans="1:22">
      <c r="A605" s="5"/>
      <c r="B605" s="811"/>
      <c r="C605" s="424" t="s">
        <v>74</v>
      </c>
      <c r="D605" s="416"/>
      <c r="E605" s="507"/>
      <c r="F605" s="11"/>
      <c r="G605" s="11"/>
      <c r="H605" s="11"/>
      <c r="I605" s="11"/>
      <c r="J605" s="11"/>
      <c r="K605" s="11"/>
      <c r="P605" s="11"/>
      <c r="Q605" s="11"/>
      <c r="R605" s="11"/>
      <c r="S605" s="11"/>
      <c r="T605" s="11"/>
      <c r="U605" s="11"/>
      <c r="V605" s="11"/>
    </row>
    <row r="606" spans="1:22">
      <c r="A606" s="5"/>
      <c r="B606" s="811"/>
      <c r="C606" s="425" t="str">
        <f t="array" ref="C606:D611">+'A-16'!$A$77:$B$82</f>
        <v>Total Output Growth</v>
      </c>
      <c r="D606" s="426" t="str">
        <v>Labour</v>
      </c>
      <c r="E606" s="847">
        <f t="array" ref="E606:K611" ca="1">+'A-16'!$N$77:$T$82</f>
        <v>0</v>
      </c>
      <c r="F606" s="386">
        <f ca="1"/>
        <v>0</v>
      </c>
      <c r="G606" s="383">
        <f ca="1"/>
        <v>-3.5299331201669247E-2</v>
      </c>
      <c r="H606" s="383">
        <f ca="1"/>
        <v>-6.800719077625629E-2</v>
      </c>
      <c r="I606" s="383">
        <f ca="1"/>
        <v>-0.10033854677016019</v>
      </c>
      <c r="J606" s="383">
        <f ca="1"/>
        <v>-0.13541547131405468</v>
      </c>
      <c r="K606" s="383">
        <f ca="1"/>
        <v>-0.1675461967130886</v>
      </c>
      <c r="L606" s="790"/>
      <c r="M606" s="790"/>
      <c r="N606" s="790"/>
      <c r="O606" s="790"/>
      <c r="P606" s="386"/>
      <c r="Q606" s="768">
        <f ca="1">IF(F606&lt;&gt;0,+F606/'A-16'!D$77,0)</f>
        <v>0</v>
      </c>
      <c r="R606" s="768">
        <f ca="1">IF(G606&lt;&gt;0,+G606/'A-16'!E$77,0)</f>
        <v>-3.327</v>
      </c>
      <c r="S606" s="768">
        <f ca="1">IF(H606&lt;&gt;0,+H606/'A-16'!F$77,0)</f>
        <v>-3.327</v>
      </c>
      <c r="T606" s="768">
        <f ca="1">IF(I606&lt;&gt;0,+I606/'A-16'!G$77,0)</f>
        <v>-3.327</v>
      </c>
      <c r="U606" s="768">
        <f ca="1">IF(J606&lt;&gt;0,+J606/'A-16'!H$77,0)</f>
        <v>-3.327</v>
      </c>
      <c r="V606" s="768">
        <f ca="1">IF(K606&lt;&gt;0,+K606/'A-16'!I$77,0)</f>
        <v>-3.327</v>
      </c>
    </row>
    <row r="607" spans="1:22">
      <c r="A607" s="5"/>
      <c r="B607" s="811"/>
      <c r="C607" s="425" t="str">
        <v>Total Output Growth</v>
      </c>
      <c r="D607" s="426" t="str">
        <v>Materials</v>
      </c>
      <c r="E607" s="847">
        <f ca="1"/>
        <v>0</v>
      </c>
      <c r="F607" s="386">
        <f ca="1"/>
        <v>0</v>
      </c>
      <c r="G607" s="383">
        <f ca="1"/>
        <v>-7.4481907134270548E-3</v>
      </c>
      <c r="H607" s="383">
        <f ca="1"/>
        <v>-1.4349578576775447E-2</v>
      </c>
      <c r="I607" s="383">
        <f ca="1"/>
        <v>-2.1171523845101427E-2</v>
      </c>
      <c r="J607" s="383">
        <f ca="1"/>
        <v>-2.8572786553190975E-2</v>
      </c>
      <c r="K607" s="383">
        <f ca="1"/>
        <v>-3.5352398585088124E-2</v>
      </c>
      <c r="L607" s="790"/>
      <c r="M607" s="790"/>
      <c r="N607" s="790"/>
      <c r="O607" s="790"/>
      <c r="P607" s="386"/>
      <c r="Q607" s="768">
        <f ca="1">IF(F607&lt;&gt;0,+F607/'A-16'!D$78,0)</f>
        <v>0</v>
      </c>
      <c r="R607" s="768">
        <f ca="1">IF(G607&lt;&gt;0,+G607/'A-16'!E$78,0)</f>
        <v>-0.70199999999999996</v>
      </c>
      <c r="S607" s="768">
        <f ca="1">IF(H607&lt;&gt;0,+H607/'A-16'!F$78,0)</f>
        <v>-0.70199999999999996</v>
      </c>
      <c r="T607" s="768">
        <f ca="1">IF(I607&lt;&gt;0,+I607/'A-16'!G$78,0)</f>
        <v>-0.70199999999999996</v>
      </c>
      <c r="U607" s="768">
        <f ca="1">IF(J607&lt;&gt;0,+J607/'A-16'!H$78,0)</f>
        <v>-0.70199999999999996</v>
      </c>
      <c r="V607" s="768">
        <f ca="1">IF(K607&lt;&gt;0,+K607/'A-16'!I$78,0)</f>
        <v>-0.70199999999999996</v>
      </c>
    </row>
    <row r="608" spans="1:22">
      <c r="A608" s="5"/>
      <c r="B608" s="811"/>
      <c r="C608" s="425" t="str">
        <v>Total Output Growth</v>
      </c>
      <c r="D608" s="426" t="str">
        <v>Contracts</v>
      </c>
      <c r="E608" s="847">
        <f ca="1"/>
        <v>0</v>
      </c>
      <c r="F608" s="386">
        <f ca="1"/>
        <v>0</v>
      </c>
      <c r="G608" s="383">
        <f ca="1"/>
        <v>0</v>
      </c>
      <c r="H608" s="383">
        <f ca="1"/>
        <v>0</v>
      </c>
      <c r="I608" s="383">
        <f ca="1"/>
        <v>0</v>
      </c>
      <c r="J608" s="383">
        <f ca="1"/>
        <v>0</v>
      </c>
      <c r="K608" s="383">
        <f ca="1"/>
        <v>0</v>
      </c>
      <c r="L608" s="790"/>
      <c r="M608" s="790"/>
      <c r="N608" s="790"/>
      <c r="O608" s="790"/>
      <c r="P608" s="386"/>
      <c r="Q608" s="768">
        <f ca="1">IF(F608&lt;&gt;0,+F608/'A-16'!D$79,0)</f>
        <v>0</v>
      </c>
      <c r="R608" s="768">
        <f ca="1">IF(G608&lt;&gt;0,+G608/'A-16'!E$79,0)</f>
        <v>0</v>
      </c>
      <c r="S608" s="768">
        <f ca="1">IF(H608&lt;&gt;0,+H608/'A-16'!F$79,0)</f>
        <v>0</v>
      </c>
      <c r="T608" s="768">
        <f ca="1">IF(I608&lt;&gt;0,+I608/'A-16'!G$79,0)</f>
        <v>0</v>
      </c>
      <c r="U608" s="768">
        <f ca="1">IF(J608&lt;&gt;0,+J608/'A-16'!H$79,0)</f>
        <v>0</v>
      </c>
      <c r="V608" s="768">
        <f ca="1">IF(K608&lt;&gt;0,+K608/'A-16'!I$79,0)</f>
        <v>0</v>
      </c>
    </row>
    <row r="609" spans="1:22" s="790" customFormat="1">
      <c r="A609" s="5"/>
      <c r="B609" s="811"/>
      <c r="C609" s="425" t="str">
        <v>Total Output Growth</v>
      </c>
      <c r="D609" s="426" t="str">
        <v>Services Other</v>
      </c>
      <c r="E609" s="847">
        <f ca="1"/>
        <v>0</v>
      </c>
      <c r="F609" s="386">
        <f ca="1"/>
        <v>0</v>
      </c>
      <c r="G609" s="383">
        <f ca="1"/>
        <v>3.340014866932816E-2</v>
      </c>
      <c r="H609" s="383">
        <f ca="1"/>
        <v>6.4348252649129786E-2</v>
      </c>
      <c r="I609" s="383">
        <f ca="1"/>
        <v>9.4940109778318071E-2</v>
      </c>
      <c r="J609" s="383">
        <f ca="1"/>
        <v>0.12812981776274243</v>
      </c>
      <c r="K609" s="383">
        <f ca="1"/>
        <v>0.15853183866931256</v>
      </c>
      <c r="P609" s="386"/>
      <c r="Q609" s="768">
        <f ca="1">IF(F609&lt;&gt;0,+F609/'A-16'!D$80,0)</f>
        <v>0</v>
      </c>
      <c r="R609" s="768">
        <f ca="1">IF(G609&lt;&gt;0,+G609/'A-16'!E$80,0)</f>
        <v>3.1479999999999997</v>
      </c>
      <c r="S609" s="768">
        <f ca="1">IF(H609&lt;&gt;0,+H609/'A-16'!F$80,0)</f>
        <v>3.1480000000000001</v>
      </c>
      <c r="T609" s="768">
        <f ca="1">IF(I609&lt;&gt;0,+I609/'A-16'!G$80,0)</f>
        <v>3.1479999999999997</v>
      </c>
      <c r="U609" s="768">
        <f ca="1">IF(J609&lt;&gt;0,+J609/'A-16'!H$80,0)</f>
        <v>3.1479999999999997</v>
      </c>
      <c r="V609" s="768">
        <f ca="1">IF(K609&lt;&gt;0,+K609/'A-16'!I$80,0)</f>
        <v>3.1479999999999997</v>
      </c>
    </row>
    <row r="610" spans="1:22" s="790" customFormat="1">
      <c r="A610" s="5"/>
      <c r="B610" s="811"/>
      <c r="C610" s="425" t="str">
        <v>Total Output Growth</v>
      </c>
      <c r="D610" s="426" t="str">
        <v>Business Overheads</v>
      </c>
      <c r="E610" s="847">
        <f ca="1"/>
        <v>0</v>
      </c>
      <c r="F610" s="386">
        <f ca="1"/>
        <v>0</v>
      </c>
      <c r="G610" s="383">
        <f ca="1"/>
        <v>0</v>
      </c>
      <c r="H610" s="383">
        <f ca="1"/>
        <v>0</v>
      </c>
      <c r="I610" s="383">
        <f ca="1"/>
        <v>0</v>
      </c>
      <c r="J610" s="383">
        <f ca="1"/>
        <v>0</v>
      </c>
      <c r="K610" s="383">
        <f ca="1"/>
        <v>0</v>
      </c>
      <c r="P610" s="386"/>
      <c r="Q610" s="768">
        <f ca="1">IF(F610&lt;&gt;0,+F610/'A-16'!D$81,0)</f>
        <v>0</v>
      </c>
      <c r="R610" s="768">
        <f ca="1">IF(G610&lt;&gt;0,+G610/'A-16'!E$81,0)</f>
        <v>0</v>
      </c>
      <c r="S610" s="768">
        <f ca="1">IF(H610&lt;&gt;0,+H610/'A-16'!F$81,0)</f>
        <v>0</v>
      </c>
      <c r="T610" s="768">
        <f ca="1">IF(I610&lt;&gt;0,+I610/'A-16'!G$81,0)</f>
        <v>0</v>
      </c>
      <c r="U610" s="768">
        <f ca="1">IF(J610&lt;&gt;0,+J610/'A-16'!H$81,0)</f>
        <v>0</v>
      </c>
      <c r="V610" s="768">
        <f ca="1">IF(K610&lt;&gt;0,+K610/'A-16'!I$81,0)</f>
        <v>0</v>
      </c>
    </row>
    <row r="611" spans="1:22" s="790" customFormat="1">
      <c r="A611" s="5"/>
      <c r="B611" s="811"/>
      <c r="C611" s="425" t="str">
        <v>Total Output Growth</v>
      </c>
      <c r="D611" s="426" t="str">
        <v>Other</v>
      </c>
      <c r="E611" s="847">
        <f ca="1"/>
        <v>0</v>
      </c>
      <c r="F611" s="386">
        <f ca="1"/>
        <v>0</v>
      </c>
      <c r="G611" s="383">
        <f ca="1"/>
        <v>0</v>
      </c>
      <c r="H611" s="383">
        <f ca="1"/>
        <v>0</v>
      </c>
      <c r="I611" s="383">
        <f ca="1"/>
        <v>0</v>
      </c>
      <c r="J611" s="383">
        <f ca="1"/>
        <v>0</v>
      </c>
      <c r="K611" s="383">
        <f ca="1"/>
        <v>0</v>
      </c>
      <c r="P611" s="386"/>
      <c r="Q611" s="768">
        <f ca="1">IF(F611&lt;&gt;0,+F611/'A-16'!D$82,0)</f>
        <v>0</v>
      </c>
      <c r="R611" s="768">
        <f ca="1">IF(G611&lt;&gt;0,+G611/'A-16'!E$82,0)</f>
        <v>0</v>
      </c>
      <c r="S611" s="768">
        <f ca="1">IF(H611&lt;&gt;0,+H611/'A-16'!F$82,0)</f>
        <v>0</v>
      </c>
      <c r="T611" s="768">
        <f ca="1">IF(I611&lt;&gt;0,+I611/'A-16'!G$82,0)</f>
        <v>0</v>
      </c>
      <c r="U611" s="768">
        <f ca="1">IF(J611&lt;&gt;0,+J611/'A-16'!H$82,0)</f>
        <v>0</v>
      </c>
      <c r="V611" s="768">
        <f ca="1">IF(K611&lt;&gt;0,+K611/'A-16'!I$82,0)</f>
        <v>0</v>
      </c>
    </row>
    <row r="612" spans="1:22">
      <c r="A612" s="5"/>
      <c r="B612" s="811"/>
      <c r="C612" s="424" t="s">
        <v>73</v>
      </c>
      <c r="D612" s="417"/>
      <c r="E612" s="848"/>
      <c r="F612" s="387"/>
      <c r="G612" s="385"/>
      <c r="H612" s="385"/>
      <c r="I612" s="385"/>
      <c r="J612" s="385"/>
      <c r="K612" s="385"/>
      <c r="P612" s="387"/>
      <c r="Q612" s="385"/>
      <c r="R612" s="385"/>
      <c r="S612" s="385"/>
      <c r="T612" s="385"/>
      <c r="U612" s="385"/>
      <c r="V612" s="385"/>
    </row>
    <row r="613" spans="1:22" s="767" customFormat="1">
      <c r="A613" s="5"/>
      <c r="B613" s="811"/>
      <c r="C613" s="425" t="str">
        <f t="array" ref="C613:D618">+'A-16'!$A$113:$B$119</f>
        <v>Labour</v>
      </c>
      <c r="D613" s="426" t="str">
        <v>Labour</v>
      </c>
      <c r="E613" s="847">
        <f t="array" ref="E613:K618" ca="1">+'A-16'!$N$113:$T$119</f>
        <v>0</v>
      </c>
      <c r="F613" s="386">
        <f ca="1"/>
        <v>0</v>
      </c>
      <c r="G613" s="383">
        <f ca="1"/>
        <v>-7.2148104402622495E-2</v>
      </c>
      <c r="H613" s="383">
        <f ca="1"/>
        <v>-0.14726310878795298</v>
      </c>
      <c r="I613" s="383">
        <f ca="1"/>
        <v>-0.22960388962902906</v>
      </c>
      <c r="J613" s="383">
        <f ca="1"/>
        <v>-0.31557116969290483</v>
      </c>
      <c r="K613" s="383">
        <f ca="1"/>
        <v>-0.40480313173564336</v>
      </c>
      <c r="P613" s="386"/>
      <c r="Q613" s="768">
        <f ca="1">IF(F613&lt;&gt;0,+F613/'A-16'!D$113,0)</f>
        <v>0</v>
      </c>
      <c r="R613" s="768">
        <f ca="1">IF(G613&lt;&gt;0,+G613/'A-16'!E$113,0)</f>
        <v>-3.3622993312016694</v>
      </c>
      <c r="S613" s="768">
        <f ca="1">IF(H613&lt;&gt;0,+H613/'A-16'!F$113,0)</f>
        <v>-3.3950071907762562</v>
      </c>
      <c r="T613" s="768">
        <f ca="1">IF(I613&lt;&gt;0,+I613/'A-16'!G$113,0)</f>
        <v>-3.42733854677016</v>
      </c>
      <c r="U613" s="768">
        <f ca="1">IF(J613&lt;&gt;0,+J613/'A-16'!H$113,0)</f>
        <v>-3.4624154713140545</v>
      </c>
      <c r="V613" s="768">
        <f ca="1">IF(K613&lt;&gt;0,+K613/'A-16'!I$113,0)</f>
        <v>-3.4945461967130886</v>
      </c>
    </row>
    <row r="614" spans="1:22" s="767" customFormat="1">
      <c r="A614" s="5"/>
      <c r="B614" s="811"/>
      <c r="C614" s="425" t="str">
        <v>Materials</v>
      </c>
      <c r="D614" s="426" t="str">
        <v>Materials</v>
      </c>
      <c r="E614" s="847">
        <f ca="1"/>
        <v>0</v>
      </c>
      <c r="F614" s="386">
        <f ca="1"/>
        <v>0</v>
      </c>
      <c r="G614" s="383">
        <f ca="1"/>
        <v>0</v>
      </c>
      <c r="H614" s="383">
        <f ca="1"/>
        <v>0</v>
      </c>
      <c r="I614" s="383">
        <f ca="1"/>
        <v>0</v>
      </c>
      <c r="J614" s="383">
        <f ca="1"/>
        <v>0</v>
      </c>
      <c r="K614" s="383">
        <f ca="1"/>
        <v>0</v>
      </c>
      <c r="P614" s="386"/>
      <c r="Q614" s="768">
        <f ca="1">IF(F614&lt;&gt;0,+F614/'A-16'!D$114,0)</f>
        <v>0</v>
      </c>
      <c r="R614" s="768">
        <f ca="1">IF(G614&lt;&gt;0,+G614/'A-16'!E$114,0)</f>
        <v>0</v>
      </c>
      <c r="S614" s="768">
        <f ca="1">IF(H614&lt;&gt;0,+H614/'A-16'!F$114,0)</f>
        <v>0</v>
      </c>
      <c r="T614" s="768">
        <f ca="1">IF(I614&lt;&gt;0,+I614/'A-16'!G$114,0)</f>
        <v>0</v>
      </c>
      <c r="U614" s="768">
        <f ca="1">IF(J614&lt;&gt;0,+J614/'A-16'!H$114,0)</f>
        <v>0</v>
      </c>
      <c r="V614" s="768">
        <f ca="1">IF(K614&lt;&gt;0,+K614/'A-16'!I$114,0)</f>
        <v>0</v>
      </c>
    </row>
    <row r="615" spans="1:22" s="767" customFormat="1">
      <c r="A615" s="5"/>
      <c r="B615" s="811"/>
      <c r="C615" s="425" t="str">
        <v>Services-construction</v>
      </c>
      <c r="D615" s="426" t="str">
        <v>Contracts</v>
      </c>
      <c r="E615" s="847">
        <f ca="1"/>
        <v>0</v>
      </c>
      <c r="F615" s="386">
        <f ca="1"/>
        <v>0</v>
      </c>
      <c r="G615" s="383">
        <f ca="1"/>
        <v>0</v>
      </c>
      <c r="H615" s="383">
        <f ca="1"/>
        <v>0</v>
      </c>
      <c r="I615" s="383">
        <f ca="1"/>
        <v>0</v>
      </c>
      <c r="J615" s="383">
        <f ca="1"/>
        <v>0</v>
      </c>
      <c r="K615" s="383">
        <f ca="1"/>
        <v>0</v>
      </c>
      <c r="P615" s="386"/>
      <c r="Q615" s="768">
        <f ca="1">IF(F615&lt;&gt;0,+F615/'A-16'!D$115,0)</f>
        <v>0</v>
      </c>
      <c r="R615" s="768">
        <f ca="1">IF(G615&lt;&gt;0,+G615/'A-16'!E$115,0)</f>
        <v>0</v>
      </c>
      <c r="S615" s="768">
        <f ca="1">IF(H615&lt;&gt;0,+H615/'A-16'!F$115,0)</f>
        <v>0</v>
      </c>
      <c r="T615" s="768">
        <f ca="1">IF(I615&lt;&gt;0,+I615/'A-16'!G$115,0)</f>
        <v>0</v>
      </c>
      <c r="U615" s="768">
        <f ca="1">IF(J615&lt;&gt;0,+J615/'A-16'!H$115,0)</f>
        <v>0</v>
      </c>
      <c r="V615" s="768">
        <f ca="1">IF(K615&lt;&gt;0,+K615/'A-16'!I$115,0)</f>
        <v>0</v>
      </c>
    </row>
    <row r="616" spans="1:22" s="767" customFormat="1">
      <c r="A616" s="5"/>
      <c r="B616" s="811"/>
      <c r="C616" s="425" t="str">
        <v>Services-general</v>
      </c>
      <c r="D616" s="426" t="str">
        <v>Services Other</v>
      </c>
      <c r="E616" s="847">
        <f ca="1"/>
        <v>0</v>
      </c>
      <c r="F616" s="386">
        <f ca="1"/>
        <v>0</v>
      </c>
      <c r="G616" s="383">
        <f ca="1"/>
        <v>1.5907000743346302E-2</v>
      </c>
      <c r="H616" s="383">
        <f ca="1"/>
        <v>3.2203791232806651E-2</v>
      </c>
      <c r="I616" s="383">
        <f ca="1"/>
        <v>6.1989529859935673E-2</v>
      </c>
      <c r="J616" s="383">
        <f ca="1"/>
        <v>9.7680873247506475E-2</v>
      </c>
      <c r="K616" s="383">
        <f ca="1"/>
        <v>0.14115132762994342</v>
      </c>
      <c r="P616" s="386"/>
      <c r="Q616" s="768">
        <f ca="1">IF(F616&lt;&gt;0,+F616/'A-16'!D$116,0)</f>
        <v>0</v>
      </c>
      <c r="R616" s="768">
        <f ca="1">IF(G616&lt;&gt;0,+G616/'A-16'!E$116,0)</f>
        <v>3.1814001486693284</v>
      </c>
      <c r="S616" s="768">
        <f ca="1">IF(H616&lt;&gt;0,+H616/'A-16'!F$116,0)</f>
        <v>3.2123482526491296</v>
      </c>
      <c r="T616" s="768">
        <f ca="1">IF(I616&lt;&gt;0,+I616/'A-16'!G$116,0)</f>
        <v>3.2429401097783179</v>
      </c>
      <c r="U616" s="768">
        <f ca="1">IF(J616&lt;&gt;0,+J616/'A-16'!H$116,0)</f>
        <v>3.276129817762742</v>
      </c>
      <c r="V616" s="768">
        <f ca="1">IF(K616&lt;&gt;0,+K616/'A-16'!I$116,0)</f>
        <v>3.3065318386693128</v>
      </c>
    </row>
    <row r="617" spans="1:22" s="767" customFormat="1">
      <c r="A617" s="5"/>
      <c r="B617" s="811"/>
      <c r="C617" s="425" t="str">
        <v>Labour</v>
      </c>
      <c r="D617" s="426" t="str">
        <v>Business Overheads</v>
      </c>
      <c r="E617" s="847">
        <f ca="1"/>
        <v>0</v>
      </c>
      <c r="F617" s="386">
        <f ca="1"/>
        <v>0</v>
      </c>
      <c r="G617" s="383">
        <f ca="1"/>
        <v>0</v>
      </c>
      <c r="H617" s="383">
        <f ca="1"/>
        <v>0</v>
      </c>
      <c r="I617" s="383">
        <f ca="1"/>
        <v>0</v>
      </c>
      <c r="J617" s="383">
        <f ca="1"/>
        <v>0</v>
      </c>
      <c r="K617" s="383">
        <f ca="1"/>
        <v>0</v>
      </c>
      <c r="P617" s="386"/>
      <c r="Q617" s="768">
        <f ca="1">IF(F617&lt;&gt;0,+F617/'A-16'!D$117,0)</f>
        <v>0</v>
      </c>
      <c r="R617" s="768">
        <f ca="1">IF(G617&lt;&gt;0,+G617/'A-16'!E$117,0)</f>
        <v>0</v>
      </c>
      <c r="S617" s="768">
        <f ca="1">IF(H617&lt;&gt;0,+H617/'A-16'!F$117,0)</f>
        <v>0</v>
      </c>
      <c r="T617" s="768">
        <f ca="1">IF(I617&lt;&gt;0,+I617/'A-16'!G$117,0)</f>
        <v>0</v>
      </c>
      <c r="U617" s="768">
        <f ca="1">IF(J617&lt;&gt;0,+J617/'A-16'!H$117,0)</f>
        <v>0</v>
      </c>
      <c r="V617" s="768">
        <f ca="1">IF(K617&lt;&gt;0,+K617/'A-16'!I$117,0)</f>
        <v>0</v>
      </c>
    </row>
    <row r="618" spans="1:22" s="767" customFormat="1">
      <c r="A618" s="5"/>
      <c r="B618" s="811"/>
      <c r="C618" s="425" t="str">
        <v>Materials - Land</v>
      </c>
      <c r="D618" s="426" t="str">
        <v>Other</v>
      </c>
      <c r="E618" s="847">
        <f ca="1"/>
        <v>0</v>
      </c>
      <c r="F618" s="386">
        <f ca="1"/>
        <v>0</v>
      </c>
      <c r="G618" s="383">
        <f ca="1"/>
        <v>0</v>
      </c>
      <c r="H618" s="383">
        <f ca="1"/>
        <v>0</v>
      </c>
      <c r="I618" s="383">
        <f ca="1"/>
        <v>0</v>
      </c>
      <c r="J618" s="383">
        <f ca="1"/>
        <v>0</v>
      </c>
      <c r="K618" s="383">
        <f ca="1"/>
        <v>0</v>
      </c>
      <c r="P618" s="386"/>
      <c r="Q618" s="768">
        <f ca="1">IF(F618&lt;&gt;0,+F618/'A-16'!D$118,0)</f>
        <v>0</v>
      </c>
      <c r="R618" s="768">
        <f ca="1">IF(G618&lt;&gt;0,+G618/'A-16'!E$118,0)</f>
        <v>0</v>
      </c>
      <c r="S618" s="768">
        <f ca="1">IF(H618&lt;&gt;0,+H618/'A-16'!F$118,0)</f>
        <v>0</v>
      </c>
      <c r="T618" s="768">
        <f ca="1">IF(I618&lt;&gt;0,+I618/'A-16'!G$118,0)</f>
        <v>0</v>
      </c>
      <c r="U618" s="768">
        <f ca="1">IF(J618&lt;&gt;0,+J618/'A-16'!H$118,0)</f>
        <v>0</v>
      </c>
      <c r="V618" s="768">
        <f ca="1">IF(K618&lt;&gt;0,+K618/'A-16'!I$118,0)</f>
        <v>0</v>
      </c>
    </row>
    <row r="619" spans="1:22" ht="17.25" customHeight="1" thickBot="1">
      <c r="A619" s="5"/>
      <c r="B619" s="812"/>
      <c r="C619" s="437" t="str">
        <f>CONCATENATE("Total ",+C468)</f>
        <v>Total Finance</v>
      </c>
      <c r="D619" s="419"/>
      <c r="E619" s="500">
        <f ca="1">SUBTOTAL(9,E471:E618)</f>
        <v>0</v>
      </c>
      <c r="F619" s="314">
        <f t="shared" ref="F619:K619" ca="1" si="5">SUBTOTAL(9,F471:F618)</f>
        <v>0</v>
      </c>
      <c r="G619" s="315">
        <f t="shared" ca="1" si="5"/>
        <v>0.2343559931934108</v>
      </c>
      <c r="H619" s="315">
        <f t="shared" ca="1" si="5"/>
        <v>0.46690318078393594</v>
      </c>
      <c r="I619" s="315">
        <f t="shared" ca="1" si="5"/>
        <v>0.72898981808973395</v>
      </c>
      <c r="J619" s="315">
        <f t="shared" ca="1" si="5"/>
        <v>1.0127196543386212</v>
      </c>
      <c r="K619" s="315">
        <f t="shared" ca="1" si="5"/>
        <v>1.3045691723999355</v>
      </c>
      <c r="P619" s="314"/>
      <c r="Q619" s="315"/>
      <c r="R619" s="315"/>
      <c r="S619" s="315"/>
      <c r="T619" s="315"/>
      <c r="U619" s="315"/>
      <c r="V619" s="315"/>
    </row>
    <row r="620" spans="1:22" ht="18">
      <c r="B620" s="251"/>
      <c r="C620" s="438" t="str">
        <f>+'I-3 Allocated'!A21</f>
        <v>Corporate Services</v>
      </c>
      <c r="D620" s="423"/>
      <c r="E620" s="842"/>
      <c r="F620" s="266"/>
      <c r="G620" s="266"/>
      <c r="H620" s="266"/>
      <c r="I620" s="266"/>
      <c r="J620" s="266"/>
      <c r="K620" s="266"/>
      <c r="P620" s="266"/>
      <c r="Q620" s="266"/>
      <c r="R620" s="266"/>
      <c r="S620" s="266"/>
      <c r="T620" s="266"/>
      <c r="U620" s="266"/>
      <c r="V620" s="266"/>
    </row>
    <row r="621" spans="1:22">
      <c r="A621" s="5"/>
      <c r="B621" s="249" t="str">
        <f ca="1">+'I-4 History'!B372</f>
        <v>A-17</v>
      </c>
      <c r="C621" s="14" t="str">
        <f ca="1">+'I-4 History'!C372</f>
        <v>General Manager Corporate Services</v>
      </c>
      <c r="D621" s="418"/>
      <c r="E621" s="507"/>
      <c r="F621" s="11"/>
      <c r="G621" s="11"/>
      <c r="H621" s="11"/>
      <c r="I621" s="11"/>
      <c r="J621" s="11"/>
      <c r="K621" s="11"/>
      <c r="P621" s="11"/>
      <c r="Q621" s="11"/>
      <c r="R621" s="11"/>
      <c r="S621" s="11"/>
      <c r="T621" s="11"/>
      <c r="U621" s="11"/>
      <c r="V621" s="11"/>
    </row>
    <row r="622" spans="1:22">
      <c r="A622" s="5"/>
      <c r="B622" s="249"/>
      <c r="C622" s="424" t="s">
        <v>74</v>
      </c>
      <c r="D622" s="416"/>
      <c r="E622" s="507"/>
      <c r="F622" s="11"/>
      <c r="G622" s="11"/>
      <c r="H622" s="11"/>
      <c r="I622" s="11"/>
      <c r="J622" s="11"/>
      <c r="K622" s="11"/>
      <c r="P622" s="11"/>
      <c r="Q622" s="11"/>
      <c r="R622" s="11"/>
      <c r="S622" s="11"/>
      <c r="T622" s="11"/>
      <c r="U622" s="11"/>
      <c r="V622" s="11"/>
    </row>
    <row r="623" spans="1:22">
      <c r="A623" s="5"/>
      <c r="B623" s="249"/>
      <c r="C623" s="425" t="str">
        <f t="array" ref="C623:D628">+'A-17'!$A$77:$B$82</f>
        <v>Total Output Growth</v>
      </c>
      <c r="D623" s="426" t="str">
        <v>Labour</v>
      </c>
      <c r="E623" s="847">
        <f t="array" ref="E623:K628" ca="1">+'A-17'!$N$77:$T$82</f>
        <v>0</v>
      </c>
      <c r="F623" s="386">
        <f ca="1"/>
        <v>0</v>
      </c>
      <c r="G623" s="383">
        <f ca="1"/>
        <v>5.2200994743676794E-3</v>
      </c>
      <c r="H623" s="383">
        <f ca="1"/>
        <v>1.005696960081698E-2</v>
      </c>
      <c r="I623" s="383">
        <f ca="1"/>
        <v>1.4838162011096726E-2</v>
      </c>
      <c r="J623" s="383">
        <f ca="1"/>
        <v>2.002537177232188E-2</v>
      </c>
      <c r="K623" s="383">
        <f ca="1"/>
        <v>2.4776894734848089E-2</v>
      </c>
      <c r="L623" s="790"/>
      <c r="M623" s="790"/>
      <c r="N623" s="790"/>
      <c r="O623" s="790"/>
      <c r="P623" s="386"/>
      <c r="Q623" s="768">
        <f ca="1">IF(F623&lt;&gt;0,+F623/'A-17'!D$77,0)</f>
        <v>0</v>
      </c>
      <c r="R623" s="768">
        <f ca="1">IF(G623&lt;&gt;0,+G623/'A-17'!E$77,0)</f>
        <v>0.49199999999999999</v>
      </c>
      <c r="S623" s="768">
        <f ca="1">IF(H623&lt;&gt;0,+H623/'A-17'!F$77,0)</f>
        <v>0.49199999999999999</v>
      </c>
      <c r="T623" s="768">
        <f ca="1">IF(I623&lt;&gt;0,+I623/'A-17'!G$77,0)</f>
        <v>0.49199999999999999</v>
      </c>
      <c r="U623" s="768">
        <f ca="1">IF(J623&lt;&gt;0,+J623/'A-17'!H$77,0)</f>
        <v>0.49199999999999994</v>
      </c>
      <c r="V623" s="768">
        <f ca="1">IF(K623&lt;&gt;0,+K623/'A-17'!I$77,0)</f>
        <v>0.49199999999999999</v>
      </c>
    </row>
    <row r="624" spans="1:22">
      <c r="A624" s="5"/>
      <c r="B624" s="249"/>
      <c r="C624" s="425" t="str">
        <v>Total Output Growth</v>
      </c>
      <c r="D624" s="426" t="str">
        <v>Materials</v>
      </c>
      <c r="E624" s="847">
        <f ca="1"/>
        <v>0</v>
      </c>
      <c r="F624" s="386">
        <f ca="1"/>
        <v>0</v>
      </c>
      <c r="G624" s="383">
        <f ca="1"/>
        <v>7.4269707968645856E-5</v>
      </c>
      <c r="H624" s="383">
        <f ca="1"/>
        <v>1.4308696586528224E-4</v>
      </c>
      <c r="I624" s="383">
        <f ca="1"/>
        <v>2.1111206113349001E-4</v>
      </c>
      <c r="J624" s="383">
        <f ca="1"/>
        <v>2.8491382602896986E-4</v>
      </c>
      <c r="K624" s="383">
        <f ca="1"/>
        <v>3.5251679500800126E-4</v>
      </c>
      <c r="L624" s="790"/>
      <c r="M624" s="790"/>
      <c r="N624" s="790"/>
      <c r="O624" s="790"/>
      <c r="P624" s="386"/>
      <c r="Q624" s="768">
        <f ca="1">IF(F624&lt;&gt;0,+F624/'A-17'!D$78,0)</f>
        <v>0</v>
      </c>
      <c r="R624" s="768">
        <f ca="1">IF(G624&lt;&gt;0,+G624/'A-17'!E$78,0)</f>
        <v>7.000000000000001E-3</v>
      </c>
      <c r="S624" s="768">
        <f ca="1">IF(H624&lt;&gt;0,+H624/'A-17'!F$78,0)</f>
        <v>6.9999999999999993E-3</v>
      </c>
      <c r="T624" s="768">
        <f ca="1">IF(I624&lt;&gt;0,+I624/'A-17'!G$78,0)</f>
        <v>7.0000000000000001E-3</v>
      </c>
      <c r="U624" s="768">
        <f ca="1">IF(J624&lt;&gt;0,+J624/'A-17'!H$78,0)</f>
        <v>7.0000000000000001E-3</v>
      </c>
      <c r="V624" s="768">
        <f ca="1">IF(K624&lt;&gt;0,+K624/'A-17'!I$78,0)</f>
        <v>7.0000000000000001E-3</v>
      </c>
    </row>
    <row r="625" spans="1:22">
      <c r="A625" s="5"/>
      <c r="B625" s="249"/>
      <c r="C625" s="425" t="str">
        <v>Total Output Growth</v>
      </c>
      <c r="D625" s="426" t="str">
        <v>Contracts</v>
      </c>
      <c r="E625" s="847">
        <f ca="1"/>
        <v>0</v>
      </c>
      <c r="F625" s="386">
        <f ca="1"/>
        <v>0</v>
      </c>
      <c r="G625" s="383">
        <f ca="1"/>
        <v>0</v>
      </c>
      <c r="H625" s="383">
        <f ca="1"/>
        <v>0</v>
      </c>
      <c r="I625" s="383">
        <f ca="1"/>
        <v>0</v>
      </c>
      <c r="J625" s="383">
        <f ca="1"/>
        <v>0</v>
      </c>
      <c r="K625" s="383">
        <f ca="1"/>
        <v>0</v>
      </c>
      <c r="L625" s="790"/>
      <c r="M625" s="790"/>
      <c r="N625" s="790"/>
      <c r="O625" s="790"/>
      <c r="P625" s="386"/>
      <c r="Q625" s="768">
        <f ca="1">IF(F625&lt;&gt;0,+F625/'A-17'!D$79,0)</f>
        <v>0</v>
      </c>
      <c r="R625" s="768">
        <f ca="1">IF(G625&lt;&gt;0,+G625/'A-17'!E$79,0)</f>
        <v>0</v>
      </c>
      <c r="S625" s="768">
        <f ca="1">IF(H625&lt;&gt;0,+H625/'A-17'!F$79,0)</f>
        <v>0</v>
      </c>
      <c r="T625" s="768">
        <f ca="1">IF(I625&lt;&gt;0,+I625/'A-17'!G$79,0)</f>
        <v>0</v>
      </c>
      <c r="U625" s="768">
        <f ca="1">IF(J625&lt;&gt;0,+J625/'A-17'!H$79,0)</f>
        <v>0</v>
      </c>
      <c r="V625" s="768">
        <f ca="1">IF(K625&lt;&gt;0,+K625/'A-17'!I$79,0)</f>
        <v>0</v>
      </c>
    </row>
    <row r="626" spans="1:22" s="790" customFormat="1">
      <c r="A626" s="5"/>
      <c r="B626" s="249"/>
      <c r="C626" s="425" t="str">
        <v>Total Output Growth</v>
      </c>
      <c r="D626" s="426" t="str">
        <v>Services Other</v>
      </c>
      <c r="E626" s="847">
        <f ca="1"/>
        <v>0</v>
      </c>
      <c r="F626" s="386">
        <f ca="1"/>
        <v>0</v>
      </c>
      <c r="G626" s="383">
        <f ca="1"/>
        <v>5.1988795578052094E-4</v>
      </c>
      <c r="H626" s="383">
        <f ca="1"/>
        <v>1.0016087610569757E-3</v>
      </c>
      <c r="I626" s="383">
        <f ca="1"/>
        <v>1.4777844279344301E-3</v>
      </c>
      <c r="J626" s="383">
        <f ca="1"/>
        <v>1.9943967822027889E-3</v>
      </c>
      <c r="K626" s="383">
        <f ca="1"/>
        <v>2.467617565056009E-3</v>
      </c>
      <c r="P626" s="386"/>
      <c r="Q626" s="768">
        <f ca="1">IF(F626&lt;&gt;0,+F626/'A-17'!D$80,0)</f>
        <v>0</v>
      </c>
      <c r="R626" s="768">
        <f ca="1">IF(G626&lt;&gt;0,+G626/'A-17'!E$80,0)</f>
        <v>4.9000000000000002E-2</v>
      </c>
      <c r="S626" s="768">
        <f ca="1">IF(H626&lt;&gt;0,+H626/'A-17'!F$80,0)</f>
        <v>4.8999999999999995E-2</v>
      </c>
      <c r="T626" s="768">
        <f ca="1">IF(I626&lt;&gt;0,+I626/'A-17'!G$80,0)</f>
        <v>4.9000000000000002E-2</v>
      </c>
      <c r="U626" s="768">
        <f ca="1">IF(J626&lt;&gt;0,+J626/'A-17'!H$80,0)</f>
        <v>4.8999999999999995E-2</v>
      </c>
      <c r="V626" s="768">
        <f ca="1">IF(K626&lt;&gt;0,+K626/'A-17'!I$80,0)</f>
        <v>4.9000000000000002E-2</v>
      </c>
    </row>
    <row r="627" spans="1:22" s="790" customFormat="1">
      <c r="A627" s="5"/>
      <c r="B627" s="249"/>
      <c r="C627" s="425" t="str">
        <v>Total Output Growth</v>
      </c>
      <c r="D627" s="426" t="str">
        <v>Business Overheads</v>
      </c>
      <c r="E627" s="847">
        <f ca="1"/>
        <v>0</v>
      </c>
      <c r="F627" s="386">
        <f ca="1"/>
        <v>0</v>
      </c>
      <c r="G627" s="383">
        <f ca="1"/>
        <v>0</v>
      </c>
      <c r="H627" s="383">
        <f ca="1"/>
        <v>0</v>
      </c>
      <c r="I627" s="383">
        <f ca="1"/>
        <v>0</v>
      </c>
      <c r="J627" s="383">
        <f ca="1"/>
        <v>0</v>
      </c>
      <c r="K627" s="383">
        <f ca="1"/>
        <v>0</v>
      </c>
      <c r="P627" s="386"/>
      <c r="Q627" s="768">
        <f ca="1">IF(F627&lt;&gt;0,+F627/'A-17'!D$81,0)</f>
        <v>0</v>
      </c>
      <c r="R627" s="768">
        <f ca="1">IF(G627&lt;&gt;0,+G627/'A-17'!E$81,0)</f>
        <v>0</v>
      </c>
      <c r="S627" s="768">
        <f ca="1">IF(H627&lt;&gt;0,+H627/'A-17'!F$81,0)</f>
        <v>0</v>
      </c>
      <c r="T627" s="768">
        <f ca="1">IF(I627&lt;&gt;0,+I627/'A-17'!G$81,0)</f>
        <v>0</v>
      </c>
      <c r="U627" s="768">
        <f ca="1">IF(J627&lt;&gt;0,+J627/'A-17'!H$81,0)</f>
        <v>0</v>
      </c>
      <c r="V627" s="768">
        <f ca="1">IF(K627&lt;&gt;0,+K627/'A-17'!I$81,0)</f>
        <v>0</v>
      </c>
    </row>
    <row r="628" spans="1:22" s="790" customFormat="1">
      <c r="A628" s="5"/>
      <c r="B628" s="249"/>
      <c r="C628" s="425" t="str">
        <v>Total Output Growth</v>
      </c>
      <c r="D628" s="426" t="str">
        <v>Other</v>
      </c>
      <c r="E628" s="847">
        <f ca="1"/>
        <v>0</v>
      </c>
      <c r="F628" s="386">
        <f ca="1"/>
        <v>0</v>
      </c>
      <c r="G628" s="383">
        <f ca="1"/>
        <v>0</v>
      </c>
      <c r="H628" s="383">
        <f ca="1"/>
        <v>0</v>
      </c>
      <c r="I628" s="383">
        <f ca="1"/>
        <v>0</v>
      </c>
      <c r="J628" s="383">
        <f ca="1"/>
        <v>0</v>
      </c>
      <c r="K628" s="383">
        <f ca="1"/>
        <v>0</v>
      </c>
      <c r="P628" s="386"/>
      <c r="Q628" s="768">
        <f ca="1">IF(F628&lt;&gt;0,+F628/'A-17'!D$82,0)</f>
        <v>0</v>
      </c>
      <c r="R628" s="768">
        <f ca="1">IF(G628&lt;&gt;0,+G628/'A-17'!E$82,0)</f>
        <v>0</v>
      </c>
      <c r="S628" s="768">
        <f ca="1">IF(H628&lt;&gt;0,+H628/'A-17'!F$82,0)</f>
        <v>0</v>
      </c>
      <c r="T628" s="768">
        <f ca="1">IF(I628&lt;&gt;0,+I628/'A-17'!G$82,0)</f>
        <v>0</v>
      </c>
      <c r="U628" s="768">
        <f ca="1">IF(J628&lt;&gt;0,+J628/'A-17'!H$82,0)</f>
        <v>0</v>
      </c>
      <c r="V628" s="768">
        <f ca="1">IF(K628&lt;&gt;0,+K628/'A-17'!I$82,0)</f>
        <v>0</v>
      </c>
    </row>
    <row r="629" spans="1:22">
      <c r="A629" s="5"/>
      <c r="B629" s="249"/>
      <c r="C629" s="424" t="s">
        <v>73</v>
      </c>
      <c r="D629" s="417"/>
      <c r="E629" s="848"/>
      <c r="F629" s="387"/>
      <c r="G629" s="385"/>
      <c r="H629" s="385"/>
      <c r="I629" s="385"/>
      <c r="J629" s="385"/>
      <c r="K629" s="385"/>
      <c r="P629" s="387"/>
      <c r="Q629" s="385"/>
      <c r="R629" s="385"/>
      <c r="S629" s="385"/>
      <c r="T629" s="385"/>
      <c r="U629" s="385"/>
      <c r="V629" s="385"/>
    </row>
    <row r="630" spans="1:22" s="767" customFormat="1">
      <c r="A630" s="5"/>
      <c r="B630" s="249"/>
      <c r="C630" s="425" t="str">
        <f t="array" ref="C630:D635">+'A-17'!$A$113:$B$119</f>
        <v>Labour</v>
      </c>
      <c r="D630" s="426" t="str">
        <v>Labour</v>
      </c>
      <c r="E630" s="847">
        <f t="array" ref="E630:K635" ca="1">+'A-17'!$N$113:$T$119</f>
        <v>0</v>
      </c>
      <c r="F630" s="386">
        <f ca="1"/>
        <v>0</v>
      </c>
      <c r="G630" s="383">
        <f ca="1"/>
        <v>1.0669331940514058E-2</v>
      </c>
      <c r="H630" s="383">
        <f ca="1"/>
        <v>2.177741193978746E-2</v>
      </c>
      <c r="I630" s="383">
        <f ca="1"/>
        <v>3.3954046798161198E-2</v>
      </c>
      <c r="J630" s="383">
        <f ca="1"/>
        <v>4.6666971893269966E-2</v>
      </c>
      <c r="K630" s="383">
        <f ca="1"/>
        <v>5.9862681338724542E-2</v>
      </c>
      <c r="P630" s="386"/>
      <c r="Q630" s="768">
        <f ca="1">IF(F630&lt;&gt;0,+F630/'A-17'!D$113,0)</f>
        <v>0</v>
      </c>
      <c r="R630" s="768">
        <f ca="1">IF(G630&lt;&gt;0,+G630/'A-17'!E$113,0)</f>
        <v>0.49722009947436768</v>
      </c>
      <c r="S630" s="768">
        <f ca="1">IF(H630&lt;&gt;0,+H630/'A-17'!F$113,0)</f>
        <v>0.50205696960081703</v>
      </c>
      <c r="T630" s="768">
        <f ca="1">IF(I630&lt;&gt;0,+I630/'A-17'!G$113,0)</f>
        <v>0.50683816201109677</v>
      </c>
      <c r="U630" s="768">
        <f ca="1">IF(J630&lt;&gt;0,+J630/'A-17'!H$113,0)</f>
        <v>0.51202537177232188</v>
      </c>
      <c r="V630" s="768">
        <f ca="1">IF(K630&lt;&gt;0,+K630/'A-17'!I$113,0)</f>
        <v>0.51677689473484811</v>
      </c>
    </row>
    <row r="631" spans="1:22" s="767" customFormat="1">
      <c r="A631" s="5"/>
      <c r="B631" s="249"/>
      <c r="C631" s="425" t="str">
        <v>Materials</v>
      </c>
      <c r="D631" s="426" t="str">
        <v>Materials</v>
      </c>
      <c r="E631" s="847">
        <f ca="1"/>
        <v>0</v>
      </c>
      <c r="F631" s="386">
        <f ca="1"/>
        <v>0</v>
      </c>
      <c r="G631" s="383">
        <f ca="1"/>
        <v>0</v>
      </c>
      <c r="H631" s="383">
        <f ca="1"/>
        <v>0</v>
      </c>
      <c r="I631" s="383">
        <f ca="1"/>
        <v>0</v>
      </c>
      <c r="J631" s="383">
        <f ca="1"/>
        <v>0</v>
      </c>
      <c r="K631" s="383">
        <f ca="1"/>
        <v>0</v>
      </c>
      <c r="P631" s="386"/>
      <c r="Q631" s="768">
        <f ca="1">IF(F631&lt;&gt;0,+F631/'A-17'!D$114,0)</f>
        <v>0</v>
      </c>
      <c r="R631" s="768">
        <f ca="1">IF(G631&lt;&gt;0,+G631/'A-17'!E$114,0)</f>
        <v>0</v>
      </c>
      <c r="S631" s="768">
        <f ca="1">IF(H631&lt;&gt;0,+H631/'A-17'!F$114,0)</f>
        <v>0</v>
      </c>
      <c r="T631" s="768">
        <f ca="1">IF(I631&lt;&gt;0,+I631/'A-17'!G$114,0)</f>
        <v>0</v>
      </c>
      <c r="U631" s="768">
        <f ca="1">IF(J631&lt;&gt;0,+J631/'A-17'!H$114,0)</f>
        <v>0</v>
      </c>
      <c r="V631" s="768">
        <f ca="1">IF(K631&lt;&gt;0,+K631/'A-17'!I$114,0)</f>
        <v>0</v>
      </c>
    </row>
    <row r="632" spans="1:22" s="767" customFormat="1">
      <c r="A632" s="5"/>
      <c r="B632" s="249"/>
      <c r="C632" s="425" t="str">
        <v>Services-construction</v>
      </c>
      <c r="D632" s="426" t="str">
        <v>Contracts</v>
      </c>
      <c r="E632" s="847">
        <f ca="1"/>
        <v>0</v>
      </c>
      <c r="F632" s="386">
        <f ca="1"/>
        <v>0</v>
      </c>
      <c r="G632" s="383">
        <f ca="1"/>
        <v>0</v>
      </c>
      <c r="H632" s="383">
        <f ca="1"/>
        <v>0</v>
      </c>
      <c r="I632" s="383">
        <f ca="1"/>
        <v>0</v>
      </c>
      <c r="J632" s="383">
        <f ca="1"/>
        <v>0</v>
      </c>
      <c r="K632" s="383">
        <f ca="1"/>
        <v>0</v>
      </c>
      <c r="P632" s="386"/>
      <c r="Q632" s="768">
        <f ca="1">IF(F632&lt;&gt;0,+F632/'A-17'!D$115,0)</f>
        <v>0</v>
      </c>
      <c r="R632" s="768">
        <f ca="1">IF(G632&lt;&gt;0,+G632/'A-17'!E$115,0)</f>
        <v>0</v>
      </c>
      <c r="S632" s="768">
        <f ca="1">IF(H632&lt;&gt;0,+H632/'A-17'!F$115,0)</f>
        <v>0</v>
      </c>
      <c r="T632" s="768">
        <f ca="1">IF(I632&lt;&gt;0,+I632/'A-17'!G$115,0)</f>
        <v>0</v>
      </c>
      <c r="U632" s="768">
        <f ca="1">IF(J632&lt;&gt;0,+J632/'A-17'!H$115,0)</f>
        <v>0</v>
      </c>
      <c r="V632" s="768">
        <f ca="1">IF(K632&lt;&gt;0,+K632/'A-17'!I$115,0)</f>
        <v>0</v>
      </c>
    </row>
    <row r="633" spans="1:22" s="767" customFormat="1">
      <c r="A633" s="5"/>
      <c r="B633" s="249"/>
      <c r="C633" s="425" t="str">
        <v>Services-general</v>
      </c>
      <c r="D633" s="426" t="str">
        <v>Services Other</v>
      </c>
      <c r="E633" s="847">
        <f ca="1"/>
        <v>0</v>
      </c>
      <c r="F633" s="386">
        <f ca="1"/>
        <v>0</v>
      </c>
      <c r="G633" s="383">
        <f ca="1"/>
        <v>2.4759943977889731E-4</v>
      </c>
      <c r="H633" s="383">
        <f ca="1"/>
        <v>5.0126612782958263E-4</v>
      </c>
      <c r="I633" s="383">
        <f ca="1"/>
        <v>9.6489420684143839E-4</v>
      </c>
      <c r="J633" s="383">
        <f ca="1"/>
        <v>1.5204456128106157E-3</v>
      </c>
      <c r="K633" s="383">
        <f ca="1"/>
        <v>2.1970822915715464E-3</v>
      </c>
      <c r="P633" s="386"/>
      <c r="Q633" s="768">
        <f ca="1">IF(F633&lt;&gt;0,+F633/'A-17'!D$116,0)</f>
        <v>0</v>
      </c>
      <c r="R633" s="768">
        <f ca="1">IF(G633&lt;&gt;0,+G633/'A-17'!E$116,0)</f>
        <v>4.9519887955780516E-2</v>
      </c>
      <c r="S633" s="768">
        <f ca="1">IF(H633&lt;&gt;0,+H633/'A-17'!F$116,0)</f>
        <v>5.0001608761056977E-2</v>
      </c>
      <c r="T633" s="768">
        <f ca="1">IF(I633&lt;&gt;0,+I633/'A-17'!G$116,0)</f>
        <v>5.0477784427934429E-2</v>
      </c>
      <c r="U633" s="768">
        <f ca="1">IF(J633&lt;&gt;0,+J633/'A-17'!H$116,0)</f>
        <v>5.0994396782202793E-2</v>
      </c>
      <c r="V633" s="768">
        <f ca="1">IF(K633&lt;&gt;0,+K633/'A-17'!I$116,0)</f>
        <v>5.1467617565056009E-2</v>
      </c>
    </row>
    <row r="634" spans="1:22" s="767" customFormat="1">
      <c r="A634" s="5"/>
      <c r="B634" s="249"/>
      <c r="C634" s="425" t="str">
        <v>Labour</v>
      </c>
      <c r="D634" s="426" t="str">
        <v>Business Overheads</v>
      </c>
      <c r="E634" s="847">
        <f ca="1"/>
        <v>0</v>
      </c>
      <c r="F634" s="386">
        <f ca="1"/>
        <v>0</v>
      </c>
      <c r="G634" s="383">
        <f ca="1"/>
        <v>0</v>
      </c>
      <c r="H634" s="383">
        <f ca="1"/>
        <v>0</v>
      </c>
      <c r="I634" s="383">
        <f ca="1"/>
        <v>0</v>
      </c>
      <c r="J634" s="383">
        <f ca="1"/>
        <v>0</v>
      </c>
      <c r="K634" s="383">
        <f ca="1"/>
        <v>0</v>
      </c>
      <c r="P634" s="386"/>
      <c r="Q634" s="768">
        <f ca="1">IF(F634&lt;&gt;0,+F634/'A-17'!D$117,0)</f>
        <v>0</v>
      </c>
      <c r="R634" s="768">
        <f ca="1">IF(G634&lt;&gt;0,+G634/'A-17'!E$117,0)</f>
        <v>0</v>
      </c>
      <c r="S634" s="768">
        <f ca="1">IF(H634&lt;&gt;0,+H634/'A-17'!F$117,0)</f>
        <v>0</v>
      </c>
      <c r="T634" s="768">
        <f ca="1">IF(I634&lt;&gt;0,+I634/'A-17'!G$117,0)</f>
        <v>0</v>
      </c>
      <c r="U634" s="768">
        <f ca="1">IF(J634&lt;&gt;0,+J634/'A-17'!H$117,0)</f>
        <v>0</v>
      </c>
      <c r="V634" s="768">
        <f ca="1">IF(K634&lt;&gt;0,+K634/'A-17'!I$117,0)</f>
        <v>0</v>
      </c>
    </row>
    <row r="635" spans="1:22" s="767" customFormat="1">
      <c r="A635" s="5"/>
      <c r="B635" s="249"/>
      <c r="C635" s="425" t="str">
        <v>Materials - Land</v>
      </c>
      <c r="D635" s="426" t="str">
        <v>Other</v>
      </c>
      <c r="E635" s="847">
        <f ca="1"/>
        <v>0</v>
      </c>
      <c r="F635" s="386">
        <f ca="1"/>
        <v>0</v>
      </c>
      <c r="G635" s="383">
        <f ca="1"/>
        <v>0</v>
      </c>
      <c r="H635" s="383">
        <f ca="1"/>
        <v>0</v>
      </c>
      <c r="I635" s="383">
        <f ca="1"/>
        <v>0</v>
      </c>
      <c r="J635" s="383">
        <f ca="1"/>
        <v>0</v>
      </c>
      <c r="K635" s="383">
        <f ca="1"/>
        <v>0</v>
      </c>
      <c r="P635" s="386"/>
      <c r="Q635" s="768">
        <f ca="1">IF(F635&lt;&gt;0,+F635/'A-17'!D$118,0)</f>
        <v>0</v>
      </c>
      <c r="R635" s="768">
        <f ca="1">IF(G635&lt;&gt;0,+G635/'A-17'!E$118,0)</f>
        <v>0</v>
      </c>
      <c r="S635" s="768">
        <f ca="1">IF(H635&lt;&gt;0,+H635/'A-17'!F$118,0)</f>
        <v>0</v>
      </c>
      <c r="T635" s="768">
        <f ca="1">IF(I635&lt;&gt;0,+I635/'A-17'!G$118,0)</f>
        <v>0</v>
      </c>
      <c r="U635" s="768">
        <f ca="1">IF(J635&lt;&gt;0,+J635/'A-17'!H$118,0)</f>
        <v>0</v>
      </c>
      <c r="V635" s="768">
        <f ca="1">IF(K635&lt;&gt;0,+K635/'A-17'!I$118,0)</f>
        <v>0</v>
      </c>
    </row>
    <row r="636" spans="1:22">
      <c r="A636" s="5"/>
      <c r="B636" s="249" t="str">
        <f ca="1">+'I-4 History'!B381</f>
        <v>A-18</v>
      </c>
      <c r="C636" s="14" t="str">
        <f ca="1">+'I-4 History'!C381</f>
        <v>Employee Relations</v>
      </c>
      <c r="D636" s="418"/>
      <c r="E636" s="507"/>
      <c r="F636" s="11"/>
      <c r="G636" s="11"/>
      <c r="H636" s="11"/>
      <c r="I636" s="11"/>
      <c r="J636" s="11"/>
      <c r="K636" s="11"/>
      <c r="P636" s="11"/>
      <c r="Q636" s="11"/>
      <c r="R636" s="11"/>
      <c r="S636" s="11"/>
      <c r="T636" s="11"/>
      <c r="U636" s="11"/>
      <c r="V636" s="11"/>
    </row>
    <row r="637" spans="1:22">
      <c r="A637" s="5"/>
      <c r="B637" s="249"/>
      <c r="C637" s="424" t="s">
        <v>74</v>
      </c>
      <c r="D637" s="416"/>
      <c r="E637" s="507"/>
      <c r="F637" s="11"/>
      <c r="G637" s="11"/>
      <c r="H637" s="11"/>
      <c r="I637" s="11"/>
      <c r="J637" s="11"/>
      <c r="K637" s="11"/>
      <c r="P637" s="11"/>
      <c r="Q637" s="11"/>
      <c r="R637" s="11"/>
      <c r="S637" s="11"/>
      <c r="T637" s="11"/>
      <c r="U637" s="11"/>
      <c r="V637" s="11"/>
    </row>
    <row r="638" spans="1:22">
      <c r="A638" s="5"/>
      <c r="B638" s="249"/>
      <c r="C638" s="425" t="str">
        <f t="array" ref="C638:D643">+'A-18'!$A$77:$B$82</f>
        <v>Total Output Growth</v>
      </c>
      <c r="D638" s="426" t="str">
        <v>Labour</v>
      </c>
      <c r="E638" s="847">
        <f t="array" ref="E638:K643" ca="1">+'A-18'!$N$77:$T$82</f>
        <v>0</v>
      </c>
      <c r="F638" s="386">
        <f ca="1"/>
        <v>0</v>
      </c>
      <c r="G638" s="383">
        <f ca="1"/>
        <v>2.9103115565427939E-2</v>
      </c>
      <c r="H638" s="383">
        <f ca="1"/>
        <v>5.6069649624067033E-2</v>
      </c>
      <c r="I638" s="383">
        <f ca="1"/>
        <v>8.2725769098451876E-2</v>
      </c>
      <c r="J638" s="383">
        <f ca="1"/>
        <v>0.11164551782820921</v>
      </c>
      <c r="K638" s="383">
        <f ca="1"/>
        <v>0.13813622410099252</v>
      </c>
      <c r="L638" s="790"/>
      <c r="M638" s="790"/>
      <c r="N638" s="790"/>
      <c r="O638" s="790"/>
      <c r="P638" s="386"/>
      <c r="Q638" s="768">
        <f ca="1">IF(F638&lt;&gt;0,+F638/'A-18'!D$77,0)</f>
        <v>0</v>
      </c>
      <c r="R638" s="768">
        <f ca="1">IF(G638&lt;&gt;0,+G638/'A-18'!E$77,0)</f>
        <v>2.7430000000000003</v>
      </c>
      <c r="S638" s="768">
        <f ca="1">IF(H638&lt;&gt;0,+H638/'A-18'!F$77,0)</f>
        <v>2.7430000000000003</v>
      </c>
      <c r="T638" s="768">
        <f ca="1">IF(I638&lt;&gt;0,+I638/'A-18'!G$77,0)</f>
        <v>2.7430000000000003</v>
      </c>
      <c r="U638" s="768">
        <f ca="1">IF(J638&lt;&gt;0,+J638/'A-18'!H$77,0)</f>
        <v>2.7430000000000003</v>
      </c>
      <c r="V638" s="768">
        <f ca="1">IF(K638&lt;&gt;0,+K638/'A-18'!I$77,0)</f>
        <v>2.7430000000000008</v>
      </c>
    </row>
    <row r="639" spans="1:22">
      <c r="A639" s="5"/>
      <c r="B639" s="249"/>
      <c r="C639" s="425" t="str">
        <v>Total Output Growth</v>
      </c>
      <c r="D639" s="426" t="str">
        <v>Materials</v>
      </c>
      <c r="E639" s="847">
        <f ca="1"/>
        <v>0</v>
      </c>
      <c r="F639" s="386">
        <f ca="1"/>
        <v>0</v>
      </c>
      <c r="G639" s="383">
        <f ca="1"/>
        <v>2.8646887359334828E-4</v>
      </c>
      <c r="H639" s="383">
        <f ca="1"/>
        <v>5.5190686833751724E-4</v>
      </c>
      <c r="I639" s="383">
        <f ca="1"/>
        <v>8.1428937865774713E-4</v>
      </c>
      <c r="J639" s="383">
        <f ca="1"/>
        <v>1.0989533289688838E-3</v>
      </c>
      <c r="K639" s="383">
        <f ca="1"/>
        <v>1.3597076378880049E-3</v>
      </c>
      <c r="L639" s="790"/>
      <c r="M639" s="790"/>
      <c r="N639" s="790"/>
      <c r="O639" s="790"/>
      <c r="P639" s="386"/>
      <c r="Q639" s="768">
        <f ca="1">IF(F639&lt;&gt;0,+F639/'A-18'!D$78,0)</f>
        <v>0</v>
      </c>
      <c r="R639" s="768">
        <f ca="1">IF(G639&lt;&gt;0,+G639/'A-18'!E$78,0)</f>
        <v>2.7E-2</v>
      </c>
      <c r="S639" s="768">
        <f ca="1">IF(H639&lt;&gt;0,+H639/'A-18'!F$78,0)</f>
        <v>2.7E-2</v>
      </c>
      <c r="T639" s="768">
        <f ca="1">IF(I639&lt;&gt;0,+I639/'A-18'!G$78,0)</f>
        <v>2.6999999999999996E-2</v>
      </c>
      <c r="U639" s="768">
        <f ca="1">IF(J639&lt;&gt;0,+J639/'A-18'!H$78,0)</f>
        <v>2.7E-2</v>
      </c>
      <c r="V639" s="768">
        <f ca="1">IF(K639&lt;&gt;0,+K639/'A-18'!I$78,0)</f>
        <v>2.7000000000000003E-2</v>
      </c>
    </row>
    <row r="640" spans="1:22">
      <c r="A640" s="5"/>
      <c r="B640" s="249"/>
      <c r="C640" s="425" t="str">
        <v>Total Output Growth</v>
      </c>
      <c r="D640" s="426" t="str">
        <v>Contracts</v>
      </c>
      <c r="E640" s="847">
        <f ca="1"/>
        <v>0</v>
      </c>
      <c r="F640" s="386">
        <f ca="1"/>
        <v>0</v>
      </c>
      <c r="G640" s="383">
        <f ca="1"/>
        <v>6.0476762203040188E-4</v>
      </c>
      <c r="H640" s="383">
        <f ca="1"/>
        <v>1.1651367220458697E-3</v>
      </c>
      <c r="I640" s="383">
        <f ca="1"/>
        <v>1.719055354944133E-3</v>
      </c>
      <c r="J640" s="383">
        <f ca="1"/>
        <v>2.3200125833787548E-3</v>
      </c>
      <c r="K640" s="383">
        <f ca="1"/>
        <v>2.8704939022080106E-3</v>
      </c>
      <c r="L640" s="790"/>
      <c r="M640" s="790"/>
      <c r="N640" s="790"/>
      <c r="O640" s="790"/>
      <c r="P640" s="386"/>
      <c r="Q640" s="768">
        <f ca="1">IF(F640&lt;&gt;0,+F640/'A-18'!D$79,0)</f>
        <v>0</v>
      </c>
      <c r="R640" s="768">
        <f ca="1">IF(G640&lt;&gt;0,+G640/'A-18'!E$79,0)</f>
        <v>5.6999999999999995E-2</v>
      </c>
      <c r="S640" s="768">
        <f ca="1">IF(H640&lt;&gt;0,+H640/'A-18'!F$79,0)</f>
        <v>5.7000000000000002E-2</v>
      </c>
      <c r="T640" s="768">
        <f ca="1">IF(I640&lt;&gt;0,+I640/'A-18'!G$79,0)</f>
        <v>5.7000000000000002E-2</v>
      </c>
      <c r="U640" s="768">
        <f ca="1">IF(J640&lt;&gt;0,+J640/'A-18'!H$79,0)</f>
        <v>5.7000000000000002E-2</v>
      </c>
      <c r="V640" s="768">
        <f ca="1">IF(K640&lt;&gt;0,+K640/'A-18'!I$79,0)</f>
        <v>5.7000000000000009E-2</v>
      </c>
    </row>
    <row r="641" spans="1:22" s="790" customFormat="1">
      <c r="A641" s="5"/>
      <c r="B641" s="249"/>
      <c r="C641" s="425" t="str">
        <v>Total Output Growth</v>
      </c>
      <c r="D641" s="426" t="str">
        <v>Services Other</v>
      </c>
      <c r="E641" s="847">
        <f ca="1"/>
        <v>0</v>
      </c>
      <c r="F641" s="386">
        <f ca="1"/>
        <v>0</v>
      </c>
      <c r="G641" s="383">
        <f ca="1"/>
        <v>3.8832447309320541E-3</v>
      </c>
      <c r="H641" s="383">
        <f ca="1"/>
        <v>7.4814042152419004E-3</v>
      </c>
      <c r="I641" s="383">
        <f ca="1"/>
        <v>1.1038144910693905E-2</v>
      </c>
      <c r="J641" s="383">
        <f ca="1"/>
        <v>1.4896922903800423E-2</v>
      </c>
      <c r="K641" s="383">
        <f ca="1"/>
        <v>1.8431592424704067E-2</v>
      </c>
      <c r="P641" s="386"/>
      <c r="Q641" s="768">
        <f ca="1">IF(F641&lt;&gt;0,+F641/'A-18'!D$80,0)</f>
        <v>0</v>
      </c>
      <c r="R641" s="768">
        <f ca="1">IF(G641&lt;&gt;0,+G641/'A-18'!E$80,0)</f>
        <v>0.36599999999999999</v>
      </c>
      <c r="S641" s="768">
        <f ca="1">IF(H641&lt;&gt;0,+H641/'A-18'!F$80,0)</f>
        <v>0.36599999999999999</v>
      </c>
      <c r="T641" s="768">
        <f ca="1">IF(I641&lt;&gt;0,+I641/'A-18'!G$80,0)</f>
        <v>0.36599999999999999</v>
      </c>
      <c r="U641" s="768">
        <f ca="1">IF(J641&lt;&gt;0,+J641/'A-18'!H$80,0)</f>
        <v>0.36599999999999999</v>
      </c>
      <c r="V641" s="768">
        <f ca="1">IF(K641&lt;&gt;0,+K641/'A-18'!I$80,0)</f>
        <v>0.36600000000000005</v>
      </c>
    </row>
    <row r="642" spans="1:22" s="790" customFormat="1">
      <c r="A642" s="5"/>
      <c r="B642" s="249"/>
      <c r="C642" s="425" t="str">
        <v>Total Output Growth</v>
      </c>
      <c r="D642" s="426" t="str">
        <v>Business Overheads</v>
      </c>
      <c r="E642" s="847">
        <f ca="1"/>
        <v>0</v>
      </c>
      <c r="F642" s="386">
        <f ca="1"/>
        <v>0</v>
      </c>
      <c r="G642" s="383">
        <f ca="1"/>
        <v>0</v>
      </c>
      <c r="H642" s="383">
        <f ca="1"/>
        <v>0</v>
      </c>
      <c r="I642" s="383">
        <f ca="1"/>
        <v>0</v>
      </c>
      <c r="J642" s="383">
        <f ca="1"/>
        <v>0</v>
      </c>
      <c r="K642" s="383">
        <f ca="1"/>
        <v>0</v>
      </c>
      <c r="P642" s="386"/>
      <c r="Q642" s="768">
        <f ca="1">IF(F642&lt;&gt;0,+F642/'A-18'!D$81,0)</f>
        <v>0</v>
      </c>
      <c r="R642" s="768">
        <f ca="1">IF(G642&lt;&gt;0,+G642/'A-18'!E$81,0)</f>
        <v>0</v>
      </c>
      <c r="S642" s="768">
        <f ca="1">IF(H642&lt;&gt;0,+H642/'A-18'!F$81,0)</f>
        <v>0</v>
      </c>
      <c r="T642" s="768">
        <f ca="1">IF(I642&lt;&gt;0,+I642/'A-18'!G$81,0)</f>
        <v>0</v>
      </c>
      <c r="U642" s="768">
        <f ca="1">IF(J642&lt;&gt;0,+J642/'A-18'!H$81,0)</f>
        <v>0</v>
      </c>
      <c r="V642" s="768">
        <f ca="1">IF(K642&lt;&gt;0,+K642/'A-18'!I$81,0)</f>
        <v>0</v>
      </c>
    </row>
    <row r="643" spans="1:22" s="790" customFormat="1">
      <c r="A643" s="5"/>
      <c r="B643" s="249"/>
      <c r="C643" s="425" t="str">
        <v>Total Output Growth</v>
      </c>
      <c r="D643" s="426" t="str">
        <v>Other</v>
      </c>
      <c r="E643" s="847">
        <f ca="1"/>
        <v>0</v>
      </c>
      <c r="F643" s="386">
        <f ca="1"/>
        <v>0</v>
      </c>
      <c r="G643" s="383">
        <f ca="1"/>
        <v>0</v>
      </c>
      <c r="H643" s="383">
        <f ca="1"/>
        <v>0</v>
      </c>
      <c r="I643" s="383">
        <f ca="1"/>
        <v>0</v>
      </c>
      <c r="J643" s="383">
        <f ca="1"/>
        <v>0</v>
      </c>
      <c r="K643" s="383">
        <f ca="1"/>
        <v>0</v>
      </c>
      <c r="P643" s="386"/>
      <c r="Q643" s="768">
        <f ca="1">IF(F643&lt;&gt;0,+F643/'A-18'!D$82,0)</f>
        <v>0</v>
      </c>
      <c r="R643" s="768">
        <f ca="1">IF(G643&lt;&gt;0,+G643/'A-18'!E$82,0)</f>
        <v>0</v>
      </c>
      <c r="S643" s="768">
        <f ca="1">IF(H643&lt;&gt;0,+H643/'A-18'!F$82,0)</f>
        <v>0</v>
      </c>
      <c r="T643" s="768">
        <f ca="1">IF(I643&lt;&gt;0,+I643/'A-18'!G$82,0)</f>
        <v>0</v>
      </c>
      <c r="U643" s="768">
        <f ca="1">IF(J643&lt;&gt;0,+J643/'A-18'!H$82,0)</f>
        <v>0</v>
      </c>
      <c r="V643" s="768">
        <f ca="1">IF(K643&lt;&gt;0,+K643/'A-18'!I$82,0)</f>
        <v>0</v>
      </c>
    </row>
    <row r="644" spans="1:22">
      <c r="A644" s="5"/>
      <c r="B644" s="249"/>
      <c r="C644" s="424" t="s">
        <v>73</v>
      </c>
      <c r="D644" s="417"/>
      <c r="E644" s="848"/>
      <c r="F644" s="387"/>
      <c r="G644" s="385"/>
      <c r="H644" s="385"/>
      <c r="I644" s="385"/>
      <c r="J644" s="385"/>
      <c r="K644" s="385"/>
      <c r="P644" s="387"/>
      <c r="Q644" s="385"/>
      <c r="R644" s="385"/>
      <c r="S644" s="385"/>
      <c r="T644" s="385"/>
      <c r="U644" s="385"/>
      <c r="V644" s="385"/>
    </row>
    <row r="645" spans="1:22" s="767" customFormat="1">
      <c r="A645" s="5"/>
      <c r="B645" s="249"/>
      <c r="C645" s="425" t="str">
        <f t="array" ref="C645:D650">+'A-18'!$A$113:$B$119</f>
        <v>Labour</v>
      </c>
      <c r="D645" s="426" t="str">
        <v>Labour</v>
      </c>
      <c r="E645" s="847">
        <f t="array" ref="E645:K650" ca="1">+'A-18'!$N$113:$T$119</f>
        <v>0</v>
      </c>
      <c r="F645" s="386">
        <f ca="1"/>
        <v>0</v>
      </c>
      <c r="G645" s="383">
        <f ca="1"/>
        <v>5.9483694131768419E-2</v>
      </c>
      <c r="H645" s="383">
        <f ca="1"/>
        <v>0.12141349786755488</v>
      </c>
      <c r="I645" s="383">
        <f ca="1"/>
        <v>0.1893007121287727</v>
      </c>
      <c r="J645" s="383">
        <f ca="1"/>
        <v>0.260177853461869</v>
      </c>
      <c r="K645" s="383">
        <f ca="1"/>
        <v>0.3337466156750436</v>
      </c>
      <c r="P645" s="386"/>
      <c r="Q645" s="768">
        <f ca="1">IF(F645&lt;&gt;0,+F645/'A-18'!D$113,0)</f>
        <v>0</v>
      </c>
      <c r="R645" s="768">
        <f ca="1">IF(G645&lt;&gt;0,+G645/'A-18'!E$113,0)</f>
        <v>2.7721031155654283</v>
      </c>
      <c r="S645" s="768">
        <f ca="1">IF(H645&lt;&gt;0,+H645/'A-18'!F$113,0)</f>
        <v>2.7990696496240672</v>
      </c>
      <c r="T645" s="768">
        <f ca="1">IF(I645&lt;&gt;0,+I645/'A-18'!G$113,0)</f>
        <v>2.8257257690984523</v>
      </c>
      <c r="U645" s="768">
        <f ca="1">IF(J645&lt;&gt;0,+J645/'A-18'!H$113,0)</f>
        <v>2.8546455178282097</v>
      </c>
      <c r="V645" s="768">
        <f ca="1">IF(K645&lt;&gt;0,+K645/'A-18'!I$113,0)</f>
        <v>2.881136224100993</v>
      </c>
    </row>
    <row r="646" spans="1:22" s="767" customFormat="1">
      <c r="A646" s="5"/>
      <c r="B646" s="249"/>
      <c r="C646" s="425" t="str">
        <v>Materials</v>
      </c>
      <c r="D646" s="426" t="str">
        <v>Materials</v>
      </c>
      <c r="E646" s="847">
        <f ca="1"/>
        <v>0</v>
      </c>
      <c r="F646" s="386">
        <f ca="1"/>
        <v>0</v>
      </c>
      <c r="G646" s="383">
        <f ca="1"/>
        <v>0</v>
      </c>
      <c r="H646" s="383">
        <f ca="1"/>
        <v>0</v>
      </c>
      <c r="I646" s="383">
        <f ca="1"/>
        <v>0</v>
      </c>
      <c r="J646" s="383">
        <f ca="1"/>
        <v>0</v>
      </c>
      <c r="K646" s="383">
        <f ca="1"/>
        <v>0</v>
      </c>
      <c r="P646" s="386"/>
      <c r="Q646" s="768">
        <f ca="1">IF(F646&lt;&gt;0,+F646/'A-18'!D$114,0)</f>
        <v>0</v>
      </c>
      <c r="R646" s="768">
        <f ca="1">IF(G646&lt;&gt;0,+G646/'A-18'!E$114,0)</f>
        <v>0</v>
      </c>
      <c r="S646" s="768">
        <f ca="1">IF(H646&lt;&gt;0,+H646/'A-18'!F$114,0)</f>
        <v>0</v>
      </c>
      <c r="T646" s="768">
        <f ca="1">IF(I646&lt;&gt;0,+I646/'A-18'!G$114,0)</f>
        <v>0</v>
      </c>
      <c r="U646" s="768">
        <f ca="1">IF(J646&lt;&gt;0,+J646/'A-18'!H$114,0)</f>
        <v>0</v>
      </c>
      <c r="V646" s="768">
        <f ca="1">IF(K646&lt;&gt;0,+K646/'A-18'!I$114,0)</f>
        <v>0</v>
      </c>
    </row>
    <row r="647" spans="1:22" s="767" customFormat="1">
      <c r="A647" s="5"/>
      <c r="B647" s="249"/>
      <c r="C647" s="425" t="str">
        <v>Services-construction</v>
      </c>
      <c r="D647" s="426" t="str">
        <v>Contracts</v>
      </c>
      <c r="E647" s="847">
        <f ca="1"/>
        <v>0</v>
      </c>
      <c r="F647" s="386">
        <f ca="1"/>
        <v>0</v>
      </c>
      <c r="G647" s="383">
        <f ca="1"/>
        <v>2.8802383811014589E-4</v>
      </c>
      <c r="H647" s="383">
        <f ca="1"/>
        <v>5.8310549563849411E-4</v>
      </c>
      <c r="I647" s="383">
        <f ca="1"/>
        <v>1.1224279548971835E-3</v>
      </c>
      <c r="J647" s="383">
        <f ca="1"/>
        <v>1.7686816312286753E-3</v>
      </c>
      <c r="K647" s="383">
        <f ca="1"/>
        <v>2.5557896044811866E-3</v>
      </c>
      <c r="P647" s="386"/>
      <c r="Q647" s="768">
        <f ca="1">IF(F647&lt;&gt;0,+F647/'A-18'!D$115,0)</f>
        <v>0</v>
      </c>
      <c r="R647" s="768">
        <f ca="1">IF(G647&lt;&gt;0,+G647/'A-18'!E$115,0)</f>
        <v>5.7604767622030408E-2</v>
      </c>
      <c r="S647" s="768">
        <f ca="1">IF(H647&lt;&gt;0,+H647/'A-18'!F$115,0)</f>
        <v>5.8165136722045874E-2</v>
      </c>
      <c r="T647" s="768">
        <f ca="1">IF(I647&lt;&gt;0,+I647/'A-18'!G$115,0)</f>
        <v>5.8719055354944136E-2</v>
      </c>
      <c r="U647" s="768">
        <f ca="1">IF(J647&lt;&gt;0,+J647/'A-18'!H$115,0)</f>
        <v>5.9320012583378753E-2</v>
      </c>
      <c r="V647" s="768">
        <f ca="1">IF(K647&lt;&gt;0,+K647/'A-18'!I$115,0)</f>
        <v>5.9870493902208013E-2</v>
      </c>
    </row>
    <row r="648" spans="1:22" s="767" customFormat="1">
      <c r="A648" s="5"/>
      <c r="B648" s="249"/>
      <c r="C648" s="425" t="str">
        <v>Services-general</v>
      </c>
      <c r="D648" s="426" t="str">
        <v>Services Other</v>
      </c>
      <c r="E648" s="847">
        <f ca="1"/>
        <v>0</v>
      </c>
      <c r="F648" s="386">
        <f ca="1"/>
        <v>0</v>
      </c>
      <c r="G648" s="383">
        <f ca="1"/>
        <v>1.8494162236546209E-3</v>
      </c>
      <c r="H648" s="383">
        <f ca="1"/>
        <v>3.7441510772576988E-3</v>
      </c>
      <c r="I648" s="383">
        <f ca="1"/>
        <v>7.2071689735503349E-3</v>
      </c>
      <c r="J648" s="383">
        <f ca="1"/>
        <v>1.1356797842626229E-2</v>
      </c>
      <c r="K648" s="383">
        <f ca="1"/>
        <v>1.641085956561604E-2</v>
      </c>
      <c r="P648" s="386"/>
      <c r="Q648" s="768">
        <f ca="1">IF(F648&lt;&gt;0,+F648/'A-18'!D$116,0)</f>
        <v>0</v>
      </c>
      <c r="R648" s="768">
        <f ca="1">IF(G648&lt;&gt;0,+G648/'A-18'!E$116,0)</f>
        <v>0.36988324473093204</v>
      </c>
      <c r="S648" s="768">
        <f ca="1">IF(H648&lt;&gt;0,+H648/'A-18'!F$116,0)</f>
        <v>0.3734814042152419</v>
      </c>
      <c r="T648" s="768">
        <f ca="1">IF(I648&lt;&gt;0,+I648/'A-18'!G$116,0)</f>
        <v>0.37703814491069387</v>
      </c>
      <c r="U648" s="768">
        <f ca="1">IF(J648&lt;&gt;0,+J648/'A-18'!H$116,0)</f>
        <v>0.38089692290380039</v>
      </c>
      <c r="V648" s="768">
        <f ca="1">IF(K648&lt;&gt;0,+K648/'A-18'!I$116,0)</f>
        <v>0.38443159242470409</v>
      </c>
    </row>
    <row r="649" spans="1:22" s="767" customFormat="1">
      <c r="A649" s="5"/>
      <c r="B649" s="249"/>
      <c r="C649" s="425" t="str">
        <v>Labour</v>
      </c>
      <c r="D649" s="426" t="str">
        <v>Business Overheads</v>
      </c>
      <c r="E649" s="847">
        <f ca="1"/>
        <v>0</v>
      </c>
      <c r="F649" s="386">
        <f ca="1"/>
        <v>0</v>
      </c>
      <c r="G649" s="383">
        <f ca="1"/>
        <v>0</v>
      </c>
      <c r="H649" s="383">
        <f ca="1"/>
        <v>0</v>
      </c>
      <c r="I649" s="383">
        <f ca="1"/>
        <v>0</v>
      </c>
      <c r="J649" s="383">
        <f ca="1"/>
        <v>0</v>
      </c>
      <c r="K649" s="383">
        <f ca="1"/>
        <v>0</v>
      </c>
      <c r="P649" s="386"/>
      <c r="Q649" s="768">
        <f ca="1">IF(F649&lt;&gt;0,+F649/'A-18'!D$117,0)</f>
        <v>0</v>
      </c>
      <c r="R649" s="768">
        <f ca="1">IF(G649&lt;&gt;0,+G649/'A-18'!E$117,0)</f>
        <v>0</v>
      </c>
      <c r="S649" s="768">
        <f ca="1">IF(H649&lt;&gt;0,+H649/'A-18'!F$117,0)</f>
        <v>0</v>
      </c>
      <c r="T649" s="768">
        <f ca="1">IF(I649&lt;&gt;0,+I649/'A-18'!G$117,0)</f>
        <v>0</v>
      </c>
      <c r="U649" s="768">
        <f ca="1">IF(J649&lt;&gt;0,+J649/'A-18'!H$117,0)</f>
        <v>0</v>
      </c>
      <c r="V649" s="768">
        <f ca="1">IF(K649&lt;&gt;0,+K649/'A-18'!I$117,0)</f>
        <v>0</v>
      </c>
    </row>
    <row r="650" spans="1:22" s="767" customFormat="1">
      <c r="A650" s="5"/>
      <c r="B650" s="249"/>
      <c r="C650" s="425" t="str">
        <v>Materials - Land</v>
      </c>
      <c r="D650" s="426" t="str">
        <v>Other</v>
      </c>
      <c r="E650" s="847">
        <f ca="1"/>
        <v>0</v>
      </c>
      <c r="F650" s="386">
        <f ca="1"/>
        <v>0</v>
      </c>
      <c r="G650" s="383">
        <f ca="1"/>
        <v>0</v>
      </c>
      <c r="H650" s="383">
        <f ca="1"/>
        <v>0</v>
      </c>
      <c r="I650" s="383">
        <f ca="1"/>
        <v>0</v>
      </c>
      <c r="J650" s="383">
        <f ca="1"/>
        <v>0</v>
      </c>
      <c r="K650" s="383">
        <f ca="1"/>
        <v>0</v>
      </c>
      <c r="P650" s="386"/>
      <c r="Q650" s="768">
        <f ca="1">IF(F650&lt;&gt;0,+F650/'A-18'!D$118,0)</f>
        <v>0</v>
      </c>
      <c r="R650" s="768">
        <f ca="1">IF(G650&lt;&gt;0,+G650/'A-18'!E$118,0)</f>
        <v>0</v>
      </c>
      <c r="S650" s="768">
        <f ca="1">IF(H650&lt;&gt;0,+H650/'A-18'!F$118,0)</f>
        <v>0</v>
      </c>
      <c r="T650" s="768">
        <f ca="1">IF(I650&lt;&gt;0,+I650/'A-18'!G$118,0)</f>
        <v>0</v>
      </c>
      <c r="U650" s="768">
        <f ca="1">IF(J650&lt;&gt;0,+J650/'A-18'!H$118,0)</f>
        <v>0</v>
      </c>
      <c r="V650" s="768">
        <f ca="1">IF(K650&lt;&gt;0,+K650/'A-18'!I$118,0)</f>
        <v>0</v>
      </c>
    </row>
    <row r="651" spans="1:22">
      <c r="A651" s="5"/>
      <c r="B651" s="249" t="str">
        <f ca="1">+'I-4 History'!B390</f>
        <v>A-19</v>
      </c>
      <c r="C651" s="14" t="str">
        <f ca="1">+'I-4 History'!C390</f>
        <v>Workforce Development</v>
      </c>
      <c r="D651" s="418"/>
      <c r="E651" s="507"/>
      <c r="F651" s="11"/>
      <c r="G651" s="11"/>
      <c r="H651" s="11"/>
      <c r="I651" s="11"/>
      <c r="J651" s="11"/>
      <c r="K651" s="11"/>
      <c r="P651" s="11"/>
      <c r="Q651" s="11"/>
      <c r="R651" s="11"/>
      <c r="S651" s="11"/>
      <c r="T651" s="11"/>
      <c r="U651" s="11"/>
      <c r="V651" s="11"/>
    </row>
    <row r="652" spans="1:22">
      <c r="A652" s="5"/>
      <c r="B652" s="249"/>
      <c r="C652" s="424" t="s">
        <v>74</v>
      </c>
      <c r="D652" s="416"/>
      <c r="E652" s="507"/>
      <c r="F652" s="11"/>
      <c r="G652" s="11"/>
      <c r="H652" s="11"/>
      <c r="I652" s="11"/>
      <c r="J652" s="11"/>
      <c r="K652" s="11"/>
      <c r="P652" s="11"/>
      <c r="Q652" s="11"/>
      <c r="R652" s="11"/>
      <c r="S652" s="11"/>
      <c r="T652" s="11"/>
      <c r="U652" s="11"/>
      <c r="V652" s="11"/>
    </row>
    <row r="653" spans="1:22">
      <c r="A653" s="5"/>
      <c r="B653" s="249"/>
      <c r="C653" s="425" t="str">
        <f t="array" ref="C653:D658">+'A-19'!$A$77:$B$82</f>
        <v>Total Output Growth</v>
      </c>
      <c r="D653" s="426" t="str">
        <v>Labour</v>
      </c>
      <c r="E653" s="847">
        <f t="array" ref="E653:K658" ca="1">+'A-19'!$N$77:$T$82</f>
        <v>0</v>
      </c>
      <c r="F653" s="386">
        <f ca="1"/>
        <v>0</v>
      </c>
      <c r="G653" s="383">
        <f ca="1"/>
        <v>7.4481907134270556E-3</v>
      </c>
      <c r="H653" s="383">
        <f ca="1"/>
        <v>1.4349578576775449E-2</v>
      </c>
      <c r="I653" s="383">
        <f ca="1"/>
        <v>2.1171523845101431E-2</v>
      </c>
      <c r="J653" s="383">
        <f ca="1"/>
        <v>2.8572786553190982E-2</v>
      </c>
      <c r="K653" s="383">
        <f ca="1"/>
        <v>3.5352398585088131E-2</v>
      </c>
      <c r="L653" s="790"/>
      <c r="M653" s="790"/>
      <c r="N653" s="790"/>
      <c r="O653" s="790"/>
      <c r="P653" s="386"/>
      <c r="Q653" s="768">
        <f ca="1">IF(F653&lt;&gt;0,+F653/'A-19'!D$77,0)</f>
        <v>0</v>
      </c>
      <c r="R653" s="768">
        <f ca="1">IF(G653&lt;&gt;0,+G653/'A-19'!E$77,0)</f>
        <v>0.70200000000000007</v>
      </c>
      <c r="S653" s="768">
        <f ca="1">IF(H653&lt;&gt;0,+H653/'A-19'!F$77,0)</f>
        <v>0.70200000000000007</v>
      </c>
      <c r="T653" s="768">
        <f ca="1">IF(I653&lt;&gt;0,+I653/'A-19'!G$77,0)</f>
        <v>0.70200000000000018</v>
      </c>
      <c r="U653" s="768">
        <f ca="1">IF(J653&lt;&gt;0,+J653/'A-19'!H$77,0)</f>
        <v>0.70200000000000007</v>
      </c>
      <c r="V653" s="768">
        <f ca="1">IF(K653&lt;&gt;0,+K653/'A-19'!I$77,0)</f>
        <v>0.70200000000000007</v>
      </c>
    </row>
    <row r="654" spans="1:22">
      <c r="A654" s="5"/>
      <c r="B654" s="249"/>
      <c r="C654" s="425" t="str">
        <v>Total Output Growth</v>
      </c>
      <c r="D654" s="426" t="str">
        <v>Materials</v>
      </c>
      <c r="E654" s="847">
        <f ca="1"/>
        <v>0</v>
      </c>
      <c r="F654" s="386">
        <f ca="1"/>
        <v>0</v>
      </c>
      <c r="G654" s="383">
        <f ca="1"/>
        <v>1.3792945765605659E-3</v>
      </c>
      <c r="H654" s="383">
        <f ca="1"/>
        <v>2.6573293660695275E-3</v>
      </c>
      <c r="I654" s="383">
        <f ca="1"/>
        <v>3.9206525639076716E-3</v>
      </c>
      <c r="J654" s="383">
        <f ca="1"/>
        <v>5.2912567691094405E-3</v>
      </c>
      <c r="K654" s="383">
        <f ca="1"/>
        <v>6.5467404787200234E-3</v>
      </c>
      <c r="L654" s="790"/>
      <c r="M654" s="790"/>
      <c r="N654" s="790"/>
      <c r="O654" s="790"/>
      <c r="P654" s="386"/>
      <c r="Q654" s="768">
        <f ca="1">IF(F654&lt;&gt;0,+F654/'A-19'!D$78,0)</f>
        <v>0</v>
      </c>
      <c r="R654" s="768">
        <f ca="1">IF(G654&lt;&gt;0,+G654/'A-19'!E$78,0)</f>
        <v>0.13</v>
      </c>
      <c r="S654" s="768">
        <f ca="1">IF(H654&lt;&gt;0,+H654/'A-19'!F$78,0)</f>
        <v>0.13</v>
      </c>
      <c r="T654" s="768">
        <f ca="1">IF(I654&lt;&gt;0,+I654/'A-19'!G$78,0)</f>
        <v>0.13</v>
      </c>
      <c r="U654" s="768">
        <f ca="1">IF(J654&lt;&gt;0,+J654/'A-19'!H$78,0)</f>
        <v>0.13</v>
      </c>
      <c r="V654" s="768">
        <f ca="1">IF(K654&lt;&gt;0,+K654/'A-19'!I$78,0)</f>
        <v>0.13</v>
      </c>
    </row>
    <row r="655" spans="1:22">
      <c r="A655" s="5"/>
      <c r="B655" s="249"/>
      <c r="C655" s="425" t="str">
        <v>Total Output Growth</v>
      </c>
      <c r="D655" s="426" t="str">
        <v>Contracts</v>
      </c>
      <c r="E655" s="847">
        <f ca="1"/>
        <v>0</v>
      </c>
      <c r="F655" s="386">
        <f ca="1"/>
        <v>0</v>
      </c>
      <c r="G655" s="383">
        <f ca="1"/>
        <v>0</v>
      </c>
      <c r="H655" s="383">
        <f ca="1"/>
        <v>0</v>
      </c>
      <c r="I655" s="383">
        <f ca="1"/>
        <v>0</v>
      </c>
      <c r="J655" s="383">
        <f ca="1"/>
        <v>0</v>
      </c>
      <c r="K655" s="383">
        <f ca="1"/>
        <v>0</v>
      </c>
      <c r="L655" s="790"/>
      <c r="M655" s="790"/>
      <c r="N655" s="790"/>
      <c r="O655" s="790"/>
      <c r="P655" s="386"/>
      <c r="Q655" s="768">
        <f ca="1">IF(F655&lt;&gt;0,+F655/'A-19'!D$79,0)</f>
        <v>0</v>
      </c>
      <c r="R655" s="768">
        <f ca="1">IF(G655&lt;&gt;0,+G655/'A-19'!E$79,0)</f>
        <v>0</v>
      </c>
      <c r="S655" s="768">
        <f ca="1">IF(H655&lt;&gt;0,+H655/'A-19'!F$79,0)</f>
        <v>0</v>
      </c>
      <c r="T655" s="768">
        <f ca="1">IF(I655&lt;&gt;0,+I655/'A-19'!G$79,0)</f>
        <v>0</v>
      </c>
      <c r="U655" s="768">
        <f ca="1">IF(J655&lt;&gt;0,+J655/'A-19'!H$79,0)</f>
        <v>0</v>
      </c>
      <c r="V655" s="768">
        <f ca="1">IF(K655&lt;&gt;0,+K655/'A-19'!I$79,0)</f>
        <v>0</v>
      </c>
    </row>
    <row r="656" spans="1:22" s="790" customFormat="1">
      <c r="A656" s="5"/>
      <c r="B656" s="249"/>
      <c r="C656" s="425" t="str">
        <v>Total Output Growth</v>
      </c>
      <c r="D656" s="426" t="str">
        <v>Services Other</v>
      </c>
      <c r="E656" s="847">
        <f ca="1"/>
        <v>0</v>
      </c>
      <c r="F656" s="386">
        <f ca="1"/>
        <v>0</v>
      </c>
      <c r="G656" s="383">
        <f ca="1"/>
        <v>7.2147716312398827E-4</v>
      </c>
      <c r="H656" s="383">
        <f ca="1"/>
        <v>1.389987668405599E-3</v>
      </c>
      <c r="I656" s="383">
        <f ca="1"/>
        <v>2.0508028795824746E-3</v>
      </c>
      <c r="J656" s="383">
        <f ca="1"/>
        <v>2.7677343099957075E-3</v>
      </c>
      <c r="K656" s="383">
        <f ca="1"/>
        <v>3.4244488657920124E-3</v>
      </c>
      <c r="P656" s="386"/>
      <c r="Q656" s="768">
        <f ca="1">IF(F656&lt;&gt;0,+F656/'A-19'!D$80,0)</f>
        <v>0</v>
      </c>
      <c r="R656" s="768">
        <f ca="1">IF(G656&lt;&gt;0,+G656/'A-19'!E$80,0)</f>
        <v>6.8000000000000005E-2</v>
      </c>
      <c r="S656" s="768">
        <f ca="1">IF(H656&lt;&gt;0,+H656/'A-19'!F$80,0)</f>
        <v>6.8000000000000005E-2</v>
      </c>
      <c r="T656" s="768">
        <f ca="1">IF(I656&lt;&gt;0,+I656/'A-19'!G$80,0)</f>
        <v>6.8000000000000005E-2</v>
      </c>
      <c r="U656" s="768">
        <f ca="1">IF(J656&lt;&gt;0,+J656/'A-19'!H$80,0)</f>
        <v>6.8000000000000005E-2</v>
      </c>
      <c r="V656" s="768">
        <f ca="1">IF(K656&lt;&gt;0,+K656/'A-19'!I$80,0)</f>
        <v>6.8000000000000005E-2</v>
      </c>
    </row>
    <row r="657" spans="1:22" s="790" customFormat="1">
      <c r="A657" s="5"/>
      <c r="B657" s="249"/>
      <c r="C657" s="425" t="str">
        <v>Total Output Growth</v>
      </c>
      <c r="D657" s="426" t="str">
        <v>Business Overheads</v>
      </c>
      <c r="E657" s="847">
        <f ca="1"/>
        <v>0</v>
      </c>
      <c r="F657" s="386">
        <f ca="1"/>
        <v>0</v>
      </c>
      <c r="G657" s="383">
        <f ca="1"/>
        <v>0</v>
      </c>
      <c r="H657" s="383">
        <f ca="1"/>
        <v>0</v>
      </c>
      <c r="I657" s="383">
        <f ca="1"/>
        <v>0</v>
      </c>
      <c r="J657" s="383">
        <f ca="1"/>
        <v>0</v>
      </c>
      <c r="K657" s="383">
        <f ca="1"/>
        <v>0</v>
      </c>
      <c r="P657" s="386"/>
      <c r="Q657" s="768">
        <f ca="1">IF(F657&lt;&gt;0,+F657/'A-19'!D$81,0)</f>
        <v>0</v>
      </c>
      <c r="R657" s="768">
        <f ca="1">IF(G657&lt;&gt;0,+G657/'A-19'!E$81,0)</f>
        <v>0</v>
      </c>
      <c r="S657" s="768">
        <f ca="1">IF(H657&lt;&gt;0,+H657/'A-19'!F$81,0)</f>
        <v>0</v>
      </c>
      <c r="T657" s="768">
        <f ca="1">IF(I657&lt;&gt;0,+I657/'A-19'!G$81,0)</f>
        <v>0</v>
      </c>
      <c r="U657" s="768">
        <f ca="1">IF(J657&lt;&gt;0,+J657/'A-19'!H$81,0)</f>
        <v>0</v>
      </c>
      <c r="V657" s="768">
        <f ca="1">IF(K657&lt;&gt;0,+K657/'A-19'!I$81,0)</f>
        <v>0</v>
      </c>
    </row>
    <row r="658" spans="1:22" s="790" customFormat="1">
      <c r="A658" s="5"/>
      <c r="B658" s="249"/>
      <c r="C658" s="425" t="str">
        <v>Total Output Growth</v>
      </c>
      <c r="D658" s="426" t="str">
        <v>Other</v>
      </c>
      <c r="E658" s="847">
        <f ca="1"/>
        <v>0</v>
      </c>
      <c r="F658" s="386">
        <f ca="1"/>
        <v>0</v>
      </c>
      <c r="G658" s="383">
        <f ca="1"/>
        <v>0</v>
      </c>
      <c r="H658" s="383">
        <f ca="1"/>
        <v>0</v>
      </c>
      <c r="I658" s="383">
        <f ca="1"/>
        <v>0</v>
      </c>
      <c r="J658" s="383">
        <f ca="1"/>
        <v>0</v>
      </c>
      <c r="K658" s="383">
        <f ca="1"/>
        <v>0</v>
      </c>
      <c r="P658" s="386"/>
      <c r="Q658" s="768">
        <f ca="1">IF(F658&lt;&gt;0,+F658/'A-19'!D$82,0)</f>
        <v>0</v>
      </c>
      <c r="R658" s="768">
        <f ca="1">IF(G658&lt;&gt;0,+G658/'A-19'!E$82,0)</f>
        <v>0</v>
      </c>
      <c r="S658" s="768">
        <f ca="1">IF(H658&lt;&gt;0,+H658/'A-19'!F$82,0)</f>
        <v>0</v>
      </c>
      <c r="T658" s="768">
        <f ca="1">IF(I658&lt;&gt;0,+I658/'A-19'!G$82,0)</f>
        <v>0</v>
      </c>
      <c r="U658" s="768">
        <f ca="1">IF(J658&lt;&gt;0,+J658/'A-19'!H$82,0)</f>
        <v>0</v>
      </c>
      <c r="V658" s="768">
        <f ca="1">IF(K658&lt;&gt;0,+K658/'A-19'!I$82,0)</f>
        <v>0</v>
      </c>
    </row>
    <row r="659" spans="1:22">
      <c r="A659" s="5"/>
      <c r="B659" s="249"/>
      <c r="C659" s="424" t="s">
        <v>73</v>
      </c>
      <c r="D659" s="417"/>
      <c r="E659" s="848"/>
      <c r="F659" s="387"/>
      <c r="G659" s="385"/>
      <c r="H659" s="385"/>
      <c r="I659" s="385"/>
      <c r="J659" s="385"/>
      <c r="K659" s="385"/>
      <c r="P659" s="387"/>
      <c r="Q659" s="385"/>
      <c r="R659" s="385"/>
      <c r="S659" s="385"/>
      <c r="T659" s="385"/>
      <c r="U659" s="385"/>
      <c r="V659" s="385"/>
    </row>
    <row r="660" spans="1:22" s="767" customFormat="1">
      <c r="A660" s="5"/>
      <c r="B660" s="249"/>
      <c r="C660" s="425" t="str">
        <f t="array" ref="C660:D665">+'A-19'!$A$113:$B$119</f>
        <v>Labour</v>
      </c>
      <c r="D660" s="426" t="str">
        <v>Labour</v>
      </c>
      <c r="E660" s="847">
        <f t="array" ref="E660:K665" ca="1">+'A-19'!$N$113:$T$119</f>
        <v>0</v>
      </c>
      <c r="F660" s="386">
        <f ca="1"/>
        <v>0</v>
      </c>
      <c r="G660" s="383">
        <f ca="1"/>
        <v>1.5223315085855425E-2</v>
      </c>
      <c r="H660" s="383">
        <f ca="1"/>
        <v>3.1072648743355278E-2</v>
      </c>
      <c r="I660" s="383">
        <f ca="1"/>
        <v>4.8446627748595858E-2</v>
      </c>
      <c r="J660" s="383">
        <f ca="1"/>
        <v>6.6585801359909588E-2</v>
      </c>
      <c r="K660" s="383">
        <f ca="1"/>
        <v>8.5413825812570385E-2</v>
      </c>
      <c r="P660" s="386"/>
      <c r="Q660" s="768">
        <f ca="1">IF(F660&lt;&gt;0,+F660/'A-19'!D$113,0)</f>
        <v>0</v>
      </c>
      <c r="R660" s="768">
        <f ca="1">IF(G660&lt;&gt;0,+G660/'A-19'!E$113,0)</f>
        <v>0.70944819071342713</v>
      </c>
      <c r="S660" s="768">
        <f ca="1">IF(H660&lt;&gt;0,+H660/'A-19'!F$113,0)</f>
        <v>0.7163495785767755</v>
      </c>
      <c r="T660" s="768">
        <f ca="1">IF(I660&lt;&gt;0,+I660/'A-19'!G$113,0)</f>
        <v>0.72317152384510153</v>
      </c>
      <c r="U660" s="768">
        <f ca="1">IF(J660&lt;&gt;0,+J660/'A-19'!H$113,0)</f>
        <v>0.73057278655319091</v>
      </c>
      <c r="V660" s="768">
        <f ca="1">IF(K660&lt;&gt;0,+K660/'A-19'!I$113,0)</f>
        <v>0.73735239858508816</v>
      </c>
    </row>
    <row r="661" spans="1:22" s="767" customFormat="1">
      <c r="A661" s="5"/>
      <c r="B661" s="249"/>
      <c r="C661" s="425" t="str">
        <v>Materials</v>
      </c>
      <c r="D661" s="426" t="str">
        <v>Materials</v>
      </c>
      <c r="E661" s="847">
        <f ca="1"/>
        <v>0</v>
      </c>
      <c r="F661" s="386">
        <f ca="1"/>
        <v>0</v>
      </c>
      <c r="G661" s="383">
        <f ca="1"/>
        <v>0</v>
      </c>
      <c r="H661" s="383">
        <f ca="1"/>
        <v>0</v>
      </c>
      <c r="I661" s="383">
        <f ca="1"/>
        <v>0</v>
      </c>
      <c r="J661" s="383">
        <f ca="1"/>
        <v>0</v>
      </c>
      <c r="K661" s="383">
        <f ca="1"/>
        <v>0</v>
      </c>
      <c r="P661" s="386"/>
      <c r="Q661" s="768">
        <f ca="1">IF(F661&lt;&gt;0,+F661/'A-19'!D$114,0)</f>
        <v>0</v>
      </c>
      <c r="R661" s="768">
        <f ca="1">IF(G661&lt;&gt;0,+G661/'A-19'!E$114,0)</f>
        <v>0</v>
      </c>
      <c r="S661" s="768">
        <f ca="1">IF(H661&lt;&gt;0,+H661/'A-19'!F$114,0)</f>
        <v>0</v>
      </c>
      <c r="T661" s="768">
        <f ca="1">IF(I661&lt;&gt;0,+I661/'A-19'!G$114,0)</f>
        <v>0</v>
      </c>
      <c r="U661" s="768">
        <f ca="1">IF(J661&lt;&gt;0,+J661/'A-19'!H$114,0)</f>
        <v>0</v>
      </c>
      <c r="V661" s="768">
        <f ca="1">IF(K661&lt;&gt;0,+K661/'A-19'!I$114,0)</f>
        <v>0</v>
      </c>
    </row>
    <row r="662" spans="1:22" s="767" customFormat="1">
      <c r="A662" s="5"/>
      <c r="B662" s="249"/>
      <c r="C662" s="425" t="str">
        <v>Services-construction</v>
      </c>
      <c r="D662" s="426" t="str">
        <v>Contracts</v>
      </c>
      <c r="E662" s="847">
        <f ca="1"/>
        <v>0</v>
      </c>
      <c r="F662" s="386">
        <f ca="1"/>
        <v>0</v>
      </c>
      <c r="G662" s="383">
        <f ca="1"/>
        <v>0</v>
      </c>
      <c r="H662" s="383">
        <f ca="1"/>
        <v>0</v>
      </c>
      <c r="I662" s="383">
        <f ca="1"/>
        <v>0</v>
      </c>
      <c r="J662" s="383">
        <f ca="1"/>
        <v>0</v>
      </c>
      <c r="K662" s="383">
        <f ca="1"/>
        <v>0</v>
      </c>
      <c r="P662" s="386"/>
      <c r="Q662" s="768">
        <f ca="1">IF(F662&lt;&gt;0,+F662/'A-19'!D$115,0)</f>
        <v>0</v>
      </c>
      <c r="R662" s="768">
        <f ca="1">IF(G662&lt;&gt;0,+G662/'A-19'!E$115,0)</f>
        <v>0</v>
      </c>
      <c r="S662" s="768">
        <f ca="1">IF(H662&lt;&gt;0,+H662/'A-19'!F$115,0)</f>
        <v>0</v>
      </c>
      <c r="T662" s="768">
        <f ca="1">IF(I662&lt;&gt;0,+I662/'A-19'!G$115,0)</f>
        <v>0</v>
      </c>
      <c r="U662" s="768">
        <f ca="1">IF(J662&lt;&gt;0,+J662/'A-19'!H$115,0)</f>
        <v>0</v>
      </c>
      <c r="V662" s="768">
        <f ca="1">IF(K662&lt;&gt;0,+K662/'A-19'!I$115,0)</f>
        <v>0</v>
      </c>
    </row>
    <row r="663" spans="1:22" s="767" customFormat="1">
      <c r="A663" s="5"/>
      <c r="B663" s="249"/>
      <c r="C663" s="425" t="str">
        <v>Services-general</v>
      </c>
      <c r="D663" s="426" t="str">
        <v>Services Other</v>
      </c>
      <c r="E663" s="847">
        <f ca="1"/>
        <v>0</v>
      </c>
      <c r="F663" s="386">
        <f ca="1"/>
        <v>0</v>
      </c>
      <c r="G663" s="383">
        <f ca="1"/>
        <v>3.4360738581561264E-4</v>
      </c>
      <c r="H663" s="383">
        <f ca="1"/>
        <v>6.9563462637574737E-4</v>
      </c>
      <c r="I663" s="383">
        <f ca="1"/>
        <v>1.3390368584738331E-3</v>
      </c>
      <c r="J663" s="383">
        <f ca="1"/>
        <v>2.1100061565535073E-3</v>
      </c>
      <c r="K663" s="383">
        <f ca="1"/>
        <v>3.0490121597319423E-3</v>
      </c>
      <c r="P663" s="386"/>
      <c r="Q663" s="768">
        <f ca="1">IF(F663&lt;&gt;0,+F663/'A-19'!D$116,0)</f>
        <v>0</v>
      </c>
      <c r="R663" s="768">
        <f ca="1">IF(G663&lt;&gt;0,+G663/'A-19'!E$116,0)</f>
        <v>6.872147716312399E-2</v>
      </c>
      <c r="S663" s="768">
        <f ca="1">IF(H663&lt;&gt;0,+H663/'A-19'!F$116,0)</f>
        <v>6.9389987668405609E-2</v>
      </c>
      <c r="T663" s="768">
        <f ca="1">IF(I663&lt;&gt;0,+I663/'A-19'!G$116,0)</f>
        <v>7.0050802879582486E-2</v>
      </c>
      <c r="U663" s="768">
        <f ca="1">IF(J663&lt;&gt;0,+J663/'A-19'!H$116,0)</f>
        <v>7.0767734309995708E-2</v>
      </c>
      <c r="V663" s="768">
        <f ca="1">IF(K663&lt;&gt;0,+K663/'A-19'!I$116,0)</f>
        <v>7.1424448865792023E-2</v>
      </c>
    </row>
    <row r="664" spans="1:22" s="767" customFormat="1">
      <c r="A664" s="5"/>
      <c r="B664" s="249"/>
      <c r="C664" s="425" t="str">
        <v>Labour</v>
      </c>
      <c r="D664" s="426" t="str">
        <v>Business Overheads</v>
      </c>
      <c r="E664" s="847">
        <f ca="1"/>
        <v>0</v>
      </c>
      <c r="F664" s="386">
        <f ca="1"/>
        <v>0</v>
      </c>
      <c r="G664" s="383">
        <f ca="1"/>
        <v>0</v>
      </c>
      <c r="H664" s="383">
        <f ca="1"/>
        <v>0</v>
      </c>
      <c r="I664" s="383">
        <f ca="1"/>
        <v>0</v>
      </c>
      <c r="J664" s="383">
        <f ca="1"/>
        <v>0</v>
      </c>
      <c r="K664" s="383">
        <f ca="1"/>
        <v>0</v>
      </c>
      <c r="P664" s="386"/>
      <c r="Q664" s="768">
        <f ca="1">IF(F664&lt;&gt;0,+F664/'A-19'!D$117,0)</f>
        <v>0</v>
      </c>
      <c r="R664" s="768">
        <f ca="1">IF(G664&lt;&gt;0,+G664/'A-19'!E$117,0)</f>
        <v>0</v>
      </c>
      <c r="S664" s="768">
        <f ca="1">IF(H664&lt;&gt;0,+H664/'A-19'!F$117,0)</f>
        <v>0</v>
      </c>
      <c r="T664" s="768">
        <f ca="1">IF(I664&lt;&gt;0,+I664/'A-19'!G$117,0)</f>
        <v>0</v>
      </c>
      <c r="U664" s="768">
        <f ca="1">IF(J664&lt;&gt;0,+J664/'A-19'!H$117,0)</f>
        <v>0</v>
      </c>
      <c r="V664" s="768">
        <f ca="1">IF(K664&lt;&gt;0,+K664/'A-19'!I$117,0)</f>
        <v>0</v>
      </c>
    </row>
    <row r="665" spans="1:22" s="767" customFormat="1">
      <c r="A665" s="5"/>
      <c r="B665" s="249"/>
      <c r="C665" s="425" t="str">
        <v>Materials - Land</v>
      </c>
      <c r="D665" s="426" t="str">
        <v>Other</v>
      </c>
      <c r="E665" s="847">
        <f ca="1"/>
        <v>0</v>
      </c>
      <c r="F665" s="386">
        <f ca="1"/>
        <v>0</v>
      </c>
      <c r="G665" s="383">
        <f ca="1"/>
        <v>0</v>
      </c>
      <c r="H665" s="383">
        <f ca="1"/>
        <v>0</v>
      </c>
      <c r="I665" s="383">
        <f ca="1"/>
        <v>0</v>
      </c>
      <c r="J665" s="383">
        <f ca="1"/>
        <v>0</v>
      </c>
      <c r="K665" s="383">
        <f ca="1"/>
        <v>0</v>
      </c>
      <c r="P665" s="386"/>
      <c r="Q665" s="768">
        <f ca="1">IF(F665&lt;&gt;0,+F665/'A-19'!D$118,0)</f>
        <v>0</v>
      </c>
      <c r="R665" s="768">
        <f ca="1">IF(G665&lt;&gt;0,+G665/'A-19'!E$118,0)</f>
        <v>0</v>
      </c>
      <c r="S665" s="768">
        <f ca="1">IF(H665&lt;&gt;0,+H665/'A-19'!F$118,0)</f>
        <v>0</v>
      </c>
      <c r="T665" s="768">
        <f ca="1">IF(I665&lt;&gt;0,+I665/'A-19'!G$118,0)</f>
        <v>0</v>
      </c>
      <c r="U665" s="768">
        <f ca="1">IF(J665&lt;&gt;0,+J665/'A-19'!H$118,0)</f>
        <v>0</v>
      </c>
      <c r="V665" s="768">
        <f ca="1">IF(K665&lt;&gt;0,+K665/'A-19'!I$118,0)</f>
        <v>0</v>
      </c>
    </row>
    <row r="666" spans="1:22">
      <c r="A666" s="5"/>
      <c r="B666" s="249" t="str">
        <f ca="1">+'I-4 History'!B399</f>
        <v>A-20</v>
      </c>
      <c r="C666" s="14" t="str">
        <f ca="1">+'I-4 History'!C399</f>
        <v>Training Centre</v>
      </c>
      <c r="D666" s="418"/>
      <c r="E666" s="507"/>
      <c r="F666" s="11"/>
      <c r="G666" s="11"/>
      <c r="H666" s="11"/>
      <c r="I666" s="11"/>
      <c r="J666" s="11"/>
      <c r="K666" s="11"/>
      <c r="P666" s="11"/>
      <c r="Q666" s="11"/>
      <c r="R666" s="11"/>
      <c r="S666" s="11"/>
      <c r="T666" s="11"/>
      <c r="U666" s="11"/>
      <c r="V666" s="11"/>
    </row>
    <row r="667" spans="1:22">
      <c r="A667" s="5"/>
      <c r="B667" s="249"/>
      <c r="C667" s="424" t="s">
        <v>74</v>
      </c>
      <c r="D667" s="416"/>
      <c r="E667" s="507"/>
      <c r="F667" s="11"/>
      <c r="G667" s="11"/>
      <c r="H667" s="11"/>
      <c r="I667" s="11"/>
      <c r="J667" s="11"/>
      <c r="K667" s="11"/>
      <c r="P667" s="11"/>
      <c r="Q667" s="11"/>
      <c r="R667" s="11"/>
      <c r="S667" s="11"/>
      <c r="T667" s="11"/>
      <c r="U667" s="11"/>
      <c r="V667" s="11"/>
    </row>
    <row r="668" spans="1:22">
      <c r="A668" s="5"/>
      <c r="B668" s="249"/>
      <c r="C668" s="425" t="str">
        <f t="array" ref="C668:D673">+'A-20'!$A$77:$B$82</f>
        <v>Total Output Growth</v>
      </c>
      <c r="D668" s="426" t="str">
        <v>Labour</v>
      </c>
      <c r="E668" s="847">
        <f t="array" ref="E668:K673" ca="1">+'A-20'!$N$77:$T$82</f>
        <v>0</v>
      </c>
      <c r="F668" s="386">
        <f ca="1"/>
        <v>0</v>
      </c>
      <c r="G668" s="383">
        <f ca="1"/>
        <v>3.156462588667449E-2</v>
      </c>
      <c r="H668" s="383">
        <f ca="1"/>
        <v>6.0811960492744954E-2</v>
      </c>
      <c r="I668" s="383">
        <f ca="1"/>
        <v>8.9722625981733264E-2</v>
      </c>
      <c r="J668" s="383">
        <f ca="1"/>
        <v>0.12108837606231219</v>
      </c>
      <c r="K668" s="383">
        <f ca="1"/>
        <v>0.14981963787840055</v>
      </c>
      <c r="L668" s="790"/>
      <c r="M668" s="790"/>
      <c r="N668" s="790"/>
      <c r="O668" s="790"/>
      <c r="P668" s="386"/>
      <c r="Q668" s="768">
        <f ca="1">IF(F668&lt;&gt;0,+F668/'A-20'!D$77,0)</f>
        <v>0</v>
      </c>
      <c r="R668" s="768">
        <f ca="1">IF(G668&lt;&gt;0,+G668/'A-20'!E$77,0)</f>
        <v>2.9750000000000005</v>
      </c>
      <c r="S668" s="768">
        <f ca="1">IF(H668&lt;&gt;0,+H668/'A-20'!F$77,0)</f>
        <v>2.9750000000000001</v>
      </c>
      <c r="T668" s="768">
        <f ca="1">IF(I668&lt;&gt;0,+I668/'A-20'!G$77,0)</f>
        <v>2.9750000000000001</v>
      </c>
      <c r="U668" s="768">
        <f ca="1">IF(J668&lt;&gt;0,+J668/'A-20'!H$77,0)</f>
        <v>2.9750000000000001</v>
      </c>
      <c r="V668" s="768">
        <f ca="1">IF(K668&lt;&gt;0,+K668/'A-20'!I$77,0)</f>
        <v>2.9750000000000005</v>
      </c>
    </row>
    <row r="669" spans="1:22">
      <c r="A669" s="5"/>
      <c r="B669" s="249"/>
      <c r="C669" s="425" t="str">
        <v>Total Output Growth</v>
      </c>
      <c r="D669" s="426" t="str">
        <v>Materials</v>
      </c>
      <c r="E669" s="847">
        <f ca="1"/>
        <v>0</v>
      </c>
      <c r="F669" s="386">
        <f ca="1"/>
        <v>0</v>
      </c>
      <c r="G669" s="383">
        <f ca="1"/>
        <v>1.5066140759353874E-3</v>
      </c>
      <c r="H669" s="383">
        <f ca="1"/>
        <v>2.9026213075528688E-3</v>
      </c>
      <c r="I669" s="383">
        <f ca="1"/>
        <v>4.2825589544222267E-3</v>
      </c>
      <c r="J669" s="383">
        <f ca="1"/>
        <v>5.7796804708733895E-3</v>
      </c>
      <c r="K669" s="383">
        <f ca="1"/>
        <v>7.1510549844480261E-3</v>
      </c>
      <c r="L669" s="790"/>
      <c r="M669" s="790"/>
      <c r="N669" s="790"/>
      <c r="O669" s="790"/>
      <c r="P669" s="386"/>
      <c r="Q669" s="768">
        <f ca="1">IF(F669&lt;&gt;0,+F669/'A-20'!D$78,0)</f>
        <v>0</v>
      </c>
      <c r="R669" s="768">
        <f ca="1">IF(G669&lt;&gt;0,+G669/'A-20'!E$78,0)</f>
        <v>0.14200000000000002</v>
      </c>
      <c r="S669" s="768">
        <f ca="1">IF(H669&lt;&gt;0,+H669/'A-20'!F$78,0)</f>
        <v>0.14200000000000002</v>
      </c>
      <c r="T669" s="768">
        <f ca="1">IF(I669&lt;&gt;0,+I669/'A-20'!G$78,0)</f>
        <v>0.14200000000000002</v>
      </c>
      <c r="U669" s="768">
        <f ca="1">IF(J669&lt;&gt;0,+J669/'A-20'!H$78,0)</f>
        <v>0.14200000000000002</v>
      </c>
      <c r="V669" s="768">
        <f ca="1">IF(K669&lt;&gt;0,+K669/'A-20'!I$78,0)</f>
        <v>0.14200000000000002</v>
      </c>
    </row>
    <row r="670" spans="1:22">
      <c r="A670" s="5"/>
      <c r="B670" s="249"/>
      <c r="C670" s="425" t="str">
        <v>Total Output Growth</v>
      </c>
      <c r="D670" s="426" t="str">
        <v>Contracts</v>
      </c>
      <c r="E670" s="847">
        <f ca="1"/>
        <v>0</v>
      </c>
      <c r="F670" s="386">
        <f ca="1"/>
        <v>0</v>
      </c>
      <c r="G670" s="383">
        <f ca="1"/>
        <v>0</v>
      </c>
      <c r="H670" s="383">
        <f ca="1"/>
        <v>0</v>
      </c>
      <c r="I670" s="383">
        <f ca="1"/>
        <v>0</v>
      </c>
      <c r="J670" s="383">
        <f ca="1"/>
        <v>0</v>
      </c>
      <c r="K670" s="383">
        <f ca="1"/>
        <v>0</v>
      </c>
      <c r="L670" s="790"/>
      <c r="M670" s="790"/>
      <c r="N670" s="790"/>
      <c r="O670" s="790"/>
      <c r="P670" s="386"/>
      <c r="Q670" s="768">
        <f ca="1">IF(F670&lt;&gt;0,+F670/'A-20'!D$79,0)</f>
        <v>0</v>
      </c>
      <c r="R670" s="768">
        <f ca="1">IF(G670&lt;&gt;0,+G670/'A-20'!E$79,0)</f>
        <v>0</v>
      </c>
      <c r="S670" s="768">
        <f ca="1">IF(H670&lt;&gt;0,+H670/'A-20'!F$79,0)</f>
        <v>0</v>
      </c>
      <c r="T670" s="768">
        <f ca="1">IF(I670&lt;&gt;0,+I670/'A-20'!G$79,0)</f>
        <v>0</v>
      </c>
      <c r="U670" s="768">
        <f ca="1">IF(J670&lt;&gt;0,+J670/'A-20'!H$79,0)</f>
        <v>0</v>
      </c>
      <c r="V670" s="768">
        <f ca="1">IF(K670&lt;&gt;0,+K670/'A-20'!I$79,0)</f>
        <v>0</v>
      </c>
    </row>
    <row r="671" spans="1:22" s="790" customFormat="1">
      <c r="A671" s="5"/>
      <c r="B671" s="249"/>
      <c r="C671" s="425" t="str">
        <v>Total Output Growth</v>
      </c>
      <c r="D671" s="426" t="str">
        <v>Services Other</v>
      </c>
      <c r="E671" s="847">
        <f ca="1"/>
        <v>0</v>
      </c>
      <c r="F671" s="386">
        <f ca="1"/>
        <v>0</v>
      </c>
      <c r="G671" s="383">
        <f ca="1"/>
        <v>3.9362945223382299E-3</v>
      </c>
      <c r="H671" s="383">
        <f ca="1"/>
        <v>7.5836091908599587E-3</v>
      </c>
      <c r="I671" s="383">
        <f ca="1"/>
        <v>1.118893924007497E-2</v>
      </c>
      <c r="J671" s="383">
        <f ca="1"/>
        <v>1.5100432779535402E-2</v>
      </c>
      <c r="K671" s="383">
        <f ca="1"/>
        <v>1.8683390135424065E-2</v>
      </c>
      <c r="P671" s="386"/>
      <c r="Q671" s="768">
        <f ca="1">IF(F671&lt;&gt;0,+F671/'A-20'!D$80,0)</f>
        <v>0</v>
      </c>
      <c r="R671" s="768">
        <f ca="1">IF(G671&lt;&gt;0,+G671/'A-20'!E$80,0)</f>
        <v>0.371</v>
      </c>
      <c r="S671" s="768">
        <f ca="1">IF(H671&lt;&gt;0,+H671/'A-20'!F$80,0)</f>
        <v>0.371</v>
      </c>
      <c r="T671" s="768">
        <f ca="1">IF(I671&lt;&gt;0,+I671/'A-20'!G$80,0)</f>
        <v>0.371</v>
      </c>
      <c r="U671" s="768">
        <f ca="1">IF(J671&lt;&gt;0,+J671/'A-20'!H$80,0)</f>
        <v>0.371</v>
      </c>
      <c r="V671" s="768">
        <f ca="1">IF(K671&lt;&gt;0,+K671/'A-20'!I$80,0)</f>
        <v>0.371</v>
      </c>
    </row>
    <row r="672" spans="1:22" s="790" customFormat="1">
      <c r="A672" s="5"/>
      <c r="B672" s="249"/>
      <c r="C672" s="425" t="str">
        <v>Total Output Growth</v>
      </c>
      <c r="D672" s="426" t="str">
        <v>Business Overheads</v>
      </c>
      <c r="E672" s="847">
        <f ca="1"/>
        <v>0</v>
      </c>
      <c r="F672" s="386">
        <f ca="1"/>
        <v>0</v>
      </c>
      <c r="G672" s="383">
        <f ca="1"/>
        <v>0</v>
      </c>
      <c r="H672" s="383">
        <f ca="1"/>
        <v>0</v>
      </c>
      <c r="I672" s="383">
        <f ca="1"/>
        <v>0</v>
      </c>
      <c r="J672" s="383">
        <f ca="1"/>
        <v>0</v>
      </c>
      <c r="K672" s="383">
        <f ca="1"/>
        <v>0</v>
      </c>
      <c r="P672" s="386"/>
      <c r="Q672" s="768">
        <f ca="1">IF(F672&lt;&gt;0,+F672/'A-20'!D$81,0)</f>
        <v>0</v>
      </c>
      <c r="R672" s="768">
        <f ca="1">IF(G672&lt;&gt;0,+G672/'A-20'!E$81,0)</f>
        <v>0</v>
      </c>
      <c r="S672" s="768">
        <f ca="1">IF(H672&lt;&gt;0,+H672/'A-20'!F$81,0)</f>
        <v>0</v>
      </c>
      <c r="T672" s="768">
        <f ca="1">IF(I672&lt;&gt;0,+I672/'A-20'!G$81,0)</f>
        <v>0</v>
      </c>
      <c r="U672" s="768">
        <f ca="1">IF(J672&lt;&gt;0,+J672/'A-20'!H$81,0)</f>
        <v>0</v>
      </c>
      <c r="V672" s="768">
        <f ca="1">IF(K672&lt;&gt;0,+K672/'A-20'!I$81,0)</f>
        <v>0</v>
      </c>
    </row>
    <row r="673" spans="1:22" s="790" customFormat="1">
      <c r="A673" s="5"/>
      <c r="B673" s="249"/>
      <c r="C673" s="425" t="str">
        <v>Total Output Growth</v>
      </c>
      <c r="D673" s="426" t="str">
        <v>Other</v>
      </c>
      <c r="E673" s="847">
        <f ca="1"/>
        <v>0</v>
      </c>
      <c r="F673" s="386">
        <f ca="1"/>
        <v>0</v>
      </c>
      <c r="G673" s="383">
        <f ca="1"/>
        <v>0</v>
      </c>
      <c r="H673" s="383">
        <f ca="1"/>
        <v>0</v>
      </c>
      <c r="I673" s="383">
        <f ca="1"/>
        <v>0</v>
      </c>
      <c r="J673" s="383">
        <f ca="1"/>
        <v>0</v>
      </c>
      <c r="K673" s="383">
        <f ca="1"/>
        <v>0</v>
      </c>
      <c r="P673" s="386"/>
      <c r="Q673" s="768">
        <f ca="1">IF(F673&lt;&gt;0,+F673/'A-20'!D$82,0)</f>
        <v>0</v>
      </c>
      <c r="R673" s="768">
        <f ca="1">IF(G673&lt;&gt;0,+G673/'A-20'!E$82,0)</f>
        <v>0</v>
      </c>
      <c r="S673" s="768">
        <f ca="1">IF(H673&lt;&gt;0,+H673/'A-20'!F$82,0)</f>
        <v>0</v>
      </c>
      <c r="T673" s="768">
        <f ca="1">IF(I673&lt;&gt;0,+I673/'A-20'!G$82,0)</f>
        <v>0</v>
      </c>
      <c r="U673" s="768">
        <f ca="1">IF(J673&lt;&gt;0,+J673/'A-20'!H$82,0)</f>
        <v>0</v>
      </c>
      <c r="V673" s="768">
        <f ca="1">IF(K673&lt;&gt;0,+K673/'A-20'!I$82,0)</f>
        <v>0</v>
      </c>
    </row>
    <row r="674" spans="1:22">
      <c r="A674" s="5"/>
      <c r="B674" s="249"/>
      <c r="C674" s="424" t="s">
        <v>73</v>
      </c>
      <c r="D674" s="417"/>
      <c r="E674" s="848"/>
      <c r="F674" s="387"/>
      <c r="G674" s="385"/>
      <c r="H674" s="385"/>
      <c r="I674" s="385"/>
      <c r="J674" s="385"/>
      <c r="K674" s="385"/>
      <c r="P674" s="387"/>
      <c r="Q674" s="385"/>
      <c r="R674" s="385"/>
      <c r="S674" s="385"/>
      <c r="T674" s="385"/>
      <c r="U674" s="385"/>
      <c r="V674" s="385"/>
    </row>
    <row r="675" spans="1:22" s="767" customFormat="1">
      <c r="A675" s="5"/>
      <c r="B675" s="249"/>
      <c r="C675" s="425" t="str">
        <f t="array" ref="C675:D680">+'A-20'!$A$113:$B$119</f>
        <v>Labour</v>
      </c>
      <c r="D675" s="426" t="str">
        <v>Labour</v>
      </c>
      <c r="E675" s="847">
        <f t="array" ref="E675:K680" ca="1">+'A-20'!$N$113:$T$119</f>
        <v>0</v>
      </c>
      <c r="F675" s="386">
        <f ca="1"/>
        <v>0</v>
      </c>
      <c r="G675" s="383">
        <f ca="1"/>
        <v>6.4514761225669348E-2</v>
      </c>
      <c r="H675" s="383">
        <f ca="1"/>
        <v>0.13168252138387743</v>
      </c>
      <c r="I675" s="383">
        <f ca="1"/>
        <v>0.20531156346449098</v>
      </c>
      <c r="J675" s="383">
        <f ca="1"/>
        <v>0.28218341744406134</v>
      </c>
      <c r="K675" s="383">
        <f ca="1"/>
        <v>0.36197454671281609</v>
      </c>
      <c r="P675" s="386"/>
      <c r="Q675" s="768">
        <f ca="1">IF(F675&lt;&gt;0,+F675/'A-20'!D$113,0)</f>
        <v>0</v>
      </c>
      <c r="R675" s="768">
        <f ca="1">IF(G675&lt;&gt;0,+G675/'A-20'!E$113,0)</f>
        <v>3.0065646258866745</v>
      </c>
      <c r="S675" s="768">
        <f ca="1">IF(H675&lt;&gt;0,+H675/'A-20'!F$113,0)</f>
        <v>3.0358119604927452</v>
      </c>
      <c r="T675" s="768">
        <f ca="1">IF(I675&lt;&gt;0,+I675/'A-20'!G$113,0)</f>
        <v>3.0647226259817333</v>
      </c>
      <c r="U675" s="768">
        <f ca="1">IF(J675&lt;&gt;0,+J675/'A-20'!H$113,0)</f>
        <v>3.0960883760623128</v>
      </c>
      <c r="V675" s="768">
        <f ca="1">IF(K675&lt;&gt;0,+K675/'A-20'!I$113,0)</f>
        <v>3.1248196378784008</v>
      </c>
    </row>
    <row r="676" spans="1:22" s="767" customFormat="1">
      <c r="A676" s="5"/>
      <c r="B676" s="249"/>
      <c r="C676" s="425" t="str">
        <v>Materials</v>
      </c>
      <c r="D676" s="426" t="str">
        <v>Materials</v>
      </c>
      <c r="E676" s="847">
        <f ca="1"/>
        <v>0</v>
      </c>
      <c r="F676" s="386">
        <f ca="1"/>
        <v>0</v>
      </c>
      <c r="G676" s="383">
        <f ca="1"/>
        <v>0</v>
      </c>
      <c r="H676" s="383">
        <f ca="1"/>
        <v>0</v>
      </c>
      <c r="I676" s="383">
        <f ca="1"/>
        <v>0</v>
      </c>
      <c r="J676" s="383">
        <f ca="1"/>
        <v>0</v>
      </c>
      <c r="K676" s="383">
        <f ca="1"/>
        <v>0</v>
      </c>
      <c r="P676" s="386"/>
      <c r="Q676" s="768">
        <f ca="1">IF(F676&lt;&gt;0,+F676/'A-20'!D$114,0)</f>
        <v>0</v>
      </c>
      <c r="R676" s="768">
        <f ca="1">IF(G676&lt;&gt;0,+G676/'A-20'!E$114,0)</f>
        <v>0</v>
      </c>
      <c r="S676" s="768">
        <f ca="1">IF(H676&lt;&gt;0,+H676/'A-20'!F$114,0)</f>
        <v>0</v>
      </c>
      <c r="T676" s="768">
        <f ca="1">IF(I676&lt;&gt;0,+I676/'A-20'!G$114,0)</f>
        <v>0</v>
      </c>
      <c r="U676" s="768">
        <f ca="1">IF(J676&lt;&gt;0,+J676/'A-20'!H$114,0)</f>
        <v>0</v>
      </c>
      <c r="V676" s="768">
        <f ca="1">IF(K676&lt;&gt;0,+K676/'A-20'!I$114,0)</f>
        <v>0</v>
      </c>
    </row>
    <row r="677" spans="1:22" s="767" customFormat="1">
      <c r="A677" s="5"/>
      <c r="B677" s="249"/>
      <c r="C677" s="425" t="str">
        <v>Services-construction</v>
      </c>
      <c r="D677" s="426" t="str">
        <v>Contracts</v>
      </c>
      <c r="E677" s="847">
        <f ca="1"/>
        <v>0</v>
      </c>
      <c r="F677" s="386">
        <f ca="1"/>
        <v>0</v>
      </c>
      <c r="G677" s="383">
        <f ca="1"/>
        <v>0</v>
      </c>
      <c r="H677" s="383">
        <f ca="1"/>
        <v>0</v>
      </c>
      <c r="I677" s="383">
        <f ca="1"/>
        <v>0</v>
      </c>
      <c r="J677" s="383">
        <f ca="1"/>
        <v>0</v>
      </c>
      <c r="K677" s="383">
        <f ca="1"/>
        <v>0</v>
      </c>
      <c r="P677" s="386"/>
      <c r="Q677" s="768">
        <f ca="1">IF(F677&lt;&gt;0,+F677/'A-20'!D$115,0)</f>
        <v>0</v>
      </c>
      <c r="R677" s="768">
        <f ca="1">IF(G677&lt;&gt;0,+G677/'A-20'!E$115,0)</f>
        <v>0</v>
      </c>
      <c r="S677" s="768">
        <f ca="1">IF(H677&lt;&gt;0,+H677/'A-20'!F$115,0)</f>
        <v>0</v>
      </c>
      <c r="T677" s="768">
        <f ca="1">IF(I677&lt;&gt;0,+I677/'A-20'!G$115,0)</f>
        <v>0</v>
      </c>
      <c r="U677" s="768">
        <f ca="1">IF(J677&lt;&gt;0,+J677/'A-20'!H$115,0)</f>
        <v>0</v>
      </c>
      <c r="V677" s="768">
        <f ca="1">IF(K677&lt;&gt;0,+K677/'A-20'!I$115,0)</f>
        <v>0</v>
      </c>
    </row>
    <row r="678" spans="1:22" s="767" customFormat="1">
      <c r="A678" s="5"/>
      <c r="B678" s="249"/>
      <c r="C678" s="425" t="str">
        <v>Services-general</v>
      </c>
      <c r="D678" s="426" t="str">
        <v>Services Other</v>
      </c>
      <c r="E678" s="847">
        <f ca="1"/>
        <v>0</v>
      </c>
      <c r="F678" s="386">
        <f ca="1"/>
        <v>0</v>
      </c>
      <c r="G678" s="383">
        <f ca="1"/>
        <v>1.8746814726116512E-3</v>
      </c>
      <c r="H678" s="383">
        <f ca="1"/>
        <v>3.7953006821382688E-3</v>
      </c>
      <c r="I678" s="383">
        <f ca="1"/>
        <v>7.3056275660851764E-3</v>
      </c>
      <c r="J678" s="383">
        <f ca="1"/>
        <v>1.1511945354137517E-2</v>
      </c>
      <c r="K678" s="383">
        <f ca="1"/>
        <v>1.6635051636184565E-2</v>
      </c>
      <c r="P678" s="386"/>
      <c r="Q678" s="768">
        <f ca="1">IF(F678&lt;&gt;0,+F678/'A-20'!D$116,0)</f>
        <v>0</v>
      </c>
      <c r="R678" s="768">
        <f ca="1">IF(G678&lt;&gt;0,+G678/'A-20'!E$116,0)</f>
        <v>0.37493629452233823</v>
      </c>
      <c r="S678" s="768">
        <f ca="1">IF(H678&lt;&gt;0,+H678/'A-20'!F$116,0)</f>
        <v>0.37858360919085998</v>
      </c>
      <c r="T678" s="768">
        <f ca="1">IF(I678&lt;&gt;0,+I678/'A-20'!G$116,0)</f>
        <v>0.38218893924007497</v>
      </c>
      <c r="U678" s="768">
        <f ca="1">IF(J678&lt;&gt;0,+J678/'A-20'!H$116,0)</f>
        <v>0.38610043277953537</v>
      </c>
      <c r="V678" s="768">
        <f ca="1">IF(K678&lt;&gt;0,+K678/'A-20'!I$116,0)</f>
        <v>0.38968339013542408</v>
      </c>
    </row>
    <row r="679" spans="1:22" s="767" customFormat="1">
      <c r="A679" s="5"/>
      <c r="B679" s="249"/>
      <c r="C679" s="425" t="str">
        <v>Labour</v>
      </c>
      <c r="D679" s="426" t="str">
        <v>Business Overheads</v>
      </c>
      <c r="E679" s="847">
        <f ca="1"/>
        <v>0</v>
      </c>
      <c r="F679" s="386">
        <f ca="1"/>
        <v>0</v>
      </c>
      <c r="G679" s="383">
        <f ca="1"/>
        <v>0</v>
      </c>
      <c r="H679" s="383">
        <f ca="1"/>
        <v>0</v>
      </c>
      <c r="I679" s="383">
        <f ca="1"/>
        <v>0</v>
      </c>
      <c r="J679" s="383">
        <f ca="1"/>
        <v>0</v>
      </c>
      <c r="K679" s="383">
        <f ca="1"/>
        <v>0</v>
      </c>
      <c r="P679" s="386"/>
      <c r="Q679" s="768">
        <f ca="1">IF(F679&lt;&gt;0,+F679/'A-20'!D$117,0)</f>
        <v>0</v>
      </c>
      <c r="R679" s="768">
        <f ca="1">IF(G679&lt;&gt;0,+G679/'A-20'!E$117,0)</f>
        <v>0</v>
      </c>
      <c r="S679" s="768">
        <f ca="1">IF(H679&lt;&gt;0,+H679/'A-20'!F$117,0)</f>
        <v>0</v>
      </c>
      <c r="T679" s="768">
        <f ca="1">IF(I679&lt;&gt;0,+I679/'A-20'!G$117,0)</f>
        <v>0</v>
      </c>
      <c r="U679" s="768">
        <f ca="1">IF(J679&lt;&gt;0,+J679/'A-20'!H$117,0)</f>
        <v>0</v>
      </c>
      <c r="V679" s="768">
        <f ca="1">IF(K679&lt;&gt;0,+K679/'A-20'!I$117,0)</f>
        <v>0</v>
      </c>
    </row>
    <row r="680" spans="1:22" s="767" customFormat="1">
      <c r="A680" s="5"/>
      <c r="B680" s="249"/>
      <c r="C680" s="425" t="str">
        <v>Materials - Land</v>
      </c>
      <c r="D680" s="426" t="str">
        <v>Other</v>
      </c>
      <c r="E680" s="847">
        <f ca="1"/>
        <v>0</v>
      </c>
      <c r="F680" s="386">
        <f ca="1"/>
        <v>0</v>
      </c>
      <c r="G680" s="383">
        <f ca="1"/>
        <v>0</v>
      </c>
      <c r="H680" s="383">
        <f ca="1"/>
        <v>0</v>
      </c>
      <c r="I680" s="383">
        <f ca="1"/>
        <v>0</v>
      </c>
      <c r="J680" s="383">
        <f ca="1"/>
        <v>0</v>
      </c>
      <c r="K680" s="383">
        <f ca="1"/>
        <v>0</v>
      </c>
      <c r="P680" s="386"/>
      <c r="Q680" s="768">
        <f ca="1">IF(F680&lt;&gt;0,+F680/'A-20'!D$118,0)</f>
        <v>0</v>
      </c>
      <c r="R680" s="768">
        <f ca="1">IF(G680&lt;&gt;0,+G680/'A-20'!E$118,0)</f>
        <v>0</v>
      </c>
      <c r="S680" s="768">
        <f ca="1">IF(H680&lt;&gt;0,+H680/'A-20'!F$118,0)</f>
        <v>0</v>
      </c>
      <c r="T680" s="768">
        <f ca="1">IF(I680&lt;&gt;0,+I680/'A-20'!G$118,0)</f>
        <v>0</v>
      </c>
      <c r="U680" s="768">
        <f ca="1">IF(J680&lt;&gt;0,+J680/'A-20'!H$118,0)</f>
        <v>0</v>
      </c>
      <c r="V680" s="768">
        <f ca="1">IF(K680&lt;&gt;0,+K680/'A-20'!I$118,0)</f>
        <v>0</v>
      </c>
    </row>
    <row r="681" spans="1:22">
      <c r="A681" s="5"/>
      <c r="B681" s="249" t="str">
        <f ca="1">+'I-4 History'!B408</f>
        <v>A-21</v>
      </c>
      <c r="C681" s="14" t="str">
        <f ca="1">+'I-4 History'!C408</f>
        <v>Apprentice Training</v>
      </c>
      <c r="D681" s="418"/>
      <c r="E681" s="507"/>
      <c r="F681" s="11"/>
      <c r="G681" s="11"/>
      <c r="H681" s="11"/>
      <c r="I681" s="11"/>
      <c r="J681" s="11"/>
      <c r="K681" s="11"/>
      <c r="P681" s="11"/>
      <c r="Q681" s="11"/>
      <c r="R681" s="11"/>
      <c r="S681" s="11"/>
      <c r="T681" s="11"/>
      <c r="U681" s="11"/>
      <c r="V681" s="11"/>
    </row>
    <row r="682" spans="1:22">
      <c r="A682" s="5"/>
      <c r="B682" s="249"/>
      <c r="C682" s="424" t="s">
        <v>74</v>
      </c>
      <c r="D682" s="416"/>
      <c r="E682" s="507"/>
      <c r="F682" s="11"/>
      <c r="G682" s="11"/>
      <c r="H682" s="11"/>
      <c r="I682" s="11"/>
      <c r="J682" s="11"/>
      <c r="K682" s="11"/>
      <c r="P682" s="11"/>
      <c r="Q682" s="11"/>
      <c r="R682" s="11"/>
      <c r="S682" s="11"/>
      <c r="T682" s="11"/>
      <c r="U682" s="11"/>
      <c r="V682" s="11"/>
    </row>
    <row r="683" spans="1:22">
      <c r="A683" s="5"/>
      <c r="B683" s="249"/>
      <c r="C683" s="425" t="str">
        <f t="array" ref="C683:D688">+'A-21'!$A$77:$B$82</f>
        <v>Total Output Growth</v>
      </c>
      <c r="D683" s="426" t="str">
        <v>Labour</v>
      </c>
      <c r="E683" s="847">
        <f t="array" ref="E683:K688" ca="1">+'A-21'!$N$77:$T$82</f>
        <v>0</v>
      </c>
      <c r="F683" s="386">
        <f ca="1"/>
        <v>0</v>
      </c>
      <c r="G683" s="383">
        <f ca="1"/>
        <v>1.4853941593729171E-4</v>
      </c>
      <c r="H683" s="383">
        <f ca="1"/>
        <v>2.8617393173056447E-4</v>
      </c>
      <c r="I683" s="383">
        <f ca="1"/>
        <v>4.2222412226698003E-4</v>
      </c>
      <c r="J683" s="383">
        <f ca="1"/>
        <v>5.6982765205793972E-4</v>
      </c>
      <c r="K683" s="383">
        <f ca="1"/>
        <v>7.0503359001600251E-4</v>
      </c>
      <c r="L683" s="790"/>
      <c r="M683" s="790"/>
      <c r="N683" s="790"/>
      <c r="O683" s="790"/>
      <c r="P683" s="386"/>
      <c r="Q683" s="768">
        <f ca="1">IF(F683&lt;&gt;0,+F683/'A-21'!D$77,0)</f>
        <v>0</v>
      </c>
      <c r="R683" s="768">
        <f ca="1">IF(G683&lt;&gt;0,+G683/'A-21'!E$77,0)</f>
        <v>1.4000000000000002E-2</v>
      </c>
      <c r="S683" s="768">
        <f ca="1">IF(H683&lt;&gt;0,+H683/'A-21'!F$77,0)</f>
        <v>1.3999999999999999E-2</v>
      </c>
      <c r="T683" s="768">
        <f ca="1">IF(I683&lt;&gt;0,+I683/'A-21'!G$77,0)</f>
        <v>1.4E-2</v>
      </c>
      <c r="U683" s="768">
        <f ca="1">IF(J683&lt;&gt;0,+J683/'A-21'!H$77,0)</f>
        <v>1.4E-2</v>
      </c>
      <c r="V683" s="768">
        <f ca="1">IF(K683&lt;&gt;0,+K683/'A-21'!I$77,0)</f>
        <v>1.4E-2</v>
      </c>
    </row>
    <row r="684" spans="1:22">
      <c r="A684" s="5"/>
      <c r="B684" s="249"/>
      <c r="C684" s="425" t="str">
        <v>Total Output Growth</v>
      </c>
      <c r="D684" s="426" t="str">
        <v>Materials</v>
      </c>
      <c r="E684" s="847">
        <f ca="1"/>
        <v>0</v>
      </c>
      <c r="F684" s="386">
        <f ca="1"/>
        <v>0</v>
      </c>
      <c r="G684" s="383">
        <f ca="1"/>
        <v>1.0609958281235122E-5</v>
      </c>
      <c r="H684" s="383">
        <f ca="1"/>
        <v>2.0440995123611749E-5</v>
      </c>
      <c r="I684" s="383">
        <f ca="1"/>
        <v>3.0158865876212861E-5</v>
      </c>
      <c r="J684" s="383">
        <f ca="1"/>
        <v>4.0701975146995693E-5</v>
      </c>
      <c r="K684" s="383">
        <f ca="1"/>
        <v>5.0359542144000181E-5</v>
      </c>
      <c r="L684" s="790"/>
      <c r="M684" s="790"/>
      <c r="N684" s="790"/>
      <c r="O684" s="790"/>
      <c r="P684" s="386"/>
      <c r="Q684" s="768">
        <f ca="1">IF(F684&lt;&gt;0,+F684/'A-21'!D$78,0)</f>
        <v>0</v>
      </c>
      <c r="R684" s="768">
        <f ca="1">IF(G684&lt;&gt;0,+G684/'A-21'!E$78,0)</f>
        <v>1E-3</v>
      </c>
      <c r="S684" s="768">
        <f ca="1">IF(H684&lt;&gt;0,+H684/'A-21'!F$78,0)</f>
        <v>1E-3</v>
      </c>
      <c r="T684" s="768">
        <f ca="1">IF(I684&lt;&gt;0,+I684/'A-21'!G$78,0)</f>
        <v>1E-3</v>
      </c>
      <c r="U684" s="768">
        <f ca="1">IF(J684&lt;&gt;0,+J684/'A-21'!H$78,0)</f>
        <v>1E-3</v>
      </c>
      <c r="V684" s="768">
        <f ca="1">IF(K684&lt;&gt;0,+K684/'A-21'!I$78,0)</f>
        <v>1E-3</v>
      </c>
    </row>
    <row r="685" spans="1:22">
      <c r="A685" s="5"/>
      <c r="B685" s="249"/>
      <c r="C685" s="425" t="str">
        <v>Total Output Growth</v>
      </c>
      <c r="D685" s="426" t="str">
        <v>Contracts</v>
      </c>
      <c r="E685" s="847">
        <f ca="1"/>
        <v>0</v>
      </c>
      <c r="F685" s="386">
        <f ca="1"/>
        <v>0</v>
      </c>
      <c r="G685" s="383">
        <f ca="1"/>
        <v>2.1219916562470244E-5</v>
      </c>
      <c r="H685" s="383">
        <f ca="1"/>
        <v>4.0881990247223498E-5</v>
      </c>
      <c r="I685" s="383">
        <f ca="1"/>
        <v>6.0317731752425721E-5</v>
      </c>
      <c r="J685" s="383">
        <f ca="1"/>
        <v>8.1403950293991385E-5</v>
      </c>
      <c r="K685" s="383">
        <f ca="1"/>
        <v>1.0071908428800036E-4</v>
      </c>
      <c r="L685" s="790"/>
      <c r="M685" s="790"/>
      <c r="N685" s="790"/>
      <c r="O685" s="790"/>
      <c r="P685" s="386"/>
      <c r="Q685" s="768">
        <f ca="1">IF(F685&lt;&gt;0,+F685/'A-21'!D$79,0)</f>
        <v>0</v>
      </c>
      <c r="R685" s="768">
        <f ca="1">IF(G685&lt;&gt;0,+G685/'A-21'!E$79,0)</f>
        <v>2E-3</v>
      </c>
      <c r="S685" s="768">
        <f ca="1">IF(H685&lt;&gt;0,+H685/'A-21'!F$79,0)</f>
        <v>2E-3</v>
      </c>
      <c r="T685" s="768">
        <f ca="1">IF(I685&lt;&gt;0,+I685/'A-21'!G$79,0)</f>
        <v>2E-3</v>
      </c>
      <c r="U685" s="768">
        <f ca="1">IF(J685&lt;&gt;0,+J685/'A-21'!H$79,0)</f>
        <v>2E-3</v>
      </c>
      <c r="V685" s="768">
        <f ca="1">IF(K685&lt;&gt;0,+K685/'A-21'!I$79,0)</f>
        <v>2E-3</v>
      </c>
    </row>
    <row r="686" spans="1:22" s="790" customFormat="1">
      <c r="A686" s="5"/>
      <c r="B686" s="249"/>
      <c r="C686" s="425" t="str">
        <v>Total Output Growth</v>
      </c>
      <c r="D686" s="426" t="str">
        <v>Services Other</v>
      </c>
      <c r="E686" s="847">
        <f ca="1"/>
        <v>0</v>
      </c>
      <c r="F686" s="386">
        <f ca="1"/>
        <v>0</v>
      </c>
      <c r="G686" s="383">
        <f ca="1"/>
        <v>0</v>
      </c>
      <c r="H686" s="383">
        <f ca="1"/>
        <v>0</v>
      </c>
      <c r="I686" s="383">
        <f ca="1"/>
        <v>0</v>
      </c>
      <c r="J686" s="383">
        <f ca="1"/>
        <v>0</v>
      </c>
      <c r="K686" s="383">
        <f ca="1"/>
        <v>0</v>
      </c>
      <c r="P686" s="386"/>
      <c r="Q686" s="768">
        <f ca="1">IF(F686&lt;&gt;0,+F686/'A-21'!D$80,0)</f>
        <v>0</v>
      </c>
      <c r="R686" s="768">
        <f ca="1">IF(G686&lt;&gt;0,+G686/'A-21'!E$80,0)</f>
        <v>0</v>
      </c>
      <c r="S686" s="768">
        <f ca="1">IF(H686&lt;&gt;0,+H686/'A-21'!F$80,0)</f>
        <v>0</v>
      </c>
      <c r="T686" s="768">
        <f ca="1">IF(I686&lt;&gt;0,+I686/'A-21'!G$80,0)</f>
        <v>0</v>
      </c>
      <c r="U686" s="768">
        <f ca="1">IF(J686&lt;&gt;0,+J686/'A-21'!H$80,0)</f>
        <v>0</v>
      </c>
      <c r="V686" s="768">
        <f ca="1">IF(K686&lt;&gt;0,+K686/'A-21'!I$80,0)</f>
        <v>0</v>
      </c>
    </row>
    <row r="687" spans="1:22" s="790" customFormat="1">
      <c r="A687" s="5"/>
      <c r="B687" s="249"/>
      <c r="C687" s="425" t="str">
        <v>Total Output Growth</v>
      </c>
      <c r="D687" s="426" t="str">
        <v>Business Overheads</v>
      </c>
      <c r="E687" s="847">
        <f ca="1"/>
        <v>0</v>
      </c>
      <c r="F687" s="386">
        <f ca="1"/>
        <v>0</v>
      </c>
      <c r="G687" s="383">
        <f ca="1"/>
        <v>0</v>
      </c>
      <c r="H687" s="383">
        <f ca="1"/>
        <v>0</v>
      </c>
      <c r="I687" s="383">
        <f ca="1"/>
        <v>0</v>
      </c>
      <c r="J687" s="383">
        <f ca="1"/>
        <v>0</v>
      </c>
      <c r="K687" s="383">
        <f ca="1"/>
        <v>0</v>
      </c>
      <c r="P687" s="386"/>
      <c r="Q687" s="768">
        <f ca="1">IF(F687&lt;&gt;0,+F687/'A-21'!D$81,0)</f>
        <v>0</v>
      </c>
      <c r="R687" s="768">
        <f ca="1">IF(G687&lt;&gt;0,+G687/'A-21'!E$81,0)</f>
        <v>0</v>
      </c>
      <c r="S687" s="768">
        <f ca="1">IF(H687&lt;&gt;0,+H687/'A-21'!F$81,0)</f>
        <v>0</v>
      </c>
      <c r="T687" s="768">
        <f ca="1">IF(I687&lt;&gt;0,+I687/'A-21'!G$81,0)</f>
        <v>0</v>
      </c>
      <c r="U687" s="768">
        <f ca="1">IF(J687&lt;&gt;0,+J687/'A-21'!H$81,0)</f>
        <v>0</v>
      </c>
      <c r="V687" s="768">
        <f ca="1">IF(K687&lt;&gt;0,+K687/'A-21'!I$81,0)</f>
        <v>0</v>
      </c>
    </row>
    <row r="688" spans="1:22" s="790" customFormat="1">
      <c r="A688" s="5"/>
      <c r="B688" s="249"/>
      <c r="C688" s="425" t="str">
        <v>Total Output Growth</v>
      </c>
      <c r="D688" s="426" t="str">
        <v>Other</v>
      </c>
      <c r="E688" s="847">
        <f ca="1"/>
        <v>0</v>
      </c>
      <c r="F688" s="386">
        <f ca="1"/>
        <v>0</v>
      </c>
      <c r="G688" s="383">
        <f ca="1"/>
        <v>0</v>
      </c>
      <c r="H688" s="383">
        <f ca="1"/>
        <v>0</v>
      </c>
      <c r="I688" s="383">
        <f ca="1"/>
        <v>0</v>
      </c>
      <c r="J688" s="383">
        <f ca="1"/>
        <v>0</v>
      </c>
      <c r="K688" s="383">
        <f ca="1"/>
        <v>0</v>
      </c>
      <c r="P688" s="386"/>
      <c r="Q688" s="768">
        <f ca="1">IF(F688&lt;&gt;0,+F688/'A-21'!D$82,0)</f>
        <v>0</v>
      </c>
      <c r="R688" s="768">
        <f ca="1">IF(G688&lt;&gt;0,+G688/'A-21'!E$82,0)</f>
        <v>0</v>
      </c>
      <c r="S688" s="768">
        <f ca="1">IF(H688&lt;&gt;0,+H688/'A-21'!F$82,0)</f>
        <v>0</v>
      </c>
      <c r="T688" s="768">
        <f ca="1">IF(I688&lt;&gt;0,+I688/'A-21'!G$82,0)</f>
        <v>0</v>
      </c>
      <c r="U688" s="768">
        <f ca="1">IF(J688&lt;&gt;0,+J688/'A-21'!H$82,0)</f>
        <v>0</v>
      </c>
      <c r="V688" s="768">
        <f ca="1">IF(K688&lt;&gt;0,+K688/'A-21'!I$82,0)</f>
        <v>0</v>
      </c>
    </row>
    <row r="689" spans="1:22">
      <c r="A689" s="5"/>
      <c r="B689" s="249"/>
      <c r="C689" s="424" t="s">
        <v>73</v>
      </c>
      <c r="D689" s="417"/>
      <c r="E689" s="848"/>
      <c r="F689" s="387"/>
      <c r="G689" s="385"/>
      <c r="H689" s="385"/>
      <c r="I689" s="385"/>
      <c r="J689" s="385"/>
      <c r="K689" s="385"/>
      <c r="P689" s="387"/>
      <c r="Q689" s="385"/>
      <c r="R689" s="385"/>
      <c r="S689" s="385"/>
      <c r="T689" s="385"/>
      <c r="U689" s="385"/>
      <c r="V689" s="385"/>
    </row>
    <row r="690" spans="1:22" s="767" customFormat="1">
      <c r="A690" s="5"/>
      <c r="B690" s="249"/>
      <c r="C690" s="425" t="str">
        <f t="array" ref="C690:D695">+'A-21'!$A$113:$B$119</f>
        <v>Labour</v>
      </c>
      <c r="D690" s="426" t="str">
        <v>Labour</v>
      </c>
      <c r="E690" s="847">
        <f t="array" ref="E690:K695" ca="1">+'A-21'!$N$113:$T$119</f>
        <v>0</v>
      </c>
      <c r="F690" s="386">
        <f ca="1"/>
        <v>0</v>
      </c>
      <c r="G690" s="383">
        <f ca="1"/>
        <v>3.0359887635609108E-4</v>
      </c>
      <c r="H690" s="383">
        <f ca="1"/>
        <v>6.1968245357118786E-4</v>
      </c>
      <c r="I690" s="383">
        <f ca="1"/>
        <v>9.6617206336231047E-4</v>
      </c>
      <c r="J690" s="383">
        <f ca="1"/>
        <v>1.3279219644426413E-3</v>
      </c>
      <c r="K690" s="383">
        <f ca="1"/>
        <v>1.7034096315897227E-3</v>
      </c>
      <c r="P690" s="386"/>
      <c r="Q690" s="768">
        <f ca="1">IF(F690&lt;&gt;0,+F690/'A-21'!D$113,0)</f>
        <v>0</v>
      </c>
      <c r="R690" s="768">
        <f ca="1">IF(G690&lt;&gt;0,+G690/'A-21'!E$113,0)</f>
        <v>1.4148539415937293E-2</v>
      </c>
      <c r="S690" s="768">
        <f ca="1">IF(H690&lt;&gt;0,+H690/'A-21'!F$113,0)</f>
        <v>1.4286173931730565E-2</v>
      </c>
      <c r="T690" s="768">
        <f ca="1">IF(I690&lt;&gt;0,+I690/'A-21'!G$113,0)</f>
        <v>1.442222412226698E-2</v>
      </c>
      <c r="U690" s="768">
        <f ca="1">IF(J690&lt;&gt;0,+J690/'A-21'!H$113,0)</f>
        <v>1.4569827652057939E-2</v>
      </c>
      <c r="V690" s="768">
        <f ca="1">IF(K690&lt;&gt;0,+K690/'A-21'!I$113,0)</f>
        <v>1.4705033590016002E-2</v>
      </c>
    </row>
    <row r="691" spans="1:22" s="767" customFormat="1">
      <c r="A691" s="5"/>
      <c r="B691" s="249"/>
      <c r="C691" s="425" t="str">
        <v>Materials</v>
      </c>
      <c r="D691" s="426" t="str">
        <v>Materials</v>
      </c>
      <c r="E691" s="847">
        <f ca="1"/>
        <v>0</v>
      </c>
      <c r="F691" s="386">
        <f ca="1"/>
        <v>0</v>
      </c>
      <c r="G691" s="383">
        <f ca="1"/>
        <v>0</v>
      </c>
      <c r="H691" s="383">
        <f ca="1"/>
        <v>0</v>
      </c>
      <c r="I691" s="383">
        <f ca="1"/>
        <v>0</v>
      </c>
      <c r="J691" s="383">
        <f ca="1"/>
        <v>0</v>
      </c>
      <c r="K691" s="383">
        <f ca="1"/>
        <v>0</v>
      </c>
      <c r="P691" s="386"/>
      <c r="Q691" s="768">
        <f ca="1">IF(F691&lt;&gt;0,+F691/'A-21'!D$114,0)</f>
        <v>0</v>
      </c>
      <c r="R691" s="768">
        <f ca="1">IF(G691&lt;&gt;0,+G691/'A-21'!E$114,0)</f>
        <v>0</v>
      </c>
      <c r="S691" s="768">
        <f ca="1">IF(H691&lt;&gt;0,+H691/'A-21'!F$114,0)</f>
        <v>0</v>
      </c>
      <c r="T691" s="768">
        <f ca="1">IF(I691&lt;&gt;0,+I691/'A-21'!G$114,0)</f>
        <v>0</v>
      </c>
      <c r="U691" s="768">
        <f ca="1">IF(J691&lt;&gt;0,+J691/'A-21'!H$114,0)</f>
        <v>0</v>
      </c>
      <c r="V691" s="768">
        <f ca="1">IF(K691&lt;&gt;0,+K691/'A-21'!I$114,0)</f>
        <v>0</v>
      </c>
    </row>
    <row r="692" spans="1:22" s="767" customFormat="1">
      <c r="A692" s="5"/>
      <c r="B692" s="249"/>
      <c r="C692" s="425" t="str">
        <v>Services-construction</v>
      </c>
      <c r="D692" s="426" t="str">
        <v>Contracts</v>
      </c>
      <c r="E692" s="847">
        <f ca="1"/>
        <v>0</v>
      </c>
      <c r="F692" s="386">
        <f ca="1"/>
        <v>0</v>
      </c>
      <c r="G692" s="383">
        <f ca="1"/>
        <v>1.0106099582812136E-5</v>
      </c>
      <c r="H692" s="383">
        <f ca="1"/>
        <v>2.0459841952227862E-5</v>
      </c>
      <c r="I692" s="383">
        <f ca="1"/>
        <v>3.9383437013936261E-5</v>
      </c>
      <c r="J692" s="383">
        <f ca="1"/>
        <v>6.2059004604514913E-5</v>
      </c>
      <c r="K692" s="383">
        <f ca="1"/>
        <v>8.9676828227410049E-5</v>
      </c>
      <c r="P692" s="386"/>
      <c r="Q692" s="768">
        <f ca="1">IF(F692&lt;&gt;0,+F692/'A-21'!D$115,0)</f>
        <v>0</v>
      </c>
      <c r="R692" s="768">
        <f ca="1">IF(G692&lt;&gt;0,+G692/'A-21'!E$115,0)</f>
        <v>2.0212199165624703E-3</v>
      </c>
      <c r="S692" s="768">
        <f ca="1">IF(H692&lt;&gt;0,+H692/'A-21'!F$115,0)</f>
        <v>2.0408819902472237E-3</v>
      </c>
      <c r="T692" s="768">
        <f ca="1">IF(I692&lt;&gt;0,+I692/'A-21'!G$115,0)</f>
        <v>2.0603177317524259E-3</v>
      </c>
      <c r="U692" s="768">
        <f ca="1">IF(J692&lt;&gt;0,+J692/'A-21'!H$115,0)</f>
        <v>2.081403950293991E-3</v>
      </c>
      <c r="V692" s="768">
        <f ca="1">IF(K692&lt;&gt;0,+K692/'A-21'!I$115,0)</f>
        <v>2.1007190842880002E-3</v>
      </c>
    </row>
    <row r="693" spans="1:22" s="767" customFormat="1">
      <c r="A693" s="5"/>
      <c r="B693" s="249"/>
      <c r="C693" s="425" t="str">
        <v>Services-general</v>
      </c>
      <c r="D693" s="426" t="str">
        <v>Services Other</v>
      </c>
      <c r="E693" s="847">
        <f ca="1"/>
        <v>0</v>
      </c>
      <c r="F693" s="386">
        <f ca="1"/>
        <v>0</v>
      </c>
      <c r="G693" s="383">
        <f ca="1"/>
        <v>0</v>
      </c>
      <c r="H693" s="383">
        <f ca="1"/>
        <v>0</v>
      </c>
      <c r="I693" s="383">
        <f ca="1"/>
        <v>0</v>
      </c>
      <c r="J693" s="383">
        <f ca="1"/>
        <v>0</v>
      </c>
      <c r="K693" s="383">
        <f ca="1"/>
        <v>0</v>
      </c>
      <c r="P693" s="386"/>
      <c r="Q693" s="768">
        <f ca="1">IF(F693&lt;&gt;0,+F693/'A-21'!D$116,0)</f>
        <v>0</v>
      </c>
      <c r="R693" s="768">
        <f ca="1">IF(G693&lt;&gt;0,+G693/'A-21'!E$116,0)</f>
        <v>0</v>
      </c>
      <c r="S693" s="768">
        <f ca="1">IF(H693&lt;&gt;0,+H693/'A-21'!F$116,0)</f>
        <v>0</v>
      </c>
      <c r="T693" s="768">
        <f ca="1">IF(I693&lt;&gt;0,+I693/'A-21'!G$116,0)</f>
        <v>0</v>
      </c>
      <c r="U693" s="768">
        <f ca="1">IF(J693&lt;&gt;0,+J693/'A-21'!H$116,0)</f>
        <v>0</v>
      </c>
      <c r="V693" s="768">
        <f ca="1">IF(K693&lt;&gt;0,+K693/'A-21'!I$116,0)</f>
        <v>0</v>
      </c>
    </row>
    <row r="694" spans="1:22" s="767" customFormat="1">
      <c r="A694" s="5"/>
      <c r="B694" s="249"/>
      <c r="C694" s="425" t="str">
        <v>Labour</v>
      </c>
      <c r="D694" s="426" t="str">
        <v>Business Overheads</v>
      </c>
      <c r="E694" s="847">
        <f ca="1"/>
        <v>0</v>
      </c>
      <c r="F694" s="386">
        <f ca="1"/>
        <v>0</v>
      </c>
      <c r="G694" s="383">
        <f ca="1"/>
        <v>0</v>
      </c>
      <c r="H694" s="383">
        <f ca="1"/>
        <v>0</v>
      </c>
      <c r="I694" s="383">
        <f ca="1"/>
        <v>0</v>
      </c>
      <c r="J694" s="383">
        <f ca="1"/>
        <v>0</v>
      </c>
      <c r="K694" s="383">
        <f ca="1"/>
        <v>0</v>
      </c>
      <c r="P694" s="386"/>
      <c r="Q694" s="768">
        <f ca="1">IF(F694&lt;&gt;0,+F694/'A-21'!D$117,0)</f>
        <v>0</v>
      </c>
      <c r="R694" s="768">
        <f ca="1">IF(G694&lt;&gt;0,+G694/'A-21'!E$117,0)</f>
        <v>0</v>
      </c>
      <c r="S694" s="768">
        <f ca="1">IF(H694&lt;&gt;0,+H694/'A-21'!F$117,0)</f>
        <v>0</v>
      </c>
      <c r="T694" s="768">
        <f ca="1">IF(I694&lt;&gt;0,+I694/'A-21'!G$117,0)</f>
        <v>0</v>
      </c>
      <c r="U694" s="768">
        <f ca="1">IF(J694&lt;&gt;0,+J694/'A-21'!H$117,0)</f>
        <v>0</v>
      </c>
      <c r="V694" s="768">
        <f ca="1">IF(K694&lt;&gt;0,+K694/'A-21'!I$117,0)</f>
        <v>0</v>
      </c>
    </row>
    <row r="695" spans="1:22" s="767" customFormat="1">
      <c r="A695" s="5"/>
      <c r="B695" s="249"/>
      <c r="C695" s="425" t="str">
        <v>Materials - Land</v>
      </c>
      <c r="D695" s="426" t="str">
        <v>Other</v>
      </c>
      <c r="E695" s="847">
        <f ca="1"/>
        <v>0</v>
      </c>
      <c r="F695" s="386">
        <f ca="1"/>
        <v>0</v>
      </c>
      <c r="G695" s="383">
        <f ca="1"/>
        <v>0</v>
      </c>
      <c r="H695" s="383">
        <f ca="1"/>
        <v>0</v>
      </c>
      <c r="I695" s="383">
        <f ca="1"/>
        <v>0</v>
      </c>
      <c r="J695" s="383">
        <f ca="1"/>
        <v>0</v>
      </c>
      <c r="K695" s="383">
        <f ca="1"/>
        <v>0</v>
      </c>
      <c r="P695" s="386"/>
      <c r="Q695" s="768">
        <f ca="1">IF(F695&lt;&gt;0,+F695/'A-21'!D$118,0)</f>
        <v>0</v>
      </c>
      <c r="R695" s="768">
        <f ca="1">IF(G695&lt;&gt;0,+G695/'A-21'!E$118,0)</f>
        <v>0</v>
      </c>
      <c r="S695" s="768">
        <f ca="1">IF(H695&lt;&gt;0,+H695/'A-21'!F$118,0)</f>
        <v>0</v>
      </c>
      <c r="T695" s="768">
        <f ca="1">IF(I695&lt;&gt;0,+I695/'A-21'!G$118,0)</f>
        <v>0</v>
      </c>
      <c r="U695" s="768">
        <f ca="1">IF(J695&lt;&gt;0,+J695/'A-21'!H$118,0)</f>
        <v>0</v>
      </c>
      <c r="V695" s="768">
        <f ca="1">IF(K695&lt;&gt;0,+K695/'A-21'!I$118,0)</f>
        <v>0</v>
      </c>
    </row>
    <row r="696" spans="1:22">
      <c r="A696" s="5"/>
      <c r="B696" s="249" t="str">
        <f ca="1">+'I-4 History'!B417</f>
        <v>A-22</v>
      </c>
      <c r="C696" s="14" t="str">
        <f ca="1">+'I-4 History'!C417</f>
        <v>Training Centre Management</v>
      </c>
      <c r="D696" s="418"/>
      <c r="E696" s="507"/>
      <c r="F696" s="11"/>
      <c r="G696" s="11"/>
      <c r="H696" s="11"/>
      <c r="I696" s="11"/>
      <c r="J696" s="11"/>
      <c r="K696" s="11"/>
      <c r="P696" s="11"/>
      <c r="Q696" s="11"/>
      <c r="R696" s="11"/>
      <c r="S696" s="11"/>
      <c r="T696" s="11"/>
      <c r="U696" s="11"/>
      <c r="V696" s="11"/>
    </row>
    <row r="697" spans="1:22">
      <c r="A697" s="5"/>
      <c r="B697" s="249"/>
      <c r="C697" s="424" t="s">
        <v>74</v>
      </c>
      <c r="D697" s="416"/>
      <c r="E697" s="507"/>
      <c r="F697" s="11"/>
      <c r="G697" s="11"/>
      <c r="H697" s="11"/>
      <c r="I697" s="11"/>
      <c r="J697" s="11"/>
      <c r="K697" s="11"/>
      <c r="P697" s="11"/>
      <c r="Q697" s="11"/>
      <c r="R697" s="11"/>
      <c r="S697" s="11"/>
      <c r="T697" s="11"/>
      <c r="U697" s="11"/>
      <c r="V697" s="11"/>
    </row>
    <row r="698" spans="1:22">
      <c r="A698" s="5"/>
      <c r="B698" s="249"/>
      <c r="C698" s="425" t="str">
        <f t="array" ref="C698:D703">+'A-22'!$A$77:$B$82</f>
        <v>Total Output Growth</v>
      </c>
      <c r="D698" s="426" t="str">
        <v>Labour</v>
      </c>
      <c r="E698" s="847">
        <f t="array" ref="E698:K703" ca="1">+'A-22'!$N$77:$T$82</f>
        <v>0</v>
      </c>
      <c r="F698" s="386">
        <f ca="1"/>
        <v>0</v>
      </c>
      <c r="G698" s="383">
        <f ca="1"/>
        <v>1.0663008072641296E-2</v>
      </c>
      <c r="H698" s="383">
        <f ca="1"/>
        <v>2.0543200099229806E-2</v>
      </c>
      <c r="I698" s="383">
        <f ca="1"/>
        <v>3.0309660205593919E-2</v>
      </c>
      <c r="J698" s="383">
        <f ca="1"/>
        <v>4.090548502273067E-2</v>
      </c>
      <c r="K698" s="383">
        <f ca="1"/>
        <v>5.0611339854720175E-2</v>
      </c>
      <c r="L698" s="790"/>
      <c r="M698" s="790"/>
      <c r="N698" s="790"/>
      <c r="O698" s="790"/>
      <c r="P698" s="386"/>
      <c r="Q698" s="768">
        <f ca="1">IF(F698&lt;&gt;0,+F698/'A-22'!D$77,0)</f>
        <v>0</v>
      </c>
      <c r="R698" s="768">
        <f ca="1">IF(G698&lt;&gt;0,+G698/'A-22'!E$77,0)</f>
        <v>1.0049999999999999</v>
      </c>
      <c r="S698" s="768">
        <f ca="1">IF(H698&lt;&gt;0,+H698/'A-22'!F$77,0)</f>
        <v>1.0049999999999999</v>
      </c>
      <c r="T698" s="768">
        <f ca="1">IF(I698&lt;&gt;0,+I698/'A-22'!G$77,0)</f>
        <v>1.0049999999999999</v>
      </c>
      <c r="U698" s="768">
        <f ca="1">IF(J698&lt;&gt;0,+J698/'A-22'!H$77,0)</f>
        <v>1.0049999999999999</v>
      </c>
      <c r="V698" s="768">
        <f ca="1">IF(K698&lt;&gt;0,+K698/'A-22'!I$77,0)</f>
        <v>1.0049999999999999</v>
      </c>
    </row>
    <row r="699" spans="1:22">
      <c r="A699" s="5"/>
      <c r="B699" s="249"/>
      <c r="C699" s="425" t="str">
        <v>Total Output Growth</v>
      </c>
      <c r="D699" s="426" t="str">
        <v>Materials</v>
      </c>
      <c r="E699" s="847">
        <f ca="1"/>
        <v>0</v>
      </c>
      <c r="F699" s="386">
        <f ca="1"/>
        <v>0</v>
      </c>
      <c r="G699" s="383">
        <f ca="1"/>
        <v>-2.3341908218717269E-4</v>
      </c>
      <c r="H699" s="383">
        <f ca="1"/>
        <v>-4.4970189271945852E-4</v>
      </c>
      <c r="I699" s="383">
        <f ca="1"/>
        <v>-6.6349504927668294E-4</v>
      </c>
      <c r="J699" s="383">
        <f ca="1"/>
        <v>-8.9544345323390537E-4</v>
      </c>
      <c r="K699" s="383">
        <f ca="1"/>
        <v>-1.1079099271680041E-3</v>
      </c>
      <c r="L699" s="790"/>
      <c r="M699" s="790"/>
      <c r="N699" s="790"/>
      <c r="O699" s="790"/>
      <c r="P699" s="386"/>
      <c r="Q699" s="768">
        <f ca="1">IF(F699&lt;&gt;0,+F699/'A-22'!D$78,0)</f>
        <v>0</v>
      </c>
      <c r="R699" s="768">
        <f ca="1">IF(G699&lt;&gt;0,+G699/'A-22'!E$78,0)</f>
        <v>-2.2000000000000002E-2</v>
      </c>
      <c r="S699" s="768">
        <f ca="1">IF(H699&lt;&gt;0,+H699/'A-22'!F$78,0)</f>
        <v>-2.2000000000000002E-2</v>
      </c>
      <c r="T699" s="768">
        <f ca="1">IF(I699&lt;&gt;0,+I699/'A-22'!G$78,0)</f>
        <v>-2.2000000000000002E-2</v>
      </c>
      <c r="U699" s="768">
        <f ca="1">IF(J699&lt;&gt;0,+J699/'A-22'!H$78,0)</f>
        <v>-2.2000000000000002E-2</v>
      </c>
      <c r="V699" s="768">
        <f ca="1">IF(K699&lt;&gt;0,+K699/'A-22'!I$78,0)</f>
        <v>-2.2000000000000002E-2</v>
      </c>
    </row>
    <row r="700" spans="1:22">
      <c r="A700" s="5"/>
      <c r="B700" s="249"/>
      <c r="C700" s="425" t="str">
        <v>Total Output Growth</v>
      </c>
      <c r="D700" s="426" t="str">
        <v>Contracts</v>
      </c>
      <c r="E700" s="847">
        <f ca="1"/>
        <v>0</v>
      </c>
      <c r="F700" s="386">
        <f ca="1"/>
        <v>0</v>
      </c>
      <c r="G700" s="383">
        <f ca="1"/>
        <v>1.8036929078099707E-4</v>
      </c>
      <c r="H700" s="383">
        <f ca="1"/>
        <v>3.4749691710139974E-4</v>
      </c>
      <c r="I700" s="383">
        <f ca="1"/>
        <v>5.1270071989561864E-4</v>
      </c>
      <c r="J700" s="383">
        <f ca="1"/>
        <v>6.9193357749892687E-4</v>
      </c>
      <c r="K700" s="383">
        <f ca="1"/>
        <v>8.5611221644800309E-4</v>
      </c>
      <c r="L700" s="790"/>
      <c r="M700" s="790"/>
      <c r="N700" s="790"/>
      <c r="O700" s="790"/>
      <c r="P700" s="386"/>
      <c r="Q700" s="768">
        <f ca="1">IF(F700&lt;&gt;0,+F700/'A-22'!D$79,0)</f>
        <v>0</v>
      </c>
      <c r="R700" s="768">
        <f ca="1">IF(G700&lt;&gt;0,+G700/'A-22'!E$79,0)</f>
        <v>1.7000000000000001E-2</v>
      </c>
      <c r="S700" s="768">
        <f ca="1">IF(H700&lt;&gt;0,+H700/'A-22'!F$79,0)</f>
        <v>1.7000000000000001E-2</v>
      </c>
      <c r="T700" s="768">
        <f ca="1">IF(I700&lt;&gt;0,+I700/'A-22'!G$79,0)</f>
        <v>1.7000000000000001E-2</v>
      </c>
      <c r="U700" s="768">
        <f ca="1">IF(J700&lt;&gt;0,+J700/'A-22'!H$79,0)</f>
        <v>1.7000000000000001E-2</v>
      </c>
      <c r="V700" s="768">
        <f ca="1">IF(K700&lt;&gt;0,+K700/'A-22'!I$79,0)</f>
        <v>1.7000000000000001E-2</v>
      </c>
    </row>
    <row r="701" spans="1:22" s="790" customFormat="1">
      <c r="A701" s="5"/>
      <c r="B701" s="249"/>
      <c r="C701" s="425" t="str">
        <v>Total Output Growth</v>
      </c>
      <c r="D701" s="426" t="str">
        <v>Services Other</v>
      </c>
      <c r="E701" s="847">
        <f ca="1"/>
        <v>0</v>
      </c>
      <c r="F701" s="386">
        <f ca="1"/>
        <v>0</v>
      </c>
      <c r="G701" s="383">
        <f ca="1"/>
        <v>5.7293774718669655E-4</v>
      </c>
      <c r="H701" s="383">
        <f ca="1"/>
        <v>1.1038137366750345E-3</v>
      </c>
      <c r="I701" s="383">
        <f ca="1"/>
        <v>1.6285787573154943E-3</v>
      </c>
      <c r="J701" s="383">
        <f ca="1"/>
        <v>2.1979066579377675E-3</v>
      </c>
      <c r="K701" s="383">
        <f ca="1"/>
        <v>2.7194152757760099E-3</v>
      </c>
      <c r="P701" s="386"/>
      <c r="Q701" s="768">
        <f ca="1">IF(F701&lt;&gt;0,+F701/'A-22'!D$80,0)</f>
        <v>0</v>
      </c>
      <c r="R701" s="768">
        <f ca="1">IF(G701&lt;&gt;0,+G701/'A-22'!E$80,0)</f>
        <v>5.3999999999999999E-2</v>
      </c>
      <c r="S701" s="768">
        <f ca="1">IF(H701&lt;&gt;0,+H701/'A-22'!F$80,0)</f>
        <v>5.3999999999999999E-2</v>
      </c>
      <c r="T701" s="768">
        <f ca="1">IF(I701&lt;&gt;0,+I701/'A-22'!G$80,0)</f>
        <v>5.3999999999999992E-2</v>
      </c>
      <c r="U701" s="768">
        <f ca="1">IF(J701&lt;&gt;0,+J701/'A-22'!H$80,0)</f>
        <v>5.3999999999999999E-2</v>
      </c>
      <c r="V701" s="768">
        <f ca="1">IF(K701&lt;&gt;0,+K701/'A-22'!I$80,0)</f>
        <v>5.4000000000000006E-2</v>
      </c>
    </row>
    <row r="702" spans="1:22" s="790" customFormat="1">
      <c r="A702" s="5"/>
      <c r="B702" s="249"/>
      <c r="C702" s="425" t="str">
        <v>Total Output Growth</v>
      </c>
      <c r="D702" s="426" t="str">
        <v>Business Overheads</v>
      </c>
      <c r="E702" s="847">
        <f ca="1"/>
        <v>0</v>
      </c>
      <c r="F702" s="386">
        <f ca="1"/>
        <v>0</v>
      </c>
      <c r="G702" s="383">
        <f ca="1"/>
        <v>0</v>
      </c>
      <c r="H702" s="383">
        <f ca="1"/>
        <v>0</v>
      </c>
      <c r="I702" s="383">
        <f ca="1"/>
        <v>0</v>
      </c>
      <c r="J702" s="383">
        <f ca="1"/>
        <v>0</v>
      </c>
      <c r="K702" s="383">
        <f ca="1"/>
        <v>0</v>
      </c>
      <c r="P702" s="386"/>
      <c r="Q702" s="768">
        <f ca="1">IF(F702&lt;&gt;0,+F702/'A-22'!D$81,0)</f>
        <v>0</v>
      </c>
      <c r="R702" s="768">
        <f ca="1">IF(G702&lt;&gt;0,+G702/'A-22'!E$81,0)</f>
        <v>0</v>
      </c>
      <c r="S702" s="768">
        <f ca="1">IF(H702&lt;&gt;0,+H702/'A-22'!F$81,0)</f>
        <v>0</v>
      </c>
      <c r="T702" s="768">
        <f ca="1">IF(I702&lt;&gt;0,+I702/'A-22'!G$81,0)</f>
        <v>0</v>
      </c>
      <c r="U702" s="768">
        <f ca="1">IF(J702&lt;&gt;0,+J702/'A-22'!H$81,0)</f>
        <v>0</v>
      </c>
      <c r="V702" s="768">
        <f ca="1">IF(K702&lt;&gt;0,+K702/'A-22'!I$81,0)</f>
        <v>0</v>
      </c>
    </row>
    <row r="703" spans="1:22" s="790" customFormat="1">
      <c r="A703" s="5"/>
      <c r="B703" s="249"/>
      <c r="C703" s="425" t="str">
        <v>Total Output Growth</v>
      </c>
      <c r="D703" s="426" t="str">
        <v>Other</v>
      </c>
      <c r="E703" s="847">
        <f ca="1"/>
        <v>0</v>
      </c>
      <c r="F703" s="386">
        <f ca="1"/>
        <v>0</v>
      </c>
      <c r="G703" s="383">
        <f ca="1"/>
        <v>0</v>
      </c>
      <c r="H703" s="383">
        <f ca="1"/>
        <v>0</v>
      </c>
      <c r="I703" s="383">
        <f ca="1"/>
        <v>0</v>
      </c>
      <c r="J703" s="383">
        <f ca="1"/>
        <v>0</v>
      </c>
      <c r="K703" s="383">
        <f ca="1"/>
        <v>0</v>
      </c>
      <c r="P703" s="386"/>
      <c r="Q703" s="768">
        <f ca="1">IF(F703&lt;&gt;0,+F703/'A-22'!D$82,0)</f>
        <v>0</v>
      </c>
      <c r="R703" s="768">
        <f ca="1">IF(G703&lt;&gt;0,+G703/'A-22'!E$82,0)</f>
        <v>0</v>
      </c>
      <c r="S703" s="768">
        <f ca="1">IF(H703&lt;&gt;0,+H703/'A-22'!F$82,0)</f>
        <v>0</v>
      </c>
      <c r="T703" s="768">
        <f ca="1">IF(I703&lt;&gt;0,+I703/'A-22'!G$82,0)</f>
        <v>0</v>
      </c>
      <c r="U703" s="768">
        <f ca="1">IF(J703&lt;&gt;0,+J703/'A-22'!H$82,0)</f>
        <v>0</v>
      </c>
      <c r="V703" s="768">
        <f ca="1">IF(K703&lt;&gt;0,+K703/'A-22'!I$82,0)</f>
        <v>0</v>
      </c>
    </row>
    <row r="704" spans="1:22">
      <c r="A704" s="5"/>
      <c r="B704" s="249"/>
      <c r="C704" s="424" t="s">
        <v>73</v>
      </c>
      <c r="D704" s="417"/>
      <c r="E704" s="848"/>
      <c r="F704" s="387"/>
      <c r="G704" s="385"/>
      <c r="H704" s="385"/>
      <c r="I704" s="385"/>
      <c r="J704" s="385"/>
      <c r="K704" s="385"/>
      <c r="P704" s="387"/>
      <c r="Q704" s="385"/>
      <c r="R704" s="385"/>
      <c r="S704" s="385"/>
      <c r="T704" s="385"/>
      <c r="U704" s="385"/>
      <c r="V704" s="385"/>
    </row>
    <row r="705" spans="1:22" s="767" customFormat="1">
      <c r="A705" s="5"/>
      <c r="B705" s="249"/>
      <c r="C705" s="425" t="str">
        <f t="array" ref="C705:D710">+'A-22'!$A$113:$B$119</f>
        <v>Labour</v>
      </c>
      <c r="D705" s="426" t="str">
        <v>Labour</v>
      </c>
      <c r="E705" s="847">
        <f t="array" ref="E705:K710" ca="1">+'A-22'!$N$113:$T$119</f>
        <v>0</v>
      </c>
      <c r="F705" s="386">
        <f ca="1"/>
        <v>0</v>
      </c>
      <c r="G705" s="383">
        <f ca="1"/>
        <v>2.179406219556225E-2</v>
      </c>
      <c r="H705" s="383">
        <f ca="1"/>
        <v>4.4484347559931692E-2</v>
      </c>
      <c r="I705" s="383">
        <f ca="1"/>
        <v>6.9357351691365851E-2</v>
      </c>
      <c r="J705" s="383">
        <f ca="1"/>
        <v>9.5325826733203889E-2</v>
      </c>
      <c r="K705" s="383">
        <f ca="1"/>
        <v>0.12228047712483364</v>
      </c>
      <c r="P705" s="386"/>
      <c r="Q705" s="768">
        <f ca="1">IF(F705&lt;&gt;0,+F705/'A-22'!D$113,0)</f>
        <v>0</v>
      </c>
      <c r="R705" s="768">
        <f ca="1">IF(G705&lt;&gt;0,+G705/'A-22'!E$113,0)</f>
        <v>1.0156630080726412</v>
      </c>
      <c r="S705" s="768">
        <f ca="1">IF(H705&lt;&gt;0,+H705/'A-22'!F$113,0)</f>
        <v>1.0255432000992297</v>
      </c>
      <c r="T705" s="768">
        <f ca="1">IF(I705&lt;&gt;0,+I705/'A-22'!G$113,0)</f>
        <v>1.0353096602055938</v>
      </c>
      <c r="U705" s="768">
        <f ca="1">IF(J705&lt;&gt;0,+J705/'A-22'!H$113,0)</f>
        <v>1.0459054850227305</v>
      </c>
      <c r="V705" s="768">
        <f ca="1">IF(K705&lt;&gt;0,+K705/'A-22'!I$113,0)</f>
        <v>1.05561133985472</v>
      </c>
    </row>
    <row r="706" spans="1:22" s="767" customFormat="1">
      <c r="A706" s="5"/>
      <c r="B706" s="249"/>
      <c r="C706" s="425" t="str">
        <v>Materials</v>
      </c>
      <c r="D706" s="426" t="str">
        <v>Materials</v>
      </c>
      <c r="E706" s="847">
        <f ca="1"/>
        <v>0</v>
      </c>
      <c r="F706" s="386">
        <f ca="1"/>
        <v>0</v>
      </c>
      <c r="G706" s="383">
        <f ca="1"/>
        <v>0</v>
      </c>
      <c r="H706" s="383">
        <f ca="1"/>
        <v>0</v>
      </c>
      <c r="I706" s="383">
        <f ca="1"/>
        <v>0</v>
      </c>
      <c r="J706" s="383">
        <f ca="1"/>
        <v>0</v>
      </c>
      <c r="K706" s="383">
        <f ca="1"/>
        <v>0</v>
      </c>
      <c r="P706" s="386"/>
      <c r="Q706" s="768">
        <f ca="1">IF(F706&lt;&gt;0,+F706/'A-22'!D$114,0)</f>
        <v>0</v>
      </c>
      <c r="R706" s="768">
        <f ca="1">IF(G706&lt;&gt;0,+G706/'A-22'!E$114,0)</f>
        <v>0</v>
      </c>
      <c r="S706" s="768">
        <f ca="1">IF(H706&lt;&gt;0,+H706/'A-22'!F$114,0)</f>
        <v>0</v>
      </c>
      <c r="T706" s="768">
        <f ca="1">IF(I706&lt;&gt;0,+I706/'A-22'!G$114,0)</f>
        <v>0</v>
      </c>
      <c r="U706" s="768">
        <f ca="1">IF(J706&lt;&gt;0,+J706/'A-22'!H$114,0)</f>
        <v>0</v>
      </c>
      <c r="V706" s="768">
        <f ca="1">IF(K706&lt;&gt;0,+K706/'A-22'!I$114,0)</f>
        <v>0</v>
      </c>
    </row>
    <row r="707" spans="1:22" s="767" customFormat="1">
      <c r="A707" s="5"/>
      <c r="B707" s="249"/>
      <c r="C707" s="425" t="str">
        <v>Services-construction</v>
      </c>
      <c r="D707" s="426" t="str">
        <v>Contracts</v>
      </c>
      <c r="E707" s="847">
        <f ca="1"/>
        <v>0</v>
      </c>
      <c r="F707" s="386">
        <f ca="1"/>
        <v>0</v>
      </c>
      <c r="G707" s="383">
        <f ca="1"/>
        <v>8.5901846453903161E-5</v>
      </c>
      <c r="H707" s="383">
        <f ca="1"/>
        <v>1.7390865659393684E-4</v>
      </c>
      <c r="I707" s="383">
        <f ca="1"/>
        <v>3.3475921461845827E-4</v>
      </c>
      <c r="J707" s="383">
        <f ca="1"/>
        <v>5.2750153913837684E-4</v>
      </c>
      <c r="K707" s="383">
        <f ca="1"/>
        <v>7.6225303993298558E-4</v>
      </c>
      <c r="P707" s="386"/>
      <c r="Q707" s="768">
        <f ca="1">IF(F707&lt;&gt;0,+F707/'A-22'!D$115,0)</f>
        <v>0</v>
      </c>
      <c r="R707" s="768">
        <f ca="1">IF(G707&lt;&gt;0,+G707/'A-22'!E$115,0)</f>
        <v>1.7180369290780997E-2</v>
      </c>
      <c r="S707" s="768">
        <f ca="1">IF(H707&lt;&gt;0,+H707/'A-22'!F$115,0)</f>
        <v>1.7347496917101402E-2</v>
      </c>
      <c r="T707" s="768">
        <f ca="1">IF(I707&lt;&gt;0,+I707/'A-22'!G$115,0)</f>
        <v>1.7512700719895621E-2</v>
      </c>
      <c r="U707" s="768">
        <f ca="1">IF(J707&lt;&gt;0,+J707/'A-22'!H$115,0)</f>
        <v>1.7691933577498927E-2</v>
      </c>
      <c r="V707" s="768">
        <f ca="1">IF(K707&lt;&gt;0,+K707/'A-22'!I$115,0)</f>
        <v>1.7856112216448006E-2</v>
      </c>
    </row>
    <row r="708" spans="1:22" s="767" customFormat="1">
      <c r="A708" s="5"/>
      <c r="B708" s="249"/>
      <c r="C708" s="425" t="str">
        <v>Services-general</v>
      </c>
      <c r="D708" s="426" t="str">
        <v>Services Other</v>
      </c>
      <c r="E708" s="847">
        <f ca="1"/>
        <v>0</v>
      </c>
      <c r="F708" s="386">
        <f ca="1"/>
        <v>0</v>
      </c>
      <c r="G708" s="383">
        <f ca="1"/>
        <v>2.7286468873592766E-4</v>
      </c>
      <c r="H708" s="383">
        <f ca="1"/>
        <v>5.5241573271015232E-4</v>
      </c>
      <c r="I708" s="383">
        <f ca="1"/>
        <v>1.063352799376279E-3</v>
      </c>
      <c r="J708" s="383">
        <f ca="1"/>
        <v>1.6755931243219028E-3</v>
      </c>
      <c r="K708" s="383">
        <f ca="1"/>
        <v>2.4212743621400716E-3</v>
      </c>
      <c r="P708" s="386"/>
      <c r="Q708" s="768">
        <f ca="1">IF(F708&lt;&gt;0,+F708/'A-22'!D$116,0)</f>
        <v>0</v>
      </c>
      <c r="R708" s="768">
        <f ca="1">IF(G708&lt;&gt;0,+G708/'A-22'!E$116,0)</f>
        <v>5.4572937747186696E-2</v>
      </c>
      <c r="S708" s="768">
        <f ca="1">IF(H708&lt;&gt;0,+H708/'A-22'!F$116,0)</f>
        <v>5.5103813736675042E-2</v>
      </c>
      <c r="T708" s="768">
        <f ca="1">IF(I708&lt;&gt;0,+I708/'A-22'!G$116,0)</f>
        <v>5.5628578757315493E-2</v>
      </c>
      <c r="U708" s="768">
        <f ca="1">IF(J708&lt;&gt;0,+J708/'A-22'!H$116,0)</f>
        <v>5.6197906657937766E-2</v>
      </c>
      <c r="V708" s="768">
        <f ca="1">IF(K708&lt;&gt;0,+K708/'A-22'!I$116,0)</f>
        <v>5.6719415275776015E-2</v>
      </c>
    </row>
    <row r="709" spans="1:22" s="767" customFormat="1">
      <c r="A709" s="5"/>
      <c r="B709" s="249"/>
      <c r="C709" s="425" t="str">
        <v>Labour</v>
      </c>
      <c r="D709" s="426" t="str">
        <v>Business Overheads</v>
      </c>
      <c r="E709" s="847">
        <f ca="1"/>
        <v>0</v>
      </c>
      <c r="F709" s="386">
        <f ca="1"/>
        <v>0</v>
      </c>
      <c r="G709" s="383">
        <f ca="1"/>
        <v>0</v>
      </c>
      <c r="H709" s="383">
        <f ca="1"/>
        <v>0</v>
      </c>
      <c r="I709" s="383">
        <f ca="1"/>
        <v>0</v>
      </c>
      <c r="J709" s="383">
        <f ca="1"/>
        <v>0</v>
      </c>
      <c r="K709" s="383">
        <f ca="1"/>
        <v>0</v>
      </c>
      <c r="P709" s="386"/>
      <c r="Q709" s="768">
        <f ca="1">IF(F709&lt;&gt;0,+F709/'A-22'!D$117,0)</f>
        <v>0</v>
      </c>
      <c r="R709" s="768">
        <f ca="1">IF(G709&lt;&gt;0,+G709/'A-22'!E$117,0)</f>
        <v>0</v>
      </c>
      <c r="S709" s="768">
        <f ca="1">IF(H709&lt;&gt;0,+H709/'A-22'!F$117,0)</f>
        <v>0</v>
      </c>
      <c r="T709" s="768">
        <f ca="1">IF(I709&lt;&gt;0,+I709/'A-22'!G$117,0)</f>
        <v>0</v>
      </c>
      <c r="U709" s="768">
        <f ca="1">IF(J709&lt;&gt;0,+J709/'A-22'!H$117,0)</f>
        <v>0</v>
      </c>
      <c r="V709" s="768">
        <f ca="1">IF(K709&lt;&gt;0,+K709/'A-22'!I$117,0)</f>
        <v>0</v>
      </c>
    </row>
    <row r="710" spans="1:22" s="767" customFormat="1">
      <c r="A710" s="5"/>
      <c r="B710" s="249"/>
      <c r="C710" s="425" t="str">
        <v>Materials - Land</v>
      </c>
      <c r="D710" s="426" t="str">
        <v>Other</v>
      </c>
      <c r="E710" s="847">
        <f ca="1"/>
        <v>0</v>
      </c>
      <c r="F710" s="386">
        <f ca="1"/>
        <v>0</v>
      </c>
      <c r="G710" s="383">
        <f ca="1"/>
        <v>0</v>
      </c>
      <c r="H710" s="383">
        <f ca="1"/>
        <v>0</v>
      </c>
      <c r="I710" s="383">
        <f ca="1"/>
        <v>0</v>
      </c>
      <c r="J710" s="383">
        <f ca="1"/>
        <v>0</v>
      </c>
      <c r="K710" s="383">
        <f ca="1"/>
        <v>0</v>
      </c>
      <c r="P710" s="386"/>
      <c r="Q710" s="768">
        <f ca="1">IF(F710&lt;&gt;0,+F710/'A-22'!D$118,0)</f>
        <v>0</v>
      </c>
      <c r="R710" s="768">
        <f ca="1">IF(G710&lt;&gt;0,+G710/'A-22'!E$118,0)</f>
        <v>0</v>
      </c>
      <c r="S710" s="768">
        <f ca="1">IF(H710&lt;&gt;0,+H710/'A-22'!F$118,0)</f>
        <v>0</v>
      </c>
      <c r="T710" s="768">
        <f ca="1">IF(I710&lt;&gt;0,+I710/'A-22'!G$118,0)</f>
        <v>0</v>
      </c>
      <c r="U710" s="768">
        <f ca="1">IF(J710&lt;&gt;0,+J710/'A-22'!H$118,0)</f>
        <v>0</v>
      </c>
      <c r="V710" s="768">
        <f ca="1">IF(K710&lt;&gt;0,+K710/'A-22'!I$118,0)</f>
        <v>0</v>
      </c>
    </row>
    <row r="711" spans="1:22">
      <c r="A711" s="5"/>
      <c r="B711" s="249" t="str">
        <f ca="1">+'I-4 History'!B426</f>
        <v>A-23</v>
      </c>
      <c r="C711" s="14" t="str">
        <f ca="1">+'I-4 History'!C426</f>
        <v>Information Technology</v>
      </c>
      <c r="D711" s="418"/>
      <c r="E711" s="507"/>
      <c r="F711" s="11"/>
      <c r="G711" s="11"/>
      <c r="H711" s="11"/>
      <c r="I711" s="11"/>
      <c r="J711" s="11"/>
      <c r="K711" s="11"/>
      <c r="P711" s="11"/>
      <c r="Q711" s="11"/>
      <c r="R711" s="11"/>
      <c r="S711" s="11"/>
      <c r="T711" s="11"/>
      <c r="U711" s="11"/>
      <c r="V711" s="11"/>
    </row>
    <row r="712" spans="1:22">
      <c r="A712" s="5"/>
      <c r="B712" s="249"/>
      <c r="C712" s="424" t="s">
        <v>74</v>
      </c>
      <c r="D712" s="416"/>
      <c r="E712" s="507"/>
      <c r="F712" s="11"/>
      <c r="G712" s="11"/>
      <c r="H712" s="11"/>
      <c r="I712" s="11"/>
      <c r="J712" s="11"/>
      <c r="K712" s="11"/>
      <c r="P712" s="11"/>
      <c r="Q712" s="11"/>
      <c r="R712" s="11"/>
      <c r="S712" s="11"/>
      <c r="T712" s="11"/>
      <c r="U712" s="11"/>
      <c r="V712" s="11"/>
    </row>
    <row r="713" spans="1:22">
      <c r="A713" s="5"/>
      <c r="B713" s="249"/>
      <c r="C713" s="425" t="str">
        <f t="array" ref="C713:D718">+'A-23'!$A$77:$B$82</f>
        <v>Total Output Growth</v>
      </c>
      <c r="D713" s="426" t="str">
        <v>Labour</v>
      </c>
      <c r="E713" s="847">
        <f t="array" ref="E713:K718" ca="1">+'A-23'!$N$77:$T$82</f>
        <v>0</v>
      </c>
      <c r="F713" s="386">
        <f ca="1"/>
        <v>0</v>
      </c>
      <c r="G713" s="383">
        <f ca="1"/>
        <v>0.11906495183202052</v>
      </c>
      <c r="H713" s="383">
        <f ca="1"/>
        <v>0.22938884727717104</v>
      </c>
      <c r="I713" s="383">
        <f ca="1"/>
        <v>0.33844279286286066</v>
      </c>
      <c r="J713" s="383">
        <f ca="1"/>
        <v>0.45675756509958565</v>
      </c>
      <c r="K713" s="383">
        <f ca="1"/>
        <v>0.56513478193997002</v>
      </c>
      <c r="L713" s="790"/>
      <c r="M713" s="790"/>
      <c r="N713" s="790"/>
      <c r="O713" s="790"/>
      <c r="P713" s="386"/>
      <c r="Q713" s="768">
        <f ca="1">IF(F713&lt;&gt;0,+F713/'A-23'!D$77,0)</f>
        <v>0</v>
      </c>
      <c r="R713" s="768">
        <f ca="1">IF(G713&lt;&gt;0,+G713/'A-23'!E$77,0)</f>
        <v>11.222</v>
      </c>
      <c r="S713" s="768">
        <f ca="1">IF(H713&lt;&gt;0,+H713/'A-23'!F$77,0)</f>
        <v>11.222</v>
      </c>
      <c r="T713" s="768">
        <f ca="1">IF(I713&lt;&gt;0,+I713/'A-23'!G$77,0)</f>
        <v>11.221999999999998</v>
      </c>
      <c r="U713" s="768">
        <f ca="1">IF(J713&lt;&gt;0,+J713/'A-23'!H$77,0)</f>
        <v>11.222</v>
      </c>
      <c r="V713" s="768">
        <f ca="1">IF(K713&lt;&gt;0,+K713/'A-23'!I$77,0)</f>
        <v>11.222</v>
      </c>
    </row>
    <row r="714" spans="1:22">
      <c r="A714" s="5"/>
      <c r="B714" s="249"/>
      <c r="C714" s="425" t="str">
        <v>Total Output Growth</v>
      </c>
      <c r="D714" s="426" t="str">
        <v>Materials</v>
      </c>
      <c r="E714" s="847">
        <f ca="1"/>
        <v>0</v>
      </c>
      <c r="F714" s="386">
        <f ca="1"/>
        <v>0</v>
      </c>
      <c r="G714" s="383">
        <f ca="1"/>
        <v>3.8938546892132893E-3</v>
      </c>
      <c r="H714" s="383">
        <f ca="1"/>
        <v>7.5018452103655115E-3</v>
      </c>
      <c r="I714" s="383">
        <f ca="1"/>
        <v>1.1068303776570119E-2</v>
      </c>
      <c r="J714" s="383">
        <f ca="1"/>
        <v>1.493762487894742E-2</v>
      </c>
      <c r="K714" s="383">
        <f ca="1"/>
        <v>1.8481951966848067E-2</v>
      </c>
      <c r="L714" s="790"/>
      <c r="M714" s="790"/>
      <c r="N714" s="790"/>
      <c r="O714" s="790"/>
      <c r="P714" s="386"/>
      <c r="Q714" s="768">
        <f ca="1">IF(F714&lt;&gt;0,+F714/'A-23'!D$78,0)</f>
        <v>0</v>
      </c>
      <c r="R714" s="768">
        <f ca="1">IF(G714&lt;&gt;0,+G714/'A-23'!E$78,0)</f>
        <v>0.36699999999999999</v>
      </c>
      <c r="S714" s="768">
        <f ca="1">IF(H714&lt;&gt;0,+H714/'A-23'!F$78,0)</f>
        <v>0.36699999999999999</v>
      </c>
      <c r="T714" s="768">
        <f ca="1">IF(I714&lt;&gt;0,+I714/'A-23'!G$78,0)</f>
        <v>0.36699999999999999</v>
      </c>
      <c r="U714" s="768">
        <f ca="1">IF(J714&lt;&gt;0,+J714/'A-23'!H$78,0)</f>
        <v>0.36699999999999999</v>
      </c>
      <c r="V714" s="768">
        <f ca="1">IF(K714&lt;&gt;0,+K714/'A-23'!I$78,0)</f>
        <v>0.36699999999999999</v>
      </c>
    </row>
    <row r="715" spans="1:22">
      <c r="A715" s="5"/>
      <c r="B715" s="249"/>
      <c r="C715" s="425" t="str">
        <v>Total Output Growth</v>
      </c>
      <c r="D715" s="426" t="str">
        <v>Contracts</v>
      </c>
      <c r="E715" s="847">
        <f ca="1"/>
        <v>0</v>
      </c>
      <c r="F715" s="386">
        <f ca="1"/>
        <v>0</v>
      </c>
      <c r="G715" s="383">
        <f ca="1"/>
        <v>-7.8513691281139892E-4</v>
      </c>
      <c r="H715" s="383">
        <f ca="1"/>
        <v>-1.5126336391472694E-3</v>
      </c>
      <c r="I715" s="383">
        <f ca="1"/>
        <v>-2.2317560748397513E-3</v>
      </c>
      <c r="J715" s="383">
        <f ca="1"/>
        <v>-3.0119461608776811E-3</v>
      </c>
      <c r="K715" s="383">
        <f ca="1"/>
        <v>-3.7266061186560133E-3</v>
      </c>
      <c r="L715" s="790"/>
      <c r="M715" s="790"/>
      <c r="N715" s="790"/>
      <c r="O715" s="790"/>
      <c r="P715" s="386"/>
      <c r="Q715" s="768">
        <f ca="1">IF(F715&lt;&gt;0,+F715/'A-23'!D$79,0)</f>
        <v>0</v>
      </c>
      <c r="R715" s="768">
        <f ca="1">IF(G715&lt;&gt;0,+G715/'A-23'!E$79,0)</f>
        <v>-7.3999999999999996E-2</v>
      </c>
      <c r="S715" s="768">
        <f ca="1">IF(H715&lt;&gt;0,+H715/'A-23'!F$79,0)</f>
        <v>-7.3999999999999996E-2</v>
      </c>
      <c r="T715" s="768">
        <f ca="1">IF(I715&lt;&gt;0,+I715/'A-23'!G$79,0)</f>
        <v>-7.3999999999999982E-2</v>
      </c>
      <c r="U715" s="768">
        <f ca="1">IF(J715&lt;&gt;0,+J715/'A-23'!H$79,0)</f>
        <v>-7.3999999999999996E-2</v>
      </c>
      <c r="V715" s="768">
        <f ca="1">IF(K715&lt;&gt;0,+K715/'A-23'!I$79,0)</f>
        <v>-7.3999999999999996E-2</v>
      </c>
    </row>
    <row r="716" spans="1:22" s="790" customFormat="1">
      <c r="A716" s="5"/>
      <c r="B716" s="249"/>
      <c r="C716" s="425" t="str">
        <v>Total Output Growth</v>
      </c>
      <c r="D716" s="426" t="str">
        <v>Services Other</v>
      </c>
      <c r="E716" s="847">
        <f ca="1"/>
        <v>0</v>
      </c>
      <c r="F716" s="386">
        <f ca="1"/>
        <v>0</v>
      </c>
      <c r="G716" s="383">
        <f ca="1"/>
        <v>6.8497890663653943E-2</v>
      </c>
      <c r="H716" s="383">
        <f ca="1"/>
        <v>0.13196706451803744</v>
      </c>
      <c r="I716" s="383">
        <f ca="1"/>
        <v>0.1947056380968302</v>
      </c>
      <c r="J716" s="383">
        <f ca="1"/>
        <v>0.26277195154900418</v>
      </c>
      <c r="K716" s="383">
        <f ca="1"/>
        <v>0.32512120408166512</v>
      </c>
      <c r="P716" s="386"/>
      <c r="Q716" s="768">
        <f ca="1">IF(F716&lt;&gt;0,+F716/'A-23'!D$80,0)</f>
        <v>0</v>
      </c>
      <c r="R716" s="768">
        <f ca="1">IF(G716&lt;&gt;0,+G716/'A-23'!E$80,0)</f>
        <v>6.4560000000000004</v>
      </c>
      <c r="S716" s="768">
        <f ca="1">IF(H716&lt;&gt;0,+H716/'A-23'!F$80,0)</f>
        <v>6.4559999999999995</v>
      </c>
      <c r="T716" s="768">
        <f ca="1">IF(I716&lt;&gt;0,+I716/'A-23'!G$80,0)</f>
        <v>6.4559999999999995</v>
      </c>
      <c r="U716" s="768">
        <f ca="1">IF(J716&lt;&gt;0,+J716/'A-23'!H$80,0)</f>
        <v>6.4559999999999995</v>
      </c>
      <c r="V716" s="768">
        <f ca="1">IF(K716&lt;&gt;0,+K716/'A-23'!I$80,0)</f>
        <v>6.4559999999999995</v>
      </c>
    </row>
    <row r="717" spans="1:22" s="790" customFormat="1">
      <c r="A717" s="5"/>
      <c r="B717" s="249"/>
      <c r="C717" s="425" t="str">
        <v>Total Output Growth</v>
      </c>
      <c r="D717" s="426" t="str">
        <v>Business Overheads</v>
      </c>
      <c r="E717" s="847">
        <f ca="1"/>
        <v>0</v>
      </c>
      <c r="F717" s="386">
        <f ca="1"/>
        <v>0</v>
      </c>
      <c r="G717" s="383">
        <f ca="1"/>
        <v>-2.773443094714861E-2</v>
      </c>
      <c r="H717" s="383">
        <f ca="1"/>
        <v>-5.3432761253121117E-2</v>
      </c>
      <c r="I717" s="383">
        <f ca="1"/>
        <v>-7.8835275400420429E-2</v>
      </c>
      <c r="J717" s="383">
        <f ca="1"/>
        <v>-0.10639496303424675</v>
      </c>
      <c r="K717" s="383">
        <f ca="1"/>
        <v>-0.13163984316441649</v>
      </c>
      <c r="P717" s="386"/>
      <c r="Q717" s="768">
        <f ca="1">IF(F717&lt;&gt;0,+F717/'A-23'!D$81,0)</f>
        <v>0</v>
      </c>
      <c r="R717" s="768">
        <f ca="1">IF(G717&lt;&gt;0,+G717/'A-23'!E$81,0)</f>
        <v>-2.6140000000000003</v>
      </c>
      <c r="S717" s="768">
        <f ca="1">IF(H717&lt;&gt;0,+H717/'A-23'!F$81,0)</f>
        <v>-2.6140000000000003</v>
      </c>
      <c r="T717" s="768">
        <f ca="1">IF(I717&lt;&gt;0,+I717/'A-23'!G$81,0)</f>
        <v>-2.6140000000000003</v>
      </c>
      <c r="U717" s="768">
        <f ca="1">IF(J717&lt;&gt;0,+J717/'A-23'!H$81,0)</f>
        <v>-2.6140000000000003</v>
      </c>
      <c r="V717" s="768">
        <f ca="1">IF(K717&lt;&gt;0,+K717/'A-23'!I$81,0)</f>
        <v>-2.6140000000000003</v>
      </c>
    </row>
    <row r="718" spans="1:22" s="790" customFormat="1">
      <c r="A718" s="5"/>
      <c r="B718" s="249"/>
      <c r="C718" s="425" t="str">
        <v>Total Output Growth</v>
      </c>
      <c r="D718" s="426" t="str">
        <v>Other</v>
      </c>
      <c r="E718" s="847">
        <f ca="1"/>
        <v>0</v>
      </c>
      <c r="F718" s="386">
        <f ca="1"/>
        <v>0</v>
      </c>
      <c r="G718" s="383">
        <f ca="1"/>
        <v>0</v>
      </c>
      <c r="H718" s="383">
        <f ca="1"/>
        <v>0</v>
      </c>
      <c r="I718" s="383">
        <f ca="1"/>
        <v>0</v>
      </c>
      <c r="J718" s="383">
        <f ca="1"/>
        <v>0</v>
      </c>
      <c r="K718" s="383">
        <f ca="1"/>
        <v>0</v>
      </c>
      <c r="P718" s="386"/>
      <c r="Q718" s="768">
        <f ca="1">IF(F718&lt;&gt;0,+F718/'A-23'!D$82,0)</f>
        <v>0</v>
      </c>
      <c r="R718" s="768">
        <f ca="1">IF(G718&lt;&gt;0,+G718/'A-23'!E$82,0)</f>
        <v>0</v>
      </c>
      <c r="S718" s="768">
        <f ca="1">IF(H718&lt;&gt;0,+H718/'A-23'!F$82,0)</f>
        <v>0</v>
      </c>
      <c r="T718" s="768">
        <f ca="1">IF(I718&lt;&gt;0,+I718/'A-23'!G$82,0)</f>
        <v>0</v>
      </c>
      <c r="U718" s="768">
        <f ca="1">IF(J718&lt;&gt;0,+J718/'A-23'!H$82,0)</f>
        <v>0</v>
      </c>
      <c r="V718" s="768">
        <f ca="1">IF(K718&lt;&gt;0,+K718/'A-23'!I$82,0)</f>
        <v>0</v>
      </c>
    </row>
    <row r="719" spans="1:22">
      <c r="A719" s="5"/>
      <c r="B719" s="249"/>
      <c r="C719" s="424" t="s">
        <v>73</v>
      </c>
      <c r="D719" s="417"/>
      <c r="E719" s="848"/>
      <c r="F719" s="387"/>
      <c r="G719" s="385"/>
      <c r="H719" s="385"/>
      <c r="I719" s="385"/>
      <c r="J719" s="385"/>
      <c r="K719" s="385"/>
      <c r="P719" s="387"/>
      <c r="Q719" s="385"/>
      <c r="R719" s="385"/>
      <c r="S719" s="385"/>
      <c r="T719" s="385"/>
      <c r="U719" s="385"/>
      <c r="V719" s="385"/>
    </row>
    <row r="720" spans="1:22" s="767" customFormat="1">
      <c r="A720" s="5"/>
      <c r="B720" s="249"/>
      <c r="C720" s="425" t="str">
        <f t="array" ref="C720:D725">+'A-23'!$A$113:$B$119</f>
        <v>Labour</v>
      </c>
      <c r="D720" s="426" t="str">
        <v>Labour</v>
      </c>
      <c r="E720" s="847">
        <f t="array" ref="E720:K725" ca="1">+'A-23'!$N$113:$T$119</f>
        <v>0</v>
      </c>
      <c r="F720" s="386">
        <f ca="1"/>
        <v>0</v>
      </c>
      <c r="G720" s="383">
        <f ca="1"/>
        <v>0.24335618503343243</v>
      </c>
      <c r="H720" s="383">
        <f ca="1"/>
        <v>0.49671974956970494</v>
      </c>
      <c r="I720" s="383">
        <f ca="1"/>
        <v>0.77445592107513195</v>
      </c>
      <c r="J720" s="383">
        <f ca="1"/>
        <v>1.0644243060696659</v>
      </c>
      <c r="K720" s="383">
        <f ca="1"/>
        <v>1.3654044918357047</v>
      </c>
      <c r="P720" s="386"/>
      <c r="Q720" s="768">
        <f ca="1">IF(F720&lt;&gt;0,+F720/'A-23'!D$113,0)</f>
        <v>0</v>
      </c>
      <c r="R720" s="768">
        <f ca="1">IF(G720&lt;&gt;0,+G720/'A-23'!E$113,0)</f>
        <v>11.341064951832021</v>
      </c>
      <c r="S720" s="768">
        <f ca="1">IF(H720&lt;&gt;0,+H720/'A-23'!F$113,0)</f>
        <v>11.451388847277171</v>
      </c>
      <c r="T720" s="768">
        <f ca="1">IF(I720&lt;&gt;0,+I720/'A-23'!G$113,0)</f>
        <v>11.56044279286286</v>
      </c>
      <c r="U720" s="768">
        <f ca="1">IF(J720&lt;&gt;0,+J720/'A-23'!H$113,0)</f>
        <v>11.678757565099586</v>
      </c>
      <c r="V720" s="768">
        <f ca="1">IF(K720&lt;&gt;0,+K720/'A-23'!I$113,0)</f>
        <v>11.787134781939969</v>
      </c>
    </row>
    <row r="721" spans="1:22" s="767" customFormat="1">
      <c r="A721" s="5"/>
      <c r="B721" s="249"/>
      <c r="C721" s="425" t="str">
        <v>Materials</v>
      </c>
      <c r="D721" s="426" t="str">
        <v>Materials</v>
      </c>
      <c r="E721" s="847">
        <f ca="1"/>
        <v>0</v>
      </c>
      <c r="F721" s="386">
        <f ca="1"/>
        <v>0</v>
      </c>
      <c r="G721" s="383">
        <f ca="1"/>
        <v>0</v>
      </c>
      <c r="H721" s="383">
        <f ca="1"/>
        <v>0</v>
      </c>
      <c r="I721" s="383">
        <f ca="1"/>
        <v>0</v>
      </c>
      <c r="J721" s="383">
        <f ca="1"/>
        <v>0</v>
      </c>
      <c r="K721" s="383">
        <f ca="1"/>
        <v>0</v>
      </c>
      <c r="P721" s="386"/>
      <c r="Q721" s="768">
        <f ca="1">IF(F721&lt;&gt;0,+F721/'A-23'!D$114,0)</f>
        <v>0</v>
      </c>
      <c r="R721" s="768">
        <f ca="1">IF(G721&lt;&gt;0,+G721/'A-23'!E$114,0)</f>
        <v>0</v>
      </c>
      <c r="S721" s="768">
        <f ca="1">IF(H721&lt;&gt;0,+H721/'A-23'!F$114,0)</f>
        <v>0</v>
      </c>
      <c r="T721" s="768">
        <f ca="1">IF(I721&lt;&gt;0,+I721/'A-23'!G$114,0)</f>
        <v>0</v>
      </c>
      <c r="U721" s="768">
        <f ca="1">IF(J721&lt;&gt;0,+J721/'A-23'!H$114,0)</f>
        <v>0</v>
      </c>
      <c r="V721" s="768">
        <f ca="1">IF(K721&lt;&gt;0,+K721/'A-23'!I$114,0)</f>
        <v>0</v>
      </c>
    </row>
    <row r="722" spans="1:22" s="767" customFormat="1">
      <c r="A722" s="5"/>
      <c r="B722" s="249"/>
      <c r="C722" s="425" t="str">
        <v>Services-construction</v>
      </c>
      <c r="D722" s="426" t="str">
        <v>Contracts</v>
      </c>
      <c r="E722" s="847">
        <f ca="1"/>
        <v>0</v>
      </c>
      <c r="F722" s="386">
        <f ca="1"/>
        <v>0</v>
      </c>
      <c r="G722" s="383">
        <f ca="1"/>
        <v>-3.73925684564049E-4</v>
      </c>
      <c r="H722" s="383">
        <f ca="1"/>
        <v>-7.5701415223243095E-4</v>
      </c>
      <c r="I722" s="383">
        <f ca="1"/>
        <v>-1.4571871695156415E-3</v>
      </c>
      <c r="J722" s="383">
        <f ca="1"/>
        <v>-2.2961831703670519E-3</v>
      </c>
      <c r="K722" s="383">
        <f ca="1"/>
        <v>-3.3180426444141715E-3</v>
      </c>
      <c r="P722" s="386"/>
      <c r="Q722" s="768">
        <f ca="1">IF(F722&lt;&gt;0,+F722/'A-23'!D$115,0)</f>
        <v>0</v>
      </c>
      <c r="R722" s="768">
        <f ca="1">IF(G722&lt;&gt;0,+G722/'A-23'!E$115,0)</f>
        <v>-7.4785136912811398E-2</v>
      </c>
      <c r="S722" s="768">
        <f ca="1">IF(H722&lt;&gt;0,+H722/'A-23'!F$115,0)</f>
        <v>-7.5512633639147272E-2</v>
      </c>
      <c r="T722" s="768">
        <f ca="1">IF(I722&lt;&gt;0,+I722/'A-23'!G$115,0)</f>
        <v>-7.6231756074839743E-2</v>
      </c>
      <c r="U722" s="768">
        <f ca="1">IF(J722&lt;&gt;0,+J722/'A-23'!H$115,0)</f>
        <v>-7.701194616087767E-2</v>
      </c>
      <c r="V722" s="768">
        <f ca="1">IF(K722&lt;&gt;0,+K722/'A-23'!I$115,0)</f>
        <v>-7.7726606118656005E-2</v>
      </c>
    </row>
    <row r="723" spans="1:22" s="767" customFormat="1">
      <c r="A723" s="5"/>
      <c r="B723" s="249"/>
      <c r="C723" s="425" t="str">
        <v>Services-general</v>
      </c>
      <c r="D723" s="426" t="str">
        <v>Services Other</v>
      </c>
      <c r="E723" s="847">
        <f ca="1"/>
        <v>0</v>
      </c>
      <c r="F723" s="386">
        <f ca="1"/>
        <v>0</v>
      </c>
      <c r="G723" s="383">
        <f ca="1"/>
        <v>3.2622489453317569E-2</v>
      </c>
      <c r="H723" s="383">
        <f ca="1"/>
        <v>6.6044369821791529E-2</v>
      </c>
      <c r="I723" s="383">
        <f ca="1"/>
        <v>0.12712973468098623</v>
      </c>
      <c r="J723" s="383">
        <f ca="1"/>
        <v>0.20032646686337413</v>
      </c>
      <c r="K723" s="383">
        <f ca="1"/>
        <v>0.28947680151807959</v>
      </c>
      <c r="P723" s="386"/>
      <c r="Q723" s="768">
        <f ca="1">IF(F723&lt;&gt;0,+F723/'A-23'!D$116,0)</f>
        <v>0</v>
      </c>
      <c r="R723" s="768">
        <f ca="1">IF(G723&lt;&gt;0,+G723/'A-23'!E$116,0)</f>
        <v>6.5244978906636524</v>
      </c>
      <c r="S723" s="768">
        <f ca="1">IF(H723&lt;&gt;0,+H723/'A-23'!F$116,0)</f>
        <v>6.587967064518037</v>
      </c>
      <c r="T723" s="768">
        <f ca="1">IF(I723&lt;&gt;0,+I723/'A-23'!G$116,0)</f>
        <v>6.6507056380968299</v>
      </c>
      <c r="U723" s="768">
        <f ca="1">IF(J723&lt;&gt;0,+J723/'A-23'!H$116,0)</f>
        <v>6.7187719515490034</v>
      </c>
      <c r="V723" s="768">
        <f ca="1">IF(K723&lt;&gt;0,+K723/'A-23'!I$116,0)</f>
        <v>6.7811212040816633</v>
      </c>
    </row>
    <row r="724" spans="1:22" s="767" customFormat="1">
      <c r="A724" s="5"/>
      <c r="B724" s="249"/>
      <c r="C724" s="425" t="str">
        <v>Labour</v>
      </c>
      <c r="D724" s="426" t="str">
        <v>Business Overheads</v>
      </c>
      <c r="E724" s="847">
        <f ca="1"/>
        <v>0</v>
      </c>
      <c r="F724" s="386">
        <f ca="1"/>
        <v>0</v>
      </c>
      <c r="G724" s="383">
        <f ca="1"/>
        <v>-5.6686247342487298E-2</v>
      </c>
      <c r="H724" s="383">
        <f ca="1"/>
        <v>-0.11570356668822036</v>
      </c>
      <c r="I724" s="383">
        <f ca="1"/>
        <v>-0.1803981266877914</v>
      </c>
      <c r="J724" s="383">
        <f ca="1"/>
        <v>-0.24794200107521894</v>
      </c>
      <c r="K724" s="383">
        <f ca="1"/>
        <v>-0.31805091264110968</v>
      </c>
      <c r="P724" s="386"/>
      <c r="Q724" s="768">
        <f ca="1">IF(F724&lt;&gt;0,+F724/'A-23'!D$117,0)</f>
        <v>0</v>
      </c>
      <c r="R724" s="768">
        <f ca="1">IF(G724&lt;&gt;0,+G724/'A-23'!E$117,0)</f>
        <v>-2.6417344309471491</v>
      </c>
      <c r="S724" s="768">
        <f ca="1">IF(H724&lt;&gt;0,+H724/'A-23'!F$117,0)</f>
        <v>-2.6674327612531212</v>
      </c>
      <c r="T724" s="768">
        <f ca="1">IF(I724&lt;&gt;0,+I724/'A-23'!G$117,0)</f>
        <v>-2.6928352754004208</v>
      </c>
      <c r="U724" s="768">
        <f ca="1">IF(J724&lt;&gt;0,+J724/'A-23'!H$117,0)</f>
        <v>-2.7203949630342472</v>
      </c>
      <c r="V724" s="768">
        <f ca="1">IF(K724&lt;&gt;0,+K724/'A-23'!I$117,0)</f>
        <v>-2.7456398431644167</v>
      </c>
    </row>
    <row r="725" spans="1:22" s="767" customFormat="1">
      <c r="A725" s="5"/>
      <c r="B725" s="249"/>
      <c r="C725" s="425" t="str">
        <v>Materials - Land</v>
      </c>
      <c r="D725" s="426" t="str">
        <v>Other</v>
      </c>
      <c r="E725" s="847">
        <f ca="1"/>
        <v>0</v>
      </c>
      <c r="F725" s="386">
        <f ca="1"/>
        <v>0</v>
      </c>
      <c r="G725" s="383">
        <f ca="1"/>
        <v>0</v>
      </c>
      <c r="H725" s="383">
        <f ca="1"/>
        <v>0</v>
      </c>
      <c r="I725" s="383">
        <f ca="1"/>
        <v>0</v>
      </c>
      <c r="J725" s="383">
        <f ca="1"/>
        <v>0</v>
      </c>
      <c r="K725" s="383">
        <f ca="1"/>
        <v>0</v>
      </c>
      <c r="P725" s="386"/>
      <c r="Q725" s="768">
        <f ca="1">IF(F725&lt;&gt;0,+F725/'A-23'!D$118,0)</f>
        <v>0</v>
      </c>
      <c r="R725" s="768">
        <f ca="1">IF(G725&lt;&gt;0,+G725/'A-23'!E$118,0)</f>
        <v>0</v>
      </c>
      <c r="S725" s="768">
        <f ca="1">IF(H725&lt;&gt;0,+H725/'A-23'!F$118,0)</f>
        <v>0</v>
      </c>
      <c r="T725" s="768">
        <f ca="1">IF(I725&lt;&gt;0,+I725/'A-23'!G$118,0)</f>
        <v>0</v>
      </c>
      <c r="U725" s="768">
        <f ca="1">IF(J725&lt;&gt;0,+J725/'A-23'!H$118,0)</f>
        <v>0</v>
      </c>
      <c r="V725" s="768">
        <f ca="1">IF(K725&lt;&gt;0,+K725/'A-23'!I$118,0)</f>
        <v>0</v>
      </c>
    </row>
    <row r="726" spans="1:22">
      <c r="A726" s="5"/>
      <c r="B726" s="249" t="str">
        <f ca="1">+'I-4 History'!B435</f>
        <v>A-24</v>
      </c>
      <c r="C726" s="14" t="str">
        <f ca="1">+'I-4 History'!C435</f>
        <v>Property – Offices and Depots</v>
      </c>
      <c r="D726" s="418"/>
      <c r="E726" s="507"/>
      <c r="F726" s="11"/>
      <c r="G726" s="11"/>
      <c r="H726" s="11"/>
      <c r="I726" s="11"/>
      <c r="J726" s="11"/>
      <c r="K726" s="11"/>
      <c r="P726" s="11"/>
      <c r="Q726" s="11"/>
      <c r="R726" s="11"/>
      <c r="S726" s="11"/>
      <c r="T726" s="11"/>
      <c r="U726" s="11"/>
      <c r="V726" s="11"/>
    </row>
    <row r="727" spans="1:22">
      <c r="A727" s="5"/>
      <c r="B727" s="249"/>
      <c r="C727" s="424" t="s">
        <v>74</v>
      </c>
      <c r="D727" s="416"/>
      <c r="E727" s="507"/>
      <c r="F727" s="11"/>
      <c r="G727" s="11"/>
      <c r="H727" s="11"/>
      <c r="I727" s="11"/>
      <c r="J727" s="11"/>
      <c r="K727" s="11"/>
      <c r="P727" s="11"/>
      <c r="Q727" s="11"/>
      <c r="R727" s="11"/>
      <c r="S727" s="11"/>
      <c r="T727" s="11"/>
      <c r="U727" s="11"/>
      <c r="V727" s="11"/>
    </row>
    <row r="728" spans="1:22">
      <c r="A728" s="5"/>
      <c r="B728" s="249"/>
      <c r="C728" s="425" t="str">
        <f t="array" ref="C728:D733">+'A-24'!$A$77:$B$82</f>
        <v>Total Output Growth</v>
      </c>
      <c r="D728" s="426" t="str">
        <v>Labour</v>
      </c>
      <c r="E728" s="847">
        <f t="array" ref="E728:K733" ca="1">+'A-24'!$N$77:$T$82</f>
        <v>0</v>
      </c>
      <c r="F728" s="386">
        <f ca="1"/>
        <v>0</v>
      </c>
      <c r="G728" s="383">
        <f ca="1"/>
        <v>8.3075973342070994E-3</v>
      </c>
      <c r="H728" s="383">
        <f ca="1"/>
        <v>1.6005299181788002E-2</v>
      </c>
      <c r="I728" s="383">
        <f ca="1"/>
        <v>2.3614391981074671E-2</v>
      </c>
      <c r="J728" s="383">
        <f ca="1"/>
        <v>3.1869646540097628E-2</v>
      </c>
      <c r="K728" s="383">
        <f ca="1"/>
        <v>3.9431521498752141E-2</v>
      </c>
      <c r="L728" s="790"/>
      <c r="M728" s="790"/>
      <c r="N728" s="790"/>
      <c r="O728" s="790"/>
      <c r="P728" s="386"/>
      <c r="Q728" s="768">
        <f ca="1">IF(F728&lt;&gt;0,+F728/'A-24'!D$77,0)</f>
        <v>0</v>
      </c>
      <c r="R728" s="768">
        <f ca="1">IF(G728&lt;&gt;0,+G728/'A-24'!E$77,0)</f>
        <v>0.78299999999999992</v>
      </c>
      <c r="S728" s="768">
        <f ca="1">IF(H728&lt;&gt;0,+H728/'A-24'!F$77,0)</f>
        <v>0.78300000000000014</v>
      </c>
      <c r="T728" s="768">
        <f ca="1">IF(I728&lt;&gt;0,+I728/'A-24'!G$77,0)</f>
        <v>0.78300000000000014</v>
      </c>
      <c r="U728" s="768">
        <f ca="1">IF(J728&lt;&gt;0,+J728/'A-24'!H$77,0)</f>
        <v>0.78299999999999992</v>
      </c>
      <c r="V728" s="768">
        <f ca="1">IF(K728&lt;&gt;0,+K728/'A-24'!I$77,0)</f>
        <v>0.78300000000000003</v>
      </c>
    </row>
    <row r="729" spans="1:22">
      <c r="A729" s="5"/>
      <c r="B729" s="249"/>
      <c r="C729" s="425" t="str">
        <v>Total Output Growth</v>
      </c>
      <c r="D729" s="426" t="str">
        <v>Materials</v>
      </c>
      <c r="E729" s="847">
        <f ca="1"/>
        <v>0</v>
      </c>
      <c r="F729" s="386">
        <f ca="1"/>
        <v>0</v>
      </c>
      <c r="G729" s="383">
        <f ca="1"/>
        <v>2.1856514059344352E-3</v>
      </c>
      <c r="H729" s="383">
        <f ca="1"/>
        <v>4.2108449954640203E-3</v>
      </c>
      <c r="I729" s="383">
        <f ca="1"/>
        <v>6.2127263704998496E-3</v>
      </c>
      <c r="J729" s="383">
        <f ca="1"/>
        <v>8.3846068802811129E-3</v>
      </c>
      <c r="K729" s="383">
        <f ca="1"/>
        <v>1.0374065681664038E-2</v>
      </c>
      <c r="L729" s="790"/>
      <c r="M729" s="790"/>
      <c r="N729" s="790"/>
      <c r="O729" s="790"/>
      <c r="P729" s="386"/>
      <c r="Q729" s="768">
        <f ca="1">IF(F729&lt;&gt;0,+F729/'A-24'!D$78,0)</f>
        <v>0</v>
      </c>
      <c r="R729" s="768">
        <f ca="1">IF(G729&lt;&gt;0,+G729/'A-24'!E$78,0)</f>
        <v>0.20600000000000002</v>
      </c>
      <c r="S729" s="768">
        <f ca="1">IF(H729&lt;&gt;0,+H729/'A-24'!F$78,0)</f>
        <v>0.20599999999999999</v>
      </c>
      <c r="T729" s="768">
        <f ca="1">IF(I729&lt;&gt;0,+I729/'A-24'!G$78,0)</f>
        <v>0.20600000000000002</v>
      </c>
      <c r="U729" s="768">
        <f ca="1">IF(J729&lt;&gt;0,+J729/'A-24'!H$78,0)</f>
        <v>0.20599999999999999</v>
      </c>
      <c r="V729" s="768">
        <f ca="1">IF(K729&lt;&gt;0,+K729/'A-24'!I$78,0)</f>
        <v>0.20600000000000002</v>
      </c>
    </row>
    <row r="730" spans="1:22">
      <c r="A730" s="5"/>
      <c r="B730" s="249"/>
      <c r="C730" s="425" t="str">
        <v>Total Output Growth</v>
      </c>
      <c r="D730" s="426" t="str">
        <v>Contracts</v>
      </c>
      <c r="E730" s="847">
        <f ca="1"/>
        <v>0</v>
      </c>
      <c r="F730" s="386">
        <f ca="1"/>
        <v>0</v>
      </c>
      <c r="G730" s="383">
        <f ca="1"/>
        <v>3.1829874843705362E-5</v>
      </c>
      <c r="H730" s="383">
        <f ca="1"/>
        <v>6.1322985370835254E-5</v>
      </c>
      <c r="I730" s="383">
        <f ca="1"/>
        <v>9.0476597628638586E-5</v>
      </c>
      <c r="J730" s="383">
        <f ca="1"/>
        <v>1.2210592544098709E-4</v>
      </c>
      <c r="K730" s="383">
        <f ca="1"/>
        <v>1.5107862643200053E-4</v>
      </c>
      <c r="L730" s="790"/>
      <c r="M730" s="790"/>
      <c r="N730" s="790"/>
      <c r="O730" s="790"/>
      <c r="P730" s="386"/>
      <c r="Q730" s="768">
        <f ca="1">IF(F730&lt;&gt;0,+F730/'A-24'!D$79,0)</f>
        <v>0</v>
      </c>
      <c r="R730" s="768">
        <f ca="1">IF(G730&lt;&gt;0,+G730/'A-24'!E$79,0)</f>
        <v>2.9999999999999996E-3</v>
      </c>
      <c r="S730" s="768">
        <f ca="1">IF(H730&lt;&gt;0,+H730/'A-24'!F$79,0)</f>
        <v>3.0000000000000005E-3</v>
      </c>
      <c r="T730" s="768">
        <f ca="1">IF(I730&lt;&gt;0,+I730/'A-24'!G$79,0)</f>
        <v>3.0000000000000001E-3</v>
      </c>
      <c r="U730" s="768">
        <f ca="1">IF(J730&lt;&gt;0,+J730/'A-24'!H$79,0)</f>
        <v>3.0000000000000001E-3</v>
      </c>
      <c r="V730" s="768">
        <f ca="1">IF(K730&lt;&gt;0,+K730/'A-24'!I$79,0)</f>
        <v>2.9999999999999996E-3</v>
      </c>
    </row>
    <row r="731" spans="1:22" s="790" customFormat="1">
      <c r="A731" s="5"/>
      <c r="B731" s="249"/>
      <c r="C731" s="425" t="str">
        <v>Total Output Growth</v>
      </c>
      <c r="D731" s="426" t="str">
        <v>Services Other</v>
      </c>
      <c r="E731" s="847">
        <f ca="1"/>
        <v>0</v>
      </c>
      <c r="F731" s="386">
        <f ca="1"/>
        <v>0</v>
      </c>
      <c r="G731" s="383">
        <f ca="1"/>
        <v>6.8105322207248242E-2</v>
      </c>
      <c r="H731" s="383">
        <f ca="1"/>
        <v>0.13121074769846383</v>
      </c>
      <c r="I731" s="383">
        <f ca="1"/>
        <v>0.19358976005941037</v>
      </c>
      <c r="J731" s="383">
        <f ca="1"/>
        <v>0.26126597846856536</v>
      </c>
      <c r="K731" s="383">
        <f ca="1"/>
        <v>0.3232579010223372</v>
      </c>
      <c r="P731" s="386"/>
      <c r="Q731" s="768">
        <f ca="1">IF(F731&lt;&gt;0,+F731/'A-24'!D$80,0)</f>
        <v>0</v>
      </c>
      <c r="R731" s="768">
        <f ca="1">IF(G731&lt;&gt;0,+G731/'A-24'!E$80,0)</f>
        <v>6.4189999999999996</v>
      </c>
      <c r="S731" s="768">
        <f ca="1">IF(H731&lt;&gt;0,+H731/'A-24'!F$80,0)</f>
        <v>6.4190000000000005</v>
      </c>
      <c r="T731" s="768">
        <f ca="1">IF(I731&lt;&gt;0,+I731/'A-24'!G$80,0)</f>
        <v>6.4190000000000005</v>
      </c>
      <c r="U731" s="768">
        <f ca="1">IF(J731&lt;&gt;0,+J731/'A-24'!H$80,0)</f>
        <v>6.4189999999999996</v>
      </c>
      <c r="V731" s="768">
        <f ca="1">IF(K731&lt;&gt;0,+K731/'A-24'!I$80,0)</f>
        <v>6.4190000000000005</v>
      </c>
    </row>
    <row r="732" spans="1:22" s="790" customFormat="1">
      <c r="A732" s="5"/>
      <c r="B732" s="249"/>
      <c r="C732" s="425" t="str">
        <v>Total Output Growth</v>
      </c>
      <c r="D732" s="426" t="str">
        <v>Business Overheads</v>
      </c>
      <c r="E732" s="847">
        <f ca="1"/>
        <v>0</v>
      </c>
      <c r="F732" s="386">
        <f ca="1"/>
        <v>0</v>
      </c>
      <c r="G732" s="383">
        <f ca="1"/>
        <v>-4.190933521087873E-2</v>
      </c>
      <c r="H732" s="383">
        <f ca="1"/>
        <v>-8.074193073826641E-2</v>
      </c>
      <c r="I732" s="383">
        <f ca="1"/>
        <v>-0.1191275202110408</v>
      </c>
      <c r="J732" s="383">
        <f ca="1"/>
        <v>-0.160772801830633</v>
      </c>
      <c r="K732" s="383">
        <f ca="1"/>
        <v>-0.19892019146880072</v>
      </c>
      <c r="P732" s="386"/>
      <c r="Q732" s="768">
        <f ca="1">IF(F732&lt;&gt;0,+F732/'A-24'!D$81,0)</f>
        <v>0</v>
      </c>
      <c r="R732" s="768">
        <f ca="1">IF(G732&lt;&gt;0,+G732/'A-24'!E$81,0)</f>
        <v>-3.95</v>
      </c>
      <c r="S732" s="768">
        <f ca="1">IF(H732&lt;&gt;0,+H732/'A-24'!F$81,0)</f>
        <v>-3.95</v>
      </c>
      <c r="T732" s="768">
        <f ca="1">IF(I732&lt;&gt;0,+I732/'A-24'!G$81,0)</f>
        <v>-3.95</v>
      </c>
      <c r="U732" s="768">
        <f ca="1">IF(J732&lt;&gt;0,+J732/'A-24'!H$81,0)</f>
        <v>-3.95</v>
      </c>
      <c r="V732" s="768">
        <f ca="1">IF(K732&lt;&gt;0,+K732/'A-24'!I$81,0)</f>
        <v>-3.95</v>
      </c>
    </row>
    <row r="733" spans="1:22" s="790" customFormat="1">
      <c r="A733" s="5"/>
      <c r="B733" s="249"/>
      <c r="C733" s="425" t="str">
        <v>Total Output Growth</v>
      </c>
      <c r="D733" s="426" t="str">
        <v>Other</v>
      </c>
      <c r="E733" s="847">
        <f ca="1"/>
        <v>0</v>
      </c>
      <c r="F733" s="386">
        <f ca="1"/>
        <v>0</v>
      </c>
      <c r="G733" s="383">
        <f ca="1"/>
        <v>1.0609958281235122E-5</v>
      </c>
      <c r="H733" s="383">
        <f ca="1"/>
        <v>2.0440995123611749E-5</v>
      </c>
      <c r="I733" s="383">
        <f ca="1"/>
        <v>3.0158865876212861E-5</v>
      </c>
      <c r="J733" s="383">
        <f ca="1"/>
        <v>4.0701975146995693E-5</v>
      </c>
      <c r="K733" s="383">
        <f ca="1"/>
        <v>5.0359542144000181E-5</v>
      </c>
      <c r="P733" s="386"/>
      <c r="Q733" s="768">
        <f ca="1">IF(F733&lt;&gt;0,+F733/'A-24'!D$82,0)</f>
        <v>0</v>
      </c>
      <c r="R733" s="768">
        <f ca="1">IF(G733&lt;&gt;0,+G733/'A-24'!E$82,0)</f>
        <v>1E-3</v>
      </c>
      <c r="S733" s="768">
        <f ca="1">IF(H733&lt;&gt;0,+H733/'A-24'!F$82,0)</f>
        <v>1E-3</v>
      </c>
      <c r="T733" s="768">
        <f ca="1">IF(I733&lt;&gt;0,+I733/'A-24'!G$82,0)</f>
        <v>1E-3</v>
      </c>
      <c r="U733" s="768">
        <f ca="1">IF(J733&lt;&gt;0,+J733/'A-24'!H$82,0)</f>
        <v>1E-3</v>
      </c>
      <c r="V733" s="768">
        <f ca="1">IF(K733&lt;&gt;0,+K733/'A-24'!I$82,0)</f>
        <v>1E-3</v>
      </c>
    </row>
    <row r="734" spans="1:22">
      <c r="A734" s="5"/>
      <c r="B734" s="249"/>
      <c r="C734" s="424" t="s">
        <v>73</v>
      </c>
      <c r="D734" s="417"/>
      <c r="E734" s="848"/>
      <c r="F734" s="387"/>
      <c r="G734" s="385"/>
      <c r="H734" s="385"/>
      <c r="I734" s="385"/>
      <c r="J734" s="385"/>
      <c r="K734" s="385"/>
      <c r="P734" s="387"/>
      <c r="Q734" s="385"/>
      <c r="R734" s="385"/>
      <c r="S734" s="385"/>
      <c r="T734" s="385"/>
      <c r="U734" s="385"/>
      <c r="V734" s="385"/>
    </row>
    <row r="735" spans="1:22" s="767" customFormat="1">
      <c r="A735" s="5"/>
      <c r="B735" s="249"/>
      <c r="C735" s="425" t="str">
        <f t="array" ref="C735:D740">+'A-24'!$A$113:$B$119</f>
        <v>Labour</v>
      </c>
      <c r="D735" s="426" t="str">
        <v>Labour</v>
      </c>
      <c r="E735" s="847">
        <f t="array" ref="E735:K740" ca="1">+'A-24'!$N$113:$T$119</f>
        <v>0</v>
      </c>
      <c r="F735" s="386">
        <f ca="1"/>
        <v>0</v>
      </c>
      <c r="G735" s="383">
        <f ca="1"/>
        <v>1.6979851441915664E-2</v>
      </c>
      <c r="H735" s="383">
        <f ca="1"/>
        <v>3.4657954367588575E-2</v>
      </c>
      <c r="I735" s="383">
        <f ca="1"/>
        <v>5.403662325804922E-2</v>
      </c>
      <c r="J735" s="383">
        <f ca="1"/>
        <v>7.4268778439899166E-2</v>
      </c>
      <c r="K735" s="383">
        <f ca="1"/>
        <v>9.5269267252482359E-2</v>
      </c>
      <c r="P735" s="386"/>
      <c r="Q735" s="768">
        <f ca="1">IF(F735&lt;&gt;0,+F735/'A-24'!D$113,0)</f>
        <v>0</v>
      </c>
      <c r="R735" s="768">
        <f ca="1">IF(G735&lt;&gt;0,+G735/'A-24'!E$113,0)</f>
        <v>0.79130759733420708</v>
      </c>
      <c r="S735" s="768">
        <f ca="1">IF(H735&lt;&gt;0,+H735/'A-24'!F$113,0)</f>
        <v>0.79900529918178798</v>
      </c>
      <c r="T735" s="768">
        <f ca="1">IF(I735&lt;&gt;0,+I735/'A-24'!G$113,0)</f>
        <v>0.80661439198107465</v>
      </c>
      <c r="U735" s="768">
        <f ca="1">IF(J735&lt;&gt;0,+J735/'A-24'!H$113,0)</f>
        <v>0.81486964654009775</v>
      </c>
      <c r="V735" s="768">
        <f ca="1">IF(K735&lt;&gt;0,+K735/'A-24'!I$113,0)</f>
        <v>0.8224315214987522</v>
      </c>
    </row>
    <row r="736" spans="1:22" s="767" customFormat="1">
      <c r="A736" s="5"/>
      <c r="B736" s="249"/>
      <c r="C736" s="425" t="str">
        <v>Materials</v>
      </c>
      <c r="D736" s="426" t="str">
        <v>Materials</v>
      </c>
      <c r="E736" s="847">
        <f ca="1"/>
        <v>0</v>
      </c>
      <c r="F736" s="386">
        <f ca="1"/>
        <v>0</v>
      </c>
      <c r="G736" s="383">
        <f ca="1"/>
        <v>0</v>
      </c>
      <c r="H736" s="383">
        <f ca="1"/>
        <v>0</v>
      </c>
      <c r="I736" s="383">
        <f ca="1"/>
        <v>0</v>
      </c>
      <c r="J736" s="383">
        <f ca="1"/>
        <v>0</v>
      </c>
      <c r="K736" s="383">
        <f ca="1"/>
        <v>0</v>
      </c>
      <c r="P736" s="386"/>
      <c r="Q736" s="768">
        <f ca="1">IF(F736&lt;&gt;0,+F736/'A-24'!D$114,0)</f>
        <v>0</v>
      </c>
      <c r="R736" s="768">
        <f ca="1">IF(G736&lt;&gt;0,+G736/'A-24'!E$114,0)</f>
        <v>0</v>
      </c>
      <c r="S736" s="768">
        <f ca="1">IF(H736&lt;&gt;0,+H736/'A-24'!F$114,0)</f>
        <v>0</v>
      </c>
      <c r="T736" s="768">
        <f ca="1">IF(I736&lt;&gt;0,+I736/'A-24'!G$114,0)</f>
        <v>0</v>
      </c>
      <c r="U736" s="768">
        <f ca="1">IF(J736&lt;&gt;0,+J736/'A-24'!H$114,0)</f>
        <v>0</v>
      </c>
      <c r="V736" s="768">
        <f ca="1">IF(K736&lt;&gt;0,+K736/'A-24'!I$114,0)</f>
        <v>0</v>
      </c>
    </row>
    <row r="737" spans="1:22" s="767" customFormat="1">
      <c r="A737" s="5"/>
      <c r="B737" s="249"/>
      <c r="C737" s="425" t="str">
        <v>Services-construction</v>
      </c>
      <c r="D737" s="426" t="str">
        <v>Contracts</v>
      </c>
      <c r="E737" s="847">
        <f ca="1"/>
        <v>0</v>
      </c>
      <c r="F737" s="386">
        <f ca="1"/>
        <v>0</v>
      </c>
      <c r="G737" s="383">
        <f ca="1"/>
        <v>1.5159149374218205E-5</v>
      </c>
      <c r="H737" s="383">
        <f ca="1"/>
        <v>3.0689762928341789E-5</v>
      </c>
      <c r="I737" s="383">
        <f ca="1"/>
        <v>5.9075155520904395E-5</v>
      </c>
      <c r="J737" s="383">
        <f ca="1"/>
        <v>9.308850690677239E-5</v>
      </c>
      <c r="K737" s="383">
        <f ca="1"/>
        <v>1.3451524234111509E-4</v>
      </c>
      <c r="P737" s="386"/>
      <c r="Q737" s="768">
        <f ca="1">IF(F737&lt;&gt;0,+F737/'A-24'!D$115,0)</f>
        <v>0</v>
      </c>
      <c r="R737" s="768">
        <f ca="1">IF(G737&lt;&gt;0,+G737/'A-24'!E$115,0)</f>
        <v>3.0318298748437055E-3</v>
      </c>
      <c r="S737" s="768">
        <f ca="1">IF(H737&lt;&gt;0,+H737/'A-24'!F$115,0)</f>
        <v>3.0613229853708348E-3</v>
      </c>
      <c r="T737" s="768">
        <f ca="1">IF(I737&lt;&gt;0,+I737/'A-24'!G$115,0)</f>
        <v>3.0904765976286388E-3</v>
      </c>
      <c r="U737" s="768">
        <f ca="1">IF(J737&lt;&gt;0,+J737/'A-24'!H$115,0)</f>
        <v>3.1221059254409873E-3</v>
      </c>
      <c r="V737" s="768">
        <f ca="1">IF(K737&lt;&gt;0,+K737/'A-24'!I$115,0)</f>
        <v>3.1510786264320008E-3</v>
      </c>
    </row>
    <row r="738" spans="1:22" s="767" customFormat="1">
      <c r="A738" s="5"/>
      <c r="B738" s="249"/>
      <c r="C738" s="425" t="str">
        <v>Services-general</v>
      </c>
      <c r="D738" s="426" t="str">
        <v>Services Other</v>
      </c>
      <c r="E738" s="847">
        <f ca="1"/>
        <v>0</v>
      </c>
      <c r="F738" s="386">
        <f ca="1"/>
        <v>0</v>
      </c>
      <c r="G738" s="383">
        <f ca="1"/>
        <v>3.2435526611035555E-2</v>
      </c>
      <c r="H738" s="383">
        <f ca="1"/>
        <v>6.5665862745675319E-2</v>
      </c>
      <c r="I738" s="383">
        <f ca="1"/>
        <v>0.12640114109622844</v>
      </c>
      <c r="J738" s="383">
        <f ca="1"/>
        <v>0.19917837527819066</v>
      </c>
      <c r="K738" s="383">
        <f ca="1"/>
        <v>0.28781778019587262</v>
      </c>
      <c r="P738" s="386"/>
      <c r="Q738" s="768">
        <f ca="1">IF(F738&lt;&gt;0,+F738/'A-24'!D$116,0)</f>
        <v>0</v>
      </c>
      <c r="R738" s="768">
        <f ca="1">IF(G738&lt;&gt;0,+G738/'A-24'!E$116,0)</f>
        <v>6.487105322207249</v>
      </c>
      <c r="S738" s="768">
        <f ca="1">IF(H738&lt;&gt;0,+H738/'A-24'!F$116,0)</f>
        <v>6.5502107476984639</v>
      </c>
      <c r="T738" s="768">
        <f ca="1">IF(I738&lt;&gt;0,+I738/'A-24'!G$116,0)</f>
        <v>6.6125897600594108</v>
      </c>
      <c r="U738" s="768">
        <f ca="1">IF(J738&lt;&gt;0,+J738/'A-24'!H$116,0)</f>
        <v>6.6802659784685661</v>
      </c>
      <c r="V738" s="768">
        <f ca="1">IF(K738&lt;&gt;0,+K738/'A-24'!I$116,0)</f>
        <v>6.7422579010223389</v>
      </c>
    </row>
    <row r="739" spans="1:22" s="767" customFormat="1">
      <c r="A739" s="5"/>
      <c r="B739" s="249"/>
      <c r="C739" s="425" t="str">
        <v>Labour</v>
      </c>
      <c r="D739" s="426" t="str">
        <v>Business Overheads</v>
      </c>
      <c r="E739" s="847">
        <f ca="1"/>
        <v>0</v>
      </c>
      <c r="F739" s="386">
        <f ca="1"/>
        <v>0</v>
      </c>
      <c r="G739" s="383">
        <f ca="1"/>
        <v>-8.565825440046855E-2</v>
      </c>
      <c r="H739" s="383">
        <f ca="1"/>
        <v>-0.17483897797187087</v>
      </c>
      <c r="I739" s="383">
        <f ca="1"/>
        <v>-0.27259854644865189</v>
      </c>
      <c r="J739" s="383">
        <f ca="1"/>
        <v>-0.37466369711060238</v>
      </c>
      <c r="K739" s="383">
        <f ca="1"/>
        <v>-0.48060486034138611</v>
      </c>
      <c r="P739" s="386"/>
      <c r="Q739" s="768">
        <f ca="1">IF(F739&lt;&gt;0,+F739/'A-24'!D$117,0)</f>
        <v>0</v>
      </c>
      <c r="R739" s="768">
        <f ca="1">IF(G739&lt;&gt;0,+G739/'A-24'!E$117,0)</f>
        <v>-3.9919093352108788</v>
      </c>
      <c r="S739" s="768">
        <f ca="1">IF(H739&lt;&gt;0,+H739/'A-24'!F$117,0)</f>
        <v>-4.0307419307382668</v>
      </c>
      <c r="T739" s="768">
        <f ca="1">IF(I739&lt;&gt;0,+I739/'A-24'!G$117,0)</f>
        <v>-4.0691275202110413</v>
      </c>
      <c r="U739" s="768">
        <f ca="1">IF(J739&lt;&gt;0,+J739/'A-24'!H$117,0)</f>
        <v>-4.1107728018306329</v>
      </c>
      <c r="V739" s="768">
        <f ca="1">IF(K739&lt;&gt;0,+K739/'A-24'!I$117,0)</f>
        <v>-4.1489201914688012</v>
      </c>
    </row>
    <row r="740" spans="1:22" s="767" customFormat="1">
      <c r="A740" s="5"/>
      <c r="B740" s="249"/>
      <c r="C740" s="425" t="str">
        <v>Materials - Land</v>
      </c>
      <c r="D740" s="426" t="str">
        <v>Other</v>
      </c>
      <c r="E740" s="847">
        <f ca="1"/>
        <v>0</v>
      </c>
      <c r="F740" s="386">
        <f ca="1"/>
        <v>0</v>
      </c>
      <c r="G740" s="383">
        <f ca="1"/>
        <v>0</v>
      </c>
      <c r="H740" s="383">
        <f ca="1"/>
        <v>0</v>
      </c>
      <c r="I740" s="383">
        <f ca="1"/>
        <v>0</v>
      </c>
      <c r="J740" s="383">
        <f ca="1"/>
        <v>0</v>
      </c>
      <c r="K740" s="383">
        <f ca="1"/>
        <v>0</v>
      </c>
      <c r="P740" s="386"/>
      <c r="Q740" s="768">
        <f ca="1">IF(F740&lt;&gt;0,+F740/'A-24'!D$118,0)</f>
        <v>0</v>
      </c>
      <c r="R740" s="768">
        <f ca="1">IF(G740&lt;&gt;0,+G740/'A-24'!E$118,0)</f>
        <v>0</v>
      </c>
      <c r="S740" s="768">
        <f ca="1">IF(H740&lt;&gt;0,+H740/'A-24'!F$118,0)</f>
        <v>0</v>
      </c>
      <c r="T740" s="768">
        <f ca="1">IF(I740&lt;&gt;0,+I740/'A-24'!G$118,0)</f>
        <v>0</v>
      </c>
      <c r="U740" s="768">
        <f ca="1">IF(J740&lt;&gt;0,+J740/'A-24'!H$118,0)</f>
        <v>0</v>
      </c>
      <c r="V740" s="768">
        <f ca="1">IF(K740&lt;&gt;0,+K740/'A-24'!I$118,0)</f>
        <v>0</v>
      </c>
    </row>
    <row r="741" spans="1:22">
      <c r="A741" s="5"/>
      <c r="B741" s="249" t="str">
        <f ca="1">+'I-4 History'!B444</f>
        <v>A-25</v>
      </c>
      <c r="C741" s="14" t="str">
        <f ca="1">+'I-4 History'!C444</f>
        <v>Property – DLC Land Tax</v>
      </c>
      <c r="D741" s="418"/>
      <c r="E741" s="507"/>
      <c r="F741" s="11"/>
      <c r="G741" s="11"/>
      <c r="H741" s="11"/>
      <c r="I741" s="11"/>
      <c r="J741" s="11"/>
      <c r="K741" s="11"/>
      <c r="P741" s="11"/>
      <c r="Q741" s="11"/>
      <c r="R741" s="11"/>
      <c r="S741" s="11"/>
      <c r="T741" s="11"/>
      <c r="U741" s="11"/>
      <c r="V741" s="11"/>
    </row>
    <row r="742" spans="1:22">
      <c r="A742" s="5"/>
      <c r="B742" s="249"/>
      <c r="C742" s="424" t="s">
        <v>74</v>
      </c>
      <c r="D742" s="416"/>
      <c r="E742" s="507"/>
      <c r="F742" s="11"/>
      <c r="G742" s="11"/>
      <c r="H742" s="11"/>
      <c r="I742" s="11"/>
      <c r="J742" s="11"/>
      <c r="K742" s="11"/>
      <c r="P742" s="11"/>
      <c r="Q742" s="11"/>
      <c r="R742" s="11"/>
      <c r="S742" s="11"/>
      <c r="T742" s="11"/>
      <c r="U742" s="11"/>
      <c r="V742" s="11"/>
    </row>
    <row r="743" spans="1:22">
      <c r="A743" s="5"/>
      <c r="B743" s="249"/>
      <c r="C743" s="425" t="str">
        <f t="array" ref="C743:D748">+'A-25'!$A$77:$B$82</f>
        <v>Total Output Growth</v>
      </c>
      <c r="D743" s="426" t="str">
        <v>Labour</v>
      </c>
      <c r="E743" s="847">
        <f t="array" ref="E743:K748" ca="1">+'A-25'!$N$77:$T$82</f>
        <v>0</v>
      </c>
      <c r="F743" s="386">
        <f ca="1"/>
        <v>0</v>
      </c>
      <c r="G743" s="383">
        <f ca="1"/>
        <v>0</v>
      </c>
      <c r="H743" s="383">
        <f ca="1"/>
        <v>0</v>
      </c>
      <c r="I743" s="383">
        <f ca="1"/>
        <v>0</v>
      </c>
      <c r="J743" s="383">
        <f ca="1"/>
        <v>0</v>
      </c>
      <c r="K743" s="383">
        <f ca="1"/>
        <v>0</v>
      </c>
      <c r="L743" s="790"/>
      <c r="M743" s="790"/>
      <c r="N743" s="790"/>
      <c r="O743" s="790"/>
      <c r="P743" s="386"/>
      <c r="Q743" s="768">
        <f ca="1">IF(F743&lt;&gt;0,+F743/'A-25'!D$77,0)</f>
        <v>0</v>
      </c>
      <c r="R743" s="768">
        <f ca="1">IF(G743&lt;&gt;0,+G743/'A-25'!E$77,0)</f>
        <v>0</v>
      </c>
      <c r="S743" s="768">
        <f ca="1">IF(H743&lt;&gt;0,+H743/'A-25'!F$77,0)</f>
        <v>0</v>
      </c>
      <c r="T743" s="768">
        <f ca="1">IF(I743&lt;&gt;0,+I743/'A-25'!G$77,0)</f>
        <v>0</v>
      </c>
      <c r="U743" s="768">
        <f ca="1">IF(J743&lt;&gt;0,+J743/'A-25'!H$77,0)</f>
        <v>0</v>
      </c>
      <c r="V743" s="768">
        <f ca="1">IF(K743&lt;&gt;0,+K743/'A-25'!I$77,0)</f>
        <v>0</v>
      </c>
    </row>
    <row r="744" spans="1:22">
      <c r="A744" s="5"/>
      <c r="B744" s="249"/>
      <c r="C744" s="425" t="str">
        <v>Total Output Growth</v>
      </c>
      <c r="D744" s="426" t="str">
        <v>Materials</v>
      </c>
      <c r="E744" s="847">
        <f ca="1"/>
        <v>0</v>
      </c>
      <c r="F744" s="386">
        <f ca="1"/>
        <v>0</v>
      </c>
      <c r="G744" s="383">
        <f ca="1"/>
        <v>0</v>
      </c>
      <c r="H744" s="383">
        <f ca="1"/>
        <v>0</v>
      </c>
      <c r="I744" s="383">
        <f ca="1"/>
        <v>0</v>
      </c>
      <c r="J744" s="383">
        <f ca="1"/>
        <v>0</v>
      </c>
      <c r="K744" s="383">
        <f ca="1"/>
        <v>0</v>
      </c>
      <c r="L744" s="790"/>
      <c r="M744" s="790"/>
      <c r="N744" s="790"/>
      <c r="O744" s="790"/>
      <c r="P744" s="386"/>
      <c r="Q744" s="768">
        <f ca="1">IF(F744&lt;&gt;0,+F744/'A-25'!D$78,0)</f>
        <v>0</v>
      </c>
      <c r="R744" s="768">
        <f ca="1">IF(G744&lt;&gt;0,+G744/'A-25'!E$78,0)</f>
        <v>0</v>
      </c>
      <c r="S744" s="768">
        <f ca="1">IF(H744&lt;&gt;0,+H744/'A-25'!F$78,0)</f>
        <v>0</v>
      </c>
      <c r="T744" s="768">
        <f ca="1">IF(I744&lt;&gt;0,+I744/'A-25'!G$78,0)</f>
        <v>0</v>
      </c>
      <c r="U744" s="768">
        <f ca="1">IF(J744&lt;&gt;0,+J744/'A-25'!H$78,0)</f>
        <v>0</v>
      </c>
      <c r="V744" s="768">
        <f ca="1">IF(K744&lt;&gt;0,+K744/'A-25'!I$78,0)</f>
        <v>0</v>
      </c>
    </row>
    <row r="745" spans="1:22">
      <c r="A745" s="5"/>
      <c r="B745" s="249"/>
      <c r="C745" s="425" t="str">
        <v>Total Output Growth</v>
      </c>
      <c r="D745" s="426" t="str">
        <v>Contracts</v>
      </c>
      <c r="E745" s="847">
        <f ca="1"/>
        <v>0</v>
      </c>
      <c r="F745" s="386">
        <f ca="1"/>
        <v>0</v>
      </c>
      <c r="G745" s="383">
        <f ca="1"/>
        <v>0</v>
      </c>
      <c r="H745" s="383">
        <f ca="1"/>
        <v>0</v>
      </c>
      <c r="I745" s="383">
        <f ca="1"/>
        <v>0</v>
      </c>
      <c r="J745" s="383">
        <f ca="1"/>
        <v>0</v>
      </c>
      <c r="K745" s="383">
        <f ca="1"/>
        <v>0</v>
      </c>
      <c r="L745" s="790"/>
      <c r="M745" s="790"/>
      <c r="N745" s="790"/>
      <c r="O745" s="790"/>
      <c r="P745" s="386"/>
      <c r="Q745" s="768">
        <f ca="1">IF(F745&lt;&gt;0,+F745/'A-25'!D$79,0)</f>
        <v>0</v>
      </c>
      <c r="R745" s="768">
        <f ca="1">IF(G745&lt;&gt;0,+G745/'A-25'!E$79,0)</f>
        <v>0</v>
      </c>
      <c r="S745" s="768">
        <f ca="1">IF(H745&lt;&gt;0,+H745/'A-25'!F$79,0)</f>
        <v>0</v>
      </c>
      <c r="T745" s="768">
        <f ca="1">IF(I745&lt;&gt;0,+I745/'A-25'!G$79,0)</f>
        <v>0</v>
      </c>
      <c r="U745" s="768">
        <f ca="1">IF(J745&lt;&gt;0,+J745/'A-25'!H$79,0)</f>
        <v>0</v>
      </c>
      <c r="V745" s="768">
        <f ca="1">IF(K745&lt;&gt;0,+K745/'A-25'!I$79,0)</f>
        <v>0</v>
      </c>
    </row>
    <row r="746" spans="1:22" s="790" customFormat="1">
      <c r="A746" s="5"/>
      <c r="B746" s="249"/>
      <c r="C746" s="425" t="str">
        <v>Total Output Growth</v>
      </c>
      <c r="D746" s="426" t="str">
        <v>Services Other</v>
      </c>
      <c r="E746" s="847">
        <f ca="1"/>
        <v>0</v>
      </c>
      <c r="F746" s="386">
        <f ca="1"/>
        <v>0</v>
      </c>
      <c r="G746" s="383">
        <f ca="1"/>
        <v>0</v>
      </c>
      <c r="H746" s="383">
        <f ca="1"/>
        <v>0</v>
      </c>
      <c r="I746" s="383">
        <f ca="1"/>
        <v>0</v>
      </c>
      <c r="J746" s="383">
        <f ca="1"/>
        <v>0</v>
      </c>
      <c r="K746" s="383">
        <f ca="1"/>
        <v>0</v>
      </c>
      <c r="P746" s="386"/>
      <c r="Q746" s="768">
        <f ca="1">IF(F746&lt;&gt;0,+F746/'A-25'!D$80,0)</f>
        <v>0</v>
      </c>
      <c r="R746" s="768">
        <f ca="1">IF(G746&lt;&gt;0,+G746/'A-25'!E$80,0)</f>
        <v>0</v>
      </c>
      <c r="S746" s="768">
        <f ca="1">IF(H746&lt;&gt;0,+H746/'A-25'!F$80,0)</f>
        <v>0</v>
      </c>
      <c r="T746" s="768">
        <f ca="1">IF(I746&lt;&gt;0,+I746/'A-25'!G$80,0)</f>
        <v>0</v>
      </c>
      <c r="U746" s="768">
        <f ca="1">IF(J746&lt;&gt;0,+J746/'A-25'!H$80,0)</f>
        <v>0</v>
      </c>
      <c r="V746" s="768">
        <f ca="1">IF(K746&lt;&gt;0,+K746/'A-25'!I$80,0)</f>
        <v>0</v>
      </c>
    </row>
    <row r="747" spans="1:22" s="790" customFormat="1">
      <c r="A747" s="5"/>
      <c r="B747" s="249"/>
      <c r="C747" s="425" t="str">
        <v>Total Output Growth</v>
      </c>
      <c r="D747" s="426" t="str">
        <v>Business Overheads</v>
      </c>
      <c r="E747" s="847">
        <f ca="1"/>
        <v>0</v>
      </c>
      <c r="F747" s="386">
        <f ca="1"/>
        <v>0</v>
      </c>
      <c r="G747" s="383">
        <f ca="1"/>
        <v>0</v>
      </c>
      <c r="H747" s="383">
        <f ca="1"/>
        <v>0</v>
      </c>
      <c r="I747" s="383">
        <f ca="1"/>
        <v>0</v>
      </c>
      <c r="J747" s="383">
        <f ca="1"/>
        <v>0</v>
      </c>
      <c r="K747" s="383">
        <f ca="1"/>
        <v>0</v>
      </c>
      <c r="P747" s="386"/>
      <c r="Q747" s="768">
        <f ca="1">IF(F747&lt;&gt;0,+F747/'A-25'!D$81,0)</f>
        <v>0</v>
      </c>
      <c r="R747" s="768">
        <f ca="1">IF(G747&lt;&gt;0,+G747/'A-25'!E$81,0)</f>
        <v>0</v>
      </c>
      <c r="S747" s="768">
        <f ca="1">IF(H747&lt;&gt;0,+H747/'A-25'!F$81,0)</f>
        <v>0</v>
      </c>
      <c r="T747" s="768">
        <f ca="1">IF(I747&lt;&gt;0,+I747/'A-25'!G$81,0)</f>
        <v>0</v>
      </c>
      <c r="U747" s="768">
        <f ca="1">IF(J747&lt;&gt;0,+J747/'A-25'!H$81,0)</f>
        <v>0</v>
      </c>
      <c r="V747" s="768">
        <f ca="1">IF(K747&lt;&gt;0,+K747/'A-25'!I$81,0)</f>
        <v>0</v>
      </c>
    </row>
    <row r="748" spans="1:22" s="790" customFormat="1">
      <c r="A748" s="5"/>
      <c r="B748" s="249"/>
      <c r="C748" s="425" t="str">
        <v>Total Output Growth</v>
      </c>
      <c r="D748" s="426" t="str">
        <v>Other</v>
      </c>
      <c r="E748" s="847">
        <f ca="1"/>
        <v>0</v>
      </c>
      <c r="F748" s="386">
        <f ca="1"/>
        <v>0</v>
      </c>
      <c r="G748" s="383">
        <f ca="1"/>
        <v>2.6885634284649795E-2</v>
      </c>
      <c r="H748" s="383">
        <f ca="1"/>
        <v>5.1797481643232168E-2</v>
      </c>
      <c r="I748" s="383">
        <f ca="1"/>
        <v>7.6422566130323374E-2</v>
      </c>
      <c r="J748" s="383">
        <f ca="1"/>
        <v>0.10313880502248708</v>
      </c>
      <c r="K748" s="383">
        <f ca="1"/>
        <v>0.12761107979289646</v>
      </c>
      <c r="P748" s="386"/>
      <c r="Q748" s="768">
        <f ca="1">IF(F748&lt;&gt;0,+F748/'A-25'!D$82,0)</f>
        <v>0</v>
      </c>
      <c r="R748" s="768">
        <f ca="1">IF(G748&lt;&gt;0,+G748/'A-25'!E$82,0)</f>
        <v>2.5339999999999998</v>
      </c>
      <c r="S748" s="768">
        <f ca="1">IF(H748&lt;&gt;0,+H748/'A-25'!F$82,0)</f>
        <v>2.5339999999999998</v>
      </c>
      <c r="T748" s="768">
        <f ca="1">IF(I748&lt;&gt;0,+I748/'A-25'!G$82,0)</f>
        <v>2.5339999999999998</v>
      </c>
      <c r="U748" s="768">
        <f ca="1">IF(J748&lt;&gt;0,+J748/'A-25'!H$82,0)</f>
        <v>2.5339999999999998</v>
      </c>
      <c r="V748" s="768">
        <f ca="1">IF(K748&lt;&gt;0,+K748/'A-25'!I$82,0)</f>
        <v>2.5340000000000003</v>
      </c>
    </row>
    <row r="749" spans="1:22">
      <c r="A749" s="5"/>
      <c r="B749" s="249"/>
      <c r="C749" s="424" t="s">
        <v>73</v>
      </c>
      <c r="D749" s="417"/>
      <c r="E749" s="848"/>
      <c r="F749" s="387"/>
      <c r="G749" s="385"/>
      <c r="H749" s="385"/>
      <c r="I749" s="385"/>
      <c r="J749" s="385"/>
      <c r="K749" s="385"/>
      <c r="P749" s="387"/>
      <c r="Q749" s="385"/>
      <c r="R749" s="385"/>
      <c r="S749" s="385"/>
      <c r="T749" s="385"/>
      <c r="U749" s="385"/>
      <c r="V749" s="385"/>
    </row>
    <row r="750" spans="1:22" s="767" customFormat="1">
      <c r="A750" s="5"/>
      <c r="B750" s="249"/>
      <c r="C750" s="425" t="str">
        <f t="array" ref="C750:D755">+'A-25'!$A$113:$B$119</f>
        <v>Labour</v>
      </c>
      <c r="D750" s="426" t="str">
        <v>Labour</v>
      </c>
      <c r="E750" s="847">
        <f t="array" ref="E750:K755" ca="1">+'A-25'!$N$113:$T$119</f>
        <v>0</v>
      </c>
      <c r="F750" s="386">
        <f ca="1"/>
        <v>0</v>
      </c>
      <c r="G750" s="383">
        <f ca="1"/>
        <v>0</v>
      </c>
      <c r="H750" s="383">
        <f ca="1"/>
        <v>0</v>
      </c>
      <c r="I750" s="383">
        <f ca="1"/>
        <v>0</v>
      </c>
      <c r="J750" s="383">
        <f ca="1"/>
        <v>0</v>
      </c>
      <c r="K750" s="383">
        <f ca="1"/>
        <v>0</v>
      </c>
      <c r="P750" s="386"/>
      <c r="Q750" s="768">
        <f ca="1">IF(F750&lt;&gt;0,+F750/'A-25'!D$113,0)</f>
        <v>0</v>
      </c>
      <c r="R750" s="768">
        <f ca="1">IF(G750&lt;&gt;0,+G750/'A-25'!E$113,0)</f>
        <v>0</v>
      </c>
      <c r="S750" s="768">
        <f ca="1">IF(H750&lt;&gt;0,+H750/'A-25'!F$113,0)</f>
        <v>0</v>
      </c>
      <c r="T750" s="768">
        <f ca="1">IF(I750&lt;&gt;0,+I750/'A-25'!G$113,0)</f>
        <v>0</v>
      </c>
      <c r="U750" s="768">
        <f ca="1">IF(J750&lt;&gt;0,+J750/'A-25'!H$113,0)</f>
        <v>0</v>
      </c>
      <c r="V750" s="768">
        <f ca="1">IF(K750&lt;&gt;0,+K750/'A-25'!I$113,0)</f>
        <v>0</v>
      </c>
    </row>
    <row r="751" spans="1:22" s="767" customFormat="1">
      <c r="A751" s="5"/>
      <c r="B751" s="249"/>
      <c r="C751" s="425" t="str">
        <v>Materials</v>
      </c>
      <c r="D751" s="426" t="str">
        <v>Materials</v>
      </c>
      <c r="E751" s="847">
        <f ca="1"/>
        <v>0</v>
      </c>
      <c r="F751" s="386">
        <f ca="1"/>
        <v>0</v>
      </c>
      <c r="G751" s="383">
        <f ca="1"/>
        <v>0</v>
      </c>
      <c r="H751" s="383">
        <f ca="1"/>
        <v>0</v>
      </c>
      <c r="I751" s="383">
        <f ca="1"/>
        <v>0</v>
      </c>
      <c r="J751" s="383">
        <f ca="1"/>
        <v>0</v>
      </c>
      <c r="K751" s="383">
        <f ca="1"/>
        <v>0</v>
      </c>
      <c r="P751" s="386"/>
      <c r="Q751" s="768">
        <f ca="1">IF(F751&lt;&gt;0,+F751/'A-25'!D$114,0)</f>
        <v>0</v>
      </c>
      <c r="R751" s="768">
        <f ca="1">IF(G751&lt;&gt;0,+G751/'A-25'!E$114,0)</f>
        <v>0</v>
      </c>
      <c r="S751" s="768">
        <f ca="1">IF(H751&lt;&gt;0,+H751/'A-25'!F$114,0)</f>
        <v>0</v>
      </c>
      <c r="T751" s="768">
        <f ca="1">IF(I751&lt;&gt;0,+I751/'A-25'!G$114,0)</f>
        <v>0</v>
      </c>
      <c r="U751" s="768">
        <f ca="1">IF(J751&lt;&gt;0,+J751/'A-25'!H$114,0)</f>
        <v>0</v>
      </c>
      <c r="V751" s="768">
        <f ca="1">IF(K751&lt;&gt;0,+K751/'A-25'!I$114,0)</f>
        <v>0</v>
      </c>
    </row>
    <row r="752" spans="1:22" s="767" customFormat="1">
      <c r="A752" s="5"/>
      <c r="B752" s="249"/>
      <c r="C752" s="425" t="str">
        <v>Services-construction</v>
      </c>
      <c r="D752" s="426" t="str">
        <v>Contracts</v>
      </c>
      <c r="E752" s="847">
        <f ca="1"/>
        <v>0</v>
      </c>
      <c r="F752" s="386">
        <f ca="1"/>
        <v>0</v>
      </c>
      <c r="G752" s="383">
        <f ca="1"/>
        <v>0</v>
      </c>
      <c r="H752" s="383">
        <f ca="1"/>
        <v>0</v>
      </c>
      <c r="I752" s="383">
        <f ca="1"/>
        <v>0</v>
      </c>
      <c r="J752" s="383">
        <f ca="1"/>
        <v>0</v>
      </c>
      <c r="K752" s="383">
        <f ca="1"/>
        <v>0</v>
      </c>
      <c r="P752" s="386"/>
      <c r="Q752" s="768">
        <f ca="1">IF(F752&lt;&gt;0,+F752/'A-25'!D$115,0)</f>
        <v>0</v>
      </c>
      <c r="R752" s="768">
        <f ca="1">IF(G752&lt;&gt;0,+G752/'A-25'!E$115,0)</f>
        <v>0</v>
      </c>
      <c r="S752" s="768">
        <f ca="1">IF(H752&lt;&gt;0,+H752/'A-25'!F$115,0)</f>
        <v>0</v>
      </c>
      <c r="T752" s="768">
        <f ca="1">IF(I752&lt;&gt;0,+I752/'A-25'!G$115,0)</f>
        <v>0</v>
      </c>
      <c r="U752" s="768">
        <f ca="1">IF(J752&lt;&gt;0,+J752/'A-25'!H$115,0)</f>
        <v>0</v>
      </c>
      <c r="V752" s="768">
        <f ca="1">IF(K752&lt;&gt;0,+K752/'A-25'!I$115,0)</f>
        <v>0</v>
      </c>
    </row>
    <row r="753" spans="1:22" s="767" customFormat="1">
      <c r="A753" s="5"/>
      <c r="B753" s="249"/>
      <c r="C753" s="425" t="str">
        <v>Services-general</v>
      </c>
      <c r="D753" s="426" t="str">
        <v>Services Other</v>
      </c>
      <c r="E753" s="847">
        <f ca="1"/>
        <v>0</v>
      </c>
      <c r="F753" s="386">
        <f ca="1"/>
        <v>0</v>
      </c>
      <c r="G753" s="383">
        <f ca="1"/>
        <v>0</v>
      </c>
      <c r="H753" s="383">
        <f ca="1"/>
        <v>0</v>
      </c>
      <c r="I753" s="383">
        <f ca="1"/>
        <v>0</v>
      </c>
      <c r="J753" s="383">
        <f ca="1"/>
        <v>0</v>
      </c>
      <c r="K753" s="383">
        <f ca="1"/>
        <v>0</v>
      </c>
      <c r="P753" s="386"/>
      <c r="Q753" s="768">
        <f ca="1">IF(F753&lt;&gt;0,+F753/'A-25'!D$116,0)</f>
        <v>0</v>
      </c>
      <c r="R753" s="768">
        <f ca="1">IF(G753&lt;&gt;0,+G753/'A-25'!E$116,0)</f>
        <v>0</v>
      </c>
      <c r="S753" s="768">
        <f ca="1">IF(H753&lt;&gt;0,+H753/'A-25'!F$116,0)</f>
        <v>0</v>
      </c>
      <c r="T753" s="768">
        <f ca="1">IF(I753&lt;&gt;0,+I753/'A-25'!G$116,0)</f>
        <v>0</v>
      </c>
      <c r="U753" s="768">
        <f ca="1">IF(J753&lt;&gt;0,+J753/'A-25'!H$116,0)</f>
        <v>0</v>
      </c>
      <c r="V753" s="768">
        <f ca="1">IF(K753&lt;&gt;0,+K753/'A-25'!I$116,0)</f>
        <v>0</v>
      </c>
    </row>
    <row r="754" spans="1:22" s="767" customFormat="1">
      <c r="A754" s="5"/>
      <c r="B754" s="249"/>
      <c r="C754" s="425" t="str">
        <v>Labour</v>
      </c>
      <c r="D754" s="426" t="str">
        <v>Business Overheads</v>
      </c>
      <c r="E754" s="847">
        <f ca="1"/>
        <v>0</v>
      </c>
      <c r="F754" s="386">
        <f ca="1"/>
        <v>0</v>
      </c>
      <c r="G754" s="383">
        <f ca="1"/>
        <v>0</v>
      </c>
      <c r="H754" s="383">
        <f ca="1"/>
        <v>0</v>
      </c>
      <c r="I754" s="383">
        <f ca="1"/>
        <v>0</v>
      </c>
      <c r="J754" s="383">
        <f ca="1"/>
        <v>0</v>
      </c>
      <c r="K754" s="383">
        <f ca="1"/>
        <v>0</v>
      </c>
      <c r="P754" s="386"/>
      <c r="Q754" s="768">
        <f ca="1">IF(F754&lt;&gt;0,+F754/'A-25'!D$117,0)</f>
        <v>0</v>
      </c>
      <c r="R754" s="768">
        <f ca="1">IF(G754&lt;&gt;0,+G754/'A-25'!E$117,0)</f>
        <v>0</v>
      </c>
      <c r="S754" s="768">
        <f ca="1">IF(H754&lt;&gt;0,+H754/'A-25'!F$117,0)</f>
        <v>0</v>
      </c>
      <c r="T754" s="768">
        <f ca="1">IF(I754&lt;&gt;0,+I754/'A-25'!G$117,0)</f>
        <v>0</v>
      </c>
      <c r="U754" s="768">
        <f ca="1">IF(J754&lt;&gt;0,+J754/'A-25'!H$117,0)</f>
        <v>0</v>
      </c>
      <c r="V754" s="768">
        <f ca="1">IF(K754&lt;&gt;0,+K754/'A-25'!I$117,0)</f>
        <v>0</v>
      </c>
    </row>
    <row r="755" spans="1:22" s="767" customFormat="1">
      <c r="A755" s="5"/>
      <c r="B755" s="249"/>
      <c r="C755" s="425" t="str">
        <v>Materials - Land</v>
      </c>
      <c r="D755" s="426" t="str">
        <v>Other</v>
      </c>
      <c r="E755" s="847">
        <f ca="1"/>
        <v>0</v>
      </c>
      <c r="F755" s="386">
        <f ca="1"/>
        <v>0</v>
      </c>
      <c r="G755" s="383">
        <f ca="1"/>
        <v>0</v>
      </c>
      <c r="H755" s="383">
        <f ca="1"/>
        <v>0</v>
      </c>
      <c r="I755" s="383">
        <f ca="1"/>
        <v>0</v>
      </c>
      <c r="J755" s="383">
        <f ca="1"/>
        <v>0</v>
      </c>
      <c r="K755" s="383">
        <f ca="1"/>
        <v>0</v>
      </c>
      <c r="P755" s="386"/>
      <c r="Q755" s="768">
        <f ca="1">IF(F755&lt;&gt;0,+F755/'A-25'!D$118,0)</f>
        <v>0</v>
      </c>
      <c r="R755" s="768">
        <f ca="1">IF(G755&lt;&gt;0,+G755/'A-25'!E$118,0)</f>
        <v>0</v>
      </c>
      <c r="S755" s="768">
        <f ca="1">IF(H755&lt;&gt;0,+H755/'A-25'!F$118,0)</f>
        <v>0</v>
      </c>
      <c r="T755" s="768">
        <f ca="1">IF(I755&lt;&gt;0,+I755/'A-25'!G$118,0)</f>
        <v>0</v>
      </c>
      <c r="U755" s="768">
        <f ca="1">IF(J755&lt;&gt;0,+J755/'A-25'!H$118,0)</f>
        <v>0</v>
      </c>
      <c r="V755" s="768">
        <f ca="1">IF(K755&lt;&gt;0,+K755/'A-25'!I$118,0)</f>
        <v>0</v>
      </c>
    </row>
    <row r="756" spans="1:22">
      <c r="A756" s="5"/>
      <c r="B756" s="249" t="str">
        <f ca="1">+'I-4 History'!B453</f>
        <v>A-26</v>
      </c>
      <c r="C756" s="14" t="str">
        <f ca="1">+'I-4 History'!C453</f>
        <v>OHS</v>
      </c>
      <c r="D756" s="418"/>
      <c r="E756" s="507"/>
      <c r="F756" s="11"/>
      <c r="G756" s="11"/>
      <c r="H756" s="11"/>
      <c r="I756" s="11"/>
      <c r="J756" s="11"/>
      <c r="K756" s="11"/>
      <c r="P756" s="11"/>
      <c r="Q756" s="11"/>
      <c r="R756" s="11"/>
      <c r="S756" s="11"/>
      <c r="T756" s="11"/>
      <c r="U756" s="11"/>
      <c r="V756" s="11"/>
    </row>
    <row r="757" spans="1:22">
      <c r="A757" s="5"/>
      <c r="B757" s="249"/>
      <c r="C757" s="424" t="s">
        <v>74</v>
      </c>
      <c r="D757" s="416"/>
      <c r="E757" s="507"/>
      <c r="F757" s="11"/>
      <c r="G757" s="11"/>
      <c r="H757" s="11"/>
      <c r="I757" s="11"/>
      <c r="J757" s="11"/>
      <c r="K757" s="11"/>
      <c r="P757" s="11"/>
      <c r="Q757" s="11"/>
      <c r="R757" s="11"/>
      <c r="S757" s="11"/>
      <c r="T757" s="11"/>
      <c r="U757" s="11"/>
      <c r="V757" s="11"/>
    </row>
    <row r="758" spans="1:22">
      <c r="A758" s="5"/>
      <c r="B758" s="249"/>
      <c r="C758" s="425" t="str">
        <f t="array" ref="C758:D763">+'A-26'!$A$77:$B$82</f>
        <v>Total Output Growth</v>
      </c>
      <c r="D758" s="426" t="str">
        <v>Labour</v>
      </c>
      <c r="E758" s="847">
        <f t="array" ref="E758:K763" ca="1">+'A-26'!$N$77:$T$82</f>
        <v>0</v>
      </c>
      <c r="F758" s="386">
        <f ca="1"/>
        <v>0</v>
      </c>
      <c r="G758" s="383">
        <f ca="1"/>
        <v>1.9204024489035569E-2</v>
      </c>
      <c r="H758" s="383">
        <f ca="1"/>
        <v>3.6998201173737269E-2</v>
      </c>
      <c r="I758" s="383">
        <f ca="1"/>
        <v>5.4587547235945277E-2</v>
      </c>
      <c r="J758" s="383">
        <f ca="1"/>
        <v>7.3670575016062209E-2</v>
      </c>
      <c r="K758" s="383">
        <f ca="1"/>
        <v>9.1150771280640322E-2</v>
      </c>
      <c r="L758" s="790"/>
      <c r="M758" s="790"/>
      <c r="N758" s="790"/>
      <c r="O758" s="790"/>
      <c r="P758" s="386"/>
      <c r="Q758" s="768">
        <f ca="1">IF(F758&lt;&gt;0,+F758/'A-26'!D$77,0)</f>
        <v>0</v>
      </c>
      <c r="R758" s="768">
        <f ca="1">IF(G758&lt;&gt;0,+G758/'A-26'!E$77,0)</f>
        <v>1.81</v>
      </c>
      <c r="S758" s="768">
        <f ca="1">IF(H758&lt;&gt;0,+H758/'A-26'!F$77,0)</f>
        <v>1.81</v>
      </c>
      <c r="T758" s="768">
        <f ca="1">IF(I758&lt;&gt;0,+I758/'A-26'!G$77,0)</f>
        <v>1.81</v>
      </c>
      <c r="U758" s="768">
        <f ca="1">IF(J758&lt;&gt;0,+J758/'A-26'!H$77,0)</f>
        <v>1.81</v>
      </c>
      <c r="V758" s="768">
        <f ca="1">IF(K758&lt;&gt;0,+K758/'A-26'!I$77,0)</f>
        <v>1.8099999999999998</v>
      </c>
    </row>
    <row r="759" spans="1:22">
      <c r="A759" s="5"/>
      <c r="B759" s="249"/>
      <c r="C759" s="425" t="str">
        <v>Total Output Growth</v>
      </c>
      <c r="D759" s="426" t="str">
        <v>Materials</v>
      </c>
      <c r="E759" s="847">
        <f ca="1"/>
        <v>0</v>
      </c>
      <c r="F759" s="386">
        <f ca="1"/>
        <v>0</v>
      </c>
      <c r="G759" s="383">
        <f ca="1"/>
        <v>2.3341908218717269E-4</v>
      </c>
      <c r="H759" s="383">
        <f ca="1"/>
        <v>4.4970189271945852E-4</v>
      </c>
      <c r="I759" s="383">
        <f ca="1"/>
        <v>6.6349504927668294E-4</v>
      </c>
      <c r="J759" s="383">
        <f ca="1"/>
        <v>8.9544345323390537E-4</v>
      </c>
      <c r="K759" s="383">
        <f ca="1"/>
        <v>1.1079099271680041E-3</v>
      </c>
      <c r="L759" s="790"/>
      <c r="M759" s="790"/>
      <c r="N759" s="790"/>
      <c r="O759" s="790"/>
      <c r="P759" s="386"/>
      <c r="Q759" s="768">
        <f ca="1">IF(F759&lt;&gt;0,+F759/'A-26'!D$78,0)</f>
        <v>0</v>
      </c>
      <c r="R759" s="768">
        <f ca="1">IF(G759&lt;&gt;0,+G759/'A-26'!E$78,0)</f>
        <v>2.2000000000000002E-2</v>
      </c>
      <c r="S759" s="768">
        <f ca="1">IF(H759&lt;&gt;0,+H759/'A-26'!F$78,0)</f>
        <v>2.2000000000000002E-2</v>
      </c>
      <c r="T759" s="768">
        <f ca="1">IF(I759&lt;&gt;0,+I759/'A-26'!G$78,0)</f>
        <v>2.2000000000000002E-2</v>
      </c>
      <c r="U759" s="768">
        <f ca="1">IF(J759&lt;&gt;0,+J759/'A-26'!H$78,0)</f>
        <v>2.2000000000000002E-2</v>
      </c>
      <c r="V759" s="768">
        <f ca="1">IF(K759&lt;&gt;0,+K759/'A-26'!I$78,0)</f>
        <v>2.2000000000000002E-2</v>
      </c>
    </row>
    <row r="760" spans="1:22">
      <c r="A760" s="5"/>
      <c r="B760" s="249"/>
      <c r="C760" s="425" t="str">
        <v>Total Output Growth</v>
      </c>
      <c r="D760" s="426" t="str">
        <v>Contracts</v>
      </c>
      <c r="E760" s="847">
        <f ca="1"/>
        <v>0</v>
      </c>
      <c r="F760" s="386">
        <f ca="1"/>
        <v>0</v>
      </c>
      <c r="G760" s="383">
        <f ca="1"/>
        <v>9.4428628702992578E-4</v>
      </c>
      <c r="H760" s="383">
        <f ca="1"/>
        <v>1.8192485660014457E-3</v>
      </c>
      <c r="I760" s="383">
        <f ca="1"/>
        <v>2.6841390629829443E-3</v>
      </c>
      <c r="J760" s="383">
        <f ca="1"/>
        <v>3.6224757880826165E-3</v>
      </c>
      <c r="K760" s="383">
        <f ca="1"/>
        <v>4.4819992508160159E-3</v>
      </c>
      <c r="L760" s="790"/>
      <c r="M760" s="790"/>
      <c r="N760" s="790"/>
      <c r="O760" s="790"/>
      <c r="P760" s="386"/>
      <c r="Q760" s="768">
        <f ca="1">IF(F760&lt;&gt;0,+F760/'A-26'!D$79,0)</f>
        <v>0</v>
      </c>
      <c r="R760" s="768">
        <f ca="1">IF(G760&lt;&gt;0,+G760/'A-26'!E$79,0)</f>
        <v>8.8999999999999996E-2</v>
      </c>
      <c r="S760" s="768">
        <f ca="1">IF(H760&lt;&gt;0,+H760/'A-26'!F$79,0)</f>
        <v>8.8999999999999996E-2</v>
      </c>
      <c r="T760" s="768">
        <f ca="1">IF(I760&lt;&gt;0,+I760/'A-26'!G$79,0)</f>
        <v>8.8999999999999996E-2</v>
      </c>
      <c r="U760" s="768">
        <f ca="1">IF(J760&lt;&gt;0,+J760/'A-26'!H$79,0)</f>
        <v>8.8999999999999996E-2</v>
      </c>
      <c r="V760" s="768">
        <f ca="1">IF(K760&lt;&gt;0,+K760/'A-26'!I$79,0)</f>
        <v>8.8999999999999996E-2</v>
      </c>
    </row>
    <row r="761" spans="1:22" s="790" customFormat="1">
      <c r="A761" s="5"/>
      <c r="B761" s="249"/>
      <c r="C761" s="425" t="str">
        <v>Total Output Growth</v>
      </c>
      <c r="D761" s="426" t="str">
        <v>Services Other</v>
      </c>
      <c r="E761" s="847">
        <f ca="1"/>
        <v>0</v>
      </c>
      <c r="F761" s="386">
        <f ca="1"/>
        <v>0</v>
      </c>
      <c r="G761" s="383">
        <f ca="1"/>
        <v>1.9946721568722026E-3</v>
      </c>
      <c r="H761" s="383">
        <f ca="1"/>
        <v>3.842907083239009E-3</v>
      </c>
      <c r="I761" s="383">
        <f ca="1"/>
        <v>5.6698667847280178E-3</v>
      </c>
      <c r="J761" s="383">
        <f ca="1"/>
        <v>7.6519713276351903E-3</v>
      </c>
      <c r="K761" s="383">
        <f ca="1"/>
        <v>9.4675939230720336E-3</v>
      </c>
      <c r="P761" s="386"/>
      <c r="Q761" s="768">
        <f ca="1">IF(F761&lt;&gt;0,+F761/'A-26'!D$80,0)</f>
        <v>0</v>
      </c>
      <c r="R761" s="768">
        <f ca="1">IF(G761&lt;&gt;0,+G761/'A-26'!E$80,0)</f>
        <v>0.18799999999999997</v>
      </c>
      <c r="S761" s="768">
        <f ca="1">IF(H761&lt;&gt;0,+H761/'A-26'!F$80,0)</f>
        <v>0.188</v>
      </c>
      <c r="T761" s="768">
        <f ca="1">IF(I761&lt;&gt;0,+I761/'A-26'!G$80,0)</f>
        <v>0.188</v>
      </c>
      <c r="U761" s="768">
        <f ca="1">IF(J761&lt;&gt;0,+J761/'A-26'!H$80,0)</f>
        <v>0.188</v>
      </c>
      <c r="V761" s="768">
        <f ca="1">IF(K761&lt;&gt;0,+K761/'A-26'!I$80,0)</f>
        <v>0.188</v>
      </c>
    </row>
    <row r="762" spans="1:22" s="790" customFormat="1">
      <c r="A762" s="5"/>
      <c r="B762" s="249"/>
      <c r="C762" s="425" t="str">
        <v>Total Output Growth</v>
      </c>
      <c r="D762" s="426" t="str">
        <v>Business Overheads</v>
      </c>
      <c r="E762" s="847">
        <f ca="1"/>
        <v>0</v>
      </c>
      <c r="F762" s="386">
        <f ca="1"/>
        <v>0</v>
      </c>
      <c r="G762" s="383">
        <f ca="1"/>
        <v>0</v>
      </c>
      <c r="H762" s="383">
        <f ca="1"/>
        <v>0</v>
      </c>
      <c r="I762" s="383">
        <f ca="1"/>
        <v>0</v>
      </c>
      <c r="J762" s="383">
        <f ca="1"/>
        <v>0</v>
      </c>
      <c r="K762" s="383">
        <f ca="1"/>
        <v>0</v>
      </c>
      <c r="P762" s="386"/>
      <c r="Q762" s="768">
        <f ca="1">IF(F762&lt;&gt;0,+F762/'A-26'!D$81,0)</f>
        <v>0</v>
      </c>
      <c r="R762" s="768">
        <f ca="1">IF(G762&lt;&gt;0,+G762/'A-26'!E$81,0)</f>
        <v>0</v>
      </c>
      <c r="S762" s="768">
        <f ca="1">IF(H762&lt;&gt;0,+H762/'A-26'!F$81,0)</f>
        <v>0</v>
      </c>
      <c r="T762" s="768">
        <f ca="1">IF(I762&lt;&gt;0,+I762/'A-26'!G$81,0)</f>
        <v>0</v>
      </c>
      <c r="U762" s="768">
        <f ca="1">IF(J762&lt;&gt;0,+J762/'A-26'!H$81,0)</f>
        <v>0</v>
      </c>
      <c r="V762" s="768">
        <f ca="1">IF(K762&lt;&gt;0,+K762/'A-26'!I$81,0)</f>
        <v>0</v>
      </c>
    </row>
    <row r="763" spans="1:22" s="790" customFormat="1">
      <c r="A763" s="5"/>
      <c r="B763" s="249"/>
      <c r="C763" s="425" t="str">
        <v>Total Output Growth</v>
      </c>
      <c r="D763" s="426" t="str">
        <v>Other</v>
      </c>
      <c r="E763" s="847">
        <f ca="1"/>
        <v>0</v>
      </c>
      <c r="F763" s="386">
        <f ca="1"/>
        <v>0</v>
      </c>
      <c r="G763" s="383">
        <f ca="1"/>
        <v>0</v>
      </c>
      <c r="H763" s="383">
        <f ca="1"/>
        <v>0</v>
      </c>
      <c r="I763" s="383">
        <f ca="1"/>
        <v>0</v>
      </c>
      <c r="J763" s="383">
        <f ca="1"/>
        <v>0</v>
      </c>
      <c r="K763" s="383">
        <f ca="1"/>
        <v>0</v>
      </c>
      <c r="P763" s="386"/>
      <c r="Q763" s="768">
        <f ca="1">IF(F763&lt;&gt;0,+F763/'A-26'!D$82,0)</f>
        <v>0</v>
      </c>
      <c r="R763" s="768">
        <f ca="1">IF(G763&lt;&gt;0,+G763/'A-26'!E$82,0)</f>
        <v>0</v>
      </c>
      <c r="S763" s="768">
        <f ca="1">IF(H763&lt;&gt;0,+H763/'A-26'!F$82,0)</f>
        <v>0</v>
      </c>
      <c r="T763" s="768">
        <f ca="1">IF(I763&lt;&gt;0,+I763/'A-26'!G$82,0)</f>
        <v>0</v>
      </c>
      <c r="U763" s="768">
        <f ca="1">IF(J763&lt;&gt;0,+J763/'A-26'!H$82,0)</f>
        <v>0</v>
      </c>
      <c r="V763" s="768">
        <f ca="1">IF(K763&lt;&gt;0,+K763/'A-26'!I$82,0)</f>
        <v>0</v>
      </c>
    </row>
    <row r="764" spans="1:22">
      <c r="A764" s="5"/>
      <c r="B764" s="249"/>
      <c r="C764" s="424" t="s">
        <v>73</v>
      </c>
      <c r="D764" s="417"/>
      <c r="E764" s="848"/>
      <c r="F764" s="387"/>
      <c r="G764" s="385"/>
      <c r="H764" s="385"/>
      <c r="I764" s="385"/>
      <c r="J764" s="385"/>
      <c r="K764" s="385"/>
      <c r="P764" s="387"/>
      <c r="Q764" s="385"/>
      <c r="R764" s="385"/>
      <c r="S764" s="385"/>
      <c r="T764" s="385"/>
      <c r="U764" s="385"/>
      <c r="V764" s="385"/>
    </row>
    <row r="765" spans="1:22" s="767" customFormat="1">
      <c r="A765" s="5"/>
      <c r="B765" s="249"/>
      <c r="C765" s="425" t="str">
        <f t="array" ref="C765:D770">+'A-26'!$A$113:$B$119</f>
        <v>Labour</v>
      </c>
      <c r="D765" s="426" t="str">
        <v>Labour</v>
      </c>
      <c r="E765" s="847">
        <f t="array" ref="E765:K770" ca="1">+'A-26'!$N$113:$T$119</f>
        <v>0</v>
      </c>
      <c r="F765" s="386">
        <f ca="1"/>
        <v>0</v>
      </c>
      <c r="G765" s="383">
        <f ca="1"/>
        <v>3.9250997586037485E-2</v>
      </c>
      <c r="H765" s="383">
        <f ca="1"/>
        <v>8.0116088640275002E-2</v>
      </c>
      <c r="I765" s="383">
        <f ca="1"/>
        <v>0.1249122453346987</v>
      </c>
      <c r="J765" s="383">
        <f ca="1"/>
        <v>0.17168133968865579</v>
      </c>
      <c r="K765" s="383">
        <f ca="1"/>
        <v>0.22022653094124273</v>
      </c>
      <c r="P765" s="386"/>
      <c r="Q765" s="768">
        <f ca="1">IF(F765&lt;&gt;0,+F765/'A-26'!D$113,0)</f>
        <v>0</v>
      </c>
      <c r="R765" s="768">
        <f ca="1">IF(G765&lt;&gt;0,+G765/'A-26'!E$113,0)</f>
        <v>1.8292040244890355</v>
      </c>
      <c r="S765" s="768">
        <f ca="1">IF(H765&lt;&gt;0,+H765/'A-26'!F$113,0)</f>
        <v>1.8469982011737374</v>
      </c>
      <c r="T765" s="768">
        <f ca="1">IF(I765&lt;&gt;0,+I765/'A-26'!G$113,0)</f>
        <v>1.8645875472359452</v>
      </c>
      <c r="U765" s="768">
        <f ca="1">IF(J765&lt;&gt;0,+J765/'A-26'!H$113,0)</f>
        <v>1.8836705750160623</v>
      </c>
      <c r="V765" s="768">
        <f ca="1">IF(K765&lt;&gt;0,+K765/'A-26'!I$113,0)</f>
        <v>1.9011507712806404</v>
      </c>
    </row>
    <row r="766" spans="1:22" s="767" customFormat="1">
      <c r="A766" s="5"/>
      <c r="B766" s="249"/>
      <c r="C766" s="425" t="str">
        <v>Materials</v>
      </c>
      <c r="D766" s="426" t="str">
        <v>Materials</v>
      </c>
      <c r="E766" s="847">
        <f ca="1"/>
        <v>0</v>
      </c>
      <c r="F766" s="386">
        <f ca="1"/>
        <v>0</v>
      </c>
      <c r="G766" s="383">
        <f ca="1"/>
        <v>0</v>
      </c>
      <c r="H766" s="383">
        <f ca="1"/>
        <v>0</v>
      </c>
      <c r="I766" s="383">
        <f ca="1"/>
        <v>0</v>
      </c>
      <c r="J766" s="383">
        <f ca="1"/>
        <v>0</v>
      </c>
      <c r="K766" s="383">
        <f ca="1"/>
        <v>0</v>
      </c>
      <c r="P766" s="386"/>
      <c r="Q766" s="768">
        <f ca="1">IF(F766&lt;&gt;0,+F766/'A-26'!D$114,0)</f>
        <v>0</v>
      </c>
      <c r="R766" s="768">
        <f ca="1">IF(G766&lt;&gt;0,+G766/'A-26'!E$114,0)</f>
        <v>0</v>
      </c>
      <c r="S766" s="768">
        <f ca="1">IF(H766&lt;&gt;0,+H766/'A-26'!F$114,0)</f>
        <v>0</v>
      </c>
      <c r="T766" s="768">
        <f ca="1">IF(I766&lt;&gt;0,+I766/'A-26'!G$114,0)</f>
        <v>0</v>
      </c>
      <c r="U766" s="768">
        <f ca="1">IF(J766&lt;&gt;0,+J766/'A-26'!H$114,0)</f>
        <v>0</v>
      </c>
      <c r="V766" s="768">
        <f ca="1">IF(K766&lt;&gt;0,+K766/'A-26'!I$114,0)</f>
        <v>0</v>
      </c>
    </row>
    <row r="767" spans="1:22" s="767" customFormat="1">
      <c r="A767" s="5"/>
      <c r="B767" s="249"/>
      <c r="C767" s="425" t="str">
        <v>Services-construction</v>
      </c>
      <c r="D767" s="426" t="str">
        <v>Contracts</v>
      </c>
      <c r="E767" s="847">
        <f ca="1"/>
        <v>0</v>
      </c>
      <c r="F767" s="386">
        <f ca="1"/>
        <v>0</v>
      </c>
      <c r="G767" s="383">
        <f ca="1"/>
        <v>4.4972143143514004E-4</v>
      </c>
      <c r="H767" s="383">
        <f ca="1"/>
        <v>9.1046296687413979E-4</v>
      </c>
      <c r="I767" s="383">
        <f ca="1"/>
        <v>1.7525629471201634E-3</v>
      </c>
      <c r="J767" s="383">
        <f ca="1"/>
        <v>2.7616257049009139E-3</v>
      </c>
      <c r="K767" s="383">
        <f ca="1"/>
        <v>3.9906188561197476E-3</v>
      </c>
      <c r="P767" s="386"/>
      <c r="Q767" s="768">
        <f ca="1">IF(F767&lt;&gt;0,+F767/'A-26'!D$115,0)</f>
        <v>0</v>
      </c>
      <c r="R767" s="768">
        <f ca="1">IF(G767&lt;&gt;0,+G767/'A-26'!E$115,0)</f>
        <v>8.9944286287029926E-2</v>
      </c>
      <c r="S767" s="768">
        <f ca="1">IF(H767&lt;&gt;0,+H767/'A-26'!F$115,0)</f>
        <v>9.0819248566001445E-2</v>
      </c>
      <c r="T767" s="768">
        <f ca="1">IF(I767&lt;&gt;0,+I767/'A-26'!G$115,0)</f>
        <v>9.1684139062982936E-2</v>
      </c>
      <c r="U767" s="768">
        <f ca="1">IF(J767&lt;&gt;0,+J767/'A-26'!H$115,0)</f>
        <v>9.2622475788082609E-2</v>
      </c>
      <c r="V767" s="768">
        <f ca="1">IF(K767&lt;&gt;0,+K767/'A-26'!I$115,0)</f>
        <v>9.3481999250816017E-2</v>
      </c>
    </row>
    <row r="768" spans="1:22" s="767" customFormat="1">
      <c r="A768" s="5"/>
      <c r="B768" s="249"/>
      <c r="C768" s="425" t="str">
        <v>Services-general</v>
      </c>
      <c r="D768" s="426" t="str">
        <v>Services Other</v>
      </c>
      <c r="E768" s="847">
        <f ca="1"/>
        <v>0</v>
      </c>
      <c r="F768" s="386">
        <f ca="1"/>
        <v>0</v>
      </c>
      <c r="G768" s="383">
        <f ca="1"/>
        <v>9.4997336078434078E-4</v>
      </c>
      <c r="H768" s="383">
        <f ca="1"/>
        <v>1.923225143509419E-3</v>
      </c>
      <c r="I768" s="383">
        <f ca="1"/>
        <v>3.7020430793100086E-3</v>
      </c>
      <c r="J768" s="383">
        <f ca="1"/>
        <v>5.8335464328244024E-3</v>
      </c>
      <c r="K768" s="383">
        <f ca="1"/>
        <v>8.4296218533765448E-3</v>
      </c>
      <c r="P768" s="386"/>
      <c r="Q768" s="768">
        <f ca="1">IF(F768&lt;&gt;0,+F768/'A-26'!D$116,0)</f>
        <v>0</v>
      </c>
      <c r="R768" s="768">
        <f ca="1">IF(G768&lt;&gt;0,+G768/'A-26'!E$116,0)</f>
        <v>0.18999467215687221</v>
      </c>
      <c r="S768" s="768">
        <f ca="1">IF(H768&lt;&gt;0,+H768/'A-26'!F$116,0)</f>
        <v>0.19184290708323901</v>
      </c>
      <c r="T768" s="768">
        <f ca="1">IF(I768&lt;&gt;0,+I768/'A-26'!G$116,0)</f>
        <v>0.19366986678472803</v>
      </c>
      <c r="U768" s="768">
        <f ca="1">IF(J768&lt;&gt;0,+J768/'A-26'!H$116,0)</f>
        <v>0.19565197132763518</v>
      </c>
      <c r="V768" s="768">
        <f ca="1">IF(K768&lt;&gt;0,+K768/'A-26'!I$116,0)</f>
        <v>0.19746759392307203</v>
      </c>
    </row>
    <row r="769" spans="1:22" s="767" customFormat="1">
      <c r="A769" s="5"/>
      <c r="B769" s="249"/>
      <c r="C769" s="425" t="str">
        <v>Labour</v>
      </c>
      <c r="D769" s="426" t="str">
        <v>Business Overheads</v>
      </c>
      <c r="E769" s="847">
        <f ca="1"/>
        <v>0</v>
      </c>
      <c r="F769" s="386">
        <f ca="1"/>
        <v>0</v>
      </c>
      <c r="G769" s="383">
        <f ca="1"/>
        <v>0</v>
      </c>
      <c r="H769" s="383">
        <f ca="1"/>
        <v>0</v>
      </c>
      <c r="I769" s="383">
        <f ca="1"/>
        <v>0</v>
      </c>
      <c r="J769" s="383">
        <f ca="1"/>
        <v>0</v>
      </c>
      <c r="K769" s="383">
        <f ca="1"/>
        <v>0</v>
      </c>
      <c r="P769" s="386"/>
      <c r="Q769" s="768">
        <f ca="1">IF(F769&lt;&gt;0,+F769/'A-26'!D$117,0)</f>
        <v>0</v>
      </c>
      <c r="R769" s="768">
        <f ca="1">IF(G769&lt;&gt;0,+G769/'A-26'!E$117,0)</f>
        <v>0</v>
      </c>
      <c r="S769" s="768">
        <f ca="1">IF(H769&lt;&gt;0,+H769/'A-26'!F$117,0)</f>
        <v>0</v>
      </c>
      <c r="T769" s="768">
        <f ca="1">IF(I769&lt;&gt;0,+I769/'A-26'!G$117,0)</f>
        <v>0</v>
      </c>
      <c r="U769" s="768">
        <f ca="1">IF(J769&lt;&gt;0,+J769/'A-26'!H$117,0)</f>
        <v>0</v>
      </c>
      <c r="V769" s="768">
        <f ca="1">IF(K769&lt;&gt;0,+K769/'A-26'!I$117,0)</f>
        <v>0</v>
      </c>
    </row>
    <row r="770" spans="1:22" s="767" customFormat="1">
      <c r="A770" s="5"/>
      <c r="B770" s="249"/>
      <c r="C770" s="425" t="str">
        <v>Materials - Land</v>
      </c>
      <c r="D770" s="426" t="str">
        <v>Other</v>
      </c>
      <c r="E770" s="847">
        <f ca="1"/>
        <v>0</v>
      </c>
      <c r="F770" s="386">
        <f ca="1"/>
        <v>0</v>
      </c>
      <c r="G770" s="383">
        <f ca="1"/>
        <v>0</v>
      </c>
      <c r="H770" s="383">
        <f ca="1"/>
        <v>0</v>
      </c>
      <c r="I770" s="383">
        <f ca="1"/>
        <v>0</v>
      </c>
      <c r="J770" s="383">
        <f ca="1"/>
        <v>0</v>
      </c>
      <c r="K770" s="383">
        <f ca="1"/>
        <v>0</v>
      </c>
      <c r="P770" s="386"/>
      <c r="Q770" s="768">
        <f ca="1">IF(F770&lt;&gt;0,+F770/'A-26'!D$118,0)</f>
        <v>0</v>
      </c>
      <c r="R770" s="768">
        <f ca="1">IF(G770&lt;&gt;0,+G770/'A-26'!E$118,0)</f>
        <v>0</v>
      </c>
      <c r="S770" s="768">
        <f ca="1">IF(H770&lt;&gt;0,+H770/'A-26'!F$118,0)</f>
        <v>0</v>
      </c>
      <c r="T770" s="768">
        <f ca="1">IF(I770&lt;&gt;0,+I770/'A-26'!G$118,0)</f>
        <v>0</v>
      </c>
      <c r="U770" s="768">
        <f ca="1">IF(J770&lt;&gt;0,+J770/'A-26'!H$118,0)</f>
        <v>0</v>
      </c>
      <c r="V770" s="768">
        <f ca="1">IF(K770&lt;&gt;0,+K770/'A-26'!I$118,0)</f>
        <v>0</v>
      </c>
    </row>
    <row r="771" spans="1:22">
      <c r="A771" s="5"/>
      <c r="B771" s="249" t="str">
        <f ca="1">+'I-4 History'!B462</f>
        <v>A-27</v>
      </c>
      <c r="C771" s="14" t="str">
        <f ca="1">+'I-4 History'!C462</f>
        <v>Environment</v>
      </c>
      <c r="D771" s="418"/>
      <c r="E771" s="507"/>
      <c r="F771" s="11"/>
      <c r="G771" s="11"/>
      <c r="H771" s="11"/>
      <c r="I771" s="11"/>
      <c r="J771" s="11"/>
      <c r="K771" s="11"/>
      <c r="P771" s="11"/>
      <c r="Q771" s="11"/>
      <c r="R771" s="11"/>
      <c r="S771" s="11"/>
      <c r="T771" s="11"/>
      <c r="U771" s="11"/>
      <c r="V771" s="11"/>
    </row>
    <row r="772" spans="1:22">
      <c r="A772" s="5"/>
      <c r="B772" s="249"/>
      <c r="C772" s="424" t="s">
        <v>74</v>
      </c>
      <c r="D772" s="416"/>
      <c r="E772" s="507"/>
      <c r="F772" s="11"/>
      <c r="G772" s="11"/>
      <c r="H772" s="11"/>
      <c r="I772" s="11"/>
      <c r="J772" s="11"/>
      <c r="K772" s="11"/>
      <c r="P772" s="11"/>
      <c r="Q772" s="11"/>
      <c r="R772" s="11"/>
      <c r="S772" s="11"/>
      <c r="T772" s="11"/>
      <c r="U772" s="11"/>
      <c r="V772" s="11"/>
    </row>
    <row r="773" spans="1:22">
      <c r="A773" s="5"/>
      <c r="B773" s="249"/>
      <c r="C773" s="425" t="str">
        <f t="array" ref="C773:D778">+'A-27'!$A$77:$B$82</f>
        <v>Total Output Growth</v>
      </c>
      <c r="D773" s="426" t="str">
        <v>Labour</v>
      </c>
      <c r="E773" s="847">
        <f t="array" ref="E773:K778" ca="1">+'A-27'!$N$77:$T$82</f>
        <v>0</v>
      </c>
      <c r="F773" s="386">
        <f ca="1"/>
        <v>0</v>
      </c>
      <c r="G773" s="383">
        <f ca="1"/>
        <v>5.1670496829615041E-3</v>
      </c>
      <c r="H773" s="383">
        <f ca="1"/>
        <v>9.9547646251989218E-3</v>
      </c>
      <c r="I773" s="383">
        <f ca="1"/>
        <v>1.4687367681715663E-2</v>
      </c>
      <c r="J773" s="383">
        <f ca="1"/>
        <v>1.9821861896586902E-2</v>
      </c>
      <c r="K773" s="383">
        <f ca="1"/>
        <v>2.4525097024128088E-2</v>
      </c>
      <c r="L773" s="790"/>
      <c r="M773" s="790"/>
      <c r="N773" s="790"/>
      <c r="O773" s="790"/>
      <c r="P773" s="386"/>
      <c r="Q773" s="768">
        <f ca="1">IF(F773&lt;&gt;0,+F773/'A-27'!D$77,0)</f>
        <v>0</v>
      </c>
      <c r="R773" s="768">
        <f ca="1">IF(G773&lt;&gt;0,+G773/'A-27'!E$77,0)</f>
        <v>0.48699999999999999</v>
      </c>
      <c r="S773" s="768">
        <f ca="1">IF(H773&lt;&gt;0,+H773/'A-27'!F$77,0)</f>
        <v>0.48699999999999999</v>
      </c>
      <c r="T773" s="768">
        <f ca="1">IF(I773&lt;&gt;0,+I773/'A-27'!G$77,0)</f>
        <v>0.48699999999999999</v>
      </c>
      <c r="U773" s="768">
        <f ca="1">IF(J773&lt;&gt;0,+J773/'A-27'!H$77,0)</f>
        <v>0.48699999999999993</v>
      </c>
      <c r="V773" s="768">
        <f ca="1">IF(K773&lt;&gt;0,+K773/'A-27'!I$77,0)</f>
        <v>0.48699999999999999</v>
      </c>
    </row>
    <row r="774" spans="1:22">
      <c r="A774" s="5"/>
      <c r="B774" s="249"/>
      <c r="C774" s="425" t="str">
        <v>Total Output Growth</v>
      </c>
      <c r="D774" s="426" t="str">
        <v>Materials</v>
      </c>
      <c r="E774" s="847">
        <f ca="1"/>
        <v>0</v>
      </c>
      <c r="F774" s="386">
        <f ca="1"/>
        <v>0</v>
      </c>
      <c r="G774" s="383">
        <f ca="1"/>
        <v>1.8036929078099707E-4</v>
      </c>
      <c r="H774" s="383">
        <f ca="1"/>
        <v>3.4749691710139974E-4</v>
      </c>
      <c r="I774" s="383">
        <f ca="1"/>
        <v>5.1270071989561864E-4</v>
      </c>
      <c r="J774" s="383">
        <f ca="1"/>
        <v>6.9193357749892687E-4</v>
      </c>
      <c r="K774" s="383">
        <f ca="1"/>
        <v>8.5611221644800309E-4</v>
      </c>
      <c r="L774" s="790"/>
      <c r="M774" s="790"/>
      <c r="N774" s="790"/>
      <c r="O774" s="790"/>
      <c r="P774" s="386"/>
      <c r="Q774" s="768">
        <f ca="1">IF(F774&lt;&gt;0,+F774/'A-27'!D$78,0)</f>
        <v>0</v>
      </c>
      <c r="R774" s="768">
        <f ca="1">IF(G774&lt;&gt;0,+G774/'A-27'!E$78,0)</f>
        <v>1.7000000000000001E-2</v>
      </c>
      <c r="S774" s="768">
        <f ca="1">IF(H774&lt;&gt;0,+H774/'A-27'!F$78,0)</f>
        <v>1.7000000000000001E-2</v>
      </c>
      <c r="T774" s="768">
        <f ca="1">IF(I774&lt;&gt;0,+I774/'A-27'!G$78,0)</f>
        <v>1.7000000000000001E-2</v>
      </c>
      <c r="U774" s="768">
        <f ca="1">IF(J774&lt;&gt;0,+J774/'A-27'!H$78,0)</f>
        <v>1.7000000000000001E-2</v>
      </c>
      <c r="V774" s="768">
        <f ca="1">IF(K774&lt;&gt;0,+K774/'A-27'!I$78,0)</f>
        <v>1.7000000000000001E-2</v>
      </c>
    </row>
    <row r="775" spans="1:22">
      <c r="A775" s="5"/>
      <c r="B775" s="249"/>
      <c r="C775" s="425" t="str">
        <v>Total Output Growth</v>
      </c>
      <c r="D775" s="426" t="str">
        <v>Contracts</v>
      </c>
      <c r="E775" s="847">
        <f ca="1"/>
        <v>0</v>
      </c>
      <c r="F775" s="386">
        <f ca="1"/>
        <v>0</v>
      </c>
      <c r="G775" s="383">
        <f ca="1"/>
        <v>-5.3049791406175605E-5</v>
      </c>
      <c r="H775" s="383">
        <f ca="1"/>
        <v>-1.0220497561805875E-4</v>
      </c>
      <c r="I775" s="383">
        <f ca="1"/>
        <v>-1.507943293810643E-4</v>
      </c>
      <c r="J775" s="383">
        <f ca="1"/>
        <v>-2.0350987573497848E-4</v>
      </c>
      <c r="K775" s="383">
        <f ca="1"/>
        <v>-2.5179771072000092E-4</v>
      </c>
      <c r="L775" s="790"/>
      <c r="M775" s="790"/>
      <c r="N775" s="790"/>
      <c r="O775" s="790"/>
      <c r="P775" s="386"/>
      <c r="Q775" s="768">
        <f ca="1">IF(F775&lt;&gt;0,+F775/'A-27'!D$79,0)</f>
        <v>0</v>
      </c>
      <c r="R775" s="768">
        <f ca="1">IF(G775&lt;&gt;0,+G775/'A-27'!E$79,0)</f>
        <v>-5.0000000000000001E-3</v>
      </c>
      <c r="S775" s="768">
        <f ca="1">IF(H775&lt;&gt;0,+H775/'A-27'!F$79,0)</f>
        <v>-5.0000000000000001E-3</v>
      </c>
      <c r="T775" s="768">
        <f ca="1">IF(I775&lt;&gt;0,+I775/'A-27'!G$79,0)</f>
        <v>-5.0000000000000001E-3</v>
      </c>
      <c r="U775" s="768">
        <f ca="1">IF(J775&lt;&gt;0,+J775/'A-27'!H$79,0)</f>
        <v>-5.0000000000000001E-3</v>
      </c>
      <c r="V775" s="768">
        <f ca="1">IF(K775&lt;&gt;0,+K775/'A-27'!I$79,0)</f>
        <v>-5.0000000000000001E-3</v>
      </c>
    </row>
    <row r="776" spans="1:22" s="790" customFormat="1">
      <c r="A776" s="5"/>
      <c r="B776" s="249"/>
      <c r="C776" s="425" t="str">
        <v>Total Output Growth</v>
      </c>
      <c r="D776" s="426" t="str">
        <v>Services Other</v>
      </c>
      <c r="E776" s="847">
        <f ca="1"/>
        <v>0</v>
      </c>
      <c r="F776" s="386">
        <f ca="1"/>
        <v>0</v>
      </c>
      <c r="G776" s="383">
        <f ca="1"/>
        <v>1.1246555778109228E-3</v>
      </c>
      <c r="H776" s="383">
        <f ca="1"/>
        <v>2.1667454831028454E-3</v>
      </c>
      <c r="I776" s="383">
        <f ca="1"/>
        <v>3.1968397828785631E-3</v>
      </c>
      <c r="J776" s="383">
        <f ca="1"/>
        <v>4.3144093655815433E-3</v>
      </c>
      <c r="K776" s="383">
        <f ca="1"/>
        <v>5.3381114672640187E-3</v>
      </c>
      <c r="P776" s="386"/>
      <c r="Q776" s="768">
        <f ca="1">IF(F776&lt;&gt;0,+F776/'A-27'!D$80,0)</f>
        <v>0</v>
      </c>
      <c r="R776" s="768">
        <f ca="1">IF(G776&lt;&gt;0,+G776/'A-27'!E$80,0)</f>
        <v>0.106</v>
      </c>
      <c r="S776" s="768">
        <f ca="1">IF(H776&lt;&gt;0,+H776/'A-27'!F$80,0)</f>
        <v>0.106</v>
      </c>
      <c r="T776" s="768">
        <f ca="1">IF(I776&lt;&gt;0,+I776/'A-27'!G$80,0)</f>
        <v>0.106</v>
      </c>
      <c r="U776" s="768">
        <f ca="1">IF(J776&lt;&gt;0,+J776/'A-27'!H$80,0)</f>
        <v>0.106</v>
      </c>
      <c r="V776" s="768">
        <f ca="1">IF(K776&lt;&gt;0,+K776/'A-27'!I$80,0)</f>
        <v>0.106</v>
      </c>
    </row>
    <row r="777" spans="1:22" s="790" customFormat="1">
      <c r="A777" s="5"/>
      <c r="B777" s="249"/>
      <c r="C777" s="425" t="str">
        <v>Total Output Growth</v>
      </c>
      <c r="D777" s="426" t="str">
        <v>Business Overheads</v>
      </c>
      <c r="E777" s="847">
        <f ca="1"/>
        <v>0</v>
      </c>
      <c r="F777" s="386">
        <f ca="1"/>
        <v>0</v>
      </c>
      <c r="G777" s="383">
        <f ca="1"/>
        <v>0</v>
      </c>
      <c r="H777" s="383">
        <f ca="1"/>
        <v>0</v>
      </c>
      <c r="I777" s="383">
        <f ca="1"/>
        <v>0</v>
      </c>
      <c r="J777" s="383">
        <f ca="1"/>
        <v>0</v>
      </c>
      <c r="K777" s="383">
        <f ca="1"/>
        <v>0</v>
      </c>
      <c r="P777" s="386"/>
      <c r="Q777" s="768">
        <f ca="1">IF(F777&lt;&gt;0,+F777/'A-27'!D$81,0)</f>
        <v>0</v>
      </c>
      <c r="R777" s="768">
        <f ca="1">IF(G777&lt;&gt;0,+G777/'A-27'!E$81,0)</f>
        <v>0</v>
      </c>
      <c r="S777" s="768">
        <f ca="1">IF(H777&lt;&gt;0,+H777/'A-27'!F$81,0)</f>
        <v>0</v>
      </c>
      <c r="T777" s="768">
        <f ca="1">IF(I777&lt;&gt;0,+I777/'A-27'!G$81,0)</f>
        <v>0</v>
      </c>
      <c r="U777" s="768">
        <f ca="1">IF(J777&lt;&gt;0,+J777/'A-27'!H$81,0)</f>
        <v>0</v>
      </c>
      <c r="V777" s="768">
        <f ca="1">IF(K777&lt;&gt;0,+K777/'A-27'!I$81,0)</f>
        <v>0</v>
      </c>
    </row>
    <row r="778" spans="1:22" s="790" customFormat="1">
      <c r="A778" s="5"/>
      <c r="B778" s="249"/>
      <c r="C778" s="425" t="str">
        <v>Total Output Growth</v>
      </c>
      <c r="D778" s="426" t="str">
        <v>Other</v>
      </c>
      <c r="E778" s="847">
        <f ca="1"/>
        <v>0</v>
      </c>
      <c r="F778" s="386">
        <f ca="1"/>
        <v>0</v>
      </c>
      <c r="G778" s="383">
        <f ca="1"/>
        <v>0</v>
      </c>
      <c r="H778" s="383">
        <f ca="1"/>
        <v>0</v>
      </c>
      <c r="I778" s="383">
        <f ca="1"/>
        <v>0</v>
      </c>
      <c r="J778" s="383">
        <f ca="1"/>
        <v>0</v>
      </c>
      <c r="K778" s="383">
        <f ca="1"/>
        <v>0</v>
      </c>
      <c r="P778" s="386"/>
      <c r="Q778" s="768">
        <f ca="1">IF(F778&lt;&gt;0,+F778/'A-27'!D$82,0)</f>
        <v>0</v>
      </c>
      <c r="R778" s="768">
        <f ca="1">IF(G778&lt;&gt;0,+G778/'A-27'!E$82,0)</f>
        <v>0</v>
      </c>
      <c r="S778" s="768">
        <f ca="1">IF(H778&lt;&gt;0,+H778/'A-27'!F$82,0)</f>
        <v>0</v>
      </c>
      <c r="T778" s="768">
        <f ca="1">IF(I778&lt;&gt;0,+I778/'A-27'!G$82,0)</f>
        <v>0</v>
      </c>
      <c r="U778" s="768">
        <f ca="1">IF(J778&lt;&gt;0,+J778/'A-27'!H$82,0)</f>
        <v>0</v>
      </c>
      <c r="V778" s="768">
        <f ca="1">IF(K778&lt;&gt;0,+K778/'A-27'!I$82,0)</f>
        <v>0</v>
      </c>
    </row>
    <row r="779" spans="1:22">
      <c r="A779" s="5"/>
      <c r="B779" s="249"/>
      <c r="C779" s="424" t="s">
        <v>73</v>
      </c>
      <c r="D779" s="417"/>
      <c r="E779" s="848"/>
      <c r="F779" s="387"/>
      <c r="G779" s="385"/>
      <c r="H779" s="385"/>
      <c r="I779" s="385"/>
      <c r="J779" s="385"/>
      <c r="K779" s="385"/>
      <c r="P779" s="387"/>
      <c r="Q779" s="385"/>
      <c r="R779" s="385"/>
      <c r="S779" s="385"/>
      <c r="T779" s="385"/>
      <c r="U779" s="385"/>
      <c r="V779" s="385"/>
    </row>
    <row r="780" spans="1:22" s="767" customFormat="1">
      <c r="A780" s="5"/>
      <c r="B780" s="249"/>
      <c r="C780" s="425" t="str">
        <f t="array" ref="C780:D785">+'A-27'!$A$113:$B$119</f>
        <v>Labour</v>
      </c>
      <c r="D780" s="426" t="str">
        <v>Labour</v>
      </c>
      <c r="E780" s="847">
        <f t="array" ref="E780:K785" ca="1">+'A-27'!$N$113:$T$119</f>
        <v>0</v>
      </c>
      <c r="F780" s="386">
        <f ca="1"/>
        <v>0</v>
      </c>
      <c r="G780" s="383">
        <f ca="1"/>
        <v>1.0560903770386881E-2</v>
      </c>
      <c r="H780" s="383">
        <f ca="1"/>
        <v>2.1556096777797747E-2</v>
      </c>
      <c r="I780" s="383">
        <f ca="1"/>
        <v>3.3608985346960364E-2</v>
      </c>
      <c r="J780" s="383">
        <f ca="1"/>
        <v>4.6192714048826161E-2</v>
      </c>
      <c r="K780" s="383">
        <f ca="1"/>
        <v>5.9254320756013924E-2</v>
      </c>
      <c r="P780" s="386"/>
      <c r="Q780" s="768">
        <f ca="1">IF(F780&lt;&gt;0,+F780/'A-27'!D$113,0)</f>
        <v>0</v>
      </c>
      <c r="R780" s="768">
        <f ca="1">IF(G780&lt;&gt;0,+G780/'A-27'!E$113,0)</f>
        <v>0.49216704968296143</v>
      </c>
      <c r="S780" s="768">
        <f ca="1">IF(H780&lt;&gt;0,+H780/'A-27'!F$113,0)</f>
        <v>0.49695476462519889</v>
      </c>
      <c r="T780" s="768">
        <f ca="1">IF(I780&lt;&gt;0,+I780/'A-27'!G$113,0)</f>
        <v>0.50168736768171562</v>
      </c>
      <c r="U780" s="768">
        <f ca="1">IF(J780&lt;&gt;0,+J780/'A-27'!H$113,0)</f>
        <v>0.50682186189658684</v>
      </c>
      <c r="V780" s="768">
        <f ca="1">IF(K780&lt;&gt;0,+K780/'A-27'!I$113,0)</f>
        <v>0.51152509702412807</v>
      </c>
    </row>
    <row r="781" spans="1:22" s="767" customFormat="1">
      <c r="A781" s="5"/>
      <c r="B781" s="249"/>
      <c r="C781" s="425" t="str">
        <v>Materials</v>
      </c>
      <c r="D781" s="426" t="str">
        <v>Materials</v>
      </c>
      <c r="E781" s="847">
        <f ca="1"/>
        <v>0</v>
      </c>
      <c r="F781" s="386">
        <f ca="1"/>
        <v>0</v>
      </c>
      <c r="G781" s="383">
        <f ca="1"/>
        <v>0</v>
      </c>
      <c r="H781" s="383">
        <f ca="1"/>
        <v>0</v>
      </c>
      <c r="I781" s="383">
        <f ca="1"/>
        <v>0</v>
      </c>
      <c r="J781" s="383">
        <f ca="1"/>
        <v>0</v>
      </c>
      <c r="K781" s="383">
        <f ca="1"/>
        <v>0</v>
      </c>
      <c r="P781" s="386"/>
      <c r="Q781" s="768">
        <f ca="1">IF(F781&lt;&gt;0,+F781/'A-27'!D$114,0)</f>
        <v>0</v>
      </c>
      <c r="R781" s="768">
        <f ca="1">IF(G781&lt;&gt;0,+G781/'A-27'!E$114,0)</f>
        <v>0</v>
      </c>
      <c r="S781" s="768">
        <f ca="1">IF(H781&lt;&gt;0,+H781/'A-27'!F$114,0)</f>
        <v>0</v>
      </c>
      <c r="T781" s="768">
        <f ca="1">IF(I781&lt;&gt;0,+I781/'A-27'!G$114,0)</f>
        <v>0</v>
      </c>
      <c r="U781" s="768">
        <f ca="1">IF(J781&lt;&gt;0,+J781/'A-27'!H$114,0)</f>
        <v>0</v>
      </c>
      <c r="V781" s="768">
        <f ca="1">IF(K781&lt;&gt;0,+K781/'A-27'!I$114,0)</f>
        <v>0</v>
      </c>
    </row>
    <row r="782" spans="1:22" s="767" customFormat="1">
      <c r="A782" s="5"/>
      <c r="B782" s="249"/>
      <c r="C782" s="425" t="str">
        <v>Services-construction</v>
      </c>
      <c r="D782" s="426" t="str">
        <v>Contracts</v>
      </c>
      <c r="E782" s="847">
        <f ca="1"/>
        <v>0</v>
      </c>
      <c r="F782" s="386">
        <f ca="1"/>
        <v>0</v>
      </c>
      <c r="G782" s="383">
        <f ca="1"/>
        <v>-2.5265248957030338E-5</v>
      </c>
      <c r="H782" s="383">
        <f ca="1"/>
        <v>-5.1149604880569651E-5</v>
      </c>
      <c r="I782" s="383">
        <f ca="1"/>
        <v>-9.8458592534840649E-5</v>
      </c>
      <c r="J782" s="383">
        <f ca="1"/>
        <v>-1.551475115112873E-4</v>
      </c>
      <c r="K782" s="383">
        <f ca="1"/>
        <v>-2.2419207056852513E-4</v>
      </c>
      <c r="P782" s="386"/>
      <c r="Q782" s="768">
        <f ca="1">IF(F782&lt;&gt;0,+F782/'A-27'!D$115,0)</f>
        <v>0</v>
      </c>
      <c r="R782" s="768">
        <f ca="1">IF(G782&lt;&gt;0,+G782/'A-27'!E$115,0)</f>
        <v>-5.0530497914061754E-3</v>
      </c>
      <c r="S782" s="768">
        <f ca="1">IF(H782&lt;&gt;0,+H782/'A-27'!F$115,0)</f>
        <v>-5.1022049756180585E-3</v>
      </c>
      <c r="T782" s="768">
        <f ca="1">IF(I782&lt;&gt;0,+I782/'A-27'!G$115,0)</f>
        <v>-5.1507943293810643E-3</v>
      </c>
      <c r="U782" s="768">
        <f ca="1">IF(J782&lt;&gt;0,+J782/'A-27'!H$115,0)</f>
        <v>-5.2035098757349787E-3</v>
      </c>
      <c r="V782" s="768">
        <f ca="1">IF(K782&lt;&gt;0,+K782/'A-27'!I$115,0)</f>
        <v>-5.251797710720001E-3</v>
      </c>
    </row>
    <row r="783" spans="1:22" s="767" customFormat="1">
      <c r="A783" s="5"/>
      <c r="B783" s="249"/>
      <c r="C783" s="425" t="str">
        <v>Services-general</v>
      </c>
      <c r="D783" s="426" t="str">
        <v>Services Other</v>
      </c>
      <c r="E783" s="847">
        <f ca="1"/>
        <v>0</v>
      </c>
      <c r="F783" s="386">
        <f ca="1"/>
        <v>0</v>
      </c>
      <c r="G783" s="383">
        <f ca="1"/>
        <v>5.356232778890432E-4</v>
      </c>
      <c r="H783" s="383">
        <f ca="1"/>
        <v>1.0843716234680766E-3</v>
      </c>
      <c r="I783" s="383">
        <f ca="1"/>
        <v>2.0873221617386216E-3</v>
      </c>
      <c r="J783" s="383">
        <f ca="1"/>
        <v>3.2891272440392907E-3</v>
      </c>
      <c r="K783" s="383">
        <f ca="1"/>
        <v>4.7528718960527325E-3</v>
      </c>
      <c r="P783" s="386"/>
      <c r="Q783" s="768">
        <f ca="1">IF(F783&lt;&gt;0,+F783/'A-27'!D$116,0)</f>
        <v>0</v>
      </c>
      <c r="R783" s="768">
        <f ca="1">IF(G783&lt;&gt;0,+G783/'A-27'!E$116,0)</f>
        <v>0.10712465557781092</v>
      </c>
      <c r="S783" s="768">
        <f ca="1">IF(H783&lt;&gt;0,+H783/'A-27'!F$116,0)</f>
        <v>0.10816674548310284</v>
      </c>
      <c r="T783" s="768">
        <f ca="1">IF(I783&lt;&gt;0,+I783/'A-27'!G$116,0)</f>
        <v>0.10919683978287856</v>
      </c>
      <c r="U783" s="768">
        <f ca="1">IF(J783&lt;&gt;0,+J783/'A-27'!H$116,0)</f>
        <v>0.11031440936558154</v>
      </c>
      <c r="V783" s="768">
        <f ca="1">IF(K783&lt;&gt;0,+K783/'A-27'!I$116,0)</f>
        <v>0.11133811146726401</v>
      </c>
    </row>
    <row r="784" spans="1:22" s="767" customFormat="1">
      <c r="A784" s="5"/>
      <c r="B784" s="249"/>
      <c r="C784" s="425" t="str">
        <v>Labour</v>
      </c>
      <c r="D784" s="426" t="str">
        <v>Business Overheads</v>
      </c>
      <c r="E784" s="847">
        <f ca="1"/>
        <v>0</v>
      </c>
      <c r="F784" s="386">
        <f ca="1"/>
        <v>0</v>
      </c>
      <c r="G784" s="383">
        <f ca="1"/>
        <v>0</v>
      </c>
      <c r="H784" s="383">
        <f ca="1"/>
        <v>0</v>
      </c>
      <c r="I784" s="383">
        <f ca="1"/>
        <v>0</v>
      </c>
      <c r="J784" s="383">
        <f ca="1"/>
        <v>0</v>
      </c>
      <c r="K784" s="383">
        <f ca="1"/>
        <v>0</v>
      </c>
      <c r="P784" s="386"/>
      <c r="Q784" s="768">
        <f ca="1">IF(F784&lt;&gt;0,+F784/'A-27'!D$117,0)</f>
        <v>0</v>
      </c>
      <c r="R784" s="768">
        <f ca="1">IF(G784&lt;&gt;0,+G784/'A-27'!E$117,0)</f>
        <v>0</v>
      </c>
      <c r="S784" s="768">
        <f ca="1">IF(H784&lt;&gt;0,+H784/'A-27'!F$117,0)</f>
        <v>0</v>
      </c>
      <c r="T784" s="768">
        <f ca="1">IF(I784&lt;&gt;0,+I784/'A-27'!G$117,0)</f>
        <v>0</v>
      </c>
      <c r="U784" s="768">
        <f ca="1">IF(J784&lt;&gt;0,+J784/'A-27'!H$117,0)</f>
        <v>0</v>
      </c>
      <c r="V784" s="768">
        <f ca="1">IF(K784&lt;&gt;0,+K784/'A-27'!I$117,0)</f>
        <v>0</v>
      </c>
    </row>
    <row r="785" spans="1:22" s="767" customFormat="1">
      <c r="A785" s="5"/>
      <c r="B785" s="249"/>
      <c r="C785" s="425" t="str">
        <v>Materials - Land</v>
      </c>
      <c r="D785" s="426" t="str">
        <v>Other</v>
      </c>
      <c r="E785" s="847">
        <f ca="1"/>
        <v>0</v>
      </c>
      <c r="F785" s="386">
        <f ca="1"/>
        <v>0</v>
      </c>
      <c r="G785" s="383">
        <f ca="1"/>
        <v>0</v>
      </c>
      <c r="H785" s="383">
        <f ca="1"/>
        <v>0</v>
      </c>
      <c r="I785" s="383">
        <f ca="1"/>
        <v>0</v>
      </c>
      <c r="J785" s="383">
        <f ca="1"/>
        <v>0</v>
      </c>
      <c r="K785" s="383">
        <f ca="1"/>
        <v>0</v>
      </c>
      <c r="P785" s="386"/>
      <c r="Q785" s="768">
        <f ca="1">IF(F785&lt;&gt;0,+F785/'A-27'!D$118,0)</f>
        <v>0</v>
      </c>
      <c r="R785" s="768">
        <f ca="1">IF(G785&lt;&gt;0,+G785/'A-27'!E$118,0)</f>
        <v>0</v>
      </c>
      <c r="S785" s="768">
        <f ca="1">IF(H785&lt;&gt;0,+H785/'A-27'!F$118,0)</f>
        <v>0</v>
      </c>
      <c r="T785" s="768">
        <f ca="1">IF(I785&lt;&gt;0,+I785/'A-27'!G$118,0)</f>
        <v>0</v>
      </c>
      <c r="U785" s="768">
        <f ca="1">IF(J785&lt;&gt;0,+J785/'A-27'!H$118,0)</f>
        <v>0</v>
      </c>
      <c r="V785" s="768">
        <f ca="1">IF(K785&lt;&gt;0,+K785/'A-27'!I$118,0)</f>
        <v>0</v>
      </c>
    </row>
    <row r="786" spans="1:22">
      <c r="A786" s="5"/>
      <c r="B786" s="249" t="str">
        <f ca="1">+'I-4 History'!B471</f>
        <v>A-28</v>
      </c>
      <c r="C786" s="262" t="str">
        <f ca="1">+'I-4 History'!C471</f>
        <v xml:space="preserve">Printing </v>
      </c>
      <c r="D786" s="298"/>
      <c r="E786" s="507"/>
      <c r="F786" s="11"/>
      <c r="G786" s="11"/>
      <c r="H786" s="11"/>
      <c r="I786" s="11"/>
      <c r="J786" s="11"/>
      <c r="K786" s="11"/>
      <c r="P786" s="11"/>
      <c r="Q786" s="11"/>
      <c r="R786" s="11"/>
      <c r="S786" s="11"/>
      <c r="T786" s="11"/>
      <c r="U786" s="11"/>
      <c r="V786" s="11"/>
    </row>
    <row r="787" spans="1:22">
      <c r="A787" s="5"/>
      <c r="B787" s="249"/>
      <c r="C787" s="424" t="s">
        <v>74</v>
      </c>
      <c r="D787" s="416"/>
      <c r="E787" s="507"/>
      <c r="F787" s="11"/>
      <c r="G787" s="11"/>
      <c r="H787" s="11"/>
      <c r="I787" s="11"/>
      <c r="J787" s="11"/>
      <c r="K787" s="11"/>
      <c r="P787" s="11"/>
      <c r="Q787" s="11"/>
      <c r="R787" s="11"/>
      <c r="S787" s="11"/>
      <c r="T787" s="11"/>
      <c r="U787" s="11"/>
      <c r="V787" s="11"/>
    </row>
    <row r="788" spans="1:22">
      <c r="A788" s="5"/>
      <c r="B788" s="249"/>
      <c r="C788" s="425" t="str">
        <f t="array" ref="C788:D793">+'A-28'!$A$77:$B$82</f>
        <v>Total Output Growth</v>
      </c>
      <c r="D788" s="426" t="str">
        <v>Labour</v>
      </c>
      <c r="E788" s="847">
        <f t="array" ref="E788:K793" ca="1">+'A-28'!$N$77:$T$82</f>
        <v>0</v>
      </c>
      <c r="F788" s="386">
        <f ca="1"/>
        <v>0</v>
      </c>
      <c r="G788" s="383">
        <f ca="1"/>
        <v>1.7082032832788545E-3</v>
      </c>
      <c r="H788" s="383">
        <f ca="1"/>
        <v>3.2910002149014917E-3</v>
      </c>
      <c r="I788" s="383">
        <f ca="1"/>
        <v>4.8555774060702701E-3</v>
      </c>
      <c r="J788" s="383">
        <f ca="1"/>
        <v>6.5530179986663072E-3</v>
      </c>
      <c r="K788" s="383">
        <f ca="1"/>
        <v>8.1078862851840291E-3</v>
      </c>
      <c r="L788" s="790"/>
      <c r="M788" s="790"/>
      <c r="N788" s="790"/>
      <c r="O788" s="790"/>
      <c r="P788" s="386"/>
      <c r="Q788" s="768">
        <f ca="1">IF(F788&lt;&gt;0,+F788/'A-28'!D$77,0)</f>
        <v>0</v>
      </c>
      <c r="R788" s="768">
        <f ca="1">IF(G788&lt;&gt;0,+G788/'A-28'!E$77,0)</f>
        <v>0.161</v>
      </c>
      <c r="S788" s="768">
        <f ca="1">IF(H788&lt;&gt;0,+H788/'A-28'!F$77,0)</f>
        <v>0.161</v>
      </c>
      <c r="T788" s="768">
        <f ca="1">IF(I788&lt;&gt;0,+I788/'A-28'!G$77,0)</f>
        <v>0.161</v>
      </c>
      <c r="U788" s="768">
        <f ca="1">IF(J788&lt;&gt;0,+J788/'A-28'!H$77,0)</f>
        <v>0.161</v>
      </c>
      <c r="V788" s="768">
        <f ca="1">IF(K788&lt;&gt;0,+K788/'A-28'!I$77,0)</f>
        <v>0.161</v>
      </c>
    </row>
    <row r="789" spans="1:22">
      <c r="A789" s="5"/>
      <c r="B789" s="249"/>
      <c r="C789" s="425" t="str">
        <v>Total Output Growth</v>
      </c>
      <c r="D789" s="426" t="str">
        <v>Materials</v>
      </c>
      <c r="E789" s="847">
        <f ca="1"/>
        <v>0</v>
      </c>
      <c r="F789" s="386">
        <f ca="1"/>
        <v>0</v>
      </c>
      <c r="G789" s="383">
        <f ca="1"/>
        <v>6.3659749687410732E-4</v>
      </c>
      <c r="H789" s="383">
        <f ca="1"/>
        <v>1.2264597074167051E-3</v>
      </c>
      <c r="I789" s="383">
        <f ca="1"/>
        <v>1.8095319525727716E-3</v>
      </c>
      <c r="J789" s="383">
        <f ca="1"/>
        <v>2.442118508819742E-3</v>
      </c>
      <c r="K789" s="383">
        <f ca="1"/>
        <v>3.0215725286400113E-3</v>
      </c>
      <c r="L789" s="790"/>
      <c r="M789" s="790"/>
      <c r="N789" s="790"/>
      <c r="O789" s="790"/>
      <c r="P789" s="386"/>
      <c r="Q789" s="768">
        <f ca="1">IF(F789&lt;&gt;0,+F789/'A-28'!D$78,0)</f>
        <v>0</v>
      </c>
      <c r="R789" s="768">
        <f ca="1">IF(G789&lt;&gt;0,+G789/'A-28'!E$78,0)</f>
        <v>6.0000000000000005E-2</v>
      </c>
      <c r="S789" s="768">
        <f ca="1">IF(H789&lt;&gt;0,+H789/'A-28'!F$78,0)</f>
        <v>6.0000000000000012E-2</v>
      </c>
      <c r="T789" s="768">
        <f ca="1">IF(I789&lt;&gt;0,+I789/'A-28'!G$78,0)</f>
        <v>6.0000000000000005E-2</v>
      </c>
      <c r="U789" s="768">
        <f ca="1">IF(J789&lt;&gt;0,+J789/'A-28'!H$78,0)</f>
        <v>6.0000000000000012E-2</v>
      </c>
      <c r="V789" s="768">
        <f ca="1">IF(K789&lt;&gt;0,+K789/'A-28'!I$78,0)</f>
        <v>6.0000000000000012E-2</v>
      </c>
    </row>
    <row r="790" spans="1:22">
      <c r="A790" s="5"/>
      <c r="B790" s="249"/>
      <c r="C790" s="425" t="str">
        <v>Total Output Growth</v>
      </c>
      <c r="D790" s="426" t="str">
        <v>Contracts</v>
      </c>
      <c r="E790" s="847">
        <f ca="1"/>
        <v>0</v>
      </c>
      <c r="F790" s="386">
        <f ca="1"/>
        <v>0</v>
      </c>
      <c r="G790" s="383">
        <f ca="1"/>
        <v>-4.1697136045254031E-3</v>
      </c>
      <c r="H790" s="383">
        <f ca="1"/>
        <v>-8.0333110835794173E-3</v>
      </c>
      <c r="I790" s="383">
        <f ca="1"/>
        <v>-1.1852434289351654E-2</v>
      </c>
      <c r="J790" s="383">
        <f ca="1"/>
        <v>-1.599587623276931E-2</v>
      </c>
      <c r="K790" s="383">
        <f ca="1"/>
        <v>-1.9791300062592072E-2</v>
      </c>
      <c r="L790" s="790"/>
      <c r="M790" s="790"/>
      <c r="N790" s="790"/>
      <c r="O790" s="790"/>
      <c r="P790" s="386"/>
      <c r="Q790" s="768">
        <f ca="1">IF(F790&lt;&gt;0,+F790/'A-28'!D$79,0)</f>
        <v>0</v>
      </c>
      <c r="R790" s="768">
        <f ca="1">IF(G790&lt;&gt;0,+G790/'A-28'!E$79,0)</f>
        <v>-0.39300000000000002</v>
      </c>
      <c r="S790" s="768">
        <f ca="1">IF(H790&lt;&gt;0,+H790/'A-28'!F$79,0)</f>
        <v>-0.39300000000000002</v>
      </c>
      <c r="T790" s="768">
        <f ca="1">IF(I790&lt;&gt;0,+I790/'A-28'!G$79,0)</f>
        <v>-0.39300000000000002</v>
      </c>
      <c r="U790" s="768">
        <f ca="1">IF(J790&lt;&gt;0,+J790/'A-28'!H$79,0)</f>
        <v>-0.39300000000000007</v>
      </c>
      <c r="V790" s="768">
        <f ca="1">IF(K790&lt;&gt;0,+K790/'A-28'!I$79,0)</f>
        <v>-0.39300000000000002</v>
      </c>
    </row>
    <row r="791" spans="1:22" s="790" customFormat="1">
      <c r="A791" s="5"/>
      <c r="B791" s="249"/>
      <c r="C791" s="425" t="str">
        <v>Total Output Growth</v>
      </c>
      <c r="D791" s="426" t="str">
        <v>Services Other</v>
      </c>
      <c r="E791" s="847">
        <f ca="1"/>
        <v>0</v>
      </c>
      <c r="F791" s="386">
        <f ca="1"/>
        <v>0</v>
      </c>
      <c r="G791" s="383">
        <f ca="1"/>
        <v>1.6233236170289736E-3</v>
      </c>
      <c r="H791" s="383">
        <f ca="1"/>
        <v>3.1274722539125976E-3</v>
      </c>
      <c r="I791" s="383">
        <f ca="1"/>
        <v>4.6143064790605676E-3</v>
      </c>
      <c r="J791" s="383">
        <f ca="1"/>
        <v>6.2274021974903409E-3</v>
      </c>
      <c r="K791" s="383">
        <f ca="1"/>
        <v>7.7050099480320275E-3</v>
      </c>
      <c r="P791" s="386"/>
      <c r="Q791" s="768">
        <f ca="1">IF(F791&lt;&gt;0,+F791/'A-28'!D$80,0)</f>
        <v>0</v>
      </c>
      <c r="R791" s="768">
        <f ca="1">IF(G791&lt;&gt;0,+G791/'A-28'!E$80,0)</f>
        <v>0.153</v>
      </c>
      <c r="S791" s="768">
        <f ca="1">IF(H791&lt;&gt;0,+H791/'A-28'!F$80,0)</f>
        <v>0.153</v>
      </c>
      <c r="T791" s="768">
        <f ca="1">IF(I791&lt;&gt;0,+I791/'A-28'!G$80,0)</f>
        <v>0.153</v>
      </c>
      <c r="U791" s="768">
        <f ca="1">IF(J791&lt;&gt;0,+J791/'A-28'!H$80,0)</f>
        <v>0.153</v>
      </c>
      <c r="V791" s="768">
        <f ca="1">IF(K791&lt;&gt;0,+K791/'A-28'!I$80,0)</f>
        <v>0.153</v>
      </c>
    </row>
    <row r="792" spans="1:22" s="790" customFormat="1">
      <c r="A792" s="5"/>
      <c r="B792" s="249"/>
      <c r="C792" s="425" t="str">
        <v>Total Output Growth</v>
      </c>
      <c r="D792" s="426" t="str">
        <v>Business Overheads</v>
      </c>
      <c r="E792" s="847">
        <f ca="1"/>
        <v>0</v>
      </c>
      <c r="F792" s="386">
        <f ca="1"/>
        <v>0</v>
      </c>
      <c r="G792" s="383">
        <f ca="1"/>
        <v>0</v>
      </c>
      <c r="H792" s="383">
        <f ca="1"/>
        <v>0</v>
      </c>
      <c r="I792" s="383">
        <f ca="1"/>
        <v>0</v>
      </c>
      <c r="J792" s="383">
        <f ca="1"/>
        <v>0</v>
      </c>
      <c r="K792" s="383">
        <f ca="1"/>
        <v>0</v>
      </c>
      <c r="P792" s="386"/>
      <c r="Q792" s="768">
        <f ca="1">IF(F792&lt;&gt;0,+F792/'A-28'!D$81,0)</f>
        <v>0</v>
      </c>
      <c r="R792" s="768">
        <f ca="1">IF(G792&lt;&gt;0,+G792/'A-28'!E$81,0)</f>
        <v>0</v>
      </c>
      <c r="S792" s="768">
        <f ca="1">IF(H792&lt;&gt;0,+H792/'A-28'!F$81,0)</f>
        <v>0</v>
      </c>
      <c r="T792" s="768">
        <f ca="1">IF(I792&lt;&gt;0,+I792/'A-28'!G$81,0)</f>
        <v>0</v>
      </c>
      <c r="U792" s="768">
        <f ca="1">IF(J792&lt;&gt;0,+J792/'A-28'!H$81,0)</f>
        <v>0</v>
      </c>
      <c r="V792" s="768">
        <f ca="1">IF(K792&lt;&gt;0,+K792/'A-28'!I$81,0)</f>
        <v>0</v>
      </c>
    </row>
    <row r="793" spans="1:22" s="790" customFormat="1">
      <c r="A793" s="5"/>
      <c r="B793" s="249"/>
      <c r="C793" s="425" t="str">
        <v>Total Output Growth</v>
      </c>
      <c r="D793" s="426" t="str">
        <v>Other</v>
      </c>
      <c r="E793" s="847">
        <f ca="1"/>
        <v>0</v>
      </c>
      <c r="F793" s="386">
        <f ca="1"/>
        <v>0</v>
      </c>
      <c r="G793" s="383">
        <f ca="1"/>
        <v>0</v>
      </c>
      <c r="H793" s="383">
        <f ca="1"/>
        <v>0</v>
      </c>
      <c r="I793" s="383">
        <f ca="1"/>
        <v>0</v>
      </c>
      <c r="J793" s="383">
        <f ca="1"/>
        <v>0</v>
      </c>
      <c r="K793" s="383">
        <f ca="1"/>
        <v>0</v>
      </c>
      <c r="P793" s="386"/>
      <c r="Q793" s="768">
        <f ca="1">IF(F793&lt;&gt;0,+F793/'A-28'!D$82,0)</f>
        <v>0</v>
      </c>
      <c r="R793" s="768">
        <f ca="1">IF(G793&lt;&gt;0,+G793/'A-28'!E$82,0)</f>
        <v>0</v>
      </c>
      <c r="S793" s="768">
        <f ca="1">IF(H793&lt;&gt;0,+H793/'A-28'!F$82,0)</f>
        <v>0</v>
      </c>
      <c r="T793" s="768">
        <f ca="1">IF(I793&lt;&gt;0,+I793/'A-28'!G$82,0)</f>
        <v>0</v>
      </c>
      <c r="U793" s="768">
        <f ca="1">IF(J793&lt;&gt;0,+J793/'A-28'!H$82,0)</f>
        <v>0</v>
      </c>
      <c r="V793" s="768">
        <f ca="1">IF(K793&lt;&gt;0,+K793/'A-28'!I$82,0)</f>
        <v>0</v>
      </c>
    </row>
    <row r="794" spans="1:22">
      <c r="A794" s="5"/>
      <c r="B794" s="249"/>
      <c r="C794" s="424" t="s">
        <v>73</v>
      </c>
      <c r="D794" s="417"/>
      <c r="E794" s="848"/>
      <c r="F794" s="387"/>
      <c r="G794" s="385"/>
      <c r="H794" s="385"/>
      <c r="I794" s="385"/>
      <c r="J794" s="385"/>
      <c r="K794" s="385"/>
      <c r="P794" s="387"/>
      <c r="Q794" s="385"/>
      <c r="R794" s="385"/>
      <c r="S794" s="385"/>
      <c r="T794" s="385"/>
      <c r="U794" s="385"/>
      <c r="V794" s="385"/>
    </row>
    <row r="795" spans="1:22" s="767" customFormat="1">
      <c r="A795" s="5"/>
      <c r="B795" s="249"/>
      <c r="C795" s="425" t="str">
        <f t="array" ref="C795:D800">+'A-28'!$A$113:$B$119</f>
        <v>Labour</v>
      </c>
      <c r="D795" s="426" t="str">
        <v>Labour</v>
      </c>
      <c r="E795" s="847">
        <f t="array" ref="E795:K800" ca="1">+'A-28'!$N$113:$T$119</f>
        <v>0</v>
      </c>
      <c r="F795" s="386">
        <f ca="1"/>
        <v>0</v>
      </c>
      <c r="G795" s="383">
        <f ca="1"/>
        <v>3.4913870780950477E-3</v>
      </c>
      <c r="H795" s="383">
        <f ca="1"/>
        <v>7.1263482160686606E-3</v>
      </c>
      <c r="I795" s="383">
        <f ca="1"/>
        <v>1.1110978728666569E-2</v>
      </c>
      <c r="J795" s="383">
        <f ca="1"/>
        <v>1.5271102591090376E-2</v>
      </c>
      <c r="K795" s="383">
        <f ca="1"/>
        <v>1.9589210763281812E-2</v>
      </c>
      <c r="P795" s="386"/>
      <c r="Q795" s="768">
        <f ca="1">IF(F795&lt;&gt;0,+F795/'A-28'!D$113,0)</f>
        <v>0</v>
      </c>
      <c r="R795" s="768">
        <f ca="1">IF(G795&lt;&gt;0,+G795/'A-28'!E$113,0)</f>
        <v>0.16270820328327887</v>
      </c>
      <c r="S795" s="768">
        <f ca="1">IF(H795&lt;&gt;0,+H795/'A-28'!F$113,0)</f>
        <v>0.16429100021490151</v>
      </c>
      <c r="T795" s="768">
        <f ca="1">IF(I795&lt;&gt;0,+I795/'A-28'!G$113,0)</f>
        <v>0.16585557740607026</v>
      </c>
      <c r="U795" s="768">
        <f ca="1">IF(J795&lt;&gt;0,+J795/'A-28'!H$113,0)</f>
        <v>0.16755301799866631</v>
      </c>
      <c r="V795" s="768">
        <f ca="1">IF(K795&lt;&gt;0,+K795/'A-28'!I$113,0)</f>
        <v>0.16910788628518403</v>
      </c>
    </row>
    <row r="796" spans="1:22" s="767" customFormat="1">
      <c r="A796" s="5"/>
      <c r="B796" s="249"/>
      <c r="C796" s="425" t="str">
        <v>Materials</v>
      </c>
      <c r="D796" s="426" t="str">
        <v>Materials</v>
      </c>
      <c r="E796" s="847">
        <f ca="1"/>
        <v>0</v>
      </c>
      <c r="F796" s="386">
        <f ca="1"/>
        <v>0</v>
      </c>
      <c r="G796" s="383">
        <f ca="1"/>
        <v>0</v>
      </c>
      <c r="H796" s="383">
        <f ca="1"/>
        <v>0</v>
      </c>
      <c r="I796" s="383">
        <f ca="1"/>
        <v>0</v>
      </c>
      <c r="J796" s="383">
        <f ca="1"/>
        <v>0</v>
      </c>
      <c r="K796" s="383">
        <f ca="1"/>
        <v>0</v>
      </c>
      <c r="P796" s="386"/>
      <c r="Q796" s="768">
        <f ca="1">IF(F796&lt;&gt;0,+F796/'A-28'!D$114,0)</f>
        <v>0</v>
      </c>
      <c r="R796" s="768">
        <f ca="1">IF(G796&lt;&gt;0,+G796/'A-28'!E$114,0)</f>
        <v>0</v>
      </c>
      <c r="S796" s="768">
        <f ca="1">IF(H796&lt;&gt;0,+H796/'A-28'!F$114,0)</f>
        <v>0</v>
      </c>
      <c r="T796" s="768">
        <f ca="1">IF(I796&lt;&gt;0,+I796/'A-28'!G$114,0)</f>
        <v>0</v>
      </c>
      <c r="U796" s="768">
        <f ca="1">IF(J796&lt;&gt;0,+J796/'A-28'!H$114,0)</f>
        <v>0</v>
      </c>
      <c r="V796" s="768">
        <f ca="1">IF(K796&lt;&gt;0,+K796/'A-28'!I$114,0)</f>
        <v>0</v>
      </c>
    </row>
    <row r="797" spans="1:22" s="767" customFormat="1">
      <c r="A797" s="5"/>
      <c r="B797" s="249"/>
      <c r="C797" s="425" t="str">
        <v>Services-construction</v>
      </c>
      <c r="D797" s="426" t="str">
        <v>Contracts</v>
      </c>
      <c r="E797" s="847">
        <f ca="1"/>
        <v>0</v>
      </c>
      <c r="F797" s="386">
        <f ca="1"/>
        <v>0</v>
      </c>
      <c r="G797" s="383">
        <f ca="1"/>
        <v>-1.9858485680225848E-3</v>
      </c>
      <c r="H797" s="383">
        <f ca="1"/>
        <v>-4.0203589436127746E-3</v>
      </c>
      <c r="I797" s="383">
        <f ca="1"/>
        <v>-7.738845373238476E-3</v>
      </c>
      <c r="J797" s="383">
        <f ca="1"/>
        <v>-1.2194594404787183E-2</v>
      </c>
      <c r="K797" s="383">
        <f ca="1"/>
        <v>-1.7621496746686074E-2</v>
      </c>
      <c r="P797" s="386"/>
      <c r="Q797" s="768">
        <f ca="1">IF(F797&lt;&gt;0,+F797/'A-28'!D$115,0)</f>
        <v>0</v>
      </c>
      <c r="R797" s="768">
        <f ca="1">IF(G797&lt;&gt;0,+G797/'A-28'!E$115,0)</f>
        <v>-0.39716971360452541</v>
      </c>
      <c r="S797" s="768">
        <f ca="1">IF(H797&lt;&gt;0,+H797/'A-28'!F$115,0)</f>
        <v>-0.40103331108357942</v>
      </c>
      <c r="T797" s="768">
        <f ca="1">IF(I797&lt;&gt;0,+I797/'A-28'!G$115,0)</f>
        <v>-0.40485243428935169</v>
      </c>
      <c r="U797" s="768">
        <f ca="1">IF(J797&lt;&gt;0,+J797/'A-28'!H$115,0)</f>
        <v>-0.40899587623276934</v>
      </c>
      <c r="V797" s="768">
        <f ca="1">IF(K797&lt;&gt;0,+K797/'A-28'!I$115,0)</f>
        <v>-0.41279130006259207</v>
      </c>
    </row>
    <row r="798" spans="1:22" s="767" customFormat="1">
      <c r="A798" s="5"/>
      <c r="B798" s="249"/>
      <c r="C798" s="425" t="str">
        <v>Services-general</v>
      </c>
      <c r="D798" s="426" t="str">
        <v>Services Other</v>
      </c>
      <c r="E798" s="847">
        <f ca="1"/>
        <v>0</v>
      </c>
      <c r="F798" s="386">
        <f ca="1"/>
        <v>0</v>
      </c>
      <c r="G798" s="383">
        <f ca="1"/>
        <v>7.7311661808512834E-4</v>
      </c>
      <c r="H798" s="383">
        <f ca="1"/>
        <v>1.5651779093454315E-3</v>
      </c>
      <c r="I798" s="383">
        <f ca="1"/>
        <v>3.0128329315661237E-3</v>
      </c>
      <c r="J798" s="383">
        <f ca="1"/>
        <v>4.7475138522453915E-3</v>
      </c>
      <c r="K798" s="383">
        <f ca="1"/>
        <v>6.8602773593968687E-3</v>
      </c>
      <c r="P798" s="386"/>
      <c r="Q798" s="768">
        <f ca="1">IF(F798&lt;&gt;0,+F798/'A-28'!D$116,0)</f>
        <v>0</v>
      </c>
      <c r="R798" s="768">
        <f ca="1">IF(G798&lt;&gt;0,+G798/'A-28'!E$116,0)</f>
        <v>0.15462332361702896</v>
      </c>
      <c r="S798" s="768">
        <f ca="1">IF(H798&lt;&gt;0,+H798/'A-28'!F$116,0)</f>
        <v>0.1561274722539126</v>
      </c>
      <c r="T798" s="768">
        <f ca="1">IF(I798&lt;&gt;0,+I798/'A-28'!G$116,0)</f>
        <v>0.15761430647906055</v>
      </c>
      <c r="U798" s="768">
        <f ca="1">IF(J798&lt;&gt;0,+J798/'A-28'!H$116,0)</f>
        <v>0.15922740219749035</v>
      </c>
      <c r="V798" s="768">
        <f ca="1">IF(K798&lt;&gt;0,+K798/'A-28'!I$116,0)</f>
        <v>0.16070500994803202</v>
      </c>
    </row>
    <row r="799" spans="1:22" s="767" customFormat="1">
      <c r="A799" s="5"/>
      <c r="B799" s="249"/>
      <c r="C799" s="425" t="str">
        <v>Labour</v>
      </c>
      <c r="D799" s="426" t="str">
        <v>Business Overheads</v>
      </c>
      <c r="E799" s="847">
        <f ca="1"/>
        <v>0</v>
      </c>
      <c r="F799" s="386">
        <f ca="1"/>
        <v>0</v>
      </c>
      <c r="G799" s="383">
        <f ca="1"/>
        <v>0</v>
      </c>
      <c r="H799" s="383">
        <f ca="1"/>
        <v>0</v>
      </c>
      <c r="I799" s="383">
        <f ca="1"/>
        <v>0</v>
      </c>
      <c r="J799" s="383">
        <f ca="1"/>
        <v>0</v>
      </c>
      <c r="K799" s="383">
        <f ca="1"/>
        <v>0</v>
      </c>
      <c r="P799" s="386"/>
      <c r="Q799" s="768">
        <f ca="1">IF(F799&lt;&gt;0,+F799/'A-28'!D$117,0)</f>
        <v>0</v>
      </c>
      <c r="R799" s="768">
        <f ca="1">IF(G799&lt;&gt;0,+G799/'A-28'!E$117,0)</f>
        <v>0</v>
      </c>
      <c r="S799" s="768">
        <f ca="1">IF(H799&lt;&gt;0,+H799/'A-28'!F$117,0)</f>
        <v>0</v>
      </c>
      <c r="T799" s="768">
        <f ca="1">IF(I799&lt;&gt;0,+I799/'A-28'!G$117,0)</f>
        <v>0</v>
      </c>
      <c r="U799" s="768">
        <f ca="1">IF(J799&lt;&gt;0,+J799/'A-28'!H$117,0)</f>
        <v>0</v>
      </c>
      <c r="V799" s="768">
        <f ca="1">IF(K799&lt;&gt;0,+K799/'A-28'!I$117,0)</f>
        <v>0</v>
      </c>
    </row>
    <row r="800" spans="1:22" s="767" customFormat="1">
      <c r="A800" s="5"/>
      <c r="B800" s="249"/>
      <c r="C800" s="425" t="str">
        <v>Materials - Land</v>
      </c>
      <c r="D800" s="426" t="str">
        <v>Other</v>
      </c>
      <c r="E800" s="847">
        <f ca="1"/>
        <v>0</v>
      </c>
      <c r="F800" s="386">
        <f ca="1"/>
        <v>0</v>
      </c>
      <c r="G800" s="383">
        <f ca="1"/>
        <v>0</v>
      </c>
      <c r="H800" s="383">
        <f ca="1"/>
        <v>0</v>
      </c>
      <c r="I800" s="383">
        <f ca="1"/>
        <v>0</v>
      </c>
      <c r="J800" s="383">
        <f ca="1"/>
        <v>0</v>
      </c>
      <c r="K800" s="383">
        <f ca="1"/>
        <v>0</v>
      </c>
      <c r="P800" s="386"/>
      <c r="Q800" s="768">
        <f ca="1">IF(F800&lt;&gt;0,+F800/'A-28'!D$118,0)</f>
        <v>0</v>
      </c>
      <c r="R800" s="768">
        <f ca="1">IF(G800&lt;&gt;0,+G800/'A-28'!E$118,0)</f>
        <v>0</v>
      </c>
      <c r="S800" s="768">
        <f ca="1">IF(H800&lt;&gt;0,+H800/'A-28'!F$118,0)</f>
        <v>0</v>
      </c>
      <c r="T800" s="768">
        <f ca="1">IF(I800&lt;&gt;0,+I800/'A-28'!G$118,0)</f>
        <v>0</v>
      </c>
      <c r="U800" s="768">
        <f ca="1">IF(J800&lt;&gt;0,+J800/'A-28'!H$118,0)</f>
        <v>0</v>
      </c>
      <c r="V800" s="768">
        <f ca="1">IF(K800&lt;&gt;0,+K800/'A-28'!I$118,0)</f>
        <v>0</v>
      </c>
    </row>
    <row r="801" spans="1:22">
      <c r="A801" s="5"/>
      <c r="B801" s="249" t="str">
        <f ca="1">+'I-4 History'!B480</f>
        <v>A-29</v>
      </c>
      <c r="C801" s="262" t="str">
        <f ca="1">+'I-4 History'!C480</f>
        <v xml:space="preserve">Risk &amp; Insurance – Shared Insurance Premiums </v>
      </c>
      <c r="D801" s="298"/>
      <c r="E801" s="507"/>
      <c r="F801" s="11"/>
      <c r="G801" s="11"/>
      <c r="H801" s="11"/>
      <c r="I801" s="11"/>
      <c r="J801" s="11"/>
      <c r="K801" s="11"/>
      <c r="P801" s="11"/>
      <c r="Q801" s="11"/>
      <c r="R801" s="11"/>
      <c r="S801" s="11"/>
      <c r="T801" s="11"/>
      <c r="U801" s="11"/>
      <c r="V801" s="11"/>
    </row>
    <row r="802" spans="1:22">
      <c r="A802" s="5"/>
      <c r="B802" s="249"/>
      <c r="C802" s="424" t="s">
        <v>74</v>
      </c>
      <c r="D802" s="416"/>
      <c r="E802" s="507"/>
      <c r="F802" s="11"/>
      <c r="G802" s="11"/>
      <c r="H802" s="11"/>
      <c r="I802" s="11"/>
      <c r="J802" s="11"/>
      <c r="K802" s="11"/>
      <c r="P802" s="11"/>
      <c r="Q802" s="11"/>
      <c r="R802" s="11"/>
      <c r="S802" s="11"/>
      <c r="T802" s="11"/>
      <c r="U802" s="11"/>
      <c r="V802" s="11"/>
    </row>
    <row r="803" spans="1:22">
      <c r="A803" s="5"/>
      <c r="B803" s="249"/>
      <c r="C803" s="425" t="str">
        <f t="array" ref="C803:D808">+'A-29'!$A$77:$B$82</f>
        <v>Total Output Growth</v>
      </c>
      <c r="D803" s="426" t="str">
        <v>Labour</v>
      </c>
      <c r="E803" s="847">
        <f t="array" ref="E803:K808" ca="1">+'A-29'!$N$77:$T$82</f>
        <v>0</v>
      </c>
      <c r="F803" s="386">
        <f ca="1"/>
        <v>0</v>
      </c>
      <c r="G803" s="383">
        <f ca="1"/>
        <v>1.4960041176541523E-3</v>
      </c>
      <c r="H803" s="383">
        <f ca="1"/>
        <v>2.8821803124292568E-3</v>
      </c>
      <c r="I803" s="383">
        <f ca="1"/>
        <v>4.2524000885460133E-3</v>
      </c>
      <c r="J803" s="383">
        <f ca="1"/>
        <v>5.7389784957263936E-3</v>
      </c>
      <c r="K803" s="383">
        <f ca="1"/>
        <v>7.1006954423040265E-3</v>
      </c>
      <c r="L803" s="790"/>
      <c r="M803" s="790"/>
      <c r="N803" s="790"/>
      <c r="O803" s="790"/>
      <c r="P803" s="386"/>
      <c r="Q803" s="768">
        <f ca="1">IF(F803&lt;&gt;0,+F803/'A-29'!D$77,0)</f>
        <v>0</v>
      </c>
      <c r="R803" s="768">
        <f ca="1">IF(G803&lt;&gt;0,+G803/'A-29'!E$77,0)</f>
        <v>0.14100000000000001</v>
      </c>
      <c r="S803" s="768">
        <f ca="1">IF(H803&lt;&gt;0,+H803/'A-29'!F$77,0)</f>
        <v>0.14100000000000001</v>
      </c>
      <c r="T803" s="768">
        <f ca="1">IF(I803&lt;&gt;0,+I803/'A-29'!G$77,0)</f>
        <v>0.14100000000000001</v>
      </c>
      <c r="U803" s="768">
        <f ca="1">IF(J803&lt;&gt;0,+J803/'A-29'!H$77,0)</f>
        <v>0.14100000000000001</v>
      </c>
      <c r="V803" s="768">
        <f ca="1">IF(K803&lt;&gt;0,+K803/'A-29'!I$77,0)</f>
        <v>0.14100000000000001</v>
      </c>
    </row>
    <row r="804" spans="1:22">
      <c r="A804" s="5"/>
      <c r="B804" s="249"/>
      <c r="C804" s="425" t="str">
        <v>Total Output Growth</v>
      </c>
      <c r="D804" s="426" t="str">
        <v>Materials</v>
      </c>
      <c r="E804" s="847">
        <f ca="1"/>
        <v>0</v>
      </c>
      <c r="F804" s="386">
        <f ca="1"/>
        <v>0</v>
      </c>
      <c r="G804" s="383">
        <f ca="1"/>
        <v>0</v>
      </c>
      <c r="H804" s="383">
        <f ca="1"/>
        <v>0</v>
      </c>
      <c r="I804" s="383">
        <f ca="1"/>
        <v>0</v>
      </c>
      <c r="J804" s="383">
        <f ca="1"/>
        <v>0</v>
      </c>
      <c r="K804" s="383">
        <f ca="1"/>
        <v>0</v>
      </c>
      <c r="L804" s="790"/>
      <c r="M804" s="790"/>
      <c r="N804" s="790"/>
      <c r="O804" s="790"/>
      <c r="P804" s="386"/>
      <c r="Q804" s="768">
        <f ca="1">IF(F804&lt;&gt;0,+F804/'A-29'!D$78,0)</f>
        <v>0</v>
      </c>
      <c r="R804" s="768">
        <f ca="1">IF(G804&lt;&gt;0,+G804/'A-29'!E$78,0)</f>
        <v>0</v>
      </c>
      <c r="S804" s="768">
        <f ca="1">IF(H804&lt;&gt;0,+H804/'A-29'!F$78,0)</f>
        <v>0</v>
      </c>
      <c r="T804" s="768">
        <f ca="1">IF(I804&lt;&gt;0,+I804/'A-29'!G$78,0)</f>
        <v>0</v>
      </c>
      <c r="U804" s="768">
        <f ca="1">IF(J804&lt;&gt;0,+J804/'A-29'!H$78,0)</f>
        <v>0</v>
      </c>
      <c r="V804" s="768">
        <f ca="1">IF(K804&lt;&gt;0,+K804/'A-29'!I$78,0)</f>
        <v>0</v>
      </c>
    </row>
    <row r="805" spans="1:22">
      <c r="A805" s="5"/>
      <c r="B805" s="249"/>
      <c r="C805" s="425" t="str">
        <v>Total Output Growth</v>
      </c>
      <c r="D805" s="426" t="str">
        <v>Contracts</v>
      </c>
      <c r="E805" s="847">
        <f ca="1"/>
        <v>0</v>
      </c>
      <c r="F805" s="386">
        <f ca="1"/>
        <v>0</v>
      </c>
      <c r="G805" s="383">
        <f ca="1"/>
        <v>2.1219916562470244E-5</v>
      </c>
      <c r="H805" s="383">
        <f ca="1"/>
        <v>4.0881990247223498E-5</v>
      </c>
      <c r="I805" s="383">
        <f ca="1"/>
        <v>6.0317731752425721E-5</v>
      </c>
      <c r="J805" s="383">
        <f ca="1"/>
        <v>8.1403950293991385E-5</v>
      </c>
      <c r="K805" s="383">
        <f ca="1"/>
        <v>1.0071908428800036E-4</v>
      </c>
      <c r="L805" s="790"/>
      <c r="M805" s="790"/>
      <c r="N805" s="790"/>
      <c r="O805" s="790"/>
      <c r="P805" s="386"/>
      <c r="Q805" s="768">
        <f ca="1">IF(F805&lt;&gt;0,+F805/'A-29'!D$79,0)</f>
        <v>0</v>
      </c>
      <c r="R805" s="768">
        <f ca="1">IF(G805&lt;&gt;0,+G805/'A-29'!E$79,0)</f>
        <v>2E-3</v>
      </c>
      <c r="S805" s="768">
        <f ca="1">IF(H805&lt;&gt;0,+H805/'A-29'!F$79,0)</f>
        <v>2E-3</v>
      </c>
      <c r="T805" s="768">
        <f ca="1">IF(I805&lt;&gt;0,+I805/'A-29'!G$79,0)</f>
        <v>2E-3</v>
      </c>
      <c r="U805" s="768">
        <f ca="1">IF(J805&lt;&gt;0,+J805/'A-29'!H$79,0)</f>
        <v>2E-3</v>
      </c>
      <c r="V805" s="768">
        <f ca="1">IF(K805&lt;&gt;0,+K805/'A-29'!I$79,0)</f>
        <v>2E-3</v>
      </c>
    </row>
    <row r="806" spans="1:22" s="790" customFormat="1">
      <c r="A806" s="5"/>
      <c r="B806" s="249"/>
      <c r="C806" s="425" t="str">
        <v>Total Output Growth</v>
      </c>
      <c r="D806" s="426" t="str">
        <v>Services Other</v>
      </c>
      <c r="E806" s="847">
        <f ca="1"/>
        <v>0</v>
      </c>
      <c r="F806" s="386">
        <f ca="1"/>
        <v>0</v>
      </c>
      <c r="G806" s="383">
        <f ca="1"/>
        <v>0</v>
      </c>
      <c r="H806" s="383">
        <f ca="1"/>
        <v>0</v>
      </c>
      <c r="I806" s="383">
        <f ca="1"/>
        <v>0</v>
      </c>
      <c r="J806" s="383">
        <f ca="1"/>
        <v>0</v>
      </c>
      <c r="K806" s="383">
        <f ca="1"/>
        <v>0</v>
      </c>
      <c r="P806" s="386"/>
      <c r="Q806" s="768">
        <f ca="1">IF(F806&lt;&gt;0,+F806/'A-29'!D$80,0)</f>
        <v>0</v>
      </c>
      <c r="R806" s="768">
        <f ca="1">IF(G806&lt;&gt;0,+G806/'A-29'!E$80,0)</f>
        <v>0</v>
      </c>
      <c r="S806" s="768">
        <f ca="1">IF(H806&lt;&gt;0,+H806/'A-29'!F$80,0)</f>
        <v>0</v>
      </c>
      <c r="T806" s="768">
        <f ca="1">IF(I806&lt;&gt;0,+I806/'A-29'!G$80,0)</f>
        <v>0</v>
      </c>
      <c r="U806" s="768">
        <f ca="1">IF(J806&lt;&gt;0,+J806/'A-29'!H$80,0)</f>
        <v>0</v>
      </c>
      <c r="V806" s="768">
        <f ca="1">IF(K806&lt;&gt;0,+K806/'A-29'!I$80,0)</f>
        <v>0</v>
      </c>
    </row>
    <row r="807" spans="1:22" s="790" customFormat="1">
      <c r="A807" s="5"/>
      <c r="B807" s="249"/>
      <c r="C807" s="425" t="str">
        <v>Total Output Growth</v>
      </c>
      <c r="D807" s="426" t="str">
        <v>Business Overheads</v>
      </c>
      <c r="E807" s="847">
        <f ca="1"/>
        <v>0</v>
      </c>
      <c r="F807" s="386">
        <f ca="1"/>
        <v>0</v>
      </c>
      <c r="G807" s="383">
        <f ca="1"/>
        <v>0</v>
      </c>
      <c r="H807" s="383">
        <f ca="1"/>
        <v>0</v>
      </c>
      <c r="I807" s="383">
        <f ca="1"/>
        <v>0</v>
      </c>
      <c r="J807" s="383">
        <f ca="1"/>
        <v>0</v>
      </c>
      <c r="K807" s="383">
        <f ca="1"/>
        <v>0</v>
      </c>
      <c r="P807" s="386"/>
      <c r="Q807" s="768">
        <f ca="1">IF(F807&lt;&gt;0,+F807/'A-29'!D$81,0)</f>
        <v>0</v>
      </c>
      <c r="R807" s="768">
        <f ca="1">IF(G807&lt;&gt;0,+G807/'A-29'!E$81,0)</f>
        <v>0</v>
      </c>
      <c r="S807" s="768">
        <f ca="1">IF(H807&lt;&gt;0,+H807/'A-29'!F$81,0)</f>
        <v>0</v>
      </c>
      <c r="T807" s="768">
        <f ca="1">IF(I807&lt;&gt;0,+I807/'A-29'!G$81,0)</f>
        <v>0</v>
      </c>
      <c r="U807" s="768">
        <f ca="1">IF(J807&lt;&gt;0,+J807/'A-29'!H$81,0)</f>
        <v>0</v>
      </c>
      <c r="V807" s="768">
        <f ca="1">IF(K807&lt;&gt;0,+K807/'A-29'!I$81,0)</f>
        <v>0</v>
      </c>
    </row>
    <row r="808" spans="1:22" s="790" customFormat="1">
      <c r="A808" s="5"/>
      <c r="B808" s="249"/>
      <c r="C808" s="425" t="str">
        <v>Total Output Growth</v>
      </c>
      <c r="D808" s="426" t="str">
        <v>Other</v>
      </c>
      <c r="E808" s="847">
        <f ca="1"/>
        <v>0</v>
      </c>
      <c r="F808" s="386">
        <f ca="1"/>
        <v>0</v>
      </c>
      <c r="G808" s="383">
        <f ca="1"/>
        <v>8.1590579182698082E-3</v>
      </c>
      <c r="H808" s="383">
        <f ca="1"/>
        <v>1.5719125250057437E-2</v>
      </c>
      <c r="I808" s="383">
        <f ca="1"/>
        <v>2.3192167858807688E-2</v>
      </c>
      <c r="J808" s="383">
        <f ca="1"/>
        <v>3.129981888803969E-2</v>
      </c>
      <c r="K808" s="383">
        <f ca="1"/>
        <v>3.8726487908736139E-2</v>
      </c>
      <c r="P808" s="386"/>
      <c r="Q808" s="768">
        <f ca="1">IF(F808&lt;&gt;0,+F808/'A-29'!D$82,0)</f>
        <v>0</v>
      </c>
      <c r="R808" s="768">
        <f ca="1">IF(G808&lt;&gt;0,+G808/'A-29'!E$82,0)</f>
        <v>0.76900000000000002</v>
      </c>
      <c r="S808" s="768">
        <f ca="1">IF(H808&lt;&gt;0,+H808/'A-29'!F$82,0)</f>
        <v>0.76900000000000013</v>
      </c>
      <c r="T808" s="768">
        <f ca="1">IF(I808&lt;&gt;0,+I808/'A-29'!G$82,0)</f>
        <v>0.76900000000000002</v>
      </c>
      <c r="U808" s="768">
        <f ca="1">IF(J808&lt;&gt;0,+J808/'A-29'!H$82,0)</f>
        <v>0.76900000000000002</v>
      </c>
      <c r="V808" s="768">
        <f ca="1">IF(K808&lt;&gt;0,+K808/'A-29'!I$82,0)</f>
        <v>0.76900000000000002</v>
      </c>
    </row>
    <row r="809" spans="1:22">
      <c r="A809" s="5"/>
      <c r="B809" s="249"/>
      <c r="C809" s="424" t="s">
        <v>73</v>
      </c>
      <c r="D809" s="417"/>
      <c r="E809" s="848"/>
      <c r="F809" s="387"/>
      <c r="G809" s="385"/>
      <c r="H809" s="385"/>
      <c r="I809" s="385"/>
      <c r="J809" s="385"/>
      <c r="K809" s="385"/>
      <c r="P809" s="387"/>
      <c r="Q809" s="385"/>
      <c r="R809" s="385"/>
      <c r="S809" s="385"/>
      <c r="T809" s="385"/>
      <c r="U809" s="385"/>
      <c r="V809" s="385"/>
    </row>
    <row r="810" spans="1:22" s="767" customFormat="1">
      <c r="A810" s="5"/>
      <c r="B810" s="249"/>
      <c r="C810" s="425" t="str">
        <f t="array" ref="C810:D815">+'A-29'!$A$113:$B$119</f>
        <v>Labour</v>
      </c>
      <c r="D810" s="426" t="str">
        <v>Labour</v>
      </c>
      <c r="E810" s="847">
        <f t="array" ref="E810:K815" ca="1">+'A-29'!$N$113:$T$119</f>
        <v>0</v>
      </c>
      <c r="F810" s="386">
        <f ca="1"/>
        <v>0</v>
      </c>
      <c r="G810" s="383">
        <f ca="1"/>
        <v>3.057674397586346E-3</v>
      </c>
      <c r="H810" s="383">
        <f ca="1"/>
        <v>6.2410875681098207E-3</v>
      </c>
      <c r="I810" s="383">
        <f ca="1"/>
        <v>9.7307329238632712E-3</v>
      </c>
      <c r="J810" s="383">
        <f ca="1"/>
        <v>1.3374071213315174E-2</v>
      </c>
      <c r="K810" s="383">
        <f ca="1"/>
        <v>1.715576843243935E-2</v>
      </c>
      <c r="P810" s="386"/>
      <c r="Q810" s="768">
        <f ca="1">IF(F810&lt;&gt;0,+F810/'A-29'!D$113,0)</f>
        <v>0</v>
      </c>
      <c r="R810" s="768">
        <f ca="1">IF(G810&lt;&gt;0,+G810/'A-29'!E$113,0)</f>
        <v>0.14249600411765417</v>
      </c>
      <c r="S810" s="768">
        <f ca="1">IF(H810&lt;&gt;0,+H810/'A-29'!F$113,0)</f>
        <v>0.14388218031242928</v>
      </c>
      <c r="T810" s="768">
        <f ca="1">IF(I810&lt;&gt;0,+I810/'A-29'!G$113,0)</f>
        <v>0.14525240008854604</v>
      </c>
      <c r="U810" s="768">
        <f ca="1">IF(J810&lt;&gt;0,+J810/'A-29'!H$113,0)</f>
        <v>0.1467389784957264</v>
      </c>
      <c r="V810" s="768">
        <f ca="1">IF(K810&lt;&gt;0,+K810/'A-29'!I$113,0)</f>
        <v>0.14810069544230403</v>
      </c>
    </row>
    <row r="811" spans="1:22" s="767" customFormat="1">
      <c r="A811" s="5"/>
      <c r="B811" s="249"/>
      <c r="C811" s="425" t="str">
        <v>Materials</v>
      </c>
      <c r="D811" s="426" t="str">
        <v>Materials</v>
      </c>
      <c r="E811" s="847">
        <f ca="1"/>
        <v>0</v>
      </c>
      <c r="F811" s="386">
        <f ca="1"/>
        <v>0</v>
      </c>
      <c r="G811" s="383">
        <f ca="1"/>
        <v>0</v>
      </c>
      <c r="H811" s="383">
        <f ca="1"/>
        <v>0</v>
      </c>
      <c r="I811" s="383">
        <f ca="1"/>
        <v>0</v>
      </c>
      <c r="J811" s="383">
        <f ca="1"/>
        <v>0</v>
      </c>
      <c r="K811" s="383">
        <f ca="1"/>
        <v>0</v>
      </c>
      <c r="P811" s="386"/>
      <c r="Q811" s="768">
        <f ca="1">IF(F811&lt;&gt;0,+F811/'A-29'!D$114,0)</f>
        <v>0</v>
      </c>
      <c r="R811" s="768">
        <f ca="1">IF(G811&lt;&gt;0,+G811/'A-29'!E$114,0)</f>
        <v>0</v>
      </c>
      <c r="S811" s="768">
        <f ca="1">IF(H811&lt;&gt;0,+H811/'A-29'!F$114,0)</f>
        <v>0</v>
      </c>
      <c r="T811" s="768">
        <f ca="1">IF(I811&lt;&gt;0,+I811/'A-29'!G$114,0)</f>
        <v>0</v>
      </c>
      <c r="U811" s="768">
        <f ca="1">IF(J811&lt;&gt;0,+J811/'A-29'!H$114,0)</f>
        <v>0</v>
      </c>
      <c r="V811" s="768">
        <f ca="1">IF(K811&lt;&gt;0,+K811/'A-29'!I$114,0)</f>
        <v>0</v>
      </c>
    </row>
    <row r="812" spans="1:22" s="767" customFormat="1">
      <c r="A812" s="5"/>
      <c r="B812" s="249"/>
      <c r="C812" s="425" t="str">
        <v>Services-construction</v>
      </c>
      <c r="D812" s="426" t="str">
        <v>Contracts</v>
      </c>
      <c r="E812" s="847">
        <f ca="1"/>
        <v>0</v>
      </c>
      <c r="F812" s="386">
        <f ca="1"/>
        <v>0</v>
      </c>
      <c r="G812" s="383">
        <f ca="1"/>
        <v>1.0106099582812136E-5</v>
      </c>
      <c r="H812" s="383">
        <f ca="1"/>
        <v>2.0459841952227862E-5</v>
      </c>
      <c r="I812" s="383">
        <f ca="1"/>
        <v>3.9383437013936261E-5</v>
      </c>
      <c r="J812" s="383">
        <f ca="1"/>
        <v>6.2059004604514913E-5</v>
      </c>
      <c r="K812" s="383">
        <f ca="1"/>
        <v>8.9676828227410049E-5</v>
      </c>
      <c r="P812" s="386"/>
      <c r="Q812" s="768">
        <f ca="1">IF(F812&lt;&gt;0,+F812/'A-29'!D$115,0)</f>
        <v>0</v>
      </c>
      <c r="R812" s="768">
        <f ca="1">IF(G812&lt;&gt;0,+G812/'A-29'!E$115,0)</f>
        <v>2.0212199165624703E-3</v>
      </c>
      <c r="S812" s="768">
        <f ca="1">IF(H812&lt;&gt;0,+H812/'A-29'!F$115,0)</f>
        <v>2.0408819902472237E-3</v>
      </c>
      <c r="T812" s="768">
        <f ca="1">IF(I812&lt;&gt;0,+I812/'A-29'!G$115,0)</f>
        <v>2.0603177317524259E-3</v>
      </c>
      <c r="U812" s="768">
        <f ca="1">IF(J812&lt;&gt;0,+J812/'A-29'!H$115,0)</f>
        <v>2.081403950293991E-3</v>
      </c>
      <c r="V812" s="768">
        <f ca="1">IF(K812&lt;&gt;0,+K812/'A-29'!I$115,0)</f>
        <v>2.1007190842880002E-3</v>
      </c>
    </row>
    <row r="813" spans="1:22" s="767" customFormat="1">
      <c r="A813" s="5"/>
      <c r="B813" s="249"/>
      <c r="C813" s="425" t="str">
        <v>Services-general</v>
      </c>
      <c r="D813" s="426" t="str">
        <v>Services Other</v>
      </c>
      <c r="E813" s="847">
        <f ca="1"/>
        <v>0</v>
      </c>
      <c r="F813" s="386">
        <f ca="1"/>
        <v>0</v>
      </c>
      <c r="G813" s="383">
        <f ca="1"/>
        <v>0</v>
      </c>
      <c r="H813" s="383">
        <f ca="1"/>
        <v>0</v>
      </c>
      <c r="I813" s="383">
        <f ca="1"/>
        <v>0</v>
      </c>
      <c r="J813" s="383">
        <f ca="1"/>
        <v>0</v>
      </c>
      <c r="K813" s="383">
        <f ca="1"/>
        <v>0</v>
      </c>
      <c r="P813" s="386"/>
      <c r="Q813" s="768">
        <f ca="1">IF(F813&lt;&gt;0,+F813/'A-29'!D$116,0)</f>
        <v>0</v>
      </c>
      <c r="R813" s="768">
        <f ca="1">IF(G813&lt;&gt;0,+G813/'A-29'!E$116,0)</f>
        <v>0</v>
      </c>
      <c r="S813" s="768">
        <f ca="1">IF(H813&lt;&gt;0,+H813/'A-29'!F$116,0)</f>
        <v>0</v>
      </c>
      <c r="T813" s="768">
        <f ca="1">IF(I813&lt;&gt;0,+I813/'A-29'!G$116,0)</f>
        <v>0</v>
      </c>
      <c r="U813" s="768">
        <f ca="1">IF(J813&lt;&gt;0,+J813/'A-29'!H$116,0)</f>
        <v>0</v>
      </c>
      <c r="V813" s="768">
        <f ca="1">IF(K813&lt;&gt;0,+K813/'A-29'!I$116,0)</f>
        <v>0</v>
      </c>
    </row>
    <row r="814" spans="1:22" s="767" customFormat="1">
      <c r="A814" s="5"/>
      <c r="B814" s="249"/>
      <c r="C814" s="425" t="str">
        <v>Labour</v>
      </c>
      <c r="D814" s="426" t="str">
        <v>Business Overheads</v>
      </c>
      <c r="E814" s="847">
        <f ca="1"/>
        <v>0</v>
      </c>
      <c r="F814" s="386">
        <f ca="1"/>
        <v>0</v>
      </c>
      <c r="G814" s="383">
        <f ca="1"/>
        <v>0</v>
      </c>
      <c r="H814" s="383">
        <f ca="1"/>
        <v>0</v>
      </c>
      <c r="I814" s="383">
        <f ca="1"/>
        <v>0</v>
      </c>
      <c r="J814" s="383">
        <f ca="1"/>
        <v>0</v>
      </c>
      <c r="K814" s="383">
        <f ca="1"/>
        <v>0</v>
      </c>
      <c r="P814" s="386"/>
      <c r="Q814" s="768">
        <f ca="1">IF(F814&lt;&gt;0,+F814/'A-29'!D$117,0)</f>
        <v>0</v>
      </c>
      <c r="R814" s="768">
        <f ca="1">IF(G814&lt;&gt;0,+G814/'A-29'!E$117,0)</f>
        <v>0</v>
      </c>
      <c r="S814" s="768">
        <f ca="1">IF(H814&lt;&gt;0,+H814/'A-29'!F$117,0)</f>
        <v>0</v>
      </c>
      <c r="T814" s="768">
        <f ca="1">IF(I814&lt;&gt;0,+I814/'A-29'!G$117,0)</f>
        <v>0</v>
      </c>
      <c r="U814" s="768">
        <f ca="1">IF(J814&lt;&gt;0,+J814/'A-29'!H$117,0)</f>
        <v>0</v>
      </c>
      <c r="V814" s="768">
        <f ca="1">IF(K814&lt;&gt;0,+K814/'A-29'!I$117,0)</f>
        <v>0</v>
      </c>
    </row>
    <row r="815" spans="1:22" s="767" customFormat="1">
      <c r="A815" s="5"/>
      <c r="B815" s="249"/>
      <c r="C815" s="425" t="str">
        <v>Materials - Land</v>
      </c>
      <c r="D815" s="426" t="str">
        <v>Other</v>
      </c>
      <c r="E815" s="847">
        <f ca="1"/>
        <v>0</v>
      </c>
      <c r="F815" s="386">
        <f ca="1"/>
        <v>0</v>
      </c>
      <c r="G815" s="383">
        <f ca="1"/>
        <v>0</v>
      </c>
      <c r="H815" s="383">
        <f ca="1"/>
        <v>0</v>
      </c>
      <c r="I815" s="383">
        <f ca="1"/>
        <v>0</v>
      </c>
      <c r="J815" s="383">
        <f ca="1"/>
        <v>0</v>
      </c>
      <c r="K815" s="383">
        <f ca="1"/>
        <v>0</v>
      </c>
      <c r="P815" s="386"/>
      <c r="Q815" s="768">
        <f ca="1">IF(F815&lt;&gt;0,+F815/'A-29'!D$118,0)</f>
        <v>0</v>
      </c>
      <c r="R815" s="768">
        <f ca="1">IF(G815&lt;&gt;0,+G815/'A-29'!E$118,0)</f>
        <v>0</v>
      </c>
      <c r="S815" s="768">
        <f ca="1">IF(H815&lt;&gt;0,+H815/'A-29'!F$118,0)</f>
        <v>0</v>
      </c>
      <c r="T815" s="768">
        <f ca="1">IF(I815&lt;&gt;0,+I815/'A-29'!G$118,0)</f>
        <v>0</v>
      </c>
      <c r="U815" s="768">
        <f ca="1">IF(J815&lt;&gt;0,+J815/'A-29'!H$118,0)</f>
        <v>0</v>
      </c>
      <c r="V815" s="768">
        <f ca="1">IF(K815&lt;&gt;0,+K815/'A-29'!I$118,0)</f>
        <v>0</v>
      </c>
    </row>
    <row r="816" spans="1:22">
      <c r="A816" s="5"/>
      <c r="B816" s="249" t="str">
        <f ca="1">+'I-4 History'!B489</f>
        <v>A-30</v>
      </c>
      <c r="C816" s="14" t="str">
        <f ca="1">+'I-4 History'!C489</f>
        <v>Risk &amp; Insurance – Support Costs</v>
      </c>
      <c r="D816" s="418"/>
      <c r="E816" s="507"/>
      <c r="F816" s="11"/>
      <c r="G816" s="11"/>
      <c r="H816" s="11"/>
      <c r="I816" s="11"/>
      <c r="J816" s="11"/>
      <c r="K816" s="11"/>
      <c r="P816" s="11"/>
      <c r="Q816" s="11"/>
      <c r="R816" s="11"/>
      <c r="S816" s="11"/>
      <c r="T816" s="11"/>
      <c r="U816" s="11"/>
      <c r="V816" s="11"/>
    </row>
    <row r="817" spans="1:22">
      <c r="A817" s="5"/>
      <c r="B817" s="249"/>
      <c r="C817" s="424" t="s">
        <v>74</v>
      </c>
      <c r="D817" s="416"/>
      <c r="E817" s="507"/>
      <c r="F817" s="11"/>
      <c r="G817" s="11"/>
      <c r="H817" s="11"/>
      <c r="I817" s="11"/>
      <c r="J817" s="11"/>
      <c r="K817" s="11"/>
      <c r="P817" s="11"/>
      <c r="Q817" s="11"/>
      <c r="R817" s="11"/>
      <c r="S817" s="11"/>
      <c r="T817" s="11"/>
      <c r="U817" s="11"/>
      <c r="V817" s="11"/>
    </row>
    <row r="818" spans="1:22">
      <c r="A818" s="5"/>
      <c r="B818" s="249"/>
      <c r="C818" s="425" t="str">
        <f t="array" ref="C818:D823">+'A-30'!$A$77:$B$82</f>
        <v>Total Output Growth</v>
      </c>
      <c r="D818" s="426" t="str">
        <v>Labour</v>
      </c>
      <c r="E818" s="847">
        <f t="array" ref="E818:K823" ca="1">+'A-30'!$N$77:$T$82</f>
        <v>0</v>
      </c>
      <c r="F818" s="386">
        <f ca="1"/>
        <v>0</v>
      </c>
      <c r="G818" s="383">
        <f ca="1"/>
        <v>4.9124106842118615E-3</v>
      </c>
      <c r="H818" s="383">
        <f ca="1"/>
        <v>9.4641807422322401E-3</v>
      </c>
      <c r="I818" s="383">
        <f ca="1"/>
        <v>1.3963554900686554E-2</v>
      </c>
      <c r="J818" s="383">
        <f ca="1"/>
        <v>1.8845014493059007E-2</v>
      </c>
      <c r="K818" s="383">
        <f ca="1"/>
        <v>2.3316468012672086E-2</v>
      </c>
      <c r="L818" s="790"/>
      <c r="M818" s="790"/>
      <c r="N818" s="790"/>
      <c r="O818" s="790"/>
      <c r="P818" s="386"/>
      <c r="Q818" s="768">
        <f ca="1">IF(F818&lt;&gt;0,+F818/'A-30'!D$77,0)</f>
        <v>0</v>
      </c>
      <c r="R818" s="768">
        <f ca="1">IF(G818&lt;&gt;0,+G818/'A-30'!E$77,0)</f>
        <v>0.46300000000000002</v>
      </c>
      <c r="S818" s="768">
        <f ca="1">IF(H818&lt;&gt;0,+H818/'A-30'!F$77,0)</f>
        <v>0.46300000000000002</v>
      </c>
      <c r="T818" s="768">
        <f ca="1">IF(I818&lt;&gt;0,+I818/'A-30'!G$77,0)</f>
        <v>0.46300000000000002</v>
      </c>
      <c r="U818" s="768">
        <f ca="1">IF(J818&lt;&gt;0,+J818/'A-30'!H$77,0)</f>
        <v>0.46300000000000002</v>
      </c>
      <c r="V818" s="768">
        <f ca="1">IF(K818&lt;&gt;0,+K818/'A-30'!I$77,0)</f>
        <v>0.46300000000000002</v>
      </c>
    </row>
    <row r="819" spans="1:22">
      <c r="A819" s="5"/>
      <c r="B819" s="249"/>
      <c r="C819" s="425" t="str">
        <v>Total Output Growth</v>
      </c>
      <c r="D819" s="426" t="str">
        <v>Materials</v>
      </c>
      <c r="E819" s="847">
        <f ca="1"/>
        <v>0</v>
      </c>
      <c r="F819" s="386">
        <f ca="1"/>
        <v>0</v>
      </c>
      <c r="G819" s="383">
        <f ca="1"/>
        <v>0</v>
      </c>
      <c r="H819" s="383">
        <f ca="1"/>
        <v>0</v>
      </c>
      <c r="I819" s="383">
        <f ca="1"/>
        <v>0</v>
      </c>
      <c r="J819" s="383">
        <f ca="1"/>
        <v>0</v>
      </c>
      <c r="K819" s="383">
        <f ca="1"/>
        <v>0</v>
      </c>
      <c r="L819" s="790"/>
      <c r="M819" s="790"/>
      <c r="N819" s="790"/>
      <c r="O819" s="790"/>
      <c r="P819" s="386"/>
      <c r="Q819" s="768">
        <f ca="1">IF(F819&lt;&gt;0,+F819/'A-30'!D$78,0)</f>
        <v>0</v>
      </c>
      <c r="R819" s="768">
        <f ca="1">IF(G819&lt;&gt;0,+G819/'A-30'!E$78,0)</f>
        <v>0</v>
      </c>
      <c r="S819" s="768">
        <f ca="1">IF(H819&lt;&gt;0,+H819/'A-30'!F$78,0)</f>
        <v>0</v>
      </c>
      <c r="T819" s="768">
        <f ca="1">IF(I819&lt;&gt;0,+I819/'A-30'!G$78,0)</f>
        <v>0</v>
      </c>
      <c r="U819" s="768">
        <f ca="1">IF(J819&lt;&gt;0,+J819/'A-30'!H$78,0)</f>
        <v>0</v>
      </c>
      <c r="V819" s="768">
        <f ca="1">IF(K819&lt;&gt;0,+K819/'A-30'!I$78,0)</f>
        <v>0</v>
      </c>
    </row>
    <row r="820" spans="1:22">
      <c r="A820" s="5"/>
      <c r="B820" s="249"/>
      <c r="C820" s="425" t="str">
        <v>Total Output Growth</v>
      </c>
      <c r="D820" s="426" t="str">
        <v>Contracts</v>
      </c>
      <c r="E820" s="847">
        <f ca="1"/>
        <v>0</v>
      </c>
      <c r="F820" s="386">
        <f ca="1"/>
        <v>0</v>
      </c>
      <c r="G820" s="383">
        <f ca="1"/>
        <v>8.4879666249880974E-5</v>
      </c>
      <c r="H820" s="383">
        <f ca="1"/>
        <v>1.6352796098889399E-4</v>
      </c>
      <c r="I820" s="383">
        <f ca="1"/>
        <v>2.4127092700970289E-4</v>
      </c>
      <c r="J820" s="383">
        <f ca="1"/>
        <v>3.2561580117596554E-4</v>
      </c>
      <c r="K820" s="383">
        <f ca="1"/>
        <v>4.0287633715200145E-4</v>
      </c>
      <c r="L820" s="790"/>
      <c r="M820" s="790"/>
      <c r="N820" s="790"/>
      <c r="O820" s="790"/>
      <c r="P820" s="386"/>
      <c r="Q820" s="768">
        <f ca="1">IF(F820&lt;&gt;0,+F820/'A-30'!D$79,0)</f>
        <v>0</v>
      </c>
      <c r="R820" s="768">
        <f ca="1">IF(G820&lt;&gt;0,+G820/'A-30'!E$79,0)</f>
        <v>8.0000000000000002E-3</v>
      </c>
      <c r="S820" s="768">
        <f ca="1">IF(H820&lt;&gt;0,+H820/'A-30'!F$79,0)</f>
        <v>8.0000000000000002E-3</v>
      </c>
      <c r="T820" s="768">
        <f ca="1">IF(I820&lt;&gt;0,+I820/'A-30'!G$79,0)</f>
        <v>8.0000000000000002E-3</v>
      </c>
      <c r="U820" s="768">
        <f ca="1">IF(J820&lt;&gt;0,+J820/'A-30'!H$79,0)</f>
        <v>8.0000000000000002E-3</v>
      </c>
      <c r="V820" s="768">
        <f ca="1">IF(K820&lt;&gt;0,+K820/'A-30'!I$79,0)</f>
        <v>8.0000000000000002E-3</v>
      </c>
    </row>
    <row r="821" spans="1:22" s="790" customFormat="1">
      <c r="A821" s="5"/>
      <c r="B821" s="249"/>
      <c r="C821" s="425" t="str">
        <v>Total Output Growth</v>
      </c>
      <c r="D821" s="426" t="str">
        <v>Services Other</v>
      </c>
      <c r="E821" s="847">
        <f ca="1"/>
        <v>0</v>
      </c>
      <c r="F821" s="386">
        <f ca="1"/>
        <v>0</v>
      </c>
      <c r="G821" s="383">
        <f ca="1"/>
        <v>2.7002343825743388E-2</v>
      </c>
      <c r="H821" s="383">
        <f ca="1"/>
        <v>5.2022332589591908E-2</v>
      </c>
      <c r="I821" s="383">
        <f ca="1"/>
        <v>7.6754313654961742E-2</v>
      </c>
      <c r="J821" s="383">
        <f ca="1"/>
        <v>0.10358652674910405</v>
      </c>
      <c r="K821" s="383">
        <f ca="1"/>
        <v>0.12816503475648047</v>
      </c>
      <c r="P821" s="386"/>
      <c r="Q821" s="768">
        <f ca="1">IF(F821&lt;&gt;0,+F821/'A-30'!D$80,0)</f>
        <v>0</v>
      </c>
      <c r="R821" s="768">
        <f ca="1">IF(G821&lt;&gt;0,+G821/'A-30'!E$80,0)</f>
        <v>2.5450000000000004</v>
      </c>
      <c r="S821" s="768">
        <f ca="1">IF(H821&lt;&gt;0,+H821/'A-30'!F$80,0)</f>
        <v>2.5450000000000004</v>
      </c>
      <c r="T821" s="768">
        <f ca="1">IF(I821&lt;&gt;0,+I821/'A-30'!G$80,0)</f>
        <v>2.5450000000000004</v>
      </c>
      <c r="U821" s="768">
        <f ca="1">IF(J821&lt;&gt;0,+J821/'A-30'!H$80,0)</f>
        <v>2.5450000000000004</v>
      </c>
      <c r="V821" s="768">
        <f ca="1">IF(K821&lt;&gt;0,+K821/'A-30'!I$80,0)</f>
        <v>2.5450000000000004</v>
      </c>
    </row>
    <row r="822" spans="1:22" s="790" customFormat="1">
      <c r="A822" s="5"/>
      <c r="B822" s="249"/>
      <c r="C822" s="425" t="str">
        <v>Total Output Growth</v>
      </c>
      <c r="D822" s="426" t="str">
        <v>Business Overheads</v>
      </c>
      <c r="E822" s="847">
        <f ca="1"/>
        <v>0</v>
      </c>
      <c r="F822" s="386">
        <f ca="1"/>
        <v>0</v>
      </c>
      <c r="G822" s="383">
        <f ca="1"/>
        <v>0</v>
      </c>
      <c r="H822" s="383">
        <f ca="1"/>
        <v>0</v>
      </c>
      <c r="I822" s="383">
        <f ca="1"/>
        <v>0</v>
      </c>
      <c r="J822" s="383">
        <f ca="1"/>
        <v>0</v>
      </c>
      <c r="K822" s="383">
        <f ca="1"/>
        <v>0</v>
      </c>
      <c r="P822" s="386"/>
      <c r="Q822" s="768">
        <f ca="1">IF(F822&lt;&gt;0,+F822/'A-30'!D$81,0)</f>
        <v>0</v>
      </c>
      <c r="R822" s="768">
        <f ca="1">IF(G822&lt;&gt;0,+G822/'A-30'!E$81,0)</f>
        <v>0</v>
      </c>
      <c r="S822" s="768">
        <f ca="1">IF(H822&lt;&gt;0,+H822/'A-30'!F$81,0)</f>
        <v>0</v>
      </c>
      <c r="T822" s="768">
        <f ca="1">IF(I822&lt;&gt;0,+I822/'A-30'!G$81,0)</f>
        <v>0</v>
      </c>
      <c r="U822" s="768">
        <f ca="1">IF(J822&lt;&gt;0,+J822/'A-30'!H$81,0)</f>
        <v>0</v>
      </c>
      <c r="V822" s="768">
        <f ca="1">IF(K822&lt;&gt;0,+K822/'A-30'!I$81,0)</f>
        <v>0</v>
      </c>
    </row>
    <row r="823" spans="1:22" s="790" customFormat="1">
      <c r="A823" s="5"/>
      <c r="B823" s="249"/>
      <c r="C823" s="425" t="str">
        <v>Total Output Growth</v>
      </c>
      <c r="D823" s="426" t="str">
        <v>Other</v>
      </c>
      <c r="E823" s="847">
        <f ca="1"/>
        <v>0</v>
      </c>
      <c r="F823" s="386">
        <f ca="1"/>
        <v>0</v>
      </c>
      <c r="G823" s="383">
        <f ca="1"/>
        <v>0</v>
      </c>
      <c r="H823" s="383">
        <f ca="1"/>
        <v>0</v>
      </c>
      <c r="I823" s="383">
        <f ca="1"/>
        <v>0</v>
      </c>
      <c r="J823" s="383">
        <f ca="1"/>
        <v>0</v>
      </c>
      <c r="K823" s="383">
        <f ca="1"/>
        <v>0</v>
      </c>
      <c r="P823" s="386"/>
      <c r="Q823" s="768">
        <f ca="1">IF(F823&lt;&gt;0,+F823/'A-30'!D$82,0)</f>
        <v>0</v>
      </c>
      <c r="R823" s="768">
        <f ca="1">IF(G823&lt;&gt;0,+G823/'A-30'!E$82,0)</f>
        <v>0</v>
      </c>
      <c r="S823" s="768">
        <f ca="1">IF(H823&lt;&gt;0,+H823/'A-30'!F$82,0)</f>
        <v>0</v>
      </c>
      <c r="T823" s="768">
        <f ca="1">IF(I823&lt;&gt;0,+I823/'A-30'!G$82,0)</f>
        <v>0</v>
      </c>
      <c r="U823" s="768">
        <f ca="1">IF(J823&lt;&gt;0,+J823/'A-30'!H$82,0)</f>
        <v>0</v>
      </c>
      <c r="V823" s="768">
        <f ca="1">IF(K823&lt;&gt;0,+K823/'A-30'!I$82,0)</f>
        <v>0</v>
      </c>
    </row>
    <row r="824" spans="1:22">
      <c r="A824" s="5"/>
      <c r="B824" s="249"/>
      <c r="C824" s="424" t="s">
        <v>73</v>
      </c>
      <c r="D824" s="417"/>
      <c r="E824" s="848"/>
      <c r="F824" s="387"/>
      <c r="G824" s="385"/>
      <c r="H824" s="385"/>
      <c r="I824" s="385"/>
      <c r="J824" s="385"/>
      <c r="K824" s="385"/>
      <c r="P824" s="387"/>
      <c r="Q824" s="385"/>
      <c r="R824" s="385"/>
      <c r="S824" s="385"/>
      <c r="T824" s="385"/>
      <c r="U824" s="385"/>
      <c r="V824" s="385"/>
    </row>
    <row r="825" spans="1:22" s="767" customFormat="1">
      <c r="A825" s="5"/>
      <c r="B825" s="249"/>
      <c r="C825" s="425" t="str">
        <f t="array" ref="C825:D830">+'A-30'!$A$113:$B$119</f>
        <v>Labour</v>
      </c>
      <c r="D825" s="426" t="str">
        <v>Labour</v>
      </c>
      <c r="E825" s="847">
        <f t="array" ref="E825:K830" ca="1">+'A-30'!$N$113:$T$119</f>
        <v>0</v>
      </c>
      <c r="F825" s="386">
        <f ca="1"/>
        <v>0</v>
      </c>
      <c r="G825" s="383">
        <f ca="1"/>
        <v>1.0040448553776442E-2</v>
      </c>
      <c r="H825" s="383">
        <f ca="1"/>
        <v>2.0493784000247144E-2</v>
      </c>
      <c r="I825" s="383">
        <f ca="1"/>
        <v>3.1952690381196414E-2</v>
      </c>
      <c r="J825" s="383">
        <f ca="1"/>
        <v>4.3916276395495932E-2</v>
      </c>
      <c r="K825" s="383">
        <f ca="1"/>
        <v>5.6334189959002974E-2</v>
      </c>
      <c r="P825" s="386"/>
      <c r="Q825" s="768">
        <f ca="1">IF(F825&lt;&gt;0,+F825/'A-30'!D$113,0)</f>
        <v>0</v>
      </c>
      <c r="R825" s="768">
        <f ca="1">IF(G825&lt;&gt;0,+G825/'A-30'!E$113,0)</f>
        <v>0.46791241068421197</v>
      </c>
      <c r="S825" s="768">
        <f ca="1">IF(H825&lt;&gt;0,+H825/'A-30'!F$113,0)</f>
        <v>0.47246418074223234</v>
      </c>
      <c r="T825" s="768">
        <f ca="1">IF(I825&lt;&gt;0,+I825/'A-30'!G$113,0)</f>
        <v>0.47696355490068665</v>
      </c>
      <c r="U825" s="768">
        <f ca="1">IF(J825&lt;&gt;0,+J825/'A-30'!H$113,0)</f>
        <v>0.48184501449305905</v>
      </c>
      <c r="V825" s="768">
        <f ca="1">IF(K825&lt;&gt;0,+K825/'A-30'!I$113,0)</f>
        <v>0.48631646801267209</v>
      </c>
    </row>
    <row r="826" spans="1:22" s="767" customFormat="1">
      <c r="A826" s="5"/>
      <c r="B826" s="249"/>
      <c r="C826" s="425" t="str">
        <v>Materials</v>
      </c>
      <c r="D826" s="426" t="str">
        <v>Materials</v>
      </c>
      <c r="E826" s="847">
        <f ca="1"/>
        <v>0</v>
      </c>
      <c r="F826" s="386">
        <f ca="1"/>
        <v>0</v>
      </c>
      <c r="G826" s="383">
        <f ca="1"/>
        <v>0</v>
      </c>
      <c r="H826" s="383">
        <f ca="1"/>
        <v>0</v>
      </c>
      <c r="I826" s="383">
        <f ca="1"/>
        <v>0</v>
      </c>
      <c r="J826" s="383">
        <f ca="1"/>
        <v>0</v>
      </c>
      <c r="K826" s="383">
        <f ca="1"/>
        <v>0</v>
      </c>
      <c r="P826" s="386"/>
      <c r="Q826" s="768">
        <f ca="1">IF(F826&lt;&gt;0,+F826/'A-30'!D$114,0)</f>
        <v>0</v>
      </c>
      <c r="R826" s="768">
        <f ca="1">IF(G826&lt;&gt;0,+G826/'A-30'!E$114,0)</f>
        <v>0</v>
      </c>
      <c r="S826" s="768">
        <f ca="1">IF(H826&lt;&gt;0,+H826/'A-30'!F$114,0)</f>
        <v>0</v>
      </c>
      <c r="T826" s="768">
        <f ca="1">IF(I826&lt;&gt;0,+I826/'A-30'!G$114,0)</f>
        <v>0</v>
      </c>
      <c r="U826" s="768">
        <f ca="1">IF(J826&lt;&gt;0,+J826/'A-30'!H$114,0)</f>
        <v>0</v>
      </c>
      <c r="V826" s="768">
        <f ca="1">IF(K826&lt;&gt;0,+K826/'A-30'!I$114,0)</f>
        <v>0</v>
      </c>
    </row>
    <row r="827" spans="1:22" s="767" customFormat="1">
      <c r="A827" s="5"/>
      <c r="B827" s="249"/>
      <c r="C827" s="425" t="str">
        <v>Services-construction</v>
      </c>
      <c r="D827" s="426" t="str">
        <v>Contracts</v>
      </c>
      <c r="E827" s="847">
        <f ca="1"/>
        <v>0</v>
      </c>
      <c r="F827" s="386">
        <f ca="1"/>
        <v>0</v>
      </c>
      <c r="G827" s="383">
        <f ca="1"/>
        <v>4.0424398331248544E-5</v>
      </c>
      <c r="H827" s="383">
        <f ca="1"/>
        <v>8.1839367808911448E-5</v>
      </c>
      <c r="I827" s="383">
        <f ca="1"/>
        <v>1.5753374805574504E-4</v>
      </c>
      <c r="J827" s="383">
        <f ca="1"/>
        <v>2.4823601841805965E-4</v>
      </c>
      <c r="K827" s="383">
        <f ca="1"/>
        <v>3.5870731290964019E-4</v>
      </c>
      <c r="P827" s="386"/>
      <c r="Q827" s="768">
        <f ca="1">IF(F827&lt;&gt;0,+F827/'A-30'!D$115,0)</f>
        <v>0</v>
      </c>
      <c r="R827" s="768">
        <f ca="1">IF(G827&lt;&gt;0,+G827/'A-30'!E$115,0)</f>
        <v>8.0848796662498813E-3</v>
      </c>
      <c r="S827" s="768">
        <f ca="1">IF(H827&lt;&gt;0,+H827/'A-30'!F$115,0)</f>
        <v>8.1635279609888946E-3</v>
      </c>
      <c r="T827" s="768">
        <f ca="1">IF(I827&lt;&gt;0,+I827/'A-30'!G$115,0)</f>
        <v>8.2412709270097036E-3</v>
      </c>
      <c r="U827" s="768">
        <f ca="1">IF(J827&lt;&gt;0,+J827/'A-30'!H$115,0)</f>
        <v>8.3256158011759639E-3</v>
      </c>
      <c r="V827" s="768">
        <f ca="1">IF(K827&lt;&gt;0,+K827/'A-30'!I$115,0)</f>
        <v>8.4028763371520009E-3</v>
      </c>
    </row>
    <row r="828" spans="1:22" s="767" customFormat="1">
      <c r="A828" s="5"/>
      <c r="B828" s="249"/>
      <c r="C828" s="425" t="str">
        <v>Services-general</v>
      </c>
      <c r="D828" s="426" t="str">
        <v>Services Other</v>
      </c>
      <c r="E828" s="847">
        <f ca="1"/>
        <v>0</v>
      </c>
      <c r="F828" s="386">
        <f ca="1"/>
        <v>0</v>
      </c>
      <c r="G828" s="383">
        <f ca="1"/>
        <v>1.2860011719128445E-2</v>
      </c>
      <c r="H828" s="383">
        <f ca="1"/>
        <v>2.6035148884209956E-2</v>
      </c>
      <c r="I828" s="383">
        <f ca="1"/>
        <v>5.0115423600233897E-2</v>
      </c>
      <c r="J828" s="383">
        <f ca="1"/>
        <v>7.8970083359245241E-2</v>
      </c>
      <c r="K828" s="383">
        <f ca="1"/>
        <v>0.1141137639193793</v>
      </c>
      <c r="P828" s="386"/>
      <c r="Q828" s="768">
        <f ca="1">IF(F828&lt;&gt;0,+F828/'A-30'!D$116,0)</f>
        <v>0</v>
      </c>
      <c r="R828" s="768">
        <f ca="1">IF(G828&lt;&gt;0,+G828/'A-30'!E$116,0)</f>
        <v>2.5720023438257438</v>
      </c>
      <c r="S828" s="768">
        <f ca="1">IF(H828&lt;&gt;0,+H828/'A-30'!F$116,0)</f>
        <v>2.5970223325895923</v>
      </c>
      <c r="T828" s="768">
        <f ca="1">IF(I828&lt;&gt;0,+I828/'A-30'!G$116,0)</f>
        <v>2.6217543136549621</v>
      </c>
      <c r="U828" s="768">
        <f ca="1">IF(J828&lt;&gt;0,+J828/'A-30'!H$116,0)</f>
        <v>2.6485865267491042</v>
      </c>
      <c r="V828" s="768">
        <f ca="1">IF(K828&lt;&gt;0,+K828/'A-30'!I$116,0)</f>
        <v>2.6731650347564808</v>
      </c>
    </row>
    <row r="829" spans="1:22" s="767" customFormat="1">
      <c r="A829" s="5"/>
      <c r="B829" s="249"/>
      <c r="C829" s="425" t="str">
        <v>Labour</v>
      </c>
      <c r="D829" s="426" t="str">
        <v>Business Overheads</v>
      </c>
      <c r="E829" s="847">
        <f ca="1"/>
        <v>0</v>
      </c>
      <c r="F829" s="386">
        <f ca="1"/>
        <v>0</v>
      </c>
      <c r="G829" s="383">
        <f ca="1"/>
        <v>0</v>
      </c>
      <c r="H829" s="383">
        <f ca="1"/>
        <v>0</v>
      </c>
      <c r="I829" s="383">
        <f ca="1"/>
        <v>0</v>
      </c>
      <c r="J829" s="383">
        <f ca="1"/>
        <v>0</v>
      </c>
      <c r="K829" s="383">
        <f ca="1"/>
        <v>0</v>
      </c>
      <c r="P829" s="386"/>
      <c r="Q829" s="768">
        <f ca="1">IF(F829&lt;&gt;0,+F829/'A-30'!D$117,0)</f>
        <v>0</v>
      </c>
      <c r="R829" s="768">
        <f ca="1">IF(G829&lt;&gt;0,+G829/'A-30'!E$117,0)</f>
        <v>0</v>
      </c>
      <c r="S829" s="768">
        <f ca="1">IF(H829&lt;&gt;0,+H829/'A-30'!F$117,0)</f>
        <v>0</v>
      </c>
      <c r="T829" s="768">
        <f ca="1">IF(I829&lt;&gt;0,+I829/'A-30'!G$117,0)</f>
        <v>0</v>
      </c>
      <c r="U829" s="768">
        <f ca="1">IF(J829&lt;&gt;0,+J829/'A-30'!H$117,0)</f>
        <v>0</v>
      </c>
      <c r="V829" s="768">
        <f ca="1">IF(K829&lt;&gt;0,+K829/'A-30'!I$117,0)</f>
        <v>0</v>
      </c>
    </row>
    <row r="830" spans="1:22" s="767" customFormat="1">
      <c r="A830" s="5"/>
      <c r="B830" s="249"/>
      <c r="C830" s="425" t="str">
        <v>Materials - Land</v>
      </c>
      <c r="D830" s="426" t="str">
        <v>Other</v>
      </c>
      <c r="E830" s="847">
        <f ca="1"/>
        <v>0</v>
      </c>
      <c r="F830" s="386">
        <f ca="1"/>
        <v>0</v>
      </c>
      <c r="G830" s="383">
        <f ca="1"/>
        <v>0</v>
      </c>
      <c r="H830" s="383">
        <f ca="1"/>
        <v>0</v>
      </c>
      <c r="I830" s="383">
        <f ca="1"/>
        <v>0</v>
      </c>
      <c r="J830" s="383">
        <f ca="1"/>
        <v>0</v>
      </c>
      <c r="K830" s="383">
        <f ca="1"/>
        <v>0</v>
      </c>
      <c r="P830" s="386"/>
      <c r="Q830" s="768">
        <f ca="1">IF(F830&lt;&gt;0,+F830/'A-30'!D$118,0)</f>
        <v>0</v>
      </c>
      <c r="R830" s="768">
        <f ca="1">IF(G830&lt;&gt;0,+G830/'A-30'!E$118,0)</f>
        <v>0</v>
      </c>
      <c r="S830" s="768">
        <f ca="1">IF(H830&lt;&gt;0,+H830/'A-30'!F$118,0)</f>
        <v>0</v>
      </c>
      <c r="T830" s="768">
        <f ca="1">IF(I830&lt;&gt;0,+I830/'A-30'!G$118,0)</f>
        <v>0</v>
      </c>
      <c r="U830" s="768">
        <f ca="1">IF(J830&lt;&gt;0,+J830/'A-30'!H$118,0)</f>
        <v>0</v>
      </c>
      <c r="V830" s="768">
        <f ca="1">IF(K830&lt;&gt;0,+K830/'A-30'!I$118,0)</f>
        <v>0</v>
      </c>
    </row>
    <row r="831" spans="1:22">
      <c r="A831" s="5"/>
      <c r="B831" s="249" t="str">
        <f ca="1">+'I-4 History'!B498</f>
        <v>A-31</v>
      </c>
      <c r="C831" s="262" t="str">
        <f ca="1">+'I-4 History'!C498</f>
        <v>Legal Services</v>
      </c>
      <c r="D831" s="298"/>
      <c r="E831" s="507"/>
      <c r="F831" s="11"/>
      <c r="G831" s="11"/>
      <c r="H831" s="11"/>
      <c r="I831" s="11"/>
      <c r="J831" s="11"/>
      <c r="K831" s="11"/>
      <c r="P831" s="11"/>
      <c r="Q831" s="11"/>
      <c r="R831" s="11"/>
      <c r="S831" s="11"/>
      <c r="T831" s="11"/>
      <c r="U831" s="11"/>
      <c r="V831" s="11"/>
    </row>
    <row r="832" spans="1:22">
      <c r="A832" s="5"/>
      <c r="B832" s="249"/>
      <c r="C832" s="424" t="s">
        <v>74</v>
      </c>
      <c r="D832" s="416"/>
      <c r="E832" s="507"/>
      <c r="F832" s="11"/>
      <c r="G832" s="11"/>
      <c r="H832" s="11"/>
      <c r="I832" s="11"/>
      <c r="J832" s="11"/>
      <c r="K832" s="11"/>
      <c r="P832" s="11"/>
      <c r="Q832" s="11"/>
      <c r="R832" s="11"/>
      <c r="S832" s="11"/>
      <c r="T832" s="11"/>
      <c r="U832" s="11"/>
      <c r="V832" s="11"/>
    </row>
    <row r="833" spans="1:22">
      <c r="A833" s="5"/>
      <c r="B833" s="249"/>
      <c r="C833" s="425" t="str">
        <f t="array" ref="C833:D838">+'A-31'!$A$77:$B$82</f>
        <v>Total Output Growth</v>
      </c>
      <c r="D833" s="426" t="str">
        <v>Labour</v>
      </c>
      <c r="E833" s="847">
        <f t="array" ref="E833:K838" ca="1">+'A-31'!$N$77:$T$82</f>
        <v>0</v>
      </c>
      <c r="F833" s="386">
        <f ca="1"/>
        <v>0</v>
      </c>
      <c r="G833" s="383">
        <f ca="1"/>
        <v>7.1511118815524724E-3</v>
      </c>
      <c r="H833" s="383">
        <f ca="1"/>
        <v>1.377723071331432E-2</v>
      </c>
      <c r="I833" s="383">
        <f ca="1"/>
        <v>2.0327075600567467E-2</v>
      </c>
      <c r="J833" s="383">
        <f ca="1"/>
        <v>2.74331312490751E-2</v>
      </c>
      <c r="K833" s="383">
        <f ca="1"/>
        <v>3.3942331405056127E-2</v>
      </c>
      <c r="L833" s="790"/>
      <c r="M833" s="790"/>
      <c r="N833" s="790"/>
      <c r="O833" s="790"/>
      <c r="P833" s="386"/>
      <c r="Q833" s="768">
        <f ca="1">IF(F833&lt;&gt;0,+F833/'A-31'!D$77,0)</f>
        <v>0</v>
      </c>
      <c r="R833" s="768">
        <f ca="1">IF(G833&lt;&gt;0,+G833/'A-31'!E$77,0)</f>
        <v>0.67400000000000004</v>
      </c>
      <c r="S833" s="768">
        <f ca="1">IF(H833&lt;&gt;0,+H833/'A-31'!F$77,0)</f>
        <v>0.67400000000000004</v>
      </c>
      <c r="T833" s="768">
        <f ca="1">IF(I833&lt;&gt;0,+I833/'A-31'!G$77,0)</f>
        <v>0.67400000000000004</v>
      </c>
      <c r="U833" s="768">
        <f ca="1">IF(J833&lt;&gt;0,+J833/'A-31'!H$77,0)</f>
        <v>0.67400000000000004</v>
      </c>
      <c r="V833" s="768">
        <f ca="1">IF(K833&lt;&gt;0,+K833/'A-31'!I$77,0)</f>
        <v>0.67400000000000015</v>
      </c>
    </row>
    <row r="834" spans="1:22">
      <c r="A834" s="5"/>
      <c r="B834" s="249"/>
      <c r="C834" s="425" t="str">
        <v>Total Output Growth</v>
      </c>
      <c r="D834" s="426" t="str">
        <v>Materials</v>
      </c>
      <c r="E834" s="847">
        <f ca="1"/>
        <v>0</v>
      </c>
      <c r="F834" s="386">
        <f ca="1"/>
        <v>0</v>
      </c>
      <c r="G834" s="383">
        <f ca="1"/>
        <v>1.0609958281235121E-4</v>
      </c>
      <c r="H834" s="383">
        <f ca="1"/>
        <v>2.044099512361175E-4</v>
      </c>
      <c r="I834" s="383">
        <f ca="1"/>
        <v>3.015886587621286E-4</v>
      </c>
      <c r="J834" s="383">
        <f ca="1"/>
        <v>4.0701975146995695E-4</v>
      </c>
      <c r="K834" s="383">
        <f ca="1"/>
        <v>5.0359542144000184E-4</v>
      </c>
      <c r="L834" s="790"/>
      <c r="M834" s="790"/>
      <c r="N834" s="790"/>
      <c r="O834" s="790"/>
      <c r="P834" s="386"/>
      <c r="Q834" s="768">
        <f ca="1">IF(F834&lt;&gt;0,+F834/'A-31'!D$78,0)</f>
        <v>0</v>
      </c>
      <c r="R834" s="768">
        <f ca="1">IF(G834&lt;&gt;0,+G834/'A-31'!E$78,0)</f>
        <v>0.01</v>
      </c>
      <c r="S834" s="768">
        <f ca="1">IF(H834&lt;&gt;0,+H834/'A-31'!F$78,0)</f>
        <v>0.01</v>
      </c>
      <c r="T834" s="768">
        <f ca="1">IF(I834&lt;&gt;0,+I834/'A-31'!G$78,0)</f>
        <v>0.01</v>
      </c>
      <c r="U834" s="768">
        <f ca="1">IF(J834&lt;&gt;0,+J834/'A-31'!H$78,0)</f>
        <v>0.01</v>
      </c>
      <c r="V834" s="768">
        <f ca="1">IF(K834&lt;&gt;0,+K834/'A-31'!I$78,0)</f>
        <v>0.01</v>
      </c>
    </row>
    <row r="835" spans="1:22">
      <c r="A835" s="5"/>
      <c r="B835" s="249"/>
      <c r="C835" s="425" t="str">
        <v>Total Output Growth</v>
      </c>
      <c r="D835" s="426" t="str">
        <v>Contracts</v>
      </c>
      <c r="E835" s="847">
        <f ca="1"/>
        <v>0</v>
      </c>
      <c r="F835" s="386">
        <f ca="1"/>
        <v>0</v>
      </c>
      <c r="G835" s="383">
        <f ca="1"/>
        <v>0</v>
      </c>
      <c r="H835" s="383">
        <f ca="1"/>
        <v>0</v>
      </c>
      <c r="I835" s="383">
        <f ca="1"/>
        <v>0</v>
      </c>
      <c r="J835" s="383">
        <f ca="1"/>
        <v>0</v>
      </c>
      <c r="K835" s="383">
        <f ca="1"/>
        <v>0</v>
      </c>
      <c r="L835" s="790"/>
      <c r="M835" s="790"/>
      <c r="N835" s="790"/>
      <c r="O835" s="790"/>
      <c r="P835" s="386"/>
      <c r="Q835" s="768">
        <f ca="1">IF(F835&lt;&gt;0,+F835/'A-31'!D$79,0)</f>
        <v>0</v>
      </c>
      <c r="R835" s="768">
        <f ca="1">IF(G835&lt;&gt;0,+G835/'A-31'!E$79,0)</f>
        <v>0</v>
      </c>
      <c r="S835" s="768">
        <f ca="1">IF(H835&lt;&gt;0,+H835/'A-31'!F$79,0)</f>
        <v>0</v>
      </c>
      <c r="T835" s="768">
        <f ca="1">IF(I835&lt;&gt;0,+I835/'A-31'!G$79,0)</f>
        <v>0</v>
      </c>
      <c r="U835" s="768">
        <f ca="1">IF(J835&lt;&gt;0,+J835/'A-31'!H$79,0)</f>
        <v>0</v>
      </c>
      <c r="V835" s="768">
        <f ca="1">IF(K835&lt;&gt;0,+K835/'A-31'!I$79,0)</f>
        <v>0</v>
      </c>
    </row>
    <row r="836" spans="1:22" s="790" customFormat="1">
      <c r="A836" s="5"/>
      <c r="B836" s="249"/>
      <c r="C836" s="425" t="str">
        <v>Total Output Growth</v>
      </c>
      <c r="D836" s="426" t="str">
        <v>Services Other</v>
      </c>
      <c r="E836" s="847">
        <f ca="1"/>
        <v>0</v>
      </c>
      <c r="F836" s="386">
        <f ca="1"/>
        <v>0</v>
      </c>
      <c r="G836" s="383">
        <f ca="1"/>
        <v>2.6843194451524857E-3</v>
      </c>
      <c r="H836" s="383">
        <f ca="1"/>
        <v>5.1715717662737725E-3</v>
      </c>
      <c r="I836" s="383">
        <f ca="1"/>
        <v>7.6301930666818531E-3</v>
      </c>
      <c r="J836" s="383">
        <f ca="1"/>
        <v>1.0297599712189911E-2</v>
      </c>
      <c r="K836" s="383">
        <f ca="1"/>
        <v>1.2740964162432046E-2</v>
      </c>
      <c r="P836" s="386"/>
      <c r="Q836" s="768">
        <f ca="1">IF(F836&lt;&gt;0,+F836/'A-31'!D$80,0)</f>
        <v>0</v>
      </c>
      <c r="R836" s="768">
        <f ca="1">IF(G836&lt;&gt;0,+G836/'A-31'!E$80,0)</f>
        <v>0.253</v>
      </c>
      <c r="S836" s="768">
        <f ca="1">IF(H836&lt;&gt;0,+H836/'A-31'!F$80,0)</f>
        <v>0.253</v>
      </c>
      <c r="T836" s="768">
        <f ca="1">IF(I836&lt;&gt;0,+I836/'A-31'!G$80,0)</f>
        <v>0.253</v>
      </c>
      <c r="U836" s="768">
        <f ca="1">IF(J836&lt;&gt;0,+J836/'A-31'!H$80,0)</f>
        <v>0.253</v>
      </c>
      <c r="V836" s="768">
        <f ca="1">IF(K836&lt;&gt;0,+K836/'A-31'!I$80,0)</f>
        <v>0.253</v>
      </c>
    </row>
    <row r="837" spans="1:22" s="790" customFormat="1">
      <c r="A837" s="5"/>
      <c r="B837" s="249"/>
      <c r="C837" s="425" t="str">
        <v>Total Output Growth</v>
      </c>
      <c r="D837" s="426" t="str">
        <v>Business Overheads</v>
      </c>
      <c r="E837" s="847">
        <f ca="1"/>
        <v>0</v>
      </c>
      <c r="F837" s="386">
        <f ca="1"/>
        <v>0</v>
      </c>
      <c r="G837" s="383">
        <f ca="1"/>
        <v>0</v>
      </c>
      <c r="H837" s="383">
        <f ca="1"/>
        <v>0</v>
      </c>
      <c r="I837" s="383">
        <f ca="1"/>
        <v>0</v>
      </c>
      <c r="J837" s="383">
        <f ca="1"/>
        <v>0</v>
      </c>
      <c r="K837" s="383">
        <f ca="1"/>
        <v>0</v>
      </c>
      <c r="P837" s="386"/>
      <c r="Q837" s="768">
        <f ca="1">IF(F837&lt;&gt;0,+F837/'A-31'!D$81,0)</f>
        <v>0</v>
      </c>
      <c r="R837" s="768">
        <f ca="1">IF(G837&lt;&gt;0,+G837/'A-31'!E$81,0)</f>
        <v>0</v>
      </c>
      <c r="S837" s="768">
        <f ca="1">IF(H837&lt;&gt;0,+H837/'A-31'!F$81,0)</f>
        <v>0</v>
      </c>
      <c r="T837" s="768">
        <f ca="1">IF(I837&lt;&gt;0,+I837/'A-31'!G$81,0)</f>
        <v>0</v>
      </c>
      <c r="U837" s="768">
        <f ca="1">IF(J837&lt;&gt;0,+J837/'A-31'!H$81,0)</f>
        <v>0</v>
      </c>
      <c r="V837" s="768">
        <f ca="1">IF(K837&lt;&gt;0,+K837/'A-31'!I$81,0)</f>
        <v>0</v>
      </c>
    </row>
    <row r="838" spans="1:22" s="790" customFormat="1">
      <c r="A838" s="5"/>
      <c r="B838" s="249"/>
      <c r="C838" s="425" t="str">
        <v>Total Output Growth</v>
      </c>
      <c r="D838" s="426" t="str">
        <v>Other</v>
      </c>
      <c r="E838" s="847">
        <f ca="1"/>
        <v>0</v>
      </c>
      <c r="F838" s="386">
        <f ca="1"/>
        <v>0</v>
      </c>
      <c r="G838" s="383">
        <f ca="1"/>
        <v>0</v>
      </c>
      <c r="H838" s="383">
        <f ca="1"/>
        <v>0</v>
      </c>
      <c r="I838" s="383">
        <f ca="1"/>
        <v>0</v>
      </c>
      <c r="J838" s="383">
        <f ca="1"/>
        <v>0</v>
      </c>
      <c r="K838" s="383">
        <f ca="1"/>
        <v>0</v>
      </c>
      <c r="P838" s="386"/>
      <c r="Q838" s="768">
        <f ca="1">IF(F838&lt;&gt;0,+F838/'A-31'!D$82,0)</f>
        <v>0</v>
      </c>
      <c r="R838" s="768">
        <f ca="1">IF(G838&lt;&gt;0,+G838/'A-31'!E$82,0)</f>
        <v>0</v>
      </c>
      <c r="S838" s="768">
        <f ca="1">IF(H838&lt;&gt;0,+H838/'A-31'!F$82,0)</f>
        <v>0</v>
      </c>
      <c r="T838" s="768">
        <f ca="1">IF(I838&lt;&gt;0,+I838/'A-31'!G$82,0)</f>
        <v>0</v>
      </c>
      <c r="U838" s="768">
        <f ca="1">IF(J838&lt;&gt;0,+J838/'A-31'!H$82,0)</f>
        <v>0</v>
      </c>
      <c r="V838" s="768">
        <f ca="1">IF(K838&lt;&gt;0,+K838/'A-31'!I$82,0)</f>
        <v>0</v>
      </c>
    </row>
    <row r="839" spans="1:22">
      <c r="A839" s="5"/>
      <c r="B839" s="249"/>
      <c r="C839" s="424" t="s">
        <v>73</v>
      </c>
      <c r="D839" s="417"/>
      <c r="E839" s="848"/>
      <c r="F839" s="387"/>
      <c r="G839" s="385"/>
      <c r="H839" s="385"/>
      <c r="I839" s="385"/>
      <c r="J839" s="385"/>
      <c r="K839" s="385"/>
      <c r="P839" s="387"/>
      <c r="Q839" s="385"/>
      <c r="R839" s="385"/>
      <c r="S839" s="385"/>
      <c r="T839" s="385"/>
      <c r="U839" s="385"/>
      <c r="V839" s="385"/>
    </row>
    <row r="840" spans="1:22" s="767" customFormat="1">
      <c r="A840" s="5"/>
      <c r="B840" s="249"/>
      <c r="C840" s="425" t="str">
        <f t="array" ref="C840:D845">+'A-31'!$A$113:$B$119</f>
        <v>Labour</v>
      </c>
      <c r="D840" s="426" t="str">
        <v>Labour</v>
      </c>
      <c r="E840" s="847">
        <f t="array" ref="E840:K845" ca="1">+'A-31'!$N$113:$T$119</f>
        <v>0</v>
      </c>
      <c r="F840" s="386">
        <f ca="1"/>
        <v>0</v>
      </c>
      <c r="G840" s="383">
        <f ca="1"/>
        <v>1.4616117333143242E-2</v>
      </c>
      <c r="H840" s="383">
        <f ca="1"/>
        <v>2.98332838362129E-2</v>
      </c>
      <c r="I840" s="383">
        <f ca="1"/>
        <v>4.6514283621871232E-2</v>
      </c>
      <c r="J840" s="383">
        <f ca="1"/>
        <v>6.3929957431024309E-2</v>
      </c>
      <c r="K840" s="383">
        <f ca="1"/>
        <v>8.2007006549390929E-2</v>
      </c>
      <c r="P840" s="386"/>
      <c r="Q840" s="768">
        <f ca="1">IF(F840&lt;&gt;0,+F840/'A-31'!D$113,0)</f>
        <v>0</v>
      </c>
      <c r="R840" s="768">
        <f ca="1">IF(G840&lt;&gt;0,+G840/'A-31'!E$113,0)</f>
        <v>0.68115111188155253</v>
      </c>
      <c r="S840" s="768">
        <f ca="1">IF(H840&lt;&gt;0,+H840/'A-31'!F$113,0)</f>
        <v>0.68777723071331431</v>
      </c>
      <c r="T840" s="768">
        <f ca="1">IF(I840&lt;&gt;0,+I840/'A-31'!G$113,0)</f>
        <v>0.6943270756005675</v>
      </c>
      <c r="U840" s="768">
        <f ca="1">IF(J840&lt;&gt;0,+J840/'A-31'!H$113,0)</f>
        <v>0.70143313124907514</v>
      </c>
      <c r="V840" s="768">
        <f ca="1">IF(K840&lt;&gt;0,+K840/'A-31'!I$113,0)</f>
        <v>0.70794233140505602</v>
      </c>
    </row>
    <row r="841" spans="1:22" s="767" customFormat="1">
      <c r="A841" s="5"/>
      <c r="B841" s="249"/>
      <c r="C841" s="425" t="str">
        <v>Materials</v>
      </c>
      <c r="D841" s="426" t="str">
        <v>Materials</v>
      </c>
      <c r="E841" s="847">
        <f ca="1"/>
        <v>0</v>
      </c>
      <c r="F841" s="386">
        <f ca="1"/>
        <v>0</v>
      </c>
      <c r="G841" s="383">
        <f ca="1"/>
        <v>0</v>
      </c>
      <c r="H841" s="383">
        <f ca="1"/>
        <v>0</v>
      </c>
      <c r="I841" s="383">
        <f ca="1"/>
        <v>0</v>
      </c>
      <c r="J841" s="383">
        <f ca="1"/>
        <v>0</v>
      </c>
      <c r="K841" s="383">
        <f ca="1"/>
        <v>0</v>
      </c>
      <c r="P841" s="386"/>
      <c r="Q841" s="768">
        <f ca="1">IF(F841&lt;&gt;0,+F841/'A-31'!D$114,0)</f>
        <v>0</v>
      </c>
      <c r="R841" s="768">
        <f ca="1">IF(G841&lt;&gt;0,+G841/'A-31'!E$114,0)</f>
        <v>0</v>
      </c>
      <c r="S841" s="768">
        <f ca="1">IF(H841&lt;&gt;0,+H841/'A-31'!F$114,0)</f>
        <v>0</v>
      </c>
      <c r="T841" s="768">
        <f ca="1">IF(I841&lt;&gt;0,+I841/'A-31'!G$114,0)</f>
        <v>0</v>
      </c>
      <c r="U841" s="768">
        <f ca="1">IF(J841&lt;&gt;0,+J841/'A-31'!H$114,0)</f>
        <v>0</v>
      </c>
      <c r="V841" s="768">
        <f ca="1">IF(K841&lt;&gt;0,+K841/'A-31'!I$114,0)</f>
        <v>0</v>
      </c>
    </row>
    <row r="842" spans="1:22" s="767" customFormat="1">
      <c r="A842" s="5"/>
      <c r="B842" s="249"/>
      <c r="C842" s="425" t="str">
        <v>Services-construction</v>
      </c>
      <c r="D842" s="426" t="str">
        <v>Contracts</v>
      </c>
      <c r="E842" s="847">
        <f ca="1"/>
        <v>0</v>
      </c>
      <c r="F842" s="386">
        <f ca="1"/>
        <v>0</v>
      </c>
      <c r="G842" s="383">
        <f ca="1"/>
        <v>0</v>
      </c>
      <c r="H842" s="383">
        <f ca="1"/>
        <v>0</v>
      </c>
      <c r="I842" s="383">
        <f ca="1"/>
        <v>0</v>
      </c>
      <c r="J842" s="383">
        <f ca="1"/>
        <v>0</v>
      </c>
      <c r="K842" s="383">
        <f ca="1"/>
        <v>0</v>
      </c>
      <c r="P842" s="386"/>
      <c r="Q842" s="768">
        <f ca="1">IF(F842&lt;&gt;0,+F842/'A-31'!D$115,0)</f>
        <v>0</v>
      </c>
      <c r="R842" s="768">
        <f ca="1">IF(G842&lt;&gt;0,+G842/'A-31'!E$115,0)</f>
        <v>0</v>
      </c>
      <c r="S842" s="768">
        <f ca="1">IF(H842&lt;&gt;0,+H842/'A-31'!F$115,0)</f>
        <v>0</v>
      </c>
      <c r="T842" s="768">
        <f ca="1">IF(I842&lt;&gt;0,+I842/'A-31'!G$115,0)</f>
        <v>0</v>
      </c>
      <c r="U842" s="768">
        <f ca="1">IF(J842&lt;&gt;0,+J842/'A-31'!H$115,0)</f>
        <v>0</v>
      </c>
      <c r="V842" s="768">
        <f ca="1">IF(K842&lt;&gt;0,+K842/'A-31'!I$115,0)</f>
        <v>0</v>
      </c>
    </row>
    <row r="843" spans="1:22" s="767" customFormat="1">
      <c r="A843" s="5"/>
      <c r="B843" s="249"/>
      <c r="C843" s="425" t="str">
        <v>Services-general</v>
      </c>
      <c r="D843" s="426" t="str">
        <v>Services Other</v>
      </c>
      <c r="E843" s="847">
        <f ca="1"/>
        <v>0</v>
      </c>
      <c r="F843" s="386">
        <f ca="1"/>
        <v>0</v>
      </c>
      <c r="G843" s="383">
        <f ca="1"/>
        <v>1.2784215972257351E-3</v>
      </c>
      <c r="H843" s="383">
        <f ca="1"/>
        <v>2.5881700069568243E-3</v>
      </c>
      <c r="I843" s="383">
        <f ca="1"/>
        <v>4.9820047822629367E-3</v>
      </c>
      <c r="J843" s="383">
        <f ca="1"/>
        <v>7.8504640824711373E-3</v>
      </c>
      <c r="K843" s="383">
        <f ca="1"/>
        <v>1.1344118770767372E-2</v>
      </c>
      <c r="P843" s="386"/>
      <c r="Q843" s="768">
        <f ca="1">IF(F843&lt;&gt;0,+F843/'A-31'!D$116,0)</f>
        <v>0</v>
      </c>
      <c r="R843" s="768">
        <f ca="1">IF(G843&lt;&gt;0,+G843/'A-31'!E$116,0)</f>
        <v>0.25568431944515246</v>
      </c>
      <c r="S843" s="768">
        <f ca="1">IF(H843&lt;&gt;0,+H843/'A-31'!F$116,0)</f>
        <v>0.25817157176627376</v>
      </c>
      <c r="T843" s="768">
        <f ca="1">IF(I843&lt;&gt;0,+I843/'A-31'!G$116,0)</f>
        <v>0.26063019306668184</v>
      </c>
      <c r="U843" s="768">
        <f ca="1">IF(J843&lt;&gt;0,+J843/'A-31'!H$116,0)</f>
        <v>0.26329759971218991</v>
      </c>
      <c r="V843" s="768">
        <f ca="1">IF(K843&lt;&gt;0,+K843/'A-31'!I$116,0)</f>
        <v>0.26574096416243204</v>
      </c>
    </row>
    <row r="844" spans="1:22" s="767" customFormat="1">
      <c r="A844" s="5"/>
      <c r="B844" s="249"/>
      <c r="C844" s="425" t="str">
        <v>Labour</v>
      </c>
      <c r="D844" s="426" t="str">
        <v>Business Overheads</v>
      </c>
      <c r="E844" s="847">
        <f ca="1"/>
        <v>0</v>
      </c>
      <c r="F844" s="386">
        <f ca="1"/>
        <v>0</v>
      </c>
      <c r="G844" s="383">
        <f ca="1"/>
        <v>0</v>
      </c>
      <c r="H844" s="383">
        <f ca="1"/>
        <v>0</v>
      </c>
      <c r="I844" s="383">
        <f ca="1"/>
        <v>0</v>
      </c>
      <c r="J844" s="383">
        <f ca="1"/>
        <v>0</v>
      </c>
      <c r="K844" s="383">
        <f ca="1"/>
        <v>0</v>
      </c>
      <c r="P844" s="386"/>
      <c r="Q844" s="768">
        <f ca="1">IF(F844&lt;&gt;0,+F844/'A-31'!D$117,0)</f>
        <v>0</v>
      </c>
      <c r="R844" s="768">
        <f ca="1">IF(G844&lt;&gt;0,+G844/'A-31'!E$117,0)</f>
        <v>0</v>
      </c>
      <c r="S844" s="768">
        <f ca="1">IF(H844&lt;&gt;0,+H844/'A-31'!F$117,0)</f>
        <v>0</v>
      </c>
      <c r="T844" s="768">
        <f ca="1">IF(I844&lt;&gt;0,+I844/'A-31'!G$117,0)</f>
        <v>0</v>
      </c>
      <c r="U844" s="768">
        <f ca="1">IF(J844&lt;&gt;0,+J844/'A-31'!H$117,0)</f>
        <v>0</v>
      </c>
      <c r="V844" s="768">
        <f ca="1">IF(K844&lt;&gt;0,+K844/'A-31'!I$117,0)</f>
        <v>0</v>
      </c>
    </row>
    <row r="845" spans="1:22" s="767" customFormat="1">
      <c r="A845" s="5"/>
      <c r="B845" s="249"/>
      <c r="C845" s="425" t="str">
        <v>Materials - Land</v>
      </c>
      <c r="D845" s="426" t="str">
        <v>Other</v>
      </c>
      <c r="E845" s="847">
        <f ca="1"/>
        <v>0</v>
      </c>
      <c r="F845" s="386">
        <f ca="1"/>
        <v>0</v>
      </c>
      <c r="G845" s="383">
        <f ca="1"/>
        <v>0</v>
      </c>
      <c r="H845" s="383">
        <f ca="1"/>
        <v>0</v>
      </c>
      <c r="I845" s="383">
        <f ca="1"/>
        <v>0</v>
      </c>
      <c r="J845" s="383">
        <f ca="1"/>
        <v>0</v>
      </c>
      <c r="K845" s="383">
        <f ca="1"/>
        <v>0</v>
      </c>
      <c r="P845" s="386"/>
      <c r="Q845" s="768">
        <f ca="1">IF(F845&lt;&gt;0,+F845/'A-31'!D$118,0)</f>
        <v>0</v>
      </c>
      <c r="R845" s="768">
        <f ca="1">IF(G845&lt;&gt;0,+G845/'A-31'!E$118,0)</f>
        <v>0</v>
      </c>
      <c r="S845" s="768">
        <f ca="1">IF(H845&lt;&gt;0,+H845/'A-31'!F$118,0)</f>
        <v>0</v>
      </c>
      <c r="T845" s="768">
        <f ca="1">IF(I845&lt;&gt;0,+I845/'A-31'!G$118,0)</f>
        <v>0</v>
      </c>
      <c r="U845" s="768">
        <f ca="1">IF(J845&lt;&gt;0,+J845/'A-31'!H$118,0)</f>
        <v>0</v>
      </c>
      <c r="V845" s="768">
        <f ca="1">IF(K845&lt;&gt;0,+K845/'A-31'!I$118,0)</f>
        <v>0</v>
      </c>
    </row>
    <row r="846" spans="1:22" ht="17.25" customHeight="1" thickBot="1">
      <c r="B846" s="250"/>
      <c r="C846" s="437" t="str">
        <f>CONCATENATE("Total ",+C620)</f>
        <v>Total Corporate Services</v>
      </c>
      <c r="D846" s="419"/>
      <c r="E846" s="500">
        <f ca="1">SUBTOTAL(9,E623:E845)</f>
        <v>0</v>
      </c>
      <c r="F846" s="314">
        <f t="shared" ref="F846:K846" ca="1" si="6">SUBTOTAL(9,F623:F845)</f>
        <v>0</v>
      </c>
      <c r="G846" s="315">
        <f t="shared" ca="1" si="6"/>
        <v>0.85993290208924689</v>
      </c>
      <c r="H846" s="315">
        <f t="shared" ca="1" si="6"/>
        <v>1.7075071030244968</v>
      </c>
      <c r="I846" s="315">
        <f t="shared" ca="1" si="6"/>
        <v>2.6596283340644482</v>
      </c>
      <c r="J846" s="315">
        <f t="shared" ca="1" si="6"/>
        <v>3.6932427108523314</v>
      </c>
      <c r="K846" s="315">
        <f t="shared" ca="1" si="6"/>
        <v>4.7512458213156608</v>
      </c>
      <c r="P846" s="314"/>
      <c r="Q846" s="315"/>
      <c r="R846" s="315"/>
      <c r="S846" s="315"/>
      <c r="T846" s="315"/>
      <c r="U846" s="315"/>
      <c r="V846" s="315"/>
    </row>
    <row r="847" spans="1:22" ht="18">
      <c r="B847" s="251"/>
      <c r="C847" s="438" t="str">
        <f>+'I-3 Allocated'!A36</f>
        <v xml:space="preserve">Services </v>
      </c>
      <c r="D847" s="423"/>
      <c r="E847" s="842"/>
      <c r="F847" s="266"/>
      <c r="G847" s="266"/>
      <c r="H847" s="266"/>
      <c r="I847" s="266"/>
      <c r="J847" s="266"/>
      <c r="K847" s="266"/>
      <c r="P847" s="266"/>
      <c r="Q847" s="266"/>
      <c r="R847" s="266"/>
      <c r="S847" s="266"/>
      <c r="T847" s="266"/>
      <c r="U847" s="266"/>
      <c r="V847" s="266"/>
    </row>
    <row r="848" spans="1:22">
      <c r="A848" s="5"/>
      <c r="B848" s="249" t="str">
        <f ca="1">+'I-4 History'!B507</f>
        <v>A-32</v>
      </c>
      <c r="C848" s="14" t="str">
        <f ca="1">+'I-4 History'!C507</f>
        <v>General Manager Services</v>
      </c>
      <c r="D848" s="418"/>
      <c r="E848" s="507"/>
      <c r="F848" s="11"/>
      <c r="G848" s="11"/>
      <c r="H848" s="11"/>
      <c r="I848" s="11"/>
      <c r="J848" s="11"/>
      <c r="K848" s="11"/>
      <c r="P848" s="11"/>
      <c r="Q848" s="11"/>
      <c r="R848" s="11"/>
      <c r="S848" s="11"/>
      <c r="T848" s="11"/>
      <c r="U848" s="11"/>
      <c r="V848" s="11"/>
    </row>
    <row r="849" spans="1:22">
      <c r="A849" s="5"/>
      <c r="B849" s="249"/>
      <c r="C849" s="424" t="s">
        <v>74</v>
      </c>
      <c r="D849" s="416"/>
      <c r="E849" s="507"/>
      <c r="F849" s="11"/>
      <c r="G849" s="11"/>
      <c r="H849" s="11"/>
      <c r="I849" s="11"/>
      <c r="J849" s="11"/>
      <c r="K849" s="11"/>
      <c r="P849" s="11"/>
      <c r="Q849" s="11"/>
      <c r="R849" s="11"/>
      <c r="S849" s="11"/>
      <c r="T849" s="11"/>
      <c r="U849" s="11"/>
      <c r="V849" s="11"/>
    </row>
    <row r="850" spans="1:22">
      <c r="A850" s="5"/>
      <c r="B850" s="249"/>
      <c r="C850" s="425" t="str">
        <f t="array" ref="C850:D855">+'A-32'!$A$77:$B$82</f>
        <v>Total Output Growth</v>
      </c>
      <c r="D850" s="426" t="str">
        <v>Labour</v>
      </c>
      <c r="E850" s="847">
        <f t="array" ref="E850:K855" ca="1">+'A-32'!$N$77:$T$82</f>
        <v>0</v>
      </c>
      <c r="F850" s="386">
        <f ca="1"/>
        <v>0</v>
      </c>
      <c r="G850" s="383">
        <f ca="1"/>
        <v>5.3261990571800309E-3</v>
      </c>
      <c r="H850" s="383">
        <f ca="1"/>
        <v>1.0261379552053099E-2</v>
      </c>
      <c r="I850" s="383">
        <f ca="1"/>
        <v>1.5139750669858855E-2</v>
      </c>
      <c r="J850" s="383">
        <f ca="1"/>
        <v>2.0432391523791837E-2</v>
      </c>
      <c r="K850" s="383">
        <f ca="1"/>
        <v>2.5280490156288089E-2</v>
      </c>
      <c r="L850" s="790"/>
      <c r="M850" s="790"/>
      <c r="N850" s="790"/>
      <c r="O850" s="790"/>
      <c r="P850" s="386"/>
      <c r="Q850" s="768">
        <f ca="1">IF(F850&lt;&gt;0,+F850/'A-32'!D$77,0)</f>
        <v>0</v>
      </c>
      <c r="R850" s="768">
        <f ca="1">IF(G850&lt;&gt;0,+G850/'A-32'!E$77,0)</f>
        <v>0.502</v>
      </c>
      <c r="S850" s="768">
        <f ca="1">IF(H850&lt;&gt;0,+H850/'A-32'!F$77,0)</f>
        <v>0.502</v>
      </c>
      <c r="T850" s="768">
        <f ca="1">IF(I850&lt;&gt;0,+I850/'A-32'!G$77,0)</f>
        <v>0.502</v>
      </c>
      <c r="U850" s="768">
        <f ca="1">IF(J850&lt;&gt;0,+J850/'A-32'!H$77,0)</f>
        <v>0.502</v>
      </c>
      <c r="V850" s="768">
        <f ca="1">IF(K850&lt;&gt;0,+K850/'A-32'!I$77,0)</f>
        <v>0.502</v>
      </c>
    </row>
    <row r="851" spans="1:22">
      <c r="A851" s="5"/>
      <c r="B851" s="249"/>
      <c r="C851" s="425" t="str">
        <v>Total Output Growth</v>
      </c>
      <c r="D851" s="426" t="str">
        <v>Materials</v>
      </c>
      <c r="E851" s="847">
        <f ca="1"/>
        <v>0</v>
      </c>
      <c r="F851" s="386">
        <f ca="1"/>
        <v>0</v>
      </c>
      <c r="G851" s="383">
        <f ca="1"/>
        <v>9.5489624531116079E-5</v>
      </c>
      <c r="H851" s="383">
        <f ca="1"/>
        <v>1.8396895611250572E-4</v>
      </c>
      <c r="I851" s="383">
        <f ca="1"/>
        <v>2.7142979288591573E-4</v>
      </c>
      <c r="J851" s="383">
        <f ca="1"/>
        <v>3.6631777632296122E-4</v>
      </c>
      <c r="K851" s="383">
        <f ca="1"/>
        <v>4.5323587929600159E-4</v>
      </c>
      <c r="L851" s="790"/>
      <c r="M851" s="790"/>
      <c r="N851" s="790"/>
      <c r="O851" s="790"/>
      <c r="P851" s="386"/>
      <c r="Q851" s="768">
        <f ca="1">IF(F851&lt;&gt;0,+F851/'A-32'!D$78,0)</f>
        <v>0</v>
      </c>
      <c r="R851" s="768">
        <f ca="1">IF(G851&lt;&gt;0,+G851/'A-32'!E$78,0)</f>
        <v>8.9999999999999993E-3</v>
      </c>
      <c r="S851" s="768">
        <f ca="1">IF(H851&lt;&gt;0,+H851/'A-32'!F$78,0)</f>
        <v>8.9999999999999993E-3</v>
      </c>
      <c r="T851" s="768">
        <f ca="1">IF(I851&lt;&gt;0,+I851/'A-32'!G$78,0)</f>
        <v>8.9999999999999993E-3</v>
      </c>
      <c r="U851" s="768">
        <f ca="1">IF(J851&lt;&gt;0,+J851/'A-32'!H$78,0)</f>
        <v>8.9999999999999993E-3</v>
      </c>
      <c r="V851" s="768">
        <f ca="1">IF(K851&lt;&gt;0,+K851/'A-32'!I$78,0)</f>
        <v>8.9999999999999993E-3</v>
      </c>
    </row>
    <row r="852" spans="1:22">
      <c r="A852" s="5"/>
      <c r="B852" s="249"/>
      <c r="C852" s="425" t="str">
        <v>Total Output Growth</v>
      </c>
      <c r="D852" s="426" t="str">
        <v>Contracts</v>
      </c>
      <c r="E852" s="847">
        <f ca="1"/>
        <v>0</v>
      </c>
      <c r="F852" s="386">
        <f ca="1"/>
        <v>0</v>
      </c>
      <c r="G852" s="383">
        <f ca="1"/>
        <v>0</v>
      </c>
      <c r="H852" s="383">
        <f ca="1"/>
        <v>0</v>
      </c>
      <c r="I852" s="383">
        <f ca="1"/>
        <v>0</v>
      </c>
      <c r="J852" s="383">
        <f ca="1"/>
        <v>0</v>
      </c>
      <c r="K852" s="383">
        <f ca="1"/>
        <v>0</v>
      </c>
      <c r="L852" s="790"/>
      <c r="M852" s="790"/>
      <c r="N852" s="790"/>
      <c r="O852" s="790"/>
      <c r="P852" s="386"/>
      <c r="Q852" s="768">
        <f ca="1">IF(F852&lt;&gt;0,+F852/'A-32'!D$79,0)</f>
        <v>0</v>
      </c>
      <c r="R852" s="768">
        <f ca="1">IF(G852&lt;&gt;0,+G852/'A-32'!E$79,0)</f>
        <v>0</v>
      </c>
      <c r="S852" s="768">
        <f ca="1">IF(H852&lt;&gt;0,+H852/'A-32'!F$79,0)</f>
        <v>0</v>
      </c>
      <c r="T852" s="768">
        <f ca="1">IF(I852&lt;&gt;0,+I852/'A-32'!G$79,0)</f>
        <v>0</v>
      </c>
      <c r="U852" s="768">
        <f ca="1">IF(J852&lt;&gt;0,+J852/'A-32'!H$79,0)</f>
        <v>0</v>
      </c>
      <c r="V852" s="768">
        <f ca="1">IF(K852&lt;&gt;0,+K852/'A-32'!I$79,0)</f>
        <v>0</v>
      </c>
    </row>
    <row r="853" spans="1:22" s="790" customFormat="1">
      <c r="A853" s="5"/>
      <c r="B853" s="249"/>
      <c r="C853" s="425" t="str">
        <v>Total Output Growth</v>
      </c>
      <c r="D853" s="426" t="str">
        <v>Services Other</v>
      </c>
      <c r="E853" s="847">
        <f ca="1"/>
        <v>0</v>
      </c>
      <c r="F853" s="386">
        <f ca="1"/>
        <v>0</v>
      </c>
      <c r="G853" s="383">
        <f ca="1"/>
        <v>7.8513691281139892E-4</v>
      </c>
      <c r="H853" s="383">
        <f ca="1"/>
        <v>1.5126336391472694E-3</v>
      </c>
      <c r="I853" s="383">
        <f ca="1"/>
        <v>2.2317560748397513E-3</v>
      </c>
      <c r="J853" s="383">
        <f ca="1"/>
        <v>3.0119461608776811E-3</v>
      </c>
      <c r="K853" s="383">
        <f ca="1"/>
        <v>3.7266061186560133E-3</v>
      </c>
      <c r="P853" s="386"/>
      <c r="Q853" s="768">
        <f ca="1">IF(F853&lt;&gt;0,+F853/'A-32'!D$80,0)</f>
        <v>0</v>
      </c>
      <c r="R853" s="768">
        <f ca="1">IF(G853&lt;&gt;0,+G853/'A-32'!E$80,0)</f>
        <v>7.3999999999999996E-2</v>
      </c>
      <c r="S853" s="768">
        <f ca="1">IF(H853&lt;&gt;0,+H853/'A-32'!F$80,0)</f>
        <v>7.3999999999999996E-2</v>
      </c>
      <c r="T853" s="768">
        <f ca="1">IF(I853&lt;&gt;0,+I853/'A-32'!G$80,0)</f>
        <v>7.3999999999999982E-2</v>
      </c>
      <c r="U853" s="768">
        <f ca="1">IF(J853&lt;&gt;0,+J853/'A-32'!H$80,0)</f>
        <v>7.3999999999999996E-2</v>
      </c>
      <c r="V853" s="768">
        <f ca="1">IF(K853&lt;&gt;0,+K853/'A-32'!I$80,0)</f>
        <v>7.3999999999999996E-2</v>
      </c>
    </row>
    <row r="854" spans="1:22" s="790" customFormat="1">
      <c r="A854" s="5"/>
      <c r="B854" s="249"/>
      <c r="C854" s="425" t="str">
        <v>Total Output Growth</v>
      </c>
      <c r="D854" s="426" t="str">
        <v>Business Overheads</v>
      </c>
      <c r="E854" s="847">
        <f ca="1"/>
        <v>0</v>
      </c>
      <c r="F854" s="386">
        <f ca="1"/>
        <v>0</v>
      </c>
      <c r="G854" s="383">
        <f ca="1"/>
        <v>0</v>
      </c>
      <c r="H854" s="383">
        <f ca="1"/>
        <v>0</v>
      </c>
      <c r="I854" s="383">
        <f ca="1"/>
        <v>0</v>
      </c>
      <c r="J854" s="383">
        <f ca="1"/>
        <v>0</v>
      </c>
      <c r="K854" s="383">
        <f ca="1"/>
        <v>0</v>
      </c>
      <c r="P854" s="386"/>
      <c r="Q854" s="768">
        <f ca="1">IF(F854&lt;&gt;0,+F854/'A-32'!D$81,0)</f>
        <v>0</v>
      </c>
      <c r="R854" s="768">
        <f ca="1">IF(G854&lt;&gt;0,+G854/'A-32'!E$81,0)</f>
        <v>0</v>
      </c>
      <c r="S854" s="768">
        <f ca="1">IF(H854&lt;&gt;0,+H854/'A-32'!F$81,0)</f>
        <v>0</v>
      </c>
      <c r="T854" s="768">
        <f ca="1">IF(I854&lt;&gt;0,+I854/'A-32'!G$81,0)</f>
        <v>0</v>
      </c>
      <c r="U854" s="768">
        <f ca="1">IF(J854&lt;&gt;0,+J854/'A-32'!H$81,0)</f>
        <v>0</v>
      </c>
      <c r="V854" s="768">
        <f ca="1">IF(K854&lt;&gt;0,+K854/'A-32'!I$81,0)</f>
        <v>0</v>
      </c>
    </row>
    <row r="855" spans="1:22" s="790" customFormat="1">
      <c r="A855" s="5"/>
      <c r="B855" s="249"/>
      <c r="C855" s="425" t="str">
        <v>Total Output Growth</v>
      </c>
      <c r="D855" s="426" t="str">
        <v>Other</v>
      </c>
      <c r="E855" s="847">
        <f ca="1"/>
        <v>0</v>
      </c>
      <c r="F855" s="386">
        <f ca="1"/>
        <v>0</v>
      </c>
      <c r="G855" s="383">
        <f ca="1"/>
        <v>0</v>
      </c>
      <c r="H855" s="383">
        <f ca="1"/>
        <v>0</v>
      </c>
      <c r="I855" s="383">
        <f ca="1"/>
        <v>0</v>
      </c>
      <c r="J855" s="383">
        <f ca="1"/>
        <v>0</v>
      </c>
      <c r="K855" s="383">
        <f ca="1"/>
        <v>0</v>
      </c>
      <c r="P855" s="386"/>
      <c r="Q855" s="768">
        <f ca="1">IF(F855&lt;&gt;0,+F855/'A-32'!D$82,0)</f>
        <v>0</v>
      </c>
      <c r="R855" s="768">
        <f ca="1">IF(G855&lt;&gt;0,+G855/'A-32'!E$82,0)</f>
        <v>0</v>
      </c>
      <c r="S855" s="768">
        <f ca="1">IF(H855&lt;&gt;0,+H855/'A-32'!F$82,0)</f>
        <v>0</v>
      </c>
      <c r="T855" s="768">
        <f ca="1">IF(I855&lt;&gt;0,+I855/'A-32'!G$82,0)</f>
        <v>0</v>
      </c>
      <c r="U855" s="768">
        <f ca="1">IF(J855&lt;&gt;0,+J855/'A-32'!H$82,0)</f>
        <v>0</v>
      </c>
      <c r="V855" s="768">
        <f ca="1">IF(K855&lt;&gt;0,+K855/'A-32'!I$82,0)</f>
        <v>0</v>
      </c>
    </row>
    <row r="856" spans="1:22">
      <c r="A856" s="5"/>
      <c r="B856" s="249"/>
      <c r="C856" s="424" t="s">
        <v>73</v>
      </c>
      <c r="D856" s="417"/>
      <c r="E856" s="848"/>
      <c r="F856" s="387"/>
      <c r="G856" s="385"/>
      <c r="H856" s="385"/>
      <c r="I856" s="385"/>
      <c r="J856" s="385"/>
      <c r="K856" s="385"/>
      <c r="P856" s="387"/>
      <c r="Q856" s="385"/>
      <c r="R856" s="385"/>
      <c r="S856" s="385"/>
      <c r="T856" s="385"/>
      <c r="U856" s="385"/>
      <c r="V856" s="385"/>
    </row>
    <row r="857" spans="1:22" s="767" customFormat="1">
      <c r="A857" s="5"/>
      <c r="B857" s="249"/>
      <c r="C857" s="425" t="str">
        <f t="array" ref="C857:D862">+'A-32'!$A$113:$B$119</f>
        <v>Labour</v>
      </c>
      <c r="D857" s="426" t="str">
        <v>Labour</v>
      </c>
      <c r="E857" s="847">
        <f t="array" ref="E857:K862" ca="1">+'A-32'!$N$113:$T$119</f>
        <v>0</v>
      </c>
      <c r="F857" s="386">
        <f ca="1"/>
        <v>0</v>
      </c>
      <c r="G857" s="383">
        <f ca="1"/>
        <v>1.0886188280768408E-2</v>
      </c>
      <c r="H857" s="383">
        <f ca="1"/>
        <v>2.2220042263766875E-2</v>
      </c>
      <c r="I857" s="383">
        <f ca="1"/>
        <v>3.4644169700562846E-2</v>
      </c>
      <c r="J857" s="383">
        <f ca="1"/>
        <v>4.761548758215757E-2</v>
      </c>
      <c r="K857" s="383">
        <f ca="1"/>
        <v>6.1079402504145772E-2</v>
      </c>
      <c r="P857" s="386"/>
      <c r="Q857" s="768">
        <f ca="1">IF(F857&lt;&gt;0,+F857/'A-32'!D$113,0)</f>
        <v>0</v>
      </c>
      <c r="R857" s="768">
        <f ca="1">IF(G857&lt;&gt;0,+G857/'A-32'!E$113,0)</f>
        <v>0.50732619905718002</v>
      </c>
      <c r="S857" s="768">
        <f ca="1">IF(H857&lt;&gt;0,+H857/'A-32'!F$113,0)</f>
        <v>0.51226137955205309</v>
      </c>
      <c r="T857" s="768">
        <f ca="1">IF(I857&lt;&gt;0,+I857/'A-32'!G$113,0)</f>
        <v>0.51713975066985884</v>
      </c>
      <c r="U857" s="768">
        <f ca="1">IF(J857&lt;&gt;0,+J857/'A-32'!H$113,0)</f>
        <v>0.52243239152379184</v>
      </c>
      <c r="V857" s="768">
        <f ca="1">IF(K857&lt;&gt;0,+K857/'A-32'!I$113,0)</f>
        <v>0.52728049015628808</v>
      </c>
    </row>
    <row r="858" spans="1:22" s="767" customFormat="1">
      <c r="A858" s="5"/>
      <c r="B858" s="249"/>
      <c r="C858" s="425" t="str">
        <v>Materials</v>
      </c>
      <c r="D858" s="426" t="str">
        <v>Materials</v>
      </c>
      <c r="E858" s="847">
        <f ca="1"/>
        <v>0</v>
      </c>
      <c r="F858" s="386">
        <f ca="1"/>
        <v>0</v>
      </c>
      <c r="G858" s="383">
        <f ca="1"/>
        <v>0</v>
      </c>
      <c r="H858" s="383">
        <f ca="1"/>
        <v>0</v>
      </c>
      <c r="I858" s="383">
        <f ca="1"/>
        <v>0</v>
      </c>
      <c r="J858" s="383">
        <f ca="1"/>
        <v>0</v>
      </c>
      <c r="K858" s="383">
        <f ca="1"/>
        <v>0</v>
      </c>
      <c r="P858" s="386"/>
      <c r="Q858" s="768">
        <f ca="1">IF(F858&lt;&gt;0,+F858/'A-32'!D$114,0)</f>
        <v>0</v>
      </c>
      <c r="R858" s="768">
        <f ca="1">IF(G858&lt;&gt;0,+G858/'A-32'!E$114,0)</f>
        <v>0</v>
      </c>
      <c r="S858" s="768">
        <f ca="1">IF(H858&lt;&gt;0,+H858/'A-32'!F$114,0)</f>
        <v>0</v>
      </c>
      <c r="T858" s="768">
        <f ca="1">IF(I858&lt;&gt;0,+I858/'A-32'!G$114,0)</f>
        <v>0</v>
      </c>
      <c r="U858" s="768">
        <f ca="1">IF(J858&lt;&gt;0,+J858/'A-32'!H$114,0)</f>
        <v>0</v>
      </c>
      <c r="V858" s="768">
        <f ca="1">IF(K858&lt;&gt;0,+K858/'A-32'!I$114,0)</f>
        <v>0</v>
      </c>
    </row>
    <row r="859" spans="1:22" s="767" customFormat="1">
      <c r="A859" s="5"/>
      <c r="B859" s="249"/>
      <c r="C859" s="425" t="str">
        <v>Services-construction</v>
      </c>
      <c r="D859" s="426" t="str">
        <v>Contracts</v>
      </c>
      <c r="E859" s="847">
        <f ca="1"/>
        <v>0</v>
      </c>
      <c r="F859" s="386">
        <f ca="1"/>
        <v>0</v>
      </c>
      <c r="G859" s="383">
        <f ca="1"/>
        <v>0</v>
      </c>
      <c r="H859" s="383">
        <f ca="1"/>
        <v>0</v>
      </c>
      <c r="I859" s="383">
        <f ca="1"/>
        <v>0</v>
      </c>
      <c r="J859" s="383">
        <f ca="1"/>
        <v>0</v>
      </c>
      <c r="K859" s="383">
        <f ca="1"/>
        <v>0</v>
      </c>
      <c r="P859" s="386"/>
      <c r="Q859" s="768">
        <f ca="1">IF(F859&lt;&gt;0,+F859/'A-32'!D$115,0)</f>
        <v>0</v>
      </c>
      <c r="R859" s="768">
        <f ca="1">IF(G859&lt;&gt;0,+G859/'A-32'!E$115,0)</f>
        <v>0</v>
      </c>
      <c r="S859" s="768">
        <f ca="1">IF(H859&lt;&gt;0,+H859/'A-32'!F$115,0)</f>
        <v>0</v>
      </c>
      <c r="T859" s="768">
        <f ca="1">IF(I859&lt;&gt;0,+I859/'A-32'!G$115,0)</f>
        <v>0</v>
      </c>
      <c r="U859" s="768">
        <f ca="1">IF(J859&lt;&gt;0,+J859/'A-32'!H$115,0)</f>
        <v>0</v>
      </c>
      <c r="V859" s="768">
        <f ca="1">IF(K859&lt;&gt;0,+K859/'A-32'!I$115,0)</f>
        <v>0</v>
      </c>
    </row>
    <row r="860" spans="1:22" s="767" customFormat="1">
      <c r="A860" s="5"/>
      <c r="B860" s="249"/>
      <c r="C860" s="425" t="str">
        <v>Services-general</v>
      </c>
      <c r="D860" s="426" t="str">
        <v>Services Other</v>
      </c>
      <c r="E860" s="847">
        <f ca="1"/>
        <v>0</v>
      </c>
      <c r="F860" s="386">
        <f ca="1"/>
        <v>0</v>
      </c>
      <c r="G860" s="383">
        <f ca="1"/>
        <v>3.73925684564049E-4</v>
      </c>
      <c r="H860" s="383">
        <f ca="1"/>
        <v>7.5701415223243095E-4</v>
      </c>
      <c r="I860" s="383">
        <f ca="1"/>
        <v>1.4571871695156415E-3</v>
      </c>
      <c r="J860" s="383">
        <f ca="1"/>
        <v>2.2961831703670519E-3</v>
      </c>
      <c r="K860" s="383">
        <f ca="1"/>
        <v>3.3180426444141715E-3</v>
      </c>
      <c r="P860" s="386"/>
      <c r="Q860" s="768">
        <f ca="1">IF(F860&lt;&gt;0,+F860/'A-32'!D$116,0)</f>
        <v>0</v>
      </c>
      <c r="R860" s="768">
        <f ca="1">IF(G860&lt;&gt;0,+G860/'A-32'!E$116,0)</f>
        <v>7.4785136912811398E-2</v>
      </c>
      <c r="S860" s="768">
        <f ca="1">IF(H860&lt;&gt;0,+H860/'A-32'!F$116,0)</f>
        <v>7.5512633639147272E-2</v>
      </c>
      <c r="T860" s="768">
        <f ca="1">IF(I860&lt;&gt;0,+I860/'A-32'!G$116,0)</f>
        <v>7.6231756074839743E-2</v>
      </c>
      <c r="U860" s="768">
        <f ca="1">IF(J860&lt;&gt;0,+J860/'A-32'!H$116,0)</f>
        <v>7.701194616087767E-2</v>
      </c>
      <c r="V860" s="768">
        <f ca="1">IF(K860&lt;&gt;0,+K860/'A-32'!I$116,0)</f>
        <v>7.7726606118656005E-2</v>
      </c>
    </row>
    <row r="861" spans="1:22" s="767" customFormat="1">
      <c r="A861" s="5"/>
      <c r="B861" s="249"/>
      <c r="C861" s="425" t="str">
        <v>Labour</v>
      </c>
      <c r="D861" s="426" t="str">
        <v>Business Overheads</v>
      </c>
      <c r="E861" s="847">
        <f ca="1"/>
        <v>0</v>
      </c>
      <c r="F861" s="386">
        <f ca="1"/>
        <v>0</v>
      </c>
      <c r="G861" s="383">
        <f ca="1"/>
        <v>0</v>
      </c>
      <c r="H861" s="383">
        <f ca="1"/>
        <v>0</v>
      </c>
      <c r="I861" s="383">
        <f ca="1"/>
        <v>0</v>
      </c>
      <c r="J861" s="383">
        <f ca="1"/>
        <v>0</v>
      </c>
      <c r="K861" s="383">
        <f ca="1"/>
        <v>0</v>
      </c>
      <c r="P861" s="386"/>
      <c r="Q861" s="768">
        <f ca="1">IF(F861&lt;&gt;0,+F861/'A-32'!D$117,0)</f>
        <v>0</v>
      </c>
      <c r="R861" s="768">
        <f ca="1">IF(G861&lt;&gt;0,+G861/'A-32'!E$117,0)</f>
        <v>0</v>
      </c>
      <c r="S861" s="768">
        <f ca="1">IF(H861&lt;&gt;0,+H861/'A-32'!F$117,0)</f>
        <v>0</v>
      </c>
      <c r="T861" s="768">
        <f ca="1">IF(I861&lt;&gt;0,+I861/'A-32'!G$117,0)</f>
        <v>0</v>
      </c>
      <c r="U861" s="768">
        <f ca="1">IF(J861&lt;&gt;0,+J861/'A-32'!H$117,0)</f>
        <v>0</v>
      </c>
      <c r="V861" s="768">
        <f ca="1">IF(K861&lt;&gt;0,+K861/'A-32'!I$117,0)</f>
        <v>0</v>
      </c>
    </row>
    <row r="862" spans="1:22" s="767" customFormat="1">
      <c r="A862" s="5"/>
      <c r="B862" s="249"/>
      <c r="C862" s="425" t="str">
        <v>Materials - Land</v>
      </c>
      <c r="D862" s="426" t="str">
        <v>Other</v>
      </c>
      <c r="E862" s="847">
        <f ca="1"/>
        <v>0</v>
      </c>
      <c r="F862" s="386">
        <f ca="1"/>
        <v>0</v>
      </c>
      <c r="G862" s="383">
        <f ca="1"/>
        <v>0</v>
      </c>
      <c r="H862" s="383">
        <f ca="1"/>
        <v>0</v>
      </c>
      <c r="I862" s="383">
        <f ca="1"/>
        <v>0</v>
      </c>
      <c r="J862" s="383">
        <f ca="1"/>
        <v>0</v>
      </c>
      <c r="K862" s="383">
        <f ca="1"/>
        <v>0</v>
      </c>
      <c r="P862" s="386"/>
      <c r="Q862" s="768">
        <f ca="1">IF(F862&lt;&gt;0,+F862/'A-32'!D$118,0)</f>
        <v>0</v>
      </c>
      <c r="R862" s="768">
        <f ca="1">IF(G862&lt;&gt;0,+G862/'A-32'!E$118,0)</f>
        <v>0</v>
      </c>
      <c r="S862" s="768">
        <f ca="1">IF(H862&lt;&gt;0,+H862/'A-32'!F$118,0)</f>
        <v>0</v>
      </c>
      <c r="T862" s="768">
        <f ca="1">IF(I862&lt;&gt;0,+I862/'A-32'!G$118,0)</f>
        <v>0</v>
      </c>
      <c r="U862" s="768">
        <f ca="1">IF(J862&lt;&gt;0,+J862/'A-32'!H$118,0)</f>
        <v>0</v>
      </c>
      <c r="V862" s="768">
        <f ca="1">IF(K862&lt;&gt;0,+K862/'A-32'!I$118,0)</f>
        <v>0</v>
      </c>
    </row>
    <row r="863" spans="1:22" ht="25.5">
      <c r="A863" s="5"/>
      <c r="B863" s="249" t="str">
        <f ca="1">+'I-4 History'!B516</f>
        <v>A-33</v>
      </c>
      <c r="C863" s="14" t="str">
        <f ca="1">+'I-4 History'!C516</f>
        <v>Customer Relations, excluding Call Centre</v>
      </c>
      <c r="D863" s="418"/>
      <c r="E863" s="507"/>
      <c r="F863" s="11"/>
      <c r="G863" s="11"/>
      <c r="H863" s="11"/>
      <c r="I863" s="11"/>
      <c r="J863" s="11"/>
      <c r="K863" s="11"/>
      <c r="P863" s="11"/>
      <c r="Q863" s="11"/>
      <c r="R863" s="11"/>
      <c r="S863" s="11"/>
      <c r="T863" s="11"/>
      <c r="U863" s="11"/>
      <c r="V863" s="11"/>
    </row>
    <row r="864" spans="1:22">
      <c r="A864" s="5"/>
      <c r="B864" s="249"/>
      <c r="C864" s="424" t="s">
        <v>74</v>
      </c>
      <c r="D864" s="416"/>
      <c r="E864" s="507"/>
      <c r="F864" s="11"/>
      <c r="G864" s="11"/>
      <c r="H864" s="11"/>
      <c r="I864" s="11"/>
      <c r="J864" s="11"/>
      <c r="K864" s="11"/>
      <c r="P864" s="11"/>
      <c r="Q864" s="11"/>
      <c r="R864" s="11"/>
      <c r="S864" s="11"/>
      <c r="T864" s="11"/>
      <c r="U864" s="11"/>
      <c r="V864" s="11"/>
    </row>
    <row r="865" spans="1:22">
      <c r="A865" s="5"/>
      <c r="B865" s="249"/>
      <c r="C865" s="425" t="str">
        <f t="array" ref="C865:D870">+'A-33'!$A$77:$B$82</f>
        <v>Total Output Growth</v>
      </c>
      <c r="D865" s="426" t="str">
        <v>Labour</v>
      </c>
      <c r="E865" s="847">
        <f t="array" ref="E865:K870" ca="1">+'A-33'!$N$77:$T$82</f>
        <v>0</v>
      </c>
      <c r="F865" s="386">
        <f ca="1"/>
        <v>0</v>
      </c>
      <c r="G865" s="383">
        <f ca="1"/>
        <v>1.827034816028688E-2</v>
      </c>
      <c r="H865" s="383">
        <f ca="1"/>
        <v>3.5199393602859431E-2</v>
      </c>
      <c r="I865" s="383">
        <f ca="1"/>
        <v>5.1933567038838543E-2</v>
      </c>
      <c r="J865" s="383">
        <f ca="1"/>
        <v>7.0088801203126591E-2</v>
      </c>
      <c r="K865" s="383">
        <f ca="1"/>
        <v>8.6719131571968311E-2</v>
      </c>
      <c r="L865" s="790"/>
      <c r="M865" s="790"/>
      <c r="N865" s="790"/>
      <c r="O865" s="790"/>
      <c r="P865" s="386"/>
      <c r="Q865" s="768">
        <f ca="1">IF(F865&lt;&gt;0,+F865/'A-33'!D$77,0)</f>
        <v>0</v>
      </c>
      <c r="R865" s="768">
        <f ca="1">IF(G865&lt;&gt;0,+G865/'A-33'!E$77,0)</f>
        <v>1.7220000000000002</v>
      </c>
      <c r="S865" s="768">
        <f ca="1">IF(H865&lt;&gt;0,+H865/'A-33'!F$77,0)</f>
        <v>1.722</v>
      </c>
      <c r="T865" s="768">
        <f ca="1">IF(I865&lt;&gt;0,+I865/'A-33'!G$77,0)</f>
        <v>1.722</v>
      </c>
      <c r="U865" s="768">
        <f ca="1">IF(J865&lt;&gt;0,+J865/'A-33'!H$77,0)</f>
        <v>1.7220000000000002</v>
      </c>
      <c r="V865" s="768">
        <f ca="1">IF(K865&lt;&gt;0,+K865/'A-33'!I$77,0)</f>
        <v>1.722</v>
      </c>
    </row>
    <row r="866" spans="1:22">
      <c r="A866" s="5"/>
      <c r="B866" s="249"/>
      <c r="C866" s="425" t="str">
        <v>Total Output Growth</v>
      </c>
      <c r="D866" s="426" t="str">
        <v>Materials</v>
      </c>
      <c r="E866" s="847">
        <f ca="1"/>
        <v>0</v>
      </c>
      <c r="F866" s="386">
        <f ca="1"/>
        <v>0</v>
      </c>
      <c r="G866" s="383">
        <f ca="1"/>
        <v>1.9097924906223216E-4</v>
      </c>
      <c r="H866" s="383">
        <f ca="1"/>
        <v>3.6793791222501144E-4</v>
      </c>
      <c r="I866" s="383">
        <f ca="1"/>
        <v>5.4285958577183146E-4</v>
      </c>
      <c r="J866" s="383">
        <f ca="1"/>
        <v>7.3263555264592244E-4</v>
      </c>
      <c r="K866" s="383">
        <f ca="1"/>
        <v>9.0647175859200318E-4</v>
      </c>
      <c r="L866" s="790"/>
      <c r="M866" s="790"/>
      <c r="N866" s="790"/>
      <c r="O866" s="790"/>
      <c r="P866" s="386"/>
      <c r="Q866" s="768">
        <f ca="1">IF(F866&lt;&gt;0,+F866/'A-33'!D$78,0)</f>
        <v>0</v>
      </c>
      <c r="R866" s="768">
        <f ca="1">IF(G866&lt;&gt;0,+G866/'A-33'!E$78,0)</f>
        <v>1.7999999999999999E-2</v>
      </c>
      <c r="S866" s="768">
        <f ca="1">IF(H866&lt;&gt;0,+H866/'A-33'!F$78,0)</f>
        <v>1.7999999999999999E-2</v>
      </c>
      <c r="T866" s="768">
        <f ca="1">IF(I866&lt;&gt;0,+I866/'A-33'!G$78,0)</f>
        <v>1.7999999999999999E-2</v>
      </c>
      <c r="U866" s="768">
        <f ca="1">IF(J866&lt;&gt;0,+J866/'A-33'!H$78,0)</f>
        <v>1.7999999999999999E-2</v>
      </c>
      <c r="V866" s="768">
        <f ca="1">IF(K866&lt;&gt;0,+K866/'A-33'!I$78,0)</f>
        <v>1.7999999999999999E-2</v>
      </c>
    </row>
    <row r="867" spans="1:22">
      <c r="A867" s="5"/>
      <c r="B867" s="249"/>
      <c r="C867" s="425" t="str">
        <v>Total Output Growth</v>
      </c>
      <c r="D867" s="426" t="str">
        <v>Contracts</v>
      </c>
      <c r="E867" s="847">
        <f ca="1"/>
        <v>0</v>
      </c>
      <c r="F867" s="386">
        <f ca="1"/>
        <v>0</v>
      </c>
      <c r="G867" s="383">
        <f ca="1"/>
        <v>4.9866803921805064E-4</v>
      </c>
      <c r="H867" s="383">
        <f ca="1"/>
        <v>9.6072677080975225E-4</v>
      </c>
      <c r="I867" s="383">
        <f ca="1"/>
        <v>1.4174666961820044E-3</v>
      </c>
      <c r="J867" s="383">
        <f ca="1"/>
        <v>1.9129928319087976E-3</v>
      </c>
      <c r="K867" s="383">
        <f ca="1"/>
        <v>2.3668984807680084E-3</v>
      </c>
      <c r="L867" s="790"/>
      <c r="M867" s="790"/>
      <c r="N867" s="790"/>
      <c r="O867" s="790"/>
      <c r="P867" s="386"/>
      <c r="Q867" s="768">
        <f ca="1">IF(F867&lt;&gt;0,+F867/'A-33'!D$79,0)</f>
        <v>0</v>
      </c>
      <c r="R867" s="768">
        <f ca="1">IF(G867&lt;&gt;0,+G867/'A-33'!E$79,0)</f>
        <v>4.6999999999999993E-2</v>
      </c>
      <c r="S867" s="768">
        <f ca="1">IF(H867&lt;&gt;0,+H867/'A-33'!F$79,0)</f>
        <v>4.7E-2</v>
      </c>
      <c r="T867" s="768">
        <f ca="1">IF(I867&lt;&gt;0,+I867/'A-33'!G$79,0)</f>
        <v>4.7E-2</v>
      </c>
      <c r="U867" s="768">
        <f ca="1">IF(J867&lt;&gt;0,+J867/'A-33'!H$79,0)</f>
        <v>4.7E-2</v>
      </c>
      <c r="V867" s="768">
        <f ca="1">IF(K867&lt;&gt;0,+K867/'A-33'!I$79,0)</f>
        <v>4.7E-2</v>
      </c>
    </row>
    <row r="868" spans="1:22" s="790" customFormat="1">
      <c r="A868" s="5"/>
      <c r="B868" s="249"/>
      <c r="C868" s="425" t="str">
        <v>Total Output Growth</v>
      </c>
      <c r="D868" s="426" t="str">
        <v>Services Other</v>
      </c>
      <c r="E868" s="847">
        <f ca="1"/>
        <v>0</v>
      </c>
      <c r="F868" s="386">
        <f ca="1"/>
        <v>0</v>
      </c>
      <c r="G868" s="383">
        <f ca="1"/>
        <v>3.7028754401510575E-3</v>
      </c>
      <c r="H868" s="383">
        <f ca="1"/>
        <v>7.1339072981405011E-3</v>
      </c>
      <c r="I868" s="383">
        <f ca="1"/>
        <v>1.0525444190798289E-2</v>
      </c>
      <c r="J868" s="383">
        <f ca="1"/>
        <v>1.4204989326301499E-2</v>
      </c>
      <c r="K868" s="383">
        <f ca="1"/>
        <v>1.7575480208256066E-2</v>
      </c>
      <c r="P868" s="386"/>
      <c r="Q868" s="768">
        <f ca="1">IF(F868&lt;&gt;0,+F868/'A-33'!D$80,0)</f>
        <v>0</v>
      </c>
      <c r="R868" s="768">
        <f ca="1">IF(G868&lt;&gt;0,+G868/'A-33'!E$80,0)</f>
        <v>0.34900000000000003</v>
      </c>
      <c r="S868" s="768">
        <f ca="1">IF(H868&lt;&gt;0,+H868/'A-33'!F$80,0)</f>
        <v>0.34900000000000003</v>
      </c>
      <c r="T868" s="768">
        <f ca="1">IF(I868&lt;&gt;0,+I868/'A-33'!G$80,0)</f>
        <v>0.34900000000000003</v>
      </c>
      <c r="U868" s="768">
        <f ca="1">IF(J868&lt;&gt;0,+J868/'A-33'!H$80,0)</f>
        <v>0.34900000000000003</v>
      </c>
      <c r="V868" s="768">
        <f ca="1">IF(K868&lt;&gt;0,+K868/'A-33'!I$80,0)</f>
        <v>0.34900000000000009</v>
      </c>
    </row>
    <row r="869" spans="1:22" s="790" customFormat="1">
      <c r="A869" s="5"/>
      <c r="B869" s="249"/>
      <c r="C869" s="425" t="str">
        <v>Total Output Growth</v>
      </c>
      <c r="D869" s="426" t="str">
        <v>Business Overheads</v>
      </c>
      <c r="E869" s="847">
        <f ca="1"/>
        <v>0</v>
      </c>
      <c r="F869" s="386">
        <f ca="1"/>
        <v>0</v>
      </c>
      <c r="G869" s="383">
        <f ca="1"/>
        <v>0</v>
      </c>
      <c r="H869" s="383">
        <f ca="1"/>
        <v>0</v>
      </c>
      <c r="I869" s="383">
        <f ca="1"/>
        <v>0</v>
      </c>
      <c r="J869" s="383">
        <f ca="1"/>
        <v>0</v>
      </c>
      <c r="K869" s="383">
        <f ca="1"/>
        <v>0</v>
      </c>
      <c r="P869" s="386"/>
      <c r="Q869" s="768">
        <f ca="1">IF(F869&lt;&gt;0,+F869/'A-33'!D$81,0)</f>
        <v>0</v>
      </c>
      <c r="R869" s="768">
        <f ca="1">IF(G869&lt;&gt;0,+G869/'A-33'!E$81,0)</f>
        <v>0</v>
      </c>
      <c r="S869" s="768">
        <f ca="1">IF(H869&lt;&gt;0,+H869/'A-33'!F$81,0)</f>
        <v>0</v>
      </c>
      <c r="T869" s="768">
        <f ca="1">IF(I869&lt;&gt;0,+I869/'A-33'!G$81,0)</f>
        <v>0</v>
      </c>
      <c r="U869" s="768">
        <f ca="1">IF(J869&lt;&gt;0,+J869/'A-33'!H$81,0)</f>
        <v>0</v>
      </c>
      <c r="V869" s="768">
        <f ca="1">IF(K869&lt;&gt;0,+K869/'A-33'!I$81,0)</f>
        <v>0</v>
      </c>
    </row>
    <row r="870" spans="1:22" s="790" customFormat="1">
      <c r="A870" s="5"/>
      <c r="B870" s="249"/>
      <c r="C870" s="425" t="str">
        <v>Total Output Growth</v>
      </c>
      <c r="D870" s="426" t="str">
        <v>Other</v>
      </c>
      <c r="E870" s="847">
        <f ca="1"/>
        <v>0</v>
      </c>
      <c r="F870" s="386">
        <f ca="1"/>
        <v>0</v>
      </c>
      <c r="G870" s="383">
        <f ca="1"/>
        <v>0</v>
      </c>
      <c r="H870" s="383">
        <f ca="1"/>
        <v>0</v>
      </c>
      <c r="I870" s="383">
        <f ca="1"/>
        <v>0</v>
      </c>
      <c r="J870" s="383">
        <f ca="1"/>
        <v>0</v>
      </c>
      <c r="K870" s="383">
        <f ca="1"/>
        <v>0</v>
      </c>
      <c r="P870" s="386"/>
      <c r="Q870" s="768">
        <f ca="1">IF(F870&lt;&gt;0,+F870/'A-33'!D$82,0)</f>
        <v>0</v>
      </c>
      <c r="R870" s="768">
        <f ca="1">IF(G870&lt;&gt;0,+G870/'A-33'!E$82,0)</f>
        <v>0</v>
      </c>
      <c r="S870" s="768">
        <f ca="1">IF(H870&lt;&gt;0,+H870/'A-33'!F$82,0)</f>
        <v>0</v>
      </c>
      <c r="T870" s="768">
        <f ca="1">IF(I870&lt;&gt;0,+I870/'A-33'!G$82,0)</f>
        <v>0</v>
      </c>
      <c r="U870" s="768">
        <f ca="1">IF(J870&lt;&gt;0,+J870/'A-33'!H$82,0)</f>
        <v>0</v>
      </c>
      <c r="V870" s="768">
        <f ca="1">IF(K870&lt;&gt;0,+K870/'A-33'!I$82,0)</f>
        <v>0</v>
      </c>
    </row>
    <row r="871" spans="1:22">
      <c r="A871" s="5"/>
      <c r="B871" s="249"/>
      <c r="C871" s="424" t="s">
        <v>73</v>
      </c>
      <c r="D871" s="417"/>
      <c r="E871" s="848"/>
      <c r="F871" s="387"/>
      <c r="G871" s="385"/>
      <c r="H871" s="385"/>
      <c r="I871" s="385"/>
      <c r="J871" s="385"/>
      <c r="K871" s="385"/>
      <c r="P871" s="387"/>
      <c r="Q871" s="385"/>
      <c r="R871" s="385"/>
      <c r="S871" s="385"/>
      <c r="T871" s="385"/>
      <c r="U871" s="385"/>
      <c r="V871" s="385"/>
    </row>
    <row r="872" spans="1:22" s="767" customFormat="1">
      <c r="A872" s="5"/>
      <c r="B872" s="249"/>
      <c r="C872" s="425" t="str">
        <f t="array" ref="C872:D877">+'A-33'!$A$113:$B$119</f>
        <v>Labour</v>
      </c>
      <c r="D872" s="426" t="str">
        <v>Labour</v>
      </c>
      <c r="E872" s="847">
        <f t="array" ref="E872:K877" ca="1">+'A-33'!$N$113:$T$119</f>
        <v>0</v>
      </c>
      <c r="F872" s="386">
        <f ca="1"/>
        <v>0</v>
      </c>
      <c r="G872" s="383">
        <f ca="1"/>
        <v>3.7342661791799202E-2</v>
      </c>
      <c r="H872" s="383">
        <f ca="1"/>
        <v>7.6220941789256105E-2</v>
      </c>
      <c r="I872" s="383">
        <f ca="1"/>
        <v>0.11883916379356418</v>
      </c>
      <c r="J872" s="383">
        <f ca="1"/>
        <v>0.16333440162644489</v>
      </c>
      <c r="K872" s="383">
        <f ca="1"/>
        <v>0.20951938468553591</v>
      </c>
      <c r="P872" s="386"/>
      <c r="Q872" s="768">
        <f ca="1">IF(F872&lt;&gt;0,+F872/'A-33'!D$113,0)</f>
        <v>0</v>
      </c>
      <c r="R872" s="768">
        <f ca="1">IF(G872&lt;&gt;0,+G872/'A-33'!E$113,0)</f>
        <v>1.740270348160287</v>
      </c>
      <c r="S872" s="768">
        <f ca="1">IF(H872&lt;&gt;0,+H872/'A-33'!F$113,0)</f>
        <v>1.7571993936028596</v>
      </c>
      <c r="T872" s="768">
        <f ca="1">IF(I872&lt;&gt;0,+I872/'A-33'!G$113,0)</f>
        <v>1.7739335670388385</v>
      </c>
      <c r="U872" s="768">
        <f ca="1">IF(J872&lt;&gt;0,+J872/'A-33'!H$113,0)</f>
        <v>1.7920888012031264</v>
      </c>
      <c r="V872" s="768">
        <f ca="1">IF(K872&lt;&gt;0,+K872/'A-33'!I$113,0)</f>
        <v>1.8087191315719684</v>
      </c>
    </row>
    <row r="873" spans="1:22" s="767" customFormat="1">
      <c r="A873" s="5"/>
      <c r="B873" s="249"/>
      <c r="C873" s="425" t="str">
        <v>Materials</v>
      </c>
      <c r="D873" s="426" t="str">
        <v>Materials</v>
      </c>
      <c r="E873" s="847">
        <f ca="1"/>
        <v>0</v>
      </c>
      <c r="F873" s="386">
        <f ca="1"/>
        <v>0</v>
      </c>
      <c r="G873" s="383">
        <f ca="1"/>
        <v>0</v>
      </c>
      <c r="H873" s="383">
        <f ca="1"/>
        <v>0</v>
      </c>
      <c r="I873" s="383">
        <f ca="1"/>
        <v>0</v>
      </c>
      <c r="J873" s="383">
        <f ca="1"/>
        <v>0</v>
      </c>
      <c r="K873" s="383">
        <f ca="1"/>
        <v>0</v>
      </c>
      <c r="P873" s="386"/>
      <c r="Q873" s="768">
        <f ca="1">IF(F873&lt;&gt;0,+F873/'A-33'!D$114,0)</f>
        <v>0</v>
      </c>
      <c r="R873" s="768">
        <f ca="1">IF(G873&lt;&gt;0,+G873/'A-33'!E$114,0)</f>
        <v>0</v>
      </c>
      <c r="S873" s="768">
        <f ca="1">IF(H873&lt;&gt;0,+H873/'A-33'!F$114,0)</f>
        <v>0</v>
      </c>
      <c r="T873" s="768">
        <f ca="1">IF(I873&lt;&gt;0,+I873/'A-33'!G$114,0)</f>
        <v>0</v>
      </c>
      <c r="U873" s="768">
        <f ca="1">IF(J873&lt;&gt;0,+J873/'A-33'!H$114,0)</f>
        <v>0</v>
      </c>
      <c r="V873" s="768">
        <f ca="1">IF(K873&lt;&gt;0,+K873/'A-33'!I$114,0)</f>
        <v>0</v>
      </c>
    </row>
    <row r="874" spans="1:22" s="767" customFormat="1">
      <c r="A874" s="5"/>
      <c r="B874" s="249"/>
      <c r="C874" s="425" t="str">
        <v>Services-construction</v>
      </c>
      <c r="D874" s="426" t="str">
        <v>Contracts</v>
      </c>
      <c r="E874" s="847">
        <f ca="1"/>
        <v>0</v>
      </c>
      <c r="F874" s="386">
        <f ca="1"/>
        <v>0</v>
      </c>
      <c r="G874" s="383">
        <f ca="1"/>
        <v>2.3749334019608519E-4</v>
      </c>
      <c r="H874" s="383">
        <f ca="1"/>
        <v>4.8080628587735474E-4</v>
      </c>
      <c r="I874" s="383">
        <f ca="1"/>
        <v>9.2551076982750214E-4</v>
      </c>
      <c r="J874" s="383">
        <f ca="1"/>
        <v>1.4583866082061006E-3</v>
      </c>
      <c r="K874" s="383">
        <f ca="1"/>
        <v>2.1074054633441362E-3</v>
      </c>
      <c r="P874" s="386"/>
      <c r="Q874" s="768">
        <f ca="1">IF(F874&lt;&gt;0,+F874/'A-33'!D$115,0)</f>
        <v>0</v>
      </c>
      <c r="R874" s="768">
        <f ca="1">IF(G874&lt;&gt;0,+G874/'A-33'!E$115,0)</f>
        <v>4.7498668039218053E-2</v>
      </c>
      <c r="S874" s="768">
        <f ca="1">IF(H874&lt;&gt;0,+H874/'A-33'!F$115,0)</f>
        <v>4.7960726770809751E-2</v>
      </c>
      <c r="T874" s="768">
        <f ca="1">IF(I874&lt;&gt;0,+I874/'A-33'!G$115,0)</f>
        <v>4.8417466696182007E-2</v>
      </c>
      <c r="U874" s="768">
        <f ca="1">IF(J874&lt;&gt;0,+J874/'A-33'!H$115,0)</f>
        <v>4.8912992831908794E-2</v>
      </c>
      <c r="V874" s="768">
        <f ca="1">IF(K874&lt;&gt;0,+K874/'A-33'!I$115,0)</f>
        <v>4.9366898480768008E-2</v>
      </c>
    </row>
    <row r="875" spans="1:22" s="767" customFormat="1">
      <c r="A875" s="5"/>
      <c r="B875" s="249"/>
      <c r="C875" s="425" t="str">
        <v>Services-general</v>
      </c>
      <c r="D875" s="426" t="str">
        <v>Services Other</v>
      </c>
      <c r="E875" s="847">
        <f ca="1"/>
        <v>0</v>
      </c>
      <c r="F875" s="386">
        <f ca="1"/>
        <v>0</v>
      </c>
      <c r="G875" s="383">
        <f ca="1"/>
        <v>1.763514377200718E-3</v>
      </c>
      <c r="H875" s="383">
        <f ca="1"/>
        <v>3.5702424206637625E-3</v>
      </c>
      <c r="I875" s="383">
        <f ca="1"/>
        <v>6.8724097589318786E-3</v>
      </c>
      <c r="J875" s="383">
        <f ca="1"/>
        <v>1.0829296303487853E-2</v>
      </c>
      <c r="K875" s="383">
        <f ca="1"/>
        <v>1.5648606525683055E-2</v>
      </c>
      <c r="P875" s="386"/>
      <c r="Q875" s="768">
        <f ca="1">IF(F875&lt;&gt;0,+F875/'A-33'!D$116,0)</f>
        <v>0</v>
      </c>
      <c r="R875" s="768">
        <f ca="1">IF(G875&lt;&gt;0,+G875/'A-33'!E$116,0)</f>
        <v>0.35270287544015111</v>
      </c>
      <c r="S875" s="768">
        <f ca="1">IF(H875&lt;&gt;0,+H875/'A-33'!F$116,0)</f>
        <v>0.35613390729814054</v>
      </c>
      <c r="T875" s="768">
        <f ca="1">IF(I875&lt;&gt;0,+I875/'A-33'!G$116,0)</f>
        <v>0.35952544419079835</v>
      </c>
      <c r="U875" s="768">
        <f ca="1">IF(J875&lt;&gt;0,+J875/'A-33'!H$116,0)</f>
        <v>0.36320498932630152</v>
      </c>
      <c r="V875" s="768">
        <f ca="1">IF(K875&lt;&gt;0,+K875/'A-33'!I$116,0)</f>
        <v>0.36657548020825609</v>
      </c>
    </row>
    <row r="876" spans="1:22" s="767" customFormat="1">
      <c r="A876" s="5"/>
      <c r="B876" s="249"/>
      <c r="C876" s="425" t="str">
        <v>Labour</v>
      </c>
      <c r="D876" s="426" t="str">
        <v>Business Overheads</v>
      </c>
      <c r="E876" s="847">
        <f ca="1"/>
        <v>0</v>
      </c>
      <c r="F876" s="386">
        <f ca="1"/>
        <v>0</v>
      </c>
      <c r="G876" s="383">
        <f ca="1"/>
        <v>0</v>
      </c>
      <c r="H876" s="383">
        <f ca="1"/>
        <v>0</v>
      </c>
      <c r="I876" s="383">
        <f ca="1"/>
        <v>0</v>
      </c>
      <c r="J876" s="383">
        <f ca="1"/>
        <v>0</v>
      </c>
      <c r="K876" s="383">
        <f ca="1"/>
        <v>0</v>
      </c>
      <c r="P876" s="386"/>
      <c r="Q876" s="768">
        <f ca="1">IF(F876&lt;&gt;0,+F876/'A-33'!D$117,0)</f>
        <v>0</v>
      </c>
      <c r="R876" s="768">
        <f ca="1">IF(G876&lt;&gt;0,+G876/'A-33'!E$117,0)</f>
        <v>0</v>
      </c>
      <c r="S876" s="768">
        <f ca="1">IF(H876&lt;&gt;0,+H876/'A-33'!F$117,0)</f>
        <v>0</v>
      </c>
      <c r="T876" s="768">
        <f ca="1">IF(I876&lt;&gt;0,+I876/'A-33'!G$117,0)</f>
        <v>0</v>
      </c>
      <c r="U876" s="768">
        <f ca="1">IF(J876&lt;&gt;0,+J876/'A-33'!H$117,0)</f>
        <v>0</v>
      </c>
      <c r="V876" s="768">
        <f ca="1">IF(K876&lt;&gt;0,+K876/'A-33'!I$117,0)</f>
        <v>0</v>
      </c>
    </row>
    <row r="877" spans="1:22" s="767" customFormat="1">
      <c r="A877" s="5"/>
      <c r="B877" s="249"/>
      <c r="C877" s="425" t="str">
        <v>Materials - Land</v>
      </c>
      <c r="D877" s="426" t="str">
        <v>Other</v>
      </c>
      <c r="E877" s="847">
        <f ca="1"/>
        <v>0</v>
      </c>
      <c r="F877" s="386">
        <f ca="1"/>
        <v>0</v>
      </c>
      <c r="G877" s="383">
        <f ca="1"/>
        <v>0</v>
      </c>
      <c r="H877" s="383">
        <f ca="1"/>
        <v>0</v>
      </c>
      <c r="I877" s="383">
        <f ca="1"/>
        <v>0</v>
      </c>
      <c r="J877" s="383">
        <f ca="1"/>
        <v>0</v>
      </c>
      <c r="K877" s="383">
        <f ca="1"/>
        <v>0</v>
      </c>
      <c r="P877" s="386"/>
      <c r="Q877" s="768">
        <f ca="1">IF(F877&lt;&gt;0,+F877/'A-33'!D$118,0)</f>
        <v>0</v>
      </c>
      <c r="R877" s="768">
        <f ca="1">IF(G877&lt;&gt;0,+G877/'A-33'!E$118,0)</f>
        <v>0</v>
      </c>
      <c r="S877" s="768">
        <f ca="1">IF(H877&lt;&gt;0,+H877/'A-33'!F$118,0)</f>
        <v>0</v>
      </c>
      <c r="T877" s="768">
        <f ca="1">IF(I877&lt;&gt;0,+I877/'A-33'!G$118,0)</f>
        <v>0</v>
      </c>
      <c r="U877" s="768">
        <f ca="1">IF(J877&lt;&gt;0,+J877/'A-33'!H$118,0)</f>
        <v>0</v>
      </c>
      <c r="V877" s="768">
        <f ca="1">IF(K877&lt;&gt;0,+K877/'A-33'!I$118,0)</f>
        <v>0</v>
      </c>
    </row>
    <row r="878" spans="1:22">
      <c r="A878" s="5"/>
      <c r="B878" s="249" t="str">
        <f ca="1">+'I-4 History'!B525</f>
        <v>A-34</v>
      </c>
      <c r="C878" s="14" t="str">
        <f ca="1">+'I-4 History'!C525</f>
        <v>Business Improvement and Planning</v>
      </c>
      <c r="D878" s="418"/>
      <c r="E878" s="507"/>
      <c r="F878" s="11"/>
      <c r="G878" s="11"/>
      <c r="H878" s="11"/>
      <c r="I878" s="11"/>
      <c r="J878" s="11"/>
      <c r="K878" s="11"/>
      <c r="P878" s="11"/>
      <c r="Q878" s="11"/>
      <c r="R878" s="11"/>
      <c r="S878" s="11"/>
      <c r="T878" s="11"/>
      <c r="U878" s="11"/>
      <c r="V878" s="11"/>
    </row>
    <row r="879" spans="1:22">
      <c r="A879" s="5"/>
      <c r="B879" s="249"/>
      <c r="C879" s="424" t="s">
        <v>74</v>
      </c>
      <c r="D879" s="416"/>
      <c r="E879" s="507"/>
      <c r="F879" s="11"/>
      <c r="G879" s="11"/>
      <c r="H879" s="11"/>
      <c r="I879" s="11"/>
      <c r="J879" s="11"/>
      <c r="K879" s="11"/>
      <c r="P879" s="11"/>
      <c r="Q879" s="11"/>
      <c r="R879" s="11"/>
      <c r="S879" s="11"/>
      <c r="T879" s="11"/>
      <c r="U879" s="11"/>
      <c r="V879" s="11"/>
    </row>
    <row r="880" spans="1:22">
      <c r="A880" s="5"/>
      <c r="B880" s="249"/>
      <c r="C880" s="425" t="str">
        <f t="array" ref="C880:D885">+'A-34'!$A$77:$B$82</f>
        <v>Total Output Growth</v>
      </c>
      <c r="D880" s="426" t="str">
        <v>Labour</v>
      </c>
      <c r="E880" s="847">
        <f t="array" ref="E880:K885" ca="1">+'A-34'!$N$77:$T$82</f>
        <v>0</v>
      </c>
      <c r="F880" s="386">
        <f ca="1"/>
        <v>0</v>
      </c>
      <c r="G880" s="383">
        <f ca="1"/>
        <v>6.6736637588968913E-3</v>
      </c>
      <c r="H880" s="383">
        <f ca="1"/>
        <v>1.285738593275179E-2</v>
      </c>
      <c r="I880" s="383">
        <f ca="1"/>
        <v>1.8969926636137887E-2</v>
      </c>
      <c r="J880" s="383">
        <f ca="1"/>
        <v>2.5601542367460293E-2</v>
      </c>
      <c r="K880" s="383">
        <f ca="1"/>
        <v>3.1676152008576111E-2</v>
      </c>
      <c r="L880" s="790"/>
      <c r="M880" s="790"/>
      <c r="N880" s="790"/>
      <c r="O880" s="790"/>
      <c r="P880" s="386"/>
      <c r="Q880" s="768">
        <f ca="1">IF(F880&lt;&gt;0,+F880/'A-34'!D$77,0)</f>
        <v>0</v>
      </c>
      <c r="R880" s="768">
        <f ca="1">IF(G880&lt;&gt;0,+G880/'A-34'!E$77,0)</f>
        <v>0.629</v>
      </c>
      <c r="S880" s="768">
        <f ca="1">IF(H880&lt;&gt;0,+H880/'A-34'!F$77,0)</f>
        <v>0.629</v>
      </c>
      <c r="T880" s="768">
        <f ca="1">IF(I880&lt;&gt;0,+I880/'A-34'!G$77,0)</f>
        <v>0.629</v>
      </c>
      <c r="U880" s="768">
        <f ca="1">IF(J880&lt;&gt;0,+J880/'A-34'!H$77,0)</f>
        <v>0.629</v>
      </c>
      <c r="V880" s="768">
        <f ca="1">IF(K880&lt;&gt;0,+K880/'A-34'!I$77,0)</f>
        <v>0.629</v>
      </c>
    </row>
    <row r="881" spans="1:22">
      <c r="A881" s="5"/>
      <c r="B881" s="249"/>
      <c r="C881" s="425" t="str">
        <v>Total Output Growth</v>
      </c>
      <c r="D881" s="426" t="str">
        <v>Materials</v>
      </c>
      <c r="E881" s="847">
        <f ca="1"/>
        <v>0</v>
      </c>
      <c r="F881" s="386">
        <f ca="1"/>
        <v>0</v>
      </c>
      <c r="G881" s="383">
        <f ca="1"/>
        <v>3.1829874843705362E-5</v>
      </c>
      <c r="H881" s="383">
        <f ca="1"/>
        <v>6.1322985370835254E-5</v>
      </c>
      <c r="I881" s="383">
        <f ca="1"/>
        <v>9.0476597628638586E-5</v>
      </c>
      <c r="J881" s="383">
        <f ca="1"/>
        <v>1.2210592544098709E-4</v>
      </c>
      <c r="K881" s="383">
        <f ca="1"/>
        <v>1.5107862643200053E-4</v>
      </c>
      <c r="L881" s="790"/>
      <c r="M881" s="790"/>
      <c r="N881" s="790"/>
      <c r="O881" s="790"/>
      <c r="P881" s="386"/>
      <c r="Q881" s="768">
        <f ca="1">IF(F881&lt;&gt;0,+F881/'A-34'!D$78,0)</f>
        <v>0</v>
      </c>
      <c r="R881" s="768">
        <f ca="1">IF(G881&lt;&gt;0,+G881/'A-34'!E$78,0)</f>
        <v>2.9999999999999996E-3</v>
      </c>
      <c r="S881" s="768">
        <f ca="1">IF(H881&lt;&gt;0,+H881/'A-34'!F$78,0)</f>
        <v>3.0000000000000005E-3</v>
      </c>
      <c r="T881" s="768">
        <f ca="1">IF(I881&lt;&gt;0,+I881/'A-34'!G$78,0)</f>
        <v>3.0000000000000001E-3</v>
      </c>
      <c r="U881" s="768">
        <f ca="1">IF(J881&lt;&gt;0,+J881/'A-34'!H$78,0)</f>
        <v>3.0000000000000001E-3</v>
      </c>
      <c r="V881" s="768">
        <f ca="1">IF(K881&lt;&gt;0,+K881/'A-34'!I$78,0)</f>
        <v>2.9999999999999996E-3</v>
      </c>
    </row>
    <row r="882" spans="1:22">
      <c r="A882" s="5"/>
      <c r="B882" s="249"/>
      <c r="C882" s="425" t="str">
        <v>Total Output Growth</v>
      </c>
      <c r="D882" s="426" t="str">
        <v>Contracts</v>
      </c>
      <c r="E882" s="847">
        <f ca="1"/>
        <v>0</v>
      </c>
      <c r="F882" s="386">
        <f ca="1"/>
        <v>0</v>
      </c>
      <c r="G882" s="383">
        <f ca="1"/>
        <v>9.0184645390498541E-4</v>
      </c>
      <c r="H882" s="383">
        <f ca="1"/>
        <v>1.7374845855069989E-3</v>
      </c>
      <c r="I882" s="383">
        <f ca="1"/>
        <v>2.5635035994780934E-3</v>
      </c>
      <c r="J882" s="383">
        <f ca="1"/>
        <v>3.4596678874946342E-3</v>
      </c>
      <c r="K882" s="383">
        <f ca="1"/>
        <v>4.2805610822400156E-3</v>
      </c>
      <c r="L882" s="790"/>
      <c r="M882" s="790"/>
      <c r="N882" s="790"/>
      <c r="O882" s="790"/>
      <c r="P882" s="386"/>
      <c r="Q882" s="768">
        <f ca="1">IF(F882&lt;&gt;0,+F882/'A-34'!D$79,0)</f>
        <v>0</v>
      </c>
      <c r="R882" s="768">
        <f ca="1">IF(G882&lt;&gt;0,+G882/'A-34'!E$79,0)</f>
        <v>8.5000000000000006E-2</v>
      </c>
      <c r="S882" s="768">
        <f ca="1">IF(H882&lt;&gt;0,+H882/'A-34'!F$79,0)</f>
        <v>8.5000000000000006E-2</v>
      </c>
      <c r="T882" s="768">
        <f ca="1">IF(I882&lt;&gt;0,+I882/'A-34'!G$79,0)</f>
        <v>8.500000000000002E-2</v>
      </c>
      <c r="U882" s="768">
        <f ca="1">IF(J882&lt;&gt;0,+J882/'A-34'!H$79,0)</f>
        <v>8.5000000000000006E-2</v>
      </c>
      <c r="V882" s="768">
        <f ca="1">IF(K882&lt;&gt;0,+K882/'A-34'!I$79,0)</f>
        <v>8.5000000000000006E-2</v>
      </c>
    </row>
    <row r="883" spans="1:22" s="790" customFormat="1">
      <c r="A883" s="5"/>
      <c r="B883" s="249"/>
      <c r="C883" s="425" t="str">
        <v>Total Output Growth</v>
      </c>
      <c r="D883" s="426" t="str">
        <v>Services Other</v>
      </c>
      <c r="E883" s="847">
        <f ca="1"/>
        <v>0</v>
      </c>
      <c r="F883" s="386">
        <f ca="1"/>
        <v>0</v>
      </c>
      <c r="G883" s="383">
        <f ca="1"/>
        <v>2.026502031715908E-3</v>
      </c>
      <c r="H883" s="383">
        <f ca="1"/>
        <v>3.9042300686098442E-3</v>
      </c>
      <c r="I883" s="383">
        <f ca="1"/>
        <v>5.7603433823566561E-3</v>
      </c>
      <c r="J883" s="383">
        <f ca="1"/>
        <v>7.774077253076178E-3</v>
      </c>
      <c r="K883" s="383">
        <f ca="1"/>
        <v>9.6186725495040343E-3</v>
      </c>
      <c r="P883" s="386"/>
      <c r="Q883" s="768">
        <f ca="1">IF(F883&lt;&gt;0,+F883/'A-34'!D$80,0)</f>
        <v>0</v>
      </c>
      <c r="R883" s="768">
        <f ca="1">IF(G883&lt;&gt;0,+G883/'A-34'!E$80,0)</f>
        <v>0.19099999999999998</v>
      </c>
      <c r="S883" s="768">
        <f ca="1">IF(H883&lt;&gt;0,+H883/'A-34'!F$80,0)</f>
        <v>0.191</v>
      </c>
      <c r="T883" s="768">
        <f ca="1">IF(I883&lt;&gt;0,+I883/'A-34'!G$80,0)</f>
        <v>0.191</v>
      </c>
      <c r="U883" s="768">
        <f ca="1">IF(J883&lt;&gt;0,+J883/'A-34'!H$80,0)</f>
        <v>0.191</v>
      </c>
      <c r="V883" s="768">
        <f ca="1">IF(K883&lt;&gt;0,+K883/'A-34'!I$80,0)</f>
        <v>0.191</v>
      </c>
    </row>
    <row r="884" spans="1:22" s="790" customFormat="1">
      <c r="A884" s="5"/>
      <c r="B884" s="249"/>
      <c r="C884" s="425" t="str">
        <v>Total Output Growth</v>
      </c>
      <c r="D884" s="426" t="str">
        <v>Business Overheads</v>
      </c>
      <c r="E884" s="847">
        <f ca="1"/>
        <v>0</v>
      </c>
      <c r="F884" s="386">
        <f ca="1"/>
        <v>0</v>
      </c>
      <c r="G884" s="383">
        <f ca="1"/>
        <v>0</v>
      </c>
      <c r="H884" s="383">
        <f ca="1"/>
        <v>0</v>
      </c>
      <c r="I884" s="383">
        <f ca="1"/>
        <v>0</v>
      </c>
      <c r="J884" s="383">
        <f ca="1"/>
        <v>0</v>
      </c>
      <c r="K884" s="383">
        <f ca="1"/>
        <v>0</v>
      </c>
      <c r="P884" s="386"/>
      <c r="Q884" s="768">
        <f ca="1">IF(F884&lt;&gt;0,+F884/'A-34'!D$81,0)</f>
        <v>0</v>
      </c>
      <c r="R884" s="768">
        <f ca="1">IF(G884&lt;&gt;0,+G884/'A-34'!E$81,0)</f>
        <v>0</v>
      </c>
      <c r="S884" s="768">
        <f ca="1">IF(H884&lt;&gt;0,+H884/'A-34'!F$81,0)</f>
        <v>0</v>
      </c>
      <c r="T884" s="768">
        <f ca="1">IF(I884&lt;&gt;0,+I884/'A-34'!G$81,0)</f>
        <v>0</v>
      </c>
      <c r="U884" s="768">
        <f ca="1">IF(J884&lt;&gt;0,+J884/'A-34'!H$81,0)</f>
        <v>0</v>
      </c>
      <c r="V884" s="768">
        <f ca="1">IF(K884&lt;&gt;0,+K884/'A-34'!I$81,0)</f>
        <v>0</v>
      </c>
    </row>
    <row r="885" spans="1:22" s="790" customFormat="1">
      <c r="A885" s="5"/>
      <c r="B885" s="249"/>
      <c r="C885" s="425" t="str">
        <v>Total Output Growth</v>
      </c>
      <c r="D885" s="426" t="str">
        <v>Other</v>
      </c>
      <c r="E885" s="847">
        <f ca="1"/>
        <v>0</v>
      </c>
      <c r="F885" s="386">
        <f ca="1"/>
        <v>0</v>
      </c>
      <c r="G885" s="383">
        <f ca="1"/>
        <v>0</v>
      </c>
      <c r="H885" s="383">
        <f ca="1"/>
        <v>0</v>
      </c>
      <c r="I885" s="383">
        <f ca="1"/>
        <v>0</v>
      </c>
      <c r="J885" s="383">
        <f ca="1"/>
        <v>0</v>
      </c>
      <c r="K885" s="383">
        <f ca="1"/>
        <v>0</v>
      </c>
      <c r="P885" s="386"/>
      <c r="Q885" s="768">
        <f ca="1">IF(F885&lt;&gt;0,+F885/'A-34'!D$82,0)</f>
        <v>0</v>
      </c>
      <c r="R885" s="768">
        <f ca="1">IF(G885&lt;&gt;0,+G885/'A-34'!E$82,0)</f>
        <v>0</v>
      </c>
      <c r="S885" s="768">
        <f ca="1">IF(H885&lt;&gt;0,+H885/'A-34'!F$82,0)</f>
        <v>0</v>
      </c>
      <c r="T885" s="768">
        <f ca="1">IF(I885&lt;&gt;0,+I885/'A-34'!G$82,0)</f>
        <v>0</v>
      </c>
      <c r="U885" s="768">
        <f ca="1">IF(J885&lt;&gt;0,+J885/'A-34'!H$82,0)</f>
        <v>0</v>
      </c>
      <c r="V885" s="768">
        <f ca="1">IF(K885&lt;&gt;0,+K885/'A-34'!I$82,0)</f>
        <v>0</v>
      </c>
    </row>
    <row r="886" spans="1:22">
      <c r="A886" s="5"/>
      <c r="B886" s="249"/>
      <c r="C886" s="424" t="s">
        <v>73</v>
      </c>
      <c r="D886" s="417"/>
      <c r="E886" s="848"/>
      <c r="F886" s="387"/>
      <c r="G886" s="385"/>
      <c r="H886" s="385"/>
      <c r="I886" s="385"/>
      <c r="J886" s="385"/>
      <c r="K886" s="385"/>
      <c r="P886" s="387"/>
      <c r="Q886" s="385"/>
      <c r="R886" s="385"/>
      <c r="S886" s="385"/>
      <c r="T886" s="385"/>
      <c r="U886" s="385"/>
      <c r="V886" s="385"/>
    </row>
    <row r="887" spans="1:22" s="767" customFormat="1">
      <c r="A887" s="5"/>
      <c r="B887" s="249"/>
      <c r="C887" s="425" t="str">
        <f t="array" ref="C887:D892">+'A-34'!$A$113:$B$119</f>
        <v>Labour</v>
      </c>
      <c r="D887" s="426" t="str">
        <v>Labour</v>
      </c>
      <c r="E887" s="847">
        <f t="array" ref="E887:K892" ca="1">+'A-34'!$N$113:$T$119</f>
        <v>0</v>
      </c>
      <c r="F887" s="386">
        <f ca="1"/>
        <v>0</v>
      </c>
      <c r="G887" s="383">
        <f ca="1"/>
        <v>1.3640263801998663E-2</v>
      </c>
      <c r="H887" s="383">
        <f ca="1"/>
        <v>2.784144737830551E-2</v>
      </c>
      <c r="I887" s="383">
        <f ca="1"/>
        <v>4.3408730561063799E-2</v>
      </c>
      <c r="J887" s="383">
        <f ca="1"/>
        <v>5.9661636831030103E-2</v>
      </c>
      <c r="K887" s="383">
        <f ca="1"/>
        <v>7.6531761304995394E-2</v>
      </c>
      <c r="P887" s="386"/>
      <c r="Q887" s="768">
        <f ca="1">IF(F887&lt;&gt;0,+F887/'A-34'!D$113,0)</f>
        <v>0</v>
      </c>
      <c r="R887" s="768">
        <f ca="1">IF(G887&lt;&gt;0,+G887/'A-34'!E$113,0)</f>
        <v>0.63567366375889689</v>
      </c>
      <c r="S887" s="768">
        <f ca="1">IF(H887&lt;&gt;0,+H887/'A-34'!F$113,0)</f>
        <v>0.64185738593275177</v>
      </c>
      <c r="T887" s="768">
        <f ca="1">IF(I887&lt;&gt;0,+I887/'A-34'!G$113,0)</f>
        <v>0.64796992663613784</v>
      </c>
      <c r="U887" s="768">
        <f ca="1">IF(J887&lt;&gt;0,+J887/'A-34'!H$113,0)</f>
        <v>0.65460154236746027</v>
      </c>
      <c r="V887" s="768">
        <f ca="1">IF(K887&lt;&gt;0,+K887/'A-34'!I$113,0)</f>
        <v>0.6606761520085761</v>
      </c>
    </row>
    <row r="888" spans="1:22" s="767" customFormat="1">
      <c r="A888" s="5"/>
      <c r="B888" s="249"/>
      <c r="C888" s="425" t="str">
        <v>Materials</v>
      </c>
      <c r="D888" s="426" t="str">
        <v>Materials</v>
      </c>
      <c r="E888" s="847">
        <f ca="1"/>
        <v>0</v>
      </c>
      <c r="F888" s="386">
        <f ca="1"/>
        <v>0</v>
      </c>
      <c r="G888" s="383">
        <f ca="1"/>
        <v>0</v>
      </c>
      <c r="H888" s="383">
        <f ca="1"/>
        <v>0</v>
      </c>
      <c r="I888" s="383">
        <f ca="1"/>
        <v>0</v>
      </c>
      <c r="J888" s="383">
        <f ca="1"/>
        <v>0</v>
      </c>
      <c r="K888" s="383">
        <f ca="1"/>
        <v>0</v>
      </c>
      <c r="P888" s="386"/>
      <c r="Q888" s="768">
        <f ca="1">IF(F888&lt;&gt;0,+F888/'A-34'!D$114,0)</f>
        <v>0</v>
      </c>
      <c r="R888" s="768">
        <f ca="1">IF(G888&lt;&gt;0,+G888/'A-34'!E$114,0)</f>
        <v>0</v>
      </c>
      <c r="S888" s="768">
        <f ca="1">IF(H888&lt;&gt;0,+H888/'A-34'!F$114,0)</f>
        <v>0</v>
      </c>
      <c r="T888" s="768">
        <f ca="1">IF(I888&lt;&gt;0,+I888/'A-34'!G$114,0)</f>
        <v>0</v>
      </c>
      <c r="U888" s="768">
        <f ca="1">IF(J888&lt;&gt;0,+J888/'A-34'!H$114,0)</f>
        <v>0</v>
      </c>
      <c r="V888" s="768">
        <f ca="1">IF(K888&lt;&gt;0,+K888/'A-34'!I$114,0)</f>
        <v>0</v>
      </c>
    </row>
    <row r="889" spans="1:22" s="767" customFormat="1">
      <c r="A889" s="5"/>
      <c r="B889" s="249"/>
      <c r="C889" s="425" t="str">
        <v>Services-construction</v>
      </c>
      <c r="D889" s="426" t="str">
        <v>Contracts</v>
      </c>
      <c r="E889" s="847">
        <f ca="1"/>
        <v>0</v>
      </c>
      <c r="F889" s="386">
        <f ca="1"/>
        <v>0</v>
      </c>
      <c r="G889" s="383">
        <f ca="1"/>
        <v>4.2950923226951581E-4</v>
      </c>
      <c r="H889" s="383">
        <f ca="1"/>
        <v>8.6954328296968422E-4</v>
      </c>
      <c r="I889" s="383">
        <f ca="1"/>
        <v>1.6737960730922911E-3</v>
      </c>
      <c r="J889" s="383">
        <f ca="1"/>
        <v>2.6375076956918842E-3</v>
      </c>
      <c r="K889" s="383">
        <f ca="1"/>
        <v>3.8112651996649277E-3</v>
      </c>
      <c r="P889" s="386"/>
      <c r="Q889" s="768">
        <f ca="1">IF(F889&lt;&gt;0,+F889/'A-34'!D$115,0)</f>
        <v>0</v>
      </c>
      <c r="R889" s="768">
        <f ca="1">IF(G889&lt;&gt;0,+G889/'A-34'!E$115,0)</f>
        <v>8.5901846453904987E-2</v>
      </c>
      <c r="S889" s="768">
        <f ca="1">IF(H889&lt;&gt;0,+H889/'A-34'!F$115,0)</f>
        <v>8.6737484585507008E-2</v>
      </c>
      <c r="T889" s="768">
        <f ca="1">IF(I889&lt;&gt;0,+I889/'A-34'!G$115,0)</f>
        <v>8.7563503599478093E-2</v>
      </c>
      <c r="U889" s="768">
        <f ca="1">IF(J889&lt;&gt;0,+J889/'A-34'!H$115,0)</f>
        <v>8.8459667887494639E-2</v>
      </c>
      <c r="V889" s="768">
        <f ca="1">IF(K889&lt;&gt;0,+K889/'A-34'!I$115,0)</f>
        <v>8.9280561082240029E-2</v>
      </c>
    </row>
    <row r="890" spans="1:22" s="767" customFormat="1">
      <c r="A890" s="5"/>
      <c r="B890" s="249"/>
      <c r="C890" s="425" t="str">
        <v>Services-general</v>
      </c>
      <c r="D890" s="426" t="str">
        <v>Services Other</v>
      </c>
      <c r="E890" s="847">
        <f ca="1"/>
        <v>0</v>
      </c>
      <c r="F890" s="386">
        <f ca="1"/>
        <v>0</v>
      </c>
      <c r="G890" s="383">
        <f ca="1"/>
        <v>9.6513251015855901E-4</v>
      </c>
      <c r="H890" s="383">
        <f ca="1"/>
        <v>1.953914906437761E-3</v>
      </c>
      <c r="I890" s="383">
        <f ca="1"/>
        <v>3.7611182348309129E-3</v>
      </c>
      <c r="J890" s="383">
        <f ca="1"/>
        <v>5.9266349397311749E-3</v>
      </c>
      <c r="K890" s="383">
        <f ca="1"/>
        <v>8.5641370957176607E-3</v>
      </c>
      <c r="P890" s="386"/>
      <c r="Q890" s="768">
        <f ca="1">IF(F890&lt;&gt;0,+F890/'A-34'!D$116,0)</f>
        <v>0</v>
      </c>
      <c r="R890" s="768">
        <f ca="1">IF(G890&lt;&gt;0,+G890/'A-34'!E$116,0)</f>
        <v>0.19302650203171592</v>
      </c>
      <c r="S890" s="768">
        <f ca="1">IF(H890&lt;&gt;0,+H890/'A-34'!F$116,0)</f>
        <v>0.19490423006860985</v>
      </c>
      <c r="T890" s="768">
        <f ca="1">IF(I890&lt;&gt;0,+I890/'A-34'!G$116,0)</f>
        <v>0.19676034338235665</v>
      </c>
      <c r="U890" s="768">
        <f ca="1">IF(J890&lt;&gt;0,+J890/'A-34'!H$116,0)</f>
        <v>0.19877407725307619</v>
      </c>
      <c r="V890" s="768">
        <f ca="1">IF(K890&lt;&gt;0,+K890/'A-34'!I$116,0)</f>
        <v>0.20061867254950405</v>
      </c>
    </row>
    <row r="891" spans="1:22" s="767" customFormat="1">
      <c r="A891" s="5"/>
      <c r="B891" s="249"/>
      <c r="C891" s="425" t="str">
        <v>Labour</v>
      </c>
      <c r="D891" s="426" t="str">
        <v>Business Overheads</v>
      </c>
      <c r="E891" s="847">
        <f ca="1"/>
        <v>0</v>
      </c>
      <c r="F891" s="386">
        <f ca="1"/>
        <v>0</v>
      </c>
      <c r="G891" s="383">
        <f ca="1"/>
        <v>0</v>
      </c>
      <c r="H891" s="383">
        <f ca="1"/>
        <v>0</v>
      </c>
      <c r="I891" s="383">
        <f ca="1"/>
        <v>0</v>
      </c>
      <c r="J891" s="383">
        <f ca="1"/>
        <v>0</v>
      </c>
      <c r="K891" s="383">
        <f ca="1"/>
        <v>0</v>
      </c>
      <c r="P891" s="386"/>
      <c r="Q891" s="768">
        <f ca="1">IF(F891&lt;&gt;0,+F891/'A-34'!D$117,0)</f>
        <v>0</v>
      </c>
      <c r="R891" s="768">
        <f ca="1">IF(G891&lt;&gt;0,+G891/'A-34'!E$117,0)</f>
        <v>0</v>
      </c>
      <c r="S891" s="768">
        <f ca="1">IF(H891&lt;&gt;0,+H891/'A-34'!F$117,0)</f>
        <v>0</v>
      </c>
      <c r="T891" s="768">
        <f ca="1">IF(I891&lt;&gt;0,+I891/'A-34'!G$117,0)</f>
        <v>0</v>
      </c>
      <c r="U891" s="768">
        <f ca="1">IF(J891&lt;&gt;0,+J891/'A-34'!H$117,0)</f>
        <v>0</v>
      </c>
      <c r="V891" s="768">
        <f ca="1">IF(K891&lt;&gt;0,+K891/'A-34'!I$117,0)</f>
        <v>0</v>
      </c>
    </row>
    <row r="892" spans="1:22" s="767" customFormat="1">
      <c r="A892" s="5"/>
      <c r="B892" s="249"/>
      <c r="C892" s="425" t="str">
        <v>Materials - Land</v>
      </c>
      <c r="D892" s="426" t="str">
        <v>Other</v>
      </c>
      <c r="E892" s="847">
        <f ca="1"/>
        <v>0</v>
      </c>
      <c r="F892" s="386">
        <f ca="1"/>
        <v>0</v>
      </c>
      <c r="G892" s="383">
        <f ca="1"/>
        <v>0</v>
      </c>
      <c r="H892" s="383">
        <f ca="1"/>
        <v>0</v>
      </c>
      <c r="I892" s="383">
        <f ca="1"/>
        <v>0</v>
      </c>
      <c r="J892" s="383">
        <f ca="1"/>
        <v>0</v>
      </c>
      <c r="K892" s="383">
        <f ca="1"/>
        <v>0</v>
      </c>
      <c r="P892" s="386"/>
      <c r="Q892" s="768">
        <f ca="1">IF(F892&lt;&gt;0,+F892/'A-34'!D$118,0)</f>
        <v>0</v>
      </c>
      <c r="R892" s="768">
        <f ca="1">IF(G892&lt;&gt;0,+G892/'A-34'!E$118,0)</f>
        <v>0</v>
      </c>
      <c r="S892" s="768">
        <f ca="1">IF(H892&lt;&gt;0,+H892/'A-34'!F$118,0)</f>
        <v>0</v>
      </c>
      <c r="T892" s="768">
        <f ca="1">IF(I892&lt;&gt;0,+I892/'A-34'!G$118,0)</f>
        <v>0</v>
      </c>
      <c r="U892" s="768">
        <f ca="1">IF(J892&lt;&gt;0,+J892/'A-34'!H$118,0)</f>
        <v>0</v>
      </c>
      <c r="V892" s="768">
        <f ca="1">IF(K892&lt;&gt;0,+K892/'A-34'!I$118,0)</f>
        <v>0</v>
      </c>
    </row>
    <row r="893" spans="1:22">
      <c r="A893" s="5"/>
      <c r="B893" s="249" t="str">
        <f ca="1">+'I-4 History'!B534</f>
        <v>A-35</v>
      </c>
      <c r="C893" s="262" t="str">
        <f ca="1">+'I-4 History'!C534</f>
        <v>Works Coordination</v>
      </c>
      <c r="D893" s="298"/>
      <c r="E893" s="507"/>
      <c r="F893" s="11"/>
      <c r="G893" s="11"/>
      <c r="H893" s="11"/>
      <c r="I893" s="11"/>
      <c r="J893" s="11"/>
      <c r="K893" s="11"/>
      <c r="P893" s="11"/>
      <c r="Q893" s="11"/>
      <c r="R893" s="11"/>
      <c r="S893" s="11"/>
      <c r="T893" s="11"/>
      <c r="U893" s="11"/>
      <c r="V893" s="11"/>
    </row>
    <row r="894" spans="1:22">
      <c r="A894" s="5"/>
      <c r="B894" s="249"/>
      <c r="C894" s="424" t="s">
        <v>74</v>
      </c>
      <c r="D894" s="416"/>
      <c r="E894" s="507"/>
      <c r="F894" s="11"/>
      <c r="G894" s="11"/>
      <c r="H894" s="11"/>
      <c r="I894" s="11"/>
      <c r="J894" s="11"/>
      <c r="K894" s="11"/>
      <c r="P894" s="11"/>
      <c r="Q894" s="11"/>
      <c r="R894" s="11"/>
      <c r="S894" s="11"/>
      <c r="T894" s="11"/>
      <c r="U894" s="11"/>
      <c r="V894" s="11"/>
    </row>
    <row r="895" spans="1:22">
      <c r="A895" s="5"/>
      <c r="B895" s="249"/>
      <c r="C895" s="425" t="str">
        <f t="array" ref="C895:D900">+'A-35'!$A$77:$B$82</f>
        <v>Total Output Growth</v>
      </c>
      <c r="D895" s="426" t="str">
        <v>Labour</v>
      </c>
      <c r="E895" s="847">
        <f t="array" ref="E895:K900" ca="1">+'A-35'!$N$77:$T$82</f>
        <v>0</v>
      </c>
      <c r="F895" s="386">
        <f ca="1"/>
        <v>0</v>
      </c>
      <c r="G895" s="383">
        <f ca="1"/>
        <v>3.0302040851207506E-2</v>
      </c>
      <c r="H895" s="383">
        <f ca="1"/>
        <v>5.8379482073035151E-2</v>
      </c>
      <c r="I895" s="383">
        <f ca="1"/>
        <v>8.6133720942463923E-2</v>
      </c>
      <c r="J895" s="383">
        <f ca="1"/>
        <v>0.1162448410198197</v>
      </c>
      <c r="K895" s="383">
        <f ca="1"/>
        <v>0.14382685236326451</v>
      </c>
      <c r="L895" s="790"/>
      <c r="M895" s="790"/>
      <c r="N895" s="790"/>
      <c r="O895" s="790"/>
      <c r="P895" s="386"/>
      <c r="Q895" s="768">
        <f ca="1">IF(F895&lt;&gt;0,+F895/'A-35'!D$77,0)</f>
        <v>0</v>
      </c>
      <c r="R895" s="768">
        <f ca="1">IF(G895&lt;&gt;0,+G895/'A-35'!E$77,0)</f>
        <v>2.8559999999999999</v>
      </c>
      <c r="S895" s="768">
        <f ca="1">IF(H895&lt;&gt;0,+H895/'A-35'!F$77,0)</f>
        <v>2.8559999999999999</v>
      </c>
      <c r="T895" s="768">
        <f ca="1">IF(I895&lt;&gt;0,+I895/'A-35'!G$77,0)</f>
        <v>2.8559999999999999</v>
      </c>
      <c r="U895" s="768">
        <f ca="1">IF(J895&lt;&gt;0,+J895/'A-35'!H$77,0)</f>
        <v>2.8559999999999999</v>
      </c>
      <c r="V895" s="768">
        <f ca="1">IF(K895&lt;&gt;0,+K895/'A-35'!I$77,0)</f>
        <v>2.8559999999999999</v>
      </c>
    </row>
    <row r="896" spans="1:22">
      <c r="A896" s="5"/>
      <c r="B896" s="249"/>
      <c r="C896" s="425" t="str">
        <v>Total Output Growth</v>
      </c>
      <c r="D896" s="426" t="str">
        <v>Materials</v>
      </c>
      <c r="E896" s="847">
        <f ca="1"/>
        <v>0</v>
      </c>
      <c r="F896" s="386">
        <f ca="1"/>
        <v>0</v>
      </c>
      <c r="G896" s="383">
        <f ca="1"/>
        <v>1.6975933249976195E-4</v>
      </c>
      <c r="H896" s="383">
        <f ca="1"/>
        <v>3.2705592197778798E-4</v>
      </c>
      <c r="I896" s="383">
        <f ca="1"/>
        <v>4.8254185401940577E-4</v>
      </c>
      <c r="J896" s="383">
        <f ca="1"/>
        <v>6.5123160235193108E-4</v>
      </c>
      <c r="K896" s="383">
        <f ca="1"/>
        <v>8.057526743040029E-4</v>
      </c>
      <c r="L896" s="790"/>
      <c r="M896" s="790"/>
      <c r="N896" s="790"/>
      <c r="O896" s="790"/>
      <c r="P896" s="386"/>
      <c r="Q896" s="768">
        <f ca="1">IF(F896&lt;&gt;0,+F896/'A-35'!D$78,0)</f>
        <v>0</v>
      </c>
      <c r="R896" s="768">
        <f ca="1">IF(G896&lt;&gt;0,+G896/'A-35'!E$78,0)</f>
        <v>1.6E-2</v>
      </c>
      <c r="S896" s="768">
        <f ca="1">IF(H896&lt;&gt;0,+H896/'A-35'!F$78,0)</f>
        <v>1.6E-2</v>
      </c>
      <c r="T896" s="768">
        <f ca="1">IF(I896&lt;&gt;0,+I896/'A-35'!G$78,0)</f>
        <v>1.6E-2</v>
      </c>
      <c r="U896" s="768">
        <f ca="1">IF(J896&lt;&gt;0,+J896/'A-35'!H$78,0)</f>
        <v>1.6E-2</v>
      </c>
      <c r="V896" s="768">
        <f ca="1">IF(K896&lt;&gt;0,+K896/'A-35'!I$78,0)</f>
        <v>1.6E-2</v>
      </c>
    </row>
    <row r="897" spans="1:22">
      <c r="A897" s="5"/>
      <c r="B897" s="249"/>
      <c r="C897" s="425" t="str">
        <v>Total Output Growth</v>
      </c>
      <c r="D897" s="426" t="str">
        <v>Contracts</v>
      </c>
      <c r="E897" s="847">
        <f ca="1"/>
        <v>0</v>
      </c>
      <c r="F897" s="386">
        <f ca="1"/>
        <v>0</v>
      </c>
      <c r="G897" s="383">
        <f ca="1"/>
        <v>0</v>
      </c>
      <c r="H897" s="383">
        <f ca="1"/>
        <v>0</v>
      </c>
      <c r="I897" s="383">
        <f ca="1"/>
        <v>0</v>
      </c>
      <c r="J897" s="383">
        <f ca="1"/>
        <v>0</v>
      </c>
      <c r="K897" s="383">
        <f ca="1"/>
        <v>0</v>
      </c>
      <c r="L897" s="790"/>
      <c r="M897" s="790"/>
      <c r="N897" s="790"/>
      <c r="O897" s="790"/>
      <c r="P897" s="386"/>
      <c r="Q897" s="768">
        <f ca="1">IF(F897&lt;&gt;0,+F897/'A-35'!D$79,0)</f>
        <v>0</v>
      </c>
      <c r="R897" s="768">
        <f ca="1">IF(G897&lt;&gt;0,+G897/'A-35'!E$79,0)</f>
        <v>0</v>
      </c>
      <c r="S897" s="768">
        <f ca="1">IF(H897&lt;&gt;0,+H897/'A-35'!F$79,0)</f>
        <v>0</v>
      </c>
      <c r="T897" s="768">
        <f ca="1">IF(I897&lt;&gt;0,+I897/'A-35'!G$79,0)</f>
        <v>0</v>
      </c>
      <c r="U897" s="768">
        <f ca="1">IF(J897&lt;&gt;0,+J897/'A-35'!H$79,0)</f>
        <v>0</v>
      </c>
      <c r="V897" s="768">
        <f ca="1">IF(K897&lt;&gt;0,+K897/'A-35'!I$79,0)</f>
        <v>0</v>
      </c>
    </row>
    <row r="898" spans="1:22" s="790" customFormat="1">
      <c r="A898" s="5"/>
      <c r="B898" s="249"/>
      <c r="C898" s="425" t="str">
        <v>Total Output Growth</v>
      </c>
      <c r="D898" s="426" t="str">
        <v>Services Other</v>
      </c>
      <c r="E898" s="847">
        <f ca="1"/>
        <v>0</v>
      </c>
      <c r="F898" s="386">
        <f ca="1"/>
        <v>0</v>
      </c>
      <c r="G898" s="383">
        <f ca="1"/>
        <v>9.8672612015486636E-4</v>
      </c>
      <c r="H898" s="383">
        <f ca="1"/>
        <v>1.9010125464958927E-3</v>
      </c>
      <c r="I898" s="383">
        <f ca="1"/>
        <v>2.804774526487796E-3</v>
      </c>
      <c r="J898" s="383">
        <f ca="1"/>
        <v>3.7852836886705997E-3</v>
      </c>
      <c r="K898" s="383">
        <f ca="1"/>
        <v>4.6834374193920171E-3</v>
      </c>
      <c r="P898" s="386"/>
      <c r="Q898" s="768">
        <f ca="1">IF(F898&lt;&gt;0,+F898/'A-35'!D$80,0)</f>
        <v>0</v>
      </c>
      <c r="R898" s="768">
        <f ca="1">IF(G898&lt;&gt;0,+G898/'A-35'!E$80,0)</f>
        <v>9.3000000000000013E-2</v>
      </c>
      <c r="S898" s="768">
        <f ca="1">IF(H898&lt;&gt;0,+H898/'A-35'!F$80,0)</f>
        <v>9.2999999999999999E-2</v>
      </c>
      <c r="T898" s="768">
        <f ca="1">IF(I898&lt;&gt;0,+I898/'A-35'!G$80,0)</f>
        <v>9.2999999999999999E-2</v>
      </c>
      <c r="U898" s="768">
        <f ca="1">IF(J898&lt;&gt;0,+J898/'A-35'!H$80,0)</f>
        <v>9.2999999999999999E-2</v>
      </c>
      <c r="V898" s="768">
        <f ca="1">IF(K898&lt;&gt;0,+K898/'A-35'!I$80,0)</f>
        <v>9.3000000000000013E-2</v>
      </c>
    </row>
    <row r="899" spans="1:22" s="790" customFormat="1">
      <c r="A899" s="5"/>
      <c r="B899" s="249"/>
      <c r="C899" s="425" t="str">
        <v>Total Output Growth</v>
      </c>
      <c r="D899" s="426" t="str">
        <v>Business Overheads</v>
      </c>
      <c r="E899" s="847">
        <f ca="1"/>
        <v>0</v>
      </c>
      <c r="F899" s="386">
        <f ca="1"/>
        <v>0</v>
      </c>
      <c r="G899" s="383">
        <f ca="1"/>
        <v>0</v>
      </c>
      <c r="H899" s="383">
        <f ca="1"/>
        <v>0</v>
      </c>
      <c r="I899" s="383">
        <f ca="1"/>
        <v>0</v>
      </c>
      <c r="J899" s="383">
        <f ca="1"/>
        <v>0</v>
      </c>
      <c r="K899" s="383">
        <f ca="1"/>
        <v>0</v>
      </c>
      <c r="P899" s="386"/>
      <c r="Q899" s="768">
        <f ca="1">IF(F899&lt;&gt;0,+F899/'A-35'!D$81,0)</f>
        <v>0</v>
      </c>
      <c r="R899" s="768">
        <f ca="1">IF(G899&lt;&gt;0,+G899/'A-35'!E$81,0)</f>
        <v>0</v>
      </c>
      <c r="S899" s="768">
        <f ca="1">IF(H899&lt;&gt;0,+H899/'A-35'!F$81,0)</f>
        <v>0</v>
      </c>
      <c r="T899" s="768">
        <f ca="1">IF(I899&lt;&gt;0,+I899/'A-35'!G$81,0)</f>
        <v>0</v>
      </c>
      <c r="U899" s="768">
        <f ca="1">IF(J899&lt;&gt;0,+J899/'A-35'!H$81,0)</f>
        <v>0</v>
      </c>
      <c r="V899" s="768">
        <f ca="1">IF(K899&lt;&gt;0,+K899/'A-35'!I$81,0)</f>
        <v>0</v>
      </c>
    </row>
    <row r="900" spans="1:22" s="790" customFormat="1">
      <c r="A900" s="5"/>
      <c r="B900" s="249"/>
      <c r="C900" s="425" t="str">
        <v>Total Output Growth</v>
      </c>
      <c r="D900" s="426" t="str">
        <v>Other</v>
      </c>
      <c r="E900" s="847">
        <f ca="1"/>
        <v>0</v>
      </c>
      <c r="F900" s="386">
        <f ca="1"/>
        <v>0</v>
      </c>
      <c r="G900" s="383">
        <f ca="1"/>
        <v>0</v>
      </c>
      <c r="H900" s="383">
        <f ca="1"/>
        <v>0</v>
      </c>
      <c r="I900" s="383">
        <f ca="1"/>
        <v>0</v>
      </c>
      <c r="J900" s="383">
        <f ca="1"/>
        <v>0</v>
      </c>
      <c r="K900" s="383">
        <f ca="1"/>
        <v>0</v>
      </c>
      <c r="P900" s="386"/>
      <c r="Q900" s="768">
        <f ca="1">IF(F900&lt;&gt;0,+F900/'A-35'!D$82,0)</f>
        <v>0</v>
      </c>
      <c r="R900" s="768">
        <f ca="1">IF(G900&lt;&gt;0,+G900/'A-35'!E$82,0)</f>
        <v>0</v>
      </c>
      <c r="S900" s="768">
        <f ca="1">IF(H900&lt;&gt;0,+H900/'A-35'!F$82,0)</f>
        <v>0</v>
      </c>
      <c r="T900" s="768">
        <f ca="1">IF(I900&lt;&gt;0,+I900/'A-35'!G$82,0)</f>
        <v>0</v>
      </c>
      <c r="U900" s="768">
        <f ca="1">IF(J900&lt;&gt;0,+J900/'A-35'!H$82,0)</f>
        <v>0</v>
      </c>
      <c r="V900" s="768">
        <f ca="1">IF(K900&lt;&gt;0,+K900/'A-35'!I$82,0)</f>
        <v>0</v>
      </c>
    </row>
    <row r="901" spans="1:22">
      <c r="A901" s="5"/>
      <c r="B901" s="249"/>
      <c r="C901" s="424" t="s">
        <v>73</v>
      </c>
      <c r="D901" s="417"/>
      <c r="E901" s="848"/>
      <c r="F901" s="387"/>
      <c r="G901" s="385"/>
      <c r="H901" s="385"/>
      <c r="I901" s="385"/>
      <c r="J901" s="385"/>
      <c r="K901" s="385"/>
      <c r="P901" s="387"/>
      <c r="Q901" s="385"/>
      <c r="R901" s="385"/>
      <c r="S901" s="385"/>
      <c r="T901" s="385"/>
      <c r="U901" s="385"/>
      <c r="V901" s="385"/>
    </row>
    <row r="902" spans="1:22" s="767" customFormat="1">
      <c r="A902" s="5"/>
      <c r="B902" s="249"/>
      <c r="C902" s="425" t="str">
        <f t="array" ref="C902:D907">+'A-35'!$A$113:$B$119</f>
        <v>Labour</v>
      </c>
      <c r="D902" s="426" t="str">
        <v>Labour</v>
      </c>
      <c r="E902" s="847">
        <f t="array" ref="E902:K907" ca="1">+'A-35'!$N$113:$T$119</f>
        <v>0</v>
      </c>
      <c r="F902" s="386">
        <f ca="1"/>
        <v>0</v>
      </c>
      <c r="G902" s="383">
        <f ca="1"/>
        <v>6.1934170776642573E-2</v>
      </c>
      <c r="H902" s="383">
        <f ca="1"/>
        <v>0.1264152205285223</v>
      </c>
      <c r="I902" s="383">
        <f ca="1"/>
        <v>0.19709910092591129</v>
      </c>
      <c r="J902" s="383">
        <f ca="1"/>
        <v>0.27089608074629884</v>
      </c>
      <c r="K902" s="383">
        <f ca="1"/>
        <v>0.34749556484430344</v>
      </c>
      <c r="P902" s="386"/>
      <c r="Q902" s="768">
        <f ca="1">IF(F902&lt;&gt;0,+F902/'A-35'!D$113,0)</f>
        <v>0</v>
      </c>
      <c r="R902" s="768">
        <f ca="1">IF(G902&lt;&gt;0,+G902/'A-35'!E$113,0)</f>
        <v>2.8863020408512075</v>
      </c>
      <c r="S902" s="768">
        <f ca="1">IF(H902&lt;&gt;0,+H902/'A-35'!F$113,0)</f>
        <v>2.9143794820730351</v>
      </c>
      <c r="T902" s="768">
        <f ca="1">IF(I902&lt;&gt;0,+I902/'A-35'!G$113,0)</f>
        <v>2.9421337209424636</v>
      </c>
      <c r="U902" s="768">
        <f ca="1">IF(J902&lt;&gt;0,+J902/'A-35'!H$113,0)</f>
        <v>2.9722448410198195</v>
      </c>
      <c r="V902" s="768">
        <f ca="1">IF(K902&lt;&gt;0,+K902/'A-35'!I$113,0)</f>
        <v>2.9998268523632645</v>
      </c>
    </row>
    <row r="903" spans="1:22" s="767" customFormat="1">
      <c r="A903" s="5"/>
      <c r="B903" s="249"/>
      <c r="C903" s="425" t="str">
        <v>Materials</v>
      </c>
      <c r="D903" s="426" t="str">
        <v>Materials</v>
      </c>
      <c r="E903" s="847">
        <f ca="1"/>
        <v>0</v>
      </c>
      <c r="F903" s="386">
        <f ca="1"/>
        <v>0</v>
      </c>
      <c r="G903" s="383">
        <f ca="1"/>
        <v>0</v>
      </c>
      <c r="H903" s="383">
        <f ca="1"/>
        <v>0</v>
      </c>
      <c r="I903" s="383">
        <f ca="1"/>
        <v>0</v>
      </c>
      <c r="J903" s="383">
        <f ca="1"/>
        <v>0</v>
      </c>
      <c r="K903" s="383">
        <f ca="1"/>
        <v>0</v>
      </c>
      <c r="P903" s="386"/>
      <c r="Q903" s="768">
        <f ca="1">IF(F903&lt;&gt;0,+F903/'A-35'!D$114,0)</f>
        <v>0</v>
      </c>
      <c r="R903" s="768">
        <f ca="1">IF(G903&lt;&gt;0,+G903/'A-35'!E$114,0)</f>
        <v>0</v>
      </c>
      <c r="S903" s="768">
        <f ca="1">IF(H903&lt;&gt;0,+H903/'A-35'!F$114,0)</f>
        <v>0</v>
      </c>
      <c r="T903" s="768">
        <f ca="1">IF(I903&lt;&gt;0,+I903/'A-35'!G$114,0)</f>
        <v>0</v>
      </c>
      <c r="U903" s="768">
        <f ca="1">IF(J903&lt;&gt;0,+J903/'A-35'!H$114,0)</f>
        <v>0</v>
      </c>
      <c r="V903" s="768">
        <f ca="1">IF(K903&lt;&gt;0,+K903/'A-35'!I$114,0)</f>
        <v>0</v>
      </c>
    </row>
    <row r="904" spans="1:22" s="767" customFormat="1">
      <c r="A904" s="5"/>
      <c r="B904" s="249"/>
      <c r="C904" s="425" t="str">
        <v>Services-construction</v>
      </c>
      <c r="D904" s="426" t="str">
        <v>Contracts</v>
      </c>
      <c r="E904" s="847">
        <f ca="1"/>
        <v>0</v>
      </c>
      <c r="F904" s="386">
        <f ca="1"/>
        <v>0</v>
      </c>
      <c r="G904" s="383">
        <f ca="1"/>
        <v>0</v>
      </c>
      <c r="H904" s="383">
        <f ca="1"/>
        <v>0</v>
      </c>
      <c r="I904" s="383">
        <f ca="1"/>
        <v>0</v>
      </c>
      <c r="J904" s="383">
        <f ca="1"/>
        <v>0</v>
      </c>
      <c r="K904" s="383">
        <f ca="1"/>
        <v>0</v>
      </c>
      <c r="P904" s="386"/>
      <c r="Q904" s="768">
        <f ca="1">IF(F904&lt;&gt;0,+F904/'A-35'!D$115,0)</f>
        <v>0</v>
      </c>
      <c r="R904" s="768">
        <f ca="1">IF(G904&lt;&gt;0,+G904/'A-35'!E$115,0)</f>
        <v>0</v>
      </c>
      <c r="S904" s="768">
        <f ca="1">IF(H904&lt;&gt;0,+H904/'A-35'!F$115,0)</f>
        <v>0</v>
      </c>
      <c r="T904" s="768">
        <f ca="1">IF(I904&lt;&gt;0,+I904/'A-35'!G$115,0)</f>
        <v>0</v>
      </c>
      <c r="U904" s="768">
        <f ca="1">IF(J904&lt;&gt;0,+J904/'A-35'!H$115,0)</f>
        <v>0</v>
      </c>
      <c r="V904" s="768">
        <f ca="1">IF(K904&lt;&gt;0,+K904/'A-35'!I$115,0)</f>
        <v>0</v>
      </c>
    </row>
    <row r="905" spans="1:22" s="767" customFormat="1">
      <c r="A905" s="5"/>
      <c r="B905" s="249"/>
      <c r="C905" s="425" t="str">
        <v>Services-general</v>
      </c>
      <c r="D905" s="426" t="str">
        <v>Services Other</v>
      </c>
      <c r="E905" s="847">
        <f ca="1"/>
        <v>0</v>
      </c>
      <c r="F905" s="386">
        <f ca="1"/>
        <v>0</v>
      </c>
      <c r="G905" s="383">
        <f ca="1"/>
        <v>4.6993363060076433E-4</v>
      </c>
      <c r="H905" s="383">
        <f ca="1"/>
        <v>9.5138265077859558E-4</v>
      </c>
      <c r="I905" s="383">
        <f ca="1"/>
        <v>1.8313298211480361E-3</v>
      </c>
      <c r="J905" s="383">
        <f ca="1"/>
        <v>2.8857437141099436E-3</v>
      </c>
      <c r="K905" s="383">
        <f ca="1"/>
        <v>4.1699725125745679E-3</v>
      </c>
      <c r="P905" s="386"/>
      <c r="Q905" s="768">
        <f ca="1">IF(F905&lt;&gt;0,+F905/'A-35'!D$116,0)</f>
        <v>0</v>
      </c>
      <c r="R905" s="768">
        <f ca="1">IF(G905&lt;&gt;0,+G905/'A-35'!E$116,0)</f>
        <v>9.3986726120154865E-2</v>
      </c>
      <c r="S905" s="768">
        <f ca="1">IF(H905&lt;&gt;0,+H905/'A-35'!F$116,0)</f>
        <v>9.4901012546495897E-2</v>
      </c>
      <c r="T905" s="768">
        <f ca="1">IF(I905&lt;&gt;0,+I905/'A-35'!G$116,0)</f>
        <v>9.5804774526487793E-2</v>
      </c>
      <c r="U905" s="768">
        <f ca="1">IF(J905&lt;&gt;0,+J905/'A-35'!H$116,0)</f>
        <v>9.6785283688670593E-2</v>
      </c>
      <c r="V905" s="768">
        <f ca="1">IF(K905&lt;&gt;0,+K905/'A-35'!I$116,0)</f>
        <v>9.7683437419392033E-2</v>
      </c>
    </row>
    <row r="906" spans="1:22" s="767" customFormat="1">
      <c r="A906" s="5"/>
      <c r="B906" s="249"/>
      <c r="C906" s="425" t="str">
        <v>Labour</v>
      </c>
      <c r="D906" s="426" t="str">
        <v>Business Overheads</v>
      </c>
      <c r="E906" s="847">
        <f ca="1"/>
        <v>0</v>
      </c>
      <c r="F906" s="386">
        <f ca="1"/>
        <v>0</v>
      </c>
      <c r="G906" s="383">
        <f ca="1"/>
        <v>0</v>
      </c>
      <c r="H906" s="383">
        <f ca="1"/>
        <v>0</v>
      </c>
      <c r="I906" s="383">
        <f ca="1"/>
        <v>0</v>
      </c>
      <c r="J906" s="383">
        <f ca="1"/>
        <v>0</v>
      </c>
      <c r="K906" s="383">
        <f ca="1"/>
        <v>0</v>
      </c>
      <c r="P906" s="386"/>
      <c r="Q906" s="768">
        <f ca="1">IF(F906&lt;&gt;0,+F906/'A-35'!D$117,0)</f>
        <v>0</v>
      </c>
      <c r="R906" s="768">
        <f ca="1">IF(G906&lt;&gt;0,+G906/'A-35'!E$117,0)</f>
        <v>0</v>
      </c>
      <c r="S906" s="768">
        <f ca="1">IF(H906&lt;&gt;0,+H906/'A-35'!F$117,0)</f>
        <v>0</v>
      </c>
      <c r="T906" s="768">
        <f ca="1">IF(I906&lt;&gt;0,+I906/'A-35'!G$117,0)</f>
        <v>0</v>
      </c>
      <c r="U906" s="768">
        <f ca="1">IF(J906&lt;&gt;0,+J906/'A-35'!H$117,0)</f>
        <v>0</v>
      </c>
      <c r="V906" s="768">
        <f ca="1">IF(K906&lt;&gt;0,+K906/'A-35'!I$117,0)</f>
        <v>0</v>
      </c>
    </row>
    <row r="907" spans="1:22" s="767" customFormat="1">
      <c r="A907" s="5"/>
      <c r="B907" s="249"/>
      <c r="C907" s="425" t="str">
        <v>Materials - Land</v>
      </c>
      <c r="D907" s="426" t="str">
        <v>Other</v>
      </c>
      <c r="E907" s="847">
        <f ca="1"/>
        <v>0</v>
      </c>
      <c r="F907" s="386">
        <f ca="1"/>
        <v>0</v>
      </c>
      <c r="G907" s="383">
        <f ca="1"/>
        <v>0</v>
      </c>
      <c r="H907" s="383">
        <f ca="1"/>
        <v>0</v>
      </c>
      <c r="I907" s="383">
        <f ca="1"/>
        <v>0</v>
      </c>
      <c r="J907" s="383">
        <f ca="1"/>
        <v>0</v>
      </c>
      <c r="K907" s="383">
        <f ca="1"/>
        <v>0</v>
      </c>
      <c r="P907" s="386"/>
      <c r="Q907" s="768">
        <f ca="1">IF(F907&lt;&gt;0,+F907/'A-35'!D$118,0)</f>
        <v>0</v>
      </c>
      <c r="R907" s="768">
        <f ca="1">IF(G907&lt;&gt;0,+G907/'A-35'!E$118,0)</f>
        <v>0</v>
      </c>
      <c r="S907" s="768">
        <f ca="1">IF(H907&lt;&gt;0,+H907/'A-35'!F$118,0)</f>
        <v>0</v>
      </c>
      <c r="T907" s="768">
        <f ca="1">IF(I907&lt;&gt;0,+I907/'A-35'!G$118,0)</f>
        <v>0</v>
      </c>
      <c r="U907" s="768">
        <f ca="1">IF(J907&lt;&gt;0,+J907/'A-35'!H$118,0)</f>
        <v>0</v>
      </c>
      <c r="V907" s="768">
        <f ca="1">IF(K907&lt;&gt;0,+K907/'A-35'!I$118,0)</f>
        <v>0</v>
      </c>
    </row>
    <row r="908" spans="1:22" ht="17.25" customHeight="1" thickBot="1">
      <c r="A908" s="5"/>
      <c r="B908" s="250"/>
      <c r="C908" s="437" t="str">
        <f>CONCATENATE("Total ", +C847)</f>
        <v xml:space="preserve">Total Services </v>
      </c>
      <c r="D908" s="419"/>
      <c r="E908" s="500">
        <f ca="1">SUBTOTAL(9,E849:E907)</f>
        <v>0</v>
      </c>
      <c r="F908" s="314">
        <f t="shared" ref="F908:K908" ca="1" si="7">SUBTOTAL(9,F849:F907)</f>
        <v>0</v>
      </c>
      <c r="G908" s="315">
        <f t="shared" ca="1" si="7"/>
        <v>0.19800485833266296</v>
      </c>
      <c r="H908" s="315">
        <f t="shared" ca="1" si="7"/>
        <v>0.39606847750390622</v>
      </c>
      <c r="I908" s="315">
        <f t="shared" ca="1" si="7"/>
        <v>0.60938007839619601</v>
      </c>
      <c r="J908" s="315">
        <f t="shared" ca="1" si="7"/>
        <v>0.83593018333681501</v>
      </c>
      <c r="K908" s="315">
        <f t="shared" ca="1" si="7"/>
        <v>1.0643163636779163</v>
      </c>
      <c r="P908" s="314"/>
      <c r="Q908" s="768"/>
      <c r="R908" s="768"/>
      <c r="S908" s="768"/>
      <c r="T908" s="768"/>
      <c r="U908" s="768"/>
      <c r="V908" s="768"/>
    </row>
    <row r="909" spans="1:22" ht="18">
      <c r="B909" s="251"/>
      <c r="C909" s="438" t="str">
        <f>+'I-3 Allocated'!A40</f>
        <v xml:space="preserve">Other </v>
      </c>
      <c r="D909" s="423"/>
      <c r="E909" s="842"/>
      <c r="F909" s="266"/>
      <c r="G909" s="266"/>
      <c r="H909" s="266"/>
      <c r="I909" s="266"/>
      <c r="J909" s="266"/>
      <c r="K909" s="266"/>
      <c r="P909" s="266"/>
      <c r="Q909" s="266"/>
      <c r="R909" s="266"/>
      <c r="S909" s="266"/>
      <c r="T909" s="266"/>
      <c r="U909" s="266"/>
      <c r="V909" s="266"/>
    </row>
    <row r="910" spans="1:22">
      <c r="A910" s="5"/>
      <c r="B910" s="249" t="str">
        <f ca="1">+'I-4 History'!B544</f>
        <v>A-36</v>
      </c>
      <c r="C910" s="14" t="str">
        <f ca="1">+'I-4 History'!C544</f>
        <v>Employee Bonuses</v>
      </c>
      <c r="D910" s="418"/>
      <c r="E910" s="507"/>
      <c r="F910" s="11"/>
      <c r="G910" s="11"/>
      <c r="H910" s="11"/>
      <c r="I910" s="11"/>
      <c r="J910" s="11"/>
      <c r="K910" s="11"/>
      <c r="P910" s="11"/>
      <c r="Q910" s="11"/>
      <c r="R910" s="11"/>
      <c r="S910" s="11"/>
      <c r="T910" s="11"/>
      <c r="U910" s="11"/>
      <c r="V910" s="11"/>
    </row>
    <row r="911" spans="1:22">
      <c r="A911" s="5"/>
      <c r="B911" s="249"/>
      <c r="C911" s="424" t="s">
        <v>74</v>
      </c>
      <c r="D911" s="416"/>
      <c r="E911" s="507"/>
      <c r="F911" s="11"/>
      <c r="G911" s="11"/>
      <c r="H911" s="11"/>
      <c r="I911" s="11"/>
      <c r="J911" s="11"/>
      <c r="K911" s="11"/>
      <c r="P911" s="11"/>
      <c r="Q911" s="11"/>
      <c r="R911" s="11"/>
      <c r="S911" s="11"/>
      <c r="T911" s="11"/>
      <c r="U911" s="11"/>
      <c r="V911" s="11"/>
    </row>
    <row r="912" spans="1:22">
      <c r="A912" s="5"/>
      <c r="B912" s="249"/>
      <c r="C912" s="425" t="str">
        <f t="array" ref="C912:D917">+'A-36'!$A$77:$B$82</f>
        <v>Total Output Growth</v>
      </c>
      <c r="D912" s="426" t="str">
        <v>Labour</v>
      </c>
      <c r="E912" s="847">
        <f t="array" ref="E912:K917" ca="1">+'A-36'!$N$77:$T$82</f>
        <v>0</v>
      </c>
      <c r="F912" s="386">
        <f ca="1"/>
        <v>0</v>
      </c>
      <c r="G912" s="383">
        <f ca="1"/>
        <v>3.6105688031043116E-2</v>
      </c>
      <c r="H912" s="383">
        <f ca="1"/>
        <v>6.9560706405650777E-2</v>
      </c>
      <c r="I912" s="383">
        <f ca="1"/>
        <v>0.10263062057675236</v>
      </c>
      <c r="J912" s="383">
        <f ca="1"/>
        <v>0.13850882142522636</v>
      </c>
      <c r="K912" s="383">
        <f ca="1"/>
        <v>0.17137352191603261</v>
      </c>
      <c r="L912" s="790"/>
      <c r="M912" s="790"/>
      <c r="N912" s="790"/>
      <c r="O912" s="790"/>
      <c r="P912" s="386"/>
      <c r="Q912" s="768">
        <f ca="1">IF(F912&lt;&gt;0,+F912/'A-36'!D$77,0)</f>
        <v>0</v>
      </c>
      <c r="R912" s="768">
        <f ca="1">IF(G912&lt;&gt;0,+G912/'A-36'!E$77,0)</f>
        <v>3.403</v>
      </c>
      <c r="S912" s="768">
        <f ca="1">IF(H912&lt;&gt;0,+H912/'A-36'!F$77,0)</f>
        <v>3.4029999999999996</v>
      </c>
      <c r="T912" s="768">
        <f ca="1">IF(I912&lt;&gt;0,+I912/'A-36'!G$77,0)</f>
        <v>3.403</v>
      </c>
      <c r="U912" s="768">
        <f ca="1">IF(J912&lt;&gt;0,+J912/'A-36'!H$77,0)</f>
        <v>3.403</v>
      </c>
      <c r="V912" s="768">
        <f ca="1">IF(K912&lt;&gt;0,+K912/'A-36'!I$77,0)</f>
        <v>3.403</v>
      </c>
    </row>
    <row r="913" spans="1:22">
      <c r="A913" s="5"/>
      <c r="B913" s="249"/>
      <c r="C913" s="425" t="str">
        <v>Total Output Growth</v>
      </c>
      <c r="D913" s="426" t="str">
        <v>Materials</v>
      </c>
      <c r="E913" s="847">
        <f ca="1"/>
        <v>0</v>
      </c>
      <c r="F913" s="386">
        <f ca="1"/>
        <v>0</v>
      </c>
      <c r="G913" s="383">
        <f ca="1"/>
        <v>0</v>
      </c>
      <c r="H913" s="383">
        <f ca="1"/>
        <v>0</v>
      </c>
      <c r="I913" s="383">
        <f ca="1"/>
        <v>0</v>
      </c>
      <c r="J913" s="383">
        <f ca="1"/>
        <v>0</v>
      </c>
      <c r="K913" s="383">
        <f ca="1"/>
        <v>0</v>
      </c>
      <c r="L913" s="790"/>
      <c r="M913" s="790"/>
      <c r="N913" s="790"/>
      <c r="O913" s="790"/>
      <c r="P913" s="386"/>
      <c r="Q913" s="768">
        <f ca="1">IF(F913&lt;&gt;0,+F913/'A-36'!D$78,0)</f>
        <v>0</v>
      </c>
      <c r="R913" s="768">
        <f ca="1">IF(G913&lt;&gt;0,+G913/'A-36'!E$78,0)</f>
        <v>0</v>
      </c>
      <c r="S913" s="768">
        <f ca="1">IF(H913&lt;&gt;0,+H913/'A-36'!F$78,0)</f>
        <v>0</v>
      </c>
      <c r="T913" s="768">
        <f ca="1">IF(I913&lt;&gt;0,+I913/'A-36'!G$78,0)</f>
        <v>0</v>
      </c>
      <c r="U913" s="768">
        <f ca="1">IF(J913&lt;&gt;0,+J913/'A-36'!H$78,0)</f>
        <v>0</v>
      </c>
      <c r="V913" s="768">
        <f ca="1">IF(K913&lt;&gt;0,+K913/'A-36'!I$78,0)</f>
        <v>0</v>
      </c>
    </row>
    <row r="914" spans="1:22">
      <c r="A914" s="5"/>
      <c r="B914" s="249"/>
      <c r="C914" s="425" t="str">
        <v>Total Output Growth</v>
      </c>
      <c r="D914" s="426" t="str">
        <v>Contracts</v>
      </c>
      <c r="E914" s="847">
        <f ca="1"/>
        <v>0</v>
      </c>
      <c r="F914" s="386">
        <f ca="1"/>
        <v>0</v>
      </c>
      <c r="G914" s="383">
        <f ca="1"/>
        <v>0</v>
      </c>
      <c r="H914" s="383">
        <f ca="1"/>
        <v>0</v>
      </c>
      <c r="I914" s="383">
        <f ca="1"/>
        <v>0</v>
      </c>
      <c r="J914" s="383">
        <f ca="1"/>
        <v>0</v>
      </c>
      <c r="K914" s="383">
        <f ca="1"/>
        <v>0</v>
      </c>
      <c r="L914" s="790"/>
      <c r="M914" s="790"/>
      <c r="N914" s="790"/>
      <c r="O914" s="790"/>
      <c r="P914" s="386"/>
      <c r="Q914" s="768">
        <f ca="1">IF(F914&lt;&gt;0,+F914/'A-36'!D$79,0)</f>
        <v>0</v>
      </c>
      <c r="R914" s="768">
        <f ca="1">IF(G914&lt;&gt;0,+G914/'A-36'!E$79,0)</f>
        <v>0</v>
      </c>
      <c r="S914" s="768">
        <f ca="1">IF(H914&lt;&gt;0,+H914/'A-36'!F$79,0)</f>
        <v>0</v>
      </c>
      <c r="T914" s="768">
        <f ca="1">IF(I914&lt;&gt;0,+I914/'A-36'!G$79,0)</f>
        <v>0</v>
      </c>
      <c r="U914" s="768">
        <f ca="1">IF(J914&lt;&gt;0,+J914/'A-36'!H$79,0)</f>
        <v>0</v>
      </c>
      <c r="V914" s="768">
        <f ca="1">IF(K914&lt;&gt;0,+K914/'A-36'!I$79,0)</f>
        <v>0</v>
      </c>
    </row>
    <row r="915" spans="1:22" s="790" customFormat="1">
      <c r="A915" s="5"/>
      <c r="B915" s="249"/>
      <c r="C915" s="425" t="str">
        <v>Total Output Growth</v>
      </c>
      <c r="D915" s="426" t="str">
        <v>Services Other</v>
      </c>
      <c r="E915" s="847">
        <f ca="1"/>
        <v>0</v>
      </c>
      <c r="F915" s="386">
        <f ca="1"/>
        <v>0</v>
      </c>
      <c r="G915" s="383">
        <f ca="1"/>
        <v>0</v>
      </c>
      <c r="H915" s="383">
        <f ca="1"/>
        <v>0</v>
      </c>
      <c r="I915" s="383">
        <f ca="1"/>
        <v>0</v>
      </c>
      <c r="J915" s="383">
        <f ca="1"/>
        <v>0</v>
      </c>
      <c r="K915" s="383">
        <f ca="1"/>
        <v>0</v>
      </c>
      <c r="P915" s="386"/>
      <c r="Q915" s="768">
        <f ca="1">IF(F915&lt;&gt;0,+F915/'A-36'!D$80,0)</f>
        <v>0</v>
      </c>
      <c r="R915" s="768">
        <f ca="1">IF(G915&lt;&gt;0,+G915/'A-36'!E$80,0)</f>
        <v>0</v>
      </c>
      <c r="S915" s="768">
        <f ca="1">IF(H915&lt;&gt;0,+H915/'A-36'!F$80,0)</f>
        <v>0</v>
      </c>
      <c r="T915" s="768">
        <f ca="1">IF(I915&lt;&gt;0,+I915/'A-36'!G$80,0)</f>
        <v>0</v>
      </c>
      <c r="U915" s="768">
        <f ca="1">IF(J915&lt;&gt;0,+J915/'A-36'!H$80,0)</f>
        <v>0</v>
      </c>
      <c r="V915" s="768">
        <f ca="1">IF(K915&lt;&gt;0,+K915/'A-36'!I$80,0)</f>
        <v>0</v>
      </c>
    </row>
    <row r="916" spans="1:22" s="790" customFormat="1">
      <c r="A916" s="5"/>
      <c r="B916" s="249"/>
      <c r="C916" s="425" t="str">
        <v>Total Output Growth</v>
      </c>
      <c r="D916" s="426" t="str">
        <v>Business Overheads</v>
      </c>
      <c r="E916" s="847">
        <f ca="1"/>
        <v>0</v>
      </c>
      <c r="F916" s="386">
        <f ca="1"/>
        <v>0</v>
      </c>
      <c r="G916" s="383">
        <f ca="1"/>
        <v>0</v>
      </c>
      <c r="H916" s="383">
        <f ca="1"/>
        <v>0</v>
      </c>
      <c r="I916" s="383">
        <f ca="1"/>
        <v>0</v>
      </c>
      <c r="J916" s="383">
        <f ca="1"/>
        <v>0</v>
      </c>
      <c r="K916" s="383">
        <f ca="1"/>
        <v>0</v>
      </c>
      <c r="P916" s="386"/>
      <c r="Q916" s="768">
        <f ca="1">IF(F916&lt;&gt;0,+F916/'A-36'!D$81,0)</f>
        <v>0</v>
      </c>
      <c r="R916" s="768">
        <f ca="1">IF(G916&lt;&gt;0,+G916/'A-36'!E$81,0)</f>
        <v>0</v>
      </c>
      <c r="S916" s="768">
        <f ca="1">IF(H916&lt;&gt;0,+H916/'A-36'!F$81,0)</f>
        <v>0</v>
      </c>
      <c r="T916" s="768">
        <f ca="1">IF(I916&lt;&gt;0,+I916/'A-36'!G$81,0)</f>
        <v>0</v>
      </c>
      <c r="U916" s="768">
        <f ca="1">IF(J916&lt;&gt;0,+J916/'A-36'!H$81,0)</f>
        <v>0</v>
      </c>
      <c r="V916" s="768">
        <f ca="1">IF(K916&lt;&gt;0,+K916/'A-36'!I$81,0)</f>
        <v>0</v>
      </c>
    </row>
    <row r="917" spans="1:22" s="790" customFormat="1">
      <c r="A917" s="5"/>
      <c r="B917" s="249"/>
      <c r="C917" s="425" t="str">
        <v>Total Output Growth</v>
      </c>
      <c r="D917" s="426" t="str">
        <v>Other</v>
      </c>
      <c r="E917" s="847">
        <f ca="1"/>
        <v>0</v>
      </c>
      <c r="F917" s="386">
        <f ca="1"/>
        <v>0</v>
      </c>
      <c r="G917" s="383">
        <f ca="1"/>
        <v>0</v>
      </c>
      <c r="H917" s="383">
        <f ca="1"/>
        <v>0</v>
      </c>
      <c r="I917" s="383">
        <f ca="1"/>
        <v>0</v>
      </c>
      <c r="J917" s="383">
        <f ca="1"/>
        <v>0</v>
      </c>
      <c r="K917" s="383">
        <f ca="1"/>
        <v>0</v>
      </c>
      <c r="P917" s="386"/>
      <c r="Q917" s="768">
        <f ca="1">IF(F917&lt;&gt;0,+F917/'A-36'!D$82,0)</f>
        <v>0</v>
      </c>
      <c r="R917" s="768">
        <f ca="1">IF(G917&lt;&gt;0,+G917/'A-36'!E$82,0)</f>
        <v>0</v>
      </c>
      <c r="S917" s="768">
        <f ca="1">IF(H917&lt;&gt;0,+H917/'A-36'!F$82,0)</f>
        <v>0</v>
      </c>
      <c r="T917" s="768">
        <f ca="1">IF(I917&lt;&gt;0,+I917/'A-36'!G$82,0)</f>
        <v>0</v>
      </c>
      <c r="U917" s="768">
        <f ca="1">IF(J917&lt;&gt;0,+J917/'A-36'!H$82,0)</f>
        <v>0</v>
      </c>
      <c r="V917" s="768">
        <f ca="1">IF(K917&lt;&gt;0,+K917/'A-36'!I$82,0)</f>
        <v>0</v>
      </c>
    </row>
    <row r="918" spans="1:22">
      <c r="A918" s="5"/>
      <c r="B918" s="249"/>
      <c r="C918" s="424" t="s">
        <v>73</v>
      </c>
      <c r="D918" s="417"/>
      <c r="E918" s="848"/>
      <c r="F918" s="387"/>
      <c r="G918" s="385"/>
      <c r="H918" s="385"/>
      <c r="I918" s="385"/>
      <c r="J918" s="385"/>
      <c r="K918" s="385"/>
      <c r="P918" s="387"/>
      <c r="Q918" s="385"/>
      <c r="R918" s="385"/>
      <c r="S918" s="385"/>
      <c r="T918" s="385"/>
      <c r="U918" s="385"/>
      <c r="V918" s="385"/>
    </row>
    <row r="919" spans="1:22" s="767" customFormat="1">
      <c r="A919" s="5"/>
      <c r="B919" s="249"/>
      <c r="C919" s="425" t="str">
        <f t="array" ref="C919:D924">+'A-36'!$A$113:$B$119</f>
        <v>Labour</v>
      </c>
      <c r="D919" s="426" t="str">
        <v>Labour</v>
      </c>
      <c r="E919" s="847">
        <f t="array" ref="E919:K924" ca="1">+'A-36'!$N$113:$T$119</f>
        <v>0</v>
      </c>
      <c r="F919" s="386">
        <f ca="1"/>
        <v>0</v>
      </c>
      <c r="G919" s="383">
        <f ca="1"/>
        <v>7.3796212588555565E-2</v>
      </c>
      <c r="H919" s="383">
        <f ca="1"/>
        <v>0.1506270992501966</v>
      </c>
      <c r="I919" s="383">
        <f ca="1"/>
        <v>0.23484882368728158</v>
      </c>
      <c r="J919" s="383">
        <f ca="1"/>
        <v>0.32277988892845061</v>
      </c>
      <c r="K919" s="383">
        <f ca="1"/>
        <v>0.41405021259284475</v>
      </c>
      <c r="P919" s="386"/>
      <c r="Q919" s="768">
        <f ca="1">IF(F919&lt;&gt;0,+F919/'A-36'!D$113,0)</f>
        <v>0</v>
      </c>
      <c r="R919" s="768">
        <f ca="1">IF(G919&lt;&gt;0,+G919/'A-36'!E$113,0)</f>
        <v>3.4391056880310433</v>
      </c>
      <c r="S919" s="768">
        <f ca="1">IF(H919&lt;&gt;0,+H919/'A-36'!F$113,0)</f>
        <v>3.4725607064056514</v>
      </c>
      <c r="T919" s="768">
        <f ca="1">IF(I919&lt;&gt;0,+I919/'A-36'!G$113,0)</f>
        <v>3.5056306205767522</v>
      </c>
      <c r="U919" s="768">
        <f ca="1">IF(J919&lt;&gt;0,+J919/'A-36'!H$113,0)</f>
        <v>3.5415088214252264</v>
      </c>
      <c r="V919" s="768">
        <f ca="1">IF(K919&lt;&gt;0,+K919/'A-36'!I$113,0)</f>
        <v>3.5743735219160326</v>
      </c>
    </row>
    <row r="920" spans="1:22" s="767" customFormat="1">
      <c r="A920" s="5"/>
      <c r="B920" s="249"/>
      <c r="C920" s="425" t="str">
        <v>Materials</v>
      </c>
      <c r="D920" s="426" t="str">
        <v>Materials</v>
      </c>
      <c r="E920" s="847">
        <f ca="1"/>
        <v>0</v>
      </c>
      <c r="F920" s="386">
        <f ca="1"/>
        <v>0</v>
      </c>
      <c r="G920" s="383">
        <f ca="1"/>
        <v>0</v>
      </c>
      <c r="H920" s="383">
        <f ca="1"/>
        <v>0</v>
      </c>
      <c r="I920" s="383">
        <f ca="1"/>
        <v>0</v>
      </c>
      <c r="J920" s="383">
        <f ca="1"/>
        <v>0</v>
      </c>
      <c r="K920" s="383">
        <f ca="1"/>
        <v>0</v>
      </c>
      <c r="P920" s="386"/>
      <c r="Q920" s="768">
        <f ca="1">IF(F920&lt;&gt;0,+F920/'A-36'!D$114,0)</f>
        <v>0</v>
      </c>
      <c r="R920" s="768">
        <f ca="1">IF(G920&lt;&gt;0,+G920/'A-36'!E$114,0)</f>
        <v>0</v>
      </c>
      <c r="S920" s="768">
        <f ca="1">IF(H920&lt;&gt;0,+H920/'A-36'!F$114,0)</f>
        <v>0</v>
      </c>
      <c r="T920" s="768">
        <f ca="1">IF(I920&lt;&gt;0,+I920/'A-36'!G$114,0)</f>
        <v>0</v>
      </c>
      <c r="U920" s="768">
        <f ca="1">IF(J920&lt;&gt;0,+J920/'A-36'!H$114,0)</f>
        <v>0</v>
      </c>
      <c r="V920" s="768">
        <f ca="1">IF(K920&lt;&gt;0,+K920/'A-36'!I$114,0)</f>
        <v>0</v>
      </c>
    </row>
    <row r="921" spans="1:22" s="767" customFormat="1">
      <c r="A921" s="5"/>
      <c r="B921" s="249"/>
      <c r="C921" s="425" t="str">
        <v>Services-construction</v>
      </c>
      <c r="D921" s="426" t="str">
        <v>Contracts</v>
      </c>
      <c r="E921" s="847">
        <f ca="1"/>
        <v>0</v>
      </c>
      <c r="F921" s="386">
        <f ca="1"/>
        <v>0</v>
      </c>
      <c r="G921" s="383">
        <f ca="1"/>
        <v>0</v>
      </c>
      <c r="H921" s="383">
        <f ca="1"/>
        <v>0</v>
      </c>
      <c r="I921" s="383">
        <f ca="1"/>
        <v>0</v>
      </c>
      <c r="J921" s="383">
        <f ca="1"/>
        <v>0</v>
      </c>
      <c r="K921" s="383">
        <f ca="1"/>
        <v>0</v>
      </c>
      <c r="P921" s="386"/>
      <c r="Q921" s="768">
        <f ca="1">IF(F921&lt;&gt;0,+F921/'A-36'!D$115,0)</f>
        <v>0</v>
      </c>
      <c r="R921" s="768">
        <f ca="1">IF(G921&lt;&gt;0,+G921/'A-36'!E$115,0)</f>
        <v>0</v>
      </c>
      <c r="S921" s="768">
        <f ca="1">IF(H921&lt;&gt;0,+H921/'A-36'!F$115,0)</f>
        <v>0</v>
      </c>
      <c r="T921" s="768">
        <f ca="1">IF(I921&lt;&gt;0,+I921/'A-36'!G$115,0)</f>
        <v>0</v>
      </c>
      <c r="U921" s="768">
        <f ca="1">IF(J921&lt;&gt;0,+J921/'A-36'!H$115,0)</f>
        <v>0</v>
      </c>
      <c r="V921" s="768">
        <f ca="1">IF(K921&lt;&gt;0,+K921/'A-36'!I$115,0)</f>
        <v>0</v>
      </c>
    </row>
    <row r="922" spans="1:22" s="767" customFormat="1">
      <c r="A922" s="5"/>
      <c r="B922" s="249"/>
      <c r="C922" s="425" t="str">
        <v>Services-general</v>
      </c>
      <c r="D922" s="426" t="str">
        <v>Services Other</v>
      </c>
      <c r="E922" s="847">
        <f ca="1"/>
        <v>0</v>
      </c>
      <c r="F922" s="386">
        <f ca="1"/>
        <v>0</v>
      </c>
      <c r="G922" s="383">
        <f ca="1"/>
        <v>0</v>
      </c>
      <c r="H922" s="383">
        <f ca="1"/>
        <v>0</v>
      </c>
      <c r="I922" s="383">
        <f ca="1"/>
        <v>0</v>
      </c>
      <c r="J922" s="383">
        <f ca="1"/>
        <v>0</v>
      </c>
      <c r="K922" s="383">
        <f ca="1"/>
        <v>0</v>
      </c>
      <c r="P922" s="386"/>
      <c r="Q922" s="768">
        <f ca="1">IF(F922&lt;&gt;0,+F922/'A-36'!D$116,0)</f>
        <v>0</v>
      </c>
      <c r="R922" s="768">
        <f ca="1">IF(G922&lt;&gt;0,+G922/'A-36'!E$116,0)</f>
        <v>0</v>
      </c>
      <c r="S922" s="768">
        <f ca="1">IF(H922&lt;&gt;0,+H922/'A-36'!F$116,0)</f>
        <v>0</v>
      </c>
      <c r="T922" s="768">
        <f ca="1">IF(I922&lt;&gt;0,+I922/'A-36'!G$116,0)</f>
        <v>0</v>
      </c>
      <c r="U922" s="768">
        <f ca="1">IF(J922&lt;&gt;0,+J922/'A-36'!H$116,0)</f>
        <v>0</v>
      </c>
      <c r="V922" s="768">
        <f ca="1">IF(K922&lt;&gt;0,+K922/'A-36'!I$116,0)</f>
        <v>0</v>
      </c>
    </row>
    <row r="923" spans="1:22" s="767" customFormat="1">
      <c r="A923" s="5"/>
      <c r="B923" s="249"/>
      <c r="C923" s="425" t="str">
        <v>Labour</v>
      </c>
      <c r="D923" s="426" t="str">
        <v>Business Overheads</v>
      </c>
      <c r="E923" s="847">
        <f ca="1"/>
        <v>0</v>
      </c>
      <c r="F923" s="386">
        <f ca="1"/>
        <v>0</v>
      </c>
      <c r="G923" s="383">
        <f ca="1"/>
        <v>0</v>
      </c>
      <c r="H923" s="383">
        <f ca="1"/>
        <v>0</v>
      </c>
      <c r="I923" s="383">
        <f ca="1"/>
        <v>0</v>
      </c>
      <c r="J923" s="383">
        <f ca="1"/>
        <v>0</v>
      </c>
      <c r="K923" s="383">
        <f ca="1"/>
        <v>0</v>
      </c>
      <c r="P923" s="386"/>
      <c r="Q923" s="768">
        <f ca="1">IF(F923&lt;&gt;0,+F923/'A-36'!D$117,0)</f>
        <v>0</v>
      </c>
      <c r="R923" s="768">
        <f ca="1">IF(G923&lt;&gt;0,+G923/'A-36'!E$117,0)</f>
        <v>0</v>
      </c>
      <c r="S923" s="768">
        <f ca="1">IF(H923&lt;&gt;0,+H923/'A-36'!F$117,0)</f>
        <v>0</v>
      </c>
      <c r="T923" s="768">
        <f ca="1">IF(I923&lt;&gt;0,+I923/'A-36'!G$117,0)</f>
        <v>0</v>
      </c>
      <c r="U923" s="768">
        <f ca="1">IF(J923&lt;&gt;0,+J923/'A-36'!H$117,0)</f>
        <v>0</v>
      </c>
      <c r="V923" s="768">
        <f ca="1">IF(K923&lt;&gt;0,+K923/'A-36'!I$117,0)</f>
        <v>0</v>
      </c>
    </row>
    <row r="924" spans="1:22" s="767" customFormat="1">
      <c r="A924" s="5"/>
      <c r="B924" s="249"/>
      <c r="C924" s="425" t="str">
        <v>Materials - Land</v>
      </c>
      <c r="D924" s="426" t="str">
        <v>Other</v>
      </c>
      <c r="E924" s="847">
        <f ca="1"/>
        <v>0</v>
      </c>
      <c r="F924" s="386">
        <f ca="1"/>
        <v>0</v>
      </c>
      <c r="G924" s="383">
        <f ca="1"/>
        <v>0</v>
      </c>
      <c r="H924" s="383">
        <f ca="1"/>
        <v>0</v>
      </c>
      <c r="I924" s="383">
        <f ca="1"/>
        <v>0</v>
      </c>
      <c r="J924" s="383">
        <f ca="1"/>
        <v>0</v>
      </c>
      <c r="K924" s="383">
        <f ca="1"/>
        <v>0</v>
      </c>
      <c r="P924" s="386"/>
      <c r="Q924" s="768">
        <f ca="1">IF(F924&lt;&gt;0,+F924/'A-36'!D$118,0)</f>
        <v>0</v>
      </c>
      <c r="R924" s="768">
        <f ca="1">IF(G924&lt;&gt;0,+G924/'A-36'!E$118,0)</f>
        <v>0</v>
      </c>
      <c r="S924" s="768">
        <f ca="1">IF(H924&lt;&gt;0,+H924/'A-36'!F$118,0)</f>
        <v>0</v>
      </c>
      <c r="T924" s="768">
        <f ca="1">IF(I924&lt;&gt;0,+I924/'A-36'!G$118,0)</f>
        <v>0</v>
      </c>
      <c r="U924" s="768">
        <f ca="1">IF(J924&lt;&gt;0,+J924/'A-36'!H$118,0)</f>
        <v>0</v>
      </c>
      <c r="V924" s="768">
        <f ca="1">IF(K924&lt;&gt;0,+K924/'A-36'!I$118,0)</f>
        <v>0</v>
      </c>
    </row>
    <row r="925" spans="1:22">
      <c r="A925" s="5"/>
      <c r="B925" s="249" t="str">
        <f ca="1">+'I-4 History'!B553</f>
        <v>A-37</v>
      </c>
      <c r="C925" s="14" t="str">
        <f ca="1">+'I-4 History'!C553</f>
        <v>Voluntary Separation Packages (VSP’s)</v>
      </c>
      <c r="D925" s="418"/>
      <c r="E925" s="507"/>
      <c r="F925" s="11"/>
      <c r="G925" s="11"/>
      <c r="H925" s="11"/>
      <c r="I925" s="11"/>
      <c r="J925" s="11"/>
      <c r="K925" s="11"/>
      <c r="P925" s="11"/>
      <c r="Q925" s="11"/>
      <c r="R925" s="11"/>
      <c r="S925" s="11"/>
      <c r="T925" s="11"/>
      <c r="U925" s="11"/>
      <c r="V925" s="11"/>
    </row>
    <row r="926" spans="1:22">
      <c r="A926" s="5"/>
      <c r="B926" s="249"/>
      <c r="C926" s="424" t="s">
        <v>74</v>
      </c>
      <c r="D926" s="416"/>
      <c r="E926" s="507"/>
      <c r="F926" s="11"/>
      <c r="G926" s="11"/>
      <c r="H926" s="11"/>
      <c r="I926" s="11"/>
      <c r="J926" s="11"/>
      <c r="K926" s="11"/>
      <c r="P926" s="11"/>
      <c r="Q926" s="11"/>
      <c r="R926" s="11"/>
      <c r="S926" s="11"/>
      <c r="T926" s="11"/>
      <c r="U926" s="11"/>
      <c r="V926" s="11"/>
    </row>
    <row r="927" spans="1:22">
      <c r="A927" s="5"/>
      <c r="B927" s="249"/>
      <c r="C927" s="425" t="str">
        <f t="array" ref="C927:D932">+'A-37'!$A$77:$B$82</f>
        <v>Total Output Growth</v>
      </c>
      <c r="D927" s="426" t="str">
        <v>Labour</v>
      </c>
      <c r="E927" s="847">
        <f t="array" ref="E927:K932" ca="1">+'A-37'!$N$77:$T$82</f>
        <v>0</v>
      </c>
      <c r="F927" s="386">
        <f ca="1"/>
        <v>0</v>
      </c>
      <c r="G927" s="383">
        <f ca="1"/>
        <v>4.2864231456189892E-3</v>
      </c>
      <c r="H927" s="383">
        <f ca="1"/>
        <v>8.2581620299391478E-3</v>
      </c>
      <c r="I927" s="383">
        <f ca="1"/>
        <v>1.2184181813989996E-2</v>
      </c>
      <c r="J927" s="383">
        <f ca="1"/>
        <v>1.6443597959386262E-2</v>
      </c>
      <c r="K927" s="383">
        <f ca="1"/>
        <v>2.0345255026176075E-2</v>
      </c>
      <c r="L927" s="790"/>
      <c r="M927" s="790"/>
      <c r="N927" s="790"/>
      <c r="O927" s="790"/>
      <c r="P927" s="386"/>
      <c r="Q927" s="768">
        <f ca="1">IF(F927&lt;&gt;0,+F927/'A-37'!D$77,0)</f>
        <v>0</v>
      </c>
      <c r="R927" s="768">
        <f ca="1">IF(G927&lt;&gt;0,+G927/'A-37'!E$77,0)</f>
        <v>0.40400000000000003</v>
      </c>
      <c r="S927" s="768">
        <f ca="1">IF(H927&lt;&gt;0,+H927/'A-37'!F$77,0)</f>
        <v>0.40400000000000008</v>
      </c>
      <c r="T927" s="768">
        <f ca="1">IF(I927&lt;&gt;0,+I927/'A-37'!G$77,0)</f>
        <v>0.40400000000000003</v>
      </c>
      <c r="U927" s="768">
        <f ca="1">IF(J927&lt;&gt;0,+J927/'A-37'!H$77,0)</f>
        <v>0.40400000000000003</v>
      </c>
      <c r="V927" s="768">
        <f ca="1">IF(K927&lt;&gt;0,+K927/'A-37'!I$77,0)</f>
        <v>0.40400000000000003</v>
      </c>
    </row>
    <row r="928" spans="1:22">
      <c r="A928" s="5"/>
      <c r="B928" s="249"/>
      <c r="C928" s="425" t="str">
        <v>Total Output Growth</v>
      </c>
      <c r="D928" s="426" t="str">
        <v>Materials</v>
      </c>
      <c r="E928" s="847">
        <f ca="1"/>
        <v>0</v>
      </c>
      <c r="F928" s="386">
        <f ca="1"/>
        <v>0</v>
      </c>
      <c r="G928" s="383">
        <f ca="1"/>
        <v>0</v>
      </c>
      <c r="H928" s="383">
        <f ca="1"/>
        <v>0</v>
      </c>
      <c r="I928" s="383">
        <f ca="1"/>
        <v>0</v>
      </c>
      <c r="J928" s="383">
        <f ca="1"/>
        <v>0</v>
      </c>
      <c r="K928" s="383">
        <f ca="1"/>
        <v>0</v>
      </c>
      <c r="L928" s="790"/>
      <c r="M928" s="790"/>
      <c r="N928" s="790"/>
      <c r="O928" s="790"/>
      <c r="P928" s="386"/>
      <c r="Q928" s="768">
        <f ca="1">IF(F928&lt;&gt;0,+F928/'A-37'!D$78,0)</f>
        <v>0</v>
      </c>
      <c r="R928" s="768">
        <f ca="1">IF(G928&lt;&gt;0,+G928/'A-37'!E$78,0)</f>
        <v>0</v>
      </c>
      <c r="S928" s="768">
        <f ca="1">IF(H928&lt;&gt;0,+H928/'A-37'!F$78,0)</f>
        <v>0</v>
      </c>
      <c r="T928" s="768">
        <f ca="1">IF(I928&lt;&gt;0,+I928/'A-37'!G$78,0)</f>
        <v>0</v>
      </c>
      <c r="U928" s="768">
        <f ca="1">IF(J928&lt;&gt;0,+J928/'A-37'!H$78,0)</f>
        <v>0</v>
      </c>
      <c r="V928" s="768">
        <f ca="1">IF(K928&lt;&gt;0,+K928/'A-37'!I$78,0)</f>
        <v>0</v>
      </c>
    </row>
    <row r="929" spans="1:22">
      <c r="A929" s="5"/>
      <c r="B929" s="249"/>
      <c r="C929" s="425" t="str">
        <v>Total Output Growth</v>
      </c>
      <c r="D929" s="426" t="str">
        <v>Contracts</v>
      </c>
      <c r="E929" s="847">
        <f ca="1"/>
        <v>0</v>
      </c>
      <c r="F929" s="386">
        <f ca="1"/>
        <v>0</v>
      </c>
      <c r="G929" s="383">
        <f ca="1"/>
        <v>0</v>
      </c>
      <c r="H929" s="383">
        <f ca="1"/>
        <v>0</v>
      </c>
      <c r="I929" s="383">
        <f ca="1"/>
        <v>0</v>
      </c>
      <c r="J929" s="383">
        <f ca="1"/>
        <v>0</v>
      </c>
      <c r="K929" s="383">
        <f ca="1"/>
        <v>0</v>
      </c>
      <c r="L929" s="790"/>
      <c r="M929" s="790"/>
      <c r="N929" s="790"/>
      <c r="O929" s="790"/>
      <c r="P929" s="386"/>
      <c r="Q929" s="768">
        <f ca="1">IF(F929&lt;&gt;0,+F929/'A-37'!D$79,0)</f>
        <v>0</v>
      </c>
      <c r="R929" s="768">
        <f ca="1">IF(G929&lt;&gt;0,+G929/'A-37'!E$79,0)</f>
        <v>0</v>
      </c>
      <c r="S929" s="768">
        <f ca="1">IF(H929&lt;&gt;0,+H929/'A-37'!F$79,0)</f>
        <v>0</v>
      </c>
      <c r="T929" s="768">
        <f ca="1">IF(I929&lt;&gt;0,+I929/'A-37'!G$79,0)</f>
        <v>0</v>
      </c>
      <c r="U929" s="768">
        <f ca="1">IF(J929&lt;&gt;0,+J929/'A-37'!H$79,0)</f>
        <v>0</v>
      </c>
      <c r="V929" s="768">
        <f ca="1">IF(K929&lt;&gt;0,+K929/'A-37'!I$79,0)</f>
        <v>0</v>
      </c>
    </row>
    <row r="930" spans="1:22" s="790" customFormat="1">
      <c r="A930" s="5"/>
      <c r="B930" s="249"/>
      <c r="C930" s="425" t="str">
        <v>Total Output Growth</v>
      </c>
      <c r="D930" s="426" t="str">
        <v>Services Other</v>
      </c>
      <c r="E930" s="847">
        <f ca="1"/>
        <v>0</v>
      </c>
      <c r="F930" s="386">
        <f ca="1"/>
        <v>0</v>
      </c>
      <c r="G930" s="383">
        <f ca="1"/>
        <v>0</v>
      </c>
      <c r="H930" s="383">
        <f ca="1"/>
        <v>0</v>
      </c>
      <c r="I930" s="383">
        <f ca="1"/>
        <v>0</v>
      </c>
      <c r="J930" s="383">
        <f ca="1"/>
        <v>0</v>
      </c>
      <c r="K930" s="383">
        <f ca="1"/>
        <v>0</v>
      </c>
      <c r="P930" s="386"/>
      <c r="Q930" s="768">
        <f ca="1">IF(F930&lt;&gt;0,+F930/'A-37'!D$80,0)</f>
        <v>0</v>
      </c>
      <c r="R930" s="768">
        <f ca="1">IF(G930&lt;&gt;0,+G930/'A-37'!E$80,0)</f>
        <v>0</v>
      </c>
      <c r="S930" s="768">
        <f ca="1">IF(H930&lt;&gt;0,+H930/'A-37'!F$80,0)</f>
        <v>0</v>
      </c>
      <c r="T930" s="768">
        <f ca="1">IF(I930&lt;&gt;0,+I930/'A-37'!G$80,0)</f>
        <v>0</v>
      </c>
      <c r="U930" s="768">
        <f ca="1">IF(J930&lt;&gt;0,+J930/'A-37'!H$80,0)</f>
        <v>0</v>
      </c>
      <c r="V930" s="768">
        <f ca="1">IF(K930&lt;&gt;0,+K930/'A-37'!I$80,0)</f>
        <v>0</v>
      </c>
    </row>
    <row r="931" spans="1:22" s="790" customFormat="1">
      <c r="A931" s="5"/>
      <c r="B931" s="249"/>
      <c r="C931" s="425" t="str">
        <v>Total Output Growth</v>
      </c>
      <c r="D931" s="426" t="str">
        <v>Business Overheads</v>
      </c>
      <c r="E931" s="847">
        <f ca="1"/>
        <v>0</v>
      </c>
      <c r="F931" s="386">
        <f ca="1"/>
        <v>0</v>
      </c>
      <c r="G931" s="383">
        <f ca="1"/>
        <v>0</v>
      </c>
      <c r="H931" s="383">
        <f ca="1"/>
        <v>0</v>
      </c>
      <c r="I931" s="383">
        <f ca="1"/>
        <v>0</v>
      </c>
      <c r="J931" s="383">
        <f ca="1"/>
        <v>0</v>
      </c>
      <c r="K931" s="383">
        <f ca="1"/>
        <v>0</v>
      </c>
      <c r="P931" s="386"/>
      <c r="Q931" s="768">
        <f ca="1">IF(F931&lt;&gt;0,+F931/'A-37'!D$81,0)</f>
        <v>0</v>
      </c>
      <c r="R931" s="768">
        <f ca="1">IF(G931&lt;&gt;0,+G931/'A-37'!E$81,0)</f>
        <v>0</v>
      </c>
      <c r="S931" s="768">
        <f ca="1">IF(H931&lt;&gt;0,+H931/'A-37'!F$81,0)</f>
        <v>0</v>
      </c>
      <c r="T931" s="768">
        <f ca="1">IF(I931&lt;&gt;0,+I931/'A-37'!G$81,0)</f>
        <v>0</v>
      </c>
      <c r="U931" s="768">
        <f ca="1">IF(J931&lt;&gt;0,+J931/'A-37'!H$81,0)</f>
        <v>0</v>
      </c>
      <c r="V931" s="768">
        <f ca="1">IF(K931&lt;&gt;0,+K931/'A-37'!I$81,0)</f>
        <v>0</v>
      </c>
    </row>
    <row r="932" spans="1:22" s="790" customFormat="1">
      <c r="A932" s="5"/>
      <c r="B932" s="249"/>
      <c r="C932" s="425" t="str">
        <v>Total Output Growth</v>
      </c>
      <c r="D932" s="426" t="str">
        <v>Other</v>
      </c>
      <c r="E932" s="847">
        <f ca="1"/>
        <v>0</v>
      </c>
      <c r="F932" s="386">
        <f ca="1"/>
        <v>0</v>
      </c>
      <c r="G932" s="383">
        <f ca="1"/>
        <v>0</v>
      </c>
      <c r="H932" s="383">
        <f ca="1"/>
        <v>0</v>
      </c>
      <c r="I932" s="383">
        <f ca="1"/>
        <v>0</v>
      </c>
      <c r="J932" s="383">
        <f ca="1"/>
        <v>0</v>
      </c>
      <c r="K932" s="383">
        <f ca="1"/>
        <v>0</v>
      </c>
      <c r="P932" s="386"/>
      <c r="Q932" s="768">
        <f ca="1">IF(F932&lt;&gt;0,+F932/'A-37'!D$82,0)</f>
        <v>0</v>
      </c>
      <c r="R932" s="768">
        <f ca="1">IF(G932&lt;&gt;0,+G932/'A-37'!E$82,0)</f>
        <v>0</v>
      </c>
      <c r="S932" s="768">
        <f ca="1">IF(H932&lt;&gt;0,+H932/'A-37'!F$82,0)</f>
        <v>0</v>
      </c>
      <c r="T932" s="768">
        <f ca="1">IF(I932&lt;&gt;0,+I932/'A-37'!G$82,0)</f>
        <v>0</v>
      </c>
      <c r="U932" s="768">
        <f ca="1">IF(J932&lt;&gt;0,+J932/'A-37'!H$82,0)</f>
        <v>0</v>
      </c>
      <c r="V932" s="768">
        <f ca="1">IF(K932&lt;&gt;0,+K932/'A-37'!I$82,0)</f>
        <v>0</v>
      </c>
    </row>
    <row r="933" spans="1:22">
      <c r="A933" s="5"/>
      <c r="B933" s="249"/>
      <c r="C933" s="424" t="s">
        <v>73</v>
      </c>
      <c r="D933" s="417"/>
      <c r="E933" s="848"/>
      <c r="F933" s="387"/>
      <c r="G933" s="385"/>
      <c r="H933" s="385"/>
      <c r="I933" s="385"/>
      <c r="J933" s="385"/>
      <c r="K933" s="385"/>
      <c r="P933" s="387"/>
      <c r="Q933" s="385"/>
      <c r="R933" s="385"/>
      <c r="S933" s="385"/>
      <c r="T933" s="385"/>
      <c r="U933" s="385"/>
      <c r="V933" s="385"/>
    </row>
    <row r="934" spans="1:22" s="767" customFormat="1">
      <c r="A934" s="5"/>
      <c r="B934" s="249"/>
      <c r="C934" s="425" t="str">
        <f t="array" ref="C934:D939">+'A-37'!$A$113:$B$119</f>
        <v>Labour</v>
      </c>
      <c r="D934" s="426" t="str">
        <v>Labour</v>
      </c>
      <c r="E934" s="847">
        <f t="array" ref="E934:K939" ca="1">+'A-37'!$N$113:$T$119</f>
        <v>0</v>
      </c>
      <c r="F934" s="386">
        <f ca="1"/>
        <v>0</v>
      </c>
      <c r="G934" s="383">
        <f ca="1"/>
        <v>8.7609961462757711E-3</v>
      </c>
      <c r="H934" s="383">
        <f ca="1"/>
        <v>1.7882265088768563E-2</v>
      </c>
      <c r="I934" s="383">
        <f ca="1"/>
        <v>2.7880965257026675E-2</v>
      </c>
      <c r="J934" s="383">
        <f ca="1"/>
        <v>3.8320033831059086E-2</v>
      </c>
      <c r="K934" s="383">
        <f ca="1"/>
        <v>4.9155535083017711E-2</v>
      </c>
      <c r="P934" s="386"/>
      <c r="Q934" s="768">
        <f ca="1">IF(F934&lt;&gt;0,+F934/'A-37'!D$113,0)</f>
        <v>0</v>
      </c>
      <c r="R934" s="768">
        <f ca="1">IF(G934&lt;&gt;0,+G934/'A-37'!E$113,0)</f>
        <v>0.40828642314561903</v>
      </c>
      <c r="S934" s="768">
        <f ca="1">IF(H934&lt;&gt;0,+H934/'A-37'!F$113,0)</f>
        <v>0.41225816202993915</v>
      </c>
      <c r="T934" s="768">
        <f ca="1">IF(I934&lt;&gt;0,+I934/'A-37'!G$113,0)</f>
        <v>0.41618418181399003</v>
      </c>
      <c r="U934" s="768">
        <f ca="1">IF(J934&lt;&gt;0,+J934/'A-37'!H$113,0)</f>
        <v>0.42044359795938629</v>
      </c>
      <c r="V934" s="768">
        <f ca="1">IF(K934&lt;&gt;0,+K934/'A-37'!I$113,0)</f>
        <v>0.42434525502617609</v>
      </c>
    </row>
    <row r="935" spans="1:22" s="767" customFormat="1">
      <c r="A935" s="5"/>
      <c r="B935" s="249"/>
      <c r="C935" s="425" t="str">
        <v>Materials</v>
      </c>
      <c r="D935" s="426" t="str">
        <v>Materials</v>
      </c>
      <c r="E935" s="847">
        <f ca="1"/>
        <v>0</v>
      </c>
      <c r="F935" s="386">
        <f ca="1"/>
        <v>0</v>
      </c>
      <c r="G935" s="383">
        <f ca="1"/>
        <v>0</v>
      </c>
      <c r="H935" s="383">
        <f ca="1"/>
        <v>0</v>
      </c>
      <c r="I935" s="383">
        <f ca="1"/>
        <v>0</v>
      </c>
      <c r="J935" s="383">
        <f ca="1"/>
        <v>0</v>
      </c>
      <c r="K935" s="383">
        <f ca="1"/>
        <v>0</v>
      </c>
      <c r="P935" s="386"/>
      <c r="Q935" s="768">
        <f ca="1">IF(F935&lt;&gt;0,+F935/'A-37'!D$114,0)</f>
        <v>0</v>
      </c>
      <c r="R935" s="768">
        <f ca="1">IF(G935&lt;&gt;0,+G935/'A-37'!E$114,0)</f>
        <v>0</v>
      </c>
      <c r="S935" s="768">
        <f ca="1">IF(H935&lt;&gt;0,+H935/'A-37'!F$114,0)</f>
        <v>0</v>
      </c>
      <c r="T935" s="768">
        <f ca="1">IF(I935&lt;&gt;0,+I935/'A-37'!G$114,0)</f>
        <v>0</v>
      </c>
      <c r="U935" s="768">
        <f ca="1">IF(J935&lt;&gt;0,+J935/'A-37'!H$114,0)</f>
        <v>0</v>
      </c>
      <c r="V935" s="768">
        <f ca="1">IF(K935&lt;&gt;0,+K935/'A-37'!I$114,0)</f>
        <v>0</v>
      </c>
    </row>
    <row r="936" spans="1:22" s="767" customFormat="1">
      <c r="A936" s="5"/>
      <c r="B936" s="249"/>
      <c r="C936" s="425" t="str">
        <v>Services-construction</v>
      </c>
      <c r="D936" s="426" t="str">
        <v>Contracts</v>
      </c>
      <c r="E936" s="847">
        <f ca="1"/>
        <v>0</v>
      </c>
      <c r="F936" s="386">
        <f ca="1"/>
        <v>0</v>
      </c>
      <c r="G936" s="383">
        <f ca="1"/>
        <v>0</v>
      </c>
      <c r="H936" s="383">
        <f ca="1"/>
        <v>0</v>
      </c>
      <c r="I936" s="383">
        <f ca="1"/>
        <v>0</v>
      </c>
      <c r="J936" s="383">
        <f ca="1"/>
        <v>0</v>
      </c>
      <c r="K936" s="383">
        <f ca="1"/>
        <v>0</v>
      </c>
      <c r="P936" s="386"/>
      <c r="Q936" s="768">
        <f ca="1">IF(F936&lt;&gt;0,+F936/'A-37'!D$115,0)</f>
        <v>0</v>
      </c>
      <c r="R936" s="768">
        <f ca="1">IF(G936&lt;&gt;0,+G936/'A-37'!E$115,0)</f>
        <v>0</v>
      </c>
      <c r="S936" s="768">
        <f ca="1">IF(H936&lt;&gt;0,+H936/'A-37'!F$115,0)</f>
        <v>0</v>
      </c>
      <c r="T936" s="768">
        <f ca="1">IF(I936&lt;&gt;0,+I936/'A-37'!G$115,0)</f>
        <v>0</v>
      </c>
      <c r="U936" s="768">
        <f ca="1">IF(J936&lt;&gt;0,+J936/'A-37'!H$115,0)</f>
        <v>0</v>
      </c>
      <c r="V936" s="768">
        <f ca="1">IF(K936&lt;&gt;0,+K936/'A-37'!I$115,0)</f>
        <v>0</v>
      </c>
    </row>
    <row r="937" spans="1:22" s="767" customFormat="1">
      <c r="A937" s="5"/>
      <c r="B937" s="249"/>
      <c r="C937" s="425" t="str">
        <v>Services-general</v>
      </c>
      <c r="D937" s="426" t="str">
        <v>Services Other</v>
      </c>
      <c r="E937" s="847">
        <f ca="1"/>
        <v>0</v>
      </c>
      <c r="F937" s="386">
        <f ca="1"/>
        <v>0</v>
      </c>
      <c r="G937" s="383">
        <f ca="1"/>
        <v>0</v>
      </c>
      <c r="H937" s="383">
        <f ca="1"/>
        <v>0</v>
      </c>
      <c r="I937" s="383">
        <f ca="1"/>
        <v>0</v>
      </c>
      <c r="J937" s="383">
        <f ca="1"/>
        <v>0</v>
      </c>
      <c r="K937" s="383">
        <f ca="1"/>
        <v>0</v>
      </c>
      <c r="P937" s="386"/>
      <c r="Q937" s="768">
        <f ca="1">IF(F937&lt;&gt;0,+F937/'A-37'!D$116,0)</f>
        <v>0</v>
      </c>
      <c r="R937" s="768">
        <f ca="1">IF(G937&lt;&gt;0,+G937/'A-37'!E$116,0)</f>
        <v>0</v>
      </c>
      <c r="S937" s="768">
        <f ca="1">IF(H937&lt;&gt;0,+H937/'A-37'!F$116,0)</f>
        <v>0</v>
      </c>
      <c r="T937" s="768">
        <f ca="1">IF(I937&lt;&gt;0,+I937/'A-37'!G$116,0)</f>
        <v>0</v>
      </c>
      <c r="U937" s="768">
        <f ca="1">IF(J937&lt;&gt;0,+J937/'A-37'!H$116,0)</f>
        <v>0</v>
      </c>
      <c r="V937" s="768">
        <f ca="1">IF(K937&lt;&gt;0,+K937/'A-37'!I$116,0)</f>
        <v>0</v>
      </c>
    </row>
    <row r="938" spans="1:22" s="767" customFormat="1">
      <c r="A938" s="5"/>
      <c r="B938" s="249"/>
      <c r="C938" s="425" t="str">
        <v>Labour</v>
      </c>
      <c r="D938" s="426" t="str">
        <v>Business Overheads</v>
      </c>
      <c r="E938" s="847">
        <f ca="1"/>
        <v>0</v>
      </c>
      <c r="F938" s="386">
        <f ca="1"/>
        <v>0</v>
      </c>
      <c r="G938" s="383">
        <f ca="1"/>
        <v>0</v>
      </c>
      <c r="H938" s="383">
        <f ca="1"/>
        <v>0</v>
      </c>
      <c r="I938" s="383">
        <f ca="1"/>
        <v>0</v>
      </c>
      <c r="J938" s="383">
        <f ca="1"/>
        <v>0</v>
      </c>
      <c r="K938" s="383">
        <f ca="1"/>
        <v>0</v>
      </c>
      <c r="P938" s="386"/>
      <c r="Q938" s="768">
        <f ca="1">IF(F938&lt;&gt;0,+F938/'A-37'!D$117,0)</f>
        <v>0</v>
      </c>
      <c r="R938" s="768">
        <f ca="1">IF(G938&lt;&gt;0,+G938/'A-37'!E$117,0)</f>
        <v>0</v>
      </c>
      <c r="S938" s="768">
        <f ca="1">IF(H938&lt;&gt;0,+H938/'A-37'!F$117,0)</f>
        <v>0</v>
      </c>
      <c r="T938" s="768">
        <f ca="1">IF(I938&lt;&gt;0,+I938/'A-37'!G$117,0)</f>
        <v>0</v>
      </c>
      <c r="U938" s="768">
        <f ca="1">IF(J938&lt;&gt;0,+J938/'A-37'!H$117,0)</f>
        <v>0</v>
      </c>
      <c r="V938" s="768">
        <f ca="1">IF(K938&lt;&gt;0,+K938/'A-37'!I$117,0)</f>
        <v>0</v>
      </c>
    </row>
    <row r="939" spans="1:22" s="767" customFormat="1">
      <c r="A939" s="5"/>
      <c r="B939" s="249"/>
      <c r="C939" s="425" t="str">
        <v>Materials - Land</v>
      </c>
      <c r="D939" s="426" t="str">
        <v>Other</v>
      </c>
      <c r="E939" s="847">
        <f ca="1"/>
        <v>0</v>
      </c>
      <c r="F939" s="386">
        <f ca="1"/>
        <v>0</v>
      </c>
      <c r="G939" s="383">
        <f ca="1"/>
        <v>0</v>
      </c>
      <c r="H939" s="383">
        <f ca="1"/>
        <v>0</v>
      </c>
      <c r="I939" s="383">
        <f ca="1"/>
        <v>0</v>
      </c>
      <c r="J939" s="383">
        <f ca="1"/>
        <v>0</v>
      </c>
      <c r="K939" s="383">
        <f ca="1"/>
        <v>0</v>
      </c>
      <c r="P939" s="386"/>
      <c r="Q939" s="768">
        <f ca="1">IF(F939&lt;&gt;0,+F939/'A-37'!D$118,0)</f>
        <v>0</v>
      </c>
      <c r="R939" s="768">
        <f ca="1">IF(G939&lt;&gt;0,+G939/'A-37'!E$118,0)</f>
        <v>0</v>
      </c>
      <c r="S939" s="768">
        <f ca="1">IF(H939&lt;&gt;0,+H939/'A-37'!F$118,0)</f>
        <v>0</v>
      </c>
      <c r="T939" s="768">
        <f ca="1">IF(I939&lt;&gt;0,+I939/'A-37'!G$118,0)</f>
        <v>0</v>
      </c>
      <c r="U939" s="768">
        <f ca="1">IF(J939&lt;&gt;0,+J939/'A-37'!H$118,0)</f>
        <v>0</v>
      </c>
      <c r="V939" s="768">
        <f ca="1">IF(K939&lt;&gt;0,+K939/'A-37'!I$118,0)</f>
        <v>0</v>
      </c>
    </row>
    <row r="940" spans="1:22">
      <c r="A940" s="5"/>
      <c r="B940" s="249" t="str">
        <f ca="1">+'I-4 History'!B562</f>
        <v>A-38</v>
      </c>
      <c r="C940" s="14" t="str">
        <f ca="1">+'I-4 History'!C562</f>
        <v>Superannuation</v>
      </c>
      <c r="D940" s="418"/>
      <c r="E940" s="507"/>
      <c r="F940" s="11"/>
      <c r="G940" s="11"/>
      <c r="H940" s="11"/>
      <c r="I940" s="11"/>
      <c r="J940" s="11"/>
      <c r="K940" s="11"/>
      <c r="P940" s="11"/>
      <c r="Q940" s="11"/>
      <c r="R940" s="11"/>
      <c r="S940" s="11"/>
      <c r="T940" s="11"/>
      <c r="U940" s="11"/>
      <c r="V940" s="11"/>
    </row>
    <row r="941" spans="1:22">
      <c r="A941" s="5"/>
      <c r="B941" s="249"/>
      <c r="C941" s="424" t="s">
        <v>74</v>
      </c>
      <c r="D941" s="416"/>
      <c r="E941" s="507"/>
      <c r="F941" s="11"/>
      <c r="G941" s="11"/>
      <c r="H941" s="11"/>
      <c r="I941" s="11"/>
      <c r="J941" s="11"/>
      <c r="K941" s="11"/>
      <c r="P941" s="11"/>
      <c r="Q941" s="768"/>
      <c r="R941" s="768"/>
      <c r="S941" s="768"/>
      <c r="T941" s="768"/>
      <c r="U941" s="768"/>
      <c r="V941" s="768"/>
    </row>
    <row r="942" spans="1:22">
      <c r="A942" s="5"/>
      <c r="B942" s="249"/>
      <c r="C942" s="425" t="str">
        <f t="array" ref="C942:D947">+'A-38'!$A$77:$B$82</f>
        <v>Total Output Growth</v>
      </c>
      <c r="D942" s="426" t="str">
        <v>Labour</v>
      </c>
      <c r="E942" s="847">
        <f t="array" ref="E942:K947" ca="1">+'A-38'!$N$77:$T$82</f>
        <v>0</v>
      </c>
      <c r="F942" s="386">
        <f ca="1"/>
        <v>0</v>
      </c>
      <c r="G942" s="383">
        <f ca="1"/>
        <v>-4.3150700329783243E-2</v>
      </c>
      <c r="H942" s="383">
        <f ca="1"/>
        <v>-8.3133527167728982E-2</v>
      </c>
      <c r="I942" s="383">
        <f ca="1"/>
        <v>-0.1226561075185577</v>
      </c>
      <c r="J942" s="383">
        <f ca="1"/>
        <v>-0.1655349329228315</v>
      </c>
      <c r="K942" s="383">
        <f ca="1"/>
        <v>-0.20481225789964874</v>
      </c>
      <c r="L942" s="790"/>
      <c r="M942" s="790"/>
      <c r="N942" s="790"/>
      <c r="O942" s="790"/>
      <c r="P942" s="386"/>
      <c r="Q942" s="768">
        <f ca="1">IF(F942&lt;&gt;0,+F942/'A-38'!D$77,0)</f>
        <v>0</v>
      </c>
      <c r="R942" s="768">
        <f ca="1">IF(G942&lt;&gt;0,+G942/'A-38'!E$77,0)</f>
        <v>-4.0670000000000002</v>
      </c>
      <c r="S942" s="768">
        <f ca="1">IF(H942&lt;&gt;0,+H942/'A-38'!F$77,0)</f>
        <v>-4.0670000000000002</v>
      </c>
      <c r="T942" s="768">
        <f ca="1">IF(I942&lt;&gt;0,+I942/'A-38'!G$77,0)</f>
        <v>-4.0670000000000002</v>
      </c>
      <c r="U942" s="768">
        <f ca="1">IF(J942&lt;&gt;0,+J942/'A-38'!H$77,0)</f>
        <v>-4.0670000000000002</v>
      </c>
      <c r="V942" s="768">
        <f ca="1">IF(K942&lt;&gt;0,+K942/'A-38'!I$77,0)</f>
        <v>-4.0670000000000002</v>
      </c>
    </row>
    <row r="943" spans="1:22">
      <c r="A943" s="5"/>
      <c r="B943" s="249"/>
      <c r="C943" s="425" t="str">
        <v>Total Output Growth</v>
      </c>
      <c r="D943" s="426" t="str">
        <v>Materials</v>
      </c>
      <c r="E943" s="847">
        <f ca="1"/>
        <v>0</v>
      </c>
      <c r="F943" s="386">
        <f ca="1"/>
        <v>0</v>
      </c>
      <c r="G943" s="383">
        <f ca="1"/>
        <v>0</v>
      </c>
      <c r="H943" s="383">
        <f ca="1"/>
        <v>0</v>
      </c>
      <c r="I943" s="383">
        <f ca="1"/>
        <v>0</v>
      </c>
      <c r="J943" s="383">
        <f ca="1"/>
        <v>0</v>
      </c>
      <c r="K943" s="383">
        <f ca="1"/>
        <v>0</v>
      </c>
      <c r="L943" s="790"/>
      <c r="M943" s="790"/>
      <c r="N943" s="790"/>
      <c r="O943" s="790"/>
      <c r="P943" s="386"/>
      <c r="Q943" s="768">
        <f ca="1">IF(F943&lt;&gt;0,+F943/'A-38'!D$78,0)</f>
        <v>0</v>
      </c>
      <c r="R943" s="768">
        <f ca="1">IF(G943&lt;&gt;0,+G943/'A-38'!E$78,0)</f>
        <v>0</v>
      </c>
      <c r="S943" s="768">
        <f ca="1">IF(H943&lt;&gt;0,+H943/'A-38'!F$78,0)</f>
        <v>0</v>
      </c>
      <c r="T943" s="768">
        <f ca="1">IF(I943&lt;&gt;0,+I943/'A-38'!G$78,0)</f>
        <v>0</v>
      </c>
      <c r="U943" s="768">
        <f ca="1">IF(J943&lt;&gt;0,+J943/'A-38'!H$78,0)</f>
        <v>0</v>
      </c>
      <c r="V943" s="768">
        <f ca="1">IF(K943&lt;&gt;0,+K943/'A-38'!I$78,0)</f>
        <v>0</v>
      </c>
    </row>
    <row r="944" spans="1:22">
      <c r="A944" s="5"/>
      <c r="B944" s="249"/>
      <c r="C944" s="425" t="str">
        <v>Total Output Growth</v>
      </c>
      <c r="D944" s="426" t="str">
        <v>Contracts</v>
      </c>
      <c r="E944" s="847">
        <f ca="1"/>
        <v>0</v>
      </c>
      <c r="F944" s="386">
        <f ca="1"/>
        <v>0</v>
      </c>
      <c r="G944" s="383">
        <f ca="1"/>
        <v>0</v>
      </c>
      <c r="H944" s="383">
        <f ca="1"/>
        <v>0</v>
      </c>
      <c r="I944" s="383">
        <f ca="1"/>
        <v>0</v>
      </c>
      <c r="J944" s="383">
        <f ca="1"/>
        <v>0</v>
      </c>
      <c r="K944" s="383">
        <f ca="1"/>
        <v>0</v>
      </c>
      <c r="L944" s="790"/>
      <c r="M944" s="790"/>
      <c r="N944" s="790"/>
      <c r="O944" s="790"/>
      <c r="P944" s="386"/>
      <c r="Q944" s="768">
        <f ca="1">IF(F944&lt;&gt;0,+F944/'A-38'!D$79,0)</f>
        <v>0</v>
      </c>
      <c r="R944" s="768">
        <f ca="1">IF(G944&lt;&gt;0,+G944/'A-38'!E$79,0)</f>
        <v>0</v>
      </c>
      <c r="S944" s="768">
        <f ca="1">IF(H944&lt;&gt;0,+H944/'A-38'!F$79,0)</f>
        <v>0</v>
      </c>
      <c r="T944" s="768">
        <f ca="1">IF(I944&lt;&gt;0,+I944/'A-38'!G$79,0)</f>
        <v>0</v>
      </c>
      <c r="U944" s="768">
        <f ca="1">IF(J944&lt;&gt;0,+J944/'A-38'!H$79,0)</f>
        <v>0</v>
      </c>
      <c r="V944" s="768">
        <f ca="1">IF(K944&lt;&gt;0,+K944/'A-38'!I$79,0)</f>
        <v>0</v>
      </c>
    </row>
    <row r="945" spans="1:22" s="790" customFormat="1">
      <c r="A945" s="5"/>
      <c r="B945" s="249"/>
      <c r="C945" s="425" t="str">
        <v>Total Output Growth</v>
      </c>
      <c r="D945" s="426" t="str">
        <v>Services Other</v>
      </c>
      <c r="E945" s="847">
        <f ca="1"/>
        <v>0</v>
      </c>
      <c r="F945" s="386">
        <f ca="1"/>
        <v>0</v>
      </c>
      <c r="G945" s="383">
        <f ca="1"/>
        <v>0</v>
      </c>
      <c r="H945" s="383">
        <f ca="1"/>
        <v>0</v>
      </c>
      <c r="I945" s="383">
        <f ca="1"/>
        <v>0</v>
      </c>
      <c r="J945" s="383">
        <f ca="1"/>
        <v>0</v>
      </c>
      <c r="K945" s="383">
        <f ca="1"/>
        <v>0</v>
      </c>
      <c r="P945" s="386"/>
      <c r="Q945" s="768">
        <f ca="1">IF(F945&lt;&gt;0,+F945/'A-38'!D$80,0)</f>
        <v>0</v>
      </c>
      <c r="R945" s="768">
        <f ca="1">IF(G945&lt;&gt;0,+G945/'A-38'!E$80,0)</f>
        <v>0</v>
      </c>
      <c r="S945" s="768">
        <f ca="1">IF(H945&lt;&gt;0,+H945/'A-38'!F$80,0)</f>
        <v>0</v>
      </c>
      <c r="T945" s="768">
        <f ca="1">IF(I945&lt;&gt;0,+I945/'A-38'!G$80,0)</f>
        <v>0</v>
      </c>
      <c r="U945" s="768">
        <f ca="1">IF(J945&lt;&gt;0,+J945/'A-38'!H$80,0)</f>
        <v>0</v>
      </c>
      <c r="V945" s="768">
        <f ca="1">IF(K945&lt;&gt;0,+K945/'A-38'!I$80,0)</f>
        <v>0</v>
      </c>
    </row>
    <row r="946" spans="1:22" s="790" customFormat="1">
      <c r="A946" s="5"/>
      <c r="B946" s="249"/>
      <c r="C946" s="425" t="str">
        <v>Total Output Growth</v>
      </c>
      <c r="D946" s="426" t="str">
        <v>Business Overheads</v>
      </c>
      <c r="E946" s="847">
        <f ca="1"/>
        <v>0</v>
      </c>
      <c r="F946" s="386">
        <f ca="1"/>
        <v>0</v>
      </c>
      <c r="G946" s="383">
        <f ca="1"/>
        <v>0</v>
      </c>
      <c r="H946" s="383">
        <f ca="1"/>
        <v>0</v>
      </c>
      <c r="I946" s="383">
        <f ca="1"/>
        <v>0</v>
      </c>
      <c r="J946" s="383">
        <f ca="1"/>
        <v>0</v>
      </c>
      <c r="K946" s="383">
        <f ca="1"/>
        <v>0</v>
      </c>
      <c r="P946" s="386"/>
      <c r="Q946" s="768">
        <f ca="1">IF(F946&lt;&gt;0,+F946/'A-38'!D$81,0)</f>
        <v>0</v>
      </c>
      <c r="R946" s="768">
        <f ca="1">IF(G946&lt;&gt;0,+G946/'A-38'!E$81,0)</f>
        <v>0</v>
      </c>
      <c r="S946" s="768">
        <f ca="1">IF(H946&lt;&gt;0,+H946/'A-38'!F$81,0)</f>
        <v>0</v>
      </c>
      <c r="T946" s="768">
        <f ca="1">IF(I946&lt;&gt;0,+I946/'A-38'!G$81,0)</f>
        <v>0</v>
      </c>
      <c r="U946" s="768">
        <f ca="1">IF(J946&lt;&gt;0,+J946/'A-38'!H$81,0)</f>
        <v>0</v>
      </c>
      <c r="V946" s="768">
        <f ca="1">IF(K946&lt;&gt;0,+K946/'A-38'!I$81,0)</f>
        <v>0</v>
      </c>
    </row>
    <row r="947" spans="1:22" s="790" customFormat="1">
      <c r="A947" s="5"/>
      <c r="B947" s="249"/>
      <c r="C947" s="425" t="str">
        <v>Total Output Growth</v>
      </c>
      <c r="D947" s="426" t="str">
        <v>Other</v>
      </c>
      <c r="E947" s="847">
        <f ca="1"/>
        <v>0</v>
      </c>
      <c r="F947" s="386">
        <f ca="1"/>
        <v>0</v>
      </c>
      <c r="G947" s="383">
        <f ca="1"/>
        <v>0</v>
      </c>
      <c r="H947" s="383">
        <f ca="1"/>
        <v>0</v>
      </c>
      <c r="I947" s="383">
        <f ca="1"/>
        <v>0</v>
      </c>
      <c r="J947" s="383">
        <f ca="1"/>
        <v>0</v>
      </c>
      <c r="K947" s="383">
        <f ca="1"/>
        <v>0</v>
      </c>
      <c r="P947" s="386"/>
      <c r="Q947" s="768">
        <f ca="1">IF(F947&lt;&gt;0,+F947/'A-38'!D$82,0)</f>
        <v>0</v>
      </c>
      <c r="R947" s="768">
        <f ca="1">IF(G947&lt;&gt;0,+G947/'A-38'!E$82,0)</f>
        <v>0</v>
      </c>
      <c r="S947" s="768">
        <f ca="1">IF(H947&lt;&gt;0,+H947/'A-38'!F$82,0)</f>
        <v>0</v>
      </c>
      <c r="T947" s="768">
        <f ca="1">IF(I947&lt;&gt;0,+I947/'A-38'!G$82,0)</f>
        <v>0</v>
      </c>
      <c r="U947" s="768">
        <f ca="1">IF(J947&lt;&gt;0,+J947/'A-38'!H$82,0)</f>
        <v>0</v>
      </c>
      <c r="V947" s="768">
        <f ca="1">IF(K947&lt;&gt;0,+K947/'A-38'!I$82,0)</f>
        <v>0</v>
      </c>
    </row>
    <row r="948" spans="1:22">
      <c r="A948" s="5"/>
      <c r="B948" s="249"/>
      <c r="C948" s="424" t="s">
        <v>73</v>
      </c>
      <c r="D948" s="417"/>
      <c r="E948" s="848"/>
      <c r="F948" s="387"/>
      <c r="G948" s="385"/>
      <c r="H948" s="385"/>
      <c r="I948" s="385"/>
      <c r="J948" s="385"/>
      <c r="K948" s="385"/>
      <c r="P948" s="387"/>
      <c r="Q948" s="768"/>
      <c r="R948" s="768"/>
      <c r="S948" s="768"/>
      <c r="T948" s="768"/>
      <c r="U948" s="768"/>
      <c r="V948" s="768"/>
    </row>
    <row r="949" spans="1:22" s="767" customFormat="1">
      <c r="A949" s="5"/>
      <c r="B949" s="249"/>
      <c r="C949" s="425" t="str">
        <f t="array" ref="C949:D954">+'A-38'!$A$113:$B$119</f>
        <v>Labour</v>
      </c>
      <c r="D949" s="426" t="str">
        <v>Labour</v>
      </c>
      <c r="E949" s="847">
        <f t="array" ref="E949:K954" ca="1">+'A-38'!$N$113:$T$119</f>
        <v>0</v>
      </c>
      <c r="F949" s="386">
        <f ca="1"/>
        <v>0</v>
      </c>
      <c r="G949" s="383">
        <f ca="1"/>
        <v>-8.8195473581444458E-2</v>
      </c>
      <c r="H949" s="383">
        <f ca="1"/>
        <v>-0.18001775276243007</v>
      </c>
      <c r="I949" s="383">
        <f ca="1"/>
        <v>-0.2806729844067512</v>
      </c>
      <c r="J949" s="383">
        <f ca="1"/>
        <v>-0.38576133067058732</v>
      </c>
      <c r="K949" s="383">
        <f ca="1"/>
        <v>-0.49484049797681445</v>
      </c>
      <c r="P949" s="386"/>
      <c r="Q949" s="768">
        <f ca="1">IF(F949&lt;&gt;0,+F949/'A-38'!D$113,0)</f>
        <v>0</v>
      </c>
      <c r="R949" s="768">
        <f ca="1">IF(G949&lt;&gt;0,+G949/'A-38'!E$113,0)</f>
        <v>-4.1101507003297835</v>
      </c>
      <c r="S949" s="768">
        <f ca="1">IF(H949&lt;&gt;0,+H949/'A-38'!F$113,0)</f>
        <v>-4.1501335271677293</v>
      </c>
      <c r="T949" s="768">
        <f ca="1">IF(I949&lt;&gt;0,+I949/'A-38'!G$113,0)</f>
        <v>-4.1896561075185579</v>
      </c>
      <c r="U949" s="768">
        <f ca="1">IF(J949&lt;&gt;0,+J949/'A-38'!H$113,0)</f>
        <v>-4.2325349329228317</v>
      </c>
      <c r="V949" s="768">
        <f ca="1">IF(K949&lt;&gt;0,+K949/'A-38'!I$113,0)</f>
        <v>-4.2718122578996489</v>
      </c>
    </row>
    <row r="950" spans="1:22" s="767" customFormat="1">
      <c r="A950" s="5"/>
      <c r="B950" s="249"/>
      <c r="C950" s="425" t="str">
        <v>Materials</v>
      </c>
      <c r="D950" s="426" t="str">
        <v>Materials</v>
      </c>
      <c r="E950" s="847">
        <f ca="1"/>
        <v>0</v>
      </c>
      <c r="F950" s="386">
        <f ca="1"/>
        <v>0</v>
      </c>
      <c r="G950" s="383">
        <f ca="1"/>
        <v>0</v>
      </c>
      <c r="H950" s="383">
        <f ca="1"/>
        <v>0</v>
      </c>
      <c r="I950" s="383">
        <f ca="1"/>
        <v>0</v>
      </c>
      <c r="J950" s="383">
        <f ca="1"/>
        <v>0</v>
      </c>
      <c r="K950" s="383">
        <f ca="1"/>
        <v>0</v>
      </c>
      <c r="P950" s="386"/>
      <c r="Q950" s="768">
        <f ca="1">IF(F950&lt;&gt;0,+F950/'A-38'!D$114,0)</f>
        <v>0</v>
      </c>
      <c r="R950" s="768">
        <f ca="1">IF(G950&lt;&gt;0,+G950/'A-38'!E$114,0)</f>
        <v>0</v>
      </c>
      <c r="S950" s="768">
        <f ca="1">IF(H950&lt;&gt;0,+H950/'A-38'!F$114,0)</f>
        <v>0</v>
      </c>
      <c r="T950" s="768">
        <f ca="1">IF(I950&lt;&gt;0,+I950/'A-38'!G$114,0)</f>
        <v>0</v>
      </c>
      <c r="U950" s="768">
        <f ca="1">IF(J950&lt;&gt;0,+J950/'A-38'!H$114,0)</f>
        <v>0</v>
      </c>
      <c r="V950" s="768">
        <f ca="1">IF(K950&lt;&gt;0,+K950/'A-38'!I$114,0)</f>
        <v>0</v>
      </c>
    </row>
    <row r="951" spans="1:22" s="767" customFormat="1">
      <c r="A951" s="5"/>
      <c r="B951" s="249"/>
      <c r="C951" s="425" t="str">
        <v>Services-construction</v>
      </c>
      <c r="D951" s="426" t="str">
        <v>Contracts</v>
      </c>
      <c r="E951" s="847">
        <f ca="1"/>
        <v>0</v>
      </c>
      <c r="F951" s="386">
        <f ca="1"/>
        <v>0</v>
      </c>
      <c r="G951" s="383">
        <f ca="1"/>
        <v>0</v>
      </c>
      <c r="H951" s="383">
        <f ca="1"/>
        <v>0</v>
      </c>
      <c r="I951" s="383">
        <f ca="1"/>
        <v>0</v>
      </c>
      <c r="J951" s="383">
        <f ca="1"/>
        <v>0</v>
      </c>
      <c r="K951" s="383">
        <f ca="1"/>
        <v>0</v>
      </c>
      <c r="P951" s="386"/>
      <c r="Q951" s="768">
        <f ca="1">IF(F951&lt;&gt;0,+F951/'A-38'!D$115,0)</f>
        <v>0</v>
      </c>
      <c r="R951" s="768">
        <f ca="1">IF(G951&lt;&gt;0,+G951/'A-38'!E$115,0)</f>
        <v>0</v>
      </c>
      <c r="S951" s="768">
        <f ca="1">IF(H951&lt;&gt;0,+H951/'A-38'!F$115,0)</f>
        <v>0</v>
      </c>
      <c r="T951" s="768">
        <f ca="1">IF(I951&lt;&gt;0,+I951/'A-38'!G$115,0)</f>
        <v>0</v>
      </c>
      <c r="U951" s="768">
        <f ca="1">IF(J951&lt;&gt;0,+J951/'A-38'!H$115,0)</f>
        <v>0</v>
      </c>
      <c r="V951" s="768">
        <f ca="1">IF(K951&lt;&gt;0,+K951/'A-38'!I$115,0)</f>
        <v>0</v>
      </c>
    </row>
    <row r="952" spans="1:22" s="767" customFormat="1">
      <c r="A952" s="5"/>
      <c r="B952" s="249"/>
      <c r="C952" s="425" t="str">
        <v>Services-general</v>
      </c>
      <c r="D952" s="426" t="str">
        <v>Services Other</v>
      </c>
      <c r="E952" s="847">
        <f ca="1"/>
        <v>0</v>
      </c>
      <c r="F952" s="386">
        <f ca="1"/>
        <v>0</v>
      </c>
      <c r="G952" s="383">
        <f ca="1"/>
        <v>0</v>
      </c>
      <c r="H952" s="383">
        <f ca="1"/>
        <v>0</v>
      </c>
      <c r="I952" s="383">
        <f ca="1"/>
        <v>0</v>
      </c>
      <c r="J952" s="383">
        <f ca="1"/>
        <v>0</v>
      </c>
      <c r="K952" s="383">
        <f ca="1"/>
        <v>0</v>
      </c>
      <c r="P952" s="386"/>
      <c r="Q952" s="768">
        <f ca="1">IF(F952&lt;&gt;0,+F952/'A-38'!D$116,0)</f>
        <v>0</v>
      </c>
      <c r="R952" s="768">
        <f ca="1">IF(G952&lt;&gt;0,+G952/'A-38'!E$116,0)</f>
        <v>0</v>
      </c>
      <c r="S952" s="768">
        <f ca="1">IF(H952&lt;&gt;0,+H952/'A-38'!F$116,0)</f>
        <v>0</v>
      </c>
      <c r="T952" s="768">
        <f ca="1">IF(I952&lt;&gt;0,+I952/'A-38'!G$116,0)</f>
        <v>0</v>
      </c>
      <c r="U952" s="768">
        <f ca="1">IF(J952&lt;&gt;0,+J952/'A-38'!H$116,0)</f>
        <v>0</v>
      </c>
      <c r="V952" s="768">
        <f ca="1">IF(K952&lt;&gt;0,+K952/'A-38'!I$116,0)</f>
        <v>0</v>
      </c>
    </row>
    <row r="953" spans="1:22" s="767" customFormat="1">
      <c r="A953" s="5"/>
      <c r="B953" s="249"/>
      <c r="C953" s="425" t="str">
        <v>Labour</v>
      </c>
      <c r="D953" s="426" t="str">
        <v>Business Overheads</v>
      </c>
      <c r="E953" s="847">
        <f ca="1"/>
        <v>0</v>
      </c>
      <c r="F953" s="386">
        <f ca="1"/>
        <v>0</v>
      </c>
      <c r="G953" s="383">
        <f ca="1"/>
        <v>0</v>
      </c>
      <c r="H953" s="383">
        <f ca="1"/>
        <v>0</v>
      </c>
      <c r="I953" s="383">
        <f ca="1"/>
        <v>0</v>
      </c>
      <c r="J953" s="383">
        <f ca="1"/>
        <v>0</v>
      </c>
      <c r="K953" s="383">
        <f ca="1"/>
        <v>0</v>
      </c>
      <c r="P953" s="386"/>
      <c r="Q953" s="768">
        <f ca="1">IF(F953&lt;&gt;0,+F953/'A-38'!D$117,0)</f>
        <v>0</v>
      </c>
      <c r="R953" s="768">
        <f ca="1">IF(G953&lt;&gt;0,+G953/'A-38'!E$117,0)</f>
        <v>0</v>
      </c>
      <c r="S953" s="768">
        <f ca="1">IF(H953&lt;&gt;0,+H953/'A-38'!F$117,0)</f>
        <v>0</v>
      </c>
      <c r="T953" s="768">
        <f ca="1">IF(I953&lt;&gt;0,+I953/'A-38'!G$117,0)</f>
        <v>0</v>
      </c>
      <c r="U953" s="768">
        <f ca="1">IF(J953&lt;&gt;0,+J953/'A-38'!H$117,0)</f>
        <v>0</v>
      </c>
      <c r="V953" s="768">
        <f ca="1">IF(K953&lt;&gt;0,+K953/'A-38'!I$117,0)</f>
        <v>0</v>
      </c>
    </row>
    <row r="954" spans="1:22" s="767" customFormat="1">
      <c r="A954" s="5"/>
      <c r="B954" s="249"/>
      <c r="C954" s="425" t="str">
        <v>Materials - Land</v>
      </c>
      <c r="D954" s="426" t="str">
        <v>Other</v>
      </c>
      <c r="E954" s="847">
        <f ca="1"/>
        <v>0</v>
      </c>
      <c r="F954" s="386">
        <f ca="1"/>
        <v>0</v>
      </c>
      <c r="G954" s="383">
        <f ca="1"/>
        <v>0</v>
      </c>
      <c r="H954" s="383">
        <f ca="1"/>
        <v>0</v>
      </c>
      <c r="I954" s="383">
        <f ca="1"/>
        <v>0</v>
      </c>
      <c r="J954" s="383">
        <f ca="1"/>
        <v>0</v>
      </c>
      <c r="K954" s="383">
        <f ca="1"/>
        <v>0</v>
      </c>
      <c r="P954" s="386"/>
      <c r="Q954" s="768">
        <f ca="1">IF(F954&lt;&gt;0,+F954/'A-38'!D$118,0)</f>
        <v>0</v>
      </c>
      <c r="R954" s="768">
        <f ca="1">IF(G954&lt;&gt;0,+G954/'A-38'!E$118,0)</f>
        <v>0</v>
      </c>
      <c r="S954" s="768">
        <f ca="1">IF(H954&lt;&gt;0,+H954/'A-38'!F$118,0)</f>
        <v>0</v>
      </c>
      <c r="T954" s="768">
        <f ca="1">IF(I954&lt;&gt;0,+I954/'A-38'!G$118,0)</f>
        <v>0</v>
      </c>
      <c r="U954" s="768">
        <f ca="1">IF(J954&lt;&gt;0,+J954/'A-38'!H$118,0)</f>
        <v>0</v>
      </c>
      <c r="V954" s="768">
        <f ca="1">IF(K954&lt;&gt;0,+K954/'A-38'!I$118,0)</f>
        <v>0</v>
      </c>
    </row>
    <row r="955" spans="1:22">
      <c r="A955" s="5"/>
      <c r="B955" s="249" t="str">
        <f ca="1">+'I-4 History'!B571</f>
        <v>A-39</v>
      </c>
      <c r="C955" s="14" t="str">
        <f ca="1">+'I-4 History'!C571</f>
        <v>Self Insurance</v>
      </c>
      <c r="D955" s="418"/>
      <c r="E955" s="507"/>
      <c r="F955" s="11"/>
      <c r="G955" s="11"/>
      <c r="H955" s="11"/>
      <c r="I955" s="11"/>
      <c r="J955" s="11"/>
      <c r="K955" s="11"/>
      <c r="P955" s="11"/>
      <c r="Q955" s="11"/>
      <c r="R955" s="11"/>
      <c r="S955" s="11"/>
      <c r="T955" s="11"/>
      <c r="U955" s="11"/>
      <c r="V955" s="11"/>
    </row>
    <row r="956" spans="1:22">
      <c r="A956" s="5"/>
      <c r="B956" s="249"/>
      <c r="C956" s="424" t="s">
        <v>74</v>
      </c>
      <c r="D956" s="416"/>
      <c r="E956" s="507"/>
      <c r="F956" s="11"/>
      <c r="G956" s="11"/>
      <c r="H956" s="11"/>
      <c r="I956" s="11"/>
      <c r="J956" s="11"/>
      <c r="K956" s="11"/>
      <c r="P956" s="11"/>
      <c r="Q956" s="11"/>
      <c r="R956" s="11"/>
      <c r="S956" s="11"/>
      <c r="T956" s="11"/>
      <c r="U956" s="11"/>
      <c r="V956" s="11"/>
    </row>
    <row r="957" spans="1:22">
      <c r="A957" s="5"/>
      <c r="B957" s="249"/>
      <c r="C957" s="425" t="str">
        <f t="array" ref="C957:D962">+'A-39'!$A$77:$B$82</f>
        <v>Total Output Growth</v>
      </c>
      <c r="D957" s="426" t="str">
        <v>Labour</v>
      </c>
      <c r="E957" s="847">
        <f t="array" ref="E957:K962" ca="1">+'A-39'!$N$77:$T$82</f>
        <v>0</v>
      </c>
      <c r="F957" s="386">
        <f ca="1"/>
        <v>0</v>
      </c>
      <c r="G957" s="383">
        <f ca="1"/>
        <v>0</v>
      </c>
      <c r="H957" s="383">
        <f ca="1"/>
        <v>0</v>
      </c>
      <c r="I957" s="383">
        <f ca="1"/>
        <v>0</v>
      </c>
      <c r="J957" s="383">
        <f ca="1"/>
        <v>0</v>
      </c>
      <c r="K957" s="383">
        <f ca="1"/>
        <v>0</v>
      </c>
      <c r="L957" s="790"/>
      <c r="M957" s="790"/>
      <c r="N957" s="790"/>
      <c r="O957" s="790"/>
      <c r="P957" s="386"/>
      <c r="Q957" s="768">
        <f ca="1">IF(F957&lt;&gt;0,+F957/'A-39'!D$77,0)</f>
        <v>0</v>
      </c>
      <c r="R957" s="768">
        <f ca="1">IF(G957&lt;&gt;0,+G957/'A-39'!E$77,0)</f>
        <v>0</v>
      </c>
      <c r="S957" s="768">
        <f ca="1">IF(H957&lt;&gt;0,+H957/'A-39'!F$77,0)</f>
        <v>0</v>
      </c>
      <c r="T957" s="768">
        <f ca="1">IF(I957&lt;&gt;0,+I957/'A-39'!G$77,0)</f>
        <v>0</v>
      </c>
      <c r="U957" s="768">
        <f ca="1">IF(J957&lt;&gt;0,+J957/'A-39'!H$77,0)</f>
        <v>0</v>
      </c>
      <c r="V957" s="768">
        <f ca="1">IF(K957&lt;&gt;0,+K957/'A-39'!I$77,0)</f>
        <v>0</v>
      </c>
    </row>
    <row r="958" spans="1:22">
      <c r="A958" s="5"/>
      <c r="B958" s="249"/>
      <c r="C958" s="425" t="str">
        <v>Total Output Growth</v>
      </c>
      <c r="D958" s="426" t="str">
        <v>Materials</v>
      </c>
      <c r="E958" s="847">
        <f ca="1"/>
        <v>0</v>
      </c>
      <c r="F958" s="386">
        <f ca="1"/>
        <v>0</v>
      </c>
      <c r="G958" s="383">
        <f ca="1"/>
        <v>0</v>
      </c>
      <c r="H958" s="383">
        <f ca="1"/>
        <v>0</v>
      </c>
      <c r="I958" s="383">
        <f ca="1"/>
        <v>0</v>
      </c>
      <c r="J958" s="383">
        <f ca="1"/>
        <v>0</v>
      </c>
      <c r="K958" s="383">
        <f ca="1"/>
        <v>0</v>
      </c>
      <c r="L958" s="790"/>
      <c r="M958" s="790"/>
      <c r="N958" s="790"/>
      <c r="O958" s="790"/>
      <c r="P958" s="386"/>
      <c r="Q958" s="768">
        <f ca="1">IF(F958&lt;&gt;0,+F958/'A-39'!D$78,0)</f>
        <v>0</v>
      </c>
      <c r="R958" s="768">
        <f ca="1">IF(G958&lt;&gt;0,+G958/'A-39'!E$78,0)</f>
        <v>0</v>
      </c>
      <c r="S958" s="768">
        <f ca="1">IF(H958&lt;&gt;0,+H958/'A-39'!F$78,0)</f>
        <v>0</v>
      </c>
      <c r="T958" s="768">
        <f ca="1">IF(I958&lt;&gt;0,+I958/'A-39'!G$78,0)</f>
        <v>0</v>
      </c>
      <c r="U958" s="768">
        <f ca="1">IF(J958&lt;&gt;0,+J958/'A-39'!H$78,0)</f>
        <v>0</v>
      </c>
      <c r="V958" s="768">
        <f ca="1">IF(K958&lt;&gt;0,+K958/'A-39'!I$78,0)</f>
        <v>0</v>
      </c>
    </row>
    <row r="959" spans="1:22">
      <c r="A959" s="5"/>
      <c r="B959" s="249"/>
      <c r="C959" s="425" t="str">
        <v>Total Output Growth</v>
      </c>
      <c r="D959" s="426" t="str">
        <v>Contracts</v>
      </c>
      <c r="E959" s="847">
        <f ca="1"/>
        <v>0</v>
      </c>
      <c r="F959" s="386">
        <f ca="1"/>
        <v>0</v>
      </c>
      <c r="G959" s="383">
        <f ca="1"/>
        <v>0</v>
      </c>
      <c r="H959" s="383">
        <f ca="1"/>
        <v>0</v>
      </c>
      <c r="I959" s="383">
        <f ca="1"/>
        <v>0</v>
      </c>
      <c r="J959" s="383">
        <f ca="1"/>
        <v>0</v>
      </c>
      <c r="K959" s="383">
        <f ca="1"/>
        <v>0</v>
      </c>
      <c r="L959" s="790"/>
      <c r="M959" s="790"/>
      <c r="N959" s="790"/>
      <c r="O959" s="790"/>
      <c r="P959" s="386"/>
      <c r="Q959" s="768">
        <f ca="1">IF(F959&lt;&gt;0,+F959/'A-39'!D$79,0)</f>
        <v>0</v>
      </c>
      <c r="R959" s="768">
        <f ca="1">IF(G959&lt;&gt;0,+G959/'A-39'!E$79,0)</f>
        <v>0</v>
      </c>
      <c r="S959" s="768">
        <f ca="1">IF(H959&lt;&gt;0,+H959/'A-39'!F$79,0)</f>
        <v>0</v>
      </c>
      <c r="T959" s="768">
        <f ca="1">IF(I959&lt;&gt;0,+I959/'A-39'!G$79,0)</f>
        <v>0</v>
      </c>
      <c r="U959" s="768">
        <f ca="1">IF(J959&lt;&gt;0,+J959/'A-39'!H$79,0)</f>
        <v>0</v>
      </c>
      <c r="V959" s="768">
        <f ca="1">IF(K959&lt;&gt;0,+K959/'A-39'!I$79,0)</f>
        <v>0</v>
      </c>
    </row>
    <row r="960" spans="1:22" s="790" customFormat="1">
      <c r="A960" s="5"/>
      <c r="B960" s="249"/>
      <c r="C960" s="425" t="str">
        <v>Total Output Growth</v>
      </c>
      <c r="D960" s="426" t="str">
        <v>Services Other</v>
      </c>
      <c r="E960" s="847">
        <f ca="1"/>
        <v>0</v>
      </c>
      <c r="F960" s="386">
        <f ca="1"/>
        <v>0</v>
      </c>
      <c r="G960" s="383">
        <f ca="1"/>
        <v>0</v>
      </c>
      <c r="H960" s="383">
        <f ca="1"/>
        <v>0</v>
      </c>
      <c r="I960" s="383">
        <f ca="1"/>
        <v>0</v>
      </c>
      <c r="J960" s="383">
        <f ca="1"/>
        <v>0</v>
      </c>
      <c r="K960" s="383">
        <f ca="1"/>
        <v>0</v>
      </c>
      <c r="P960" s="386"/>
      <c r="Q960" s="768">
        <f ca="1">IF(F960&lt;&gt;0,+F960/'A-39'!D$80,0)</f>
        <v>0</v>
      </c>
      <c r="R960" s="768">
        <f ca="1">IF(G960&lt;&gt;0,+G960/'A-39'!E$80,0)</f>
        <v>0</v>
      </c>
      <c r="S960" s="768">
        <f ca="1">IF(H960&lt;&gt;0,+H960/'A-39'!F$80,0)</f>
        <v>0</v>
      </c>
      <c r="T960" s="768">
        <f ca="1">IF(I960&lt;&gt;0,+I960/'A-39'!G$80,0)</f>
        <v>0</v>
      </c>
      <c r="U960" s="768">
        <f ca="1">IF(J960&lt;&gt;0,+J960/'A-39'!H$80,0)</f>
        <v>0</v>
      </c>
      <c r="V960" s="768">
        <f ca="1">IF(K960&lt;&gt;0,+K960/'A-39'!I$80,0)</f>
        <v>0</v>
      </c>
    </row>
    <row r="961" spans="1:22" s="790" customFormat="1">
      <c r="A961" s="5"/>
      <c r="B961" s="249"/>
      <c r="C961" s="425" t="str">
        <v>Total Output Growth</v>
      </c>
      <c r="D961" s="426" t="str">
        <v>Business Overheads</v>
      </c>
      <c r="E961" s="847">
        <f ca="1"/>
        <v>0</v>
      </c>
      <c r="F961" s="386">
        <f ca="1"/>
        <v>0</v>
      </c>
      <c r="G961" s="383">
        <f ca="1"/>
        <v>0</v>
      </c>
      <c r="H961" s="383">
        <f ca="1"/>
        <v>0</v>
      </c>
      <c r="I961" s="383">
        <f ca="1"/>
        <v>0</v>
      </c>
      <c r="J961" s="383">
        <f ca="1"/>
        <v>0</v>
      </c>
      <c r="K961" s="383">
        <f ca="1"/>
        <v>0</v>
      </c>
      <c r="P961" s="386"/>
      <c r="Q961" s="768">
        <f ca="1">IF(F961&lt;&gt;0,+F961/'A-39'!D$81,0)</f>
        <v>0</v>
      </c>
      <c r="R961" s="768">
        <f ca="1">IF(G961&lt;&gt;0,+G961/'A-39'!E$81,0)</f>
        <v>0</v>
      </c>
      <c r="S961" s="768">
        <f ca="1">IF(H961&lt;&gt;0,+H961/'A-39'!F$81,0)</f>
        <v>0</v>
      </c>
      <c r="T961" s="768">
        <f ca="1">IF(I961&lt;&gt;0,+I961/'A-39'!G$81,0)</f>
        <v>0</v>
      </c>
      <c r="U961" s="768">
        <f ca="1">IF(J961&lt;&gt;0,+J961/'A-39'!H$81,0)</f>
        <v>0</v>
      </c>
      <c r="V961" s="768">
        <f ca="1">IF(K961&lt;&gt;0,+K961/'A-39'!I$81,0)</f>
        <v>0</v>
      </c>
    </row>
    <row r="962" spans="1:22" s="790" customFormat="1">
      <c r="A962" s="5"/>
      <c r="B962" s="249"/>
      <c r="C962" s="425" t="str">
        <v>Total Output Growth</v>
      </c>
      <c r="D962" s="426" t="str">
        <v>Other</v>
      </c>
      <c r="E962" s="847">
        <f ca="1"/>
        <v>0</v>
      </c>
      <c r="F962" s="386">
        <f ca="1"/>
        <v>0</v>
      </c>
      <c r="G962" s="383">
        <f ca="1"/>
        <v>2.1336626103563835E-2</v>
      </c>
      <c r="H962" s="383">
        <f ca="1"/>
        <v>4.1106841193583238E-2</v>
      </c>
      <c r="I962" s="383">
        <f ca="1"/>
        <v>6.0649479277064079E-2</v>
      </c>
      <c r="J962" s="383">
        <f ca="1"/>
        <v>8.1851672020608363E-2</v>
      </c>
      <c r="K962" s="383">
        <f ca="1"/>
        <v>0.10127303925158439</v>
      </c>
      <c r="P962" s="386"/>
      <c r="Q962" s="768">
        <f ca="1">IF(F962&lt;&gt;0,+F962/'A-39'!D$82,0)</f>
        <v>0</v>
      </c>
      <c r="R962" s="768">
        <f ca="1">IF(G962&lt;&gt;0,+G962/'A-39'!E$82,0)</f>
        <v>2.0110000000000006</v>
      </c>
      <c r="S962" s="768">
        <f ca="1">IF(H962&lt;&gt;0,+H962/'A-39'!F$82,0)</f>
        <v>2.0110000000000006</v>
      </c>
      <c r="T962" s="768">
        <f ca="1">IF(I962&lt;&gt;0,+I962/'A-39'!G$82,0)</f>
        <v>2.0110000000000006</v>
      </c>
      <c r="U962" s="768">
        <f ca="1">IF(J962&lt;&gt;0,+J962/'A-39'!H$82,0)</f>
        <v>2.0110000000000006</v>
      </c>
      <c r="V962" s="768">
        <f ca="1">IF(K962&lt;&gt;0,+K962/'A-39'!I$82,0)</f>
        <v>2.0110000000000006</v>
      </c>
    </row>
    <row r="963" spans="1:22">
      <c r="A963" s="5"/>
      <c r="B963" s="249"/>
      <c r="C963" s="424" t="s">
        <v>73</v>
      </c>
      <c r="D963" s="417"/>
      <c r="E963" s="848"/>
      <c r="F963" s="387"/>
      <c r="G963" s="385"/>
      <c r="H963" s="385"/>
      <c r="I963" s="385"/>
      <c r="J963" s="385"/>
      <c r="K963" s="385"/>
      <c r="P963" s="387"/>
      <c r="Q963" s="385"/>
      <c r="R963" s="385"/>
      <c r="S963" s="385"/>
      <c r="T963" s="385"/>
      <c r="U963" s="385"/>
      <c r="V963" s="385"/>
    </row>
    <row r="964" spans="1:22" s="767" customFormat="1">
      <c r="A964" s="5"/>
      <c r="B964" s="249"/>
      <c r="C964" s="425" t="str">
        <f t="array" ref="C964:D969">+'A-39'!$A$113:$B$119</f>
        <v>Labour</v>
      </c>
      <c r="D964" s="426" t="str">
        <v>Labour</v>
      </c>
      <c r="E964" s="847">
        <f t="array" ref="E964:K969" ca="1">+'A-39'!$N$113:$T$119</f>
        <v>0</v>
      </c>
      <c r="F964" s="386">
        <f ca="1"/>
        <v>0</v>
      </c>
      <c r="G964" s="383">
        <f ca="1"/>
        <v>0</v>
      </c>
      <c r="H964" s="383">
        <f ca="1"/>
        <v>0</v>
      </c>
      <c r="I964" s="383">
        <f ca="1"/>
        <v>0</v>
      </c>
      <c r="J964" s="383">
        <f ca="1"/>
        <v>0</v>
      </c>
      <c r="K964" s="383">
        <f ca="1"/>
        <v>0</v>
      </c>
      <c r="P964" s="386"/>
      <c r="Q964" s="768">
        <f ca="1">IF(F964&lt;&gt;0,+F964/'A-39'!D$113,0)</f>
        <v>0</v>
      </c>
      <c r="R964" s="768">
        <f ca="1">IF(G964&lt;&gt;0,+G964/'A-39'!E$113,0)</f>
        <v>0</v>
      </c>
      <c r="S964" s="768">
        <f ca="1">IF(H964&lt;&gt;0,+H964/'A-39'!F$113,0)</f>
        <v>0</v>
      </c>
      <c r="T964" s="768">
        <f ca="1">IF(I964&lt;&gt;0,+I964/'A-39'!G$113,0)</f>
        <v>0</v>
      </c>
      <c r="U964" s="768">
        <f ca="1">IF(J964&lt;&gt;0,+J964/'A-39'!H$113,0)</f>
        <v>0</v>
      </c>
      <c r="V964" s="768">
        <f ca="1">IF(K964&lt;&gt;0,+K964/'A-39'!I$113,0)</f>
        <v>0</v>
      </c>
    </row>
    <row r="965" spans="1:22" s="767" customFormat="1">
      <c r="A965" s="5"/>
      <c r="B965" s="249"/>
      <c r="C965" s="425" t="str">
        <v>Materials</v>
      </c>
      <c r="D965" s="426" t="str">
        <v>Materials</v>
      </c>
      <c r="E965" s="847">
        <f ca="1"/>
        <v>0</v>
      </c>
      <c r="F965" s="386">
        <f ca="1"/>
        <v>0</v>
      </c>
      <c r="G965" s="383">
        <f ca="1"/>
        <v>0</v>
      </c>
      <c r="H965" s="383">
        <f ca="1"/>
        <v>0</v>
      </c>
      <c r="I965" s="383">
        <f ca="1"/>
        <v>0</v>
      </c>
      <c r="J965" s="383">
        <f ca="1"/>
        <v>0</v>
      </c>
      <c r="K965" s="383">
        <f ca="1"/>
        <v>0</v>
      </c>
      <c r="P965" s="386"/>
      <c r="Q965" s="768">
        <f ca="1">IF(F965&lt;&gt;0,+F965/'A-39'!D$114,0)</f>
        <v>0</v>
      </c>
      <c r="R965" s="768">
        <f ca="1">IF(G965&lt;&gt;0,+G965/'A-39'!E$114,0)</f>
        <v>0</v>
      </c>
      <c r="S965" s="768">
        <f ca="1">IF(H965&lt;&gt;0,+H965/'A-39'!F$114,0)</f>
        <v>0</v>
      </c>
      <c r="T965" s="768">
        <f ca="1">IF(I965&lt;&gt;0,+I965/'A-39'!G$114,0)</f>
        <v>0</v>
      </c>
      <c r="U965" s="768">
        <f ca="1">IF(J965&lt;&gt;0,+J965/'A-39'!H$114,0)</f>
        <v>0</v>
      </c>
      <c r="V965" s="768">
        <f ca="1">IF(K965&lt;&gt;0,+K965/'A-39'!I$114,0)</f>
        <v>0</v>
      </c>
    </row>
    <row r="966" spans="1:22" s="767" customFormat="1">
      <c r="A966" s="5"/>
      <c r="B966" s="249"/>
      <c r="C966" s="425" t="str">
        <v>Services-construction</v>
      </c>
      <c r="D966" s="426" t="str">
        <v>Contracts</v>
      </c>
      <c r="E966" s="847">
        <f ca="1"/>
        <v>0</v>
      </c>
      <c r="F966" s="386">
        <f ca="1"/>
        <v>0</v>
      </c>
      <c r="G966" s="383">
        <f ca="1"/>
        <v>0</v>
      </c>
      <c r="H966" s="383">
        <f ca="1"/>
        <v>0</v>
      </c>
      <c r="I966" s="383">
        <f ca="1"/>
        <v>0</v>
      </c>
      <c r="J966" s="383">
        <f ca="1"/>
        <v>0</v>
      </c>
      <c r="K966" s="383">
        <f ca="1"/>
        <v>0</v>
      </c>
      <c r="P966" s="386"/>
      <c r="Q966" s="768">
        <f ca="1">IF(F966&lt;&gt;0,+F966/'A-39'!D$115,0)</f>
        <v>0</v>
      </c>
      <c r="R966" s="768">
        <f ca="1">IF(G966&lt;&gt;0,+G966/'A-39'!E$115,0)</f>
        <v>0</v>
      </c>
      <c r="S966" s="768">
        <f ca="1">IF(H966&lt;&gt;0,+H966/'A-39'!F$115,0)</f>
        <v>0</v>
      </c>
      <c r="T966" s="768">
        <f ca="1">IF(I966&lt;&gt;0,+I966/'A-39'!G$115,0)</f>
        <v>0</v>
      </c>
      <c r="U966" s="768">
        <f ca="1">IF(J966&lt;&gt;0,+J966/'A-39'!H$115,0)</f>
        <v>0</v>
      </c>
      <c r="V966" s="768">
        <f ca="1">IF(K966&lt;&gt;0,+K966/'A-39'!I$115,0)</f>
        <v>0</v>
      </c>
    </row>
    <row r="967" spans="1:22" s="767" customFormat="1">
      <c r="A967" s="5"/>
      <c r="B967" s="249"/>
      <c r="C967" s="425" t="str">
        <v>Services-general</v>
      </c>
      <c r="D967" s="426" t="str">
        <v>Services Other</v>
      </c>
      <c r="E967" s="847">
        <f ca="1"/>
        <v>0</v>
      </c>
      <c r="F967" s="386">
        <f ca="1"/>
        <v>0</v>
      </c>
      <c r="G967" s="383">
        <f ca="1"/>
        <v>0</v>
      </c>
      <c r="H967" s="383">
        <f ca="1"/>
        <v>0</v>
      </c>
      <c r="I967" s="383">
        <f ca="1"/>
        <v>0</v>
      </c>
      <c r="J967" s="383">
        <f ca="1"/>
        <v>0</v>
      </c>
      <c r="K967" s="383">
        <f ca="1"/>
        <v>0</v>
      </c>
      <c r="P967" s="386"/>
      <c r="Q967" s="768">
        <f ca="1">IF(F967&lt;&gt;0,+F967/'A-39'!D$116,0)</f>
        <v>0</v>
      </c>
      <c r="R967" s="768">
        <f ca="1">IF(G967&lt;&gt;0,+G967/'A-39'!E$116,0)</f>
        <v>0</v>
      </c>
      <c r="S967" s="768">
        <f ca="1">IF(H967&lt;&gt;0,+H967/'A-39'!F$116,0)</f>
        <v>0</v>
      </c>
      <c r="T967" s="768">
        <f ca="1">IF(I967&lt;&gt;0,+I967/'A-39'!G$116,0)</f>
        <v>0</v>
      </c>
      <c r="U967" s="768">
        <f ca="1">IF(J967&lt;&gt;0,+J967/'A-39'!H$116,0)</f>
        <v>0</v>
      </c>
      <c r="V967" s="768">
        <f ca="1">IF(K967&lt;&gt;0,+K967/'A-39'!I$116,0)</f>
        <v>0</v>
      </c>
    </row>
    <row r="968" spans="1:22" s="767" customFormat="1">
      <c r="A968" s="5"/>
      <c r="B968" s="249"/>
      <c r="C968" s="425" t="str">
        <v>Labour</v>
      </c>
      <c r="D968" s="426" t="str">
        <v>Business Overheads</v>
      </c>
      <c r="E968" s="847">
        <f ca="1"/>
        <v>0</v>
      </c>
      <c r="F968" s="386">
        <f ca="1"/>
        <v>0</v>
      </c>
      <c r="G968" s="383">
        <f ca="1"/>
        <v>0</v>
      </c>
      <c r="H968" s="383">
        <f ca="1"/>
        <v>0</v>
      </c>
      <c r="I968" s="383">
        <f ca="1"/>
        <v>0</v>
      </c>
      <c r="J968" s="383">
        <f ca="1"/>
        <v>0</v>
      </c>
      <c r="K968" s="383">
        <f ca="1"/>
        <v>0</v>
      </c>
      <c r="P968" s="386"/>
      <c r="Q968" s="768">
        <f ca="1">IF(F968&lt;&gt;0,+F968/'A-39'!D$117,0)</f>
        <v>0</v>
      </c>
      <c r="R968" s="768">
        <f ca="1">IF(G968&lt;&gt;0,+G968/'A-39'!E$117,0)</f>
        <v>0</v>
      </c>
      <c r="S968" s="768">
        <f ca="1">IF(H968&lt;&gt;0,+H968/'A-39'!F$117,0)</f>
        <v>0</v>
      </c>
      <c r="T968" s="768">
        <f ca="1">IF(I968&lt;&gt;0,+I968/'A-39'!G$117,0)</f>
        <v>0</v>
      </c>
      <c r="U968" s="768">
        <f ca="1">IF(J968&lt;&gt;0,+J968/'A-39'!H$117,0)</f>
        <v>0</v>
      </c>
      <c r="V968" s="768">
        <f ca="1">IF(K968&lt;&gt;0,+K968/'A-39'!I$117,0)</f>
        <v>0</v>
      </c>
    </row>
    <row r="969" spans="1:22" s="767" customFormat="1">
      <c r="A969" s="5"/>
      <c r="B969" s="249"/>
      <c r="C969" s="425" t="str">
        <v>Materials - Land</v>
      </c>
      <c r="D969" s="426" t="str">
        <v>Other</v>
      </c>
      <c r="E969" s="847">
        <f ca="1"/>
        <v>0</v>
      </c>
      <c r="F969" s="386">
        <f ca="1"/>
        <v>0</v>
      </c>
      <c r="G969" s="383">
        <f ca="1"/>
        <v>0</v>
      </c>
      <c r="H969" s="383">
        <f ca="1"/>
        <v>0</v>
      </c>
      <c r="I969" s="383">
        <f ca="1"/>
        <v>0</v>
      </c>
      <c r="J969" s="383">
        <f ca="1"/>
        <v>0</v>
      </c>
      <c r="K969" s="383">
        <f ca="1"/>
        <v>0</v>
      </c>
      <c r="P969" s="386"/>
      <c r="Q969" s="768">
        <f ca="1">IF(F969&lt;&gt;0,+F969/'A-39'!D$118,0)</f>
        <v>0</v>
      </c>
      <c r="R969" s="768">
        <f ca="1">IF(G969&lt;&gt;0,+G969/'A-39'!E$118,0)</f>
        <v>0</v>
      </c>
      <c r="S969" s="768">
        <f ca="1">IF(H969&lt;&gt;0,+H969/'A-39'!F$118,0)</f>
        <v>0</v>
      </c>
      <c r="T969" s="768">
        <f ca="1">IF(I969&lt;&gt;0,+I969/'A-39'!G$118,0)</f>
        <v>0</v>
      </c>
      <c r="U969" s="768">
        <f ca="1">IF(J969&lt;&gt;0,+J969/'A-39'!H$118,0)</f>
        <v>0</v>
      </c>
      <c r="V969" s="768">
        <f ca="1">IF(K969&lt;&gt;0,+K969/'A-39'!I$118,0)</f>
        <v>0</v>
      </c>
    </row>
    <row r="970" spans="1:22">
      <c r="A970" s="5"/>
      <c r="B970" s="249" t="str">
        <f ca="1">+'I-4 History'!B580</f>
        <v>A-40</v>
      </c>
      <c r="C970" s="14" t="str">
        <f ca="1">+'I-4 History'!C580</f>
        <v>Debt Raising Costs</v>
      </c>
      <c r="D970" s="418"/>
      <c r="E970" s="507"/>
      <c r="F970" s="11"/>
      <c r="G970" s="11"/>
      <c r="H970" s="11"/>
      <c r="I970" s="11"/>
      <c r="J970" s="11"/>
      <c r="K970" s="11"/>
      <c r="P970" s="11"/>
      <c r="Q970" s="11"/>
      <c r="R970" s="11"/>
      <c r="S970" s="11"/>
      <c r="T970" s="11"/>
      <c r="U970" s="11"/>
      <c r="V970" s="11"/>
    </row>
    <row r="971" spans="1:22">
      <c r="A971" s="5"/>
      <c r="B971" s="249"/>
      <c r="C971" s="424" t="s">
        <v>74</v>
      </c>
      <c r="D971" s="416"/>
      <c r="E971" s="507"/>
      <c r="F971" s="11"/>
      <c r="G971" s="11"/>
      <c r="H971" s="11"/>
      <c r="I971" s="11"/>
      <c r="J971" s="11"/>
      <c r="K971" s="11"/>
      <c r="P971" s="11"/>
      <c r="Q971" s="11"/>
      <c r="R971" s="11"/>
      <c r="S971" s="11"/>
      <c r="T971" s="11"/>
      <c r="U971" s="11"/>
      <c r="V971" s="11"/>
    </row>
    <row r="972" spans="1:22">
      <c r="A972" s="5"/>
      <c r="B972" s="249"/>
      <c r="C972" s="425" t="str">
        <f t="array" ref="C972:D977">+'A-40'!$A$77:$B$82</f>
        <v>Nil</v>
      </c>
      <c r="D972" s="426" t="str">
        <v>Labour</v>
      </c>
      <c r="E972" s="847">
        <f t="array" ref="E972:K977" ca="1">+'A-40'!$N$77:$T$82</f>
        <v>0</v>
      </c>
      <c r="F972" s="386">
        <f ca="1"/>
        <v>0</v>
      </c>
      <c r="G972" s="383">
        <f ca="1"/>
        <v>0</v>
      </c>
      <c r="H972" s="383">
        <f ca="1"/>
        <v>0</v>
      </c>
      <c r="I972" s="383">
        <f ca="1"/>
        <v>0</v>
      </c>
      <c r="J972" s="383">
        <f ca="1"/>
        <v>0</v>
      </c>
      <c r="K972" s="383">
        <f ca="1"/>
        <v>0</v>
      </c>
      <c r="L972" s="790"/>
      <c r="M972" s="790"/>
      <c r="N972" s="790"/>
      <c r="O972" s="790"/>
      <c r="P972" s="386"/>
      <c r="Q972" s="768">
        <f ca="1">IF(F972&lt;&gt;0,+F972/'A-40'!D$77,0)</f>
        <v>0</v>
      </c>
      <c r="R972" s="768">
        <f ca="1">IF(G972&lt;&gt;0,+G972/'A-40'!E$77,0)</f>
        <v>0</v>
      </c>
      <c r="S972" s="768">
        <f ca="1">IF(H972&lt;&gt;0,+H972/'A-40'!F$77,0)</f>
        <v>0</v>
      </c>
      <c r="T972" s="768">
        <f ca="1">IF(I972&lt;&gt;0,+I972/'A-40'!G$77,0)</f>
        <v>0</v>
      </c>
      <c r="U972" s="768">
        <f ca="1">IF(J972&lt;&gt;0,+J972/'A-40'!H$77,0)</f>
        <v>0</v>
      </c>
      <c r="V972" s="768">
        <f ca="1">IF(K972&lt;&gt;0,+K972/'A-40'!I$77,0)</f>
        <v>0</v>
      </c>
    </row>
    <row r="973" spans="1:22">
      <c r="A973" s="5"/>
      <c r="B973" s="249"/>
      <c r="C973" s="425" t="str">
        <v>Nil</v>
      </c>
      <c r="D973" s="426" t="str">
        <v>Materials</v>
      </c>
      <c r="E973" s="847">
        <f ca="1"/>
        <v>0</v>
      </c>
      <c r="F973" s="386">
        <f ca="1"/>
        <v>0</v>
      </c>
      <c r="G973" s="383">
        <f ca="1"/>
        <v>0</v>
      </c>
      <c r="H973" s="383">
        <f ca="1"/>
        <v>0</v>
      </c>
      <c r="I973" s="383">
        <f ca="1"/>
        <v>0</v>
      </c>
      <c r="J973" s="383">
        <f ca="1"/>
        <v>0</v>
      </c>
      <c r="K973" s="383">
        <f ca="1"/>
        <v>0</v>
      </c>
      <c r="L973" s="790"/>
      <c r="M973" s="790"/>
      <c r="N973" s="790"/>
      <c r="O973" s="790"/>
      <c r="P973" s="386"/>
      <c r="Q973" s="768">
        <f ca="1">IF(F973&lt;&gt;0,+F973/'A-40'!D$78,0)</f>
        <v>0</v>
      </c>
      <c r="R973" s="768">
        <f ca="1">IF(G973&lt;&gt;0,+G973/'A-40'!E$78,0)</f>
        <v>0</v>
      </c>
      <c r="S973" s="768">
        <f ca="1">IF(H973&lt;&gt;0,+H973/'A-40'!F$78,0)</f>
        <v>0</v>
      </c>
      <c r="T973" s="768">
        <f ca="1">IF(I973&lt;&gt;0,+I973/'A-40'!G$78,0)</f>
        <v>0</v>
      </c>
      <c r="U973" s="768">
        <f ca="1">IF(J973&lt;&gt;0,+J973/'A-40'!H$78,0)</f>
        <v>0</v>
      </c>
      <c r="V973" s="768">
        <f ca="1">IF(K973&lt;&gt;0,+K973/'A-40'!I$78,0)</f>
        <v>0</v>
      </c>
    </row>
    <row r="974" spans="1:22">
      <c r="A974" s="5"/>
      <c r="B974" s="249"/>
      <c r="C974" s="425" t="str">
        <v>Nil</v>
      </c>
      <c r="D974" s="426" t="str">
        <v>Contracts</v>
      </c>
      <c r="E974" s="847">
        <f ca="1"/>
        <v>0</v>
      </c>
      <c r="F974" s="386">
        <f ca="1"/>
        <v>0</v>
      </c>
      <c r="G974" s="383">
        <f ca="1"/>
        <v>0</v>
      </c>
      <c r="H974" s="383">
        <f ca="1"/>
        <v>0</v>
      </c>
      <c r="I974" s="383">
        <f ca="1"/>
        <v>0</v>
      </c>
      <c r="J974" s="383">
        <f ca="1"/>
        <v>0</v>
      </c>
      <c r="K974" s="383">
        <f ca="1"/>
        <v>0</v>
      </c>
      <c r="L974" s="790"/>
      <c r="M974" s="790"/>
      <c r="N974" s="790"/>
      <c r="O974" s="790"/>
      <c r="P974" s="386"/>
      <c r="Q974" s="768">
        <f ca="1">IF(F974&lt;&gt;0,+F974/'A-40'!D$79,0)</f>
        <v>0</v>
      </c>
      <c r="R974" s="768">
        <f ca="1">IF(G974&lt;&gt;0,+G974/'A-40'!E$79,0)</f>
        <v>0</v>
      </c>
      <c r="S974" s="768">
        <f ca="1">IF(H974&lt;&gt;0,+H974/'A-40'!F$79,0)</f>
        <v>0</v>
      </c>
      <c r="T974" s="768">
        <f ca="1">IF(I974&lt;&gt;0,+I974/'A-40'!G$79,0)</f>
        <v>0</v>
      </c>
      <c r="U974" s="768">
        <f ca="1">IF(J974&lt;&gt;0,+J974/'A-40'!H$79,0)</f>
        <v>0</v>
      </c>
      <c r="V974" s="768">
        <f ca="1">IF(K974&lt;&gt;0,+K974/'A-40'!I$79,0)</f>
        <v>0</v>
      </c>
    </row>
    <row r="975" spans="1:22" s="790" customFormat="1">
      <c r="A975" s="5"/>
      <c r="B975" s="249"/>
      <c r="C975" s="425" t="str">
        <v>Nil</v>
      </c>
      <c r="D975" s="426" t="str">
        <v>Services Other</v>
      </c>
      <c r="E975" s="847">
        <f ca="1"/>
        <v>0</v>
      </c>
      <c r="F975" s="386">
        <f ca="1"/>
        <v>0</v>
      </c>
      <c r="G975" s="383">
        <f ca="1"/>
        <v>0</v>
      </c>
      <c r="H975" s="383">
        <f ca="1"/>
        <v>0</v>
      </c>
      <c r="I975" s="383">
        <f ca="1"/>
        <v>0</v>
      </c>
      <c r="J975" s="383">
        <f ca="1"/>
        <v>0</v>
      </c>
      <c r="K975" s="383">
        <f ca="1"/>
        <v>0</v>
      </c>
      <c r="P975" s="386"/>
      <c r="Q975" s="768">
        <f ca="1">IF(F975&lt;&gt;0,+F975/'A-40'!D$80,0)</f>
        <v>0</v>
      </c>
      <c r="R975" s="768">
        <f ca="1">IF(G975&lt;&gt;0,+G975/'A-40'!E$80,0)</f>
        <v>0</v>
      </c>
      <c r="S975" s="768">
        <f ca="1">IF(H975&lt;&gt;0,+H975/'A-40'!F$80,0)</f>
        <v>0</v>
      </c>
      <c r="T975" s="768">
        <f ca="1">IF(I975&lt;&gt;0,+I975/'A-40'!G$80,0)</f>
        <v>0</v>
      </c>
      <c r="U975" s="768">
        <f ca="1">IF(J975&lt;&gt;0,+J975/'A-40'!H$80,0)</f>
        <v>0</v>
      </c>
      <c r="V975" s="768">
        <f ca="1">IF(K975&lt;&gt;0,+K975/'A-40'!I$80,0)</f>
        <v>0</v>
      </c>
    </row>
    <row r="976" spans="1:22" s="790" customFormat="1">
      <c r="A976" s="5"/>
      <c r="B976" s="249"/>
      <c r="C976" s="425" t="str">
        <v>Nil</v>
      </c>
      <c r="D976" s="426" t="str">
        <v>Business Overheads</v>
      </c>
      <c r="E976" s="847">
        <f ca="1"/>
        <v>0</v>
      </c>
      <c r="F976" s="386">
        <f ca="1"/>
        <v>0</v>
      </c>
      <c r="G976" s="383">
        <f ca="1"/>
        <v>0</v>
      </c>
      <c r="H976" s="383">
        <f ca="1"/>
        <v>0</v>
      </c>
      <c r="I976" s="383">
        <f ca="1"/>
        <v>0</v>
      </c>
      <c r="J976" s="383">
        <f ca="1"/>
        <v>0</v>
      </c>
      <c r="K976" s="383">
        <f ca="1"/>
        <v>0</v>
      </c>
      <c r="P976" s="386"/>
      <c r="Q976" s="768">
        <f ca="1">IF(F976&lt;&gt;0,+F976/'A-40'!D$81,0)</f>
        <v>0</v>
      </c>
      <c r="R976" s="768">
        <f ca="1">IF(G976&lt;&gt;0,+G976/'A-40'!E$81,0)</f>
        <v>0</v>
      </c>
      <c r="S976" s="768">
        <f ca="1">IF(H976&lt;&gt;0,+H976/'A-40'!F$81,0)</f>
        <v>0</v>
      </c>
      <c r="T976" s="768">
        <f ca="1">IF(I976&lt;&gt;0,+I976/'A-40'!G$81,0)</f>
        <v>0</v>
      </c>
      <c r="U976" s="768">
        <f ca="1">IF(J976&lt;&gt;0,+J976/'A-40'!H$81,0)</f>
        <v>0</v>
      </c>
      <c r="V976" s="768">
        <f ca="1">IF(K976&lt;&gt;0,+K976/'A-40'!I$81,0)</f>
        <v>0</v>
      </c>
    </row>
    <row r="977" spans="1:22" s="790" customFormat="1">
      <c r="A977" s="5"/>
      <c r="B977" s="249"/>
      <c r="C977" s="425" t="str">
        <v>Nil</v>
      </c>
      <c r="D977" s="426" t="str">
        <v>Other</v>
      </c>
      <c r="E977" s="847">
        <f ca="1"/>
        <v>0</v>
      </c>
      <c r="F977" s="386">
        <f ca="1"/>
        <v>0</v>
      </c>
      <c r="G977" s="383">
        <f ca="1"/>
        <v>0</v>
      </c>
      <c r="H977" s="383">
        <f ca="1"/>
        <v>0</v>
      </c>
      <c r="I977" s="383">
        <f ca="1"/>
        <v>0</v>
      </c>
      <c r="J977" s="383">
        <f ca="1"/>
        <v>0</v>
      </c>
      <c r="K977" s="383">
        <f ca="1"/>
        <v>0</v>
      </c>
      <c r="P977" s="386"/>
      <c r="Q977" s="768">
        <f ca="1">IF(F977&lt;&gt;0,+F977/'A-40'!D$82,0)</f>
        <v>0</v>
      </c>
      <c r="R977" s="768">
        <f ca="1">IF(G977&lt;&gt;0,+G977/'A-40'!E$82,0)</f>
        <v>0</v>
      </c>
      <c r="S977" s="768">
        <f ca="1">IF(H977&lt;&gt;0,+H977/'A-40'!F$82,0)</f>
        <v>0</v>
      </c>
      <c r="T977" s="768">
        <f ca="1">IF(I977&lt;&gt;0,+I977/'A-40'!G$82,0)</f>
        <v>0</v>
      </c>
      <c r="U977" s="768">
        <f ca="1">IF(J977&lt;&gt;0,+J977/'A-40'!H$82,0)</f>
        <v>0</v>
      </c>
      <c r="V977" s="768">
        <f ca="1">IF(K977&lt;&gt;0,+K977/'A-40'!I$82,0)</f>
        <v>0</v>
      </c>
    </row>
    <row r="978" spans="1:22">
      <c r="A978" s="5"/>
      <c r="B978" s="249"/>
      <c r="C978" s="424" t="s">
        <v>73</v>
      </c>
      <c r="D978" s="417"/>
      <c r="E978" s="848"/>
      <c r="F978" s="387"/>
      <c r="G978" s="385"/>
      <c r="H978" s="385"/>
      <c r="I978" s="385"/>
      <c r="J978" s="385"/>
      <c r="K978" s="385"/>
      <c r="P978" s="387"/>
      <c r="Q978" s="385"/>
      <c r="R978" s="385"/>
      <c r="S978" s="385"/>
      <c r="T978" s="385"/>
      <c r="U978" s="385"/>
      <c r="V978" s="385"/>
    </row>
    <row r="979" spans="1:22" s="767" customFormat="1">
      <c r="A979" s="5"/>
      <c r="B979" s="249"/>
      <c r="C979" s="425">
        <f t="array" ref="C979:D984">+'A-40'!$A$113:$B$119</f>
        <v>0</v>
      </c>
      <c r="D979" s="426">
        <v>0</v>
      </c>
      <c r="E979" s="847">
        <f t="array" ref="E979:K984">+'A-40'!$N$113:$T$119</f>
        <v>0</v>
      </c>
      <c r="F979" s="386">
        <v>0</v>
      </c>
      <c r="G979" s="383">
        <v>0</v>
      </c>
      <c r="H979" s="383">
        <v>0</v>
      </c>
      <c r="I979" s="383">
        <v>0</v>
      </c>
      <c r="J979" s="383">
        <v>0</v>
      </c>
      <c r="K979" s="383">
        <v>0</v>
      </c>
      <c r="P979" s="386"/>
      <c r="Q979" s="768">
        <f>IF(F979&lt;&gt;0,+F979/'A-40'!D$113,0)</f>
        <v>0</v>
      </c>
      <c r="R979" s="768">
        <f>IF(G979&lt;&gt;0,+G979/'A-40'!E$113,0)</f>
        <v>0</v>
      </c>
      <c r="S979" s="768">
        <f>IF(H979&lt;&gt;0,+H979/'A-40'!F$113,0)</f>
        <v>0</v>
      </c>
      <c r="T979" s="768">
        <f>IF(I979&lt;&gt;0,+I979/'A-40'!G$113,0)</f>
        <v>0</v>
      </c>
      <c r="U979" s="768">
        <f>IF(J979&lt;&gt;0,+J979/'A-40'!H$113,0)</f>
        <v>0</v>
      </c>
      <c r="V979" s="768">
        <f>IF(K979&lt;&gt;0,+K979/'A-40'!I$113,0)</f>
        <v>0</v>
      </c>
    </row>
    <row r="980" spans="1:22" s="767" customFormat="1">
      <c r="A980" s="5"/>
      <c r="B980" s="249"/>
      <c r="C980" s="425">
        <v>0</v>
      </c>
      <c r="D980" s="426">
        <v>0</v>
      </c>
      <c r="E980" s="847">
        <v>0</v>
      </c>
      <c r="F980" s="386">
        <v>0</v>
      </c>
      <c r="G980" s="383">
        <v>0</v>
      </c>
      <c r="H980" s="383">
        <v>0</v>
      </c>
      <c r="I980" s="383">
        <v>0</v>
      </c>
      <c r="J980" s="383">
        <v>0</v>
      </c>
      <c r="K980" s="383">
        <v>0</v>
      </c>
      <c r="P980" s="386"/>
      <c r="Q980" s="768">
        <f>IF(F980&lt;&gt;0,+F980/'A-40'!D$114,0)</f>
        <v>0</v>
      </c>
      <c r="R980" s="768">
        <f>IF(G980&lt;&gt;0,+G980/'A-40'!E$114,0)</f>
        <v>0</v>
      </c>
      <c r="S980" s="768">
        <f>IF(H980&lt;&gt;0,+H980/'A-40'!F$114,0)</f>
        <v>0</v>
      </c>
      <c r="T980" s="768">
        <f>IF(I980&lt;&gt;0,+I980/'A-40'!G$114,0)</f>
        <v>0</v>
      </c>
      <c r="U980" s="768">
        <f>IF(J980&lt;&gt;0,+J980/'A-40'!H$114,0)</f>
        <v>0</v>
      </c>
      <c r="V980" s="768">
        <f>IF(K980&lt;&gt;0,+K980/'A-40'!I$114,0)</f>
        <v>0</v>
      </c>
    </row>
    <row r="981" spans="1:22" s="767" customFormat="1">
      <c r="A981" s="5"/>
      <c r="B981" s="249"/>
      <c r="C981" s="425">
        <v>0</v>
      </c>
      <c r="D981" s="426">
        <v>0</v>
      </c>
      <c r="E981" s="847">
        <v>0</v>
      </c>
      <c r="F981" s="386">
        <v>0</v>
      </c>
      <c r="G981" s="383">
        <v>0</v>
      </c>
      <c r="H981" s="383">
        <v>0</v>
      </c>
      <c r="I981" s="383">
        <v>0</v>
      </c>
      <c r="J981" s="383">
        <v>0</v>
      </c>
      <c r="K981" s="383">
        <v>0</v>
      </c>
      <c r="P981" s="386"/>
      <c r="Q981" s="768">
        <f>IF(F981&lt;&gt;0,+F981/'A-40'!D$115,0)</f>
        <v>0</v>
      </c>
      <c r="R981" s="768">
        <f>IF(G981&lt;&gt;0,+G981/'A-40'!E$115,0)</f>
        <v>0</v>
      </c>
      <c r="S981" s="768">
        <f>IF(H981&lt;&gt;0,+H981/'A-40'!F$115,0)</f>
        <v>0</v>
      </c>
      <c r="T981" s="768">
        <f>IF(I981&lt;&gt;0,+I981/'A-40'!G$115,0)</f>
        <v>0</v>
      </c>
      <c r="U981" s="768">
        <f>IF(J981&lt;&gt;0,+J981/'A-40'!H$115,0)</f>
        <v>0</v>
      </c>
      <c r="V981" s="768">
        <f>IF(K981&lt;&gt;0,+K981/'A-40'!I$115,0)</f>
        <v>0</v>
      </c>
    </row>
    <row r="982" spans="1:22" s="767" customFormat="1">
      <c r="A982" s="5"/>
      <c r="B982" s="249"/>
      <c r="C982" s="425">
        <v>0</v>
      </c>
      <c r="D982" s="426">
        <v>0</v>
      </c>
      <c r="E982" s="847">
        <v>0</v>
      </c>
      <c r="F982" s="386">
        <v>0</v>
      </c>
      <c r="G982" s="383">
        <v>0</v>
      </c>
      <c r="H982" s="383">
        <v>0</v>
      </c>
      <c r="I982" s="383">
        <v>0</v>
      </c>
      <c r="J982" s="383">
        <v>0</v>
      </c>
      <c r="K982" s="383">
        <v>0</v>
      </c>
      <c r="P982" s="386"/>
      <c r="Q982" s="768">
        <f>IF(F982&lt;&gt;0,+F982/'A-40'!D$116,0)</f>
        <v>0</v>
      </c>
      <c r="R982" s="768">
        <f>IF(G982&lt;&gt;0,+G982/'A-40'!E$116,0)</f>
        <v>0</v>
      </c>
      <c r="S982" s="768">
        <f>IF(H982&lt;&gt;0,+H982/'A-40'!F$116,0)</f>
        <v>0</v>
      </c>
      <c r="T982" s="768">
        <f>IF(I982&lt;&gt;0,+I982/'A-40'!G$116,0)</f>
        <v>0</v>
      </c>
      <c r="U982" s="768">
        <f>IF(J982&lt;&gt;0,+J982/'A-40'!H$116,0)</f>
        <v>0</v>
      </c>
      <c r="V982" s="768">
        <f>IF(K982&lt;&gt;0,+K982/'A-40'!I$116,0)</f>
        <v>0</v>
      </c>
    </row>
    <row r="983" spans="1:22" s="767" customFormat="1">
      <c r="A983" s="5"/>
      <c r="B983" s="249"/>
      <c r="C983" s="425">
        <v>0</v>
      </c>
      <c r="D983" s="426">
        <v>0</v>
      </c>
      <c r="E983" s="847">
        <v>0</v>
      </c>
      <c r="F983" s="386">
        <v>0</v>
      </c>
      <c r="G983" s="383">
        <v>0</v>
      </c>
      <c r="H983" s="383">
        <v>0</v>
      </c>
      <c r="I983" s="383">
        <v>0</v>
      </c>
      <c r="J983" s="383">
        <v>0</v>
      </c>
      <c r="K983" s="383">
        <v>0</v>
      </c>
      <c r="P983" s="386"/>
      <c r="Q983" s="768">
        <f>IF(F983&lt;&gt;0,+F983/'A-40'!D$117,0)</f>
        <v>0</v>
      </c>
      <c r="R983" s="768">
        <f>IF(G983&lt;&gt;0,+G983/'A-40'!E$117,0)</f>
        <v>0</v>
      </c>
      <c r="S983" s="768">
        <f>IF(H983&lt;&gt;0,+H983/'A-40'!F$117,0)</f>
        <v>0</v>
      </c>
      <c r="T983" s="768">
        <f>IF(I983&lt;&gt;0,+I983/'A-40'!G$117,0)</f>
        <v>0</v>
      </c>
      <c r="U983" s="768">
        <f>IF(J983&lt;&gt;0,+J983/'A-40'!H$117,0)</f>
        <v>0</v>
      </c>
      <c r="V983" s="768">
        <f>IF(K983&lt;&gt;0,+K983/'A-40'!I$117,0)</f>
        <v>0</v>
      </c>
    </row>
    <row r="984" spans="1:22" s="767" customFormat="1">
      <c r="A984" s="5"/>
      <c r="B984" s="249"/>
      <c r="C984" s="425">
        <v>0</v>
      </c>
      <c r="D984" s="426">
        <v>0</v>
      </c>
      <c r="E984" s="847">
        <v>0</v>
      </c>
      <c r="F984" s="386">
        <v>0</v>
      </c>
      <c r="G984" s="383">
        <v>0</v>
      </c>
      <c r="H984" s="383">
        <v>0</v>
      </c>
      <c r="I984" s="383">
        <v>0</v>
      </c>
      <c r="J984" s="383">
        <v>0</v>
      </c>
      <c r="K984" s="383">
        <v>0</v>
      </c>
      <c r="P984" s="386"/>
      <c r="Q984" s="768">
        <f>IF(F984&lt;&gt;0,+F984/'A-40'!D$118,0)</f>
        <v>0</v>
      </c>
      <c r="R984" s="768">
        <f>IF(G984&lt;&gt;0,+G984/'A-40'!E$118,0)</f>
        <v>0</v>
      </c>
      <c r="S984" s="768">
        <f>IF(H984&lt;&gt;0,+H984/'A-40'!F$118,0)</f>
        <v>0</v>
      </c>
      <c r="T984" s="768">
        <f>IF(I984&lt;&gt;0,+I984/'A-40'!G$118,0)</f>
        <v>0</v>
      </c>
      <c r="U984" s="768">
        <f>IF(J984&lt;&gt;0,+J984/'A-40'!H$118,0)</f>
        <v>0</v>
      </c>
      <c r="V984" s="768">
        <f>IF(K984&lt;&gt;0,+K984/'A-40'!I$118,0)</f>
        <v>0</v>
      </c>
    </row>
    <row r="985" spans="1:22">
      <c r="A985" s="5"/>
      <c r="B985" s="249" t="str">
        <f ca="1">+'I-4 History'!B589</f>
        <v>A-41</v>
      </c>
      <c r="C985" s="14" t="str">
        <f ca="1">+'I-4 History'!C589</f>
        <v>Spare, not in use</v>
      </c>
      <c r="D985" s="418"/>
      <c r="E985" s="507"/>
      <c r="F985" s="11"/>
      <c r="G985" s="11"/>
      <c r="H985" s="11"/>
      <c r="I985" s="11"/>
      <c r="J985" s="11"/>
      <c r="K985" s="11"/>
      <c r="P985" s="11"/>
      <c r="Q985" s="11"/>
      <c r="R985" s="11"/>
      <c r="S985" s="11"/>
      <c r="T985" s="11"/>
      <c r="U985" s="11"/>
      <c r="V985" s="11"/>
    </row>
    <row r="986" spans="1:22">
      <c r="A986" s="5"/>
      <c r="B986" s="249"/>
      <c r="C986" s="424" t="s">
        <v>74</v>
      </c>
      <c r="D986" s="416"/>
      <c r="E986" s="507"/>
      <c r="F986" s="11"/>
      <c r="G986" s="11"/>
      <c r="H986" s="11"/>
      <c r="I986" s="11"/>
      <c r="J986" s="11"/>
      <c r="K986" s="11"/>
      <c r="P986" s="11"/>
      <c r="Q986" s="11"/>
      <c r="R986" s="11"/>
      <c r="S986" s="11"/>
      <c r="T986" s="11"/>
      <c r="U986" s="11"/>
      <c r="V986" s="11"/>
    </row>
    <row r="987" spans="1:22">
      <c r="A987" s="5"/>
      <c r="B987" s="249"/>
      <c r="C987" s="425" t="str">
        <f t="array" ref="C987:D992">+'A-41'!$A$77:$B$82</f>
        <v>Nil</v>
      </c>
      <c r="D987" s="426" t="str">
        <v>Labour</v>
      </c>
      <c r="E987" s="847">
        <f t="array" ref="E987:K992" ca="1">+'A-41'!$N$77:$T$82</f>
        <v>0</v>
      </c>
      <c r="F987" s="386">
        <f ca="1"/>
        <v>0</v>
      </c>
      <c r="G987" s="383">
        <f ca="1"/>
        <v>0</v>
      </c>
      <c r="H987" s="383">
        <f ca="1"/>
        <v>0</v>
      </c>
      <c r="I987" s="383">
        <f ca="1"/>
        <v>0</v>
      </c>
      <c r="J987" s="383">
        <f ca="1"/>
        <v>0</v>
      </c>
      <c r="K987" s="383">
        <f ca="1"/>
        <v>0</v>
      </c>
      <c r="L987" s="790"/>
      <c r="M987" s="790"/>
      <c r="N987" s="790"/>
      <c r="O987" s="790"/>
      <c r="P987" s="386"/>
      <c r="Q987" s="768">
        <f ca="1">IF(F987&lt;&gt;0,+F987/'A-41'!D$77,0)</f>
        <v>0</v>
      </c>
      <c r="R987" s="768">
        <f ca="1">IF(G987&lt;&gt;0,+G987/'A-41'!E$77,0)</f>
        <v>0</v>
      </c>
      <c r="S987" s="768">
        <f ca="1">IF(H987&lt;&gt;0,+H987/'A-41'!F$77,0)</f>
        <v>0</v>
      </c>
      <c r="T987" s="768">
        <f ca="1">IF(I987&lt;&gt;0,+I987/'A-41'!G$77,0)</f>
        <v>0</v>
      </c>
      <c r="U987" s="768">
        <f ca="1">IF(J987&lt;&gt;0,+J987/'A-41'!H$77,0)</f>
        <v>0</v>
      </c>
      <c r="V987" s="768">
        <f ca="1">IF(K987&lt;&gt;0,+K987/'A-41'!I$77,0)</f>
        <v>0</v>
      </c>
    </row>
    <row r="988" spans="1:22">
      <c r="A988" s="5"/>
      <c r="B988" s="249"/>
      <c r="C988" s="425" t="str">
        <v>Nil</v>
      </c>
      <c r="D988" s="426" t="str">
        <v>Materials</v>
      </c>
      <c r="E988" s="847">
        <f ca="1"/>
        <v>0</v>
      </c>
      <c r="F988" s="386">
        <f ca="1"/>
        <v>0</v>
      </c>
      <c r="G988" s="383">
        <f ca="1"/>
        <v>0</v>
      </c>
      <c r="H988" s="383">
        <f ca="1"/>
        <v>0</v>
      </c>
      <c r="I988" s="383">
        <f ca="1"/>
        <v>0</v>
      </c>
      <c r="J988" s="383">
        <f ca="1"/>
        <v>0</v>
      </c>
      <c r="K988" s="383">
        <f ca="1"/>
        <v>0</v>
      </c>
      <c r="L988" s="790"/>
      <c r="M988" s="790"/>
      <c r="N988" s="790"/>
      <c r="O988" s="790"/>
      <c r="P988" s="386"/>
      <c r="Q988" s="768">
        <f ca="1">IF(F988&lt;&gt;0,+F988/'A-41'!D$78,0)</f>
        <v>0</v>
      </c>
      <c r="R988" s="768">
        <f ca="1">IF(G988&lt;&gt;0,+G988/'A-41'!E$78,0)</f>
        <v>0</v>
      </c>
      <c r="S988" s="768">
        <f ca="1">IF(H988&lt;&gt;0,+H988/'A-41'!F$78,0)</f>
        <v>0</v>
      </c>
      <c r="T988" s="768">
        <f ca="1">IF(I988&lt;&gt;0,+I988/'A-41'!G$78,0)</f>
        <v>0</v>
      </c>
      <c r="U988" s="768">
        <f ca="1">IF(J988&lt;&gt;0,+J988/'A-41'!H$78,0)</f>
        <v>0</v>
      </c>
      <c r="V988" s="768">
        <f ca="1">IF(K988&lt;&gt;0,+K988/'A-41'!I$78,0)</f>
        <v>0</v>
      </c>
    </row>
    <row r="989" spans="1:22">
      <c r="A989" s="5"/>
      <c r="B989" s="249"/>
      <c r="C989" s="425" t="str">
        <v>Nil</v>
      </c>
      <c r="D989" s="426" t="str">
        <v>Contracts</v>
      </c>
      <c r="E989" s="847">
        <f ca="1"/>
        <v>0</v>
      </c>
      <c r="F989" s="386">
        <f ca="1"/>
        <v>0</v>
      </c>
      <c r="G989" s="383">
        <f ca="1"/>
        <v>0</v>
      </c>
      <c r="H989" s="383">
        <f ca="1"/>
        <v>0</v>
      </c>
      <c r="I989" s="383">
        <f ca="1"/>
        <v>0</v>
      </c>
      <c r="J989" s="383">
        <f ca="1"/>
        <v>0</v>
      </c>
      <c r="K989" s="383">
        <f ca="1"/>
        <v>0</v>
      </c>
      <c r="L989" s="790"/>
      <c r="M989" s="790"/>
      <c r="N989" s="790"/>
      <c r="O989" s="790"/>
      <c r="P989" s="386"/>
      <c r="Q989" s="768">
        <f ca="1">IF(F989&lt;&gt;0,+F989/'A-41'!D$79,0)</f>
        <v>0</v>
      </c>
      <c r="R989" s="768">
        <f ca="1">IF(G989&lt;&gt;0,+G989/'A-41'!E$79,0)</f>
        <v>0</v>
      </c>
      <c r="S989" s="768">
        <f ca="1">IF(H989&lt;&gt;0,+H989/'A-41'!F$79,0)</f>
        <v>0</v>
      </c>
      <c r="T989" s="768">
        <f ca="1">IF(I989&lt;&gt;0,+I989/'A-41'!G$79,0)</f>
        <v>0</v>
      </c>
      <c r="U989" s="768">
        <f ca="1">IF(J989&lt;&gt;0,+J989/'A-41'!H$79,0)</f>
        <v>0</v>
      </c>
      <c r="V989" s="768">
        <f ca="1">IF(K989&lt;&gt;0,+K989/'A-41'!I$79,0)</f>
        <v>0</v>
      </c>
    </row>
    <row r="990" spans="1:22" s="790" customFormat="1">
      <c r="A990" s="5"/>
      <c r="B990" s="249"/>
      <c r="C990" s="425" t="str">
        <v>Nil</v>
      </c>
      <c r="D990" s="426" t="str">
        <v>Services Other</v>
      </c>
      <c r="E990" s="847">
        <f ca="1"/>
        <v>0</v>
      </c>
      <c r="F990" s="386">
        <f ca="1"/>
        <v>0</v>
      </c>
      <c r="G990" s="383">
        <f ca="1"/>
        <v>0</v>
      </c>
      <c r="H990" s="383">
        <f ca="1"/>
        <v>0</v>
      </c>
      <c r="I990" s="383">
        <f ca="1"/>
        <v>0</v>
      </c>
      <c r="J990" s="383">
        <f ca="1"/>
        <v>0</v>
      </c>
      <c r="K990" s="383">
        <f ca="1"/>
        <v>0</v>
      </c>
      <c r="P990" s="386"/>
      <c r="Q990" s="768">
        <f ca="1">IF(F990&lt;&gt;0,+F990/'A-41'!D$80,0)</f>
        <v>0</v>
      </c>
      <c r="R990" s="768">
        <f ca="1">IF(G990&lt;&gt;0,+G990/'A-41'!E$80,0)</f>
        <v>0</v>
      </c>
      <c r="S990" s="768">
        <f ca="1">IF(H990&lt;&gt;0,+H990/'A-41'!F$80,0)</f>
        <v>0</v>
      </c>
      <c r="T990" s="768">
        <f ca="1">IF(I990&lt;&gt;0,+I990/'A-41'!G$80,0)</f>
        <v>0</v>
      </c>
      <c r="U990" s="768">
        <f ca="1">IF(J990&lt;&gt;0,+J990/'A-41'!H$80,0)</f>
        <v>0</v>
      </c>
      <c r="V990" s="768">
        <f ca="1">IF(K990&lt;&gt;0,+K990/'A-41'!I$80,0)</f>
        <v>0</v>
      </c>
    </row>
    <row r="991" spans="1:22" s="790" customFormat="1">
      <c r="A991" s="5"/>
      <c r="B991" s="249"/>
      <c r="C991" s="425" t="str">
        <v>Nil</v>
      </c>
      <c r="D991" s="426" t="str">
        <v>Business Overheads</v>
      </c>
      <c r="E991" s="847">
        <f ca="1"/>
        <v>0</v>
      </c>
      <c r="F991" s="386">
        <f ca="1"/>
        <v>0</v>
      </c>
      <c r="G991" s="383">
        <f ca="1"/>
        <v>0</v>
      </c>
      <c r="H991" s="383">
        <f ca="1"/>
        <v>0</v>
      </c>
      <c r="I991" s="383">
        <f ca="1"/>
        <v>0</v>
      </c>
      <c r="J991" s="383">
        <f ca="1"/>
        <v>0</v>
      </c>
      <c r="K991" s="383">
        <f ca="1"/>
        <v>0</v>
      </c>
      <c r="P991" s="386"/>
      <c r="Q991" s="768">
        <f ca="1">IF(F991&lt;&gt;0,+F991/'A-41'!D$81,0)</f>
        <v>0</v>
      </c>
      <c r="R991" s="768">
        <f ca="1">IF(G991&lt;&gt;0,+G991/'A-41'!E$81,0)</f>
        <v>0</v>
      </c>
      <c r="S991" s="768">
        <f ca="1">IF(H991&lt;&gt;0,+H991/'A-41'!F$81,0)</f>
        <v>0</v>
      </c>
      <c r="T991" s="768">
        <f ca="1">IF(I991&lt;&gt;0,+I991/'A-41'!G$81,0)</f>
        <v>0</v>
      </c>
      <c r="U991" s="768">
        <f ca="1">IF(J991&lt;&gt;0,+J991/'A-41'!H$81,0)</f>
        <v>0</v>
      </c>
      <c r="V991" s="768">
        <f ca="1">IF(K991&lt;&gt;0,+K991/'A-41'!I$81,0)</f>
        <v>0</v>
      </c>
    </row>
    <row r="992" spans="1:22" s="790" customFormat="1">
      <c r="A992" s="5"/>
      <c r="B992" s="249"/>
      <c r="C992" s="425" t="str">
        <v>Nil</v>
      </c>
      <c r="D992" s="426" t="str">
        <v>Other</v>
      </c>
      <c r="E992" s="847">
        <f ca="1"/>
        <v>0</v>
      </c>
      <c r="F992" s="386">
        <f ca="1"/>
        <v>0</v>
      </c>
      <c r="G992" s="383">
        <f ca="1"/>
        <v>0</v>
      </c>
      <c r="H992" s="383">
        <f ca="1"/>
        <v>0</v>
      </c>
      <c r="I992" s="383">
        <f ca="1"/>
        <v>0</v>
      </c>
      <c r="J992" s="383">
        <f ca="1"/>
        <v>0</v>
      </c>
      <c r="K992" s="383">
        <f ca="1"/>
        <v>0</v>
      </c>
      <c r="P992" s="386"/>
      <c r="Q992" s="768">
        <f ca="1">IF(F992&lt;&gt;0,+F992/'A-41'!D$82,0)</f>
        <v>0</v>
      </c>
      <c r="R992" s="768">
        <f ca="1">IF(G992&lt;&gt;0,+G992/'A-41'!E$82,0)</f>
        <v>0</v>
      </c>
      <c r="S992" s="768">
        <f ca="1">IF(H992&lt;&gt;0,+H992/'A-41'!F$82,0)</f>
        <v>0</v>
      </c>
      <c r="T992" s="768">
        <f ca="1">IF(I992&lt;&gt;0,+I992/'A-41'!G$82,0)</f>
        <v>0</v>
      </c>
      <c r="U992" s="768">
        <f ca="1">IF(J992&lt;&gt;0,+J992/'A-41'!H$82,0)</f>
        <v>0</v>
      </c>
      <c r="V992" s="768">
        <f ca="1">IF(K992&lt;&gt;0,+K992/'A-41'!I$82,0)</f>
        <v>0</v>
      </c>
    </row>
    <row r="993" spans="1:22">
      <c r="A993" s="5"/>
      <c r="B993" s="249"/>
      <c r="C993" s="424" t="s">
        <v>73</v>
      </c>
      <c r="D993" s="417"/>
      <c r="E993" s="848"/>
      <c r="F993" s="387"/>
      <c r="G993" s="385"/>
      <c r="H993" s="385"/>
      <c r="I993" s="385"/>
      <c r="J993" s="385"/>
      <c r="K993" s="385"/>
      <c r="P993" s="387"/>
      <c r="Q993" s="385"/>
      <c r="R993" s="385"/>
      <c r="S993" s="385"/>
      <c r="T993" s="385"/>
      <c r="U993" s="385"/>
      <c r="V993" s="385"/>
    </row>
    <row r="994" spans="1:22" s="767" customFormat="1">
      <c r="A994" s="5"/>
      <c r="B994" s="249"/>
      <c r="C994" s="425" t="str">
        <f t="array" ref="C994:D999">+'A-41'!$A$113:$B$119</f>
        <v>Labour</v>
      </c>
      <c r="D994" s="426" t="str">
        <v>Labour</v>
      </c>
      <c r="E994" s="847">
        <f t="array" ref="E994:K999" ca="1">+'A-41'!$N$113:$T$119</f>
        <v>0</v>
      </c>
      <c r="F994" s="386">
        <f ca="1"/>
        <v>0</v>
      </c>
      <c r="G994" s="383">
        <f ca="1"/>
        <v>0</v>
      </c>
      <c r="H994" s="383">
        <f ca="1"/>
        <v>0</v>
      </c>
      <c r="I994" s="383">
        <f ca="1"/>
        <v>0</v>
      </c>
      <c r="J994" s="383">
        <f ca="1"/>
        <v>0</v>
      </c>
      <c r="K994" s="383">
        <f ca="1"/>
        <v>0</v>
      </c>
      <c r="P994" s="386"/>
      <c r="Q994" s="768">
        <f ca="1">IF(F994&lt;&gt;0,+F994/'A-41'!D$113,0)</f>
        <v>0</v>
      </c>
      <c r="R994" s="768">
        <f ca="1">IF(G994&lt;&gt;0,+G994/'A-41'!E$113,0)</f>
        <v>0</v>
      </c>
      <c r="S994" s="768">
        <f ca="1">IF(H994&lt;&gt;0,+H994/'A-41'!F$113,0)</f>
        <v>0</v>
      </c>
      <c r="T994" s="768">
        <f ca="1">IF(I994&lt;&gt;0,+I994/'A-41'!G$113,0)</f>
        <v>0</v>
      </c>
      <c r="U994" s="768">
        <f ca="1">IF(J994&lt;&gt;0,+J994/'A-41'!H$113,0)</f>
        <v>0</v>
      </c>
      <c r="V994" s="768">
        <f ca="1">IF(K994&lt;&gt;0,+K994/'A-41'!I$113,0)</f>
        <v>0</v>
      </c>
    </row>
    <row r="995" spans="1:22" s="767" customFormat="1">
      <c r="A995" s="5"/>
      <c r="B995" s="249"/>
      <c r="C995" s="425" t="str">
        <v>Materials</v>
      </c>
      <c r="D995" s="426" t="str">
        <v>Materials</v>
      </c>
      <c r="E995" s="847">
        <f ca="1"/>
        <v>0</v>
      </c>
      <c r="F995" s="386">
        <f ca="1"/>
        <v>0</v>
      </c>
      <c r="G995" s="383">
        <f ca="1"/>
        <v>0</v>
      </c>
      <c r="H995" s="383">
        <f ca="1"/>
        <v>0</v>
      </c>
      <c r="I995" s="383">
        <f ca="1"/>
        <v>0</v>
      </c>
      <c r="J995" s="383">
        <f ca="1"/>
        <v>0</v>
      </c>
      <c r="K995" s="383">
        <f ca="1"/>
        <v>0</v>
      </c>
      <c r="P995" s="386"/>
      <c r="Q995" s="768">
        <f ca="1">IF(F995&lt;&gt;0,+F995/'A-41'!D$114,0)</f>
        <v>0</v>
      </c>
      <c r="R995" s="768">
        <f ca="1">IF(G995&lt;&gt;0,+G995/'A-41'!E$114,0)</f>
        <v>0</v>
      </c>
      <c r="S995" s="768">
        <f ca="1">IF(H995&lt;&gt;0,+H995/'A-41'!F$114,0)</f>
        <v>0</v>
      </c>
      <c r="T995" s="768">
        <f ca="1">IF(I995&lt;&gt;0,+I995/'A-41'!G$114,0)</f>
        <v>0</v>
      </c>
      <c r="U995" s="768">
        <f ca="1">IF(J995&lt;&gt;0,+J995/'A-41'!H$114,0)</f>
        <v>0</v>
      </c>
      <c r="V995" s="768">
        <f ca="1">IF(K995&lt;&gt;0,+K995/'A-41'!I$114,0)</f>
        <v>0</v>
      </c>
    </row>
    <row r="996" spans="1:22" s="767" customFormat="1">
      <c r="A996" s="5"/>
      <c r="B996" s="249"/>
      <c r="C996" s="425" t="str">
        <v>Services-construction</v>
      </c>
      <c r="D996" s="426" t="str">
        <v>Contracts</v>
      </c>
      <c r="E996" s="847">
        <f ca="1"/>
        <v>0</v>
      </c>
      <c r="F996" s="386">
        <f ca="1"/>
        <v>0</v>
      </c>
      <c r="G996" s="383">
        <f ca="1"/>
        <v>0</v>
      </c>
      <c r="H996" s="383">
        <f ca="1"/>
        <v>0</v>
      </c>
      <c r="I996" s="383">
        <f ca="1"/>
        <v>0</v>
      </c>
      <c r="J996" s="383">
        <f ca="1"/>
        <v>0</v>
      </c>
      <c r="K996" s="383">
        <f ca="1"/>
        <v>0</v>
      </c>
      <c r="P996" s="386"/>
      <c r="Q996" s="768">
        <f ca="1">IF(F996&lt;&gt;0,+F996/'A-41'!D$115,0)</f>
        <v>0</v>
      </c>
      <c r="R996" s="768">
        <f ca="1">IF(G996&lt;&gt;0,+G996/'A-41'!E$115,0)</f>
        <v>0</v>
      </c>
      <c r="S996" s="768">
        <f ca="1">IF(H996&lt;&gt;0,+H996/'A-41'!F$115,0)</f>
        <v>0</v>
      </c>
      <c r="T996" s="768">
        <f ca="1">IF(I996&lt;&gt;0,+I996/'A-41'!G$115,0)</f>
        <v>0</v>
      </c>
      <c r="U996" s="768">
        <f ca="1">IF(J996&lt;&gt;0,+J996/'A-41'!H$115,0)</f>
        <v>0</v>
      </c>
      <c r="V996" s="768">
        <f ca="1">IF(K996&lt;&gt;0,+K996/'A-41'!I$115,0)</f>
        <v>0</v>
      </c>
    </row>
    <row r="997" spans="1:22" s="767" customFormat="1">
      <c r="A997" s="5"/>
      <c r="B997" s="249"/>
      <c r="C997" s="425" t="str">
        <v>Services-general</v>
      </c>
      <c r="D997" s="426" t="str">
        <v>Services Other</v>
      </c>
      <c r="E997" s="847">
        <f ca="1"/>
        <v>0</v>
      </c>
      <c r="F997" s="386">
        <f ca="1"/>
        <v>0</v>
      </c>
      <c r="G997" s="383">
        <f ca="1"/>
        <v>0</v>
      </c>
      <c r="H997" s="383">
        <f ca="1"/>
        <v>0</v>
      </c>
      <c r="I997" s="383">
        <f ca="1"/>
        <v>0</v>
      </c>
      <c r="J997" s="383">
        <f ca="1"/>
        <v>0</v>
      </c>
      <c r="K997" s="383">
        <f ca="1"/>
        <v>0</v>
      </c>
      <c r="P997" s="386"/>
      <c r="Q997" s="768">
        <f ca="1">IF(F997&lt;&gt;0,+F997/'A-41'!D$116,0)</f>
        <v>0</v>
      </c>
      <c r="R997" s="768">
        <f ca="1">IF(G997&lt;&gt;0,+G997/'A-41'!E$116,0)</f>
        <v>0</v>
      </c>
      <c r="S997" s="768">
        <f ca="1">IF(H997&lt;&gt;0,+H997/'A-41'!F$116,0)</f>
        <v>0</v>
      </c>
      <c r="T997" s="768">
        <f ca="1">IF(I997&lt;&gt;0,+I997/'A-41'!G$116,0)</f>
        <v>0</v>
      </c>
      <c r="U997" s="768">
        <f ca="1">IF(J997&lt;&gt;0,+J997/'A-41'!H$116,0)</f>
        <v>0</v>
      </c>
      <c r="V997" s="768">
        <f ca="1">IF(K997&lt;&gt;0,+K997/'A-41'!I$116,0)</f>
        <v>0</v>
      </c>
    </row>
    <row r="998" spans="1:22" s="767" customFormat="1">
      <c r="A998" s="5"/>
      <c r="B998" s="249"/>
      <c r="C998" s="425" t="str">
        <v>Labour</v>
      </c>
      <c r="D998" s="426" t="str">
        <v>Business Overheads</v>
      </c>
      <c r="E998" s="847">
        <f ca="1"/>
        <v>0</v>
      </c>
      <c r="F998" s="386">
        <f ca="1"/>
        <v>0</v>
      </c>
      <c r="G998" s="383">
        <f ca="1"/>
        <v>0</v>
      </c>
      <c r="H998" s="383">
        <f ca="1"/>
        <v>0</v>
      </c>
      <c r="I998" s="383">
        <f ca="1"/>
        <v>0</v>
      </c>
      <c r="J998" s="383">
        <f ca="1"/>
        <v>0</v>
      </c>
      <c r="K998" s="383">
        <f ca="1"/>
        <v>0</v>
      </c>
      <c r="P998" s="386"/>
      <c r="Q998" s="768">
        <f ca="1">IF(F998&lt;&gt;0,+F998/'A-41'!D$117,0)</f>
        <v>0</v>
      </c>
      <c r="R998" s="768">
        <f ca="1">IF(G998&lt;&gt;0,+G998/'A-41'!E$117,0)</f>
        <v>0</v>
      </c>
      <c r="S998" s="768">
        <f ca="1">IF(H998&lt;&gt;0,+H998/'A-41'!F$117,0)</f>
        <v>0</v>
      </c>
      <c r="T998" s="768">
        <f ca="1">IF(I998&lt;&gt;0,+I998/'A-41'!G$117,0)</f>
        <v>0</v>
      </c>
      <c r="U998" s="768">
        <f ca="1">IF(J998&lt;&gt;0,+J998/'A-41'!H$117,0)</f>
        <v>0</v>
      </c>
      <c r="V998" s="768">
        <f ca="1">IF(K998&lt;&gt;0,+K998/'A-41'!I$117,0)</f>
        <v>0</v>
      </c>
    </row>
    <row r="999" spans="1:22" s="767" customFormat="1">
      <c r="A999" s="5"/>
      <c r="B999" s="249"/>
      <c r="C999" s="425" t="str">
        <v>Materials - Land</v>
      </c>
      <c r="D999" s="426" t="str">
        <v>Other</v>
      </c>
      <c r="E999" s="847">
        <f ca="1"/>
        <v>0</v>
      </c>
      <c r="F999" s="386">
        <f ca="1"/>
        <v>0</v>
      </c>
      <c r="G999" s="383">
        <f ca="1"/>
        <v>0</v>
      </c>
      <c r="H999" s="383">
        <f ca="1"/>
        <v>0</v>
      </c>
      <c r="I999" s="383">
        <f ca="1"/>
        <v>0</v>
      </c>
      <c r="J999" s="383">
        <f ca="1"/>
        <v>0</v>
      </c>
      <c r="K999" s="383">
        <f ca="1"/>
        <v>0</v>
      </c>
      <c r="P999" s="386"/>
      <c r="Q999" s="768">
        <f ca="1">IF(F999&lt;&gt;0,+F999/'A-41'!D$118,0)</f>
        <v>0</v>
      </c>
      <c r="R999" s="768">
        <f ca="1">IF(G999&lt;&gt;0,+G999/'A-41'!E$118,0)</f>
        <v>0</v>
      </c>
      <c r="S999" s="768">
        <f ca="1">IF(H999&lt;&gt;0,+H999/'A-41'!F$118,0)</f>
        <v>0</v>
      </c>
      <c r="T999" s="768">
        <f ca="1">IF(I999&lt;&gt;0,+I999/'A-41'!G$118,0)</f>
        <v>0</v>
      </c>
      <c r="U999" s="768">
        <f ca="1">IF(J999&lt;&gt;0,+J999/'A-41'!H$118,0)</f>
        <v>0</v>
      </c>
      <c r="V999" s="768">
        <f ca="1">IF(K999&lt;&gt;0,+K999/'A-41'!I$118,0)</f>
        <v>0</v>
      </c>
    </row>
    <row r="1000" spans="1:22" ht="17.25" customHeight="1" thickBot="1">
      <c r="B1000" s="250"/>
      <c r="C1000" s="437" t="str">
        <f>CONCATENATE("Total ", +C909:C909)</f>
        <v xml:space="preserve">Total Other </v>
      </c>
      <c r="D1000" s="419"/>
      <c r="E1000" s="500">
        <f ca="1">SUBTOTAL(9,E912:E999)</f>
        <v>0</v>
      </c>
      <c r="F1000" s="314">
        <f t="shared" ref="F1000:K1000" ca="1" si="8">SUBTOTAL(9,F912:F999)</f>
        <v>0</v>
      </c>
      <c r="G1000" s="315">
        <f t="shared" ca="1" si="8"/>
        <v>1.2939772103829572E-2</v>
      </c>
      <c r="H1000" s="315">
        <f t="shared" ca="1" si="8"/>
        <v>2.4283794037979284E-2</v>
      </c>
      <c r="I1000" s="315">
        <f t="shared" ca="1" si="8"/>
        <v>3.4864978686805749E-2</v>
      </c>
      <c r="J1000" s="315">
        <f t="shared" ca="1" si="8"/>
        <v>4.6607750571311862E-2</v>
      </c>
      <c r="K1000" s="315">
        <f t="shared" ca="1" si="8"/>
        <v>5.654480799319235E-2</v>
      </c>
      <c r="P1000" s="314"/>
      <c r="Q1000" s="315"/>
      <c r="R1000" s="315"/>
      <c r="S1000" s="315"/>
      <c r="T1000" s="315"/>
      <c r="U1000" s="315"/>
      <c r="V1000" s="315"/>
    </row>
    <row r="1001" spans="1:22" ht="16.5" thickBot="1">
      <c r="B1001" s="270"/>
      <c r="C1001" s="455" t="s">
        <v>273</v>
      </c>
      <c r="D1001" s="467"/>
      <c r="E1001" s="461">
        <f t="shared" ref="E1001:K1001" ca="1" si="9">SUBTOTAL(9,E373:E1000)</f>
        <v>0</v>
      </c>
      <c r="F1001" s="461">
        <f t="shared" ca="1" si="9"/>
        <v>0</v>
      </c>
      <c r="G1001" s="461">
        <f t="shared" ca="1" si="9"/>
        <v>1.6454646730436528</v>
      </c>
      <c r="H1001" s="461">
        <f t="shared" ca="1" si="9"/>
        <v>3.2734751274174925</v>
      </c>
      <c r="I1001" s="461">
        <f t="shared" ca="1" si="9"/>
        <v>5.0813587831649594</v>
      </c>
      <c r="J1001" s="461">
        <f t="shared" ca="1" si="9"/>
        <v>7.0328309601019319</v>
      </c>
      <c r="K1001" s="461">
        <f t="shared" ca="1" si="9"/>
        <v>9.0220891621901025</v>
      </c>
      <c r="P1001" s="461"/>
      <c r="Q1001" s="461"/>
      <c r="R1001" s="461"/>
      <c r="S1001" s="461"/>
      <c r="T1001" s="461"/>
      <c r="U1001" s="461"/>
      <c r="V1001" s="461"/>
    </row>
    <row r="1002" spans="1:22">
      <c r="B1002" s="249"/>
      <c r="C1002" s="462"/>
      <c r="D1002" s="470"/>
      <c r="E1002" s="463"/>
      <c r="F1002" s="463"/>
      <c r="G1002" s="463"/>
      <c r="H1002" s="463"/>
      <c r="I1002" s="463"/>
      <c r="J1002" s="463"/>
      <c r="K1002" s="463"/>
      <c r="P1002" s="463"/>
      <c r="Q1002" s="463"/>
      <c r="R1002" s="463"/>
      <c r="S1002" s="463"/>
      <c r="T1002" s="463"/>
      <c r="U1002" s="463"/>
      <c r="V1002" s="463"/>
    </row>
    <row r="1003" spans="1:22" ht="32.25" thickBot="1">
      <c r="B1003" s="270"/>
      <c r="C1003" s="455" t="s">
        <v>274</v>
      </c>
      <c r="D1003" s="467"/>
      <c r="E1003" s="461">
        <f t="shared" ref="E1003:K1003" ca="1" si="10">SUBTOTAL(9,E9:E1000)</f>
        <v>0</v>
      </c>
      <c r="F1003" s="461">
        <f t="shared" ca="1" si="10"/>
        <v>0</v>
      </c>
      <c r="G1003" s="461">
        <f t="shared" ca="1" si="10"/>
        <v>5.2737113389058567</v>
      </c>
      <c r="H1003" s="461">
        <f t="shared" ca="1" si="10"/>
        <v>10.474814508922986</v>
      </c>
      <c r="I1003" s="461">
        <f t="shared" ca="1" si="10"/>
        <v>16.312138086005092</v>
      </c>
      <c r="J1003" s="461">
        <f t="shared" ca="1" si="10"/>
        <v>22.645143483547884</v>
      </c>
      <c r="K1003" s="461">
        <f t="shared" ca="1" si="10"/>
        <v>29.126443112305608</v>
      </c>
      <c r="P1003" s="461"/>
      <c r="Q1003" s="461"/>
      <c r="R1003" s="461"/>
      <c r="S1003" s="461"/>
      <c r="T1003" s="461"/>
      <c r="U1003" s="461"/>
      <c r="V1003" s="461"/>
    </row>
    <row r="1004" spans="1:22">
      <c r="E1004" s="17"/>
      <c r="F1004" s="17"/>
      <c r="G1004" s="17"/>
      <c r="H1004" s="17"/>
      <c r="I1004" s="17"/>
      <c r="J1004" s="17"/>
      <c r="K1004" s="17"/>
    </row>
    <row r="1007" spans="1:22">
      <c r="B1007" s="2"/>
    </row>
    <row r="1012" spans="2:11" ht="13.5" thickBot="1"/>
    <row r="1013" spans="2:11">
      <c r="B1013" s="326" t="s">
        <v>288</v>
      </c>
      <c r="C1013" s="317"/>
      <c r="D1013" s="317"/>
      <c r="E1013" s="317"/>
      <c r="F1013" s="317"/>
      <c r="G1013" s="317"/>
      <c r="H1013" s="317"/>
      <c r="I1013" s="317"/>
      <c r="J1013" s="317"/>
      <c r="K1013" s="318"/>
    </row>
    <row r="1014" spans="2:11">
      <c r="B1014" s="319" t="s">
        <v>378</v>
      </c>
      <c r="C1014" s="67"/>
      <c r="D1014" s="67"/>
      <c r="E1014" s="67"/>
      <c r="F1014" s="67"/>
      <c r="G1014" s="67"/>
      <c r="H1014" s="67"/>
      <c r="I1014" s="67"/>
      <c r="J1014" s="67"/>
      <c r="K1014" s="519"/>
    </row>
    <row r="1015" spans="2:11">
      <c r="B1015" s="319"/>
      <c r="C1015" s="67" t="s">
        <v>446</v>
      </c>
      <c r="D1015" s="67"/>
      <c r="E1015" s="285">
        <f ca="1">ROUND(+E1001-'R3'!C48-'R3'!C59,3)</f>
        <v>0</v>
      </c>
      <c r="F1015" s="285">
        <f ca="1">ROUND(+F1001-'R3'!D48-'R3'!D59,3)</f>
        <v>0</v>
      </c>
      <c r="G1015" s="285">
        <f ca="1">ROUND(+G1001-'R3'!E48-'R3'!E59,3)</f>
        <v>0</v>
      </c>
      <c r="H1015" s="285">
        <f ca="1">ROUND(+H1001-'R3'!F48-'R3'!F59,3)</f>
        <v>0</v>
      </c>
      <c r="I1015" s="285">
        <f ca="1">ROUND(+I1001-'R3'!G48-'R3'!G59,3)</f>
        <v>0</v>
      </c>
      <c r="J1015" s="285">
        <f ca="1">ROUND(+J1001-'R3'!H48-'R3'!H59,3)</f>
        <v>0</v>
      </c>
      <c r="K1015" s="520">
        <f ca="1">ROUND(+K1001-'R3'!I48-'R3'!I59,3)</f>
        <v>0</v>
      </c>
    </row>
    <row r="1016" spans="2:11">
      <c r="B1016" s="319"/>
      <c r="C1016" s="67" t="s">
        <v>447</v>
      </c>
      <c r="D1016" s="67"/>
      <c r="E1016" s="285">
        <f ca="1">ROUND(+E371-'R2'!C48-'R2'!C59,3)</f>
        <v>0</v>
      </c>
      <c r="F1016" s="285">
        <f ca="1">ROUND(+F371-'R2'!D48-'R2'!D59,3)</f>
        <v>0</v>
      </c>
      <c r="G1016" s="521">
        <f ca="1">ROUND(+G371-'R2'!E48-'R2'!E59,3)</f>
        <v>0</v>
      </c>
      <c r="H1016" s="285">
        <f ca="1">ROUND(+H371-'R2'!F48-'R2'!F59,3)</f>
        <v>0</v>
      </c>
      <c r="I1016" s="285">
        <f ca="1">ROUND(+I371-'R2'!G48-'R2'!G59,3)</f>
        <v>0</v>
      </c>
      <c r="J1016" s="285">
        <f ca="1">ROUND(+J371-'R2'!H48-'R2'!H59,3)</f>
        <v>0</v>
      </c>
      <c r="K1016" s="520">
        <f ca="1">ROUND(+K371-'R2'!I48-'R2'!I59,3)</f>
        <v>0</v>
      </c>
    </row>
    <row r="1017" spans="2:11" ht="13.5" thickBot="1">
      <c r="B1017" s="322"/>
      <c r="C1017" s="323"/>
      <c r="D1017" s="323"/>
      <c r="E1017" s="323"/>
      <c r="F1017" s="323"/>
      <c r="G1017" s="323"/>
      <c r="H1017" s="323"/>
      <c r="I1017" s="323"/>
      <c r="J1017" s="323"/>
      <c r="K1017" s="324"/>
    </row>
    <row r="1020" spans="2:11" ht="15">
      <c r="B1020" s="717" t="s">
        <v>612</v>
      </c>
      <c r="C1020" s="709"/>
      <c r="D1020" s="709"/>
      <c r="E1020" s="709"/>
      <c r="F1020" s="709"/>
      <c r="G1020" s="709"/>
      <c r="H1020" s="709"/>
      <c r="I1020" s="709"/>
      <c r="J1020" s="709"/>
      <c r="K1020" s="710"/>
    </row>
    <row r="1021" spans="2:11" ht="13.5">
      <c r="B1021" s="711" t="s">
        <v>614</v>
      </c>
      <c r="C1021" s="712"/>
      <c r="D1021" s="712"/>
      <c r="E1021" s="712"/>
      <c r="F1021" s="712"/>
      <c r="G1021" s="712"/>
      <c r="H1021" s="712"/>
      <c r="I1021" s="712"/>
      <c r="J1021" s="712"/>
      <c r="K1021" s="713"/>
    </row>
    <row r="1022" spans="2:11" ht="13.5">
      <c r="B1022" s="711"/>
      <c r="C1022" s="712"/>
      <c r="D1022" s="712"/>
      <c r="E1022" s="712"/>
      <c r="F1022" s="712"/>
      <c r="G1022" s="712"/>
      <c r="H1022" s="712"/>
      <c r="I1022" s="712"/>
      <c r="J1022" s="712"/>
      <c r="K1022" s="713"/>
    </row>
    <row r="1023" spans="2:11" ht="13.5">
      <c r="B1023" s="711" t="s">
        <v>379</v>
      </c>
      <c r="C1023" s="712"/>
      <c r="D1023" s="712"/>
      <c r="E1023" s="712"/>
      <c r="F1023" s="712"/>
      <c r="G1023" s="712"/>
      <c r="H1023" s="712"/>
      <c r="I1023" s="712"/>
      <c r="J1023" s="712"/>
      <c r="K1023" s="713"/>
    </row>
    <row r="1024" spans="2:11" ht="13.5">
      <c r="B1024" s="711" t="s">
        <v>380</v>
      </c>
      <c r="C1024" s="712"/>
      <c r="D1024" s="712"/>
      <c r="E1024" s="712"/>
      <c r="F1024" s="712"/>
      <c r="G1024" s="712"/>
      <c r="H1024" s="712"/>
      <c r="I1024" s="712"/>
      <c r="J1024" s="712"/>
      <c r="K1024" s="713"/>
    </row>
    <row r="1025" spans="2:11" ht="13.5">
      <c r="B1025" s="711" t="s">
        <v>610</v>
      </c>
      <c r="C1025" s="712"/>
      <c r="D1025" s="712"/>
      <c r="E1025" s="712"/>
      <c r="F1025" s="712"/>
      <c r="G1025" s="712"/>
      <c r="H1025" s="712"/>
      <c r="I1025" s="712"/>
      <c r="J1025" s="712"/>
      <c r="K1025" s="713"/>
    </row>
    <row r="1026" spans="2:11" ht="13.5">
      <c r="B1026" s="711" t="s">
        <v>611</v>
      </c>
      <c r="C1026" s="712"/>
      <c r="D1026" s="712"/>
      <c r="E1026" s="712"/>
      <c r="F1026" s="712"/>
      <c r="G1026" s="712"/>
      <c r="H1026" s="712"/>
      <c r="I1026" s="712"/>
      <c r="J1026" s="712"/>
      <c r="K1026" s="713"/>
    </row>
    <row r="1027" spans="2:11" ht="13.5">
      <c r="B1027" s="714"/>
      <c r="C1027" s="715"/>
      <c r="D1027" s="715"/>
      <c r="E1027" s="715"/>
      <c r="F1027" s="715"/>
      <c r="G1027" s="715"/>
      <c r="H1027" s="715"/>
      <c r="I1027" s="715"/>
      <c r="J1027" s="715"/>
      <c r="K1027" s="716"/>
    </row>
  </sheetData>
  <sheetProtection formatColumns="0" formatRows="0"/>
  <phoneticPr fontId="0" type="noConversion"/>
  <conditionalFormatting sqref="E1015:K1016">
    <cfRule type="cellIs" dxfId="37" priority="1" stopIfTrue="1" operator="equal">
      <formula>0</formula>
    </cfRule>
    <cfRule type="cellIs" dxfId="36" priority="2" stopIfTrue="1" operator="notEqual">
      <formula>0</formula>
    </cfRule>
  </conditionalFormatting>
  <pageMargins left="0.46" right="0.24" top="0.55000000000000004" bottom="0.64" header="0.24" footer="0.2"/>
  <pageSetup paperSize="9" scale="68" fitToHeight="0" orientation="portrait" r:id="rId1"/>
  <headerFooter alignWithMargins="0">
    <oddFooter>&amp;L&amp;8&amp;F
&amp;A
Printed: &amp;T on &amp;D&amp;C&amp;8Page &amp;P of &amp;N</oddFooter>
  </headerFooter>
  <rowBreaks count="9" manualBreakCount="9">
    <brk id="111" min="1" max="10" man="1"/>
    <brk id="157" min="1" max="18" man="1"/>
    <brk id="278" min="1" max="10" man="1"/>
    <brk id="372" min="1" max="18" man="1"/>
    <brk id="435" min="1" max="10" man="1"/>
    <brk id="558" min="1" max="10" man="1"/>
    <brk id="680" min="1" max="10" man="1"/>
    <brk id="800" min="1" max="10" man="1"/>
    <brk id="908" min="1" max="10" man="1"/>
  </rowBreaks>
</worksheet>
</file>

<file path=xl/worksheets/sheet85.xml><?xml version="1.0" encoding="utf-8"?>
<worksheet xmlns="http://schemas.openxmlformats.org/spreadsheetml/2006/main" xmlns:r="http://schemas.openxmlformats.org/officeDocument/2006/relationships">
  <sheetPr codeName="Sheet101" enableFormatConditionsCalculation="0">
    <tabColor indexed="12"/>
    <pageSetUpPr fitToPage="1"/>
  </sheetPr>
  <dimension ref="A1:AG68"/>
  <sheetViews>
    <sheetView showGridLines="0" zoomScale="85" zoomScaleNormal="85" workbookViewId="0">
      <selection activeCell="E13" sqref="E13"/>
    </sheetView>
  </sheetViews>
  <sheetFormatPr defaultRowHeight="12.75"/>
  <cols>
    <col min="1" max="1" width="4.28515625" customWidth="1"/>
    <col min="2" max="2" width="41.85546875" customWidth="1"/>
    <col min="3" max="3" width="9.42578125" hidden="1" customWidth="1"/>
    <col min="4" max="9" width="9.28515625" customWidth="1"/>
    <col min="10" max="10" width="2.42578125" customWidth="1"/>
    <col min="11" max="12" width="2.140625" customWidth="1"/>
    <col min="14" max="18" width="10" customWidth="1"/>
  </cols>
  <sheetData>
    <row r="1" spans="1:32" ht="20.25">
      <c r="A1" s="2" t="s">
        <v>381</v>
      </c>
      <c r="B1" s="7" t="s">
        <v>405</v>
      </c>
      <c r="M1" s="7" t="s">
        <v>514</v>
      </c>
    </row>
    <row r="2" spans="1:32">
      <c r="B2" t="s">
        <v>449</v>
      </c>
    </row>
    <row r="4" spans="1:32">
      <c r="T4" s="616" t="s">
        <v>515</v>
      </c>
      <c r="U4" s="617"/>
      <c r="V4" s="617"/>
      <c r="W4" s="617"/>
      <c r="X4" s="617"/>
      <c r="Y4" s="618"/>
    </row>
    <row r="5" spans="1:32" ht="15.75">
      <c r="B5" s="428" t="s">
        <v>108</v>
      </c>
      <c r="C5" s="429"/>
      <c r="D5" s="429"/>
      <c r="E5" s="429"/>
      <c r="F5" s="429"/>
      <c r="G5" s="429"/>
      <c r="H5" s="429"/>
      <c r="J5" s="429"/>
      <c r="K5" s="21"/>
      <c r="T5" s="604" t="s">
        <v>516</v>
      </c>
      <c r="U5" s="67"/>
      <c r="V5" s="67"/>
      <c r="W5" s="67"/>
      <c r="X5" s="67"/>
      <c r="Y5" s="605"/>
      <c r="AA5" s="2" t="s">
        <v>524</v>
      </c>
    </row>
    <row r="6" spans="1:32" ht="13.5" thickBot="1">
      <c r="B6" s="429"/>
      <c r="C6" s="429"/>
      <c r="D6" s="429"/>
      <c r="E6" s="429"/>
      <c r="F6" s="429"/>
      <c r="G6" s="429"/>
      <c r="H6" s="429"/>
      <c r="I6" s="474" t="str">
        <f>+LU_BaseYearDollars</f>
        <v>($M) 2013/14 dollars</v>
      </c>
      <c r="J6" s="429"/>
      <c r="K6" s="21"/>
      <c r="M6" s="429"/>
      <c r="N6" s="429"/>
      <c r="O6" s="429"/>
      <c r="P6" s="429"/>
      <c r="Q6" s="429"/>
      <c r="R6" s="474" t="str">
        <f>+LU_BaseYearDollars</f>
        <v>($M) 2013/14 dollars</v>
      </c>
      <c r="T6" s="606"/>
      <c r="U6" s="607"/>
      <c r="V6" s="607"/>
      <c r="W6" s="607"/>
      <c r="X6" s="607"/>
      <c r="Y6" s="655" t="str">
        <f>+LU_BaseYearDollars</f>
        <v>($M) 2013/14 dollars</v>
      </c>
    </row>
    <row r="7" spans="1:32" ht="13.5" thickBot="1">
      <c r="B7" s="471"/>
      <c r="C7" s="439" t="str">
        <f t="array" ref="C7:I7">LU_TemplateYearHeader2</f>
        <v>2013/14</v>
      </c>
      <c r="D7" s="439" t="str">
        <v>2014/15</v>
      </c>
      <c r="E7" s="439" t="str">
        <v>2015/16</v>
      </c>
      <c r="F7" s="439" t="str">
        <v>2016/17</v>
      </c>
      <c r="G7" s="439" t="str">
        <v>2017/18</v>
      </c>
      <c r="H7" s="439" t="str">
        <v>2018/19</v>
      </c>
      <c r="I7" s="439" t="str">
        <v>2019/20</v>
      </c>
      <c r="J7" s="430"/>
      <c r="K7" s="21"/>
      <c r="M7" s="439" t="str">
        <f>+'Ref-1'!P$39</f>
        <v>2014/15</v>
      </c>
      <c r="N7" s="439" t="str">
        <f>+'Ref-1'!Q$39</f>
        <v>2015/16</v>
      </c>
      <c r="O7" s="439" t="str">
        <f>+'Ref-1'!R$39</f>
        <v>2016/17</v>
      </c>
      <c r="P7" s="439" t="str">
        <f>+'Ref-1'!S$39</f>
        <v>2017/18</v>
      </c>
      <c r="Q7" s="439" t="str">
        <f>+'Ref-1'!T$39</f>
        <v>2018/19</v>
      </c>
      <c r="R7" s="439" t="str">
        <f>+'Ref-1'!U$39</f>
        <v>2019/20</v>
      </c>
      <c r="T7" s="439" t="str">
        <f>+'Ref-1'!P$39</f>
        <v>2014/15</v>
      </c>
      <c r="U7" s="439" t="str">
        <f>+'Ref-1'!Q$39</f>
        <v>2015/16</v>
      </c>
      <c r="V7" s="439" t="str">
        <f>+'Ref-1'!R$39</f>
        <v>2016/17</v>
      </c>
      <c r="W7" s="439" t="str">
        <f>+'Ref-1'!S$39</f>
        <v>2017/18</v>
      </c>
      <c r="X7" s="439" t="str">
        <f>+'Ref-1'!T$39</f>
        <v>2018/19</v>
      </c>
      <c r="Y7" s="439" t="str">
        <f>+'Ref-1'!U$39</f>
        <v>2019/20</v>
      </c>
      <c r="AA7" s="439" t="str">
        <f>+'Ref-1'!P$39</f>
        <v>2014/15</v>
      </c>
      <c r="AB7" s="439" t="str">
        <f>+'Ref-1'!Q$39</f>
        <v>2015/16</v>
      </c>
      <c r="AC7" s="439" t="str">
        <f>+'Ref-1'!R$39</f>
        <v>2016/17</v>
      </c>
      <c r="AD7" s="439" t="str">
        <f>+'Ref-1'!S$39</f>
        <v>2017/18</v>
      </c>
      <c r="AE7" s="439" t="str">
        <f>+'Ref-1'!T$39</f>
        <v>2018/19</v>
      </c>
      <c r="AF7" s="439" t="str">
        <f>+'Ref-1'!U$39</f>
        <v>2019/20</v>
      </c>
    </row>
    <row r="8" spans="1:32">
      <c r="B8" s="431" t="str">
        <f>+'I-7 Escalations'!B11</f>
        <v>Labour</v>
      </c>
      <c r="C8" s="427">
        <f ca="1">SUMIF('R5 Escalations'!$C$9:$C$999,$B8,'R5 Escalations'!E$9:E$999)</f>
        <v>0</v>
      </c>
      <c r="D8" s="427">
        <f ca="1">SUMIF('R5 Escalations'!$C$9:$C$999,$B8,'R5 Escalations'!F$9:F$999)</f>
        <v>0</v>
      </c>
      <c r="E8" s="427">
        <f ca="1">SUMIF('R5 Escalations'!$C$9:$C$999,$B8,'R5 Escalations'!G$9:G$999)</f>
        <v>2.3119889349225593</v>
      </c>
      <c r="F8" s="427">
        <f ca="1">SUMIF('R5 Escalations'!$C$9:$C$999,$B8,'R5 Escalations'!H$9:H$999)</f>
        <v>4.7190523002523799</v>
      </c>
      <c r="G8" s="427">
        <f ca="1">SUMIF('R5 Escalations'!$C$9:$C$999,$B8,'R5 Escalations'!I$9:I$999)</f>
        <v>7.3576659654858574</v>
      </c>
      <c r="H8" s="427">
        <f ca="1">SUMIF('R5 Escalations'!$C$9:$C$999,$B8,'R5 Escalations'!J$9:J$999)</f>
        <v>10.112490945556237</v>
      </c>
      <c r="I8" s="427">
        <f ca="1">SUMIF('R5 Escalations'!$C$9:$C$999,$B8,'R5 Escalations'!K$9:K$999)</f>
        <v>12.971932792191115</v>
      </c>
      <c r="J8" s="29"/>
      <c r="K8" s="21"/>
      <c r="M8" s="427">
        <f ca="1">SUMIF('R5 Escalations'!$C$9:$C$999,$B8,'R5 Escalations'!Q$9:Q$999)</f>
        <v>0</v>
      </c>
      <c r="N8" s="427">
        <f ca="1">SUMIF('R5 Escalations'!$C$9:$C$999,$B8,'R5 Escalations'!R$9:R$999)</f>
        <v>107.7450185836514</v>
      </c>
      <c r="O8" s="427">
        <f ca="1">SUMIF('R5 Escalations'!$C$9:$C$999,$B8,'R5 Escalations'!S$9:S$999)</f>
        <v>108.79314327171598</v>
      </c>
      <c r="P8" s="427">
        <f ca="1">SUMIF('R5 Escalations'!$C$9:$C$999,$B8,'R5 Escalations'!T$9:T$999)</f>
        <v>109.82920288725079</v>
      </c>
      <c r="Q8" s="427">
        <f ca="1">SUMIF('R5 Escalations'!$C$9:$C$999,$B8,'R5 Escalations'!U$9:U$999)</f>
        <v>110.95324435844499</v>
      </c>
      <c r="R8" s="427">
        <f ca="1">SUMIF('R5 Escalations'!$C$9:$C$999,$B8,'R5 Escalations'!V$9:V$999)</f>
        <v>111.98287475842129</v>
      </c>
      <c r="T8" s="608">
        <f t="shared" ref="T8:Y10" ca="1" si="0">+M8*AA8</f>
        <v>0</v>
      </c>
      <c r="U8" s="609">
        <f t="shared" ca="1" si="0"/>
        <v>2.3119889349225597</v>
      </c>
      <c r="V8" s="609">
        <f t="shared" ca="1" si="0"/>
        <v>4.7190523002523808</v>
      </c>
      <c r="W8" s="609">
        <f t="shared" ca="1" si="0"/>
        <v>7.3576659654858583</v>
      </c>
      <c r="X8" s="609">
        <f t="shared" ca="1" si="0"/>
        <v>10.11249094555623</v>
      </c>
      <c r="Y8" s="610">
        <f t="shared" ca="1" si="0"/>
        <v>12.971932792191119</v>
      </c>
      <c r="AA8" s="103">
        <f>+'I-7 Escalations'!D11</f>
        <v>0</v>
      </c>
      <c r="AB8" s="103">
        <f>(+'I-7 Escalations'!E11+1)*(1+AA8)-1</f>
        <v>2.1457965902410336E-2</v>
      </c>
      <c r="AC8" s="103">
        <f>(+'I-7 Escalations'!F11+1)*(1+AB8)-1</f>
        <v>4.3376376105489722E-2</v>
      </c>
      <c r="AD8" s="103">
        <f>(+'I-7 Escalations'!G11+1)*(1+AC8)-1</f>
        <v>6.6991890791005204E-2</v>
      </c>
      <c r="AE8" s="103">
        <f>(+'I-7 Escalations'!H11+1)*(1+AD8)-1</f>
        <v>9.1141913010554854E-2</v>
      </c>
      <c r="AF8" s="103">
        <f>(+'I-7 Escalations'!I11+1)*(1+AE8)-1</f>
        <v>0.11583854067128785</v>
      </c>
    </row>
    <row r="9" spans="1:32" ht="15">
      <c r="B9" s="431" t="str">
        <f>+'I-7 Escalations'!B12</f>
        <v>Materials</v>
      </c>
      <c r="C9" s="427">
        <f ca="1">SUMIF('R5 Escalations'!$C$9:$C$999,$B9,'R5 Escalations'!E$9:E$999)</f>
        <v>0</v>
      </c>
      <c r="D9" s="427">
        <f ca="1">SUMIF('R5 Escalations'!$C$9:$C$999,$B9,'R5 Escalations'!F$9:F$999)</f>
        <v>0</v>
      </c>
      <c r="E9" s="427">
        <f ca="1">SUMIF('R5 Escalations'!$C$9:$C$999,$B9,'R5 Escalations'!G$9:G$999)</f>
        <v>0</v>
      </c>
      <c r="F9" s="427">
        <f ca="1">SUMIF('R5 Escalations'!$C$9:$C$999,$B9,'R5 Escalations'!H$9:H$999)</f>
        <v>0</v>
      </c>
      <c r="G9" s="427">
        <f ca="1">SUMIF('R5 Escalations'!$C$9:$C$999,$B9,'R5 Escalations'!I$9:I$999)</f>
        <v>0</v>
      </c>
      <c r="H9" s="427">
        <f ca="1">SUMIF('R5 Escalations'!$C$9:$C$999,$B9,'R5 Escalations'!J$9:J$999)</f>
        <v>0</v>
      </c>
      <c r="I9" s="427">
        <f ca="1">SUMIF('R5 Escalations'!$C$9:$C$999,$B9,'R5 Escalations'!K$9:K$999)</f>
        <v>0</v>
      </c>
      <c r="J9" s="432"/>
      <c r="K9" s="21"/>
      <c r="M9" s="427">
        <f ca="1">SUMIF('R5 Escalations'!$C$9:$C$999,$B9,'R5 Escalations'!Q$9:Q$999)</f>
        <v>0</v>
      </c>
      <c r="N9" s="427">
        <f ca="1">SUMIF('R5 Escalations'!$C$9:$C$999,$B9,'R5 Escalations'!R$9:R$999)</f>
        <v>0</v>
      </c>
      <c r="O9" s="427">
        <f ca="1">SUMIF('R5 Escalations'!$C$9:$C$999,$B9,'R5 Escalations'!S$9:S$999)</f>
        <v>0</v>
      </c>
      <c r="P9" s="427">
        <f ca="1">SUMIF('R5 Escalations'!$C$9:$C$999,$B9,'R5 Escalations'!T$9:T$999)</f>
        <v>0</v>
      </c>
      <c r="Q9" s="427">
        <f ca="1">SUMIF('R5 Escalations'!$C$9:$C$999,$B9,'R5 Escalations'!U$9:U$999)</f>
        <v>0</v>
      </c>
      <c r="R9" s="427">
        <f ca="1">SUMIF('R5 Escalations'!$C$9:$C$999,$B9,'R5 Escalations'!V$9:V$999)</f>
        <v>0</v>
      </c>
      <c r="T9" s="608">
        <f t="shared" ca="1" si="0"/>
        <v>0</v>
      </c>
      <c r="U9" s="609">
        <f t="shared" ca="1" si="0"/>
        <v>0</v>
      </c>
      <c r="V9" s="609">
        <f t="shared" ca="1" si="0"/>
        <v>0</v>
      </c>
      <c r="W9" s="609">
        <f t="shared" ca="1" si="0"/>
        <v>0</v>
      </c>
      <c r="X9" s="609">
        <f t="shared" ca="1" si="0"/>
        <v>0</v>
      </c>
      <c r="Y9" s="610">
        <f t="shared" ca="1" si="0"/>
        <v>0</v>
      </c>
      <c r="AA9" s="103">
        <f>+'I-7 Escalations'!D12</f>
        <v>0</v>
      </c>
      <c r="AB9" s="103">
        <f>(+'I-7 Escalations'!E12+1)*(1+AA9)-1</f>
        <v>0</v>
      </c>
      <c r="AC9" s="103">
        <f>(+'I-7 Escalations'!F12+1)*(1+AB9)-1</f>
        <v>0</v>
      </c>
      <c r="AD9" s="103">
        <f>(+'I-7 Escalations'!G12+1)*(1+AC9)-1</f>
        <v>0</v>
      </c>
      <c r="AE9" s="103">
        <f>(+'I-7 Escalations'!H12+1)*(1+AD9)-1</f>
        <v>0</v>
      </c>
      <c r="AF9" s="103">
        <f>(+'I-7 Escalations'!I12+1)*(1+AE9)-1</f>
        <v>0</v>
      </c>
    </row>
    <row r="10" spans="1:32" ht="15">
      <c r="B10" s="431" t="str">
        <f>+'I-7 Escalations'!B13</f>
        <v>Services-construction</v>
      </c>
      <c r="C10" s="427">
        <f ca="1">SUMIF('R5 Escalations'!$C$9:$C$999,$B10,'R5 Escalations'!E$9:E$999)</f>
        <v>0</v>
      </c>
      <c r="D10" s="427">
        <f ca="1">SUMIF('R5 Escalations'!$C$9:$C$999,$B10,'R5 Escalations'!F$9:F$999)</f>
        <v>0</v>
      </c>
      <c r="E10" s="427">
        <f ca="1">SUMIF('R5 Escalations'!$C$9:$C$999,$B10,'R5 Escalations'!G$9:G$999)</f>
        <v>0.27587990475995661</v>
      </c>
      <c r="F10" s="427">
        <f ca="1">SUMIF('R5 Escalations'!$C$9:$C$999,$B10,'R5 Escalations'!H$9:H$999)</f>
        <v>0.55852005048358644</v>
      </c>
      <c r="G10" s="427">
        <f ca="1">SUMIF('R5 Escalations'!$C$9:$C$999,$B10,'R5 Escalations'!I$9:I$999)</f>
        <v>1.0751030863581847</v>
      </c>
      <c r="H10" s="427">
        <f ca="1">SUMIF('R5 Escalations'!$C$9:$C$999,$B10,'R5 Escalations'!J$9:J$999)</f>
        <v>1.6941088042422816</v>
      </c>
      <c r="I10" s="427">
        <f ca="1">SUMIF('R5 Escalations'!$C$9:$C$999,$B10,'R5 Escalations'!K$9:K$999)</f>
        <v>2.4480299870218256</v>
      </c>
      <c r="J10" s="432"/>
      <c r="K10" s="21"/>
      <c r="M10" s="427">
        <f ca="1">SUMIF('R5 Escalations'!$C$9:$C$999,$B10,'R5 Escalations'!Q$9:Q$999)</f>
        <v>0</v>
      </c>
      <c r="N10" s="427">
        <f ca="1">SUMIF('R5 Escalations'!$C$9:$C$999,$B10,'R5 Escalations'!R$9:R$999)</f>
        <v>55.175980951992514</v>
      </c>
      <c r="O10" s="427">
        <f ca="1">SUMIF('R5 Escalations'!$C$9:$C$999,$B10,'R5 Escalations'!S$9:S$999)</f>
        <v>55.712723240259521</v>
      </c>
      <c r="P10" s="427">
        <f ca="1">SUMIF('R5 Escalations'!$C$9:$C$999,$B10,'R5 Escalations'!T$9:T$999)</f>
        <v>56.243287032101968</v>
      </c>
      <c r="Q10" s="427">
        <f ca="1">SUMIF('R5 Escalations'!$C$9:$C$999,$B10,'R5 Escalations'!U$9:U$999)</f>
        <v>56.818906133747113</v>
      </c>
      <c r="R10" s="427">
        <f ca="1">SUMIF('R5 Escalations'!$C$9:$C$999,$B10,'R5 Escalations'!V$9:V$999)</f>
        <v>57.34617753880589</v>
      </c>
      <c r="T10" s="608">
        <f t="shared" ca="1" si="0"/>
        <v>0</v>
      </c>
      <c r="U10" s="609">
        <f t="shared" ca="1" si="0"/>
        <v>0.27587990475995672</v>
      </c>
      <c r="V10" s="609">
        <f t="shared" ca="1" si="0"/>
        <v>0.55852005048358655</v>
      </c>
      <c r="W10" s="609">
        <f t="shared" ca="1" si="0"/>
        <v>1.0751030863581841</v>
      </c>
      <c r="X10" s="609">
        <f t="shared" ca="1" si="0"/>
        <v>1.6941088042422807</v>
      </c>
      <c r="Y10" s="610">
        <f t="shared" ca="1" si="0"/>
        <v>2.4480299870218265</v>
      </c>
      <c r="AA10" s="103">
        <f>+'I-7 Escalations'!D13</f>
        <v>0</v>
      </c>
      <c r="AB10" s="103">
        <f>(+'I-7 Escalations'!E13+1)*(1+AA10)-1</f>
        <v>4.9999999999998934E-3</v>
      </c>
      <c r="AC10" s="103">
        <f>(+'I-7 Escalations'!F13+1)*(1+AB10)-1</f>
        <v>1.0024999999999729E-2</v>
      </c>
      <c r="AD10" s="103">
        <f>(+'I-7 Escalations'!G13+1)*(1+AC10)-1</f>
        <v>1.9115224999999514E-2</v>
      </c>
      <c r="AE10" s="103">
        <f>(+'I-7 Escalations'!H13+1)*(1+AD10)-1</f>
        <v>2.981593486249956E-2</v>
      </c>
      <c r="AF10" s="103">
        <f>(+'I-7 Escalations'!I13+1)*(1+AE10)-1</f>
        <v>4.2688634048280827E-2</v>
      </c>
    </row>
    <row r="11" spans="1:32" s="766" customFormat="1" ht="15">
      <c r="B11" s="431" t="str">
        <f>+'I-7 Escalations'!B14</f>
        <v>Services-general</v>
      </c>
      <c r="C11" s="427">
        <f ca="1">SUMIF('R5 Escalations'!$C$9:$C$999,$B11,'R5 Escalations'!E$9:E$999)</f>
        <v>0</v>
      </c>
      <c r="D11" s="427">
        <f ca="1">SUMIF('R5 Escalations'!$C$9:$C$999,$B11,'R5 Escalations'!F$9:F$999)</f>
        <v>0</v>
      </c>
      <c r="E11" s="427">
        <f ca="1">SUMIF('R5 Escalations'!$C$9:$C$999,$B11,'R5 Escalations'!G$9:G$999)</f>
        <v>0.23219415706319146</v>
      </c>
      <c r="F11" s="427">
        <f ca="1">SUMIF('R5 Escalations'!$C$9:$C$999,$B11,'R5 Escalations'!H$9:H$999)</f>
        <v>0.47007806689569004</v>
      </c>
      <c r="G11" s="427">
        <f ca="1">SUMIF('R5 Escalations'!$C$9:$C$999,$B11,'R5 Escalations'!I$9:I$999)</f>
        <v>0.90485987049393746</v>
      </c>
      <c r="H11" s="427">
        <f ca="1">SUMIF('R5 Escalations'!$C$9:$C$999,$B11,'R5 Escalations'!J$9:J$999)</f>
        <v>1.4258456632302825</v>
      </c>
      <c r="I11" s="427">
        <f ca="1">SUMIF('R5 Escalations'!$C$9:$C$999,$B11,'R5 Escalations'!K$9:K$999)</f>
        <v>2.0603829764133414</v>
      </c>
      <c r="J11" s="432"/>
      <c r="K11" s="732"/>
      <c r="M11" s="427">
        <f ca="1">SUMIF('R5 Escalations'!$C$9:$C$999,$B11,'R5 Escalations'!Q$9:Q$999)</f>
        <v>0</v>
      </c>
      <c r="N11" s="427">
        <f ca="1">SUMIF('R5 Escalations'!$C$9:$C$999,$B11,'R5 Escalations'!R$9:R$999)</f>
        <v>46.438831412639281</v>
      </c>
      <c r="O11" s="427">
        <f ca="1">SUMIF('R5 Escalations'!$C$9:$C$999,$B11,'R5 Escalations'!S$9:S$999)</f>
        <v>46.890580238972866</v>
      </c>
      <c r="P11" s="427">
        <f ca="1">SUMIF('R5 Escalations'!$C$9:$C$999,$B11,'R5 Escalations'!T$9:T$999)</f>
        <v>47.337128937481005</v>
      </c>
      <c r="Q11" s="427">
        <f ca="1">SUMIF('R5 Escalations'!$C$9:$C$999,$B11,'R5 Escalations'!U$9:U$999)</f>
        <v>47.821598410573863</v>
      </c>
      <c r="R11" s="427">
        <f ca="1">SUMIF('R5 Escalations'!$C$9:$C$999,$B11,'R5 Escalations'!V$9:V$999)</f>
        <v>48.265376073711991</v>
      </c>
      <c r="T11" s="608">
        <f t="shared" ref="T11:T12" ca="1" si="1">+M11*AA11</f>
        <v>0</v>
      </c>
      <c r="U11" s="609">
        <f t="shared" ref="U11:U12" ca="1" si="2">+N11*AB11</f>
        <v>0.23219415706319146</v>
      </c>
      <c r="V11" s="609">
        <f t="shared" ref="V11:V12" ca="1" si="3">+O11*AC11</f>
        <v>0.47007806689569026</v>
      </c>
      <c r="W11" s="609">
        <f t="shared" ref="W11:W12" ca="1" si="4">+P11*AD11</f>
        <v>0.90485987049393735</v>
      </c>
      <c r="X11" s="609">
        <f t="shared" ref="X11:X12" ca="1" si="5">+Q11*AE11</f>
        <v>1.4258456632302827</v>
      </c>
      <c r="Y11" s="610">
        <f t="shared" ref="Y11:Y12" ca="1" si="6">+R11*AF11</f>
        <v>2.0603829764133406</v>
      </c>
      <c r="AA11" s="103">
        <f>+'I-7 Escalations'!D14</f>
        <v>0</v>
      </c>
      <c r="AB11" s="103">
        <f>(+'I-7 Escalations'!E14+1)*(1+AA11)-1</f>
        <v>4.9999999999998934E-3</v>
      </c>
      <c r="AC11" s="103">
        <f>(+'I-7 Escalations'!F14+1)*(1+AB11)-1</f>
        <v>1.0024999999999729E-2</v>
      </c>
      <c r="AD11" s="103">
        <f>(+'I-7 Escalations'!G14+1)*(1+AC11)-1</f>
        <v>1.9115224999999514E-2</v>
      </c>
      <c r="AE11" s="103">
        <f>(+'I-7 Escalations'!H14+1)*(1+AD11)-1</f>
        <v>2.981593486249956E-2</v>
      </c>
      <c r="AF11" s="103">
        <f>(+'I-7 Escalations'!I14+1)*(1+AE11)-1</f>
        <v>4.2688634048280827E-2</v>
      </c>
    </row>
    <row r="12" spans="1:32" ht="15">
      <c r="B12" s="431" t="str">
        <f>+'I-7 Escalations'!B15</f>
        <v>Materials - Land</v>
      </c>
      <c r="C12" s="427">
        <f ca="1">SUMIF('R5 Escalations'!$C$9:$C$999,$B12,'R5 Escalations'!E$9:E$999)</f>
        <v>0</v>
      </c>
      <c r="D12" s="427">
        <f ca="1">SUMIF('R5 Escalations'!$C$9:$C$999,$B12,'R5 Escalations'!F$9:F$999)</f>
        <v>0</v>
      </c>
      <c r="E12" s="427">
        <f ca="1">SUMIF('R5 Escalations'!$C$9:$C$999,$B12,'R5 Escalations'!G$9:G$999)</f>
        <v>0</v>
      </c>
      <c r="F12" s="427">
        <f ca="1">SUMIF('R5 Escalations'!$C$9:$C$999,$B12,'R5 Escalations'!H$9:H$999)</f>
        <v>0</v>
      </c>
      <c r="G12" s="427">
        <f ca="1">SUMIF('R5 Escalations'!$C$9:$C$999,$B12,'R5 Escalations'!I$9:I$999)</f>
        <v>0</v>
      </c>
      <c r="H12" s="427">
        <f ca="1">SUMIF('R5 Escalations'!$C$9:$C$999,$B12,'R5 Escalations'!J$9:J$999)</f>
        <v>0</v>
      </c>
      <c r="I12" s="427">
        <f ca="1">SUMIF('R5 Escalations'!$C$9:$C$999,$B12,'R5 Escalations'!K$9:K$999)</f>
        <v>0</v>
      </c>
      <c r="J12" s="432"/>
      <c r="K12" s="732"/>
      <c r="L12" s="766"/>
      <c r="M12" s="427">
        <f ca="1">SUMIF('R5 Escalations'!$C$9:$C$999,$B12,'R5 Escalations'!Q$9:Q$999)</f>
        <v>0</v>
      </c>
      <c r="N12" s="427">
        <f ca="1">SUMIF('R5 Escalations'!$C$9:$C$999,$B12,'R5 Escalations'!R$9:R$999)</f>
        <v>0</v>
      </c>
      <c r="O12" s="427">
        <f ca="1">SUMIF('R5 Escalations'!$C$9:$C$999,$B12,'R5 Escalations'!S$9:S$999)</f>
        <v>0</v>
      </c>
      <c r="P12" s="427">
        <f ca="1">SUMIF('R5 Escalations'!$C$9:$C$999,$B12,'R5 Escalations'!T$9:T$999)</f>
        <v>0</v>
      </c>
      <c r="Q12" s="427">
        <f ca="1">SUMIF('R5 Escalations'!$C$9:$C$999,$B12,'R5 Escalations'!U$9:U$999)</f>
        <v>0</v>
      </c>
      <c r="R12" s="427">
        <f ca="1">SUMIF('R5 Escalations'!$C$9:$C$999,$B12,'R5 Escalations'!V$9:V$999)</f>
        <v>0</v>
      </c>
      <c r="S12" s="766"/>
      <c r="T12" s="608">
        <f t="shared" ca="1" si="1"/>
        <v>0</v>
      </c>
      <c r="U12" s="609">
        <f t="shared" ca="1" si="2"/>
        <v>0</v>
      </c>
      <c r="V12" s="609">
        <f t="shared" ca="1" si="3"/>
        <v>0</v>
      </c>
      <c r="W12" s="609">
        <f t="shared" ca="1" si="4"/>
        <v>0</v>
      </c>
      <c r="X12" s="609">
        <f t="shared" ca="1" si="5"/>
        <v>0</v>
      </c>
      <c r="Y12" s="610">
        <f t="shared" ca="1" si="6"/>
        <v>0</v>
      </c>
      <c r="Z12" s="766"/>
      <c r="AA12" s="103">
        <f>+'I-7 Escalations'!D15</f>
        <v>0</v>
      </c>
      <c r="AB12" s="103">
        <f>(+'I-7 Escalations'!E15+1)*(1+AA12)-1</f>
        <v>0</v>
      </c>
      <c r="AC12" s="103">
        <f>(+'I-7 Escalations'!F15+1)*(1+AB12)-1</f>
        <v>0</v>
      </c>
      <c r="AD12" s="103">
        <f>(+'I-7 Escalations'!G15+1)*(1+AC12)-1</f>
        <v>0</v>
      </c>
      <c r="AE12" s="103">
        <f>(+'I-7 Escalations'!H15+1)*(1+AD12)-1</f>
        <v>0</v>
      </c>
      <c r="AF12" s="103">
        <f>(+'I-7 Escalations'!I15+1)*(1+AE12)-1</f>
        <v>0</v>
      </c>
    </row>
    <row r="13" spans="1:32">
      <c r="B13" s="435" t="s">
        <v>382</v>
      </c>
      <c r="C13" s="433">
        <f t="shared" ref="C13:I13" ca="1" si="7">SUM(C8:C12)</f>
        <v>0</v>
      </c>
      <c r="D13" s="433">
        <f t="shared" ca="1" si="7"/>
        <v>0</v>
      </c>
      <c r="E13" s="433">
        <f t="shared" ca="1" si="7"/>
        <v>2.8200629967457074</v>
      </c>
      <c r="F13" s="433">
        <f t="shared" ca="1" si="7"/>
        <v>5.7476504176316565</v>
      </c>
      <c r="G13" s="433">
        <f t="shared" ca="1" si="7"/>
        <v>9.3376289223379807</v>
      </c>
      <c r="H13" s="433">
        <f t="shared" ca="1" si="7"/>
        <v>13.232445413028801</v>
      </c>
      <c r="I13" s="433">
        <f t="shared" ca="1" si="7"/>
        <v>17.480345755626281</v>
      </c>
      <c r="J13" s="36"/>
      <c r="K13" s="21"/>
      <c r="M13" s="433">
        <f t="shared" ref="M13:R13" ca="1" si="8">SUM(M8:M12)</f>
        <v>0</v>
      </c>
      <c r="N13" s="433">
        <f t="shared" ca="1" si="8"/>
        <v>209.35983094828319</v>
      </c>
      <c r="O13" s="433">
        <f t="shared" ca="1" si="8"/>
        <v>211.39644675094837</v>
      </c>
      <c r="P13" s="433">
        <f t="shared" ca="1" si="8"/>
        <v>213.40961885683376</v>
      </c>
      <c r="Q13" s="433">
        <f t="shared" ca="1" si="8"/>
        <v>215.59374890276598</v>
      </c>
      <c r="R13" s="433">
        <f t="shared" ca="1" si="8"/>
        <v>217.59442837093917</v>
      </c>
      <c r="T13" s="611">
        <f t="shared" ref="T13:Y13" ca="1" si="9">SUM(T8:T12)</f>
        <v>0</v>
      </c>
      <c r="U13" s="433">
        <f t="shared" ca="1" si="9"/>
        <v>2.8200629967457083</v>
      </c>
      <c r="V13" s="433">
        <f t="shared" ca="1" si="9"/>
        <v>5.7476504176316574</v>
      </c>
      <c r="W13" s="433">
        <f t="shared" ca="1" si="9"/>
        <v>9.3376289223379789</v>
      </c>
      <c r="X13" s="433">
        <f t="shared" ca="1" si="9"/>
        <v>13.232445413028794</v>
      </c>
      <c r="Y13" s="612">
        <f t="shared" ca="1" si="9"/>
        <v>17.480345755626285</v>
      </c>
    </row>
    <row r="14" spans="1:32">
      <c r="B14" s="434"/>
      <c r="C14" s="36"/>
      <c r="D14" s="36"/>
      <c r="E14" s="36"/>
      <c r="F14" s="36"/>
      <c r="G14" s="36"/>
      <c r="H14" s="36"/>
      <c r="I14" s="36"/>
      <c r="J14" s="36"/>
      <c r="K14" s="21"/>
      <c r="M14" s="409" t="s">
        <v>517</v>
      </c>
      <c r="N14" s="36"/>
      <c r="O14" s="36"/>
      <c r="P14" s="36"/>
      <c r="Q14" s="36"/>
      <c r="R14" s="36"/>
      <c r="T14" s="604"/>
      <c r="U14" s="67"/>
      <c r="V14" s="67"/>
      <c r="W14" s="67"/>
      <c r="X14" s="67"/>
      <c r="Y14" s="605"/>
    </row>
    <row r="15" spans="1:32" ht="15.75">
      <c r="B15" s="428" t="s">
        <v>115</v>
      </c>
      <c r="C15" s="429"/>
      <c r="D15" s="429"/>
      <c r="E15" s="429"/>
      <c r="F15" s="429"/>
      <c r="G15" s="429"/>
      <c r="H15" s="429"/>
      <c r="I15" s="429"/>
      <c r="J15" s="429"/>
      <c r="K15" s="21"/>
      <c r="M15" s="409" t="s">
        <v>518</v>
      </c>
      <c r="N15" s="429"/>
      <c r="O15" s="429"/>
      <c r="P15" s="429"/>
      <c r="Q15" s="429"/>
      <c r="R15" s="429"/>
      <c r="T15" s="604"/>
      <c r="U15" s="67"/>
      <c r="V15" s="67"/>
      <c r="W15" s="67"/>
      <c r="X15" s="67"/>
      <c r="Y15" s="605"/>
    </row>
    <row r="16" spans="1:32" ht="13.5" thickBot="1">
      <c r="B16" s="429"/>
      <c r="C16" s="429"/>
      <c r="D16" s="429"/>
      <c r="E16" s="429"/>
      <c r="F16" s="429"/>
      <c r="G16" s="429"/>
      <c r="H16" s="429"/>
      <c r="I16" s="474" t="str">
        <f>+LU_BaseYearDollars</f>
        <v>($M) 2013/14 dollars</v>
      </c>
      <c r="J16" s="429"/>
      <c r="K16" s="21"/>
      <c r="M16" s="429"/>
      <c r="N16" s="429"/>
      <c r="O16" s="429"/>
      <c r="P16" s="429"/>
      <c r="Q16" s="429"/>
      <c r="R16" s="474" t="str">
        <f>+LU_BaseYearDollars</f>
        <v>($M) 2013/14 dollars</v>
      </c>
      <c r="T16" s="604"/>
      <c r="U16" s="67"/>
      <c r="V16" s="67"/>
      <c r="W16" s="67"/>
      <c r="X16" s="67"/>
      <c r="Y16" s="605"/>
    </row>
    <row r="17" spans="2:33" ht="13.5" thickBot="1">
      <c r="B17" s="471"/>
      <c r="C17" s="439" t="str">
        <f t="array" ref="C17:I17">LU_TemplateYearHeader2</f>
        <v>2013/14</v>
      </c>
      <c r="D17" s="439" t="str">
        <v>2014/15</v>
      </c>
      <c r="E17" s="439" t="str">
        <v>2015/16</v>
      </c>
      <c r="F17" s="439" t="str">
        <v>2016/17</v>
      </c>
      <c r="G17" s="439" t="str">
        <v>2017/18</v>
      </c>
      <c r="H17" s="439" t="str">
        <v>2018/19</v>
      </c>
      <c r="I17" s="439" t="str">
        <v>2019/20</v>
      </c>
      <c r="J17" s="430"/>
      <c r="K17" s="21"/>
      <c r="M17" s="439" t="str">
        <f>+'Ref-1'!P$39</f>
        <v>2014/15</v>
      </c>
      <c r="N17" s="439" t="str">
        <f>+'Ref-1'!Q$39</f>
        <v>2015/16</v>
      </c>
      <c r="O17" s="439" t="str">
        <f>+'Ref-1'!R$39</f>
        <v>2016/17</v>
      </c>
      <c r="P17" s="439" t="str">
        <f>+'Ref-1'!S$39</f>
        <v>2017/18</v>
      </c>
      <c r="Q17" s="439" t="str">
        <f>+'Ref-1'!T$39</f>
        <v>2018/19</v>
      </c>
      <c r="R17" s="439" t="str">
        <f>+'Ref-1'!U$39</f>
        <v>2019/20</v>
      </c>
      <c r="T17" s="604"/>
      <c r="U17" s="67"/>
      <c r="V17" s="67"/>
      <c r="W17" s="67"/>
      <c r="X17" s="67"/>
      <c r="Y17" s="605"/>
    </row>
    <row r="18" spans="2:33">
      <c r="B18" s="496" t="s">
        <v>716</v>
      </c>
      <c r="C18" s="495"/>
      <c r="D18" s="495"/>
      <c r="E18" s="495"/>
      <c r="F18" s="495"/>
      <c r="G18" s="495"/>
      <c r="H18" s="495"/>
      <c r="I18" s="495"/>
      <c r="J18" s="430"/>
      <c r="K18" s="21"/>
      <c r="M18" s="495"/>
      <c r="N18" s="495"/>
      <c r="O18" s="495"/>
      <c r="P18" s="495"/>
      <c r="Q18" s="495"/>
      <c r="R18" s="495"/>
      <c r="T18" s="604"/>
      <c r="U18" s="67"/>
      <c r="V18" s="67"/>
      <c r="W18" s="67"/>
      <c r="X18" s="67"/>
      <c r="Y18" s="605"/>
    </row>
    <row r="19" spans="2:33">
      <c r="B19" s="431" t="str">
        <f>+'I-7 Escalations'!B24</f>
        <v>Customer Growth</v>
      </c>
      <c r="C19" s="427">
        <f ca="1">SUMIF('R5 Escalations'!$C$9:$C$1000,$B19,'R5 Escalations'!E$9:E$1000)</f>
        <v>0</v>
      </c>
      <c r="D19" s="427">
        <f ca="1">SUMIF('R5 Escalations'!$C$9:$C$1000,$B19,'R5 Escalations'!F$9:F$1000)</f>
        <v>0</v>
      </c>
      <c r="E19" s="427">
        <f ca="1">SUMIF('R5 Escalations'!$C$9:$C$1000,$B19,'R5 Escalations'!G$9:G$1000)</f>
        <v>0</v>
      </c>
      <c r="F19" s="427">
        <f ca="1">SUMIF('R5 Escalations'!$C$9:$C$1000,$B19,'R5 Escalations'!H$9:H$1000)</f>
        <v>0</v>
      </c>
      <c r="G19" s="427">
        <f ca="1">SUMIF('R5 Escalations'!$C$9:$C$1000,$B19,'R5 Escalations'!I$9:I$1000)</f>
        <v>0</v>
      </c>
      <c r="H19" s="427">
        <f ca="1">SUMIF('R5 Escalations'!$C$9:$C$1000,$B19,'R5 Escalations'!J$9:J$1000)</f>
        <v>0</v>
      </c>
      <c r="I19" s="427">
        <f ca="1">SUMIF('R5 Escalations'!$C$9:$C$1000,$B19,'R5 Escalations'!K$9:K$1000)</f>
        <v>0</v>
      </c>
      <c r="J19" s="29"/>
      <c r="K19" s="21"/>
      <c r="M19" s="427">
        <f ca="1">SUMIF('R5 Escalations'!$C$9:$C$1000,$B19,'R5 Escalations'!Q$9:Q$1000)</f>
        <v>0</v>
      </c>
      <c r="N19" s="427">
        <f ca="1">SUMIF('R5 Escalations'!$C$9:$C$1000,$B19,'R5 Escalations'!R$9:R$1000)</f>
        <v>0</v>
      </c>
      <c r="O19" s="427">
        <f ca="1">SUMIF('R5 Escalations'!$C$9:$C$1000,$B19,'R5 Escalations'!S$9:S$1000)</f>
        <v>0</v>
      </c>
      <c r="P19" s="427">
        <f ca="1">SUMIF('R5 Escalations'!$C$9:$C$1000,$B19,'R5 Escalations'!T$9:T$1000)</f>
        <v>0</v>
      </c>
      <c r="Q19" s="427">
        <f ca="1">SUMIF('R5 Escalations'!$C$9:$C$1000,$B19,'R5 Escalations'!U$9:U$1000)</f>
        <v>0</v>
      </c>
      <c r="R19" s="427">
        <f ca="1">SUMIF('R5 Escalations'!$C$9:$C$1000,$B19,'R5 Escalations'!V$9:V$1000)</f>
        <v>0</v>
      </c>
      <c r="T19" s="608">
        <f t="shared" ref="T19:Y19" ca="1" si="10">+M19*AA19</f>
        <v>0</v>
      </c>
      <c r="U19" s="609">
        <f t="shared" ca="1" si="10"/>
        <v>0</v>
      </c>
      <c r="V19" s="609">
        <f t="shared" ca="1" si="10"/>
        <v>0</v>
      </c>
      <c r="W19" s="609">
        <f t="shared" ca="1" si="10"/>
        <v>0</v>
      </c>
      <c r="X19" s="609">
        <f t="shared" ca="1" si="10"/>
        <v>0</v>
      </c>
      <c r="Y19" s="610">
        <f t="shared" ca="1" si="10"/>
        <v>0</v>
      </c>
      <c r="AA19" s="103">
        <f>+'I-7 Escalations'!D24</f>
        <v>0</v>
      </c>
      <c r="AB19" s="103">
        <f>(+'I-7 Escalations'!E24+1)*(1+AA19)-1</f>
        <v>7.4851369579662652E-3</v>
      </c>
      <c r="AC19" s="103">
        <f>(+'I-7 Escalations'!F24+1)*(1+AB19)-1</f>
        <v>1.5034730238570493E-2</v>
      </c>
      <c r="AD19" s="103">
        <f>(+'I-7 Escalations'!G24+1)*(1+AC19)-1</f>
        <v>2.2647607908673706E-2</v>
      </c>
      <c r="AE19" s="103">
        <f>(+'I-7 Escalations'!H24+1)*(1+AD19)-1</f>
        <v>3.0326113834553636E-2</v>
      </c>
      <c r="AF19" s="103">
        <f>(+'I-7 Escalations'!I24+1)*(1+AE19)-1</f>
        <v>3.8069076083071307E-2</v>
      </c>
    </row>
    <row r="20" spans="2:33">
      <c r="B20" s="431" t="str">
        <f>+'I-7 Escalations'!B25</f>
        <v>Circuit Length Growth</v>
      </c>
      <c r="C20" s="427">
        <f ca="1">SUMIF('R5 Escalations'!$C$9:$C$1000,$B20,'R5 Escalations'!E$9:E$1000)</f>
        <v>0</v>
      </c>
      <c r="D20" s="427">
        <f ca="1">SUMIF('R5 Escalations'!$C$9:$C$1000,$B20,'R5 Escalations'!F$9:F$1000)</f>
        <v>0</v>
      </c>
      <c r="E20" s="427">
        <f ca="1">SUMIF('R5 Escalations'!$C$9:$C$1000,$B20,'R5 Escalations'!G$9:G$1000)</f>
        <v>0</v>
      </c>
      <c r="F20" s="427">
        <f ca="1">SUMIF('R5 Escalations'!$C$9:$C$1000,$B20,'R5 Escalations'!H$9:H$1000)</f>
        <v>0</v>
      </c>
      <c r="G20" s="427">
        <f ca="1">SUMIF('R5 Escalations'!$C$9:$C$1000,$B20,'R5 Escalations'!I$9:I$1000)</f>
        <v>0</v>
      </c>
      <c r="H20" s="427">
        <f ca="1">SUMIF('R5 Escalations'!$C$9:$C$1000,$B20,'R5 Escalations'!J$9:J$1000)</f>
        <v>0</v>
      </c>
      <c r="I20" s="427">
        <f ca="1">SUMIF('R5 Escalations'!$C$9:$C$1000,$B20,'R5 Escalations'!K$9:K$1000)</f>
        <v>0</v>
      </c>
      <c r="J20" s="29"/>
      <c r="K20" s="21"/>
      <c r="M20" s="427">
        <f ca="1">SUMIF('R5 Escalations'!$C$9:$C$1000,$B20,'R5 Escalations'!Q$9:Q$1000)</f>
        <v>0</v>
      </c>
      <c r="N20" s="427">
        <f ca="1">SUMIF('R5 Escalations'!$C$9:$C$1000,$B20,'R5 Escalations'!R$9:R$1000)</f>
        <v>0</v>
      </c>
      <c r="O20" s="427">
        <f ca="1">SUMIF('R5 Escalations'!$C$9:$C$1000,$B20,'R5 Escalations'!S$9:S$1000)</f>
        <v>0</v>
      </c>
      <c r="P20" s="427">
        <f ca="1">SUMIF('R5 Escalations'!$C$9:$C$1000,$B20,'R5 Escalations'!T$9:T$1000)</f>
        <v>0</v>
      </c>
      <c r="Q20" s="427">
        <f ca="1">SUMIF('R5 Escalations'!$C$9:$C$1000,$B20,'R5 Escalations'!U$9:U$1000)</f>
        <v>0</v>
      </c>
      <c r="R20" s="427">
        <f ca="1">SUMIF('R5 Escalations'!$C$9:$C$1000,$B20,'R5 Escalations'!V$9:V$1000)</f>
        <v>0</v>
      </c>
      <c r="T20" s="608">
        <f t="shared" ref="T20:Y26" ca="1" si="11">+M20*AA20</f>
        <v>0</v>
      </c>
      <c r="U20" s="609">
        <f t="shared" ca="1" si="11"/>
        <v>0</v>
      </c>
      <c r="V20" s="609">
        <f t="shared" ca="1" si="11"/>
        <v>0</v>
      </c>
      <c r="W20" s="609">
        <f t="shared" ca="1" si="11"/>
        <v>0</v>
      </c>
      <c r="X20" s="609">
        <f t="shared" ca="1" si="11"/>
        <v>0</v>
      </c>
      <c r="Y20" s="610">
        <f t="shared" ca="1" si="11"/>
        <v>0</v>
      </c>
      <c r="AA20" s="103">
        <f>+'I-7 Escalations'!D25</f>
        <v>0</v>
      </c>
      <c r="AB20" s="103">
        <f>(+'I-7 Escalations'!E25+1)*(1+AA20)-1</f>
        <v>5.719606632462515E-3</v>
      </c>
      <c r="AC20" s="103">
        <f>(+'I-7 Escalations'!F25+1)*(1+AB20)-1</f>
        <v>1.1463874137380259E-2</v>
      </c>
      <c r="AD20" s="103">
        <f>(+'I-7 Escalations'!G25+1)*(1+AC20)-1</f>
        <v>1.7366403126134689E-2</v>
      </c>
      <c r="AE20" s="103">
        <f>(+'I-7 Escalations'!H25+1)*(1+AD20)-1</f>
        <v>2.365968612332936E-2</v>
      </c>
      <c r="AF20" s="103">
        <f>(+'I-7 Escalations'!I25+1)*(1+AE20)-1</f>
        <v>2.9805753459408946E-2</v>
      </c>
    </row>
    <row r="21" spans="2:33">
      <c r="B21" s="431" t="str">
        <f>+'I-7 Escalations'!B26</f>
        <v>Distribution Transformer Capacity Growth</v>
      </c>
      <c r="C21" s="427">
        <f ca="1">SUMIF('R5 Escalations'!$C$9:$C$1000,$B21,'R5 Escalations'!E$9:E$1000)</f>
        <v>0</v>
      </c>
      <c r="D21" s="427">
        <f ca="1">SUMIF('R5 Escalations'!$C$9:$C$1000,$B21,'R5 Escalations'!F$9:F$1000)</f>
        <v>0</v>
      </c>
      <c r="E21" s="427">
        <f ca="1">SUMIF('R5 Escalations'!$C$9:$C$1000,$B21,'R5 Escalations'!G$9:G$1000)</f>
        <v>0</v>
      </c>
      <c r="F21" s="427">
        <f ca="1">SUMIF('R5 Escalations'!$C$9:$C$1000,$B21,'R5 Escalations'!H$9:H$1000)</f>
        <v>0</v>
      </c>
      <c r="G21" s="427">
        <f ca="1">SUMIF('R5 Escalations'!$C$9:$C$1000,$B21,'R5 Escalations'!I$9:I$1000)</f>
        <v>0</v>
      </c>
      <c r="H21" s="427">
        <f ca="1">SUMIF('R5 Escalations'!$C$9:$C$1000,$B21,'R5 Escalations'!J$9:J$1000)</f>
        <v>0</v>
      </c>
      <c r="I21" s="427">
        <f ca="1">SUMIF('R5 Escalations'!$C$9:$C$1000,$B21,'R5 Escalations'!K$9:K$1000)</f>
        <v>0</v>
      </c>
      <c r="J21" s="29"/>
      <c r="K21" s="21"/>
      <c r="M21" s="427">
        <f ca="1">SUMIF('R5 Escalations'!$C$9:$C$1000,$B21,'R5 Escalations'!Q$9:Q$1000)</f>
        <v>0</v>
      </c>
      <c r="N21" s="427">
        <f ca="1">SUMIF('R5 Escalations'!$C$9:$C$1000,$B21,'R5 Escalations'!R$9:R$1000)</f>
        <v>0</v>
      </c>
      <c r="O21" s="427">
        <f ca="1">SUMIF('R5 Escalations'!$C$9:$C$1000,$B21,'R5 Escalations'!S$9:S$1000)</f>
        <v>0</v>
      </c>
      <c r="P21" s="427">
        <f ca="1">SUMIF('R5 Escalations'!$C$9:$C$1000,$B21,'R5 Escalations'!T$9:T$1000)</f>
        <v>0</v>
      </c>
      <c r="Q21" s="427">
        <f ca="1">SUMIF('R5 Escalations'!$C$9:$C$1000,$B21,'R5 Escalations'!U$9:U$1000)</f>
        <v>0</v>
      </c>
      <c r="R21" s="427">
        <f ca="1">SUMIF('R5 Escalations'!$C$9:$C$1000,$B21,'R5 Escalations'!V$9:V$1000)</f>
        <v>0</v>
      </c>
      <c r="T21" s="608">
        <f t="shared" ca="1" si="11"/>
        <v>0</v>
      </c>
      <c r="U21" s="609">
        <f t="shared" ca="1" si="11"/>
        <v>0</v>
      </c>
      <c r="V21" s="609">
        <f t="shared" ca="1" si="11"/>
        <v>0</v>
      </c>
      <c r="W21" s="609">
        <f t="shared" ca="1" si="11"/>
        <v>0</v>
      </c>
      <c r="X21" s="609">
        <f t="shared" ca="1" si="11"/>
        <v>0</v>
      </c>
      <c r="Y21" s="610">
        <f t="shared" ca="1" si="11"/>
        <v>0</v>
      </c>
      <c r="AA21" s="103">
        <f>+'I-7 Escalations'!D26</f>
        <v>0</v>
      </c>
      <c r="AB21" s="103">
        <f>(+'I-7 Escalations'!E26+1)*(1+AA21)-1</f>
        <v>3.3195016113435116E-2</v>
      </c>
      <c r="AC21" s="103">
        <f>(+'I-7 Escalations'!F26+1)*(1+AB21)-1</f>
        <v>6.7004196416408091E-2</v>
      </c>
      <c r="AD21" s="103">
        <f>(+'I-7 Escalations'!G26+1)*(1+AC21)-1</f>
        <v>0.10051187793542615</v>
      </c>
      <c r="AE21" s="103">
        <f>(+'I-7 Escalations'!H26+1)*(1+AD21)-1</f>
        <v>0.13535955404979938</v>
      </c>
      <c r="AF21" s="103">
        <f>(+'I-7 Escalations'!I26+1)*(1+AE21)-1</f>
        <v>0.17132389232696865</v>
      </c>
    </row>
    <row r="22" spans="2:33">
      <c r="B22" s="431" t="str">
        <f>+'I-7 Escalations'!B28</f>
        <v>Total Output Growth</v>
      </c>
      <c r="C22" s="427">
        <f ca="1">SUMIF('R5 Escalations'!$C$9:$C$1000,$B22,'R5 Escalations'!E$9:E$1000)</f>
        <v>0</v>
      </c>
      <c r="D22" s="427">
        <f ca="1">SUMIF('R5 Escalations'!$C$9:$C$1000,$B22,'R5 Escalations'!F$9:F$1000)</f>
        <v>0</v>
      </c>
      <c r="E22" s="427">
        <f ca="1">SUMIF('R5 Escalations'!$C$9:$C$1000,$B22,'R5 Escalations'!G$9:G$1000)</f>
        <v>2.4536483421601551</v>
      </c>
      <c r="F22" s="427">
        <f ca="1">SUMIF('R5 Escalations'!$C$9:$C$1000,$B22,'R5 Escalations'!H$9:H$1000)</f>
        <v>4.7271640912913284</v>
      </c>
      <c r="G22" s="427">
        <f ca="1">SUMIF('R5 Escalations'!$C$9:$C$1000,$B22,'R5 Escalations'!I$9:I$1000)</f>
        <v>6.9745091636671122</v>
      </c>
      <c r="H22" s="427">
        <f ca="1">SUMIF('R5 Escalations'!$C$9:$C$1000,$B22,'R5 Escalations'!J$9:J$1000)</f>
        <v>9.4126980705190704</v>
      </c>
      <c r="I22" s="427">
        <f ca="1">SUMIF('R5 Escalations'!$C$9:$C$1000,$B22,'R5 Escalations'!K$9:K$1000)</f>
        <v>11.646097356679336</v>
      </c>
      <c r="J22" s="29"/>
      <c r="K22" s="21"/>
      <c r="M22" s="427">
        <f ca="1">SUMIF('R5 Escalations'!$C$9:$C$1000,$B22,'R5 Escalations'!Q$9:Q$1000)</f>
        <v>0</v>
      </c>
      <c r="N22" s="427">
        <f ca="1">SUMIF('R5 Escalations'!$C$9:$C$1000,$B22,'R5 Escalations'!R$9:R$1000)</f>
        <v>231.25899999999982</v>
      </c>
      <c r="O22" s="427">
        <f ca="1">SUMIF('R5 Escalations'!$C$9:$C$1000,$B22,'R5 Escalations'!S$9:S$1000)</f>
        <v>231.25899999999982</v>
      </c>
      <c r="P22" s="427">
        <f ca="1">SUMIF('R5 Escalations'!$C$9:$C$1000,$B22,'R5 Escalations'!T$9:T$1000)</f>
        <v>231.25899999999982</v>
      </c>
      <c r="Q22" s="427">
        <f ca="1">SUMIF('R5 Escalations'!$C$9:$C$1000,$B22,'R5 Escalations'!U$9:U$1000)</f>
        <v>231.25899999999982</v>
      </c>
      <c r="R22" s="427">
        <f ca="1">SUMIF('R5 Escalations'!$C$9:$C$1000,$B22,'R5 Escalations'!V$9:V$1000)</f>
        <v>231.25899999999982</v>
      </c>
      <c r="T22" s="608">
        <f t="shared" ca="1" si="11"/>
        <v>0</v>
      </c>
      <c r="U22" s="609">
        <f t="shared" ca="1" si="11"/>
        <v>2.4536483421601512</v>
      </c>
      <c r="V22" s="609">
        <f t="shared" ca="1" si="11"/>
        <v>4.7271640912913258</v>
      </c>
      <c r="W22" s="609">
        <f t="shared" ca="1" si="11"/>
        <v>6.9745091636671042</v>
      </c>
      <c r="X22" s="609">
        <f t="shared" ca="1" si="11"/>
        <v>9.4126980705190704</v>
      </c>
      <c r="Y22" s="610">
        <f t="shared" ca="1" si="11"/>
        <v>11.646097356679329</v>
      </c>
      <c r="AA22" s="103">
        <f>+'I-7 Escalations'!D28</f>
        <v>0</v>
      </c>
      <c r="AB22" s="103">
        <f>(+'I-7 Escalations'!E28+1)*(1+AA22)-1</f>
        <v>1.0609958281235121E-2</v>
      </c>
      <c r="AC22" s="103">
        <f>(+'I-7 Escalations'!F28+1)*(1+AB22)-1</f>
        <v>2.0440995123611749E-2</v>
      </c>
      <c r="AD22" s="103">
        <f>(+'I-7 Escalations'!G28+1)*(1+AC22)-1</f>
        <v>3.0158865876212859E-2</v>
      </c>
      <c r="AE22" s="103">
        <f>(+'I-7 Escalations'!H28+1)*(1+AD22)-1</f>
        <v>4.0701975146995695E-2</v>
      </c>
      <c r="AF22" s="103">
        <f>(+'I-7 Escalations'!I28+1)*(1+AE22)-1</f>
        <v>5.035954214400018E-2</v>
      </c>
    </row>
    <row r="23" spans="2:33">
      <c r="B23" s="431" t="str">
        <f>+'I-7 Escalations'!B29</f>
        <v>Nil</v>
      </c>
      <c r="C23" s="427">
        <f ca="1">SUMIF('R5 Escalations'!$C$9:$C$1000,$B23,'R5 Escalations'!E$9:E$1000)</f>
        <v>0</v>
      </c>
      <c r="D23" s="427">
        <f ca="1">SUMIF('R5 Escalations'!$C$9:$C$1000,$B23,'R5 Escalations'!F$9:F$1000)</f>
        <v>0</v>
      </c>
      <c r="E23" s="427">
        <f ca="1">SUMIF('R5 Escalations'!$C$9:$C$1000,$B23,'R5 Escalations'!G$9:G$1000)</f>
        <v>0</v>
      </c>
      <c r="F23" s="427">
        <f ca="1">SUMIF('R5 Escalations'!$C$9:$C$1000,$B23,'R5 Escalations'!H$9:H$1000)</f>
        <v>0</v>
      </c>
      <c r="G23" s="427">
        <f ca="1">SUMIF('R5 Escalations'!$C$9:$C$1000,$B23,'R5 Escalations'!I$9:I$1000)</f>
        <v>0</v>
      </c>
      <c r="H23" s="427">
        <f ca="1">SUMIF('R5 Escalations'!$C$9:$C$1000,$B23,'R5 Escalations'!J$9:J$1000)</f>
        <v>0</v>
      </c>
      <c r="I23" s="427">
        <f ca="1">SUMIF('R5 Escalations'!$C$9:$C$1000,$B23,'R5 Escalations'!K$9:K$1000)</f>
        <v>0</v>
      </c>
      <c r="J23" s="29"/>
      <c r="K23" s="21"/>
      <c r="M23" s="427">
        <f ca="1">SUMIF('R5 Escalations'!$C$9:$C$1000,$B23,'R5 Escalations'!Q$9:Q$1000)</f>
        <v>0</v>
      </c>
      <c r="N23" s="427">
        <f ca="1">SUMIF('R5 Escalations'!$C$9:$C$1000,$B23,'R5 Escalations'!R$9:R$1000)</f>
        <v>0</v>
      </c>
      <c r="O23" s="427">
        <f ca="1">SUMIF('R5 Escalations'!$C$9:$C$1000,$B23,'R5 Escalations'!S$9:S$1000)</f>
        <v>0</v>
      </c>
      <c r="P23" s="427">
        <f ca="1">SUMIF('R5 Escalations'!$C$9:$C$1000,$B23,'R5 Escalations'!T$9:T$1000)</f>
        <v>0</v>
      </c>
      <c r="Q23" s="427">
        <f ca="1">SUMIF('R5 Escalations'!$C$9:$C$1000,$B23,'R5 Escalations'!U$9:U$1000)</f>
        <v>0</v>
      </c>
      <c r="R23" s="427">
        <f ca="1">SUMIF('R5 Escalations'!$C$9:$C$1000,$B23,'R5 Escalations'!V$9:V$1000)</f>
        <v>0</v>
      </c>
      <c r="T23" s="608">
        <f t="shared" ca="1" si="11"/>
        <v>0</v>
      </c>
      <c r="U23" s="609">
        <f t="shared" ca="1" si="11"/>
        <v>0</v>
      </c>
      <c r="V23" s="609">
        <f t="shared" ca="1" si="11"/>
        <v>0</v>
      </c>
      <c r="W23" s="609">
        <f t="shared" ca="1" si="11"/>
        <v>0</v>
      </c>
      <c r="X23" s="609">
        <f t="shared" ca="1" si="11"/>
        <v>0</v>
      </c>
      <c r="Y23" s="610">
        <f t="shared" ca="1" si="11"/>
        <v>0</v>
      </c>
      <c r="AA23" s="103">
        <f>+'I-7 Escalations'!D29</f>
        <v>0</v>
      </c>
      <c r="AB23" s="103">
        <f>(+'I-7 Escalations'!E29+1)*(1+AA23)-1</f>
        <v>0</v>
      </c>
      <c r="AC23" s="103">
        <f>(+'I-7 Escalations'!F29+1)*(1+AB23)-1</f>
        <v>0</v>
      </c>
      <c r="AD23" s="103">
        <f>(+'I-7 Escalations'!G29+1)*(1+AC23)-1</f>
        <v>0</v>
      </c>
      <c r="AE23" s="103">
        <f>(+'I-7 Escalations'!H29+1)*(1+AD23)-1</f>
        <v>0</v>
      </c>
      <c r="AF23" s="103">
        <f>(+'I-7 Escalations'!I29+1)*(1+AE23)-1</f>
        <v>0</v>
      </c>
    </row>
    <row r="24" spans="2:33">
      <c r="B24" s="431">
        <f>+'I-7 Escalations'!B30</f>
        <v>0</v>
      </c>
      <c r="C24" s="427">
        <f ca="1">SUMIF('R5 Escalations'!$C$9:$C$1000,$B24,'R5 Escalations'!E$9:E$1000)</f>
        <v>0</v>
      </c>
      <c r="D24" s="427">
        <f ca="1">SUMIF('R5 Escalations'!$C$9:$C$1000,$B24,'R5 Escalations'!F$9:F$1000)</f>
        <v>0</v>
      </c>
      <c r="E24" s="427">
        <f ca="1">SUMIF('R5 Escalations'!$C$9:$C$1000,$B24,'R5 Escalations'!G$9:G$1000)</f>
        <v>0</v>
      </c>
      <c r="F24" s="427">
        <f ca="1">SUMIF('R5 Escalations'!$C$9:$C$1000,$B24,'R5 Escalations'!H$9:H$1000)</f>
        <v>0</v>
      </c>
      <c r="G24" s="427">
        <f ca="1">SUMIF('R5 Escalations'!$C$9:$C$1000,$B24,'R5 Escalations'!I$9:I$1000)</f>
        <v>0</v>
      </c>
      <c r="H24" s="427">
        <f ca="1">SUMIF('R5 Escalations'!$C$9:$C$1000,$B24,'R5 Escalations'!J$9:J$1000)</f>
        <v>0</v>
      </c>
      <c r="I24" s="427">
        <f ca="1">SUMIF('R5 Escalations'!$C$9:$C$1000,$B24,'R5 Escalations'!K$9:K$1000)</f>
        <v>0</v>
      </c>
      <c r="J24" s="29"/>
      <c r="K24" s="21"/>
      <c r="M24" s="427">
        <f ca="1">SUMIF('R5 Escalations'!$C$9:$C$1000,$B24,'R5 Escalations'!Q$9:Q$1000)</f>
        <v>0</v>
      </c>
      <c r="N24" s="427">
        <f ca="1">SUMIF('R5 Escalations'!$C$9:$C$1000,$B24,'R5 Escalations'!R$9:R$1000)</f>
        <v>0</v>
      </c>
      <c r="O24" s="427">
        <f ca="1">SUMIF('R5 Escalations'!$C$9:$C$1000,$B24,'R5 Escalations'!S$9:S$1000)</f>
        <v>0</v>
      </c>
      <c r="P24" s="427">
        <f ca="1">SUMIF('R5 Escalations'!$C$9:$C$1000,$B24,'R5 Escalations'!T$9:T$1000)</f>
        <v>0</v>
      </c>
      <c r="Q24" s="427">
        <f ca="1">SUMIF('R5 Escalations'!$C$9:$C$1000,$B24,'R5 Escalations'!U$9:U$1000)</f>
        <v>0</v>
      </c>
      <c r="R24" s="427">
        <f ca="1">SUMIF('R5 Escalations'!$C$9:$C$1000,$B24,'R5 Escalations'!V$9:V$1000)</f>
        <v>0</v>
      </c>
      <c r="T24" s="608">
        <f t="shared" ca="1" si="11"/>
        <v>0</v>
      </c>
      <c r="U24" s="609">
        <f t="shared" ca="1" si="11"/>
        <v>0</v>
      </c>
      <c r="V24" s="609">
        <f t="shared" ca="1" si="11"/>
        <v>0</v>
      </c>
      <c r="W24" s="609">
        <f t="shared" ca="1" si="11"/>
        <v>0</v>
      </c>
      <c r="X24" s="609">
        <f t="shared" ca="1" si="11"/>
        <v>0</v>
      </c>
      <c r="Y24" s="610">
        <f t="shared" ca="1" si="11"/>
        <v>0</v>
      </c>
      <c r="AA24" s="103">
        <f>+'I-7 Escalations'!D30</f>
        <v>0</v>
      </c>
      <c r="AB24" s="103">
        <f>(+'I-7 Escalations'!E30+1)*(1+AA24)-1</f>
        <v>0</v>
      </c>
      <c r="AC24" s="103">
        <f>(+'I-7 Escalations'!F30+1)*(1+AB24)-1</f>
        <v>0</v>
      </c>
      <c r="AD24" s="103">
        <f>(+'I-7 Escalations'!G30+1)*(1+AC24)-1</f>
        <v>0</v>
      </c>
      <c r="AE24" s="103">
        <f>(+'I-7 Escalations'!H30+1)*(1+AD24)-1</f>
        <v>0</v>
      </c>
      <c r="AF24" s="103">
        <f>(+'I-7 Escalations'!I30+1)*(1+AE24)-1</f>
        <v>0</v>
      </c>
    </row>
    <row r="25" spans="2:33" ht="15">
      <c r="B25" s="431">
        <f>+'I-7 Escalations'!B31</f>
        <v>0</v>
      </c>
      <c r="C25" s="427">
        <f ca="1">SUMIF('R5 Escalations'!$C$9:$C$1000,$B25,'R5 Escalations'!E$9:E$1000)</f>
        <v>0</v>
      </c>
      <c r="D25" s="427">
        <f ca="1">SUMIF('R5 Escalations'!$C$9:$C$1000,$B25,'R5 Escalations'!F$9:F$1000)</f>
        <v>0</v>
      </c>
      <c r="E25" s="427">
        <f ca="1">SUMIF('R5 Escalations'!$C$9:$C$1000,$B25,'R5 Escalations'!G$9:G$1000)</f>
        <v>0</v>
      </c>
      <c r="F25" s="427">
        <f ca="1">SUMIF('R5 Escalations'!$C$9:$C$1000,$B25,'R5 Escalations'!H$9:H$1000)</f>
        <v>0</v>
      </c>
      <c r="G25" s="427">
        <f ca="1">SUMIF('R5 Escalations'!$C$9:$C$1000,$B25,'R5 Escalations'!I$9:I$1000)</f>
        <v>0</v>
      </c>
      <c r="H25" s="427">
        <f ca="1">SUMIF('R5 Escalations'!$C$9:$C$1000,$B25,'R5 Escalations'!J$9:J$1000)</f>
        <v>0</v>
      </c>
      <c r="I25" s="427">
        <f ca="1">SUMIF('R5 Escalations'!$C$9:$C$1000,$B25,'R5 Escalations'!K$9:K$1000)</f>
        <v>0</v>
      </c>
      <c r="J25" s="432"/>
      <c r="K25" s="21"/>
      <c r="M25" s="427">
        <f ca="1">SUMIF('R5 Escalations'!$C$9:$C$1000,$B25,'R5 Escalations'!Q$9:Q$1000)</f>
        <v>0</v>
      </c>
      <c r="N25" s="427">
        <f ca="1">SUMIF('R5 Escalations'!$C$9:$C$1000,$B25,'R5 Escalations'!R$9:R$1000)</f>
        <v>0</v>
      </c>
      <c r="O25" s="427">
        <f ca="1">SUMIF('R5 Escalations'!$C$9:$C$1000,$B25,'R5 Escalations'!S$9:S$1000)</f>
        <v>0</v>
      </c>
      <c r="P25" s="427">
        <f ca="1">SUMIF('R5 Escalations'!$C$9:$C$1000,$B25,'R5 Escalations'!T$9:T$1000)</f>
        <v>0</v>
      </c>
      <c r="Q25" s="427">
        <f ca="1">SUMIF('R5 Escalations'!$C$9:$C$1000,$B25,'R5 Escalations'!U$9:U$1000)</f>
        <v>0</v>
      </c>
      <c r="R25" s="427">
        <f ca="1">SUMIF('R5 Escalations'!$C$9:$C$1000,$B25,'R5 Escalations'!V$9:V$1000)</f>
        <v>0</v>
      </c>
      <c r="T25" s="608">
        <f t="shared" ca="1" si="11"/>
        <v>0</v>
      </c>
      <c r="U25" s="609">
        <f t="shared" ca="1" si="11"/>
        <v>0</v>
      </c>
      <c r="V25" s="609">
        <f t="shared" ca="1" si="11"/>
        <v>0</v>
      </c>
      <c r="W25" s="609">
        <f t="shared" ca="1" si="11"/>
        <v>0</v>
      </c>
      <c r="X25" s="609">
        <f t="shared" ca="1" si="11"/>
        <v>0</v>
      </c>
      <c r="Y25" s="610">
        <f t="shared" ca="1" si="11"/>
        <v>0</v>
      </c>
      <c r="AA25" s="103">
        <f>+'I-7 Escalations'!D31</f>
        <v>0</v>
      </c>
      <c r="AB25" s="103">
        <f>(+'I-7 Escalations'!E31+1)*(1+AA25)-1</f>
        <v>0</v>
      </c>
      <c r="AC25" s="103">
        <f>(+'I-7 Escalations'!F31+1)*(1+AB25)-1</f>
        <v>0</v>
      </c>
      <c r="AD25" s="103">
        <f>(+'I-7 Escalations'!G31+1)*(1+AC25)-1</f>
        <v>0</v>
      </c>
      <c r="AE25" s="103">
        <f>(+'I-7 Escalations'!H31+1)*(1+AD25)-1</f>
        <v>0</v>
      </c>
      <c r="AF25" s="103">
        <f>(+'I-7 Escalations'!I31+1)*(1+AE25)-1</f>
        <v>0</v>
      </c>
    </row>
    <row r="26" spans="2:33">
      <c r="B26" s="431">
        <f>+'I-7 Escalations'!B32</f>
        <v>0</v>
      </c>
      <c r="C26" s="427">
        <f ca="1">SUMIF('R5 Escalations'!$C$9:$C$1000,$B26,'R5 Escalations'!E$9:E$1000)</f>
        <v>0</v>
      </c>
      <c r="D26" s="427">
        <f ca="1">SUMIF('R5 Escalations'!$C$9:$C$1000,$B26,'R5 Escalations'!F$9:F$1000)</f>
        <v>0</v>
      </c>
      <c r="E26" s="427">
        <f ca="1">SUMIF('R5 Escalations'!$C$9:$C$1000,$B26,'R5 Escalations'!G$9:G$1000)</f>
        <v>0</v>
      </c>
      <c r="F26" s="427">
        <f ca="1">SUMIF('R5 Escalations'!$C$9:$C$1000,$B26,'R5 Escalations'!H$9:H$1000)</f>
        <v>0</v>
      </c>
      <c r="G26" s="427">
        <f ca="1">SUMIF('R5 Escalations'!$C$9:$C$1000,$B26,'R5 Escalations'!I$9:I$1000)</f>
        <v>0</v>
      </c>
      <c r="H26" s="427">
        <f ca="1">SUMIF('R5 Escalations'!$C$9:$C$1000,$B26,'R5 Escalations'!J$9:J$1000)</f>
        <v>0</v>
      </c>
      <c r="I26" s="427">
        <f ca="1">SUMIF('R5 Escalations'!$C$9:$C$1000,$B26,'R5 Escalations'!K$9:K$1000)</f>
        <v>0</v>
      </c>
      <c r="J26" s="29"/>
      <c r="K26" s="732"/>
      <c r="L26" s="818"/>
      <c r="M26" s="427">
        <f ca="1">SUMIF('R5 Escalations'!$C$9:$C$1000,$B26,'R5 Escalations'!Q$9:Q$1000)</f>
        <v>0</v>
      </c>
      <c r="N26" s="427">
        <f ca="1">SUMIF('R5 Escalations'!$C$9:$C$1000,$B26,'R5 Escalations'!R$9:R$1000)</f>
        <v>0</v>
      </c>
      <c r="O26" s="427">
        <f ca="1">SUMIF('R5 Escalations'!$C$9:$C$1000,$B26,'R5 Escalations'!S$9:S$1000)</f>
        <v>0</v>
      </c>
      <c r="P26" s="427">
        <f ca="1">SUMIF('R5 Escalations'!$C$9:$C$1000,$B26,'R5 Escalations'!T$9:T$1000)</f>
        <v>0</v>
      </c>
      <c r="Q26" s="427">
        <f ca="1">SUMIF('R5 Escalations'!$C$9:$C$1000,$B26,'R5 Escalations'!U$9:U$1000)</f>
        <v>0</v>
      </c>
      <c r="R26" s="427">
        <f ca="1">SUMIF('R5 Escalations'!$C$9:$C$1000,$B26,'R5 Escalations'!V$9:V$1000)</f>
        <v>0</v>
      </c>
      <c r="S26" s="818"/>
      <c r="T26" s="608">
        <f t="shared" ca="1" si="11"/>
        <v>0</v>
      </c>
      <c r="U26" s="609">
        <f t="shared" ca="1" si="11"/>
        <v>0</v>
      </c>
      <c r="V26" s="609">
        <f t="shared" ca="1" si="11"/>
        <v>0</v>
      </c>
      <c r="W26" s="609">
        <f t="shared" ca="1" si="11"/>
        <v>0</v>
      </c>
      <c r="X26" s="609">
        <f t="shared" ca="1" si="11"/>
        <v>0</v>
      </c>
      <c r="Y26" s="610">
        <f t="shared" ca="1" si="11"/>
        <v>0</v>
      </c>
      <c r="Z26" s="818"/>
      <c r="AA26" s="103">
        <f>+'I-7 Escalations'!D32</f>
        <v>0</v>
      </c>
      <c r="AB26" s="103">
        <f>(+'I-7 Escalations'!E32+1)*(1+AA26)-1</f>
        <v>0</v>
      </c>
      <c r="AC26" s="103">
        <f>(+'I-7 Escalations'!F32+1)*(1+AB26)-1</f>
        <v>0</v>
      </c>
      <c r="AD26" s="103">
        <f>(+'I-7 Escalations'!G32+1)*(1+AC26)-1</f>
        <v>0</v>
      </c>
      <c r="AE26" s="103">
        <f>(+'I-7 Escalations'!H32+1)*(1+AD26)-1</f>
        <v>0</v>
      </c>
      <c r="AF26" s="103">
        <f>(+'I-7 Escalations'!I32+1)*(1+AE26)-1</f>
        <v>0</v>
      </c>
    </row>
    <row r="27" spans="2:33">
      <c r="B27" s="431">
        <f>+'I-7 Escalations'!B33</f>
        <v>0</v>
      </c>
      <c r="C27" s="427">
        <f ca="1">SUMIF('R5 Escalations'!$C$9:$C$1000,$B27,'R5 Escalations'!E$9:E$1000)</f>
        <v>0</v>
      </c>
      <c r="D27" s="427">
        <f ca="1">SUMIF('R5 Escalations'!$C$9:$C$1000,$B27,'R5 Escalations'!F$9:F$1000)</f>
        <v>0</v>
      </c>
      <c r="E27" s="427">
        <f ca="1">SUMIF('R5 Escalations'!$C$9:$C$1000,$B27,'R5 Escalations'!G$9:G$1000)</f>
        <v>0</v>
      </c>
      <c r="F27" s="427">
        <f ca="1">SUMIF('R5 Escalations'!$C$9:$C$1000,$B27,'R5 Escalations'!H$9:H$1000)</f>
        <v>0</v>
      </c>
      <c r="G27" s="427">
        <f ca="1">SUMIF('R5 Escalations'!$C$9:$C$1000,$B27,'R5 Escalations'!I$9:I$1000)</f>
        <v>0</v>
      </c>
      <c r="H27" s="427">
        <f ca="1">SUMIF('R5 Escalations'!$C$9:$C$1000,$B27,'R5 Escalations'!J$9:J$1000)</f>
        <v>0</v>
      </c>
      <c r="I27" s="427">
        <f ca="1">SUMIF('R5 Escalations'!$C$9:$C$1000,$B27,'R5 Escalations'!K$9:K$1000)</f>
        <v>0</v>
      </c>
      <c r="J27" s="29"/>
      <c r="K27" s="21"/>
      <c r="M27" s="427">
        <f ca="1">SUMIF('R5 Escalations'!$C$9:$C$1000,$B27,'R5 Escalations'!Q$9:Q$1000)</f>
        <v>0</v>
      </c>
      <c r="N27" s="427">
        <f ca="1">SUMIF('R5 Escalations'!$C$9:$C$1000,$B27,'R5 Escalations'!R$9:R$1000)</f>
        <v>0</v>
      </c>
      <c r="O27" s="427">
        <f ca="1">SUMIF('R5 Escalations'!$C$9:$C$1000,$B27,'R5 Escalations'!S$9:S$1000)</f>
        <v>0</v>
      </c>
      <c r="P27" s="427">
        <f ca="1">SUMIF('R5 Escalations'!$C$9:$C$1000,$B27,'R5 Escalations'!T$9:T$1000)</f>
        <v>0</v>
      </c>
      <c r="Q27" s="427">
        <f ca="1">SUMIF('R5 Escalations'!$C$9:$C$1000,$B27,'R5 Escalations'!U$9:U$1000)</f>
        <v>0</v>
      </c>
      <c r="R27" s="427">
        <f ca="1">SUMIF('R5 Escalations'!$C$9:$C$1000,$B27,'R5 Escalations'!V$9:V$1000)</f>
        <v>0</v>
      </c>
      <c r="T27" s="608">
        <f t="shared" ref="T27:Y30" ca="1" si="12">+M27*AA27</f>
        <v>0</v>
      </c>
      <c r="U27" s="609">
        <f t="shared" ca="1" si="12"/>
        <v>0</v>
      </c>
      <c r="V27" s="609">
        <f t="shared" ca="1" si="12"/>
        <v>0</v>
      </c>
      <c r="W27" s="609">
        <f t="shared" ca="1" si="12"/>
        <v>0</v>
      </c>
      <c r="X27" s="609">
        <f t="shared" ca="1" si="12"/>
        <v>0</v>
      </c>
      <c r="Y27" s="610">
        <f t="shared" ca="1" si="12"/>
        <v>0</v>
      </c>
      <c r="AA27" s="103">
        <f>+'I-7 Escalations'!D33</f>
        <v>0</v>
      </c>
      <c r="AB27" s="103">
        <f>(+'I-7 Escalations'!E33+1)*(1+AA27)-1</f>
        <v>0</v>
      </c>
      <c r="AC27" s="103">
        <f>(+'I-7 Escalations'!F33+1)*(1+AB27)-1</f>
        <v>0</v>
      </c>
      <c r="AD27" s="103">
        <f>(+'I-7 Escalations'!G33+1)*(1+AC27)-1</f>
        <v>0</v>
      </c>
      <c r="AE27" s="103">
        <f>(+'I-7 Escalations'!H33+1)*(1+AD27)-1</f>
        <v>0</v>
      </c>
      <c r="AF27" s="103">
        <f>(+'I-7 Escalations'!I33+1)*(1+AE27)-1</f>
        <v>0</v>
      </c>
    </row>
    <row r="28" spans="2:33">
      <c r="B28" s="431">
        <f>+'I-7 Escalations'!B34</f>
        <v>0</v>
      </c>
      <c r="C28" s="427">
        <f ca="1">SUMIF('R5 Escalations'!$C$9:$C$1000,$B28,'R5 Escalations'!E$9:E$1000)</f>
        <v>0</v>
      </c>
      <c r="D28" s="427">
        <f ca="1">SUMIF('R5 Escalations'!$C$9:$C$1000,$B28,'R5 Escalations'!F$9:F$1000)</f>
        <v>0</v>
      </c>
      <c r="E28" s="427">
        <f ca="1">SUMIF('R5 Escalations'!$C$9:$C$1000,$B28,'R5 Escalations'!G$9:G$1000)</f>
        <v>0</v>
      </c>
      <c r="F28" s="427">
        <f ca="1">SUMIF('R5 Escalations'!$C$9:$C$1000,$B28,'R5 Escalations'!H$9:H$1000)</f>
        <v>0</v>
      </c>
      <c r="G28" s="427">
        <f ca="1">SUMIF('R5 Escalations'!$C$9:$C$1000,$B28,'R5 Escalations'!I$9:I$1000)</f>
        <v>0</v>
      </c>
      <c r="H28" s="427">
        <f ca="1">SUMIF('R5 Escalations'!$C$9:$C$1000,$B28,'R5 Escalations'!J$9:J$1000)</f>
        <v>0</v>
      </c>
      <c r="I28" s="427">
        <f ca="1">SUMIF('R5 Escalations'!$C$9:$C$1000,$B28,'R5 Escalations'!K$9:K$1000)</f>
        <v>0</v>
      </c>
      <c r="J28" s="29"/>
      <c r="K28" s="21"/>
      <c r="M28" s="427">
        <f ca="1">SUMIF('R5 Escalations'!$C$9:$C$1000,$B28,'R5 Escalations'!Q$9:Q$1000)</f>
        <v>0</v>
      </c>
      <c r="N28" s="427">
        <f ca="1">SUMIF('R5 Escalations'!$C$9:$C$1000,$B28,'R5 Escalations'!R$9:R$1000)</f>
        <v>0</v>
      </c>
      <c r="O28" s="427">
        <f ca="1">SUMIF('R5 Escalations'!$C$9:$C$1000,$B28,'R5 Escalations'!S$9:S$1000)</f>
        <v>0</v>
      </c>
      <c r="P28" s="427">
        <f ca="1">SUMIF('R5 Escalations'!$C$9:$C$1000,$B28,'R5 Escalations'!T$9:T$1000)</f>
        <v>0</v>
      </c>
      <c r="Q28" s="427">
        <f ca="1">SUMIF('R5 Escalations'!$C$9:$C$1000,$B28,'R5 Escalations'!U$9:U$1000)</f>
        <v>0</v>
      </c>
      <c r="R28" s="427">
        <f ca="1">SUMIF('R5 Escalations'!$C$9:$C$1000,$B28,'R5 Escalations'!V$9:V$1000)</f>
        <v>0</v>
      </c>
      <c r="T28" s="608">
        <f t="shared" ca="1" si="12"/>
        <v>0</v>
      </c>
      <c r="U28" s="609">
        <f t="shared" ca="1" si="12"/>
        <v>0</v>
      </c>
      <c r="V28" s="609">
        <f t="shared" ca="1" si="12"/>
        <v>0</v>
      </c>
      <c r="W28" s="609">
        <f t="shared" ca="1" si="12"/>
        <v>0</v>
      </c>
      <c r="X28" s="609">
        <f t="shared" ca="1" si="12"/>
        <v>0</v>
      </c>
      <c r="Y28" s="610">
        <f t="shared" ca="1" si="12"/>
        <v>0</v>
      </c>
      <c r="AA28" s="103">
        <f>+'I-7 Escalations'!D34</f>
        <v>0</v>
      </c>
      <c r="AB28" s="103">
        <f>(+'I-7 Escalations'!E34+1)*(1+AA28)-1</f>
        <v>0</v>
      </c>
      <c r="AC28" s="103">
        <f>(+'I-7 Escalations'!F34+1)*(1+AB28)-1</f>
        <v>0</v>
      </c>
      <c r="AD28" s="103">
        <f>(+'I-7 Escalations'!G34+1)*(1+AC28)-1</f>
        <v>0</v>
      </c>
      <c r="AE28" s="103">
        <f>(+'I-7 Escalations'!H34+1)*(1+AD28)-1</f>
        <v>0</v>
      </c>
      <c r="AF28" s="103">
        <f>(+'I-7 Escalations'!I34+1)*(1+AE28)-1</f>
        <v>0</v>
      </c>
    </row>
    <row r="29" spans="2:33" ht="15">
      <c r="B29" s="431">
        <f>+'I-7 Escalations'!B35</f>
        <v>0</v>
      </c>
      <c r="C29" s="427">
        <f ca="1">SUMIF('R5 Escalations'!$C$9:$C$1000,$B29,'R5 Escalations'!E$9:E$1000)</f>
        <v>0</v>
      </c>
      <c r="D29" s="427">
        <f ca="1">SUMIF('R5 Escalations'!$C$9:$C$1000,$B29,'R5 Escalations'!F$9:F$1000)</f>
        <v>0</v>
      </c>
      <c r="E29" s="427">
        <f ca="1">SUMIF('R5 Escalations'!$C$9:$C$1000,$B29,'R5 Escalations'!G$9:G$1000)</f>
        <v>0</v>
      </c>
      <c r="F29" s="427">
        <f ca="1">SUMIF('R5 Escalations'!$C$9:$C$1000,$B29,'R5 Escalations'!H$9:H$1000)</f>
        <v>0</v>
      </c>
      <c r="G29" s="427">
        <f ca="1">SUMIF('R5 Escalations'!$C$9:$C$1000,$B29,'R5 Escalations'!I$9:I$1000)</f>
        <v>0</v>
      </c>
      <c r="H29" s="427">
        <f ca="1">SUMIF('R5 Escalations'!$C$9:$C$1000,$B29,'R5 Escalations'!J$9:J$1000)</f>
        <v>0</v>
      </c>
      <c r="I29" s="427">
        <f ca="1">SUMIF('R5 Escalations'!$C$9:$C$1000,$B29,'R5 Escalations'!K$9:K$1000)</f>
        <v>0</v>
      </c>
      <c r="J29" s="432"/>
      <c r="K29" s="21"/>
      <c r="M29" s="427">
        <f ca="1">SUMIF('R5 Escalations'!$C$9:$C$1000,$B29,'R5 Escalations'!Q$9:Q$1000)</f>
        <v>0</v>
      </c>
      <c r="N29" s="427">
        <f ca="1">SUMIF('R5 Escalations'!$C$9:$C$1000,$B29,'R5 Escalations'!R$9:R$1000)</f>
        <v>0</v>
      </c>
      <c r="O29" s="427">
        <f ca="1">SUMIF('R5 Escalations'!$C$9:$C$1000,$B29,'R5 Escalations'!S$9:S$1000)</f>
        <v>0</v>
      </c>
      <c r="P29" s="427">
        <f ca="1">SUMIF('R5 Escalations'!$C$9:$C$1000,$B29,'R5 Escalations'!T$9:T$1000)</f>
        <v>0</v>
      </c>
      <c r="Q29" s="427">
        <f ca="1">SUMIF('R5 Escalations'!$C$9:$C$1000,$B29,'R5 Escalations'!U$9:U$1000)</f>
        <v>0</v>
      </c>
      <c r="R29" s="427">
        <f ca="1">SUMIF('R5 Escalations'!$C$9:$C$1000,$B29,'R5 Escalations'!V$9:V$1000)</f>
        <v>0</v>
      </c>
      <c r="T29" s="608">
        <f t="shared" ca="1" si="12"/>
        <v>0</v>
      </c>
      <c r="U29" s="609">
        <f t="shared" ca="1" si="12"/>
        <v>0</v>
      </c>
      <c r="V29" s="609">
        <f t="shared" ca="1" si="12"/>
        <v>0</v>
      </c>
      <c r="W29" s="609">
        <f t="shared" ca="1" si="12"/>
        <v>0</v>
      </c>
      <c r="X29" s="609">
        <f t="shared" ca="1" si="12"/>
        <v>0</v>
      </c>
      <c r="Y29" s="610">
        <f t="shared" ca="1" si="12"/>
        <v>0</v>
      </c>
      <c r="AA29" s="103">
        <f>+'I-7 Escalations'!D35</f>
        <v>0</v>
      </c>
      <c r="AB29" s="103">
        <f>(+'I-7 Escalations'!E35+1)*(1+AA29)-1</f>
        <v>0</v>
      </c>
      <c r="AC29" s="103">
        <f>(+'I-7 Escalations'!F35+1)*(1+AB29)-1</f>
        <v>0</v>
      </c>
      <c r="AD29" s="103">
        <f>(+'I-7 Escalations'!G35+1)*(1+AC29)-1</f>
        <v>0</v>
      </c>
      <c r="AE29" s="103">
        <f>(+'I-7 Escalations'!H35+1)*(1+AD29)-1</f>
        <v>0</v>
      </c>
      <c r="AF29" s="103">
        <f>(+'I-7 Escalations'!I35+1)*(1+AE29)-1</f>
        <v>0</v>
      </c>
    </row>
    <row r="30" spans="2:33" ht="15">
      <c r="B30" s="431">
        <f>+'I-7 Escalations'!B36</f>
        <v>0</v>
      </c>
      <c r="C30" s="427">
        <f ca="1">SUMIF('R5 Escalations'!$C$9:$C$1000,$B30,'R5 Escalations'!E$9:E$1000)</f>
        <v>0</v>
      </c>
      <c r="D30" s="427">
        <f ca="1">SUMIF('R5 Escalations'!$C$9:$C$1000,$B30,'R5 Escalations'!F$9:F$1000)</f>
        <v>0</v>
      </c>
      <c r="E30" s="427">
        <f ca="1">SUMIF('R5 Escalations'!$C$9:$C$1000,$B30,'R5 Escalations'!G$9:G$1000)</f>
        <v>0</v>
      </c>
      <c r="F30" s="427">
        <f ca="1">SUMIF('R5 Escalations'!$C$9:$C$1000,$B30,'R5 Escalations'!H$9:H$1000)</f>
        <v>0</v>
      </c>
      <c r="G30" s="427">
        <f ca="1">SUMIF('R5 Escalations'!$C$9:$C$1000,$B30,'R5 Escalations'!I$9:I$1000)</f>
        <v>0</v>
      </c>
      <c r="H30" s="427">
        <f ca="1">SUMIF('R5 Escalations'!$C$9:$C$1000,$B30,'R5 Escalations'!J$9:J$1000)</f>
        <v>0</v>
      </c>
      <c r="I30" s="427">
        <f ca="1">SUMIF('R5 Escalations'!$C$9:$C$1000,$B30,'R5 Escalations'!K$9:K$1000)</f>
        <v>0</v>
      </c>
      <c r="J30" s="432"/>
      <c r="K30" s="21"/>
      <c r="M30" s="427">
        <f ca="1">SUMIF('R5 Escalations'!$C$9:$C$1000,$B30,'R5 Escalations'!Q$9:Q$1000)</f>
        <v>0</v>
      </c>
      <c r="N30" s="427">
        <f ca="1">SUMIF('R5 Escalations'!$C$9:$C$1000,$B30,'R5 Escalations'!R$9:R$1000)</f>
        <v>0</v>
      </c>
      <c r="O30" s="427">
        <f ca="1">SUMIF('R5 Escalations'!$C$9:$C$1000,$B30,'R5 Escalations'!S$9:S$1000)</f>
        <v>0</v>
      </c>
      <c r="P30" s="427">
        <f ca="1">SUMIF('R5 Escalations'!$C$9:$C$1000,$B30,'R5 Escalations'!T$9:T$1000)</f>
        <v>0</v>
      </c>
      <c r="Q30" s="427">
        <f ca="1">SUMIF('R5 Escalations'!$C$9:$C$1000,$B30,'R5 Escalations'!U$9:U$1000)</f>
        <v>0</v>
      </c>
      <c r="R30" s="427">
        <f ca="1">SUMIF('R5 Escalations'!$C$9:$C$1000,$B30,'R5 Escalations'!V$9:V$1000)</f>
        <v>0</v>
      </c>
      <c r="T30" s="608">
        <f t="shared" ca="1" si="12"/>
        <v>0</v>
      </c>
      <c r="U30" s="609">
        <f t="shared" ca="1" si="12"/>
        <v>0</v>
      </c>
      <c r="V30" s="609">
        <f t="shared" ca="1" si="12"/>
        <v>0</v>
      </c>
      <c r="W30" s="609">
        <f t="shared" ca="1" si="12"/>
        <v>0</v>
      </c>
      <c r="X30" s="609">
        <f t="shared" ca="1" si="12"/>
        <v>0</v>
      </c>
      <c r="Y30" s="610">
        <f t="shared" ca="1" si="12"/>
        <v>0</v>
      </c>
      <c r="AA30" s="103">
        <f>+'I-7 Escalations'!D36</f>
        <v>0</v>
      </c>
      <c r="AB30" s="103">
        <f>(+'I-7 Escalations'!E36+1)*(1+AA30)-1</f>
        <v>0</v>
      </c>
      <c r="AC30" s="103">
        <f>(+'I-7 Escalations'!F36+1)*(1+AB30)-1</f>
        <v>0</v>
      </c>
      <c r="AD30" s="103">
        <f>(+'I-7 Escalations'!G36+1)*(1+AC30)-1</f>
        <v>0</v>
      </c>
      <c r="AE30" s="103">
        <f>(+'I-7 Escalations'!H36+1)*(1+AD30)-1</f>
        <v>0</v>
      </c>
      <c r="AF30" s="103">
        <f>(+'I-7 Escalations'!I36+1)*(1+AE30)-1</f>
        <v>0</v>
      </c>
    </row>
    <row r="31" spans="2:33" ht="15">
      <c r="B31" s="431">
        <f>+'I-7 Escalations'!B37</f>
        <v>0</v>
      </c>
      <c r="C31" s="427">
        <f ca="1">SUMIF('R5 Escalations'!$C$9:$C$1000,$B31,'R5 Escalations'!E$9:E$1000)</f>
        <v>0</v>
      </c>
      <c r="D31" s="427">
        <f ca="1">SUMIF('R5 Escalations'!$C$9:$C$1000,$B31,'R5 Escalations'!F$9:F$1000)</f>
        <v>0</v>
      </c>
      <c r="E31" s="427">
        <f ca="1">SUMIF('R5 Escalations'!$C$9:$C$1000,$B31,'R5 Escalations'!G$9:G$1000)</f>
        <v>0</v>
      </c>
      <c r="F31" s="427">
        <f ca="1">SUMIF('R5 Escalations'!$C$9:$C$1000,$B31,'R5 Escalations'!H$9:H$1000)</f>
        <v>0</v>
      </c>
      <c r="G31" s="427">
        <f ca="1">SUMIF('R5 Escalations'!$C$9:$C$1000,$B31,'R5 Escalations'!I$9:I$1000)</f>
        <v>0</v>
      </c>
      <c r="H31" s="427">
        <f ca="1">SUMIF('R5 Escalations'!$C$9:$C$1000,$B31,'R5 Escalations'!J$9:J$1000)</f>
        <v>0</v>
      </c>
      <c r="I31" s="427">
        <f ca="1">SUMIF('R5 Escalations'!$C$9:$C$1000,$B31,'R5 Escalations'!K$9:K$1000)</f>
        <v>0</v>
      </c>
      <c r="J31" s="432"/>
      <c r="K31" s="732"/>
      <c r="L31" s="818"/>
      <c r="M31" s="427">
        <f ca="1">SUMIF('R5 Escalations'!$C$9:$C$1000,$B31,'R5 Escalations'!Q$9:Q$1000)</f>
        <v>0</v>
      </c>
      <c r="N31" s="427">
        <f ca="1">SUMIF('R5 Escalations'!$C$9:$C$1000,$B31,'R5 Escalations'!R$9:R$1000)</f>
        <v>0</v>
      </c>
      <c r="O31" s="427">
        <f ca="1">SUMIF('R5 Escalations'!$C$9:$C$1000,$B31,'R5 Escalations'!S$9:S$1000)</f>
        <v>0</v>
      </c>
      <c r="P31" s="427">
        <f ca="1">SUMIF('R5 Escalations'!$C$9:$C$1000,$B31,'R5 Escalations'!T$9:T$1000)</f>
        <v>0</v>
      </c>
      <c r="Q31" s="427">
        <f ca="1">SUMIF('R5 Escalations'!$C$9:$C$1000,$B31,'R5 Escalations'!U$9:U$1000)</f>
        <v>0</v>
      </c>
      <c r="R31" s="427">
        <f ca="1">SUMIF('R5 Escalations'!$C$9:$C$1000,$B31,'R5 Escalations'!V$9:V$1000)</f>
        <v>0</v>
      </c>
      <c r="S31" s="818"/>
      <c r="T31" s="608">
        <f t="shared" ref="T31" ca="1" si="13">+M31*AA31</f>
        <v>0</v>
      </c>
      <c r="U31" s="609">
        <f t="shared" ref="U31" ca="1" si="14">+N31*AB31</f>
        <v>0</v>
      </c>
      <c r="V31" s="609">
        <f t="shared" ref="V31" ca="1" si="15">+O31*AC31</f>
        <v>0</v>
      </c>
      <c r="W31" s="609">
        <f t="shared" ref="W31" ca="1" si="16">+P31*AD31</f>
        <v>0</v>
      </c>
      <c r="X31" s="609">
        <f t="shared" ref="X31" ca="1" si="17">+Q31*AE31</f>
        <v>0</v>
      </c>
      <c r="Y31" s="610">
        <f t="shared" ref="Y31" ca="1" si="18">+R31*AF31</f>
        <v>0</v>
      </c>
      <c r="Z31" s="818"/>
      <c r="AA31" s="103">
        <f>+'I-7 Escalations'!D37</f>
        <v>0</v>
      </c>
      <c r="AB31" s="103">
        <f>(+'I-7 Escalations'!E37+1)*(1+AA31)-1</f>
        <v>0</v>
      </c>
      <c r="AC31" s="103">
        <f>(+'I-7 Escalations'!F37+1)*(1+AB31)-1</f>
        <v>0</v>
      </c>
      <c r="AD31" s="103">
        <f>(+'I-7 Escalations'!G37+1)*(1+AC31)-1</f>
        <v>0</v>
      </c>
      <c r="AE31" s="103">
        <f>(+'I-7 Escalations'!H37+1)*(1+AD31)-1</f>
        <v>0</v>
      </c>
      <c r="AF31" s="103">
        <f>(+'I-7 Escalations'!I37+1)*(1+AE31)-1</f>
        <v>0</v>
      </c>
      <c r="AG31" s="818"/>
    </row>
    <row r="32" spans="2:33" ht="15">
      <c r="B32" s="431"/>
      <c r="C32" s="427"/>
      <c r="D32" s="427"/>
      <c r="E32" s="427"/>
      <c r="F32" s="427"/>
      <c r="G32" s="427"/>
      <c r="H32" s="427"/>
      <c r="I32" s="427"/>
      <c r="J32" s="432"/>
      <c r="K32" s="21"/>
      <c r="M32" s="427"/>
      <c r="N32" s="427"/>
      <c r="O32" s="427"/>
      <c r="P32" s="427"/>
      <c r="Q32" s="427"/>
      <c r="R32" s="427"/>
      <c r="T32" s="608"/>
      <c r="U32" s="609"/>
      <c r="V32" s="609"/>
      <c r="W32" s="609"/>
      <c r="X32" s="609"/>
      <c r="Y32" s="610"/>
      <c r="AA32" s="103"/>
      <c r="AB32" s="103"/>
      <c r="AC32" s="103"/>
      <c r="AD32" s="103"/>
      <c r="AE32" s="103"/>
      <c r="AF32" s="103"/>
    </row>
    <row r="33" spans="2:32" ht="15">
      <c r="B33" s="431"/>
      <c r="C33" s="427"/>
      <c r="D33" s="427"/>
      <c r="E33" s="427"/>
      <c r="F33" s="427"/>
      <c r="G33" s="427"/>
      <c r="H33" s="427"/>
      <c r="I33" s="427"/>
      <c r="J33" s="432"/>
      <c r="K33" s="21"/>
      <c r="M33" s="427"/>
      <c r="N33" s="427"/>
      <c r="O33" s="427"/>
      <c r="P33" s="427"/>
      <c r="Q33" s="427"/>
      <c r="R33" s="427"/>
      <c r="T33" s="608"/>
      <c r="U33" s="609"/>
      <c r="V33" s="609"/>
      <c r="W33" s="609"/>
      <c r="X33" s="609"/>
      <c r="Y33" s="610"/>
      <c r="AA33" s="103"/>
      <c r="AB33" s="103"/>
      <c r="AC33" s="103"/>
      <c r="AD33" s="103"/>
      <c r="AE33" s="103"/>
      <c r="AF33" s="103"/>
    </row>
    <row r="34" spans="2:32">
      <c r="B34" s="435" t="s">
        <v>383</v>
      </c>
      <c r="C34" s="433">
        <f t="shared" ref="C34:I34" ca="1" si="19">SUM(C19:C33)</f>
        <v>0</v>
      </c>
      <c r="D34" s="433">
        <f t="shared" ca="1" si="19"/>
        <v>0</v>
      </c>
      <c r="E34" s="433">
        <f t="shared" ca="1" si="19"/>
        <v>2.4536483421601551</v>
      </c>
      <c r="F34" s="433">
        <f t="shared" ca="1" si="19"/>
        <v>4.7271640912913284</v>
      </c>
      <c r="G34" s="433">
        <f t="shared" ca="1" si="19"/>
        <v>6.9745091636671122</v>
      </c>
      <c r="H34" s="433">
        <f t="shared" ca="1" si="19"/>
        <v>9.4126980705190704</v>
      </c>
      <c r="I34" s="433">
        <f t="shared" ca="1" si="19"/>
        <v>11.646097356679336</v>
      </c>
      <c r="J34" s="36"/>
      <c r="K34" s="21"/>
      <c r="M34" s="433">
        <f t="shared" ref="M34:R34" ca="1" si="20">SUM(M19:M33)</f>
        <v>0</v>
      </c>
      <c r="N34" s="433">
        <f t="shared" ca="1" si="20"/>
        <v>231.25899999999982</v>
      </c>
      <c r="O34" s="433">
        <f t="shared" ca="1" si="20"/>
        <v>231.25899999999982</v>
      </c>
      <c r="P34" s="433">
        <f t="shared" ca="1" si="20"/>
        <v>231.25899999999982</v>
      </c>
      <c r="Q34" s="433">
        <f t="shared" ca="1" si="20"/>
        <v>231.25899999999982</v>
      </c>
      <c r="R34" s="433">
        <f t="shared" ca="1" si="20"/>
        <v>231.25899999999982</v>
      </c>
      <c r="T34" s="613">
        <f t="shared" ref="T34:Y34" ca="1" si="21">SUM(T19:T33)</f>
        <v>0</v>
      </c>
      <c r="U34" s="614">
        <f t="shared" ca="1" si="21"/>
        <v>2.4536483421601512</v>
      </c>
      <c r="V34" s="614">
        <f t="shared" ca="1" si="21"/>
        <v>4.7271640912913258</v>
      </c>
      <c r="W34" s="614">
        <f t="shared" ca="1" si="21"/>
        <v>6.9745091636671042</v>
      </c>
      <c r="X34" s="614">
        <f t="shared" ca="1" si="21"/>
        <v>9.4126980705190704</v>
      </c>
      <c r="Y34" s="615">
        <f t="shared" ca="1" si="21"/>
        <v>11.646097356679329</v>
      </c>
    </row>
    <row r="35" spans="2:32">
      <c r="B35" s="435" t="s">
        <v>384</v>
      </c>
      <c r="C35" s="433">
        <f t="shared" ref="C35:I35" ca="1" si="22">+C34+C13</f>
        <v>0</v>
      </c>
      <c r="D35" s="433">
        <f t="shared" ca="1" si="22"/>
        <v>0</v>
      </c>
      <c r="E35" s="433">
        <f t="shared" ca="1" si="22"/>
        <v>5.2737113389058621</v>
      </c>
      <c r="F35" s="433">
        <f t="shared" ca="1" si="22"/>
        <v>10.474814508922986</v>
      </c>
      <c r="G35" s="433">
        <f t="shared" ca="1" si="22"/>
        <v>16.312138086005092</v>
      </c>
      <c r="H35" s="433">
        <f t="shared" ca="1" si="22"/>
        <v>22.645143483547869</v>
      </c>
      <c r="I35" s="433">
        <f t="shared" ca="1" si="22"/>
        <v>29.126443112305616</v>
      </c>
      <c r="J35" s="36"/>
      <c r="K35" s="21"/>
      <c r="T35" s="603">
        <f t="shared" ref="T35:Y35" ca="1" si="23">+T34-D34</f>
        <v>0</v>
      </c>
      <c r="U35" s="603">
        <f t="shared" ca="1" si="23"/>
        <v>-3.9968028886505635E-15</v>
      </c>
      <c r="V35" s="603">
        <f t="shared" ca="1" si="23"/>
        <v>0</v>
      </c>
      <c r="W35" s="603">
        <f t="shared" ca="1" si="23"/>
        <v>-7.9936057773011271E-15</v>
      </c>
      <c r="X35" s="603">
        <f t="shared" ca="1" si="23"/>
        <v>0</v>
      </c>
      <c r="Y35" s="603">
        <f t="shared" ca="1" si="23"/>
        <v>0</v>
      </c>
    </row>
    <row r="36" spans="2:32">
      <c r="B36" s="21"/>
      <c r="C36" s="21"/>
      <c r="D36" s="21"/>
      <c r="E36" s="21"/>
      <c r="F36" s="21"/>
      <c r="G36" s="21"/>
      <c r="H36" s="21"/>
      <c r="I36" s="21"/>
      <c r="J36" s="21"/>
      <c r="K36" s="21"/>
      <c r="M36" s="409" t="s">
        <v>519</v>
      </c>
      <c r="N36" s="21"/>
      <c r="O36" s="21"/>
      <c r="P36" s="21"/>
      <c r="Q36" s="21"/>
      <c r="R36" s="21"/>
    </row>
    <row r="37" spans="2:32">
      <c r="B37" s="21"/>
      <c r="C37" s="21"/>
      <c r="D37" s="21"/>
      <c r="E37" s="21"/>
      <c r="F37" s="21"/>
      <c r="G37" s="21"/>
      <c r="H37" s="21"/>
      <c r="I37" s="21"/>
      <c r="J37" s="21"/>
      <c r="K37" s="21"/>
      <c r="M37" s="21" t="s">
        <v>520</v>
      </c>
      <c r="N37" s="21"/>
      <c r="O37" s="21"/>
      <c r="P37" s="21"/>
      <c r="Q37" s="21"/>
      <c r="R37" s="21"/>
    </row>
    <row r="38" spans="2:32" ht="15.75">
      <c r="B38" s="428" t="s">
        <v>409</v>
      </c>
      <c r="C38" s="429"/>
      <c r="D38" s="429"/>
      <c r="E38" s="429"/>
      <c r="F38" s="429"/>
      <c r="G38" s="429"/>
      <c r="H38" s="429"/>
      <c r="I38" s="429"/>
      <c r="J38" s="21"/>
      <c r="K38" s="21"/>
      <c r="M38" s="21" t="s">
        <v>521</v>
      </c>
      <c r="N38" s="429"/>
      <c r="O38" s="429"/>
      <c r="P38" s="429"/>
      <c r="Q38" s="429"/>
      <c r="R38" s="429"/>
    </row>
    <row r="39" spans="2:32" ht="13.5" thickBot="1">
      <c r="B39" s="36" t="s">
        <v>410</v>
      </c>
      <c r="C39" s="429"/>
      <c r="D39" s="429"/>
      <c r="E39" s="429"/>
      <c r="F39" s="429"/>
      <c r="G39" s="429"/>
      <c r="H39" s="429"/>
      <c r="I39" s="474" t="str">
        <f>+LU_BaseYearDollars</f>
        <v>($M) 2013/14 dollars</v>
      </c>
      <c r="J39" s="21"/>
      <c r="K39" s="21"/>
      <c r="M39" s="429"/>
      <c r="N39" s="429"/>
      <c r="O39" s="429"/>
      <c r="P39" s="429"/>
      <c r="Q39" s="429"/>
      <c r="R39" s="429"/>
    </row>
    <row r="40" spans="2:32" ht="13.5" thickBot="1">
      <c r="B40" s="471"/>
      <c r="C40" s="439" t="str">
        <f t="array" ref="C40:I40">LU_TemplateYearHeader2</f>
        <v>2013/14</v>
      </c>
      <c r="D40" s="439" t="str">
        <v>2014/15</v>
      </c>
      <c r="E40" s="439" t="str">
        <v>2015/16</v>
      </c>
      <c r="F40" s="439" t="str">
        <v>2016/17</v>
      </c>
      <c r="G40" s="439" t="str">
        <v>2017/18</v>
      </c>
      <c r="H40" s="439" t="str">
        <v>2018/19</v>
      </c>
      <c r="I40" s="439" t="str">
        <v>2019/20</v>
      </c>
      <c r="J40" s="21"/>
      <c r="K40" s="21"/>
      <c r="M40" s="429"/>
      <c r="N40" s="429"/>
      <c r="O40" s="429"/>
      <c r="P40" s="429"/>
      <c r="Q40" s="429"/>
      <c r="R40" s="429"/>
    </row>
    <row r="41" spans="2:32">
      <c r="B41" s="732" t="s">
        <v>717</v>
      </c>
      <c r="C41" s="485">
        <f ca="1">SUM(C19:C25)</f>
        <v>0</v>
      </c>
      <c r="D41" s="485">
        <f t="shared" ref="D41:I41" ca="1" si="24">SUM(D19:D25)</f>
        <v>0</v>
      </c>
      <c r="E41" s="485">
        <f t="shared" ca="1" si="24"/>
        <v>2.4536483421601551</v>
      </c>
      <c r="F41" s="485">
        <f t="shared" ca="1" si="24"/>
        <v>4.7271640912913284</v>
      </c>
      <c r="G41" s="485">
        <f t="shared" ca="1" si="24"/>
        <v>6.9745091636671122</v>
      </c>
      <c r="H41" s="485">
        <f t="shared" ca="1" si="24"/>
        <v>9.4126980705190704</v>
      </c>
      <c r="I41" s="485">
        <f t="shared" ca="1" si="24"/>
        <v>11.646097356679336</v>
      </c>
      <c r="J41" s="485"/>
      <c r="K41" s="21"/>
      <c r="M41" s="429"/>
      <c r="N41" s="429"/>
      <c r="O41" s="429"/>
      <c r="P41" s="429"/>
      <c r="Q41" s="429"/>
      <c r="R41" s="429"/>
    </row>
    <row r="42" spans="2:32" hidden="1">
      <c r="B42" s="21"/>
      <c r="C42" s="485">
        <f ca="1">SUM(C26:C27)</f>
        <v>0</v>
      </c>
      <c r="D42" s="485">
        <f t="shared" ref="D42:I42" ca="1" si="25">SUM(D26:D27)</f>
        <v>0</v>
      </c>
      <c r="E42" s="485">
        <f t="shared" ca="1" si="25"/>
        <v>0</v>
      </c>
      <c r="F42" s="485">
        <f t="shared" ca="1" si="25"/>
        <v>0</v>
      </c>
      <c r="G42" s="485">
        <f t="shared" ca="1" si="25"/>
        <v>0</v>
      </c>
      <c r="H42" s="485">
        <f t="shared" ca="1" si="25"/>
        <v>0</v>
      </c>
      <c r="I42" s="485">
        <f t="shared" ca="1" si="25"/>
        <v>0</v>
      </c>
      <c r="J42" s="485"/>
      <c r="K42" s="21"/>
      <c r="M42" s="429"/>
      <c r="N42" s="429"/>
      <c r="O42" s="429"/>
      <c r="P42" s="429"/>
      <c r="Q42" s="429"/>
      <c r="R42" s="429"/>
    </row>
    <row r="43" spans="2:32" hidden="1">
      <c r="B43" s="21"/>
      <c r="C43" s="485">
        <f ca="1">SUM(C28:C31)</f>
        <v>0</v>
      </c>
      <c r="D43" s="485">
        <f t="shared" ref="D43:I43" ca="1" si="26">SUM(D28:D31)</f>
        <v>0</v>
      </c>
      <c r="E43" s="485">
        <f t="shared" ca="1" si="26"/>
        <v>0</v>
      </c>
      <c r="F43" s="485">
        <f t="shared" ca="1" si="26"/>
        <v>0</v>
      </c>
      <c r="G43" s="485">
        <f t="shared" ca="1" si="26"/>
        <v>0</v>
      </c>
      <c r="H43" s="485">
        <f t="shared" ca="1" si="26"/>
        <v>0</v>
      </c>
      <c r="I43" s="485">
        <f t="shared" ca="1" si="26"/>
        <v>0</v>
      </c>
      <c r="J43" s="485"/>
      <c r="K43" s="21"/>
      <c r="M43" s="429"/>
      <c r="N43" s="429"/>
      <c r="O43" s="429"/>
      <c r="P43" s="429"/>
      <c r="Q43" s="429"/>
      <c r="R43" s="429"/>
    </row>
    <row r="44" spans="2:32">
      <c r="B44" s="21"/>
      <c r="C44" s="433">
        <f t="shared" ref="C44:I44" ca="1" si="27">SUM(C41:C43)</f>
        <v>0</v>
      </c>
      <c r="D44" s="433">
        <f t="shared" ca="1" si="27"/>
        <v>0</v>
      </c>
      <c r="E44" s="433">
        <f t="shared" ca="1" si="27"/>
        <v>2.4536483421601551</v>
      </c>
      <c r="F44" s="433">
        <f t="shared" ca="1" si="27"/>
        <v>4.7271640912913284</v>
      </c>
      <c r="G44" s="433">
        <f t="shared" ca="1" si="27"/>
        <v>6.9745091636671122</v>
      </c>
      <c r="H44" s="433">
        <f t="shared" ca="1" si="27"/>
        <v>9.4126980705190704</v>
      </c>
      <c r="I44" s="433">
        <f t="shared" ca="1" si="27"/>
        <v>11.646097356679336</v>
      </c>
      <c r="J44" s="21"/>
      <c r="K44" s="21"/>
      <c r="M44" s="429"/>
      <c r="N44" s="429"/>
      <c r="O44" s="429"/>
      <c r="P44" s="429"/>
      <c r="Q44" s="429"/>
      <c r="R44" s="429"/>
    </row>
    <row r="45" spans="2:32">
      <c r="B45" s="21"/>
      <c r="C45" s="21"/>
      <c r="D45" s="21"/>
      <c r="E45" s="21"/>
      <c r="F45" s="21"/>
      <c r="G45" s="21"/>
      <c r="H45" s="21"/>
      <c r="I45" s="21"/>
      <c r="J45" s="21"/>
      <c r="K45" s="21"/>
      <c r="M45" s="429"/>
      <c r="N45" s="429"/>
      <c r="O45" s="429"/>
      <c r="P45" s="429"/>
      <c r="Q45" s="429"/>
      <c r="R45" s="429"/>
    </row>
    <row r="46" spans="2:32">
      <c r="B46" s="21"/>
      <c r="C46" s="21"/>
      <c r="D46" s="21"/>
      <c r="E46" s="21"/>
      <c r="F46" s="21"/>
      <c r="G46" s="21"/>
      <c r="H46" s="21"/>
      <c r="I46" s="21"/>
      <c r="J46" s="21"/>
      <c r="K46" s="21"/>
    </row>
    <row r="47" spans="2:32">
      <c r="B47" s="21"/>
      <c r="C47" s="21"/>
      <c r="D47" s="21"/>
      <c r="E47" s="21"/>
      <c r="F47" s="21"/>
      <c r="G47" s="21"/>
      <c r="H47" s="21"/>
      <c r="I47" s="21"/>
      <c r="J47" s="21"/>
      <c r="K47" s="21"/>
    </row>
    <row r="48" spans="2:32">
      <c r="B48" s="21"/>
      <c r="C48" s="21"/>
      <c r="D48" s="21"/>
      <c r="E48" s="21"/>
      <c r="F48" s="21"/>
      <c r="G48" s="21"/>
      <c r="H48" s="21"/>
      <c r="I48" s="21"/>
      <c r="J48" s="21"/>
      <c r="K48" s="21"/>
    </row>
    <row r="49" spans="2:14">
      <c r="B49" s="429"/>
      <c r="C49" s="429"/>
      <c r="D49" s="429"/>
      <c r="E49" s="429"/>
      <c r="F49" s="429"/>
      <c r="G49" s="429"/>
      <c r="H49" s="429"/>
      <c r="I49" s="429"/>
      <c r="J49" s="429"/>
      <c r="K49" s="21"/>
    </row>
    <row r="51" spans="2:14">
      <c r="B51" s="2"/>
    </row>
    <row r="53" spans="2:14">
      <c r="C53" s="21"/>
      <c r="D53" s="21"/>
      <c r="E53" s="21"/>
      <c r="F53" s="21"/>
      <c r="G53" s="21"/>
      <c r="H53" s="21"/>
      <c r="I53" s="21"/>
      <c r="J53" s="21"/>
      <c r="K53" s="21"/>
    </row>
    <row r="55" spans="2:14" ht="13.5" thickBot="1"/>
    <row r="56" spans="2:14">
      <c r="B56" s="326" t="s">
        <v>288</v>
      </c>
      <c r="C56" s="317"/>
      <c r="D56" s="317"/>
      <c r="E56" s="317"/>
      <c r="F56" s="317"/>
      <c r="G56" s="317"/>
      <c r="H56" s="317"/>
      <c r="I56" s="318"/>
    </row>
    <row r="57" spans="2:14">
      <c r="B57" s="319" t="s">
        <v>385</v>
      </c>
      <c r="C57" s="308">
        <f ca="1">ROUND(+C35-'R5 Escalations'!E1003,3)</f>
        <v>0</v>
      </c>
      <c r="D57" s="308">
        <f ca="1">ROUND(+D35-'R5 Escalations'!F1003,3)</f>
        <v>0</v>
      </c>
      <c r="E57" s="308">
        <f ca="1">ROUND(+E35-'R5 Escalations'!G1003,3)</f>
        <v>0</v>
      </c>
      <c r="F57" s="308">
        <f ca="1">ROUND(+F35-'R5 Escalations'!H1003,3)</f>
        <v>0</v>
      </c>
      <c r="G57" s="308">
        <f ca="1">ROUND(+G35-'R5 Escalations'!I1003,3)</f>
        <v>0</v>
      </c>
      <c r="H57" s="308">
        <f ca="1">ROUND(+H35-'R5 Escalations'!J1003,3)</f>
        <v>0</v>
      </c>
      <c r="I57" s="308">
        <f ca="1">ROUND(+I35-'R5 Escalations'!K1003,3)</f>
        <v>0</v>
      </c>
    </row>
    <row r="58" spans="2:14" ht="13.5" thickBot="1">
      <c r="B58" s="322" t="s">
        <v>410</v>
      </c>
      <c r="C58" s="308">
        <f t="shared" ref="C58:I58" ca="1" si="28">+C34-C44</f>
        <v>0</v>
      </c>
      <c r="D58" s="308">
        <f t="shared" ca="1" si="28"/>
        <v>0</v>
      </c>
      <c r="E58" s="308">
        <f t="shared" ca="1" si="28"/>
        <v>0</v>
      </c>
      <c r="F58" s="308">
        <f t="shared" ca="1" si="28"/>
        <v>0</v>
      </c>
      <c r="G58" s="308">
        <f t="shared" ca="1" si="28"/>
        <v>0</v>
      </c>
      <c r="H58" s="308">
        <f t="shared" ca="1" si="28"/>
        <v>0</v>
      </c>
      <c r="I58" s="308">
        <f t="shared" ca="1" si="28"/>
        <v>0</v>
      </c>
    </row>
    <row r="61" spans="2:14" ht="15">
      <c r="B61" s="717" t="s">
        <v>612</v>
      </c>
      <c r="C61" s="709"/>
      <c r="D61" s="709"/>
      <c r="E61" s="709"/>
      <c r="F61" s="709"/>
      <c r="G61" s="709"/>
      <c r="H61" s="709"/>
      <c r="I61" s="709"/>
      <c r="J61" s="709"/>
      <c r="K61" s="709"/>
      <c r="L61" s="709"/>
      <c r="M61" s="709"/>
      <c r="N61" s="710"/>
    </row>
    <row r="62" spans="2:14" ht="13.5">
      <c r="B62" s="711" t="s">
        <v>386</v>
      </c>
      <c r="C62" s="712"/>
      <c r="D62" s="712"/>
      <c r="E62" s="712"/>
      <c r="F62" s="712"/>
      <c r="G62" s="712"/>
      <c r="H62" s="712"/>
      <c r="I62" s="712"/>
      <c r="J62" s="712"/>
      <c r="K62" s="712"/>
      <c r="L62" s="712"/>
      <c r="M62" s="712"/>
      <c r="N62" s="713"/>
    </row>
    <row r="63" spans="2:14" ht="13.5">
      <c r="B63" s="711" t="s">
        <v>387</v>
      </c>
      <c r="C63" s="712"/>
      <c r="D63" s="712"/>
      <c r="E63" s="712"/>
      <c r="F63" s="712"/>
      <c r="G63" s="712"/>
      <c r="H63" s="712"/>
      <c r="I63" s="712"/>
      <c r="J63" s="712"/>
      <c r="K63" s="712"/>
      <c r="L63" s="712"/>
      <c r="M63" s="712"/>
      <c r="N63" s="713"/>
    </row>
    <row r="64" spans="2:14" ht="13.5">
      <c r="B64" s="711"/>
      <c r="C64" s="712"/>
      <c r="D64" s="712"/>
      <c r="E64" s="712"/>
      <c r="F64" s="712"/>
      <c r="G64" s="712"/>
      <c r="H64" s="712"/>
      <c r="I64" s="712"/>
      <c r="J64" s="712"/>
      <c r="K64" s="712"/>
      <c r="L64" s="712"/>
      <c r="M64" s="712"/>
      <c r="N64" s="713"/>
    </row>
    <row r="65" spans="2:14" ht="13.5">
      <c r="B65" s="711"/>
      <c r="C65" s="712"/>
      <c r="D65" s="712"/>
      <c r="E65" s="712"/>
      <c r="F65" s="712"/>
      <c r="G65" s="712"/>
      <c r="H65" s="712"/>
      <c r="I65" s="712"/>
      <c r="J65" s="712"/>
      <c r="K65" s="712"/>
      <c r="L65" s="712"/>
      <c r="M65" s="712"/>
      <c r="N65" s="713"/>
    </row>
    <row r="66" spans="2:14" ht="13.5">
      <c r="B66" s="711" t="s">
        <v>610</v>
      </c>
      <c r="C66" s="712"/>
      <c r="D66" s="712"/>
      <c r="E66" s="712"/>
      <c r="F66" s="712"/>
      <c r="G66" s="712"/>
      <c r="H66" s="712"/>
      <c r="I66" s="712"/>
      <c r="J66" s="712"/>
      <c r="K66" s="712"/>
      <c r="L66" s="712"/>
      <c r="M66" s="712"/>
      <c r="N66" s="713"/>
    </row>
    <row r="67" spans="2:14" ht="13.5">
      <c r="B67" s="711" t="s">
        <v>611</v>
      </c>
      <c r="C67" s="712"/>
      <c r="D67" s="712"/>
      <c r="E67" s="712"/>
      <c r="F67" s="712"/>
      <c r="G67" s="712"/>
      <c r="H67" s="712"/>
      <c r="I67" s="712"/>
      <c r="J67" s="712"/>
      <c r="K67" s="712"/>
      <c r="L67" s="712"/>
      <c r="M67" s="712"/>
      <c r="N67" s="713"/>
    </row>
    <row r="68" spans="2:14" ht="13.5">
      <c r="B68" s="714"/>
      <c r="C68" s="715"/>
      <c r="D68" s="715"/>
      <c r="E68" s="715"/>
      <c r="F68" s="715"/>
      <c r="G68" s="715"/>
      <c r="H68" s="715"/>
      <c r="I68" s="715"/>
      <c r="J68" s="715"/>
      <c r="K68" s="715"/>
      <c r="L68" s="715"/>
      <c r="M68" s="715"/>
      <c r="N68" s="716"/>
    </row>
  </sheetData>
  <sheetProtection formatColumns="0" formatRows="0"/>
  <phoneticPr fontId="0" type="noConversion"/>
  <conditionalFormatting sqref="C57:I58 T35:Y35">
    <cfRule type="cellIs" dxfId="35" priority="1" stopIfTrue="1" operator="equal">
      <formula>0</formula>
    </cfRule>
    <cfRule type="cellIs" dxfId="34" priority="2" stopIfTrue="1" operator="notEqual">
      <formula>0</formula>
    </cfRule>
  </conditionalFormatting>
  <pageMargins left="0.46" right="0.24" top="0.55000000000000004" bottom="0.64" header="0.24" footer="0.2"/>
  <pageSetup paperSize="9" scale="96" fitToHeight="0" orientation="portrait" r:id="rId1"/>
  <headerFooter alignWithMargins="0">
    <oddFooter>&amp;L&amp;8&amp;F
&amp;A
Printed: &amp;T on &amp;D&amp;C&amp;8Page &amp;P of &amp;N</oddFooter>
  </headerFooter>
  <legacyDrawing r:id="rId2"/>
</worksheet>
</file>

<file path=xl/worksheets/sheet86.xml><?xml version="1.0" encoding="utf-8"?>
<worksheet xmlns="http://schemas.openxmlformats.org/spreadsheetml/2006/main" xmlns:r="http://schemas.openxmlformats.org/officeDocument/2006/relationships">
  <sheetPr codeName="Sheet102" enableFormatConditionsCalculation="0">
    <tabColor indexed="12"/>
    <pageSetUpPr fitToPage="1"/>
  </sheetPr>
  <dimension ref="A1:P32"/>
  <sheetViews>
    <sheetView showGridLines="0" zoomScale="85" zoomScaleNormal="85" workbookViewId="0">
      <selection activeCell="O43" sqref="O43"/>
    </sheetView>
  </sheetViews>
  <sheetFormatPr defaultRowHeight="12.75"/>
  <cols>
    <col min="1" max="1" width="4.28515625" customWidth="1"/>
    <col min="2" max="2" width="25.28515625" customWidth="1"/>
    <col min="3" max="3" width="9.42578125" hidden="1" customWidth="1"/>
    <col min="4" max="4" width="9.42578125" customWidth="1"/>
    <col min="5" max="9" width="9.28515625" customWidth="1"/>
    <col min="10" max="10" width="9.5703125" customWidth="1"/>
    <col min="11" max="12" width="7.28515625" customWidth="1"/>
  </cols>
  <sheetData>
    <row r="1" spans="1:16" ht="20.25">
      <c r="A1" s="2" t="s">
        <v>442</v>
      </c>
      <c r="B1" s="7" t="s">
        <v>406</v>
      </c>
      <c r="C1" s="7"/>
    </row>
    <row r="3" spans="1:16" ht="43.5" customHeight="1" thickBot="1">
      <c r="B3" s="429"/>
      <c r="C3" s="429"/>
      <c r="D3" s="429"/>
      <c r="E3" s="429"/>
      <c r="F3" s="429"/>
      <c r="G3" s="429"/>
      <c r="H3" s="429"/>
      <c r="I3" s="429"/>
      <c r="J3" s="474" t="str">
        <f>+LU_BaseYearDollars</f>
        <v>($M) 2013/14 dollars</v>
      </c>
      <c r="K3" s="883"/>
      <c r="L3" s="884"/>
      <c r="P3" s="718" t="s">
        <v>620</v>
      </c>
    </row>
    <row r="4" spans="1:16" ht="14.25" thickTop="1" thickBot="1">
      <c r="B4" s="471"/>
      <c r="C4" s="645" t="str">
        <f t="array" ref="C4:J4">LU_TemplateYearHeader</f>
        <v>2012/13</v>
      </c>
      <c r="D4" s="645" t="str">
        <v>2013/14</v>
      </c>
      <c r="E4" s="645" t="str">
        <v>2014/15</v>
      </c>
      <c r="F4" s="645" t="str">
        <v>2015/16</v>
      </c>
      <c r="G4" s="645" t="str">
        <v>2016/17</v>
      </c>
      <c r="H4" s="645" t="str">
        <v>2017/18</v>
      </c>
      <c r="I4" s="645" t="str">
        <v>2018/19</v>
      </c>
      <c r="J4" s="646" t="str">
        <v>2019/20</v>
      </c>
      <c r="K4" s="276"/>
      <c r="L4" s="246"/>
    </row>
    <row r="5" spans="1:16">
      <c r="B5" s="431" t="s">
        <v>71</v>
      </c>
      <c r="C5" s="490">
        <f>+'I-4 History'!L600</f>
        <v>0</v>
      </c>
      <c r="D5" s="427">
        <f>+'I-5 Future DA'!D224+'I-6 Future A'!D380</f>
        <v>0</v>
      </c>
      <c r="E5" s="427">
        <f>+'I-5 Future DA'!E224+'I-6 Future A'!E380</f>
        <v>233.27655393533803</v>
      </c>
      <c r="F5" s="427">
        <f>+'I-5 Future DA'!F224+'I-6 Future A'!F380</f>
        <v>231.25899999999993</v>
      </c>
      <c r="G5" s="427">
        <f>+'I-5 Future DA'!G224+'I-6 Future A'!G380</f>
        <v>231.25899999999993</v>
      </c>
      <c r="H5" s="427">
        <f>+'I-5 Future DA'!H224+'I-6 Future A'!H380</f>
        <v>231.25899999999993</v>
      </c>
      <c r="I5" s="427">
        <f>+'I-5 Future DA'!I224+'I-6 Future A'!I380</f>
        <v>231.25899999999993</v>
      </c>
      <c r="J5" s="427">
        <f>+'I-5 Future DA'!J224+'I-6 Future A'!J380</f>
        <v>231.25899999999993</v>
      </c>
      <c r="K5" s="479"/>
      <c r="L5" s="480"/>
      <c r="P5" s="719" t="s">
        <v>617</v>
      </c>
    </row>
    <row r="6" spans="1:16" ht="15">
      <c r="B6" s="431" t="s">
        <v>72</v>
      </c>
      <c r="C6" s="431"/>
      <c r="D6" s="427">
        <f ca="1">+'R4 Variations'!E799</f>
        <v>0</v>
      </c>
      <c r="E6" s="427">
        <f ca="1">+'R4 Variations'!F799</f>
        <v>6.999549577705845</v>
      </c>
      <c r="F6" s="427">
        <f ca="1">+'R4 Variations'!G799</f>
        <v>24.436999999999998</v>
      </c>
      <c r="G6" s="427">
        <f ca="1">+'R4 Variations'!H799</f>
        <v>30.158999999999992</v>
      </c>
      <c r="H6" s="427">
        <f ca="1">+'R4 Variations'!I799</f>
        <v>27.970999999999997</v>
      </c>
      <c r="I6" s="427">
        <f ca="1">+'R4 Variations'!J799</f>
        <v>27.402999999999999</v>
      </c>
      <c r="J6" s="427">
        <f ca="1">+'R4 Variations'!K799</f>
        <v>25.463999999999995</v>
      </c>
      <c r="K6" s="483"/>
      <c r="L6" s="481"/>
      <c r="P6" s="719" t="s">
        <v>618</v>
      </c>
    </row>
    <row r="7" spans="1:16" ht="15">
      <c r="B7" s="431" t="s">
        <v>404</v>
      </c>
      <c r="C7" s="431"/>
      <c r="D7" s="427">
        <f ca="1">+'R6 Escalations'!C35</f>
        <v>0</v>
      </c>
      <c r="E7" s="427">
        <f ca="1">+'R6 Escalations'!D35</f>
        <v>0</v>
      </c>
      <c r="F7" s="427">
        <f ca="1">+'R6 Escalations'!E35</f>
        <v>5.2737113389058621</v>
      </c>
      <c r="G7" s="427">
        <f ca="1">+'R6 Escalations'!F35</f>
        <v>10.474814508922986</v>
      </c>
      <c r="H7" s="427">
        <f ca="1">+'R6 Escalations'!G35</f>
        <v>16.312138086005092</v>
      </c>
      <c r="I7" s="427">
        <f ca="1">+'R6 Escalations'!H35</f>
        <v>22.645143483547869</v>
      </c>
      <c r="J7" s="427">
        <f ca="1">+'R6 Escalations'!I35</f>
        <v>29.126443112305616</v>
      </c>
      <c r="K7" s="484"/>
      <c r="L7" s="482"/>
      <c r="P7" s="719" t="s">
        <v>619</v>
      </c>
    </row>
    <row r="8" spans="1:16">
      <c r="B8" s="435" t="s">
        <v>407</v>
      </c>
      <c r="C8" s="773">
        <f t="shared" ref="C8:J8" si="0">SUM(C5:C7)</f>
        <v>0</v>
      </c>
      <c r="D8" s="773">
        <f t="shared" ca="1" si="0"/>
        <v>0</v>
      </c>
      <c r="E8" s="773">
        <f t="shared" ca="1" si="0"/>
        <v>240.27610351304386</v>
      </c>
      <c r="F8" s="773">
        <f t="shared" ca="1" si="0"/>
        <v>260.96971133890577</v>
      </c>
      <c r="G8" s="773">
        <f t="shared" ca="1" si="0"/>
        <v>271.89281450892287</v>
      </c>
      <c r="H8" s="773">
        <f t="shared" ca="1" si="0"/>
        <v>275.54213808600502</v>
      </c>
      <c r="I8" s="773">
        <f t="shared" ca="1" si="0"/>
        <v>281.3071434835478</v>
      </c>
      <c r="J8" s="773">
        <f t="shared" ca="1" si="0"/>
        <v>285.84944311230549</v>
      </c>
      <c r="K8" s="477"/>
      <c r="L8" s="478"/>
    </row>
    <row r="9" spans="1:16">
      <c r="B9" s="434"/>
      <c r="C9" s="434"/>
      <c r="D9" s="36"/>
      <c r="E9" s="36"/>
      <c r="F9" s="36"/>
      <c r="G9" s="36"/>
      <c r="H9" s="36"/>
      <c r="I9" s="36"/>
      <c r="J9" s="36"/>
      <c r="K9" s="36"/>
      <c r="L9" s="21"/>
    </row>
    <row r="10" spans="1:16">
      <c r="B10" s="429"/>
      <c r="C10" s="429"/>
      <c r="D10" s="429"/>
      <c r="E10" s="429"/>
      <c r="F10" s="429"/>
      <c r="G10" s="429"/>
      <c r="H10" s="429"/>
      <c r="I10" s="429"/>
      <c r="J10" s="429"/>
      <c r="K10" s="429"/>
      <c r="L10" s="21"/>
    </row>
    <row r="17" spans="2:12">
      <c r="B17" s="2"/>
      <c r="C17" s="2"/>
    </row>
    <row r="19" spans="2:12">
      <c r="D19" s="21"/>
      <c r="E19" s="21"/>
      <c r="F19" s="21"/>
      <c r="G19" s="21"/>
      <c r="H19" s="21"/>
      <c r="I19" s="21"/>
      <c r="J19" s="21"/>
      <c r="K19" s="21"/>
      <c r="L19" s="21"/>
    </row>
    <row r="21" spans="2:12" ht="13.5" thickBot="1"/>
    <row r="22" spans="2:12">
      <c r="B22" s="326" t="s">
        <v>288</v>
      </c>
      <c r="C22" s="476"/>
      <c r="D22" s="317"/>
      <c r="E22" s="317"/>
      <c r="F22" s="317"/>
      <c r="G22" s="317"/>
      <c r="H22" s="317"/>
      <c r="I22" s="317"/>
      <c r="J22" s="318"/>
    </row>
    <row r="23" spans="2:12">
      <c r="B23" s="319" t="s">
        <v>408</v>
      </c>
      <c r="C23" s="67"/>
      <c r="D23" s="308">
        <f ca="1">ROUND(+D8-'R1 Opex Detail'!M609,4)</f>
        <v>0</v>
      </c>
      <c r="E23" s="308">
        <f ca="1">ROUND(+E8-'R1 Opex Detail'!N609,4)</f>
        <v>0</v>
      </c>
      <c r="F23" s="826">
        <f ca="1">ROUND(+F8-'R1 Opex Detail'!O609,4)</f>
        <v>0</v>
      </c>
      <c r="G23" s="308">
        <f ca="1">ROUND(+G8-'R1 Opex Detail'!P609,4)</f>
        <v>0</v>
      </c>
      <c r="H23" s="308">
        <f ca="1">ROUND(+H8-'R1 Opex Detail'!Q609,4)</f>
        <v>0</v>
      </c>
      <c r="I23" s="308">
        <f ca="1">ROUND(+I8-'R1 Opex Detail'!R609,4)</f>
        <v>0</v>
      </c>
      <c r="J23" s="308">
        <f ca="1">ROUND(+J8-'R1 Opex Detail'!S609,4)</f>
        <v>0</v>
      </c>
    </row>
    <row r="24" spans="2:12" ht="13.5" thickBot="1">
      <c r="B24" s="322"/>
      <c r="C24" s="323"/>
      <c r="D24" s="323"/>
      <c r="E24" s="323"/>
      <c r="F24" s="323"/>
      <c r="G24" s="323"/>
      <c r="H24" s="323"/>
      <c r="I24" s="323"/>
      <c r="J24" s="324"/>
    </row>
    <row r="27" spans="2:12" ht="15">
      <c r="B27" s="717" t="s">
        <v>612</v>
      </c>
      <c r="C27" s="709"/>
      <c r="D27" s="709"/>
      <c r="E27" s="709"/>
      <c r="F27" s="709"/>
      <c r="G27" s="709"/>
      <c r="H27" s="709"/>
      <c r="I27" s="709"/>
      <c r="J27" s="709"/>
      <c r="K27" s="710"/>
    </row>
    <row r="28" spans="2:12" ht="13.5">
      <c r="B28" s="711" t="s">
        <v>444</v>
      </c>
      <c r="C28" s="712"/>
      <c r="D28" s="712"/>
      <c r="E28" s="712"/>
      <c r="F28" s="712"/>
      <c r="G28" s="712"/>
      <c r="H28" s="712"/>
      <c r="I28" s="712"/>
      <c r="J28" s="712"/>
      <c r="K28" s="713"/>
    </row>
    <row r="29" spans="2:12" ht="13.5">
      <c r="B29" s="711"/>
      <c r="C29" s="712"/>
      <c r="D29" s="712"/>
      <c r="E29" s="712"/>
      <c r="F29" s="712"/>
      <c r="G29" s="712"/>
      <c r="H29" s="712"/>
      <c r="I29" s="712"/>
      <c r="J29" s="712"/>
      <c r="K29" s="713"/>
    </row>
    <row r="30" spans="2:12" ht="13.5">
      <c r="B30" s="711" t="s">
        <v>615</v>
      </c>
      <c r="C30" s="712"/>
      <c r="D30" s="712"/>
      <c r="E30" s="712"/>
      <c r="F30" s="712"/>
      <c r="G30" s="712"/>
      <c r="H30" s="712"/>
      <c r="I30" s="712"/>
      <c r="J30" s="712"/>
      <c r="K30" s="713"/>
    </row>
    <row r="31" spans="2:12" ht="13.5">
      <c r="B31" s="711" t="s">
        <v>616</v>
      </c>
      <c r="C31" s="712"/>
      <c r="D31" s="712"/>
      <c r="E31" s="712"/>
      <c r="F31" s="712"/>
      <c r="G31" s="712"/>
      <c r="H31" s="712"/>
      <c r="I31" s="712"/>
      <c r="J31" s="712"/>
      <c r="K31" s="713"/>
    </row>
    <row r="32" spans="2:12" ht="13.5">
      <c r="B32" s="714"/>
      <c r="C32" s="715"/>
      <c r="D32" s="715"/>
      <c r="E32" s="715"/>
      <c r="F32" s="715"/>
      <c r="G32" s="715"/>
      <c r="H32" s="715"/>
      <c r="I32" s="715"/>
      <c r="J32" s="715"/>
      <c r="K32" s="716"/>
    </row>
  </sheetData>
  <sheetProtection formatColumns="0" formatRows="0"/>
  <mergeCells count="1">
    <mergeCell ref="K3:L3"/>
  </mergeCells>
  <phoneticPr fontId="0" type="noConversion"/>
  <conditionalFormatting sqref="D23:J23">
    <cfRule type="cellIs" dxfId="33" priority="1" stopIfTrue="1" operator="equal">
      <formula>0</formula>
    </cfRule>
    <cfRule type="cellIs" dxfId="32" priority="2" stopIfTrue="1" operator="notEqual">
      <formula>0</formula>
    </cfRule>
  </conditionalFormatting>
  <pageMargins left="0.46" right="0.24" top="0.55000000000000004" bottom="0.64" header="0.24" footer="0.2"/>
  <pageSetup paperSize="9" scale="90" fitToHeight="0" orientation="portrait" r:id="rId1"/>
  <headerFooter alignWithMargins="0">
    <oddFooter>&amp;L&amp;8&amp;F
&amp;A
Printed: &amp;T on &amp;D&amp;C&amp;8Page &amp;P of &amp;N</oddFooter>
  </headerFooter>
</worksheet>
</file>

<file path=xl/worksheets/sheet87.xml><?xml version="1.0" encoding="utf-8"?>
<worksheet xmlns="http://schemas.openxmlformats.org/spreadsheetml/2006/main" xmlns:r="http://schemas.openxmlformats.org/officeDocument/2006/relationships">
  <sheetPr codeName="Sheet32" enableFormatConditionsCalculation="0">
    <tabColor indexed="58"/>
    <pageSetUpPr autoPageBreaks="0"/>
  </sheetPr>
  <dimension ref="A1:F20"/>
  <sheetViews>
    <sheetView showGridLines="0" zoomScaleNormal="100" workbookViewId="0">
      <selection activeCell="C10" sqref="C10:D10"/>
    </sheetView>
  </sheetViews>
  <sheetFormatPr defaultRowHeight="12.75"/>
  <cols>
    <col min="3" max="3" width="11" customWidth="1"/>
    <col min="4" max="4" width="6.28515625" customWidth="1"/>
  </cols>
  <sheetData>
    <row r="1" spans="1:6">
      <c r="A1" s="143"/>
    </row>
    <row r="9" spans="1:6" ht="18">
      <c r="C9" s="144" t="s">
        <v>546</v>
      </c>
    </row>
    <row r="10" spans="1:6" ht="16.5">
      <c r="C10" s="176" t="s">
        <v>4</v>
      </c>
      <c r="D10" s="730">
        <v>6</v>
      </c>
    </row>
    <row r="11" spans="1:6" ht="15.75">
      <c r="C11" s="177" t="s">
        <v>496</v>
      </c>
    </row>
    <row r="12" spans="1:6">
      <c r="C12" s="882"/>
      <c r="D12" s="882"/>
      <c r="E12" s="882"/>
      <c r="F12" s="882"/>
    </row>
    <row r="13" spans="1:6">
      <c r="C13" s="182"/>
      <c r="D13" s="182"/>
    </row>
    <row r="17" spans="3:3">
      <c r="C17" s="147" t="s">
        <v>22</v>
      </c>
    </row>
    <row r="18" spans="3:3">
      <c r="C18" s="148" t="s">
        <v>511</v>
      </c>
    </row>
    <row r="19" spans="3:3">
      <c r="C19" s="148"/>
    </row>
    <row r="20" spans="3:3">
      <c r="C20" s="148"/>
    </row>
  </sheetData>
  <sheetProtection formatColumns="0" formatRows="0"/>
  <mergeCells count="1">
    <mergeCell ref="C12:F12"/>
  </mergeCells>
  <phoneticPr fontId="3" type="noConversion"/>
  <pageMargins left="0.39370078740157483" right="0.39370078740157483" top="0.59055118110236227" bottom="0.98425196850393704" header="0" footer="0.31496062992125984"/>
  <pageSetup paperSize="9" orientation="landscape" r:id="rId1"/>
  <headerFooter alignWithMargins="0">
    <oddFooter>&amp;L&amp;8&amp;F
&amp;A
Printed: &amp;T on &amp;D&amp;C&amp;"Arial,Bold"&amp;P of &amp;N</oddFooter>
  </headerFooter>
</worksheet>
</file>

<file path=xl/worksheets/sheet88.xml><?xml version="1.0" encoding="utf-8"?>
<worksheet xmlns="http://schemas.openxmlformats.org/spreadsheetml/2006/main" xmlns:r="http://schemas.openxmlformats.org/officeDocument/2006/relationships">
  <sheetPr codeName="Sheet35">
    <tabColor indexed="12"/>
    <pageSetUpPr fitToPage="1"/>
  </sheetPr>
  <dimension ref="A1:T93"/>
  <sheetViews>
    <sheetView showGridLines="0" zoomScaleNormal="100" workbookViewId="0">
      <selection activeCell="E9" sqref="E9"/>
    </sheetView>
  </sheetViews>
  <sheetFormatPr defaultRowHeight="12.75" outlineLevelRow="2"/>
  <cols>
    <col min="1" max="1" width="30" style="793" customWidth="1"/>
    <col min="2" max="9" width="11.5703125" style="793" customWidth="1"/>
    <col min="10" max="10" width="25.5703125" style="793" customWidth="1"/>
    <col min="11" max="16384" width="9.140625" style="793"/>
  </cols>
  <sheetData>
    <row r="1" spans="1:20" ht="18" customHeight="1">
      <c r="A1" s="183" t="s">
        <v>40</v>
      </c>
      <c r="B1" s="1"/>
      <c r="C1" s="72"/>
      <c r="D1" s="42"/>
      <c r="E1" s="42"/>
      <c r="F1" s="42"/>
      <c r="G1" s="42"/>
      <c r="H1" s="42"/>
      <c r="I1" s="73" t="str">
        <f>LU_PTRMDollarDenomination</f>
        <v>$'M June 2015</v>
      </c>
      <c r="M1" s="282"/>
      <c r="N1" s="280"/>
      <c r="O1" s="280"/>
      <c r="P1" s="280"/>
      <c r="Q1" s="280"/>
      <c r="R1" s="280"/>
      <c r="S1" s="280"/>
      <c r="T1" s="280"/>
    </row>
    <row r="2" spans="1:20" ht="15.75">
      <c r="A2" s="184" t="s">
        <v>121</v>
      </c>
      <c r="B2" s="428" t="s">
        <v>272</v>
      </c>
      <c r="F2" s="284"/>
      <c r="H2" s="42"/>
      <c r="I2" s="283"/>
      <c r="L2" s="282"/>
      <c r="M2" s="282"/>
    </row>
    <row r="3" spans="1:20" ht="16.5" thickBot="1">
      <c r="A3" s="184" t="s">
        <v>118</v>
      </c>
      <c r="B3" s="236"/>
      <c r="C3" s="236"/>
      <c r="D3" s="236"/>
      <c r="E3" s="237" t="s">
        <v>122</v>
      </c>
      <c r="F3" s="242"/>
      <c r="G3" s="239"/>
      <c r="H3" s="237" t="s">
        <v>123</v>
      </c>
      <c r="I3" s="240"/>
      <c r="J3" s="42"/>
    </row>
    <row r="4" spans="1:20" ht="16.5" customHeight="1">
      <c r="A4" s="56"/>
      <c r="B4" s="635"/>
      <c r="C4" s="635"/>
      <c r="D4" s="635"/>
      <c r="E4" s="635" t="str">
        <f>'Ref-1'!Q39</f>
        <v>2015/16</v>
      </c>
      <c r="F4" s="635" t="str">
        <f>'Ref-1'!R39</f>
        <v>2016/17</v>
      </c>
      <c r="G4" s="635" t="str">
        <f>'Ref-1'!S39</f>
        <v>2017/18</v>
      </c>
      <c r="H4" s="635" t="str">
        <f>'Ref-1'!T39</f>
        <v>2018/19</v>
      </c>
      <c r="I4" s="635" t="str">
        <f>'Ref-1'!U39</f>
        <v>2019/20</v>
      </c>
      <c r="J4" s="76" t="s">
        <v>124</v>
      </c>
      <c r="K4" s="732"/>
      <c r="L4" s="732"/>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732"/>
      <c r="L6" s="732"/>
    </row>
    <row r="7" spans="1:20" s="64" customFormat="1" ht="14.25" outlineLevel="1">
      <c r="A7" s="306" t="s">
        <v>126</v>
      </c>
      <c r="B7" s="793"/>
      <c r="C7" s="793"/>
      <c r="D7" s="793"/>
      <c r="E7" s="793"/>
      <c r="F7" s="78"/>
      <c r="G7" s="78"/>
      <c r="H7" s="78"/>
      <c r="I7" s="78"/>
      <c r="J7" s="36"/>
      <c r="K7" s="63"/>
      <c r="L7" s="63"/>
    </row>
    <row r="8" spans="1:20" outlineLevel="1">
      <c r="A8" s="61" t="s">
        <v>68</v>
      </c>
      <c r="B8" s="285"/>
      <c r="C8" s="285"/>
      <c r="D8" s="285"/>
      <c r="E8" s="285">
        <f ca="1">'R2'!E8*LU_Escalation</f>
        <v>62.252145679078055</v>
      </c>
      <c r="F8" s="285">
        <f ca="1">'R2'!F8*LU_Escalation</f>
        <v>62.252145679078055</v>
      </c>
      <c r="G8" s="285">
        <f ca="1">'R2'!G8*LU_Escalation</f>
        <v>62.252145679078055</v>
      </c>
      <c r="H8" s="285">
        <f ca="1">'R2'!H8*LU_Escalation</f>
        <v>62.252145679078055</v>
      </c>
      <c r="I8" s="285">
        <f ca="1">'R2'!I8*LU_Escalation</f>
        <v>62.252145679078055</v>
      </c>
      <c r="J8" s="81"/>
      <c r="K8" s="732"/>
      <c r="L8" s="732"/>
    </row>
    <row r="9" spans="1:20" outlineLevel="1">
      <c r="A9" s="61" t="s">
        <v>69</v>
      </c>
      <c r="B9" s="285"/>
      <c r="C9" s="285"/>
      <c r="D9" s="285"/>
      <c r="E9" s="285">
        <f ca="1">'R2'!E9*LU_Escalation</f>
        <v>0.28794357088296751</v>
      </c>
      <c r="F9" s="285">
        <f ca="1">'R2'!F9*LU_Escalation</f>
        <v>0.28794357088296751</v>
      </c>
      <c r="G9" s="285">
        <f ca="1">'R2'!G9*LU_Escalation</f>
        <v>0.28794357088296751</v>
      </c>
      <c r="H9" s="285">
        <f ca="1">'R2'!H9*LU_Escalation</f>
        <v>0.28794357088296751</v>
      </c>
      <c r="I9" s="285">
        <f ca="1">'R2'!I9*LU_Escalation</f>
        <v>0.28794357088296751</v>
      </c>
      <c r="J9" s="36"/>
      <c r="K9" s="732"/>
      <c r="L9" s="732"/>
    </row>
    <row r="10" spans="1:20" outlineLevel="1">
      <c r="A10" s="61" t="s">
        <v>646</v>
      </c>
      <c r="B10" s="285"/>
      <c r="C10" s="285"/>
      <c r="D10" s="285"/>
      <c r="E10" s="285">
        <f ca="1">'R2'!E10*LU_Escalation</f>
        <v>56.332860672788804</v>
      </c>
      <c r="F10" s="285">
        <f ca="1">'R2'!F10*LU_Escalation</f>
        <v>56.332860672788804</v>
      </c>
      <c r="G10" s="285">
        <f ca="1">'R2'!G10*LU_Escalation</f>
        <v>56.332860672788804</v>
      </c>
      <c r="H10" s="285">
        <f ca="1">'R2'!H10*LU_Escalation</f>
        <v>56.332860672788804</v>
      </c>
      <c r="I10" s="285">
        <f ca="1">'R2'!I10*LU_Escalation</f>
        <v>56.332860672788804</v>
      </c>
      <c r="J10" s="36"/>
      <c r="K10" s="732"/>
      <c r="L10" s="732"/>
    </row>
    <row r="11" spans="1:20" outlineLevel="1">
      <c r="A11" s="61" t="s">
        <v>647</v>
      </c>
      <c r="B11" s="285"/>
      <c r="C11" s="285"/>
      <c r="D11" s="285"/>
      <c r="E11" s="285">
        <f ca="1">'R2'!E11*LU_Escalation</f>
        <v>21.514304697190504</v>
      </c>
      <c r="F11" s="285">
        <f ca="1">'R2'!F11*LU_Escalation</f>
        <v>21.514304697190504</v>
      </c>
      <c r="G11" s="285">
        <f ca="1">'R2'!G11*LU_Escalation</f>
        <v>21.514304697190504</v>
      </c>
      <c r="H11" s="285">
        <f ca="1">'R2'!H11*LU_Escalation</f>
        <v>21.514304697190504</v>
      </c>
      <c r="I11" s="285">
        <f ca="1">'R2'!I11*LU_Escalation</f>
        <v>21.514304697190504</v>
      </c>
      <c r="J11" s="36"/>
      <c r="K11" s="732"/>
      <c r="L11" s="732"/>
    </row>
    <row r="12" spans="1:20" outlineLevel="1">
      <c r="A12" s="61" t="s">
        <v>575</v>
      </c>
      <c r="B12" s="285"/>
      <c r="C12" s="285"/>
      <c r="D12" s="285"/>
      <c r="E12" s="285">
        <f ca="1">'R2'!E12*LU_Escalation</f>
        <v>10.14400003846154</v>
      </c>
      <c r="F12" s="285">
        <f ca="1">'R2'!F12*LU_Escalation</f>
        <v>10.14400003846154</v>
      </c>
      <c r="G12" s="285">
        <f ca="1">'R2'!G12*LU_Escalation</f>
        <v>10.14400003846154</v>
      </c>
      <c r="H12" s="285">
        <f ca="1">'R2'!H12*LU_Escalation</f>
        <v>10.14400003846154</v>
      </c>
      <c r="I12" s="285">
        <f ca="1">'R2'!I12*LU_Escalation</f>
        <v>10.14400003846154</v>
      </c>
      <c r="J12" s="36"/>
      <c r="K12" s="732"/>
      <c r="L12" s="732"/>
    </row>
    <row r="13" spans="1:20" outlineLevel="1">
      <c r="A13" s="83" t="s">
        <v>70</v>
      </c>
      <c r="B13" s="286"/>
      <c r="C13" s="286"/>
      <c r="D13" s="286"/>
      <c r="E13" s="285">
        <f ca="1">'R2'!E13*LU_Escalation</f>
        <v>17.924477764675078</v>
      </c>
      <c r="F13" s="285">
        <f ca="1">'R2'!F13*LU_Escalation</f>
        <v>17.924477764675078</v>
      </c>
      <c r="G13" s="285">
        <f ca="1">'R2'!G13*LU_Escalation</f>
        <v>17.924477764675078</v>
      </c>
      <c r="H13" s="285">
        <f ca="1">'R2'!H13*LU_Escalation</f>
        <v>17.924477764675078</v>
      </c>
      <c r="I13" s="285">
        <f ca="1">'R2'!I13*LU_Escalation</f>
        <v>17.924477764675078</v>
      </c>
      <c r="J13" s="36"/>
      <c r="K13" s="732"/>
      <c r="L13" s="732"/>
    </row>
    <row r="14" spans="1:20" s="560" customFormat="1" ht="18" customHeight="1">
      <c r="A14" s="84" t="s">
        <v>71</v>
      </c>
      <c r="B14" s="287"/>
      <c r="C14" s="287"/>
      <c r="D14" s="287"/>
      <c r="E14" s="295">
        <f t="shared" ref="E14:I14" ca="1" si="0">SUM(E8:E13)</f>
        <v>168.45573242307697</v>
      </c>
      <c r="F14" s="295">
        <f t="shared" ca="1" si="0"/>
        <v>168.45573242307697</v>
      </c>
      <c r="G14" s="295">
        <f t="shared" ca="1" si="0"/>
        <v>168.45573242307697</v>
      </c>
      <c r="H14" s="295">
        <f t="shared" ca="1" si="0"/>
        <v>168.45573242307697</v>
      </c>
      <c r="I14" s="309">
        <f t="shared" ca="1" si="0"/>
        <v>168.45573242307697</v>
      </c>
      <c r="J14" s="308">
        <f ca="1">+J78</f>
        <v>0</v>
      </c>
      <c r="K14" s="536"/>
      <c r="L14" s="536"/>
    </row>
    <row r="15" spans="1:20" outlineLevel="1">
      <c r="A15" s="88"/>
      <c r="B15" s="89"/>
      <c r="C15" s="89"/>
      <c r="D15" s="89"/>
      <c r="E15" s="89"/>
      <c r="F15" s="89"/>
      <c r="G15" s="89"/>
      <c r="H15" s="89"/>
      <c r="I15" s="89"/>
      <c r="K15" s="732"/>
      <c r="L15" s="732"/>
    </row>
    <row r="16" spans="1:20" ht="18" outlineLevel="1">
      <c r="A16" s="207" t="s">
        <v>291</v>
      </c>
      <c r="B16" s="78"/>
      <c r="C16" s="78"/>
      <c r="D16" s="78"/>
      <c r="E16" s="78"/>
      <c r="F16" s="78"/>
      <c r="G16" s="78"/>
      <c r="H16" s="78"/>
      <c r="I16" s="78"/>
      <c r="J16" s="42"/>
    </row>
    <row r="17" spans="1:12" ht="18" outlineLevel="1">
      <c r="A17" s="77"/>
      <c r="B17" s="78"/>
      <c r="C17" s="78"/>
      <c r="D17" s="78"/>
      <c r="E17" s="78"/>
      <c r="F17" s="78"/>
      <c r="G17" s="78"/>
      <c r="H17" s="78"/>
      <c r="I17" s="78"/>
      <c r="J17" s="42"/>
    </row>
    <row r="18" spans="1:12" s="632" customFormat="1" outlineLevel="1">
      <c r="A18" s="306" t="s">
        <v>126</v>
      </c>
      <c r="B18" s="59"/>
      <c r="C18" s="59"/>
      <c r="D18" s="59"/>
      <c r="E18" s="59"/>
      <c r="F18" s="59"/>
      <c r="G18" s="59"/>
      <c r="H18" s="59"/>
      <c r="I18" s="59"/>
      <c r="J18" s="621"/>
      <c r="K18" s="621"/>
      <c r="L18" s="621"/>
    </row>
    <row r="19" spans="1:12" outlineLevel="1">
      <c r="A19" s="61" t="s">
        <v>68</v>
      </c>
      <c r="B19" s="288"/>
      <c r="C19" s="285"/>
      <c r="D19" s="285"/>
      <c r="E19" s="796">
        <f>'R2'!E19*LU_Escalation</f>
        <v>1.9392789230769232</v>
      </c>
      <c r="F19" s="796">
        <f>'R2'!F19*LU_Escalation</f>
        <v>2.7125095384615383</v>
      </c>
      <c r="G19" s="796">
        <f>'R2'!G19*LU_Escalation</f>
        <v>3.1011923076923082</v>
      </c>
      <c r="H19" s="796">
        <f>'R2'!H19*LU_Escalation</f>
        <v>2.9854144615384617</v>
      </c>
      <c r="I19" s="796">
        <f>'R2'!I19*LU_Escalation</f>
        <v>3.1239343846153851</v>
      </c>
      <c r="J19" s="42"/>
      <c r="K19" s="732"/>
      <c r="L19" s="732"/>
    </row>
    <row r="20" spans="1:12" outlineLevel="1">
      <c r="A20" s="61" t="s">
        <v>69</v>
      </c>
      <c r="B20" s="289"/>
      <c r="C20" s="285"/>
      <c r="D20" s="285"/>
      <c r="E20" s="796">
        <f>'R2'!E20*LU_Escalation</f>
        <v>0</v>
      </c>
      <c r="F20" s="796">
        <f>'R2'!F20*LU_Escalation</f>
        <v>2.4809538461538466E-2</v>
      </c>
      <c r="G20" s="796">
        <f>'R2'!G20*LU_Escalation</f>
        <v>3.2045653846153849E-2</v>
      </c>
      <c r="H20" s="796">
        <f>'R2'!H20*LU_Escalation</f>
        <v>4.7551615384615387E-2</v>
      </c>
      <c r="I20" s="796">
        <f>'R2'!I20*LU_Escalation</f>
        <v>4.3416692307692316E-2</v>
      </c>
      <c r="J20" s="42"/>
      <c r="K20" s="732"/>
      <c r="L20" s="732"/>
    </row>
    <row r="21" spans="1:12" outlineLevel="1">
      <c r="A21" s="61" t="s">
        <v>646</v>
      </c>
      <c r="B21" s="289"/>
      <c r="C21" s="285"/>
      <c r="D21" s="285"/>
      <c r="E21" s="796">
        <f>'R2'!E21*LU_Escalation</f>
        <v>13.705202538461538</v>
      </c>
      <c r="F21" s="796">
        <f>'R2'!F21*LU_Escalation</f>
        <v>11.869296692307692</v>
      </c>
      <c r="G21" s="796">
        <f>'R2'!G21*LU_Escalation</f>
        <v>11.721473192307695</v>
      </c>
      <c r="H21" s="796">
        <f>'R2'!H21*LU_Escalation</f>
        <v>11.537469115384617</v>
      </c>
      <c r="I21" s="796">
        <f>'R2'!I21*LU_Escalation</f>
        <v>9.4514004230769242</v>
      </c>
      <c r="J21" s="42"/>
      <c r="K21" s="732"/>
      <c r="L21" s="732"/>
    </row>
    <row r="22" spans="1:12" outlineLevel="1">
      <c r="A22" s="61" t="s">
        <v>647</v>
      </c>
      <c r="B22" s="289"/>
      <c r="C22" s="285"/>
      <c r="D22" s="285"/>
      <c r="E22" s="796">
        <f>'R2'!E22*LU_Escalation</f>
        <v>2.7176781923076927</v>
      </c>
      <c r="F22" s="796">
        <f>'R2'!F22*LU_Escalation</f>
        <v>8.9779517307692309</v>
      </c>
      <c r="G22" s="796">
        <f>'R2'!G22*LU_Escalation</f>
        <v>3.6594069230769235</v>
      </c>
      <c r="H22" s="796">
        <f>'R2'!H22*LU_Escalation</f>
        <v>3.3203432307692302</v>
      </c>
      <c r="I22" s="796">
        <f>'R2'!I22*LU_Escalation</f>
        <v>2.8644679615384616</v>
      </c>
      <c r="J22" s="42"/>
      <c r="K22" s="732"/>
      <c r="L22" s="732"/>
    </row>
    <row r="23" spans="1:12" outlineLevel="1">
      <c r="A23" s="61" t="s">
        <v>575</v>
      </c>
      <c r="B23" s="289"/>
      <c r="C23" s="285"/>
      <c r="D23" s="285"/>
      <c r="E23" s="796">
        <f>'R2'!E23*LU_Escalation</f>
        <v>0</v>
      </c>
      <c r="F23" s="796">
        <f>'R2'!F23*LU_Escalation</f>
        <v>0</v>
      </c>
      <c r="G23" s="796">
        <f>'R2'!G23*LU_Escalation</f>
        <v>0</v>
      </c>
      <c r="H23" s="796">
        <f>'R2'!H23*LU_Escalation</f>
        <v>0</v>
      </c>
      <c r="I23" s="796">
        <f>'R2'!I23*LU_Escalation</f>
        <v>0</v>
      </c>
      <c r="J23" s="42"/>
      <c r="K23" s="732"/>
      <c r="L23" s="732"/>
    </row>
    <row r="24" spans="1:12" outlineLevel="1">
      <c r="A24" s="83" t="s">
        <v>70</v>
      </c>
      <c r="B24" s="290"/>
      <c r="C24" s="286"/>
      <c r="D24" s="286"/>
      <c r="E24" s="796">
        <f>'R2'!E24*LU_Escalation</f>
        <v>0</v>
      </c>
      <c r="F24" s="796">
        <f>'R2'!F24*LU_Escalation</f>
        <v>0</v>
      </c>
      <c r="G24" s="796">
        <f>'R2'!G24*LU_Escalation</f>
        <v>0</v>
      </c>
      <c r="H24" s="796">
        <f>'R2'!H24*LU_Escalation</f>
        <v>0</v>
      </c>
      <c r="I24" s="796">
        <f>'R2'!I24*LU_Escalation</f>
        <v>0</v>
      </c>
      <c r="J24" s="42"/>
      <c r="K24" s="732"/>
      <c r="L24" s="732"/>
    </row>
    <row r="25" spans="1:12" s="560" customFormat="1" ht="18" customHeight="1">
      <c r="A25" s="84" t="s">
        <v>72</v>
      </c>
      <c r="B25" s="291"/>
      <c r="C25" s="287"/>
      <c r="D25" s="287"/>
      <c r="E25" s="295">
        <f t="shared" ref="E25:I25" si="1">SUM(E19:E24)</f>
        <v>18.362159653846156</v>
      </c>
      <c r="F25" s="295">
        <f t="shared" si="1"/>
        <v>23.584567499999999</v>
      </c>
      <c r="G25" s="295">
        <f t="shared" si="1"/>
        <v>18.514118076923079</v>
      </c>
      <c r="H25" s="295">
        <f t="shared" si="1"/>
        <v>17.890778423076924</v>
      </c>
      <c r="I25" s="309">
        <f t="shared" si="1"/>
        <v>15.483219461538464</v>
      </c>
      <c r="J25" s="308">
        <f>+J79</f>
        <v>0</v>
      </c>
      <c r="K25" s="536"/>
      <c r="L25" s="536"/>
    </row>
    <row r="26" spans="1:12" outlineLevel="1">
      <c r="A26" s="88"/>
      <c r="B26" s="292"/>
      <c r="C26" s="292"/>
      <c r="D26" s="292"/>
      <c r="E26" s="292"/>
      <c r="F26" s="292"/>
      <c r="G26" s="292"/>
      <c r="H26" s="292"/>
      <c r="I26" s="292"/>
      <c r="J26" s="42"/>
      <c r="K26" s="732"/>
      <c r="L26" s="732"/>
    </row>
    <row r="27" spans="1:12" ht="18.75" customHeight="1" outlineLevel="1">
      <c r="A27" s="207" t="s">
        <v>127</v>
      </c>
      <c r="B27" s="285"/>
      <c r="C27" s="285"/>
      <c r="D27" s="285"/>
      <c r="E27" s="285"/>
      <c r="F27" s="285"/>
      <c r="G27" s="285"/>
      <c r="H27" s="285"/>
      <c r="I27" s="285"/>
      <c r="J27" s="42"/>
    </row>
    <row r="28" spans="1:12" outlineLevel="1">
      <c r="A28" s="92"/>
      <c r="B28" s="293"/>
      <c r="C28" s="293"/>
      <c r="D28" s="293"/>
      <c r="E28" s="293"/>
      <c r="F28" s="293"/>
      <c r="G28" s="293"/>
      <c r="H28" s="293"/>
      <c r="I28" s="293"/>
      <c r="J28" s="42"/>
      <c r="K28" s="732"/>
      <c r="L28" s="732"/>
    </row>
    <row r="29" spans="1:12" s="64" customFormat="1" ht="14.25" outlineLevel="2">
      <c r="A29" s="306" t="s">
        <v>126</v>
      </c>
      <c r="B29" s="285"/>
      <c r="C29" s="285"/>
      <c r="D29" s="285"/>
      <c r="E29" s="285"/>
      <c r="F29" s="285"/>
      <c r="G29" s="285"/>
      <c r="H29" s="285"/>
      <c r="I29" s="285"/>
      <c r="J29" s="63"/>
      <c r="K29" s="63"/>
      <c r="L29" s="63"/>
    </row>
    <row r="30" spans="1:12" outlineLevel="2">
      <c r="A30" s="61" t="s">
        <v>68</v>
      </c>
      <c r="B30" s="285"/>
      <c r="C30" s="285"/>
      <c r="D30" s="285"/>
      <c r="E30" s="285">
        <f ca="1">+'R2 ($2015)'!E8+'R2 ($2015)'!E19</f>
        <v>64.191424602154981</v>
      </c>
      <c r="F30" s="285">
        <f ca="1">+'R2 ($2015)'!F8+'R2 ($2015)'!F19</f>
        <v>64.964655217539587</v>
      </c>
      <c r="G30" s="285">
        <f ca="1">+'R2 ($2015)'!G8+'R2 ($2015)'!G19</f>
        <v>65.353337986770356</v>
      </c>
      <c r="H30" s="285">
        <f ca="1">+'R2 ($2015)'!H8+'R2 ($2015)'!H19</f>
        <v>65.237560140616523</v>
      </c>
      <c r="I30" s="285">
        <f ca="1">+'R2 ($2015)'!I8+'R2 ($2015)'!I19</f>
        <v>65.376080063693436</v>
      </c>
      <c r="J30" s="42"/>
      <c r="K30" s="732"/>
      <c r="L30" s="732"/>
    </row>
    <row r="31" spans="1:12" outlineLevel="2">
      <c r="A31" s="61" t="s">
        <v>69</v>
      </c>
      <c r="B31" s="285"/>
      <c r="C31" s="285"/>
      <c r="D31" s="285"/>
      <c r="E31" s="285">
        <f ca="1">+'R2 ($2015)'!E9+'R2 ($2015)'!E20</f>
        <v>0.28794357088296751</v>
      </c>
      <c r="F31" s="285">
        <f ca="1">+'R2 ($2015)'!F9+'R2 ($2015)'!F20</f>
        <v>0.31275310934450595</v>
      </c>
      <c r="G31" s="285">
        <f ca="1">+'R2 ($2015)'!G9+'R2 ($2015)'!G20</f>
        <v>0.31998922472912139</v>
      </c>
      <c r="H31" s="285">
        <f ca="1">+'R2 ($2015)'!H9+'R2 ($2015)'!H20</f>
        <v>0.3354951862675829</v>
      </c>
      <c r="I31" s="285">
        <f ca="1">+'R2 ($2015)'!I9+'R2 ($2015)'!I20</f>
        <v>0.33136026319065981</v>
      </c>
      <c r="J31" s="42"/>
      <c r="K31" s="732"/>
      <c r="L31" s="732"/>
    </row>
    <row r="32" spans="1:12" outlineLevel="2">
      <c r="A32" s="61" t="s">
        <v>646</v>
      </c>
      <c r="B32" s="285"/>
      <c r="C32" s="285"/>
      <c r="D32" s="285"/>
      <c r="E32" s="285">
        <f ca="1">+'R2 ($2015)'!E10+'R2 ($2015)'!E21</f>
        <v>70.038063211250346</v>
      </c>
      <c r="F32" s="285">
        <f ca="1">+'R2 ($2015)'!F10+'R2 ($2015)'!F21</f>
        <v>68.202157365096497</v>
      </c>
      <c r="G32" s="285">
        <f ca="1">+'R2 ($2015)'!G10+'R2 ($2015)'!G21</f>
        <v>68.054333865096496</v>
      </c>
      <c r="H32" s="285">
        <f ca="1">+'R2 ($2015)'!H10+'R2 ($2015)'!H21</f>
        <v>67.870329788173422</v>
      </c>
      <c r="I32" s="285">
        <f ca="1">+'R2 ($2015)'!I10+'R2 ($2015)'!I21</f>
        <v>65.78426109586573</v>
      </c>
      <c r="J32" s="42"/>
      <c r="K32" s="732"/>
      <c r="L32" s="732"/>
    </row>
    <row r="33" spans="1:12" outlineLevel="2">
      <c r="A33" s="61" t="s">
        <v>647</v>
      </c>
      <c r="B33" s="285"/>
      <c r="C33" s="285"/>
      <c r="D33" s="285"/>
      <c r="E33" s="285">
        <f ca="1">+'R2 ($2015)'!E11+'R2 ($2015)'!E22</f>
        <v>24.231982889498198</v>
      </c>
      <c r="F33" s="285">
        <f ca="1">+'R2 ($2015)'!F11+'R2 ($2015)'!F22</f>
        <v>30.492256427959735</v>
      </c>
      <c r="G33" s="285">
        <f ca="1">+'R2 ($2015)'!G11+'R2 ($2015)'!G22</f>
        <v>25.173711620267426</v>
      </c>
      <c r="H33" s="285">
        <f ca="1">+'R2 ($2015)'!H11+'R2 ($2015)'!H22</f>
        <v>24.834647927959733</v>
      </c>
      <c r="I33" s="285">
        <f ca="1">+'R2 ($2015)'!I11+'R2 ($2015)'!I22</f>
        <v>24.378772658728966</v>
      </c>
      <c r="J33" s="42"/>
      <c r="K33" s="732"/>
      <c r="L33" s="732"/>
    </row>
    <row r="34" spans="1:12" outlineLevel="2">
      <c r="A34" s="61" t="s">
        <v>575</v>
      </c>
      <c r="B34" s="285"/>
      <c r="C34" s="285"/>
      <c r="D34" s="285"/>
      <c r="E34" s="285">
        <f ca="1">+'R2 ($2015)'!E12+'R2 ($2015)'!E23</f>
        <v>10.14400003846154</v>
      </c>
      <c r="F34" s="285">
        <f ca="1">+'R2 ($2015)'!F12+'R2 ($2015)'!F23</f>
        <v>10.14400003846154</v>
      </c>
      <c r="G34" s="285">
        <f ca="1">+'R2 ($2015)'!G12+'R2 ($2015)'!G23</f>
        <v>10.14400003846154</v>
      </c>
      <c r="H34" s="285">
        <f ca="1">+'R2 ($2015)'!H12+'R2 ($2015)'!H23</f>
        <v>10.14400003846154</v>
      </c>
      <c r="I34" s="285">
        <f ca="1">+'R2 ($2015)'!I12+'R2 ($2015)'!I23</f>
        <v>10.14400003846154</v>
      </c>
      <c r="J34" s="42"/>
      <c r="K34" s="732"/>
      <c r="L34" s="732"/>
    </row>
    <row r="35" spans="1:12" outlineLevel="2">
      <c r="A35" s="83" t="s">
        <v>70</v>
      </c>
      <c r="B35" s="285"/>
      <c r="C35" s="285"/>
      <c r="D35" s="285"/>
      <c r="E35" s="285">
        <f ca="1">+'R2 ($2015)'!E13+'R2 ($2015)'!E24</f>
        <v>17.924477764675078</v>
      </c>
      <c r="F35" s="285">
        <f ca="1">+'R2 ($2015)'!F13+'R2 ($2015)'!F24</f>
        <v>17.924477764675078</v>
      </c>
      <c r="G35" s="285">
        <f ca="1">+'R2 ($2015)'!G13+'R2 ($2015)'!G24</f>
        <v>17.924477764675078</v>
      </c>
      <c r="H35" s="285">
        <f ca="1">+'R2 ($2015)'!H13+'R2 ($2015)'!H24</f>
        <v>17.924477764675078</v>
      </c>
      <c r="I35" s="285">
        <f ca="1">+'R2 ($2015)'!I13+'R2 ($2015)'!I24</f>
        <v>17.924477764675078</v>
      </c>
      <c r="J35" s="93"/>
      <c r="K35" s="732"/>
      <c r="L35" s="732"/>
    </row>
    <row r="36" spans="1:12" s="560" customFormat="1" ht="20.25" customHeight="1">
      <c r="A36" s="94" t="s">
        <v>128</v>
      </c>
      <c r="B36" s="294"/>
      <c r="C36" s="294"/>
      <c r="D36" s="294"/>
      <c r="E36" s="294">
        <f t="shared" ref="E36:I36" ca="1" si="2">SUM(E30:E35)</f>
        <v>186.81789207692313</v>
      </c>
      <c r="F36" s="294">
        <f t="shared" ca="1" si="2"/>
        <v>192.04029992307699</v>
      </c>
      <c r="G36" s="294">
        <f t="shared" ca="1" si="2"/>
        <v>186.96985050000004</v>
      </c>
      <c r="H36" s="294">
        <f t="shared" ca="1" si="2"/>
        <v>186.3465108461539</v>
      </c>
      <c r="I36" s="294">
        <f t="shared" ca="1" si="2"/>
        <v>183.93895188461542</v>
      </c>
      <c r="J36" s="308">
        <f ca="1">+J80</f>
        <v>0</v>
      </c>
      <c r="L36" s="536"/>
    </row>
    <row r="37" spans="1:12" ht="2.25" customHeight="1">
      <c r="A37" s="92"/>
      <c r="B37" s="95"/>
      <c r="C37" s="95"/>
      <c r="D37" s="95"/>
      <c r="E37" s="95"/>
      <c r="F37" s="95"/>
      <c r="G37" s="95"/>
      <c r="H37" s="95"/>
      <c r="I37" s="95"/>
      <c r="J37" s="96"/>
      <c r="L37" s="732"/>
    </row>
    <row r="38" spans="1:12" outlineLevel="1">
      <c r="A38" s="88"/>
      <c r="B38" s="89"/>
      <c r="C38" s="89"/>
      <c r="D38" s="89"/>
      <c r="E38" s="89"/>
      <c r="F38" s="89"/>
      <c r="G38" s="89"/>
      <c r="H38" s="89"/>
      <c r="I38" s="89"/>
      <c r="K38" s="42"/>
      <c r="L38" s="732"/>
    </row>
    <row r="39" spans="1:12" ht="18" outlineLevel="1">
      <c r="A39" s="207" t="s">
        <v>293</v>
      </c>
      <c r="B39" s="78"/>
      <c r="C39" s="78"/>
      <c r="D39" s="78"/>
      <c r="E39" s="78"/>
      <c r="F39" s="78"/>
      <c r="G39" s="78"/>
      <c r="H39" s="78"/>
      <c r="I39" s="78"/>
      <c r="K39" s="42"/>
    </row>
    <row r="40" spans="1:12" ht="18" outlineLevel="1">
      <c r="A40" s="77"/>
      <c r="B40" s="78"/>
      <c r="C40" s="78"/>
      <c r="D40" s="78"/>
      <c r="E40" s="78"/>
      <c r="F40" s="78"/>
      <c r="G40" s="78"/>
      <c r="H40" s="78"/>
      <c r="I40" s="78"/>
      <c r="K40" s="42"/>
    </row>
    <row r="41" spans="1:12" s="632" customFormat="1" outlineLevel="1">
      <c r="A41" s="306" t="s">
        <v>126</v>
      </c>
      <c r="B41" s="78"/>
      <c r="C41" s="78"/>
      <c r="D41" s="78"/>
      <c r="E41" s="78"/>
      <c r="F41" s="78"/>
      <c r="G41" s="78"/>
      <c r="H41" s="78"/>
      <c r="I41" s="78"/>
      <c r="K41" s="621"/>
      <c r="L41" s="621"/>
    </row>
    <row r="42" spans="1:12" s="64" customFormat="1" ht="14.25" outlineLevel="1">
      <c r="A42" s="61" t="s">
        <v>68</v>
      </c>
      <c r="B42" s="82"/>
      <c r="C42" s="285"/>
      <c r="D42" s="285"/>
      <c r="E42" s="285">
        <f ca="1">'R2'!E42*LU_Escalation</f>
        <v>0.66049266857238931</v>
      </c>
      <c r="F42" s="285">
        <f ca="1">'R2'!F42*LU_Escalation</f>
        <v>1.2724958062604028</v>
      </c>
      <c r="G42" s="285">
        <f ca="1">'R2'!G42*LU_Escalation</f>
        <v>1.8774541120417791</v>
      </c>
      <c r="H42" s="285">
        <f ca="1">'R2'!H42*LU_Escalation</f>
        <v>2.533785286276991</v>
      </c>
      <c r="I42" s="285">
        <f ca="1">'R2'!I42*LU_Escalation</f>
        <v>3.1349895538799699</v>
      </c>
      <c r="K42" s="63"/>
      <c r="L42" s="63"/>
    </row>
    <row r="43" spans="1:12" outlineLevel="1">
      <c r="A43" s="61" t="s">
        <v>69</v>
      </c>
      <c r="B43" s="82"/>
      <c r="C43" s="285"/>
      <c r="D43" s="285"/>
      <c r="E43" s="285">
        <f ca="1">'R2'!E43*LU_Escalation</f>
        <v>3.0550692744181558E-3</v>
      </c>
      <c r="F43" s="285">
        <f ca="1">'R2'!F43*LU_Escalation</f>
        <v>5.8858531282940958E-3</v>
      </c>
      <c r="G43" s="285">
        <f ca="1">'R2'!G43*LU_Escalation</f>
        <v>8.6840515341772076E-3</v>
      </c>
      <c r="H43" s="285">
        <f ca="1">'R2'!H43*LU_Escalation</f>
        <v>1.1719872065815738E-2</v>
      </c>
      <c r="I43" s="285">
        <f ca="1">'R2'!I43*LU_Escalation</f>
        <v>1.4500706392974709E-2</v>
      </c>
      <c r="K43" s="42"/>
      <c r="L43" s="732"/>
    </row>
    <row r="44" spans="1:12" outlineLevel="1">
      <c r="A44" s="61" t="s">
        <v>646</v>
      </c>
      <c r="B44" s="82"/>
      <c r="C44" s="285"/>
      <c r="D44" s="285"/>
      <c r="E44" s="285">
        <f ca="1">'R2'!E44*LU_Escalation</f>
        <v>0.59768930160091971</v>
      </c>
      <c r="F44" s="285">
        <f ca="1">'R2'!F44*LU_Escalation</f>
        <v>1.1514997303115757</v>
      </c>
      <c r="G44" s="285">
        <f ca="1">'R2'!G44*LU_Escalation</f>
        <v>1.6989351894540232</v>
      </c>
      <c r="H44" s="285">
        <f ca="1">'R2'!H44*LU_Escalation</f>
        <v>2.2928586950630208</v>
      </c>
      <c r="I44" s="285">
        <f ca="1">'R2'!I44*LU_Escalation</f>
        <v>2.8368970711433978</v>
      </c>
      <c r="K44" s="42"/>
      <c r="L44" s="732"/>
    </row>
    <row r="45" spans="1:12" outlineLevel="1">
      <c r="A45" s="61" t="s">
        <v>647</v>
      </c>
      <c r="B45" s="82"/>
      <c r="C45" s="285"/>
      <c r="D45" s="285"/>
      <c r="E45" s="285">
        <f ca="1">'R2'!E45*LU_Escalation</f>
        <v>0.22826587528697206</v>
      </c>
      <c r="F45" s="285">
        <f ca="1">'R2'!F45*LU_Escalation</f>
        <v>0.43977379740316846</v>
      </c>
      <c r="G45" s="285">
        <f ca="1">'R2'!G45*LU_Escalation</f>
        <v>0.64884702978254472</v>
      </c>
      <c r="H45" s="285">
        <f ca="1">'R2'!H45*LU_Escalation</f>
        <v>0.87567469508994067</v>
      </c>
      <c r="I45" s="285">
        <f ca="1">'R2'!I45*LU_Escalation</f>
        <v>1.083450534097026</v>
      </c>
      <c r="K45" s="42"/>
      <c r="L45" s="732"/>
    </row>
    <row r="46" spans="1:12" outlineLevel="1">
      <c r="A46" s="61" t="s">
        <v>575</v>
      </c>
      <c r="B46" s="82"/>
      <c r="C46" s="285"/>
      <c r="D46" s="285"/>
      <c r="E46" s="285">
        <f ca="1">'R2'!E46*LU_Escalation</f>
        <v>0.1076274172129244</v>
      </c>
      <c r="F46" s="285">
        <f ca="1">'R2'!F46*LU_Escalation</f>
        <v>0.20735345532010974</v>
      </c>
      <c r="G46" s="285">
        <f ca="1">'R2'!G46*LU_Escalation</f>
        <v>0.30593153660825961</v>
      </c>
      <c r="H46" s="285">
        <f ca="1">'R2'!H46*LU_Escalation</f>
        <v>0.41288083745658499</v>
      </c>
      <c r="I46" s="285">
        <f ca="1">'R2'!I46*LU_Escalation</f>
        <v>0.51084719744564333</v>
      </c>
      <c r="K46" s="42"/>
      <c r="L46" s="732"/>
    </row>
    <row r="47" spans="1:12" outlineLevel="1">
      <c r="A47" s="83" t="s">
        <v>70</v>
      </c>
      <c r="B47" s="82"/>
      <c r="C47" s="286"/>
      <c r="D47" s="286"/>
      <c r="E47" s="285">
        <f ca="1">'R2'!E47*LU_Escalation</f>
        <v>0.19017796129612918</v>
      </c>
      <c r="F47" s="285">
        <f ca="1">'R2'!F47*LU_Escalation</f>
        <v>0.3663941625810106</v>
      </c>
      <c r="G47" s="285">
        <f ca="1">'R2'!G47*LU_Escalation</f>
        <v>0.54058192080599543</v>
      </c>
      <c r="H47" s="285">
        <f ca="1">'R2'!H47*LU_Escalation</f>
        <v>0.72956164850068206</v>
      </c>
      <c r="I47" s="285">
        <f ca="1">'R2'!I47*LU_Escalation</f>
        <v>0.90266849339934896</v>
      </c>
      <c r="K47" s="42"/>
      <c r="L47" s="732"/>
    </row>
    <row r="48" spans="1:12" s="560" customFormat="1" ht="18" customHeight="1">
      <c r="A48" s="94" t="s">
        <v>74</v>
      </c>
      <c r="B48" s="294"/>
      <c r="C48" s="294"/>
      <c r="D48" s="294"/>
      <c r="E48" s="294">
        <f t="shared" ref="E48:I48" ca="1" si="3">SUM(E42:E47)</f>
        <v>1.787308293243753</v>
      </c>
      <c r="F48" s="294">
        <f t="shared" ca="1" si="3"/>
        <v>3.4434028050045615</v>
      </c>
      <c r="G48" s="294">
        <f t="shared" ca="1" si="3"/>
        <v>5.080433840226779</v>
      </c>
      <c r="H48" s="294">
        <f t="shared" ca="1" si="3"/>
        <v>6.8564810344530347</v>
      </c>
      <c r="I48" s="294">
        <f t="shared" ca="1" si="3"/>
        <v>8.4833535563583595</v>
      </c>
      <c r="J48" s="308">
        <f ca="1">+J81</f>
        <v>0</v>
      </c>
      <c r="L48" s="536"/>
    </row>
    <row r="49" spans="1:12" outlineLevel="1">
      <c r="A49" s="88"/>
      <c r="B49" s="89"/>
      <c r="C49" s="89"/>
      <c r="D49" s="89"/>
      <c r="E49" s="89"/>
      <c r="F49" s="89"/>
      <c r="G49" s="89"/>
      <c r="H49" s="89"/>
      <c r="I49" s="89"/>
      <c r="K49" s="42"/>
      <c r="L49" s="732"/>
    </row>
    <row r="50" spans="1:12" ht="18" outlineLevel="1">
      <c r="A50" s="207" t="s">
        <v>294</v>
      </c>
      <c r="B50" s="78"/>
      <c r="C50" s="78"/>
      <c r="D50" s="78"/>
      <c r="E50" s="78"/>
      <c r="F50" s="78"/>
      <c r="G50" s="78"/>
      <c r="H50" s="78"/>
      <c r="I50" s="78"/>
      <c r="K50" s="42"/>
    </row>
    <row r="51" spans="1:12" ht="8.25" customHeight="1" outlineLevel="1">
      <c r="A51" s="77"/>
      <c r="B51" s="78"/>
      <c r="C51" s="78"/>
      <c r="D51" s="78"/>
      <c r="E51" s="78"/>
      <c r="F51" s="78"/>
      <c r="G51" s="78"/>
      <c r="H51" s="78"/>
      <c r="I51" s="78"/>
      <c r="K51" s="42"/>
    </row>
    <row r="52" spans="1:12" s="632" customFormat="1" outlineLevel="1">
      <c r="A52" s="306" t="s">
        <v>126</v>
      </c>
      <c r="B52" s="78"/>
      <c r="C52" s="78"/>
      <c r="D52" s="78"/>
      <c r="E52" s="78"/>
      <c r="F52" s="78"/>
      <c r="G52" s="78"/>
      <c r="H52" s="78"/>
      <c r="I52" s="78"/>
      <c r="K52" s="621"/>
      <c r="L52" s="621"/>
    </row>
    <row r="53" spans="1:12" s="64" customFormat="1" ht="14.25" outlineLevel="1">
      <c r="A53" s="61" t="s">
        <v>68</v>
      </c>
      <c r="B53" s="285"/>
      <c r="C53" s="285"/>
      <c r="D53" s="285"/>
      <c r="E53" s="285">
        <f ca="1">'R2'!E53*LU_Escalation</f>
        <v>1.3499772484945562</v>
      </c>
      <c r="F53" s="285">
        <f ca="1">'R2'!F53*LU_Escalation</f>
        <v>2.7554687410344361</v>
      </c>
      <c r="G53" s="285">
        <f ca="1">'R2'!G53*LU_Escalation</f>
        <v>4.2961631456775695</v>
      </c>
      <c r="H53" s="285">
        <f ca="1">'R2'!H53*LU_Escalation</f>
        <v>5.9047136843522017</v>
      </c>
      <c r="I53" s="285">
        <f ca="1">'R2'!I53*LU_Escalation</f>
        <v>7.5743503240620074</v>
      </c>
      <c r="K53" s="63"/>
      <c r="L53" s="63"/>
    </row>
    <row r="54" spans="1:12" outlineLevel="1">
      <c r="A54" s="61" t="s">
        <v>69</v>
      </c>
      <c r="B54" s="285"/>
      <c r="C54" s="285"/>
      <c r="D54" s="285"/>
      <c r="E54" s="285">
        <f ca="1">'R2'!E54*LU_Escalation</f>
        <v>0</v>
      </c>
      <c r="F54" s="285">
        <f ca="1">'R2'!F54*LU_Escalation</f>
        <v>0</v>
      </c>
      <c r="G54" s="285">
        <f ca="1">'R2'!G54*LU_Escalation</f>
        <v>0</v>
      </c>
      <c r="H54" s="285">
        <f ca="1">'R2'!H54*LU_Escalation</f>
        <v>0</v>
      </c>
      <c r="I54" s="285">
        <f ca="1">'R2'!I54*LU_Escalation</f>
        <v>0</v>
      </c>
      <c r="K54" s="42"/>
      <c r="L54" s="732"/>
    </row>
    <row r="55" spans="1:12" outlineLevel="1">
      <c r="A55" s="61" t="s">
        <v>646</v>
      </c>
      <c r="B55" s="285"/>
      <c r="C55" s="285"/>
      <c r="D55" s="285"/>
      <c r="E55" s="285">
        <f ca="1">'R2'!E55*LU_Escalation</f>
        <v>0.28465274987194256</v>
      </c>
      <c r="F55" s="285">
        <f ca="1">'R2'!F55*LU_Escalation</f>
        <v>0.57628071304106565</v>
      </c>
      <c r="G55" s="285">
        <f ca="1">'R2'!G55*LU_Escalation</f>
        <v>1.1092908350608124</v>
      </c>
      <c r="H55" s="285">
        <f ca="1">'R2'!H55*LU_Escalation</f>
        <v>1.7479806299390486</v>
      </c>
      <c r="I55" s="285">
        <f ca="1">'R2'!I55*LU_Escalation</f>
        <v>2.5258761350561518</v>
      </c>
      <c r="K55" s="42"/>
      <c r="L55" s="732"/>
    </row>
    <row r="56" spans="1:12" outlineLevel="1">
      <c r="A56" s="61" t="s">
        <v>647</v>
      </c>
      <c r="B56" s="285"/>
      <c r="C56" s="285"/>
      <c r="D56" s="285"/>
      <c r="E56" s="285">
        <f ca="1">'R2'!E56*LU_Escalation</f>
        <v>0.10871285286238505</v>
      </c>
      <c r="F56" s="285">
        <f ca="1">'R2'!F56*LU_Escalation</f>
        <v>0.22008963690829558</v>
      </c>
      <c r="G56" s="285">
        <f ca="1">'R2'!G56*LU_Escalation</f>
        <v>0.42365363197021755</v>
      </c>
      <c r="H56" s="285">
        <f ca="1">'R2'!H56*LU_Escalation</f>
        <v>0.66757816713294116</v>
      </c>
      <c r="I56" s="285">
        <f ca="1">'R2'!I56*LU_Escalation</f>
        <v>0.964667303381057</v>
      </c>
      <c r="K56" s="42"/>
      <c r="L56" s="732"/>
    </row>
    <row r="57" spans="1:12" outlineLevel="1">
      <c r="A57" s="61" t="s">
        <v>575</v>
      </c>
      <c r="B57" s="285"/>
      <c r="C57" s="285"/>
      <c r="D57" s="285"/>
      <c r="E57" s="285">
        <f ca="1">'R2'!E57*LU_Escalation</f>
        <v>0.21997907238807629</v>
      </c>
      <c r="F57" s="285">
        <f ca="1">'R2'!F57*LU_Escalation</f>
        <v>0.44900420234714794</v>
      </c>
      <c r="G57" s="285">
        <f ca="1">'R2'!G57*LU_Escalation</f>
        <v>0.70006067485055301</v>
      </c>
      <c r="H57" s="285">
        <f ca="1">'R2'!H57*LU_Escalation</f>
        <v>0.96217431845571999</v>
      </c>
      <c r="I57" s="285">
        <f ca="1">'R2'!I57*LU_Escalation</f>
        <v>1.2342419548829933</v>
      </c>
      <c r="K57" s="42"/>
      <c r="L57" s="732"/>
    </row>
    <row r="58" spans="1:12" outlineLevel="1">
      <c r="A58" s="83" t="s">
        <v>70</v>
      </c>
      <c r="B58" s="286"/>
      <c r="C58" s="286"/>
      <c r="D58" s="286"/>
      <c r="E58" s="285">
        <f ca="1">'R2'!E58*LU_Escalation</f>
        <v>0</v>
      </c>
      <c r="F58" s="285">
        <f ca="1">'R2'!F58*LU_Escalation</f>
        <v>0</v>
      </c>
      <c r="G58" s="285">
        <f ca="1">'R2'!G58*LU_Escalation</f>
        <v>0</v>
      </c>
      <c r="H58" s="285">
        <f ca="1">'R2'!H58*LU_Escalation</f>
        <v>0</v>
      </c>
      <c r="I58" s="285">
        <f ca="1">'R2'!I58*LU_Escalation</f>
        <v>0</v>
      </c>
      <c r="K58" s="42"/>
      <c r="L58" s="732"/>
    </row>
    <row r="59" spans="1:12" s="560" customFormat="1" ht="18" customHeight="1">
      <c r="A59" s="97" t="s">
        <v>73</v>
      </c>
      <c r="B59" s="295"/>
      <c r="C59" s="295"/>
      <c r="D59" s="295"/>
      <c r="E59" s="295">
        <f t="shared" ref="E59:I59" ca="1" si="4">SUM(E53:E58)</f>
        <v>1.9633219236169601</v>
      </c>
      <c r="F59" s="295">
        <f t="shared" ca="1" si="4"/>
        <v>4.0008432933309459</v>
      </c>
      <c r="G59" s="295">
        <f t="shared" ca="1" si="4"/>
        <v>6.5291682875591519</v>
      </c>
      <c r="H59" s="295">
        <f t="shared" ca="1" si="4"/>
        <v>9.2824467998799118</v>
      </c>
      <c r="I59" s="309">
        <f t="shared" ca="1" si="4"/>
        <v>12.29913571738221</v>
      </c>
      <c r="J59" s="308">
        <f ca="1">+J82</f>
        <v>0</v>
      </c>
      <c r="L59" s="536"/>
    </row>
    <row r="60" spans="1:12" outlineLevel="1">
      <c r="A60" s="88"/>
      <c r="B60" s="89"/>
      <c r="C60" s="89"/>
      <c r="D60" s="89"/>
      <c r="E60" s="89"/>
      <c r="F60" s="89"/>
      <c r="G60" s="89"/>
      <c r="H60" s="89"/>
      <c r="I60" s="89"/>
      <c r="K60" s="42"/>
      <c r="L60" s="732"/>
    </row>
    <row r="61" spans="1:12" ht="18.75" customHeight="1" outlineLevel="1">
      <c r="A61" s="207" t="s">
        <v>129</v>
      </c>
      <c r="B61" s="635"/>
      <c r="C61" s="635"/>
      <c r="D61" s="635"/>
      <c r="E61" s="635"/>
      <c r="F61" s="635"/>
      <c r="G61" s="635"/>
      <c r="H61" s="635"/>
      <c r="I61" s="635"/>
      <c r="J61" s="98"/>
      <c r="K61" s="42"/>
    </row>
    <row r="62" spans="1:12" ht="6.75" customHeight="1" outlineLevel="1">
      <c r="A62" s="207"/>
      <c r="B62" s="76"/>
      <c r="C62" s="76"/>
      <c r="D62" s="76"/>
      <c r="E62" s="76"/>
      <c r="F62" s="76"/>
      <c r="G62" s="76"/>
      <c r="H62" s="76"/>
      <c r="I62" s="76"/>
      <c r="J62" s="98"/>
      <c r="K62" s="42"/>
    </row>
    <row r="63" spans="1:12" ht="18.75" customHeight="1" outlineLevel="1">
      <c r="A63" s="306" t="s">
        <v>126</v>
      </c>
      <c r="B63" s="76"/>
      <c r="C63" s="76"/>
      <c r="D63" s="76"/>
      <c r="E63" s="76"/>
      <c r="F63" s="76"/>
      <c r="G63" s="76"/>
      <c r="H63" s="76"/>
      <c r="I63" s="76"/>
      <c r="K63" s="42"/>
    </row>
    <row r="64" spans="1:12" ht="18.75" customHeight="1" outlineLevel="1">
      <c r="A64" s="61" t="s">
        <v>68</v>
      </c>
      <c r="B64" s="285"/>
      <c r="C64" s="285"/>
      <c r="D64" s="285"/>
      <c r="E64" s="285">
        <f t="shared" ref="E64:I69" ca="1" si="5">+E42+E30+E53</f>
        <v>66.201894519221923</v>
      </c>
      <c r="F64" s="285">
        <f t="shared" ca="1" si="5"/>
        <v>68.99261976483443</v>
      </c>
      <c r="G64" s="285">
        <f t="shared" ca="1" si="5"/>
        <v>71.526955244489699</v>
      </c>
      <c r="H64" s="285">
        <f t="shared" ca="1" si="5"/>
        <v>73.676059111245721</v>
      </c>
      <c r="I64" s="285">
        <f t="shared" ca="1" si="5"/>
        <v>76.085419941635422</v>
      </c>
      <c r="K64" s="42"/>
    </row>
    <row r="65" spans="1:11" ht="18.75" customHeight="1" outlineLevel="1">
      <c r="A65" s="61" t="s">
        <v>69</v>
      </c>
      <c r="B65" s="285"/>
      <c r="C65" s="285"/>
      <c r="D65" s="285"/>
      <c r="E65" s="285">
        <f t="shared" ca="1" si="5"/>
        <v>0.29099864015738569</v>
      </c>
      <c r="F65" s="285">
        <f t="shared" ca="1" si="5"/>
        <v>0.31863896247280005</v>
      </c>
      <c r="G65" s="285">
        <f t="shared" ca="1" si="5"/>
        <v>0.32867327626329862</v>
      </c>
      <c r="H65" s="285">
        <f t="shared" ca="1" si="5"/>
        <v>0.34721505833339866</v>
      </c>
      <c r="I65" s="285">
        <f t="shared" ca="1" si="5"/>
        <v>0.34586096958363449</v>
      </c>
      <c r="K65" s="42"/>
    </row>
    <row r="66" spans="1:11" ht="18.75" customHeight="1" outlineLevel="1">
      <c r="A66" s="61" t="s">
        <v>646</v>
      </c>
      <c r="B66" s="285"/>
      <c r="C66" s="285"/>
      <c r="D66" s="285"/>
      <c r="E66" s="285">
        <f t="shared" ca="1" si="5"/>
        <v>70.920405262723207</v>
      </c>
      <c r="F66" s="285">
        <f t="shared" ca="1" si="5"/>
        <v>69.929937808449139</v>
      </c>
      <c r="G66" s="285">
        <f t="shared" ca="1" si="5"/>
        <v>70.862559889611333</v>
      </c>
      <c r="H66" s="285">
        <f t="shared" ca="1" si="5"/>
        <v>71.91116911317549</v>
      </c>
      <c r="I66" s="285">
        <f t="shared" ca="1" si="5"/>
        <v>71.147034302065279</v>
      </c>
      <c r="K66" s="42"/>
    </row>
    <row r="67" spans="1:11" ht="18.75" customHeight="1" outlineLevel="1">
      <c r="A67" s="61" t="s">
        <v>647</v>
      </c>
      <c r="B67" s="285"/>
      <c r="C67" s="285"/>
      <c r="D67" s="285"/>
      <c r="E67" s="285">
        <f t="shared" ca="1" si="5"/>
        <v>24.568961617647556</v>
      </c>
      <c r="F67" s="285">
        <f t="shared" ca="1" si="5"/>
        <v>31.152119862271199</v>
      </c>
      <c r="G67" s="285">
        <f t="shared" ca="1" si="5"/>
        <v>26.246212282020188</v>
      </c>
      <c r="H67" s="285">
        <f t="shared" ca="1" si="5"/>
        <v>26.377900790182615</v>
      </c>
      <c r="I67" s="285">
        <f t="shared" ca="1" si="5"/>
        <v>26.426890496207047</v>
      </c>
      <c r="K67" s="42"/>
    </row>
    <row r="68" spans="1:11" ht="18.75" customHeight="1" outlineLevel="1">
      <c r="A68" s="61" t="s">
        <v>575</v>
      </c>
      <c r="B68" s="285"/>
      <c r="C68" s="285"/>
      <c r="D68" s="285"/>
      <c r="E68" s="285">
        <f t="shared" ca="1" si="5"/>
        <v>10.471606528062541</v>
      </c>
      <c r="F68" s="285">
        <f t="shared" ca="1" si="5"/>
        <v>10.800357696128797</v>
      </c>
      <c r="G68" s="285">
        <f t="shared" ca="1" si="5"/>
        <v>11.149992249920352</v>
      </c>
      <c r="H68" s="285">
        <f t="shared" ca="1" si="5"/>
        <v>11.519055194373845</v>
      </c>
      <c r="I68" s="285">
        <f t="shared" ca="1" si="5"/>
        <v>11.889089190790177</v>
      </c>
      <c r="K68" s="42"/>
    </row>
    <row r="69" spans="1:11" ht="18.75" customHeight="1" outlineLevel="1">
      <c r="A69" s="83" t="s">
        <v>70</v>
      </c>
      <c r="B69" s="285"/>
      <c r="C69" s="285"/>
      <c r="D69" s="285"/>
      <c r="E69" s="285">
        <f t="shared" ca="1" si="5"/>
        <v>18.114655725971208</v>
      </c>
      <c r="F69" s="285">
        <f t="shared" ca="1" si="5"/>
        <v>18.290871927256088</v>
      </c>
      <c r="G69" s="285">
        <f t="shared" ca="1" si="5"/>
        <v>18.465059685481073</v>
      </c>
      <c r="H69" s="285">
        <f t="shared" ca="1" si="5"/>
        <v>18.654039413175759</v>
      </c>
      <c r="I69" s="285">
        <f t="shared" ca="1" si="5"/>
        <v>18.827146258074428</v>
      </c>
      <c r="K69" s="42"/>
    </row>
    <row r="70" spans="1:11" ht="18.75" customHeight="1">
      <c r="A70" s="99" t="s">
        <v>129</v>
      </c>
      <c r="B70" s="295"/>
      <c r="C70" s="295"/>
      <c r="D70" s="295"/>
      <c r="E70" s="295">
        <f t="shared" ref="E70:I70" ca="1" si="6">SUM(E64:E69)</f>
        <v>190.56852229378381</v>
      </c>
      <c r="F70" s="295">
        <f t="shared" ca="1" si="6"/>
        <v>199.48454602141248</v>
      </c>
      <c r="G70" s="295">
        <f t="shared" ca="1" si="6"/>
        <v>198.57945262778597</v>
      </c>
      <c r="H70" s="295">
        <f t="shared" ca="1" si="6"/>
        <v>202.48543868048682</v>
      </c>
      <c r="I70" s="295">
        <f t="shared" ca="1" si="6"/>
        <v>204.72144115835599</v>
      </c>
      <c r="J70" s="308">
        <f ca="1">+J83</f>
        <v>0</v>
      </c>
      <c r="K70" s="42"/>
    </row>
    <row r="71" spans="1:11" ht="18.75" customHeight="1">
      <c r="A71" s="77"/>
      <c r="B71" s="76"/>
      <c r="C71" s="76"/>
      <c r="D71" s="76"/>
      <c r="E71" s="76"/>
      <c r="F71" s="76"/>
      <c r="G71" s="76"/>
      <c r="H71" s="76"/>
      <c r="I71" s="76"/>
      <c r="K71" s="42"/>
    </row>
    <row r="75" spans="1:11">
      <c r="A75" s="307" t="s">
        <v>288</v>
      </c>
      <c r="B75" s="544"/>
      <c r="C75" s="544"/>
      <c r="D75" s="544"/>
      <c r="E75" s="544"/>
      <c r="F75" s="544"/>
      <c r="G75" s="544"/>
      <c r="H75" s="544"/>
      <c r="I75" s="544"/>
    </row>
    <row r="76" spans="1:11">
      <c r="A76" s="632" t="s">
        <v>289</v>
      </c>
    </row>
    <row r="77" spans="1:11">
      <c r="B77"/>
      <c r="C77"/>
      <c r="D77"/>
    </row>
    <row r="78" spans="1:11">
      <c r="A78" s="306" t="s">
        <v>290</v>
      </c>
      <c r="B78"/>
      <c r="C78"/>
      <c r="D78"/>
      <c r="E78" s="286">
        <f ca="1">'R2'!E14*LU_Escalation-E14</f>
        <v>0</v>
      </c>
      <c r="F78" s="286">
        <f ca="1">'R2'!F14*LU_Escalation-F14</f>
        <v>0</v>
      </c>
      <c r="G78" s="286">
        <f ca="1">'R2'!G14*LU_Escalation-G14</f>
        <v>0</v>
      </c>
      <c r="H78" s="286">
        <f ca="1">'R2'!H14*LU_Escalation-H14</f>
        <v>0</v>
      </c>
      <c r="I78" s="286">
        <f ca="1">'R2'!I14*LU_Escalation-I14</f>
        <v>0</v>
      </c>
      <c r="J78" s="286">
        <f t="shared" ref="J78:J83" ca="1" si="7">SUM(B78:I78)</f>
        <v>0</v>
      </c>
    </row>
    <row r="79" spans="1:11">
      <c r="A79" s="306" t="s">
        <v>291</v>
      </c>
      <c r="B79"/>
      <c r="C79"/>
      <c r="D79"/>
      <c r="E79" s="286">
        <f>'R2'!E25*LU_Escalation-'R2 ($2015)'!E25</f>
        <v>0</v>
      </c>
      <c r="F79" s="286">
        <f>'R2'!F25*LU_Escalation-'R2 ($2015)'!F25</f>
        <v>0</v>
      </c>
      <c r="G79" s="286">
        <f>'R2'!G25*LU_Escalation-'R2 ($2015)'!G25</f>
        <v>0</v>
      </c>
      <c r="H79" s="286">
        <f>'R2'!H25*LU_Escalation-'R2 ($2015)'!H25</f>
        <v>0</v>
      </c>
      <c r="I79" s="286">
        <f>'R2'!I25*LU_Escalation-'R2 ($2015)'!I25</f>
        <v>0</v>
      </c>
      <c r="J79" s="286">
        <f t="shared" si="7"/>
        <v>0</v>
      </c>
    </row>
    <row r="80" spans="1:11">
      <c r="A80" s="306" t="s">
        <v>292</v>
      </c>
      <c r="B80"/>
      <c r="C80"/>
      <c r="D80"/>
      <c r="E80" s="286">
        <f ca="1">'R2'!E36*LU_Escalation-'R2 ($2015)'!E36</f>
        <v>0</v>
      </c>
      <c r="F80" s="286">
        <f ca="1">'R2'!F36*LU_Escalation-'R2 ($2015)'!F36</f>
        <v>0</v>
      </c>
      <c r="G80" s="286">
        <f ca="1">'R2'!G36*LU_Escalation-'R2 ($2015)'!G36</f>
        <v>0</v>
      </c>
      <c r="H80" s="286">
        <f ca="1">'R2'!H36*LU_Escalation-'R2 ($2015)'!H36</f>
        <v>0</v>
      </c>
      <c r="I80" s="286">
        <f ca="1">'R2'!I36*LU_Escalation-'R2 ($2015)'!I36</f>
        <v>0</v>
      </c>
      <c r="J80" s="286">
        <f t="shared" ca="1" si="7"/>
        <v>0</v>
      </c>
    </row>
    <row r="81" spans="1:11">
      <c r="A81" s="306" t="s">
        <v>293</v>
      </c>
      <c r="B81"/>
      <c r="C81"/>
      <c r="D81"/>
      <c r="E81" s="286">
        <f ca="1">'R2'!E48*LU_Escalation-E48</f>
        <v>0</v>
      </c>
      <c r="F81" s="286">
        <f ca="1">'R2'!F48*LU_Escalation-F48</f>
        <v>0</v>
      </c>
      <c r="G81" s="286">
        <f ca="1">'R2'!G48*LU_Escalation-G48</f>
        <v>0</v>
      </c>
      <c r="H81" s="286">
        <f ca="1">'R2'!H48*LU_Escalation-H48</f>
        <v>0</v>
      </c>
      <c r="I81" s="286">
        <f ca="1">'R2'!I48*LU_Escalation-I48</f>
        <v>0</v>
      </c>
      <c r="J81" s="286">
        <f t="shared" ca="1" si="7"/>
        <v>0</v>
      </c>
    </row>
    <row r="82" spans="1:11">
      <c r="A82" s="306" t="s">
        <v>294</v>
      </c>
      <c r="B82"/>
      <c r="C82"/>
      <c r="D82"/>
      <c r="E82" s="286">
        <f ca="1">'R2'!E59*LU_Escalation-E59</f>
        <v>0</v>
      </c>
      <c r="F82" s="286">
        <f ca="1">'R2'!F59*LU_Escalation-F59</f>
        <v>0</v>
      </c>
      <c r="G82" s="286">
        <f ca="1">'R2'!G59*LU_Escalation-G59</f>
        <v>0</v>
      </c>
      <c r="H82" s="286">
        <f ca="1">'R2'!H59*LU_Escalation-H59</f>
        <v>0</v>
      </c>
      <c r="I82" s="286">
        <f ca="1">'R2'!I59*LU_Escalation-I59</f>
        <v>0</v>
      </c>
      <c r="J82" s="286">
        <f t="shared" ca="1" si="7"/>
        <v>0</v>
      </c>
    </row>
    <row r="83" spans="1:11">
      <c r="A83" s="306" t="s">
        <v>129</v>
      </c>
      <c r="B83"/>
      <c r="C83"/>
      <c r="D83"/>
      <c r="E83" s="286">
        <f ca="1">'R2'!E70*LU_Escalation-E70</f>
        <v>0</v>
      </c>
      <c r="F83" s="286">
        <f ca="1">'R2'!F70*LU_Escalation-F70</f>
        <v>0</v>
      </c>
      <c r="G83" s="286">
        <f ca="1">'R2'!G70*LU_Escalation-G70</f>
        <v>0</v>
      </c>
      <c r="H83" s="286">
        <f ca="1">'R2'!H70*LU_Escalation-H70</f>
        <v>0</v>
      </c>
      <c r="I83" s="286">
        <f ca="1">'R2'!I70*LU_Escalation-I70</f>
        <v>0</v>
      </c>
      <c r="J83" s="286">
        <f t="shared" ca="1" si="7"/>
        <v>0</v>
      </c>
    </row>
    <row r="84" spans="1:11">
      <c r="B84"/>
      <c r="C84"/>
      <c r="D84"/>
    </row>
    <row r="85" spans="1:11">
      <c r="B85"/>
      <c r="C85"/>
      <c r="D85"/>
    </row>
    <row r="86" spans="1:11" ht="18.75" customHeight="1" outlineLevel="1">
      <c r="A86" s="306" t="s">
        <v>126</v>
      </c>
      <c r="B86"/>
      <c r="C86"/>
      <c r="D86"/>
      <c r="E86" s="76"/>
      <c r="F86" s="76"/>
      <c r="G86" s="76"/>
      <c r="H86" s="76"/>
      <c r="I86" s="76"/>
      <c r="K86" s="42"/>
    </row>
    <row r="87" spans="1:11" ht="18.75" customHeight="1" outlineLevel="1">
      <c r="A87" s="61" t="s">
        <v>68</v>
      </c>
      <c r="B87"/>
      <c r="C87"/>
      <c r="D87"/>
      <c r="E87" s="285">
        <f ca="1">'R2'!E64*LU_Escalation-E64</f>
        <v>0</v>
      </c>
      <c r="F87" s="285">
        <f ca="1">'R2'!F64*LU_Escalation-F64</f>
        <v>0</v>
      </c>
      <c r="G87" s="285">
        <f ca="1">'R2'!G64*LU_Escalation-G64</f>
        <v>0</v>
      </c>
      <c r="H87" s="285">
        <f ca="1">'R2'!H64*LU_Escalation-H64</f>
        <v>0</v>
      </c>
      <c r="I87" s="285">
        <f ca="1">'R2'!I64*LU_Escalation-I64</f>
        <v>0</v>
      </c>
      <c r="J87" s="285">
        <f ca="1">SUM(B87:I87)</f>
        <v>0</v>
      </c>
      <c r="K87" s="42"/>
    </row>
    <row r="88" spans="1:11" ht="18.75" customHeight="1" outlineLevel="1">
      <c r="A88" s="61" t="s">
        <v>69</v>
      </c>
      <c r="B88"/>
      <c r="C88"/>
      <c r="D88"/>
      <c r="E88" s="285">
        <f ca="1">'R2'!E65*LU_Escalation-E65</f>
        <v>0</v>
      </c>
      <c r="F88" s="285">
        <f ca="1">'R2'!F65*LU_Escalation-F65</f>
        <v>0</v>
      </c>
      <c r="G88" s="285">
        <f ca="1">'R2'!G65*LU_Escalation-G65</f>
        <v>0</v>
      </c>
      <c r="H88" s="285">
        <f ca="1">'R2'!H65*LU_Escalation-H65</f>
        <v>0</v>
      </c>
      <c r="I88" s="285">
        <f ca="1">'R2'!I65*LU_Escalation-I65</f>
        <v>0</v>
      </c>
      <c r="J88" s="285">
        <f ca="1">SUM(B88:I88)</f>
        <v>0</v>
      </c>
      <c r="K88" s="42"/>
    </row>
    <row r="89" spans="1:11" ht="18.75" customHeight="1" outlineLevel="1">
      <c r="A89" s="61" t="s">
        <v>646</v>
      </c>
      <c r="B89"/>
      <c r="C89"/>
      <c r="D89"/>
      <c r="E89" s="285">
        <f ca="1">'R2'!E66*LU_Escalation-E66</f>
        <v>0</v>
      </c>
      <c r="F89" s="285">
        <f ca="1">'R2'!F66*LU_Escalation-F66</f>
        <v>0</v>
      </c>
      <c r="G89" s="285">
        <f ca="1">'R2'!G66*LU_Escalation-G66</f>
        <v>0</v>
      </c>
      <c r="H89" s="285">
        <f ca="1">'R2'!H66*LU_Escalation-H66</f>
        <v>0</v>
      </c>
      <c r="I89" s="285">
        <f ca="1">'R2'!I66*LU_Escalation-I66</f>
        <v>0</v>
      </c>
      <c r="J89" s="285">
        <f t="shared" ref="J89:J91" ca="1" si="8">SUM(B89:I89)</f>
        <v>0</v>
      </c>
      <c r="K89" s="42"/>
    </row>
    <row r="90" spans="1:11" ht="18.75" customHeight="1" outlineLevel="1">
      <c r="A90" s="61" t="s">
        <v>647</v>
      </c>
      <c r="B90"/>
      <c r="C90"/>
      <c r="D90"/>
      <c r="E90" s="285">
        <f ca="1">'R2'!E67*LU_Escalation-E67</f>
        <v>0</v>
      </c>
      <c r="F90" s="285">
        <f ca="1">'R2'!F67*LU_Escalation-F67</f>
        <v>0</v>
      </c>
      <c r="G90" s="285">
        <f ca="1">'R2'!G67*LU_Escalation-G67</f>
        <v>0</v>
      </c>
      <c r="H90" s="285">
        <f ca="1">'R2'!H67*LU_Escalation-H67</f>
        <v>0</v>
      </c>
      <c r="I90" s="285">
        <f ca="1">'R2'!I67*LU_Escalation-I67</f>
        <v>0</v>
      </c>
      <c r="J90" s="285">
        <f t="shared" ca="1" si="8"/>
        <v>0</v>
      </c>
      <c r="K90" s="42"/>
    </row>
    <row r="91" spans="1:11" ht="18.75" customHeight="1" outlineLevel="1">
      <c r="A91" s="61" t="s">
        <v>575</v>
      </c>
      <c r="B91"/>
      <c r="C91"/>
      <c r="D91"/>
      <c r="E91" s="285">
        <f ca="1">'R2'!E68*LU_Escalation-E68</f>
        <v>0</v>
      </c>
      <c r="F91" s="285">
        <f ca="1">'R2'!F68*LU_Escalation-F68</f>
        <v>0</v>
      </c>
      <c r="G91" s="285">
        <f ca="1">'R2'!G68*LU_Escalation-G68</f>
        <v>0</v>
      </c>
      <c r="H91" s="285">
        <f ca="1">'R2'!H68*LU_Escalation-H68</f>
        <v>0</v>
      </c>
      <c r="I91" s="285">
        <f ca="1">'R2'!I68*LU_Escalation-I68</f>
        <v>0</v>
      </c>
      <c r="J91" s="285">
        <f t="shared" ca="1" si="8"/>
        <v>0</v>
      </c>
      <c r="K91" s="42"/>
    </row>
    <row r="92" spans="1:11" ht="18.75" customHeight="1" outlineLevel="1">
      <c r="A92" s="83" t="s">
        <v>70</v>
      </c>
      <c r="B92"/>
      <c r="C92"/>
      <c r="D92"/>
      <c r="E92" s="285">
        <f ca="1">'R2'!E69*LU_Escalation-E69</f>
        <v>0</v>
      </c>
      <c r="F92" s="285">
        <f ca="1">'R2'!F69*LU_Escalation-F69</f>
        <v>0</v>
      </c>
      <c r="G92" s="285">
        <f ca="1">'R2'!G69*LU_Escalation-G69</f>
        <v>0</v>
      </c>
      <c r="H92" s="285">
        <f ca="1">'R2'!H69*LU_Escalation-H69</f>
        <v>0</v>
      </c>
      <c r="I92" s="285">
        <f ca="1">'R2'!I69*LU_Escalation-I69</f>
        <v>0</v>
      </c>
      <c r="J92" s="285">
        <f ca="1">SUM(B92:I92)</f>
        <v>0</v>
      </c>
      <c r="K92" s="42"/>
    </row>
    <row r="93" spans="1:11" ht="18.75" customHeight="1" outlineLevel="1">
      <c r="A93" s="99" t="s">
        <v>129</v>
      </c>
      <c r="B93"/>
      <c r="C93"/>
      <c r="D93"/>
      <c r="E93" s="295">
        <f t="shared" ref="E93:I93" ca="1" si="9">SUM(E87:E92)</f>
        <v>0</v>
      </c>
      <c r="F93" s="295">
        <f t="shared" ca="1" si="9"/>
        <v>0</v>
      </c>
      <c r="G93" s="295">
        <f t="shared" ca="1" si="9"/>
        <v>0</v>
      </c>
      <c r="H93" s="295">
        <f t="shared" ca="1" si="9"/>
        <v>0</v>
      </c>
      <c r="I93" s="295">
        <f t="shared" ca="1" si="9"/>
        <v>0</v>
      </c>
      <c r="J93" s="295">
        <f ca="1">SUM(B93:I93)</f>
        <v>0</v>
      </c>
      <c r="K93" s="42"/>
    </row>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conditionalFormatting sqref="J14 J37">
    <cfRule type="cellIs" dxfId="31" priority="5" stopIfTrue="1" operator="equal">
      <formula>"OK"</formula>
    </cfRule>
    <cfRule type="cellIs" dxfId="30" priority="6" stopIfTrue="1" operator="equal">
      <formula>"Warning Check Escalations"</formula>
    </cfRule>
  </conditionalFormatting>
  <conditionalFormatting sqref="J14 J70 J59 J48 J36 J25 E78:J83 E87:J93">
    <cfRule type="cellIs" dxfId="29" priority="3" stopIfTrue="1" operator="equal">
      <formula>0</formula>
    </cfRule>
    <cfRule type="cellIs" dxfId="28" priority="4" stopIfTrue="1" operator="notEqual">
      <formula>0</formula>
    </cfRule>
  </conditionalFormatting>
  <dataValidations count="1">
    <dataValidation type="list" allowBlank="1" showInputMessage="1" showErrorMessage="1" sqref="D5">
      <formula1>"2007/08 Regulatory Accounts, Bottom Up"</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worksheet>
</file>

<file path=xl/worksheets/sheet89.xml><?xml version="1.0" encoding="utf-8"?>
<worksheet xmlns="http://schemas.openxmlformats.org/spreadsheetml/2006/main" xmlns:r="http://schemas.openxmlformats.org/officeDocument/2006/relationships">
  <sheetPr codeName="Sheet103">
    <tabColor indexed="12"/>
    <pageSetUpPr fitToPage="1"/>
  </sheetPr>
  <dimension ref="A1:T94"/>
  <sheetViews>
    <sheetView showGridLines="0" zoomScaleNormal="100" workbookViewId="0">
      <selection activeCell="J10" sqref="J10"/>
    </sheetView>
  </sheetViews>
  <sheetFormatPr defaultRowHeight="12.75" outlineLevelRow="2"/>
  <cols>
    <col min="1" max="1" width="30" style="793" customWidth="1"/>
    <col min="2" max="9" width="11.5703125" style="793" customWidth="1"/>
    <col min="10" max="10" width="25.5703125" style="793" customWidth="1"/>
    <col min="11" max="16384" width="9.140625" style="793"/>
  </cols>
  <sheetData>
    <row r="1" spans="1:20" ht="18" customHeight="1">
      <c r="A1" s="183" t="s">
        <v>302</v>
      </c>
      <c r="B1" s="1"/>
      <c r="C1" s="72"/>
      <c r="D1" s="42"/>
      <c r="E1" s="42"/>
      <c r="F1" s="42"/>
      <c r="G1" s="42"/>
      <c r="H1" s="42"/>
      <c r="I1" s="73" t="str">
        <f>LU_PTRMDollarDenomination</f>
        <v>$'M June 2015</v>
      </c>
      <c r="M1" s="282"/>
      <c r="N1" s="280"/>
      <c r="O1" s="280"/>
      <c r="P1" s="280"/>
      <c r="Q1" s="280"/>
      <c r="R1" s="280"/>
      <c r="S1" s="280"/>
      <c r="T1" s="280"/>
    </row>
    <row r="2" spans="1:20" ht="15.75">
      <c r="A2" s="184" t="s">
        <v>121</v>
      </c>
      <c r="B2" s="428" t="s">
        <v>273</v>
      </c>
      <c r="F2" s="284"/>
      <c r="H2" s="42"/>
      <c r="I2" s="283"/>
      <c r="L2" s="282"/>
      <c r="M2" s="282"/>
    </row>
    <row r="3" spans="1:20" ht="16.5" thickBot="1">
      <c r="A3" s="184" t="s">
        <v>118</v>
      </c>
      <c r="B3" s="236"/>
      <c r="C3" s="236"/>
      <c r="D3" s="236"/>
      <c r="E3" s="237" t="s">
        <v>122</v>
      </c>
      <c r="F3" s="242"/>
      <c r="G3" s="239"/>
      <c r="H3" s="237" t="s">
        <v>123</v>
      </c>
      <c r="I3" s="240"/>
      <c r="J3" s="42"/>
    </row>
    <row r="4" spans="1:20" ht="16.5" customHeight="1">
      <c r="A4" s="56"/>
      <c r="B4" s="635"/>
      <c r="C4" s="635"/>
      <c r="D4" s="635"/>
      <c r="E4" s="635" t="str">
        <f>'Ref-1'!Q39</f>
        <v>2015/16</v>
      </c>
      <c r="F4" s="635" t="str">
        <f>'Ref-1'!R39</f>
        <v>2016/17</v>
      </c>
      <c r="G4" s="635" t="str">
        <f>'Ref-1'!S39</f>
        <v>2017/18</v>
      </c>
      <c r="H4" s="635" t="str">
        <f>'Ref-1'!T39</f>
        <v>2018/19</v>
      </c>
      <c r="I4" s="635" t="str">
        <f>'Ref-1'!U39</f>
        <v>2019/20</v>
      </c>
      <c r="J4" s="76" t="s">
        <v>124</v>
      </c>
      <c r="K4" s="732"/>
      <c r="L4" s="732"/>
    </row>
    <row r="5" spans="1:20" ht="18" outlineLevel="1">
      <c r="A5" s="207" t="s">
        <v>125</v>
      </c>
      <c r="B5" s="78"/>
      <c r="C5" s="78"/>
      <c r="D5" s="79"/>
      <c r="E5" s="78"/>
      <c r="F5" s="78"/>
      <c r="G5" s="78"/>
      <c r="H5" s="78"/>
      <c r="I5" s="78"/>
      <c r="J5" s="42"/>
    </row>
    <row r="6" spans="1:20" outlineLevel="1">
      <c r="B6" s="80"/>
      <c r="C6" s="80"/>
      <c r="D6" s="80"/>
      <c r="E6" s="80"/>
      <c r="F6" s="80"/>
      <c r="G6" s="80"/>
      <c r="H6" s="80"/>
      <c r="I6" s="80"/>
      <c r="J6" s="36"/>
      <c r="K6" s="732"/>
      <c r="L6" s="732"/>
    </row>
    <row r="7" spans="1:20" s="64" customFormat="1" ht="14.25" outlineLevel="1">
      <c r="A7" s="306" t="s">
        <v>126</v>
      </c>
      <c r="B7" s="793"/>
      <c r="C7" s="793"/>
      <c r="D7" s="793"/>
      <c r="E7" s="793"/>
      <c r="F7" s="78"/>
      <c r="G7" s="78"/>
      <c r="H7" s="78"/>
      <c r="I7" s="78"/>
      <c r="J7" s="36"/>
      <c r="K7" s="63"/>
      <c r="L7" s="63"/>
    </row>
    <row r="8" spans="1:20" outlineLevel="1">
      <c r="A8" s="61" t="s">
        <v>68</v>
      </c>
      <c r="B8" s="285"/>
      <c r="C8" s="285"/>
      <c r="D8" s="285"/>
      <c r="E8" s="796">
        <f ca="1">'R3'!E8*LU_Escalation</f>
        <v>44.598246576923088</v>
      </c>
      <c r="F8" s="796">
        <f ca="1">'R3'!F8*LU_Escalation</f>
        <v>44.598246576923088</v>
      </c>
      <c r="G8" s="796">
        <f ca="1">'R3'!G8*LU_Escalation</f>
        <v>44.598246576923088</v>
      </c>
      <c r="H8" s="796">
        <f ca="1">'R3'!H8*LU_Escalation</f>
        <v>44.598246576923088</v>
      </c>
      <c r="I8" s="796">
        <f ca="1">'R3'!I8*LU_Escalation</f>
        <v>44.598246576923088</v>
      </c>
      <c r="J8" s="81"/>
      <c r="K8" s="732"/>
      <c r="L8" s="732"/>
    </row>
    <row r="9" spans="1:20" outlineLevel="1">
      <c r="A9" s="61" t="s">
        <v>69</v>
      </c>
      <c r="B9" s="285"/>
      <c r="C9" s="285"/>
      <c r="D9" s="285"/>
      <c r="E9" s="796">
        <f ca="1">'R3'!E9*LU_Escalation</f>
        <v>1.2032626153846155</v>
      </c>
      <c r="F9" s="796">
        <f ca="1">'R3'!F9*LU_Escalation</f>
        <v>1.2032626153846155</v>
      </c>
      <c r="G9" s="796">
        <f ca="1">'R3'!G9*LU_Escalation</f>
        <v>1.2032626153846155</v>
      </c>
      <c r="H9" s="796">
        <f ca="1">'R3'!H9*LU_Escalation</f>
        <v>1.2032626153846155</v>
      </c>
      <c r="I9" s="796">
        <f ca="1">'R3'!I9*LU_Escalation</f>
        <v>1.2032626153846155</v>
      </c>
      <c r="J9" s="36"/>
      <c r="K9" s="732"/>
      <c r="L9" s="732"/>
    </row>
    <row r="10" spans="1:20" outlineLevel="1">
      <c r="A10" s="61" t="s">
        <v>646</v>
      </c>
      <c r="B10" s="285"/>
      <c r="C10" s="285"/>
      <c r="D10" s="285"/>
      <c r="E10" s="796">
        <f ca="1">'R3'!E10*LU_Escalation</f>
        <v>0.10544053846153845</v>
      </c>
      <c r="F10" s="796">
        <f ca="1">'R3'!F10*LU_Escalation</f>
        <v>0.10544053846153845</v>
      </c>
      <c r="G10" s="796">
        <f ca="1">'R3'!G10*LU_Escalation</f>
        <v>0.10544053846153845</v>
      </c>
      <c r="H10" s="796">
        <f ca="1">'R3'!H10*LU_Escalation</f>
        <v>0.10544053846153845</v>
      </c>
      <c r="I10" s="796">
        <f ca="1">'R3'!I10*LU_Escalation</f>
        <v>0.10544053846153845</v>
      </c>
      <c r="J10" s="36"/>
      <c r="K10" s="732"/>
      <c r="L10" s="732"/>
    </row>
    <row r="11" spans="1:20" outlineLevel="1">
      <c r="A11" s="61" t="s">
        <v>647</v>
      </c>
      <c r="B11" s="285"/>
      <c r="C11" s="285"/>
      <c r="D11" s="285"/>
      <c r="E11" s="796">
        <f ca="1">'R3'!E11*LU_Escalation</f>
        <v>25.98695780769231</v>
      </c>
      <c r="F11" s="796">
        <f ca="1">'R3'!F11*LU_Escalation</f>
        <v>25.98695780769231</v>
      </c>
      <c r="G11" s="796">
        <f ca="1">'R3'!G11*LU_Escalation</f>
        <v>25.98695780769231</v>
      </c>
      <c r="H11" s="796">
        <f ca="1">'R3'!H11*LU_Escalation</f>
        <v>25.98695780769231</v>
      </c>
      <c r="I11" s="796">
        <f ca="1">'R3'!I11*LU_Escalation</f>
        <v>25.98695780769231</v>
      </c>
      <c r="J11" s="36"/>
      <c r="K11" s="732"/>
      <c r="L11" s="732"/>
    </row>
    <row r="12" spans="1:20" outlineLevel="1">
      <c r="A12" s="61" t="s">
        <v>575</v>
      </c>
      <c r="B12" s="285"/>
      <c r="C12" s="285"/>
      <c r="D12" s="285"/>
      <c r="E12" s="796">
        <f ca="1">'R3'!E12*LU_Escalation</f>
        <v>-6.7843750384615396</v>
      </c>
      <c r="F12" s="796">
        <f ca="1">'R3'!F12*LU_Escalation</f>
        <v>-6.7843750384615396</v>
      </c>
      <c r="G12" s="796">
        <f ca="1">'R3'!G12*LU_Escalation</f>
        <v>-6.7843750384615396</v>
      </c>
      <c r="H12" s="796">
        <f ca="1">'R3'!H12*LU_Escalation</f>
        <v>-6.7843750384615396</v>
      </c>
      <c r="I12" s="796">
        <f ca="1">'R3'!I12*LU_Escalation</f>
        <v>-6.7843750384615396</v>
      </c>
      <c r="J12" s="36"/>
      <c r="K12" s="732"/>
      <c r="L12" s="732"/>
    </row>
    <row r="13" spans="1:20" outlineLevel="1">
      <c r="A13" s="83" t="s">
        <v>70</v>
      </c>
      <c r="B13" s="286"/>
      <c r="C13" s="286"/>
      <c r="D13" s="286"/>
      <c r="E13" s="796">
        <f ca="1">'R3'!E13*LU_Escalation</f>
        <v>5.4942790384615394</v>
      </c>
      <c r="F13" s="796">
        <f ca="1">'R3'!F13*LU_Escalation</f>
        <v>5.4942790384615394</v>
      </c>
      <c r="G13" s="796">
        <f ca="1">'R3'!G13*LU_Escalation</f>
        <v>5.4942790384615394</v>
      </c>
      <c r="H13" s="796">
        <f ca="1">'R3'!H13*LU_Escalation</f>
        <v>5.4942790384615394</v>
      </c>
      <c r="I13" s="796">
        <f ca="1">'R3'!I13*LU_Escalation</f>
        <v>5.4942790384615394</v>
      </c>
      <c r="J13" s="36"/>
      <c r="K13" s="732"/>
      <c r="L13" s="732"/>
    </row>
    <row r="14" spans="1:20" s="560" customFormat="1" ht="18" customHeight="1">
      <c r="A14" s="84" t="s">
        <v>71</v>
      </c>
      <c r="B14" s="287"/>
      <c r="C14" s="287"/>
      <c r="D14" s="287"/>
      <c r="E14" s="798">
        <f t="shared" ref="E14:I14" ca="1" si="0">SUM(E8:E13)</f>
        <v>70.603811538461557</v>
      </c>
      <c r="F14" s="798">
        <f t="shared" ca="1" si="0"/>
        <v>70.603811538461557</v>
      </c>
      <c r="G14" s="798">
        <f t="shared" ca="1" si="0"/>
        <v>70.603811538461557</v>
      </c>
      <c r="H14" s="798">
        <f t="shared" ca="1" si="0"/>
        <v>70.603811538461557</v>
      </c>
      <c r="I14" s="799">
        <f t="shared" ca="1" si="0"/>
        <v>70.603811538461557</v>
      </c>
      <c r="J14" s="308">
        <f ca="1">+J78</f>
        <v>0</v>
      </c>
      <c r="K14" s="536"/>
      <c r="L14" s="536"/>
    </row>
    <row r="15" spans="1:20" outlineLevel="1">
      <c r="A15" s="88"/>
      <c r="B15" s="89"/>
      <c r="C15" s="89"/>
      <c r="D15" s="89"/>
      <c r="E15" s="800"/>
      <c r="F15" s="800"/>
      <c r="G15" s="800"/>
      <c r="H15" s="800"/>
      <c r="I15" s="800"/>
      <c r="K15" s="732"/>
      <c r="L15" s="732"/>
    </row>
    <row r="16" spans="1:20" ht="18" outlineLevel="1">
      <c r="A16" s="207" t="s">
        <v>291</v>
      </c>
      <c r="B16" s="78"/>
      <c r="C16" s="78"/>
      <c r="D16" s="78"/>
      <c r="E16" s="796"/>
      <c r="F16" s="796"/>
      <c r="G16" s="796"/>
      <c r="H16" s="796"/>
      <c r="I16" s="796"/>
      <c r="J16" s="42"/>
    </row>
    <row r="17" spans="1:12" ht="18" outlineLevel="1">
      <c r="A17" s="77"/>
      <c r="B17" s="78"/>
      <c r="C17" s="78"/>
      <c r="D17" s="78"/>
      <c r="E17" s="796"/>
      <c r="F17" s="796"/>
      <c r="G17" s="796"/>
      <c r="H17" s="796"/>
      <c r="I17" s="796"/>
      <c r="J17" s="42"/>
    </row>
    <row r="18" spans="1:12" s="632" customFormat="1" outlineLevel="1">
      <c r="A18" s="306" t="s">
        <v>126</v>
      </c>
      <c r="B18" s="59"/>
      <c r="C18" s="59"/>
      <c r="D18" s="59"/>
      <c r="E18" s="801"/>
      <c r="F18" s="801"/>
      <c r="G18" s="801"/>
      <c r="H18" s="801"/>
      <c r="I18" s="801"/>
      <c r="J18" s="621"/>
      <c r="K18" s="621"/>
      <c r="L18" s="621"/>
    </row>
    <row r="19" spans="1:12" outlineLevel="1">
      <c r="A19" s="61" t="s">
        <v>68</v>
      </c>
      <c r="B19" s="288"/>
      <c r="C19" s="285"/>
      <c r="D19" s="285"/>
      <c r="E19" s="796">
        <f>'R3'!E19*LU_Escalation</f>
        <v>1.4937409615384618</v>
      </c>
      <c r="F19" s="796">
        <f>'R3'!F19*LU_Escalation</f>
        <v>2.9161545000000002</v>
      </c>
      <c r="G19" s="796">
        <f>'R3'!G19*LU_Escalation</f>
        <v>4.8481973076923088</v>
      </c>
      <c r="H19" s="796">
        <f>'R3'!H19*LU_Escalation</f>
        <v>4.8481973076923088</v>
      </c>
      <c r="I19" s="796">
        <f>'R3'!I19*LU_Escalation</f>
        <v>4.9526041153846165</v>
      </c>
      <c r="J19" s="42"/>
      <c r="K19" s="732"/>
      <c r="L19" s="732"/>
    </row>
    <row r="20" spans="1:12" outlineLevel="1">
      <c r="A20" s="61" t="s">
        <v>69</v>
      </c>
      <c r="B20" s="289"/>
      <c r="C20" s="285"/>
      <c r="D20" s="285"/>
      <c r="E20" s="796">
        <f>'R3'!E20*LU_Escalation</f>
        <v>0.12508142307692308</v>
      </c>
      <c r="F20" s="796">
        <f>'R3'!F20*LU_Escalation</f>
        <v>0.30081565384615389</v>
      </c>
      <c r="G20" s="796">
        <f>'R3'!G20*LU_Escalation</f>
        <v>0.31011923076923081</v>
      </c>
      <c r="H20" s="796">
        <f>'R3'!H20*LU_Escalation</f>
        <v>0.32355773076923078</v>
      </c>
      <c r="I20" s="796">
        <f>'R3'!I20*LU_Escalation</f>
        <v>0.32355773076923078</v>
      </c>
      <c r="J20" s="42"/>
      <c r="K20" s="732"/>
      <c r="L20" s="732"/>
    </row>
    <row r="21" spans="1:12" outlineLevel="1">
      <c r="A21" s="61" t="s">
        <v>646</v>
      </c>
      <c r="B21" s="289"/>
      <c r="C21" s="285"/>
      <c r="D21" s="285"/>
      <c r="E21" s="796">
        <f>'R3'!E21*LU_Escalation</f>
        <v>0.90968307692307704</v>
      </c>
      <c r="F21" s="796">
        <f>'R3'!F21*LU_Escalation</f>
        <v>1.0688776153846156</v>
      </c>
      <c r="G21" s="796">
        <f>'R3'!G21*LU_Escalation</f>
        <v>1.2652864615384616</v>
      </c>
      <c r="H21" s="796">
        <f>'R3'!H21*LU_Escalation</f>
        <v>1.3624571538461541</v>
      </c>
      <c r="I21" s="796">
        <f>'R3'!I21*LU_Escalation</f>
        <v>1.3624571538461541</v>
      </c>
      <c r="J21" s="42"/>
      <c r="K21" s="732"/>
      <c r="L21" s="732"/>
    </row>
    <row r="22" spans="1:12" outlineLevel="1">
      <c r="A22" s="61" t="s">
        <v>647</v>
      </c>
      <c r="B22" s="289"/>
      <c r="C22" s="285"/>
      <c r="D22" s="285"/>
      <c r="E22" s="796">
        <f>'R3'!E22*LU_Escalation</f>
        <v>4.3706136923076926</v>
      </c>
      <c r="F22" s="796">
        <f>'R3'!F22*LU_Escalation</f>
        <v>3.3058710000000002</v>
      </c>
      <c r="G22" s="796">
        <f>'R3'!G22*LU_Escalation</f>
        <v>3.9767622692307696</v>
      </c>
      <c r="H22" s="796">
        <f>'R3'!H22*LU_Escalation</f>
        <v>3.9023336538461542</v>
      </c>
      <c r="I22" s="796">
        <f>'R3'!I22*LU_Escalation</f>
        <v>4.2010818461538468</v>
      </c>
      <c r="J22" s="42"/>
      <c r="K22" s="732"/>
      <c r="L22" s="732"/>
    </row>
    <row r="23" spans="1:12" outlineLevel="1">
      <c r="A23" s="61" t="s">
        <v>575</v>
      </c>
      <c r="B23" s="289"/>
      <c r="C23" s="285"/>
      <c r="D23" s="285"/>
      <c r="E23" s="796">
        <f>'R3'!E23*LU_Escalation</f>
        <v>0</v>
      </c>
      <c r="F23" s="796">
        <f>'R3'!F23*LU_Escalation</f>
        <v>0</v>
      </c>
      <c r="G23" s="796">
        <f>'R3'!G23*LU_Escalation</f>
        <v>0</v>
      </c>
      <c r="H23" s="796">
        <f>'R3'!H23*LU_Escalation</f>
        <v>0</v>
      </c>
      <c r="I23" s="796">
        <f>'R3'!I23*LU_Escalation</f>
        <v>0</v>
      </c>
      <c r="J23" s="42"/>
      <c r="K23" s="732"/>
      <c r="L23" s="732"/>
    </row>
    <row r="24" spans="1:12" outlineLevel="1">
      <c r="A24" s="83" t="s">
        <v>70</v>
      </c>
      <c r="B24" s="290"/>
      <c r="C24" s="285"/>
      <c r="D24" s="285"/>
      <c r="E24" s="796">
        <f>'R3'!E24*LU_Escalation</f>
        <v>0</v>
      </c>
      <c r="F24" s="796">
        <f>'R3'!F24*LU_Escalation</f>
        <v>0</v>
      </c>
      <c r="G24" s="796">
        <f>'R3'!G24*LU_Escalation</f>
        <v>0</v>
      </c>
      <c r="H24" s="796">
        <f>'R3'!H24*LU_Escalation</f>
        <v>0</v>
      </c>
      <c r="I24" s="796">
        <f>'R3'!I24*LU_Escalation</f>
        <v>0</v>
      </c>
      <c r="J24" s="42"/>
      <c r="K24" s="732"/>
      <c r="L24" s="732"/>
    </row>
    <row r="25" spans="1:12" s="560" customFormat="1" ht="18" customHeight="1">
      <c r="A25" s="84" t="s">
        <v>72</v>
      </c>
      <c r="B25" s="291"/>
      <c r="C25" s="295"/>
      <c r="D25" s="295"/>
      <c r="E25" s="798">
        <f t="shared" ref="E25:I25" si="1">SUM(E19:E24)</f>
        <v>6.8991191538461543</v>
      </c>
      <c r="F25" s="798">
        <f t="shared" si="1"/>
        <v>7.5917187692307699</v>
      </c>
      <c r="G25" s="798">
        <f t="shared" si="1"/>
        <v>10.40036526923077</v>
      </c>
      <c r="H25" s="798">
        <f t="shared" si="1"/>
        <v>10.436545846153848</v>
      </c>
      <c r="I25" s="799">
        <f t="shared" si="1"/>
        <v>10.83970084615385</v>
      </c>
      <c r="J25" s="308">
        <f>+J79</f>
        <v>0</v>
      </c>
      <c r="K25" s="536"/>
      <c r="L25" s="536"/>
    </row>
    <row r="26" spans="1:12" outlineLevel="1">
      <c r="A26" s="88"/>
      <c r="B26" s="292"/>
      <c r="C26" s="292"/>
      <c r="D26" s="292"/>
      <c r="E26" s="800"/>
      <c r="F26" s="800"/>
      <c r="G26" s="800"/>
      <c r="H26" s="800"/>
      <c r="I26" s="800"/>
      <c r="J26" s="42"/>
      <c r="K26" s="732"/>
      <c r="L26" s="732"/>
    </row>
    <row r="27" spans="1:12" ht="18.75" customHeight="1" outlineLevel="1">
      <c r="A27" s="207" t="s">
        <v>127</v>
      </c>
      <c r="B27" s="285"/>
      <c r="C27" s="285"/>
      <c r="D27" s="285"/>
      <c r="E27" s="796"/>
      <c r="F27" s="796"/>
      <c r="G27" s="796"/>
      <c r="H27" s="796"/>
      <c r="I27" s="796"/>
      <c r="J27" s="42"/>
    </row>
    <row r="28" spans="1:12" outlineLevel="1">
      <c r="A28" s="92"/>
      <c r="B28" s="293"/>
      <c r="C28" s="293"/>
      <c r="D28" s="293"/>
      <c r="E28" s="802"/>
      <c r="F28" s="802"/>
      <c r="G28" s="802"/>
      <c r="H28" s="802"/>
      <c r="I28" s="802"/>
      <c r="J28" s="42"/>
      <c r="K28" s="732"/>
      <c r="L28" s="732"/>
    </row>
    <row r="29" spans="1:12" s="64" customFormat="1" ht="14.25" outlineLevel="2">
      <c r="A29" s="306" t="s">
        <v>126</v>
      </c>
      <c r="B29" s="285"/>
      <c r="C29" s="285"/>
      <c r="D29" s="285"/>
      <c r="E29" s="796"/>
      <c r="F29" s="796"/>
      <c r="G29" s="796"/>
      <c r="H29" s="796"/>
      <c r="I29" s="796"/>
      <c r="J29" s="63"/>
      <c r="K29" s="63"/>
      <c r="L29" s="63"/>
    </row>
    <row r="30" spans="1:12" outlineLevel="2">
      <c r="A30" s="61" t="s">
        <v>68</v>
      </c>
      <c r="B30" s="285"/>
      <c r="C30" s="285"/>
      <c r="D30" s="285"/>
      <c r="E30" s="796">
        <f ca="1">+'R3 ($2015)'!E8+'R3 ($2015)'!E19</f>
        <v>46.091987538461552</v>
      </c>
      <c r="F30" s="796">
        <f ca="1">+'R3 ($2015)'!F8+'R3 ($2015)'!F19</f>
        <v>47.514401076923086</v>
      </c>
      <c r="G30" s="796">
        <f ca="1">+'R3 ($2015)'!G8+'R3 ($2015)'!G19</f>
        <v>49.446443884615398</v>
      </c>
      <c r="H30" s="796">
        <f ca="1">+'R3 ($2015)'!H8+'R3 ($2015)'!H19</f>
        <v>49.446443884615398</v>
      </c>
      <c r="I30" s="796">
        <f ca="1">+'R3 ($2015)'!I8+'R3 ($2015)'!I19</f>
        <v>49.550850692307705</v>
      </c>
      <c r="J30" s="42"/>
      <c r="K30" s="732"/>
      <c r="L30" s="732"/>
    </row>
    <row r="31" spans="1:12" outlineLevel="2">
      <c r="A31" s="61" t="s">
        <v>69</v>
      </c>
      <c r="B31" s="285"/>
      <c r="C31" s="285"/>
      <c r="D31" s="285"/>
      <c r="E31" s="796">
        <f ca="1">+'R3 ($2015)'!E9+'R3 ($2015)'!E20</f>
        <v>1.3283440384615386</v>
      </c>
      <c r="F31" s="796">
        <f ca="1">+'R3 ($2015)'!F9+'R3 ($2015)'!F20</f>
        <v>1.5040782692307695</v>
      </c>
      <c r="G31" s="796">
        <f ca="1">+'R3 ($2015)'!G9+'R3 ($2015)'!G20</f>
        <v>1.5133818461538464</v>
      </c>
      <c r="H31" s="796">
        <f ca="1">+'R3 ($2015)'!H9+'R3 ($2015)'!H20</f>
        <v>1.5268203461538463</v>
      </c>
      <c r="I31" s="796">
        <f ca="1">+'R3 ($2015)'!I9+'R3 ($2015)'!I20</f>
        <v>1.5268203461538463</v>
      </c>
      <c r="J31" s="42"/>
      <c r="K31" s="732"/>
      <c r="L31" s="732"/>
    </row>
    <row r="32" spans="1:12" outlineLevel="2">
      <c r="A32" s="61" t="s">
        <v>646</v>
      </c>
      <c r="B32" s="285"/>
      <c r="C32" s="285"/>
      <c r="D32" s="285"/>
      <c r="E32" s="796">
        <f ca="1">+'R3 ($2015)'!E10+'R3 ($2015)'!E21</f>
        <v>1.0151236153846155</v>
      </c>
      <c r="F32" s="796">
        <f ca="1">+'R3 ($2015)'!F10+'R3 ($2015)'!F21</f>
        <v>1.174318153846154</v>
      </c>
      <c r="G32" s="796">
        <f ca="1">+'R3 ($2015)'!G10+'R3 ($2015)'!G21</f>
        <v>1.370727</v>
      </c>
      <c r="H32" s="796">
        <f ca="1">+'R3 ($2015)'!H10+'R3 ($2015)'!H21</f>
        <v>1.4678976923076925</v>
      </c>
      <c r="I32" s="796">
        <f ca="1">+'R3 ($2015)'!I10+'R3 ($2015)'!I21</f>
        <v>1.4678976923076925</v>
      </c>
      <c r="J32" s="42"/>
      <c r="K32" s="732"/>
      <c r="L32" s="732"/>
    </row>
    <row r="33" spans="1:12" outlineLevel="2">
      <c r="A33" s="61" t="s">
        <v>647</v>
      </c>
      <c r="B33" s="285"/>
      <c r="C33" s="285"/>
      <c r="D33" s="285"/>
      <c r="E33" s="796">
        <f ca="1">+'R3 ($2015)'!E11+'R3 ($2015)'!E22</f>
        <v>30.357571500000002</v>
      </c>
      <c r="F33" s="796">
        <f ca="1">+'R3 ($2015)'!F11+'R3 ($2015)'!F22</f>
        <v>29.29282880769231</v>
      </c>
      <c r="G33" s="796">
        <f ca="1">+'R3 ($2015)'!G11+'R3 ($2015)'!G22</f>
        <v>29.963720076923078</v>
      </c>
      <c r="H33" s="796">
        <f ca="1">+'R3 ($2015)'!H11+'R3 ($2015)'!H22</f>
        <v>29.889291461538463</v>
      </c>
      <c r="I33" s="796">
        <f ca="1">+'R3 ($2015)'!I11+'R3 ($2015)'!I22</f>
        <v>30.188039653846158</v>
      </c>
      <c r="J33" s="42"/>
      <c r="K33" s="732"/>
      <c r="L33" s="732"/>
    </row>
    <row r="34" spans="1:12" outlineLevel="2">
      <c r="A34" s="61" t="s">
        <v>575</v>
      </c>
      <c r="B34" s="285"/>
      <c r="C34" s="285"/>
      <c r="D34" s="285"/>
      <c r="E34" s="796">
        <f ca="1">+'R3 ($2015)'!E12+'R3 ($2015)'!E23</f>
        <v>-6.7843750384615396</v>
      </c>
      <c r="F34" s="796">
        <f ca="1">+'R3 ($2015)'!F12+'R3 ($2015)'!F23</f>
        <v>-6.7843750384615396</v>
      </c>
      <c r="G34" s="796">
        <f ca="1">+'R3 ($2015)'!G12+'R3 ($2015)'!G23</f>
        <v>-6.7843750384615396</v>
      </c>
      <c r="H34" s="796">
        <f ca="1">+'R3 ($2015)'!H12+'R3 ($2015)'!H23</f>
        <v>-6.7843750384615396</v>
      </c>
      <c r="I34" s="796">
        <f ca="1">+'R3 ($2015)'!I12+'R3 ($2015)'!I23</f>
        <v>-6.7843750384615396</v>
      </c>
      <c r="J34" s="42"/>
      <c r="K34" s="732"/>
      <c r="L34" s="732"/>
    </row>
    <row r="35" spans="1:12" outlineLevel="2">
      <c r="A35" s="83" t="s">
        <v>70</v>
      </c>
      <c r="B35" s="285"/>
      <c r="C35" s="285"/>
      <c r="D35" s="285"/>
      <c r="E35" s="796">
        <f ca="1">+'R3 ($2015)'!E13+'R3 ($2015)'!E24</f>
        <v>5.4942790384615394</v>
      </c>
      <c r="F35" s="796">
        <f ca="1">+'R3 ($2015)'!F13+'R3 ($2015)'!F24</f>
        <v>5.4942790384615394</v>
      </c>
      <c r="G35" s="796">
        <f ca="1">+'R3 ($2015)'!G13+'R3 ($2015)'!G24</f>
        <v>5.4942790384615394</v>
      </c>
      <c r="H35" s="796">
        <f ca="1">+'R3 ($2015)'!H13+'R3 ($2015)'!H24</f>
        <v>5.4942790384615394</v>
      </c>
      <c r="I35" s="796">
        <f ca="1">+'R3 ($2015)'!I13+'R3 ($2015)'!I24</f>
        <v>5.4942790384615394</v>
      </c>
      <c r="J35" s="93"/>
      <c r="K35" s="732"/>
      <c r="L35" s="732"/>
    </row>
    <row r="36" spans="1:12" s="560" customFormat="1" ht="20.25" customHeight="1">
      <c r="A36" s="94" t="s">
        <v>128</v>
      </c>
      <c r="B36" s="294"/>
      <c r="C36" s="294"/>
      <c r="D36" s="294"/>
      <c r="E36" s="803">
        <f t="shared" ref="E36:I36" ca="1" si="2">SUM(E30:E35)</f>
        <v>77.502930692307714</v>
      </c>
      <c r="F36" s="803">
        <f t="shared" ca="1" si="2"/>
        <v>78.195530307692323</v>
      </c>
      <c r="G36" s="803">
        <f t="shared" ca="1" si="2"/>
        <v>81.004176807692332</v>
      </c>
      <c r="H36" s="803">
        <f t="shared" ca="1" si="2"/>
        <v>81.040357384615405</v>
      </c>
      <c r="I36" s="803">
        <f t="shared" ca="1" si="2"/>
        <v>81.443512384615417</v>
      </c>
      <c r="J36" s="308">
        <f ca="1">+J80</f>
        <v>0</v>
      </c>
      <c r="L36" s="536"/>
    </row>
    <row r="37" spans="1:12" ht="2.25" customHeight="1">
      <c r="A37" s="92"/>
      <c r="B37" s="95"/>
      <c r="C37" s="95"/>
      <c r="D37" s="95"/>
      <c r="E37" s="801"/>
      <c r="F37" s="801"/>
      <c r="G37" s="801"/>
      <c r="H37" s="801"/>
      <c r="I37" s="801"/>
      <c r="J37" s="96"/>
      <c r="L37" s="732"/>
    </row>
    <row r="38" spans="1:12" outlineLevel="1">
      <c r="A38" s="88"/>
      <c r="B38" s="89"/>
      <c r="C38" s="89"/>
      <c r="D38" s="89"/>
      <c r="E38" s="800"/>
      <c r="F38" s="800"/>
      <c r="G38" s="800"/>
      <c r="H38" s="800"/>
      <c r="I38" s="800"/>
      <c r="K38" s="42"/>
      <c r="L38" s="732"/>
    </row>
    <row r="39" spans="1:12" ht="18" outlineLevel="1">
      <c r="A39" s="207" t="s">
        <v>293</v>
      </c>
      <c r="B39" s="78"/>
      <c r="C39" s="78"/>
      <c r="D39" s="78"/>
      <c r="E39" s="796"/>
      <c r="F39" s="796"/>
      <c r="G39" s="796"/>
      <c r="H39" s="796"/>
      <c r="I39" s="796"/>
      <c r="K39" s="42"/>
    </row>
    <row r="40" spans="1:12" ht="18" outlineLevel="1">
      <c r="A40" s="77"/>
      <c r="B40" s="78"/>
      <c r="C40" s="78"/>
      <c r="D40" s="78"/>
      <c r="E40" s="796"/>
      <c r="F40" s="796"/>
      <c r="G40" s="796"/>
      <c r="H40" s="796"/>
      <c r="I40" s="796"/>
      <c r="K40" s="42"/>
    </row>
    <row r="41" spans="1:12" s="632" customFormat="1" outlineLevel="1">
      <c r="A41" s="306" t="s">
        <v>126</v>
      </c>
      <c r="B41" s="78"/>
      <c r="C41" s="78"/>
      <c r="D41" s="78"/>
      <c r="E41" s="796"/>
      <c r="F41" s="796"/>
      <c r="G41" s="796"/>
      <c r="H41" s="796"/>
      <c r="I41" s="796"/>
      <c r="K41" s="621"/>
      <c r="L41" s="621"/>
    </row>
    <row r="42" spans="1:12" s="64" customFormat="1" ht="14.25" outlineLevel="1">
      <c r="A42" s="61" t="s">
        <v>68</v>
      </c>
      <c r="B42" s="82"/>
      <c r="C42" s="285"/>
      <c r="D42" s="285"/>
      <c r="E42" s="796">
        <f ca="1">'R3'!E42*LU_Escalation</f>
        <v>0.47318553559739102</v>
      </c>
      <c r="F42" s="796">
        <f ca="1">'R3'!F42*LU_Escalation</f>
        <v>0.91163254080051903</v>
      </c>
      <c r="G42" s="796">
        <f ca="1">'R3'!G42*LU_Escalation</f>
        <v>1.345032536827693</v>
      </c>
      <c r="H42" s="796">
        <f ca="1">'R3'!H42*LU_Escalation</f>
        <v>1.8152367237735092</v>
      </c>
      <c r="I42" s="796">
        <f ca="1">'R3'!I42*LU_Escalation</f>
        <v>2.2459472780390701</v>
      </c>
      <c r="K42" s="63"/>
      <c r="L42" s="63"/>
    </row>
    <row r="43" spans="1:12" outlineLevel="1">
      <c r="A43" s="61" t="s">
        <v>69</v>
      </c>
      <c r="B43" s="82"/>
      <c r="C43" s="285"/>
      <c r="D43" s="285"/>
      <c r="E43" s="796">
        <f ca="1">'R3'!E43*LU_Escalation</f>
        <v>1.2766566150600631E-2</v>
      </c>
      <c r="F43" s="796">
        <f ca="1">'R3'!F43*LU_Escalation</f>
        <v>2.4595885253501249E-2</v>
      </c>
      <c r="G43" s="796">
        <f ca="1">'R3'!G43*LU_Escalation</f>
        <v>3.6289035831245715E-2</v>
      </c>
      <c r="H43" s="796">
        <f ca="1">'R3'!H43*LU_Escalation</f>
        <v>4.8975165066693686E-2</v>
      </c>
      <c r="I43" s="796">
        <f ca="1">'R3'!I43*LU_Escalation</f>
        <v>6.0595754389761447E-2</v>
      </c>
      <c r="K43" s="42"/>
      <c r="L43" s="732"/>
    </row>
    <row r="44" spans="1:12" outlineLevel="1">
      <c r="A44" s="61" t="s">
        <v>646</v>
      </c>
      <c r="B44" s="82"/>
      <c r="C44" s="285"/>
      <c r="D44" s="285"/>
      <c r="E44" s="796">
        <f ca="1">'R3'!E44*LU_Escalation</f>
        <v>1.1187197142278899E-3</v>
      </c>
      <c r="F44" s="796">
        <f ca="1">'R3'!F44*LU_Escalation</f>
        <v>2.1553095325233065E-3</v>
      </c>
      <c r="G44" s="796">
        <f ca="1">'R3'!G44*LU_Escalation</f>
        <v>3.1799670573772016E-3</v>
      </c>
      <c r="H44" s="796">
        <f ca="1">'R3'!H44*LU_Escalation</f>
        <v>4.2916381759473829E-3</v>
      </c>
      <c r="I44" s="796">
        <f ca="1">'R3'!I44*LU_Escalation</f>
        <v>5.3099372403399188E-3</v>
      </c>
      <c r="K44" s="42"/>
      <c r="L44" s="732"/>
    </row>
    <row r="45" spans="1:12" outlineLevel="1">
      <c r="A45" s="61" t="s">
        <v>647</v>
      </c>
      <c r="B45" s="82"/>
      <c r="C45" s="285"/>
      <c r="D45" s="285"/>
      <c r="E45" s="796">
        <f ca="1">'R3'!E45*LU_Escalation</f>
        <v>0.27572053819583275</v>
      </c>
      <c r="F45" s="796">
        <f ca="1">'R3'!F45*LU_Escalation</f>
        <v>0.53119927782454279</v>
      </c>
      <c r="G45" s="796">
        <f ca="1">'R3'!G45*LU_Escalation</f>
        <v>0.78373717505299478</v>
      </c>
      <c r="H45" s="796">
        <f ca="1">'R3'!H45*LU_Escalation</f>
        <v>1.0577205108347181</v>
      </c>
      <c r="I45" s="796">
        <f ca="1">'R3'!I45*LU_Escalation</f>
        <v>1.3086912969108353</v>
      </c>
      <c r="K45" s="42"/>
      <c r="L45" s="732"/>
    </row>
    <row r="46" spans="1:12" outlineLevel="1">
      <c r="A46" s="61" t="s">
        <v>575</v>
      </c>
      <c r="B46" s="82"/>
      <c r="C46" s="285"/>
      <c r="D46" s="285"/>
      <c r="E46" s="796">
        <f ca="1">'R3'!E46*LU_Escalation</f>
        <v>-7.1981936122329865E-2</v>
      </c>
      <c r="F46" s="796">
        <f ca="1">'R3'!F46*LU_Escalation</f>
        <v>-0.13867937707794559</v>
      </c>
      <c r="G46" s="796">
        <f ca="1">'R3'!G46*LU_Escalation</f>
        <v>-0.20460905683888805</v>
      </c>
      <c r="H46" s="796">
        <f ca="1">'R3'!H46*LU_Escalation</f>
        <v>-0.27613746420335955</v>
      </c>
      <c r="I46" s="796">
        <f ca="1">'R3'!I46*LU_Escalation</f>
        <v>-0.34165802067010675</v>
      </c>
      <c r="K46" s="42"/>
      <c r="L46" s="732"/>
    </row>
    <row r="47" spans="1:12" outlineLevel="1">
      <c r="A47" s="83" t="s">
        <v>70</v>
      </c>
      <c r="B47" s="82"/>
      <c r="C47" s="285"/>
      <c r="D47" s="285"/>
      <c r="E47" s="796">
        <f ca="1">'R3'!E47*LU_Escalation</f>
        <v>5.8294071383541556E-2</v>
      </c>
      <c r="F47" s="796">
        <f ca="1">'R3'!F47*LU_Escalation</f>
        <v>0.11230853103295459</v>
      </c>
      <c r="G47" s="796">
        <f ca="1">'R3'!G47*LU_Escalation</f>
        <v>0.16570122460744929</v>
      </c>
      <c r="H47" s="796">
        <f ca="1">'R3'!H47*LU_Escalation</f>
        <v>0.22362800887412099</v>
      </c>
      <c r="I47" s="796">
        <f ca="1">'R3'!I47*LU_Escalation</f>
        <v>0.27668937678830069</v>
      </c>
      <c r="K47" s="42"/>
      <c r="L47" s="732"/>
    </row>
    <row r="48" spans="1:12" s="560" customFormat="1" ht="18" customHeight="1">
      <c r="A48" s="94" t="s">
        <v>74</v>
      </c>
      <c r="B48" s="294"/>
      <c r="C48" s="294"/>
      <c r="D48" s="294"/>
      <c r="E48" s="803">
        <f t="shared" ref="E48:I48" ca="1" si="3">SUM(E42:E47)</f>
        <v>0.74910349491926398</v>
      </c>
      <c r="F48" s="803">
        <f t="shared" ca="1" si="3"/>
        <v>1.4432121673660954</v>
      </c>
      <c r="G48" s="803">
        <f t="shared" ca="1" si="3"/>
        <v>2.1293308825378716</v>
      </c>
      <c r="H48" s="803">
        <f t="shared" ca="1" si="3"/>
        <v>2.8737145825216301</v>
      </c>
      <c r="I48" s="803">
        <f t="shared" ca="1" si="3"/>
        <v>3.5555756226982007</v>
      </c>
      <c r="J48" s="308">
        <f ca="1">+J81</f>
        <v>0</v>
      </c>
      <c r="L48" s="536"/>
    </row>
    <row r="49" spans="1:12" outlineLevel="1">
      <c r="A49" s="88"/>
      <c r="B49" s="89"/>
      <c r="C49" s="89"/>
      <c r="D49" s="89"/>
      <c r="E49" s="800"/>
      <c r="F49" s="800"/>
      <c r="G49" s="800"/>
      <c r="H49" s="800"/>
      <c r="I49" s="800"/>
      <c r="K49" s="42"/>
      <c r="L49" s="732"/>
    </row>
    <row r="50" spans="1:12" ht="18" outlineLevel="1">
      <c r="A50" s="207" t="s">
        <v>294</v>
      </c>
      <c r="B50" s="78"/>
      <c r="C50" s="78"/>
      <c r="D50" s="78"/>
      <c r="E50" s="796"/>
      <c r="F50" s="796"/>
      <c r="G50" s="796"/>
      <c r="H50" s="796"/>
      <c r="I50" s="796"/>
      <c r="K50" s="42"/>
    </row>
    <row r="51" spans="1:12" ht="18" outlineLevel="1">
      <c r="A51" s="77"/>
      <c r="B51" s="78"/>
      <c r="C51" s="78"/>
      <c r="D51" s="78"/>
      <c r="E51" s="796"/>
      <c r="F51" s="796"/>
      <c r="G51" s="796"/>
      <c r="H51" s="796"/>
      <c r="I51" s="796"/>
      <c r="K51" s="42"/>
    </row>
    <row r="52" spans="1:12" s="632" customFormat="1" outlineLevel="1">
      <c r="A52" s="306" t="s">
        <v>126</v>
      </c>
      <c r="B52" s="78"/>
      <c r="C52" s="78"/>
      <c r="D52" s="78"/>
      <c r="E52" s="796"/>
      <c r="F52" s="796"/>
      <c r="G52" s="796"/>
      <c r="H52" s="796"/>
      <c r="I52" s="796"/>
      <c r="K52" s="621"/>
      <c r="L52" s="621"/>
    </row>
    <row r="53" spans="1:12" s="64" customFormat="1" ht="14.25" outlineLevel="1">
      <c r="A53" s="61" t="s">
        <v>68</v>
      </c>
      <c r="B53" s="285"/>
      <c r="C53" s="285"/>
      <c r="D53" s="285"/>
      <c r="E53" s="796">
        <f ca="1">'R3'!E53*LU_Escalation</f>
        <v>0.96714125344326651</v>
      </c>
      <c r="F53" s="796">
        <f ca="1">'R3'!F53*LU_Escalation</f>
        <v>1.9740536331257514</v>
      </c>
      <c r="G53" s="796">
        <f ca="1">'R3'!G53*LU_Escalation</f>
        <v>3.0778271369690615</v>
      </c>
      <c r="H53" s="796">
        <f ca="1">'R3'!H53*LU_Escalation</f>
        <v>4.23021365750893</v>
      </c>
      <c r="I53" s="796">
        <f ca="1">'R3'!I53*LU_Escalation</f>
        <v>5.4263630550817252</v>
      </c>
      <c r="K53" s="63"/>
      <c r="L53" s="63"/>
    </row>
    <row r="54" spans="1:12" outlineLevel="1">
      <c r="A54" s="61" t="s">
        <v>69</v>
      </c>
      <c r="B54" s="285"/>
      <c r="C54" s="285"/>
      <c r="D54" s="285"/>
      <c r="E54" s="796">
        <f ca="1">'R3'!E54*LU_Escalation</f>
        <v>0</v>
      </c>
      <c r="F54" s="796">
        <f ca="1">'R3'!F54*LU_Escalation</f>
        <v>0</v>
      </c>
      <c r="G54" s="796">
        <f ca="1">'R3'!G54*LU_Escalation</f>
        <v>0</v>
      </c>
      <c r="H54" s="796">
        <f ca="1">'R3'!H54*LU_Escalation</f>
        <v>0</v>
      </c>
      <c r="I54" s="796">
        <f ca="1">'R3'!I54*LU_Escalation</f>
        <v>0</v>
      </c>
      <c r="K54" s="42"/>
      <c r="L54" s="732"/>
    </row>
    <row r="55" spans="1:12" outlineLevel="1">
      <c r="A55" s="61" t="s">
        <v>646</v>
      </c>
      <c r="B55" s="285"/>
      <c r="C55" s="285"/>
      <c r="D55" s="285"/>
      <c r="E55" s="796">
        <f ca="1">'R3'!E55*LU_Escalation</f>
        <v>5.3279629087882047E-4</v>
      </c>
      <c r="F55" s="796">
        <f ca="1">'R3'!F55*LU_Escalation</f>
        <v>1.0786483761404408E-3</v>
      </c>
      <c r="G55" s="796">
        <f ca="1">'R3'!G55*LU_Escalation</f>
        <v>2.0763054026077614E-3</v>
      </c>
      <c r="H55" s="796">
        <f ca="1">'R3'!H55*LU_Escalation</f>
        <v>3.2717674309435721E-3</v>
      </c>
      <c r="I55" s="796">
        <f ca="1">'R3'!I55*LU_Escalation</f>
        <v>4.7277865279105073E-3</v>
      </c>
      <c r="K55" s="42"/>
      <c r="L55" s="732"/>
    </row>
    <row r="56" spans="1:12" outlineLevel="1">
      <c r="A56" s="61" t="s">
        <v>647</v>
      </c>
      <c r="B56" s="285"/>
      <c r="C56" s="285"/>
      <c r="D56" s="285"/>
      <c r="E56" s="796">
        <f ca="1">'R3'!E56*LU_Escalation</f>
        <v>0.13131339172943793</v>
      </c>
      <c r="F56" s="796">
        <f ca="1">'R3'!F56*LU_Escalation</f>
        <v>0.26584452478229931</v>
      </c>
      <c r="G56" s="796">
        <f ca="1">'R3'!G56*LU_Escalation</f>
        <v>0.51172785800153464</v>
      </c>
      <c r="H56" s="796">
        <f ca="1">'R3'!H56*LU_Escalation</f>
        <v>0.80636236712245613</v>
      </c>
      <c r="I56" s="796">
        <f ca="1">'R3'!I56*LU_Escalation</f>
        <v>1.1652139757366879</v>
      </c>
      <c r="K56" s="42"/>
      <c r="L56" s="732"/>
    </row>
    <row r="57" spans="1:12" outlineLevel="1">
      <c r="A57" s="61" t="s">
        <v>575</v>
      </c>
      <c r="B57" s="285"/>
      <c r="C57" s="285"/>
      <c r="D57" s="285"/>
      <c r="E57" s="796">
        <f ca="1">'R3'!E57*LU_Escalation</f>
        <v>-0.14712347417537397</v>
      </c>
      <c r="F57" s="796">
        <f ca="1">'R3'!F57*LU_Escalation</f>
        <v>-0.30029701212721205</v>
      </c>
      <c r="G57" s="796">
        <f ca="1">'R3'!G57*LU_Escalation</f>
        <v>-0.46820525925243855</v>
      </c>
      <c r="H57" s="796">
        <f ca="1">'R3'!H57*LU_Escalation</f>
        <v>-0.64350861632781919</v>
      </c>
      <c r="I57" s="796">
        <f ca="1">'R3'!I57*LU_Escalation</f>
        <v>-0.82546927034516304</v>
      </c>
      <c r="K57" s="42"/>
      <c r="L57" s="732"/>
    </row>
    <row r="58" spans="1:12" outlineLevel="1">
      <c r="A58" s="83" t="s">
        <v>70</v>
      </c>
      <c r="B58" s="286"/>
      <c r="C58" s="286"/>
      <c r="D58" s="286"/>
      <c r="E58" s="796">
        <f ca="1">'R3'!E58*LU_Escalation</f>
        <v>0</v>
      </c>
      <c r="F58" s="796">
        <f ca="1">'R3'!F58*LU_Escalation</f>
        <v>0</v>
      </c>
      <c r="G58" s="796">
        <f ca="1">'R3'!G58*LU_Escalation</f>
        <v>0</v>
      </c>
      <c r="H58" s="796">
        <f ca="1">'R3'!H58*LU_Escalation</f>
        <v>0</v>
      </c>
      <c r="I58" s="796">
        <f ca="1">'R3'!I58*LU_Escalation</f>
        <v>0</v>
      </c>
      <c r="K58" s="42"/>
      <c r="L58" s="732"/>
    </row>
    <row r="59" spans="1:12" s="560" customFormat="1" ht="18" customHeight="1">
      <c r="A59" s="97" t="s">
        <v>73</v>
      </c>
      <c r="B59" s="295"/>
      <c r="C59" s="295"/>
      <c r="D59" s="295"/>
      <c r="E59" s="798">
        <f t="shared" ref="E59:I59" ca="1" si="4">SUM(E53:E58)</f>
        <v>0.95186396728820921</v>
      </c>
      <c r="F59" s="798">
        <f t="shared" ca="1" si="4"/>
        <v>1.9406797941569791</v>
      </c>
      <c r="G59" s="798">
        <f t="shared" ca="1" si="4"/>
        <v>3.1234260411207657</v>
      </c>
      <c r="H59" s="798">
        <f t="shared" ca="1" si="4"/>
        <v>4.3963391757345107</v>
      </c>
      <c r="I59" s="799">
        <f t="shared" ca="1" si="4"/>
        <v>5.7708355470011607</v>
      </c>
      <c r="J59" s="308">
        <f ca="1">+J82</f>
        <v>0</v>
      </c>
      <c r="L59" s="536"/>
    </row>
    <row r="60" spans="1:12" outlineLevel="1">
      <c r="A60" s="88"/>
      <c r="B60" s="89"/>
      <c r="C60" s="89"/>
      <c r="D60" s="89"/>
      <c r="E60" s="800"/>
      <c r="F60" s="800"/>
      <c r="G60" s="800"/>
      <c r="H60" s="800"/>
      <c r="I60" s="800"/>
      <c r="K60" s="42"/>
      <c r="L60" s="732"/>
    </row>
    <row r="61" spans="1:12" ht="18.75" customHeight="1" outlineLevel="1">
      <c r="A61" s="207" t="s">
        <v>129</v>
      </c>
      <c r="B61" s="635"/>
      <c r="C61" s="635"/>
      <c r="D61" s="635"/>
      <c r="E61" s="804" t="str">
        <f>'Ref-1'!Q39</f>
        <v>2015/16</v>
      </c>
      <c r="F61" s="804" t="str">
        <f>'Ref-1'!R39</f>
        <v>2016/17</v>
      </c>
      <c r="G61" s="804" t="str">
        <f>'Ref-1'!S39</f>
        <v>2017/18</v>
      </c>
      <c r="H61" s="804" t="str">
        <f>'Ref-1'!T39</f>
        <v>2018/19</v>
      </c>
      <c r="I61" s="804" t="str">
        <f>'Ref-1'!U39</f>
        <v>2019/20</v>
      </c>
      <c r="J61" s="98"/>
      <c r="K61" s="42"/>
    </row>
    <row r="62" spans="1:12" ht="10.5" customHeight="1" outlineLevel="1">
      <c r="A62" s="207"/>
      <c r="B62" s="76"/>
      <c r="C62" s="76"/>
      <c r="D62" s="76"/>
      <c r="E62" s="802"/>
      <c r="F62" s="802"/>
      <c r="G62" s="802"/>
      <c r="H62" s="802"/>
      <c r="I62" s="802"/>
      <c r="J62" s="98"/>
      <c r="K62" s="42"/>
    </row>
    <row r="63" spans="1:12" ht="18.75" customHeight="1" outlineLevel="1">
      <c r="A63" s="306" t="s">
        <v>126</v>
      </c>
      <c r="B63" s="76"/>
      <c r="C63" s="76"/>
      <c r="D63" s="76"/>
      <c r="E63" s="802"/>
      <c r="F63" s="802"/>
      <c r="G63" s="802"/>
      <c r="H63" s="802"/>
      <c r="I63" s="802"/>
      <c r="K63" s="42"/>
    </row>
    <row r="64" spans="1:12" ht="18.75" customHeight="1" outlineLevel="1">
      <c r="A64" s="61" t="s">
        <v>68</v>
      </c>
      <c r="B64" s="285"/>
      <c r="C64" s="285"/>
      <c r="D64" s="285"/>
      <c r="E64" s="796">
        <f t="shared" ref="E64:I69" ca="1" si="5">+E42+E30+E53</f>
        <v>47.532314327502206</v>
      </c>
      <c r="F64" s="796">
        <f t="shared" ca="1" si="5"/>
        <v>50.400087250849353</v>
      </c>
      <c r="G64" s="796">
        <f t="shared" ca="1" si="5"/>
        <v>53.869303558412156</v>
      </c>
      <c r="H64" s="796">
        <f t="shared" ca="1" si="5"/>
        <v>55.491894265897841</v>
      </c>
      <c r="I64" s="796">
        <f t="shared" ca="1" si="5"/>
        <v>57.223161025428496</v>
      </c>
      <c r="K64" s="42"/>
    </row>
    <row r="65" spans="1:11" ht="18.75" customHeight="1" outlineLevel="1">
      <c r="A65" s="61" t="s">
        <v>69</v>
      </c>
      <c r="B65" s="285"/>
      <c r="C65" s="285"/>
      <c r="D65" s="285"/>
      <c r="E65" s="796">
        <f t="shared" ca="1" si="5"/>
        <v>1.3411106046121393</v>
      </c>
      <c r="F65" s="796">
        <f t="shared" ca="1" si="5"/>
        <v>1.5286741544842708</v>
      </c>
      <c r="G65" s="796">
        <f t="shared" ca="1" si="5"/>
        <v>1.5496708819850922</v>
      </c>
      <c r="H65" s="796">
        <f t="shared" ca="1" si="5"/>
        <v>1.57579551122054</v>
      </c>
      <c r="I65" s="796">
        <f t="shared" ca="1" si="5"/>
        <v>1.5874161005436078</v>
      </c>
      <c r="K65" s="42"/>
    </row>
    <row r="66" spans="1:11" ht="18.75" customHeight="1" outlineLevel="1">
      <c r="A66" s="61" t="s">
        <v>646</v>
      </c>
      <c r="B66" s="285"/>
      <c r="C66" s="285"/>
      <c r="D66" s="285"/>
      <c r="E66" s="796">
        <f t="shared" ca="1" si="5"/>
        <v>1.0167751313897222</v>
      </c>
      <c r="F66" s="796">
        <f t="shared" ca="1" si="5"/>
        <v>1.1775521117548178</v>
      </c>
      <c r="G66" s="796">
        <f t="shared" ca="1" si="5"/>
        <v>1.375983272459985</v>
      </c>
      <c r="H66" s="796">
        <f t="shared" ca="1" si="5"/>
        <v>1.4754610979145835</v>
      </c>
      <c r="I66" s="796">
        <f t="shared" ca="1" si="5"/>
        <v>1.477935416075943</v>
      </c>
      <c r="K66" s="42"/>
    </row>
    <row r="67" spans="1:11" ht="18.75" customHeight="1" outlineLevel="1">
      <c r="A67" s="61" t="s">
        <v>647</v>
      </c>
      <c r="B67" s="285"/>
      <c r="C67" s="285"/>
      <c r="D67" s="285"/>
      <c r="E67" s="796">
        <f t="shared" ca="1" si="5"/>
        <v>30.764605429925275</v>
      </c>
      <c r="F67" s="796">
        <f t="shared" ca="1" si="5"/>
        <v>30.08987261029915</v>
      </c>
      <c r="G67" s="796">
        <f t="shared" ca="1" si="5"/>
        <v>31.259185109977608</v>
      </c>
      <c r="H67" s="796">
        <f t="shared" ca="1" si="5"/>
        <v>31.753374339495636</v>
      </c>
      <c r="I67" s="796">
        <f t="shared" ca="1" si="5"/>
        <v>32.661944926493682</v>
      </c>
      <c r="K67" s="42"/>
    </row>
    <row r="68" spans="1:11" ht="18.75" customHeight="1" outlineLevel="1">
      <c r="A68" s="61" t="s">
        <v>575</v>
      </c>
      <c r="B68" s="285"/>
      <c r="C68" s="285"/>
      <c r="D68" s="285"/>
      <c r="E68" s="796">
        <f t="shared" ca="1" si="5"/>
        <v>-7.0034804487592437</v>
      </c>
      <c r="F68" s="796">
        <f t="shared" ca="1" si="5"/>
        <v>-7.2233514276666968</v>
      </c>
      <c r="G68" s="796">
        <f t="shared" ca="1" si="5"/>
        <v>-7.4571893545528658</v>
      </c>
      <c r="H68" s="796">
        <f t="shared" ca="1" si="5"/>
        <v>-7.7040211189927188</v>
      </c>
      <c r="I68" s="796">
        <f t="shared" ca="1" si="5"/>
        <v>-7.9515023294768099</v>
      </c>
      <c r="K68" s="42"/>
    </row>
    <row r="69" spans="1:11" ht="18.75" customHeight="1" outlineLevel="1">
      <c r="A69" s="83" t="s">
        <v>70</v>
      </c>
      <c r="B69" s="285"/>
      <c r="C69" s="285"/>
      <c r="D69" s="285"/>
      <c r="E69" s="796">
        <f t="shared" ca="1" si="5"/>
        <v>5.5525731098450812</v>
      </c>
      <c r="F69" s="796">
        <f t="shared" ca="1" si="5"/>
        <v>5.6065875694944944</v>
      </c>
      <c r="G69" s="796">
        <f t="shared" ca="1" si="5"/>
        <v>5.6599802630689888</v>
      </c>
      <c r="H69" s="796">
        <f t="shared" ca="1" si="5"/>
        <v>5.7179070473356601</v>
      </c>
      <c r="I69" s="796">
        <f t="shared" ca="1" si="5"/>
        <v>5.7709684152498397</v>
      </c>
      <c r="K69" s="42"/>
    </row>
    <row r="70" spans="1:11" ht="18.75" customHeight="1">
      <c r="A70" s="99" t="s">
        <v>129</v>
      </c>
      <c r="B70" s="295"/>
      <c r="C70" s="295"/>
      <c r="D70" s="295"/>
      <c r="E70" s="798">
        <f t="shared" ref="E70:I70" ca="1" si="6">SUM(E64:E69)</f>
        <v>79.203898154515173</v>
      </c>
      <c r="F70" s="798">
        <f t="shared" ca="1" si="6"/>
        <v>81.579422269215385</v>
      </c>
      <c r="G70" s="798">
        <f t="shared" ca="1" si="6"/>
        <v>86.256933731350969</v>
      </c>
      <c r="H70" s="798">
        <f t="shared" ca="1" si="6"/>
        <v>88.310411142871544</v>
      </c>
      <c r="I70" s="798">
        <f t="shared" ca="1" si="6"/>
        <v>90.769923554314758</v>
      </c>
      <c r="J70" s="308">
        <f ca="1">+J83</f>
        <v>0</v>
      </c>
      <c r="K70" s="42"/>
    </row>
    <row r="71" spans="1:11" ht="18.75" customHeight="1">
      <c r="A71" s="77"/>
      <c r="B71" s="76"/>
      <c r="C71" s="76"/>
      <c r="D71" s="76"/>
      <c r="E71" s="76"/>
      <c r="F71" s="76"/>
      <c r="G71" s="76"/>
      <c r="H71" s="76"/>
      <c r="I71" s="76"/>
      <c r="K71" s="42"/>
    </row>
    <row r="74" spans="1:11">
      <c r="A74" s="307" t="s">
        <v>288</v>
      </c>
      <c r="B74" s="544"/>
      <c r="C74" s="544"/>
      <c r="D74" s="544"/>
      <c r="E74" s="544"/>
      <c r="F74" s="544"/>
      <c r="G74" s="544"/>
      <c r="H74" s="544"/>
      <c r="I74" s="544"/>
    </row>
    <row r="75" spans="1:11">
      <c r="A75" s="307"/>
      <c r="B75" s="544"/>
      <c r="C75" s="544"/>
      <c r="D75" s="544"/>
      <c r="E75" s="544"/>
      <c r="F75" s="544"/>
      <c r="G75" s="544"/>
      <c r="H75" s="544"/>
      <c r="I75" s="544"/>
    </row>
    <row r="76" spans="1:11">
      <c r="A76" s="632" t="s">
        <v>289</v>
      </c>
    </row>
    <row r="78" spans="1:11">
      <c r="A78" s="306" t="s">
        <v>290</v>
      </c>
      <c r="B78"/>
      <c r="C78"/>
      <c r="D78"/>
      <c r="E78" s="286">
        <f ca="1">'R3'!E14*LU_Escalation-E14</f>
        <v>0</v>
      </c>
      <c r="F78" s="286">
        <f ca="1">'R3'!F14*LU_Escalation-F14</f>
        <v>0</v>
      </c>
      <c r="G78" s="286">
        <f ca="1">'R3'!G14*LU_Escalation-G14</f>
        <v>0</v>
      </c>
      <c r="H78" s="286">
        <f ca="1">'R3'!H14*LU_Escalation-H14</f>
        <v>0</v>
      </c>
      <c r="I78" s="286">
        <f ca="1">'R3'!I14*LU_Escalation-I14</f>
        <v>0</v>
      </c>
      <c r="J78" s="286">
        <f t="shared" ref="J78:J83" ca="1" si="7">SUM(B78:I78)</f>
        <v>0</v>
      </c>
    </row>
    <row r="79" spans="1:11">
      <c r="A79" s="306" t="s">
        <v>291</v>
      </c>
      <c r="B79"/>
      <c r="C79"/>
      <c r="D79"/>
      <c r="E79" s="286">
        <f>'R3'!E25*LU_Escalation-'R3 ($2015)'!E25</f>
        <v>0</v>
      </c>
      <c r="F79" s="286">
        <f>'R3'!F25*LU_Escalation-'R3 ($2015)'!F25</f>
        <v>0</v>
      </c>
      <c r="G79" s="286">
        <f>'R3'!G25*LU_Escalation-'R3 ($2015)'!G25</f>
        <v>0</v>
      </c>
      <c r="H79" s="286">
        <f>'R3'!H25*LU_Escalation-'R3 ($2015)'!H25</f>
        <v>0</v>
      </c>
      <c r="I79" s="286">
        <f>'R3'!I25*LU_Escalation-'R3 ($2015)'!I25</f>
        <v>0</v>
      </c>
      <c r="J79" s="286">
        <f t="shared" si="7"/>
        <v>0</v>
      </c>
    </row>
    <row r="80" spans="1:11">
      <c r="A80" s="306" t="s">
        <v>292</v>
      </c>
      <c r="B80"/>
      <c r="C80"/>
      <c r="D80"/>
      <c r="E80" s="286">
        <f ca="1">'R3'!E36*LU_Escalation-'R3 ($2015)'!E36</f>
        <v>0</v>
      </c>
      <c r="F80" s="286">
        <f ca="1">'R3'!F36*LU_Escalation-'R3 ($2015)'!F36</f>
        <v>0</v>
      </c>
      <c r="G80" s="286">
        <f ca="1">'R3'!G36*LU_Escalation-'R3 ($2015)'!G36</f>
        <v>0</v>
      </c>
      <c r="H80" s="286">
        <f ca="1">'R3'!H36*LU_Escalation-'R3 ($2015)'!H36</f>
        <v>0</v>
      </c>
      <c r="I80" s="286">
        <f ca="1">'R3'!I36*LU_Escalation-'R3 ($2015)'!I36</f>
        <v>0</v>
      </c>
      <c r="J80" s="286">
        <f t="shared" ca="1" si="7"/>
        <v>0</v>
      </c>
    </row>
    <row r="81" spans="1:11">
      <c r="A81" s="306" t="s">
        <v>293</v>
      </c>
      <c r="B81"/>
      <c r="C81"/>
      <c r="D81"/>
      <c r="E81" s="286">
        <f ca="1">'R3'!E48*LU_Escalation-E48</f>
        <v>0</v>
      </c>
      <c r="F81" s="286">
        <f ca="1">'R3'!F48*LU_Escalation-F48</f>
        <v>0</v>
      </c>
      <c r="G81" s="286">
        <f ca="1">'R3'!G48*LU_Escalation-G48</f>
        <v>0</v>
      </c>
      <c r="H81" s="286">
        <f ca="1">'R3'!H48*LU_Escalation-H48</f>
        <v>0</v>
      </c>
      <c r="I81" s="286">
        <f ca="1">'R3'!I48*LU_Escalation-I48</f>
        <v>0</v>
      </c>
      <c r="J81" s="286">
        <f t="shared" ca="1" si="7"/>
        <v>0</v>
      </c>
    </row>
    <row r="82" spans="1:11">
      <c r="A82" s="306" t="s">
        <v>294</v>
      </c>
      <c r="B82"/>
      <c r="C82"/>
      <c r="D82"/>
      <c r="E82" s="286">
        <f ca="1">'R3'!E59*LU_Escalation-E59</f>
        <v>0</v>
      </c>
      <c r="F82" s="286">
        <f ca="1">'R3'!F59*LU_Escalation-F59</f>
        <v>0</v>
      </c>
      <c r="G82" s="286">
        <f ca="1">'R3'!G59*LU_Escalation-G59</f>
        <v>0</v>
      </c>
      <c r="H82" s="286">
        <f ca="1">'R3'!H59*LU_Escalation-H59</f>
        <v>0</v>
      </c>
      <c r="I82" s="286">
        <f ca="1">'R3'!I59*LU_Escalation-I59</f>
        <v>0</v>
      </c>
      <c r="J82" s="286">
        <f t="shared" ca="1" si="7"/>
        <v>0</v>
      </c>
    </row>
    <row r="83" spans="1:11">
      <c r="A83" s="306" t="s">
        <v>129</v>
      </c>
      <c r="B83"/>
      <c r="C83"/>
      <c r="D83"/>
      <c r="E83" s="286">
        <f ca="1">'R3'!E70*LU_Escalation-E70</f>
        <v>0</v>
      </c>
      <c r="F83" s="286">
        <f ca="1">'R3'!F70*LU_Escalation-F70</f>
        <v>0</v>
      </c>
      <c r="G83" s="286">
        <f ca="1">'R3'!G70*LU_Escalation-G70</f>
        <v>0</v>
      </c>
      <c r="H83" s="286">
        <f ca="1">'R3'!H70*LU_Escalation-H70</f>
        <v>0</v>
      </c>
      <c r="I83" s="286">
        <f ca="1">'R3'!I70*LU_Escalation-I70</f>
        <v>0</v>
      </c>
      <c r="J83" s="286">
        <f t="shared" ca="1" si="7"/>
        <v>0</v>
      </c>
    </row>
    <row r="84" spans="1:11">
      <c r="B84"/>
      <c r="C84"/>
      <c r="D84"/>
    </row>
    <row r="85" spans="1:11">
      <c r="B85"/>
      <c r="C85"/>
      <c r="D85"/>
    </row>
    <row r="86" spans="1:11">
      <c r="A86" s="306" t="s">
        <v>126</v>
      </c>
      <c r="B86"/>
      <c r="C86"/>
      <c r="D86"/>
      <c r="E86" s="76"/>
      <c r="F86" s="76"/>
      <c r="G86" s="76"/>
      <c r="H86" s="76"/>
      <c r="I86" s="76"/>
    </row>
    <row r="87" spans="1:11" ht="18.75" customHeight="1" outlineLevel="1">
      <c r="A87" s="61" t="s">
        <v>68</v>
      </c>
      <c r="B87"/>
      <c r="C87"/>
      <c r="D87"/>
      <c r="E87" s="285">
        <f ca="1">'R3'!E64*LU_Escalation-E64</f>
        <v>0</v>
      </c>
      <c r="F87" s="285">
        <f ca="1">'R3'!F64*LU_Escalation-F64</f>
        <v>0</v>
      </c>
      <c r="G87" s="285">
        <f ca="1">'R3'!G64*LU_Escalation-G64</f>
        <v>0</v>
      </c>
      <c r="H87" s="285">
        <f ca="1">'R3'!H64*LU_Escalation-H64</f>
        <v>0</v>
      </c>
      <c r="I87" s="285">
        <f ca="1">'R3'!I64*LU_Escalation-I64</f>
        <v>0</v>
      </c>
      <c r="J87" s="285">
        <f t="shared" ref="J87:J93" ca="1" si="8">SUM(B87:I87)</f>
        <v>0</v>
      </c>
      <c r="K87" s="42"/>
    </row>
    <row r="88" spans="1:11" ht="18.75" customHeight="1" outlineLevel="1">
      <c r="A88" s="61" t="s">
        <v>69</v>
      </c>
      <c r="B88"/>
      <c r="C88"/>
      <c r="D88"/>
      <c r="E88" s="285">
        <f ca="1">'R3'!E65*LU_Escalation-E65</f>
        <v>0</v>
      </c>
      <c r="F88" s="285">
        <f ca="1">'R3'!F65*LU_Escalation-F65</f>
        <v>0</v>
      </c>
      <c r="G88" s="285">
        <f ca="1">'R3'!G65*LU_Escalation-G65</f>
        <v>0</v>
      </c>
      <c r="H88" s="285">
        <f ca="1">'R3'!H65*LU_Escalation-H65</f>
        <v>0</v>
      </c>
      <c r="I88" s="285">
        <f ca="1">'R3'!I65*LU_Escalation-I65</f>
        <v>0</v>
      </c>
      <c r="J88" s="285">
        <f t="shared" ca="1" si="8"/>
        <v>0</v>
      </c>
      <c r="K88" s="42"/>
    </row>
    <row r="89" spans="1:11" ht="18.75" customHeight="1" outlineLevel="1">
      <c r="A89" s="61" t="s">
        <v>646</v>
      </c>
      <c r="B89"/>
      <c r="C89"/>
      <c r="D89"/>
      <c r="E89" s="285">
        <f ca="1">'R3'!E66*LU_Escalation-E66</f>
        <v>0</v>
      </c>
      <c r="F89" s="285">
        <f ca="1">'R3'!F66*LU_Escalation-F66</f>
        <v>0</v>
      </c>
      <c r="G89" s="285">
        <f ca="1">'R3'!G66*LU_Escalation-G66</f>
        <v>0</v>
      </c>
      <c r="H89" s="285">
        <f ca="1">'R3'!H66*LU_Escalation-H66</f>
        <v>0</v>
      </c>
      <c r="I89" s="285">
        <f ca="1">'R3'!I66*LU_Escalation-I66</f>
        <v>0</v>
      </c>
      <c r="J89" s="285">
        <f t="shared" ca="1" si="8"/>
        <v>0</v>
      </c>
      <c r="K89" s="42"/>
    </row>
    <row r="90" spans="1:11" ht="18.75" customHeight="1" outlineLevel="1">
      <c r="A90" s="61" t="s">
        <v>647</v>
      </c>
      <c r="B90"/>
      <c r="C90"/>
      <c r="D90"/>
      <c r="E90" s="285">
        <f ca="1">'R3'!E67*LU_Escalation-E67</f>
        <v>0</v>
      </c>
      <c r="F90" s="285">
        <f ca="1">'R3'!F67*LU_Escalation-F67</f>
        <v>0</v>
      </c>
      <c r="G90" s="285">
        <f ca="1">'R3'!G67*LU_Escalation-G67</f>
        <v>0</v>
      </c>
      <c r="H90" s="285">
        <f ca="1">'R3'!H67*LU_Escalation-H67</f>
        <v>0</v>
      </c>
      <c r="I90" s="285">
        <f ca="1">'R3'!I67*LU_Escalation-I67</f>
        <v>0</v>
      </c>
      <c r="J90" s="285">
        <f t="shared" ca="1" si="8"/>
        <v>0</v>
      </c>
      <c r="K90" s="42"/>
    </row>
    <row r="91" spans="1:11" ht="18.75" customHeight="1" outlineLevel="1">
      <c r="A91" s="61" t="s">
        <v>575</v>
      </c>
      <c r="B91"/>
      <c r="C91"/>
      <c r="D91"/>
      <c r="E91" s="285">
        <f ca="1">'R3'!E68*LU_Escalation-E68</f>
        <v>0</v>
      </c>
      <c r="F91" s="285">
        <f ca="1">'R3'!F68*LU_Escalation-F68</f>
        <v>0</v>
      </c>
      <c r="G91" s="285">
        <f ca="1">'R3'!G68*LU_Escalation-G68</f>
        <v>0</v>
      </c>
      <c r="H91" s="285">
        <f ca="1">'R3'!H68*LU_Escalation-H68</f>
        <v>0</v>
      </c>
      <c r="I91" s="285">
        <f ca="1">'R3'!I68*LU_Escalation-I68</f>
        <v>0</v>
      </c>
      <c r="J91" s="285">
        <f t="shared" ca="1" si="8"/>
        <v>0</v>
      </c>
      <c r="K91" s="42"/>
    </row>
    <row r="92" spans="1:11" ht="18.75" customHeight="1" outlineLevel="1">
      <c r="A92" s="83" t="s">
        <v>70</v>
      </c>
      <c r="B92"/>
      <c r="C92"/>
      <c r="D92"/>
      <c r="E92" s="285">
        <f ca="1">'R3'!E69*LU_Escalation-E69</f>
        <v>0</v>
      </c>
      <c r="F92" s="285">
        <f ca="1">'R3'!F69*LU_Escalation-F69</f>
        <v>0</v>
      </c>
      <c r="G92" s="285">
        <f ca="1">'R3'!G69*LU_Escalation-G69</f>
        <v>0</v>
      </c>
      <c r="H92" s="285">
        <f ca="1">'R3'!H69*LU_Escalation-H69</f>
        <v>0</v>
      </c>
      <c r="I92" s="285">
        <f ca="1">'R3'!I69*LU_Escalation-I69</f>
        <v>0</v>
      </c>
      <c r="J92" s="285">
        <f t="shared" ca="1" si="8"/>
        <v>0</v>
      </c>
      <c r="K92" s="42"/>
    </row>
    <row r="93" spans="1:11" ht="18.75" customHeight="1" outlineLevel="1">
      <c r="A93" s="99" t="s">
        <v>129</v>
      </c>
      <c r="B93"/>
      <c r="C93"/>
      <c r="D93"/>
      <c r="E93" s="295">
        <f t="shared" ref="E93:I93" ca="1" si="9">SUM(E87:E92)</f>
        <v>0</v>
      </c>
      <c r="F93" s="295">
        <f t="shared" ca="1" si="9"/>
        <v>0</v>
      </c>
      <c r="G93" s="295">
        <f t="shared" ca="1" si="9"/>
        <v>0</v>
      </c>
      <c r="H93" s="295">
        <f t="shared" ca="1" si="9"/>
        <v>0</v>
      </c>
      <c r="I93" s="295">
        <f t="shared" ca="1" si="9"/>
        <v>0</v>
      </c>
      <c r="J93" s="295">
        <f t="shared" ca="1" si="8"/>
        <v>0</v>
      </c>
      <c r="K93" s="42"/>
    </row>
    <row r="94" spans="1:11" ht="18.75" customHeight="1" outlineLevel="1">
      <c r="K94" s="42"/>
    </row>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conditionalFormatting sqref="J14 J37">
    <cfRule type="cellIs" dxfId="27" priority="7" stopIfTrue="1" operator="equal">
      <formula>"OK"</formula>
    </cfRule>
    <cfRule type="cellIs" dxfId="26" priority="8" stopIfTrue="1" operator="equal">
      <formula>"Warning Check Escalations"</formula>
    </cfRule>
  </conditionalFormatting>
  <conditionalFormatting sqref="J14 J70 J59 J48 J36 J25 E78:J83 E87:J93">
    <cfRule type="cellIs" dxfId="25" priority="5" stopIfTrue="1" operator="equal">
      <formula>0</formula>
    </cfRule>
    <cfRule type="cellIs" dxfId="24" priority="6" stopIfTrue="1" operator="notEqual">
      <formula>0</formula>
    </cfRule>
  </conditionalFormatting>
  <conditionalFormatting sqref="F78:J78 E78:I83 E87:I93">
    <cfRule type="cellIs" dxfId="23" priority="1" stopIfTrue="1" operator="equal">
      <formula>0</formula>
    </cfRule>
    <cfRule type="cellIs" dxfId="22" priority="2" stopIfTrue="1" operator="notEqual">
      <formula>0</formula>
    </cfRule>
  </conditionalFormatting>
  <dataValidations count="1">
    <dataValidation type="list" allowBlank="1" showInputMessage="1" showErrorMessage="1" sqref="D5">
      <formula1>"2007/08 Regulatory Accounts, Bottom Up"</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worksheet>
</file>

<file path=xl/worksheets/sheet9.xml><?xml version="1.0" encoding="utf-8"?>
<worksheet xmlns="http://schemas.openxmlformats.org/spreadsheetml/2006/main" xmlns:r="http://schemas.openxmlformats.org/officeDocument/2006/relationships">
  <sheetPr codeName="Sheet24">
    <pageSetUpPr fitToPage="1"/>
  </sheetPr>
  <dimension ref="A1:L249"/>
  <sheetViews>
    <sheetView showGridLines="0" zoomScale="75" zoomScaleNormal="75" workbookViewId="0">
      <pane xSplit="2" ySplit="4" topLeftCell="C191" activePane="bottomRight" state="frozen"/>
      <selection activeCell="C8" activeCellId="8" sqref="C80:C85 C71:C76 C62:C67 C53:C58 C44:C49 C35:C40 C26:C31 C17:C22 C8:C13"/>
      <selection pane="topRight" activeCell="C8" activeCellId="8" sqref="C80:C85 C71:C76 C62:C67 C53:C58 C44:C49 C35:C40 C26:C31 C17:C22 C8:C13"/>
      <selection pane="bottomLeft" activeCell="C8" activeCellId="8" sqref="C80:C85 C71:C76 C62:C67 C53:C58 C44:C49 C35:C40 C26:C31 C17:C22 C8:C13"/>
      <selection pane="bottomRight" activeCell="M186" sqref="M186"/>
    </sheetView>
  </sheetViews>
  <sheetFormatPr defaultRowHeight="12.75"/>
  <cols>
    <col min="2" max="2" width="9.85546875" customWidth="1"/>
    <col min="3" max="3" width="41.85546875" customWidth="1"/>
    <col min="4" max="10" width="17.28515625" customWidth="1"/>
    <col min="11" max="12" width="19.42578125" customWidth="1"/>
  </cols>
  <sheetData>
    <row r="1" spans="1:12" ht="19.5">
      <c r="A1" s="406" t="s">
        <v>320</v>
      </c>
      <c r="B1" s="443" t="s">
        <v>395</v>
      </c>
      <c r="C1" s="3"/>
      <c r="D1" s="3"/>
      <c r="E1" s="3"/>
      <c r="F1" s="3"/>
      <c r="G1" s="3"/>
      <c r="H1" s="3"/>
      <c r="I1" s="3"/>
      <c r="J1" s="388" t="str">
        <f>+'Ref-1'!$B$45</f>
        <v>($M) 2013/14 dollars</v>
      </c>
      <c r="K1" s="3"/>
      <c r="L1" s="3"/>
    </row>
    <row r="2" spans="1:12">
      <c r="A2" s="3"/>
      <c r="B2" s="3" t="s">
        <v>391</v>
      </c>
      <c r="C2" s="3"/>
      <c r="D2" s="755"/>
      <c r="E2" s="755"/>
      <c r="F2" s="755"/>
      <c r="G2" s="755"/>
      <c r="H2" s="755"/>
      <c r="I2" s="755"/>
      <c r="J2" s="755"/>
      <c r="K2" s="3"/>
      <c r="L2" s="3"/>
    </row>
    <row r="3" spans="1:12" ht="13.5" thickBot="1">
      <c r="A3" s="3"/>
      <c r="B3" s="3"/>
      <c r="C3" s="3"/>
      <c r="D3" s="756" t="s">
        <v>85</v>
      </c>
      <c r="E3" s="754"/>
      <c r="F3" s="754"/>
      <c r="G3" s="754"/>
      <c r="H3" s="754"/>
      <c r="I3" s="754"/>
      <c r="J3" s="754"/>
      <c r="K3" s="3"/>
      <c r="L3" s="3"/>
    </row>
    <row r="4" spans="1:12" ht="13.5" thickBot="1">
      <c r="A4" s="253" t="s">
        <v>276</v>
      </c>
      <c r="B4" s="253" t="s">
        <v>265</v>
      </c>
      <c r="C4" s="436"/>
      <c r="D4" s="246" t="str">
        <f>+'Ref-1'!O39</f>
        <v>2013/14</v>
      </c>
      <c r="E4" s="246" t="str">
        <f>+'Ref-1'!P39</f>
        <v>2014/15</v>
      </c>
      <c r="F4" s="246" t="str">
        <f>+'Ref-1'!Q39</f>
        <v>2015/16</v>
      </c>
      <c r="G4" s="246" t="str">
        <f>+'Ref-1'!R39</f>
        <v>2016/17</v>
      </c>
      <c r="H4" s="246" t="str">
        <f>+'Ref-1'!S39</f>
        <v>2017/18</v>
      </c>
      <c r="I4" s="246" t="str">
        <f>+'Ref-1'!T39</f>
        <v>2018/19</v>
      </c>
      <c r="J4" s="246" t="str">
        <f>+'Ref-1'!U39</f>
        <v>2019/20</v>
      </c>
      <c r="K4" s="444" t="s">
        <v>392</v>
      </c>
      <c r="L4" s="444"/>
    </row>
    <row r="5" spans="1:12" ht="18">
      <c r="A5" s="3"/>
      <c r="B5" s="252"/>
      <c r="C5" s="297" t="s">
        <v>95</v>
      </c>
      <c r="D5" s="302" t="str">
        <f t="array" ref="D5:J5">Array_ColOffset_Header2</f>
        <v>0</v>
      </c>
      <c r="E5" s="448" t="str">
        <v>1</v>
      </c>
      <c r="F5" s="448" t="str">
        <v>2</v>
      </c>
      <c r="G5" s="448" t="str">
        <v>3</v>
      </c>
      <c r="H5" s="448" t="str">
        <v>4</v>
      </c>
      <c r="I5" s="448" t="str">
        <v>5</v>
      </c>
      <c r="J5" s="448" t="str">
        <v>6</v>
      </c>
      <c r="K5" s="245"/>
      <c r="L5" s="245"/>
    </row>
    <row r="6" spans="1:12" ht="18">
      <c r="A6" s="3"/>
      <c r="B6" s="252"/>
      <c r="C6" s="297"/>
      <c r="D6" s="627"/>
      <c r="E6" s="448"/>
      <c r="F6" s="448"/>
      <c r="G6" s="448"/>
      <c r="H6" s="448"/>
      <c r="I6" s="448"/>
      <c r="J6" s="448"/>
      <c r="K6" s="245"/>
      <c r="L6" s="245"/>
    </row>
    <row r="7" spans="1:12">
      <c r="A7" s="339">
        <v>1</v>
      </c>
      <c r="B7" s="252" t="str">
        <f ca="1">OFFSET(List_DAOpexStart,A7,0)</f>
        <v>DA-1</v>
      </c>
      <c r="C7" s="340" t="str">
        <f ca="1">VLOOKUP(B7,List_DirectlyAttributedServices,2,FALSE)</f>
        <v>Distribution Licence Fee</v>
      </c>
      <c r="D7" s="361"/>
      <c r="E7" s="361"/>
      <c r="F7" s="361"/>
      <c r="G7" s="361"/>
      <c r="H7" s="361"/>
      <c r="I7" s="361"/>
      <c r="J7" s="361"/>
      <c r="K7" s="446"/>
      <c r="L7" s="447"/>
    </row>
    <row r="8" spans="1:12">
      <c r="A8" s="339"/>
      <c r="B8" s="252"/>
      <c r="C8" s="341" t="s">
        <v>68</v>
      </c>
      <c r="D8" s="771"/>
      <c r="E8" s="771">
        <v>0</v>
      </c>
      <c r="F8" s="771">
        <v>0</v>
      </c>
      <c r="G8" s="771">
        <v>0</v>
      </c>
      <c r="H8" s="771">
        <v>0</v>
      </c>
      <c r="I8" s="771">
        <v>0</v>
      </c>
      <c r="J8" s="771">
        <v>0</v>
      </c>
    </row>
    <row r="9" spans="1:12">
      <c r="A9" s="339"/>
      <c r="B9" s="252"/>
      <c r="C9" s="341" t="s">
        <v>69</v>
      </c>
      <c r="D9" s="771"/>
      <c r="E9" s="771">
        <v>0</v>
      </c>
      <c r="F9" s="771">
        <v>0</v>
      </c>
      <c r="G9" s="771">
        <v>0</v>
      </c>
      <c r="H9" s="771">
        <v>0</v>
      </c>
      <c r="I9" s="771">
        <v>0</v>
      </c>
      <c r="J9" s="771">
        <v>0</v>
      </c>
    </row>
    <row r="10" spans="1:12" s="759" customFormat="1">
      <c r="A10" s="339"/>
      <c r="B10" s="252"/>
      <c r="C10" s="341" t="s">
        <v>646</v>
      </c>
      <c r="D10" s="771"/>
      <c r="E10" s="771">
        <v>0</v>
      </c>
      <c r="F10" s="771">
        <v>0</v>
      </c>
      <c r="G10" s="771">
        <v>0</v>
      </c>
      <c r="H10" s="771">
        <v>0</v>
      </c>
      <c r="I10" s="771">
        <v>0</v>
      </c>
      <c r="J10" s="771">
        <v>0</v>
      </c>
    </row>
    <row r="11" spans="1:12">
      <c r="A11" s="339"/>
      <c r="B11" s="252"/>
      <c r="C11" s="341" t="s">
        <v>647</v>
      </c>
      <c r="D11" s="263"/>
      <c r="E11" s="263">
        <v>0</v>
      </c>
      <c r="F11" s="263">
        <v>0</v>
      </c>
      <c r="G11" s="263">
        <v>0</v>
      </c>
      <c r="H11" s="263">
        <v>0</v>
      </c>
      <c r="I11" s="263">
        <v>0</v>
      </c>
      <c r="J11" s="263">
        <v>0</v>
      </c>
    </row>
    <row r="12" spans="1:12" s="759" customFormat="1">
      <c r="A12" s="339"/>
      <c r="B12" s="252"/>
      <c r="C12" s="341" t="s">
        <v>575</v>
      </c>
      <c r="D12" s="263"/>
      <c r="E12" s="263">
        <v>0</v>
      </c>
      <c r="F12" s="263">
        <v>0</v>
      </c>
      <c r="G12" s="263">
        <v>0</v>
      </c>
      <c r="H12" s="263">
        <v>0</v>
      </c>
      <c r="I12" s="263">
        <v>0</v>
      </c>
      <c r="J12" s="263">
        <v>0</v>
      </c>
    </row>
    <row r="13" spans="1:12">
      <c r="A13" s="339"/>
      <c r="B13" s="252"/>
      <c r="C13" s="341" t="s">
        <v>70</v>
      </c>
      <c r="D13" s="263"/>
      <c r="E13" s="867">
        <v>3.3239999999999998</v>
      </c>
      <c r="F13" s="867">
        <v>3.3239999999999998</v>
      </c>
      <c r="G13" s="867">
        <v>3.3239999999999998</v>
      </c>
      <c r="H13" s="867">
        <v>3.3239999999999998</v>
      </c>
      <c r="I13" s="867">
        <v>3.3239999999999998</v>
      </c>
      <c r="J13" s="867">
        <v>3.3239999999999998</v>
      </c>
    </row>
    <row r="14" spans="1:12">
      <c r="A14" s="339"/>
      <c r="B14" s="252"/>
      <c r="C14" s="342" t="s">
        <v>75</v>
      </c>
      <c r="D14" s="357">
        <f t="shared" ref="D14:J14" si="0">SUBTOTAL(9,D8:D13)</f>
        <v>0</v>
      </c>
      <c r="E14" s="357">
        <f t="shared" si="0"/>
        <v>3.3239999999999998</v>
      </c>
      <c r="F14" s="357">
        <f t="shared" si="0"/>
        <v>3.3239999999999998</v>
      </c>
      <c r="G14" s="357">
        <f t="shared" si="0"/>
        <v>3.3239999999999998</v>
      </c>
      <c r="H14" s="357">
        <f t="shared" si="0"/>
        <v>3.3239999999999998</v>
      </c>
      <c r="I14" s="357">
        <f t="shared" si="0"/>
        <v>3.3239999999999998</v>
      </c>
      <c r="J14" s="357">
        <f t="shared" si="0"/>
        <v>3.3239999999999998</v>
      </c>
    </row>
    <row r="15" spans="1:12">
      <c r="A15" s="339"/>
      <c r="B15" s="252"/>
      <c r="C15" s="342"/>
      <c r="D15" s="329"/>
      <c r="E15" s="329"/>
      <c r="F15" s="329"/>
      <c r="G15" s="329"/>
      <c r="H15" s="329"/>
      <c r="I15" s="329"/>
      <c r="J15" s="329"/>
    </row>
    <row r="16" spans="1:12">
      <c r="A16" s="339">
        <f>+A7+1</f>
        <v>2</v>
      </c>
      <c r="B16" s="252" t="str">
        <f ca="1">OFFSET(List_DAOpexStart,A16,0)</f>
        <v>DA-2</v>
      </c>
      <c r="C16" s="340" t="str">
        <f ca="1">VLOOKUP(B16,List_DirectlyAttributedServices,2,FALSE)</f>
        <v>Network Access, Monitoring and Control</v>
      </c>
      <c r="D16" s="329"/>
      <c r="E16" s="329"/>
      <c r="F16" s="329"/>
      <c r="G16" s="329"/>
      <c r="H16" s="329"/>
      <c r="I16" s="329"/>
      <c r="J16" s="329"/>
    </row>
    <row r="17" spans="1:10">
      <c r="A17" s="339"/>
      <c r="B17" s="252"/>
      <c r="C17" s="341" t="s">
        <v>68</v>
      </c>
      <c r="D17" s="771"/>
      <c r="E17" s="771">
        <v>7.9273640371501743</v>
      </c>
      <c r="F17" s="771">
        <v>7.9273640371501743</v>
      </c>
      <c r="G17" s="771">
        <v>7.9273640371501743</v>
      </c>
      <c r="H17" s="771">
        <v>7.9273640371501743</v>
      </c>
      <c r="I17" s="771">
        <v>7.9273640371501743</v>
      </c>
      <c r="J17" s="771">
        <v>7.9273640371501743</v>
      </c>
    </row>
    <row r="18" spans="1:10">
      <c r="A18" s="339"/>
      <c r="B18" s="252"/>
      <c r="C18" s="341" t="s">
        <v>69</v>
      </c>
      <c r="D18" s="771"/>
      <c r="E18" s="771">
        <v>-3.2452065224647268E-2</v>
      </c>
      <c r="F18" s="771">
        <v>-3.2452065224647268E-2</v>
      </c>
      <c r="G18" s="771">
        <v>-3.2452065224647268E-2</v>
      </c>
      <c r="H18" s="771">
        <v>-3.2452065224647268E-2</v>
      </c>
      <c r="I18" s="771">
        <v>-3.2452065224647268E-2</v>
      </c>
      <c r="J18" s="771">
        <v>-3.2452065224647268E-2</v>
      </c>
    </row>
    <row r="19" spans="1:10" s="759" customFormat="1">
      <c r="A19" s="339"/>
      <c r="B19" s="252"/>
      <c r="C19" s="341" t="s">
        <v>646</v>
      </c>
      <c r="D19" s="771"/>
      <c r="E19" s="771">
        <v>-1.4202113196987609E-2</v>
      </c>
      <c r="F19" s="771">
        <v>-1.4202113196987609E-2</v>
      </c>
      <c r="G19" s="771">
        <v>-1.4202113196987609E-2</v>
      </c>
      <c r="H19" s="771">
        <v>-1.4202113196987609E-2</v>
      </c>
      <c r="I19" s="771">
        <v>-1.4202113196987609E-2</v>
      </c>
      <c r="J19" s="771">
        <v>-1.4202113196987609E-2</v>
      </c>
    </row>
    <row r="20" spans="1:10">
      <c r="A20" s="339"/>
      <c r="B20" s="252"/>
      <c r="C20" s="341" t="s">
        <v>647</v>
      </c>
      <c r="D20" s="263"/>
      <c r="E20" s="263">
        <v>0.74529014127146032</v>
      </c>
      <c r="F20" s="263">
        <v>0.74529014127146032</v>
      </c>
      <c r="G20" s="263">
        <v>0.74529014127146032</v>
      </c>
      <c r="H20" s="263">
        <v>0.74529014127146032</v>
      </c>
      <c r="I20" s="263">
        <v>0.74529014127146032</v>
      </c>
      <c r="J20" s="263">
        <v>0.74529014127146032</v>
      </c>
    </row>
    <row r="21" spans="1:10" s="759" customFormat="1">
      <c r="A21" s="339"/>
      <c r="B21" s="252"/>
      <c r="C21" s="341" t="s">
        <v>575</v>
      </c>
      <c r="D21" s="263"/>
      <c r="E21" s="263">
        <v>0.57899999999999996</v>
      </c>
      <c r="F21" s="263">
        <v>0.57899999999999996</v>
      </c>
      <c r="G21" s="263">
        <v>0.57899999999999996</v>
      </c>
      <c r="H21" s="263">
        <v>0.57899999999999996</v>
      </c>
      <c r="I21" s="263">
        <v>0.57899999999999996</v>
      </c>
      <c r="J21" s="263">
        <v>0.57899999999999996</v>
      </c>
    </row>
    <row r="22" spans="1:10">
      <c r="A22" s="339"/>
      <c r="B22" s="252"/>
      <c r="C22" s="341" t="s">
        <v>70</v>
      </c>
      <c r="D22" s="263"/>
      <c r="E22" s="263">
        <v>0</v>
      </c>
      <c r="F22" s="263">
        <v>0</v>
      </c>
      <c r="G22" s="263">
        <v>0</v>
      </c>
      <c r="H22" s="263">
        <v>0</v>
      </c>
      <c r="I22" s="263">
        <v>0</v>
      </c>
      <c r="J22" s="263">
        <v>0</v>
      </c>
    </row>
    <row r="23" spans="1:10">
      <c r="A23" s="339"/>
      <c r="B23" s="252"/>
      <c r="C23" s="342" t="s">
        <v>75</v>
      </c>
      <c r="D23" s="357">
        <f t="shared" ref="D23:J23" si="1">SUBTOTAL(9,D17:D22)</f>
        <v>0</v>
      </c>
      <c r="E23" s="357">
        <f t="shared" si="1"/>
        <v>9.2050000000000001</v>
      </c>
      <c r="F23" s="357">
        <f t="shared" si="1"/>
        <v>9.2050000000000001</v>
      </c>
      <c r="G23" s="357">
        <f t="shared" si="1"/>
        <v>9.2050000000000001</v>
      </c>
      <c r="H23" s="357">
        <f t="shared" si="1"/>
        <v>9.2050000000000001</v>
      </c>
      <c r="I23" s="357">
        <f t="shared" si="1"/>
        <v>9.2050000000000001</v>
      </c>
      <c r="J23" s="357">
        <f t="shared" si="1"/>
        <v>9.2050000000000001</v>
      </c>
    </row>
    <row r="24" spans="1:10">
      <c r="A24" s="339"/>
      <c r="B24" s="252"/>
      <c r="C24" s="342"/>
      <c r="D24" s="329"/>
      <c r="E24" s="329"/>
      <c r="F24" s="329"/>
      <c r="G24" s="329"/>
      <c r="H24" s="329"/>
      <c r="I24" s="329"/>
      <c r="J24" s="329"/>
    </row>
    <row r="25" spans="1:10">
      <c r="A25" s="339">
        <f>+A16+1</f>
        <v>3</v>
      </c>
      <c r="B25" s="252" t="str">
        <f ca="1">OFFSET(List_DAOpexStart,A25,0)</f>
        <v>DA-3</v>
      </c>
      <c r="C25" s="340" t="str">
        <f ca="1">VLOOKUP(B25,List_DirectlyAttributedServices,2,FALSE)</f>
        <v>Customer Service</v>
      </c>
      <c r="D25" s="329"/>
      <c r="E25" s="329"/>
      <c r="F25" s="329"/>
      <c r="G25" s="329"/>
      <c r="H25" s="329"/>
      <c r="I25" s="329"/>
      <c r="J25" s="329"/>
    </row>
    <row r="26" spans="1:10">
      <c r="A26" s="339"/>
      <c r="B26" s="252"/>
      <c r="C26" s="341" t="s">
        <v>68</v>
      </c>
      <c r="D26" s="771"/>
      <c r="E26" s="771">
        <v>2.6310000000000002</v>
      </c>
      <c r="F26" s="771">
        <v>2.6310000000000002</v>
      </c>
      <c r="G26" s="771">
        <v>2.6310000000000002</v>
      </c>
      <c r="H26" s="771">
        <v>2.6310000000000002</v>
      </c>
      <c r="I26" s="771">
        <v>2.6310000000000002</v>
      </c>
      <c r="J26" s="771">
        <v>2.6310000000000002</v>
      </c>
    </row>
    <row r="27" spans="1:10">
      <c r="A27" s="339"/>
      <c r="B27" s="252"/>
      <c r="C27" s="341" t="s">
        <v>69</v>
      </c>
      <c r="D27" s="771"/>
      <c r="E27" s="771">
        <v>-3.4000000000000002E-2</v>
      </c>
      <c r="F27" s="771">
        <v>-3.4000000000000002E-2</v>
      </c>
      <c r="G27" s="771">
        <v>-3.4000000000000002E-2</v>
      </c>
      <c r="H27" s="771">
        <v>-3.4000000000000002E-2</v>
      </c>
      <c r="I27" s="771">
        <v>-3.4000000000000002E-2</v>
      </c>
      <c r="J27" s="771">
        <v>-3.4000000000000002E-2</v>
      </c>
    </row>
    <row r="28" spans="1:10" s="759" customFormat="1">
      <c r="A28" s="339"/>
      <c r="B28" s="252"/>
      <c r="C28" s="341" t="s">
        <v>646</v>
      </c>
      <c r="D28" s="771"/>
      <c r="E28" s="771">
        <v>0</v>
      </c>
      <c r="F28" s="771">
        <v>0</v>
      </c>
      <c r="G28" s="771">
        <v>0</v>
      </c>
      <c r="H28" s="771">
        <v>0</v>
      </c>
      <c r="I28" s="771">
        <v>0</v>
      </c>
      <c r="J28" s="771">
        <v>0</v>
      </c>
    </row>
    <row r="29" spans="1:10">
      <c r="A29" s="339"/>
      <c r="B29" s="252"/>
      <c r="C29" s="341" t="s">
        <v>647</v>
      </c>
      <c r="D29" s="263"/>
      <c r="E29" s="263">
        <v>6.4000000000000001E-2</v>
      </c>
      <c r="F29" s="263">
        <v>6.4000000000000001E-2</v>
      </c>
      <c r="G29" s="263">
        <v>6.4000000000000001E-2</v>
      </c>
      <c r="H29" s="263">
        <v>6.4000000000000001E-2</v>
      </c>
      <c r="I29" s="263">
        <v>6.4000000000000001E-2</v>
      </c>
      <c r="J29" s="263">
        <v>6.4000000000000001E-2</v>
      </c>
    </row>
    <row r="30" spans="1:10" s="759" customFormat="1">
      <c r="A30" s="339"/>
      <c r="B30" s="252"/>
      <c r="C30" s="341" t="s">
        <v>575</v>
      </c>
      <c r="D30" s="263"/>
      <c r="E30" s="263">
        <v>0.26</v>
      </c>
      <c r="F30" s="263">
        <v>0.26</v>
      </c>
      <c r="G30" s="263">
        <v>0.26</v>
      </c>
      <c r="H30" s="263">
        <v>0.26</v>
      </c>
      <c r="I30" s="263">
        <v>0.26</v>
      </c>
      <c r="J30" s="263">
        <v>0.26</v>
      </c>
    </row>
    <row r="31" spans="1:10">
      <c r="A31" s="339"/>
      <c r="B31" s="252"/>
      <c r="C31" s="341" t="s">
        <v>70</v>
      </c>
      <c r="D31" s="263"/>
      <c r="E31" s="263">
        <v>0</v>
      </c>
      <c r="F31" s="263">
        <v>0</v>
      </c>
      <c r="G31" s="263">
        <v>0</v>
      </c>
      <c r="H31" s="263">
        <v>0</v>
      </c>
      <c r="I31" s="263">
        <v>0</v>
      </c>
      <c r="J31" s="263">
        <v>0</v>
      </c>
    </row>
    <row r="32" spans="1:10">
      <c r="A32" s="339"/>
      <c r="B32" s="252"/>
      <c r="C32" s="342" t="s">
        <v>75</v>
      </c>
      <c r="D32" s="357">
        <f t="shared" ref="D32:J32" si="2">SUBTOTAL(9,D26:D31)</f>
        <v>0</v>
      </c>
      <c r="E32" s="357">
        <f t="shared" si="2"/>
        <v>2.9210000000000003</v>
      </c>
      <c r="F32" s="357">
        <f t="shared" si="2"/>
        <v>2.9210000000000003</v>
      </c>
      <c r="G32" s="357">
        <f t="shared" si="2"/>
        <v>2.9210000000000003</v>
      </c>
      <c r="H32" s="357">
        <f t="shared" si="2"/>
        <v>2.9210000000000003</v>
      </c>
      <c r="I32" s="357">
        <f t="shared" si="2"/>
        <v>2.9210000000000003</v>
      </c>
      <c r="J32" s="357">
        <f t="shared" si="2"/>
        <v>2.9210000000000003</v>
      </c>
    </row>
    <row r="33" spans="1:10">
      <c r="A33" s="339"/>
      <c r="B33" s="252"/>
      <c r="C33" s="342"/>
      <c r="D33" s="329"/>
      <c r="E33" s="329"/>
      <c r="F33" s="329"/>
      <c r="G33" s="329"/>
      <c r="H33" s="329"/>
      <c r="I33" s="329"/>
      <c r="J33" s="329"/>
    </row>
    <row r="34" spans="1:10">
      <c r="A34" s="339">
        <f>+A25+1</f>
        <v>4</v>
      </c>
      <c r="B34" s="252" t="str">
        <f ca="1">OFFSET(List_DAOpexStart,A34,0)</f>
        <v>DA-4</v>
      </c>
      <c r="C34" s="340" t="str">
        <f ca="1">VLOOKUP(B34,List_DirectlyAttributedServices,2,FALSE)</f>
        <v>Standards Development and Maintenance</v>
      </c>
      <c r="D34" s="329"/>
      <c r="E34" s="329"/>
      <c r="F34" s="329"/>
      <c r="G34" s="329"/>
      <c r="H34" s="329"/>
      <c r="I34" s="329"/>
      <c r="J34" s="329"/>
    </row>
    <row r="35" spans="1:10">
      <c r="A35" s="339"/>
      <c r="B35" s="252"/>
      <c r="C35" s="341" t="s">
        <v>68</v>
      </c>
      <c r="D35" s="771"/>
      <c r="E35" s="771">
        <v>0.64500000000000002</v>
      </c>
      <c r="F35" s="771">
        <v>0.64500000000000002</v>
      </c>
      <c r="G35" s="771">
        <v>0.64500000000000002</v>
      </c>
      <c r="H35" s="771">
        <v>0.64500000000000002</v>
      </c>
      <c r="I35" s="771">
        <v>0.64500000000000002</v>
      </c>
      <c r="J35" s="771">
        <v>0.64500000000000002</v>
      </c>
    </row>
    <row r="36" spans="1:10">
      <c r="A36" s="339"/>
      <c r="B36" s="252"/>
      <c r="C36" s="341" t="s">
        <v>69</v>
      </c>
      <c r="D36" s="771"/>
      <c r="E36" s="771">
        <v>1.7999999999999999E-2</v>
      </c>
      <c r="F36" s="771">
        <v>1.7999999999999999E-2</v>
      </c>
      <c r="G36" s="771">
        <v>1.7999999999999999E-2</v>
      </c>
      <c r="H36" s="771">
        <v>1.7999999999999999E-2</v>
      </c>
      <c r="I36" s="771">
        <v>1.7999999999999999E-2</v>
      </c>
      <c r="J36" s="771">
        <v>1.7999999999999999E-2</v>
      </c>
    </row>
    <row r="37" spans="1:10" s="759" customFormat="1">
      <c r="A37" s="339"/>
      <c r="B37" s="252"/>
      <c r="C37" s="341" t="s">
        <v>646</v>
      </c>
      <c r="D37" s="771"/>
      <c r="E37" s="771">
        <v>0</v>
      </c>
      <c r="F37" s="771">
        <v>0</v>
      </c>
      <c r="G37" s="771">
        <v>0</v>
      </c>
      <c r="H37" s="771">
        <v>0</v>
      </c>
      <c r="I37" s="771">
        <v>0</v>
      </c>
      <c r="J37" s="771">
        <v>0</v>
      </c>
    </row>
    <row r="38" spans="1:10">
      <c r="A38" s="339"/>
      <c r="B38" s="252"/>
      <c r="C38" s="341" t="s">
        <v>647</v>
      </c>
      <c r="D38" s="263"/>
      <c r="E38" s="263">
        <v>3.1E-2</v>
      </c>
      <c r="F38" s="263">
        <v>3.1E-2</v>
      </c>
      <c r="G38" s="263">
        <v>3.1E-2</v>
      </c>
      <c r="H38" s="263">
        <v>3.1E-2</v>
      </c>
      <c r="I38" s="263">
        <v>3.1E-2</v>
      </c>
      <c r="J38" s="263">
        <v>3.1E-2</v>
      </c>
    </row>
    <row r="39" spans="1:10" s="759" customFormat="1">
      <c r="A39" s="339"/>
      <c r="B39" s="252"/>
      <c r="C39" s="341" t="s">
        <v>575</v>
      </c>
      <c r="D39" s="263"/>
      <c r="E39" s="263">
        <v>6.5000000000000002E-2</v>
      </c>
      <c r="F39" s="263">
        <v>6.5000000000000002E-2</v>
      </c>
      <c r="G39" s="263">
        <v>6.5000000000000002E-2</v>
      </c>
      <c r="H39" s="263">
        <v>6.5000000000000002E-2</v>
      </c>
      <c r="I39" s="263">
        <v>6.5000000000000002E-2</v>
      </c>
      <c r="J39" s="263">
        <v>6.5000000000000002E-2</v>
      </c>
    </row>
    <row r="40" spans="1:10">
      <c r="A40" s="339"/>
      <c r="B40" s="252"/>
      <c r="C40" s="341" t="s">
        <v>70</v>
      </c>
      <c r="D40" s="263"/>
      <c r="E40" s="263">
        <v>0</v>
      </c>
      <c r="F40" s="263">
        <v>0</v>
      </c>
      <c r="G40" s="263">
        <v>0</v>
      </c>
      <c r="H40" s="263">
        <v>0</v>
      </c>
      <c r="I40" s="263">
        <v>0</v>
      </c>
      <c r="J40" s="263">
        <v>0</v>
      </c>
    </row>
    <row r="41" spans="1:10">
      <c r="A41" s="339"/>
      <c r="B41" s="252"/>
      <c r="C41" s="342" t="s">
        <v>75</v>
      </c>
      <c r="D41" s="357">
        <f t="shared" ref="D41:J41" si="3">SUBTOTAL(9,D35:D40)</f>
        <v>0</v>
      </c>
      <c r="E41" s="357">
        <f t="shared" si="3"/>
        <v>0.75900000000000012</v>
      </c>
      <c r="F41" s="357">
        <f t="shared" si="3"/>
        <v>0.75900000000000012</v>
      </c>
      <c r="G41" s="357">
        <f t="shared" si="3"/>
        <v>0.75900000000000012</v>
      </c>
      <c r="H41" s="357">
        <f t="shared" si="3"/>
        <v>0.75900000000000012</v>
      </c>
      <c r="I41" s="357">
        <f t="shared" si="3"/>
        <v>0.75900000000000012</v>
      </c>
      <c r="J41" s="357">
        <f t="shared" si="3"/>
        <v>0.75900000000000012</v>
      </c>
    </row>
    <row r="42" spans="1:10">
      <c r="A42" s="339"/>
      <c r="B42" s="252"/>
      <c r="C42" s="342"/>
      <c r="D42" s="329"/>
      <c r="E42" s="329"/>
      <c r="F42" s="329"/>
      <c r="G42" s="329"/>
      <c r="H42" s="329"/>
      <c r="I42" s="329"/>
      <c r="J42" s="329"/>
    </row>
    <row r="43" spans="1:10">
      <c r="A43" s="339">
        <f>+A34+1</f>
        <v>5</v>
      </c>
      <c r="B43" s="252" t="str">
        <f ca="1">OFFSET(List_DAOpexStart,A43,0)</f>
        <v>DA-5</v>
      </c>
      <c r="C43" s="340" t="str">
        <f ca="1">VLOOKUP(B43,List_DirectlyAttributedServices,2,FALSE)</f>
        <v>Strategic Asset Management</v>
      </c>
      <c r="D43" s="329"/>
      <c r="E43" s="329"/>
      <c r="F43" s="329"/>
      <c r="G43" s="329"/>
      <c r="H43" s="329"/>
      <c r="I43" s="329"/>
      <c r="J43" s="329"/>
    </row>
    <row r="44" spans="1:10">
      <c r="A44" s="339"/>
      <c r="B44" s="252"/>
      <c r="C44" s="341" t="s">
        <v>68</v>
      </c>
      <c r="D44" s="771"/>
      <c r="E44" s="771">
        <v>1.1779999999999999</v>
      </c>
      <c r="F44" s="771">
        <v>1.1779999999999999</v>
      </c>
      <c r="G44" s="771">
        <v>1.1779999999999999</v>
      </c>
      <c r="H44" s="771">
        <v>1.1779999999999999</v>
      </c>
      <c r="I44" s="771">
        <v>1.1779999999999999</v>
      </c>
      <c r="J44" s="771">
        <v>1.1779999999999999</v>
      </c>
    </row>
    <row r="45" spans="1:10">
      <c r="A45" s="339"/>
      <c r="B45" s="252"/>
      <c r="C45" s="341" t="s">
        <v>69</v>
      </c>
      <c r="D45" s="771"/>
      <c r="E45" s="771">
        <v>1E-3</v>
      </c>
      <c r="F45" s="771">
        <v>1E-3</v>
      </c>
      <c r="G45" s="771">
        <v>1E-3</v>
      </c>
      <c r="H45" s="771">
        <v>1E-3</v>
      </c>
      <c r="I45" s="771">
        <v>1E-3</v>
      </c>
      <c r="J45" s="771">
        <v>1E-3</v>
      </c>
    </row>
    <row r="46" spans="1:10" s="759" customFormat="1">
      <c r="A46" s="339"/>
      <c r="B46" s="252"/>
      <c r="C46" s="341" t="s">
        <v>646</v>
      </c>
      <c r="D46" s="771"/>
      <c r="E46" s="771">
        <v>0.27400000000000002</v>
      </c>
      <c r="F46" s="771">
        <v>0.27400000000000002</v>
      </c>
      <c r="G46" s="771">
        <v>0.27400000000000002</v>
      </c>
      <c r="H46" s="771">
        <v>0.27400000000000002</v>
      </c>
      <c r="I46" s="771">
        <v>0.27400000000000002</v>
      </c>
      <c r="J46" s="771">
        <v>0.27400000000000002</v>
      </c>
    </row>
    <row r="47" spans="1:10">
      <c r="A47" s="339"/>
      <c r="B47" s="252"/>
      <c r="C47" s="341" t="s">
        <v>647</v>
      </c>
      <c r="D47" s="263"/>
      <c r="E47" s="263">
        <v>0.24299999999999999</v>
      </c>
      <c r="F47" s="263">
        <v>0.24299999999999999</v>
      </c>
      <c r="G47" s="263">
        <v>0.24299999999999999</v>
      </c>
      <c r="H47" s="263">
        <v>0.24299999999999999</v>
      </c>
      <c r="I47" s="263">
        <v>0.24299999999999999</v>
      </c>
      <c r="J47" s="263">
        <v>0.24299999999999999</v>
      </c>
    </row>
    <row r="48" spans="1:10" s="759" customFormat="1">
      <c r="A48" s="339"/>
      <c r="B48" s="252"/>
      <c r="C48" s="341" t="s">
        <v>575</v>
      </c>
      <c r="D48" s="263"/>
      <c r="E48" s="263">
        <v>0.17100000000000001</v>
      </c>
      <c r="F48" s="263">
        <v>0.17100000000000001</v>
      </c>
      <c r="G48" s="263">
        <v>0.17100000000000001</v>
      </c>
      <c r="H48" s="263">
        <v>0.17100000000000001</v>
      </c>
      <c r="I48" s="263">
        <v>0.17100000000000001</v>
      </c>
      <c r="J48" s="263">
        <v>0.17100000000000001</v>
      </c>
    </row>
    <row r="49" spans="1:10">
      <c r="A49" s="339"/>
      <c r="B49" s="252"/>
      <c r="C49" s="341" t="s">
        <v>70</v>
      </c>
      <c r="D49" s="263"/>
      <c r="E49" s="263">
        <v>0</v>
      </c>
      <c r="F49" s="263">
        <v>0</v>
      </c>
      <c r="G49" s="263">
        <v>0</v>
      </c>
      <c r="H49" s="263">
        <v>0</v>
      </c>
      <c r="I49" s="263">
        <v>0</v>
      </c>
      <c r="J49" s="263">
        <v>0</v>
      </c>
    </row>
    <row r="50" spans="1:10">
      <c r="A50" s="339"/>
      <c r="B50" s="252"/>
      <c r="C50" s="342" t="s">
        <v>75</v>
      </c>
      <c r="D50" s="357">
        <f t="shared" ref="D50:J50" si="4">SUBTOTAL(9,D44:D49)</f>
        <v>0</v>
      </c>
      <c r="E50" s="357">
        <f t="shared" si="4"/>
        <v>1.8669999999999998</v>
      </c>
      <c r="F50" s="357">
        <f t="shared" si="4"/>
        <v>1.8669999999999998</v>
      </c>
      <c r="G50" s="357">
        <f t="shared" si="4"/>
        <v>1.8669999999999998</v>
      </c>
      <c r="H50" s="357">
        <f t="shared" si="4"/>
        <v>1.8669999999999998</v>
      </c>
      <c r="I50" s="357">
        <f t="shared" si="4"/>
        <v>1.8669999999999998</v>
      </c>
      <c r="J50" s="357">
        <f t="shared" si="4"/>
        <v>1.8669999999999998</v>
      </c>
    </row>
    <row r="51" spans="1:10">
      <c r="A51" s="339"/>
      <c r="B51" s="252"/>
      <c r="C51" s="342"/>
      <c r="D51" s="329"/>
      <c r="E51" s="329"/>
      <c r="F51" s="329"/>
      <c r="G51" s="329"/>
      <c r="H51" s="329"/>
      <c r="I51" s="329"/>
      <c r="J51" s="329"/>
    </row>
    <row r="52" spans="1:10" ht="14.25" customHeight="1">
      <c r="A52" s="339">
        <f>+A43+1</f>
        <v>6</v>
      </c>
      <c r="B52" s="252" t="str">
        <f ca="1">OFFSET(List_DAOpexStart,A52,0)</f>
        <v>DA-6</v>
      </c>
      <c r="C52" s="340" t="str">
        <f ca="1">VLOOKUP(B52,List_DirectlyAttributedServices,2,FALSE)</f>
        <v>Operational Asset Management</v>
      </c>
      <c r="D52" s="329"/>
      <c r="E52" s="329"/>
      <c r="F52" s="329"/>
      <c r="G52" s="329"/>
      <c r="H52" s="329"/>
      <c r="I52" s="329"/>
      <c r="J52" s="329"/>
    </row>
    <row r="53" spans="1:10">
      <c r="A53" s="339"/>
      <c r="B53" s="252"/>
      <c r="C53" s="341" t="s">
        <v>68</v>
      </c>
      <c r="D53" s="771"/>
      <c r="E53" s="771">
        <v>0.184</v>
      </c>
      <c r="F53" s="771">
        <v>0.184</v>
      </c>
      <c r="G53" s="771">
        <v>0.184</v>
      </c>
      <c r="H53" s="771">
        <v>0.184</v>
      </c>
      <c r="I53" s="771">
        <v>0.184</v>
      </c>
      <c r="J53" s="771">
        <v>0.184</v>
      </c>
    </row>
    <row r="54" spans="1:10">
      <c r="A54" s="339"/>
      <c r="B54" s="252"/>
      <c r="C54" s="341" t="s">
        <v>69</v>
      </c>
      <c r="D54" s="771"/>
      <c r="E54" s="771">
        <v>0</v>
      </c>
      <c r="F54" s="771">
        <v>0</v>
      </c>
      <c r="G54" s="771">
        <v>0</v>
      </c>
      <c r="H54" s="771">
        <v>0</v>
      </c>
      <c r="I54" s="771">
        <v>0</v>
      </c>
      <c r="J54" s="771">
        <v>0</v>
      </c>
    </row>
    <row r="55" spans="1:10" s="759" customFormat="1">
      <c r="A55" s="339"/>
      <c r="B55" s="252"/>
      <c r="C55" s="341" t="s">
        <v>646</v>
      </c>
      <c r="D55" s="771"/>
      <c r="E55" s="771">
        <v>0</v>
      </c>
      <c r="F55" s="771">
        <v>0</v>
      </c>
      <c r="G55" s="771">
        <v>0</v>
      </c>
      <c r="H55" s="771">
        <v>0</v>
      </c>
      <c r="I55" s="771">
        <v>0</v>
      </c>
      <c r="J55" s="771">
        <v>0</v>
      </c>
    </row>
    <row r="56" spans="1:10">
      <c r="A56" s="339"/>
      <c r="B56" s="252"/>
      <c r="C56" s="341" t="s">
        <v>647</v>
      </c>
      <c r="D56" s="263"/>
      <c r="E56" s="263">
        <v>0</v>
      </c>
      <c r="F56" s="263">
        <v>0</v>
      </c>
      <c r="G56" s="263">
        <v>0</v>
      </c>
      <c r="H56" s="263">
        <v>0</v>
      </c>
      <c r="I56" s="263">
        <v>0</v>
      </c>
      <c r="J56" s="263">
        <v>0</v>
      </c>
    </row>
    <row r="57" spans="1:10" s="759" customFormat="1">
      <c r="A57" s="339"/>
      <c r="B57" s="252"/>
      <c r="C57" s="341" t="s">
        <v>575</v>
      </c>
      <c r="D57" s="263"/>
      <c r="E57" s="263">
        <v>1.6E-2</v>
      </c>
      <c r="F57" s="263">
        <v>1.6E-2</v>
      </c>
      <c r="G57" s="263">
        <v>1.6E-2</v>
      </c>
      <c r="H57" s="263">
        <v>1.6E-2</v>
      </c>
      <c r="I57" s="263">
        <v>1.6E-2</v>
      </c>
      <c r="J57" s="263">
        <v>1.6E-2</v>
      </c>
    </row>
    <row r="58" spans="1:10">
      <c r="A58" s="339"/>
      <c r="B58" s="252"/>
      <c r="C58" s="341" t="s">
        <v>70</v>
      </c>
      <c r="D58" s="263"/>
      <c r="E58" s="263">
        <v>0</v>
      </c>
      <c r="F58" s="263">
        <v>0</v>
      </c>
      <c r="G58" s="263">
        <v>0</v>
      </c>
      <c r="H58" s="263">
        <v>0</v>
      </c>
      <c r="I58" s="263">
        <v>0</v>
      </c>
      <c r="J58" s="263">
        <v>0</v>
      </c>
    </row>
    <row r="59" spans="1:10">
      <c r="A59" s="339"/>
      <c r="B59" s="252"/>
      <c r="C59" s="342" t="s">
        <v>75</v>
      </c>
      <c r="D59" s="357">
        <f t="shared" ref="D59:J59" si="5">SUBTOTAL(9,D53:D58)</f>
        <v>0</v>
      </c>
      <c r="E59" s="357">
        <f t="shared" si="5"/>
        <v>0.2</v>
      </c>
      <c r="F59" s="357">
        <f t="shared" si="5"/>
        <v>0.2</v>
      </c>
      <c r="G59" s="357">
        <f t="shared" si="5"/>
        <v>0.2</v>
      </c>
      <c r="H59" s="357">
        <f t="shared" si="5"/>
        <v>0.2</v>
      </c>
      <c r="I59" s="357">
        <f t="shared" si="5"/>
        <v>0.2</v>
      </c>
      <c r="J59" s="357">
        <f t="shared" si="5"/>
        <v>0.2</v>
      </c>
    </row>
    <row r="60" spans="1:10">
      <c r="A60" s="339"/>
      <c r="B60" s="252"/>
      <c r="C60" s="342"/>
      <c r="D60" s="329"/>
      <c r="E60" s="329"/>
      <c r="F60" s="329"/>
      <c r="G60" s="329"/>
      <c r="H60" s="329"/>
      <c r="I60" s="329"/>
      <c r="J60" s="329"/>
    </row>
    <row r="61" spans="1:10">
      <c r="A61" s="339">
        <f>+A52+1</f>
        <v>7</v>
      </c>
      <c r="B61" s="252" t="str">
        <f ca="1">OFFSET(List_DAOpexStart,A61,0)</f>
        <v>DA-7</v>
      </c>
      <c r="C61" s="340" t="str">
        <f ca="1">VLOOKUP(B61,List_DirectlyAttributedServices,2,FALSE)</f>
        <v>Maintenance of Asset Information</v>
      </c>
      <c r="D61" s="329"/>
      <c r="E61" s="329"/>
      <c r="F61" s="329"/>
      <c r="G61" s="329"/>
      <c r="H61" s="329"/>
      <c r="I61" s="329"/>
      <c r="J61" s="329"/>
    </row>
    <row r="62" spans="1:10">
      <c r="A62" s="339"/>
      <c r="B62" s="252"/>
      <c r="C62" s="341" t="s">
        <v>68</v>
      </c>
      <c r="D62" s="771"/>
      <c r="E62" s="771">
        <v>2.0640000000000001</v>
      </c>
      <c r="F62" s="771">
        <v>2.0640000000000001</v>
      </c>
      <c r="G62" s="771">
        <v>2.0640000000000001</v>
      </c>
      <c r="H62" s="771">
        <v>2.0640000000000001</v>
      </c>
      <c r="I62" s="771">
        <v>2.0640000000000001</v>
      </c>
      <c r="J62" s="771">
        <v>2.0640000000000001</v>
      </c>
    </row>
    <row r="63" spans="1:10">
      <c r="A63" s="339"/>
      <c r="B63" s="252"/>
      <c r="C63" s="341" t="s">
        <v>69</v>
      </c>
      <c r="D63" s="771"/>
      <c r="E63" s="771">
        <v>6.0000000000000001E-3</v>
      </c>
      <c r="F63" s="771">
        <v>6.0000000000000001E-3</v>
      </c>
      <c r="G63" s="771">
        <v>6.0000000000000001E-3</v>
      </c>
      <c r="H63" s="771">
        <v>6.0000000000000001E-3</v>
      </c>
      <c r="I63" s="771">
        <v>6.0000000000000001E-3</v>
      </c>
      <c r="J63" s="771">
        <v>6.0000000000000001E-3</v>
      </c>
    </row>
    <row r="64" spans="1:10" s="759" customFormat="1">
      <c r="A64" s="339"/>
      <c r="B64" s="252"/>
      <c r="C64" s="341" t="s">
        <v>646</v>
      </c>
      <c r="D64" s="771"/>
      <c r="E64" s="771">
        <v>0</v>
      </c>
      <c r="F64" s="771">
        <v>0</v>
      </c>
      <c r="G64" s="771">
        <v>0</v>
      </c>
      <c r="H64" s="771">
        <v>0</v>
      </c>
      <c r="I64" s="771">
        <v>0</v>
      </c>
      <c r="J64" s="771">
        <v>0</v>
      </c>
    </row>
    <row r="65" spans="1:11">
      <c r="A65" s="339"/>
      <c r="B65" s="252"/>
      <c r="C65" s="341" t="s">
        <v>647</v>
      </c>
      <c r="D65" s="263"/>
      <c r="E65" s="263">
        <v>0.13100000000000001</v>
      </c>
      <c r="F65" s="263">
        <v>0.13100000000000001</v>
      </c>
      <c r="G65" s="263">
        <v>0.13100000000000001</v>
      </c>
      <c r="H65" s="263">
        <v>0.13100000000000001</v>
      </c>
      <c r="I65" s="263">
        <v>0.13100000000000001</v>
      </c>
      <c r="J65" s="263">
        <v>0.13100000000000001</v>
      </c>
    </row>
    <row r="66" spans="1:11" s="759" customFormat="1">
      <c r="A66" s="339"/>
      <c r="B66" s="252"/>
      <c r="C66" s="341" t="s">
        <v>575</v>
      </c>
      <c r="D66" s="263"/>
      <c r="E66" s="263">
        <v>0.14399999999999999</v>
      </c>
      <c r="F66" s="263">
        <v>0.14399999999999999</v>
      </c>
      <c r="G66" s="263">
        <v>0.14399999999999999</v>
      </c>
      <c r="H66" s="263">
        <v>0.14399999999999999</v>
      </c>
      <c r="I66" s="263">
        <v>0.14399999999999999</v>
      </c>
      <c r="J66" s="263">
        <v>0.14399999999999999</v>
      </c>
    </row>
    <row r="67" spans="1:11">
      <c r="A67" s="339"/>
      <c r="B67" s="252"/>
      <c r="C67" s="341" t="s">
        <v>70</v>
      </c>
      <c r="D67" s="263"/>
      <c r="E67" s="263">
        <v>0</v>
      </c>
      <c r="F67" s="263">
        <v>0</v>
      </c>
      <c r="G67" s="263">
        <v>0</v>
      </c>
      <c r="H67" s="263">
        <v>0</v>
      </c>
      <c r="I67" s="263">
        <v>0</v>
      </c>
      <c r="J67" s="263">
        <v>0</v>
      </c>
    </row>
    <row r="68" spans="1:11">
      <c r="A68" s="339"/>
      <c r="B68" s="252"/>
      <c r="C68" s="342" t="s">
        <v>75</v>
      </c>
      <c r="D68" s="357">
        <f t="shared" ref="D68:J68" si="6">SUBTOTAL(9,D62:D67)</f>
        <v>0</v>
      </c>
      <c r="E68" s="357">
        <f t="shared" si="6"/>
        <v>2.3449999999999998</v>
      </c>
      <c r="F68" s="357">
        <f t="shared" si="6"/>
        <v>2.3449999999999998</v>
      </c>
      <c r="G68" s="357">
        <f t="shared" si="6"/>
        <v>2.3449999999999998</v>
      </c>
      <c r="H68" s="357">
        <f t="shared" si="6"/>
        <v>2.3449999999999998</v>
      </c>
      <c r="I68" s="357">
        <f t="shared" si="6"/>
        <v>2.3449999999999998</v>
      </c>
      <c r="J68" s="357">
        <f t="shared" si="6"/>
        <v>2.3449999999999998</v>
      </c>
    </row>
    <row r="69" spans="1:11">
      <c r="A69" s="339"/>
      <c r="B69" s="252"/>
      <c r="C69" s="342"/>
      <c r="D69" s="329"/>
      <c r="E69" s="329"/>
      <c r="F69" s="329"/>
      <c r="G69" s="329"/>
      <c r="H69" s="329"/>
      <c r="I69" s="329"/>
      <c r="J69" s="329"/>
    </row>
    <row r="70" spans="1:11">
      <c r="A70" s="339">
        <f>+A61+1</f>
        <v>8</v>
      </c>
      <c r="B70" s="252" t="str">
        <f ca="1">OFFSET(List_DAOpexStart,A70,0)</f>
        <v>DA-8</v>
      </c>
      <c r="C70" s="340" t="str">
        <f ca="1">VLOOKUP(B70,List_DirectlyAttributedServices,2,FALSE)</f>
        <v>Network Telephony</v>
      </c>
      <c r="D70" s="329"/>
      <c r="E70" s="329"/>
      <c r="F70" s="329"/>
      <c r="G70" s="329"/>
      <c r="H70" s="329"/>
      <c r="I70" s="329"/>
      <c r="J70" s="329"/>
    </row>
    <row r="71" spans="1:11">
      <c r="A71" s="339"/>
      <c r="B71" s="252"/>
      <c r="C71" s="341" t="s">
        <v>68</v>
      </c>
      <c r="D71" s="771"/>
      <c r="E71" s="771">
        <v>1.8640000000000003</v>
      </c>
      <c r="F71" s="771">
        <v>1.8640000000000003</v>
      </c>
      <c r="G71" s="771">
        <v>1.8640000000000003</v>
      </c>
      <c r="H71" s="771">
        <v>1.8640000000000003</v>
      </c>
      <c r="I71" s="771">
        <v>1.8640000000000003</v>
      </c>
      <c r="J71" s="771">
        <v>1.8640000000000003</v>
      </c>
    </row>
    <row r="72" spans="1:11">
      <c r="A72" s="339"/>
      <c r="B72" s="252"/>
      <c r="C72" s="341" t="s">
        <v>69</v>
      </c>
      <c r="D72" s="771"/>
      <c r="E72" s="771">
        <v>0.11199999999999999</v>
      </c>
      <c r="F72" s="771">
        <v>0.11199999999999999</v>
      </c>
      <c r="G72" s="771">
        <v>0.11199999999999999</v>
      </c>
      <c r="H72" s="771">
        <v>0.11199999999999999</v>
      </c>
      <c r="I72" s="771">
        <v>0.11199999999999999</v>
      </c>
      <c r="J72" s="771">
        <v>0.11199999999999999</v>
      </c>
    </row>
    <row r="73" spans="1:11" s="759" customFormat="1">
      <c r="A73" s="339"/>
      <c r="B73" s="252"/>
      <c r="C73" s="341" t="s">
        <v>646</v>
      </c>
      <c r="D73" s="771"/>
      <c r="E73" s="771">
        <v>3.375</v>
      </c>
      <c r="F73" s="771">
        <v>3.375</v>
      </c>
      <c r="G73" s="771">
        <v>3.375</v>
      </c>
      <c r="H73" s="771">
        <v>3.375</v>
      </c>
      <c r="I73" s="771">
        <v>3.375</v>
      </c>
      <c r="J73" s="771">
        <v>3.375</v>
      </c>
    </row>
    <row r="74" spans="1:11">
      <c r="A74" s="339"/>
      <c r="B74" s="252"/>
      <c r="C74" s="341" t="s">
        <v>647</v>
      </c>
      <c r="D74" s="263"/>
      <c r="E74" s="263">
        <v>0.36700000000000005</v>
      </c>
      <c r="F74" s="263">
        <v>0.36700000000000005</v>
      </c>
      <c r="G74" s="263">
        <v>0.36700000000000005</v>
      </c>
      <c r="H74" s="263">
        <v>0.36700000000000005</v>
      </c>
      <c r="I74" s="263">
        <v>0.36700000000000005</v>
      </c>
      <c r="J74" s="263">
        <v>0.36700000000000005</v>
      </c>
    </row>
    <row r="75" spans="1:11" s="759" customFormat="1">
      <c r="A75" s="339"/>
      <c r="B75" s="252"/>
      <c r="C75" s="341" t="s">
        <v>575</v>
      </c>
      <c r="D75" s="263"/>
      <c r="E75" s="263">
        <v>0.442</v>
      </c>
      <c r="F75" s="263">
        <v>0.442</v>
      </c>
      <c r="G75" s="263">
        <v>0.442</v>
      </c>
      <c r="H75" s="263">
        <v>0.442</v>
      </c>
      <c r="I75" s="263">
        <v>0.442</v>
      </c>
      <c r="J75" s="263">
        <v>0.442</v>
      </c>
    </row>
    <row r="76" spans="1:11">
      <c r="A76" s="339"/>
      <c r="B76" s="252"/>
      <c r="C76" s="341" t="s">
        <v>70</v>
      </c>
      <c r="D76" s="263"/>
      <c r="E76" s="263">
        <v>0</v>
      </c>
      <c r="F76" s="263">
        <v>0</v>
      </c>
      <c r="G76" s="263">
        <v>0</v>
      </c>
      <c r="H76" s="263">
        <v>0</v>
      </c>
      <c r="I76" s="263">
        <v>0</v>
      </c>
      <c r="J76" s="263">
        <v>0</v>
      </c>
    </row>
    <row r="77" spans="1:11">
      <c r="A77" s="339"/>
      <c r="B77" s="252"/>
      <c r="C77" s="342" t="s">
        <v>75</v>
      </c>
      <c r="D77" s="357">
        <f t="shared" ref="D77:J77" si="7">SUBTOTAL(9,D71:D76)</f>
        <v>0</v>
      </c>
      <c r="E77" s="357">
        <f t="shared" si="7"/>
        <v>6.160000000000001</v>
      </c>
      <c r="F77" s="357">
        <f t="shared" si="7"/>
        <v>6.160000000000001</v>
      </c>
      <c r="G77" s="357">
        <f t="shared" si="7"/>
        <v>6.160000000000001</v>
      </c>
      <c r="H77" s="357">
        <f t="shared" si="7"/>
        <v>6.160000000000001</v>
      </c>
      <c r="I77" s="357">
        <f t="shared" si="7"/>
        <v>6.160000000000001</v>
      </c>
      <c r="J77" s="357">
        <f t="shared" si="7"/>
        <v>6.160000000000001</v>
      </c>
      <c r="K77" s="489"/>
    </row>
    <row r="78" spans="1:11">
      <c r="A78" s="339"/>
      <c r="B78" s="252"/>
      <c r="C78" s="342"/>
      <c r="D78" s="329"/>
      <c r="E78" s="329"/>
      <c r="F78" s="329"/>
      <c r="G78" s="329"/>
      <c r="H78" s="329"/>
      <c r="I78" s="329"/>
      <c r="J78" s="329"/>
    </row>
    <row r="79" spans="1:11">
      <c r="A79" s="339">
        <f>+A70+1</f>
        <v>9</v>
      </c>
      <c r="B79" s="252" t="str">
        <f ca="1">OFFSET(List_DAOpexStart,A79,0)</f>
        <v>DA-9</v>
      </c>
      <c r="C79" s="340" t="str">
        <f ca="1">VLOOKUP(B79,List_DirectlyAttributedServices,2,FALSE)</f>
        <v>Feed-in Tariffs</v>
      </c>
      <c r="D79" s="329"/>
      <c r="E79" s="329"/>
      <c r="F79" s="329"/>
      <c r="G79" s="329"/>
      <c r="H79" s="329"/>
      <c r="I79" s="329"/>
      <c r="J79" s="329"/>
    </row>
    <row r="80" spans="1:11">
      <c r="A80" s="339"/>
      <c r="B80" s="252"/>
      <c r="C80" s="341" t="s">
        <v>68</v>
      </c>
      <c r="D80" s="771"/>
      <c r="E80" s="771">
        <v>0</v>
      </c>
      <c r="F80" s="771">
        <v>0</v>
      </c>
      <c r="G80" s="771">
        <v>0</v>
      </c>
      <c r="H80" s="771">
        <v>0</v>
      </c>
      <c r="I80" s="771">
        <v>0</v>
      </c>
      <c r="J80" s="771">
        <v>0</v>
      </c>
    </row>
    <row r="81" spans="1:10">
      <c r="A81" s="339"/>
      <c r="B81" s="252"/>
      <c r="C81" s="341" t="s">
        <v>69</v>
      </c>
      <c r="D81" s="771"/>
      <c r="E81" s="771">
        <v>0</v>
      </c>
      <c r="F81" s="771">
        <v>0</v>
      </c>
      <c r="G81" s="771">
        <v>0</v>
      </c>
      <c r="H81" s="771">
        <v>0</v>
      </c>
      <c r="I81" s="771">
        <v>0</v>
      </c>
      <c r="J81" s="771">
        <v>0</v>
      </c>
    </row>
    <row r="82" spans="1:10" s="759" customFormat="1">
      <c r="A82" s="339"/>
      <c r="B82" s="252"/>
      <c r="C82" s="341" t="s">
        <v>646</v>
      </c>
      <c r="D82" s="771"/>
      <c r="E82" s="771">
        <v>0</v>
      </c>
      <c r="F82" s="771">
        <v>0</v>
      </c>
      <c r="G82" s="771">
        <v>0</v>
      </c>
      <c r="H82" s="771">
        <v>0</v>
      </c>
      <c r="I82" s="771">
        <v>0</v>
      </c>
      <c r="J82" s="771">
        <v>0</v>
      </c>
    </row>
    <row r="83" spans="1:10">
      <c r="A83" s="339"/>
      <c r="B83" s="252"/>
      <c r="C83" s="341" t="s">
        <v>647</v>
      </c>
      <c r="D83" s="263"/>
      <c r="E83" s="263">
        <v>0</v>
      </c>
      <c r="F83" s="263">
        <v>0</v>
      </c>
      <c r="G83" s="263">
        <v>0</v>
      </c>
      <c r="H83" s="263">
        <v>0</v>
      </c>
      <c r="I83" s="263">
        <v>0</v>
      </c>
      <c r="J83" s="263">
        <v>0</v>
      </c>
    </row>
    <row r="84" spans="1:10" s="759" customFormat="1">
      <c r="A84" s="339"/>
      <c r="B84" s="252"/>
      <c r="C84" s="341" t="s">
        <v>575</v>
      </c>
      <c r="D84" s="263"/>
      <c r="E84" s="263">
        <v>0</v>
      </c>
      <c r="F84" s="263">
        <v>0</v>
      </c>
      <c r="G84" s="263">
        <v>0</v>
      </c>
      <c r="H84" s="263">
        <v>0</v>
      </c>
      <c r="I84" s="263">
        <v>0</v>
      </c>
      <c r="J84" s="263">
        <v>0</v>
      </c>
    </row>
    <row r="85" spans="1:10">
      <c r="A85" s="339"/>
      <c r="B85" s="252"/>
      <c r="C85" s="341" t="s">
        <v>70</v>
      </c>
      <c r="D85" s="263"/>
      <c r="E85" s="263">
        <v>0</v>
      </c>
      <c r="F85" s="263">
        <v>0</v>
      </c>
      <c r="G85" s="263">
        <v>0</v>
      </c>
      <c r="H85" s="263">
        <v>0</v>
      </c>
      <c r="I85" s="263">
        <v>0</v>
      </c>
      <c r="J85" s="263">
        <v>0</v>
      </c>
    </row>
    <row r="86" spans="1:10">
      <c r="A86" s="339"/>
      <c r="B86" s="252"/>
      <c r="C86" s="342" t="s">
        <v>75</v>
      </c>
      <c r="D86" s="357">
        <f t="shared" ref="D86:J86" si="8">SUBTOTAL(9,D80:D85)</f>
        <v>0</v>
      </c>
      <c r="E86" s="357">
        <f t="shared" si="8"/>
        <v>0</v>
      </c>
      <c r="F86" s="357">
        <f t="shared" si="8"/>
        <v>0</v>
      </c>
      <c r="G86" s="357">
        <f t="shared" si="8"/>
        <v>0</v>
      </c>
      <c r="H86" s="357">
        <f t="shared" si="8"/>
        <v>0</v>
      </c>
      <c r="I86" s="357">
        <f t="shared" si="8"/>
        <v>0</v>
      </c>
      <c r="J86" s="357">
        <f t="shared" si="8"/>
        <v>0</v>
      </c>
    </row>
    <row r="87" spans="1:10">
      <c r="A87" s="339"/>
      <c r="B87" s="252"/>
      <c r="C87" s="342"/>
      <c r="D87" s="329"/>
      <c r="E87" s="329"/>
      <c r="F87" s="329"/>
      <c r="G87" s="329"/>
      <c r="H87" s="329"/>
      <c r="I87" s="329"/>
      <c r="J87" s="329"/>
    </row>
    <row r="88" spans="1:10">
      <c r="A88" s="339">
        <f>+A79+1</f>
        <v>10</v>
      </c>
      <c r="B88" s="252" t="str">
        <f ca="1">OFFSET(List_DAOpexStart,A88,0)</f>
        <v>DA-10</v>
      </c>
      <c r="C88" s="340" t="str">
        <f ca="1">VLOOKUP(B88,List_DirectlyAttributedServices,2,FALSE)</f>
        <v>Regulatory Compliance</v>
      </c>
      <c r="D88" s="329"/>
      <c r="E88" s="329"/>
      <c r="F88" s="329"/>
      <c r="G88" s="329"/>
      <c r="H88" s="329"/>
      <c r="I88" s="329"/>
      <c r="J88" s="329"/>
    </row>
    <row r="89" spans="1:10">
      <c r="A89" s="339"/>
      <c r="B89" s="252"/>
      <c r="C89" s="341" t="s">
        <v>68</v>
      </c>
      <c r="D89" s="771"/>
      <c r="E89" s="771">
        <v>3.0390000000000001</v>
      </c>
      <c r="F89" s="771">
        <v>3.0390000000000001</v>
      </c>
      <c r="G89" s="771">
        <v>3.0390000000000001</v>
      </c>
      <c r="H89" s="771">
        <v>3.0390000000000001</v>
      </c>
      <c r="I89" s="771">
        <v>3.0390000000000001</v>
      </c>
      <c r="J89" s="771">
        <v>3.0390000000000001</v>
      </c>
    </row>
    <row r="90" spans="1:10">
      <c r="A90" s="339"/>
      <c r="B90" s="252"/>
      <c r="C90" s="341" t="s">
        <v>69</v>
      </c>
      <c r="D90" s="771"/>
      <c r="E90" s="771">
        <v>5.1999999999999998E-2</v>
      </c>
      <c r="F90" s="771">
        <v>5.1999999999999998E-2</v>
      </c>
      <c r="G90" s="771">
        <v>5.1999999999999998E-2</v>
      </c>
      <c r="H90" s="771">
        <v>5.1999999999999998E-2</v>
      </c>
      <c r="I90" s="771">
        <v>5.1999999999999998E-2</v>
      </c>
      <c r="J90" s="771">
        <v>5.1999999999999998E-2</v>
      </c>
    </row>
    <row r="91" spans="1:10" s="759" customFormat="1">
      <c r="A91" s="339"/>
      <c r="B91" s="252"/>
      <c r="C91" s="341" t="s">
        <v>646</v>
      </c>
      <c r="D91" s="771"/>
      <c r="E91" s="771">
        <v>1E-3</v>
      </c>
      <c r="F91" s="771">
        <v>1E-3</v>
      </c>
      <c r="G91" s="771">
        <v>1E-3</v>
      </c>
      <c r="H91" s="771">
        <v>1E-3</v>
      </c>
      <c r="I91" s="771">
        <v>1E-3</v>
      </c>
      <c r="J91" s="771">
        <v>1E-3</v>
      </c>
    </row>
    <row r="92" spans="1:10">
      <c r="A92" s="339"/>
      <c r="B92" s="252"/>
      <c r="C92" s="341" t="s">
        <v>647</v>
      </c>
      <c r="D92" s="263"/>
      <c r="E92" s="263">
        <v>0.34400000000000003</v>
      </c>
      <c r="F92" s="263">
        <v>0.34400000000000003</v>
      </c>
      <c r="G92" s="263">
        <v>0.34400000000000003</v>
      </c>
      <c r="H92" s="263">
        <v>0.34400000000000003</v>
      </c>
      <c r="I92" s="263">
        <v>0.34400000000000003</v>
      </c>
      <c r="J92" s="263">
        <v>0.34400000000000003</v>
      </c>
    </row>
    <row r="93" spans="1:10" s="759" customFormat="1">
      <c r="A93" s="339"/>
      <c r="B93" s="252"/>
      <c r="C93" s="341" t="s">
        <v>575</v>
      </c>
      <c r="D93" s="263"/>
      <c r="E93" s="263">
        <v>0.24099999999999999</v>
      </c>
      <c r="F93" s="263">
        <v>0.24099999999999999</v>
      </c>
      <c r="G93" s="263">
        <v>0.24099999999999999</v>
      </c>
      <c r="H93" s="263">
        <v>0.24099999999999999</v>
      </c>
      <c r="I93" s="263">
        <v>0.24099999999999999</v>
      </c>
      <c r="J93" s="263">
        <v>0.24099999999999999</v>
      </c>
    </row>
    <row r="94" spans="1:10">
      <c r="A94" s="339"/>
      <c r="B94" s="252"/>
      <c r="C94" s="341" t="s">
        <v>70</v>
      </c>
      <c r="D94" s="263"/>
      <c r="E94" s="263">
        <v>0</v>
      </c>
      <c r="F94" s="263">
        <v>0</v>
      </c>
      <c r="G94" s="263">
        <v>0</v>
      </c>
      <c r="H94" s="263">
        <v>0</v>
      </c>
      <c r="I94" s="263">
        <v>0</v>
      </c>
      <c r="J94" s="263">
        <v>0</v>
      </c>
    </row>
    <row r="95" spans="1:10">
      <c r="A95" s="339"/>
      <c r="B95" s="252"/>
      <c r="C95" s="342" t="s">
        <v>75</v>
      </c>
      <c r="D95" s="357">
        <f t="shared" ref="D95:J95" si="9">SUBTOTAL(9,D89:D94)</f>
        <v>0</v>
      </c>
      <c r="E95" s="357">
        <f t="shared" si="9"/>
        <v>3.677</v>
      </c>
      <c r="F95" s="357">
        <f t="shared" si="9"/>
        <v>3.677</v>
      </c>
      <c r="G95" s="357">
        <f t="shared" si="9"/>
        <v>3.677</v>
      </c>
      <c r="H95" s="357">
        <f t="shared" si="9"/>
        <v>3.677</v>
      </c>
      <c r="I95" s="357">
        <f t="shared" si="9"/>
        <v>3.677</v>
      </c>
      <c r="J95" s="357">
        <f t="shared" si="9"/>
        <v>3.677</v>
      </c>
    </row>
    <row r="96" spans="1:10" ht="18">
      <c r="A96" s="339"/>
      <c r="B96" s="252"/>
      <c r="C96" s="248" t="s">
        <v>168</v>
      </c>
      <c r="D96" s="329"/>
      <c r="E96" s="329"/>
      <c r="F96" s="329"/>
      <c r="G96" s="329"/>
      <c r="H96" s="329"/>
      <c r="I96" s="329"/>
      <c r="J96" s="329"/>
    </row>
    <row r="97" spans="1:10">
      <c r="A97" s="339">
        <f>+A88+1</f>
        <v>11</v>
      </c>
      <c r="B97" s="252" t="str">
        <f ca="1">OFFSET(List_DAOpexStart,A97,0)</f>
        <v>DA-11</v>
      </c>
      <c r="C97" s="340" t="str">
        <f ca="1">VLOOKUP(B97,List_DirectlyAttributedServices,2,FALSE)</f>
        <v>Outage Management System</v>
      </c>
      <c r="D97" s="329"/>
      <c r="E97" s="329"/>
      <c r="F97" s="329"/>
      <c r="G97" s="329"/>
      <c r="H97" s="329"/>
      <c r="I97" s="329"/>
      <c r="J97" s="329"/>
    </row>
    <row r="98" spans="1:10">
      <c r="A98" s="339"/>
      <c r="B98" s="252"/>
      <c r="C98" s="341" t="s">
        <v>68</v>
      </c>
      <c r="D98" s="771"/>
      <c r="E98" s="771">
        <v>0.29499999999999998</v>
      </c>
      <c r="F98" s="771">
        <v>0.29499999999999998</v>
      </c>
      <c r="G98" s="771">
        <v>0.29499999999999998</v>
      </c>
      <c r="H98" s="771">
        <v>0.29499999999999998</v>
      </c>
      <c r="I98" s="771">
        <v>0.29499999999999998</v>
      </c>
      <c r="J98" s="771">
        <v>0.29499999999999998</v>
      </c>
    </row>
    <row r="99" spans="1:10">
      <c r="A99" s="3"/>
      <c r="B99" s="252"/>
      <c r="C99" s="341" t="s">
        <v>69</v>
      </c>
      <c r="D99" s="771"/>
      <c r="E99" s="771">
        <v>0</v>
      </c>
      <c r="F99" s="771">
        <v>0</v>
      </c>
      <c r="G99" s="771">
        <v>0</v>
      </c>
      <c r="H99" s="771">
        <v>0</v>
      </c>
      <c r="I99" s="771">
        <v>0</v>
      </c>
      <c r="J99" s="771">
        <v>0</v>
      </c>
    </row>
    <row r="100" spans="1:10" s="759" customFormat="1">
      <c r="A100" s="544"/>
      <c r="B100" s="252"/>
      <c r="C100" s="341" t="s">
        <v>646</v>
      </c>
      <c r="D100" s="771"/>
      <c r="E100" s="771">
        <v>0</v>
      </c>
      <c r="F100" s="771">
        <v>0</v>
      </c>
      <c r="G100" s="771">
        <v>0</v>
      </c>
      <c r="H100" s="771">
        <v>0</v>
      </c>
      <c r="I100" s="771">
        <v>0</v>
      </c>
      <c r="J100" s="771">
        <v>0</v>
      </c>
    </row>
    <row r="101" spans="1:10">
      <c r="A101" s="3"/>
      <c r="B101" s="252"/>
      <c r="C101" s="341" t="s">
        <v>647</v>
      </c>
      <c r="D101" s="263"/>
      <c r="E101" s="263">
        <v>0.69799999999999995</v>
      </c>
      <c r="F101" s="263">
        <v>0.69799999999999995</v>
      </c>
      <c r="G101" s="263">
        <v>0.69799999999999995</v>
      </c>
      <c r="H101" s="263">
        <v>0.69799999999999995</v>
      </c>
      <c r="I101" s="263">
        <v>0.69799999999999995</v>
      </c>
      <c r="J101" s="263">
        <v>0.69799999999999995</v>
      </c>
    </row>
    <row r="102" spans="1:10" s="759" customFormat="1">
      <c r="A102" s="544"/>
      <c r="B102" s="252"/>
      <c r="C102" s="341" t="s">
        <v>575</v>
      </c>
      <c r="D102" s="263"/>
      <c r="E102" s="263">
        <v>3.3000000000000002E-2</v>
      </c>
      <c r="F102" s="263">
        <v>3.3000000000000002E-2</v>
      </c>
      <c r="G102" s="263">
        <v>3.3000000000000002E-2</v>
      </c>
      <c r="H102" s="263">
        <v>3.3000000000000002E-2</v>
      </c>
      <c r="I102" s="263">
        <v>3.3000000000000002E-2</v>
      </c>
      <c r="J102" s="263">
        <v>3.3000000000000002E-2</v>
      </c>
    </row>
    <row r="103" spans="1:10">
      <c r="A103" s="3"/>
      <c r="B103" s="252"/>
      <c r="C103" s="341" t="s">
        <v>70</v>
      </c>
      <c r="D103" s="263"/>
      <c r="E103" s="263">
        <v>0</v>
      </c>
      <c r="F103" s="263">
        <v>0</v>
      </c>
      <c r="G103" s="263">
        <v>0</v>
      </c>
      <c r="H103" s="263">
        <v>0</v>
      </c>
      <c r="I103" s="263">
        <v>0</v>
      </c>
      <c r="J103" s="263">
        <v>0</v>
      </c>
    </row>
    <row r="104" spans="1:10">
      <c r="A104" s="3"/>
      <c r="B104" s="252"/>
      <c r="C104" s="342" t="s">
        <v>75</v>
      </c>
      <c r="D104" s="357">
        <f t="shared" ref="D104:J104" si="10">SUBTOTAL(9,D98:D103)</f>
        <v>0</v>
      </c>
      <c r="E104" s="357">
        <f t="shared" si="10"/>
        <v>1.0259999999999998</v>
      </c>
      <c r="F104" s="357">
        <f t="shared" si="10"/>
        <v>1.0259999999999998</v>
      </c>
      <c r="G104" s="357">
        <f t="shared" si="10"/>
        <v>1.0259999999999998</v>
      </c>
      <c r="H104" s="357">
        <f t="shared" si="10"/>
        <v>1.0259999999999998</v>
      </c>
      <c r="I104" s="357">
        <f t="shared" si="10"/>
        <v>1.0259999999999998</v>
      </c>
      <c r="J104" s="357">
        <f t="shared" si="10"/>
        <v>1.0259999999999998</v>
      </c>
    </row>
    <row r="105" spans="1:10">
      <c r="A105" s="3"/>
      <c r="B105" s="252"/>
      <c r="C105" s="342"/>
      <c r="D105" s="329"/>
      <c r="E105" s="329"/>
      <c r="F105" s="329"/>
      <c r="G105" s="329"/>
      <c r="H105" s="329"/>
      <c r="I105" s="329"/>
      <c r="J105" s="329"/>
    </row>
    <row r="106" spans="1:10">
      <c r="A106" s="339">
        <f>+A97+1</f>
        <v>12</v>
      </c>
      <c r="B106" s="252" t="str">
        <f ca="1">OFFSET(List_DAOpexStart,A106,0)</f>
        <v>DA-12</v>
      </c>
      <c r="C106" s="340" t="str">
        <f ca="1">VLOOKUP(B106,List_DirectlyAttributedServices,2,FALSE)</f>
        <v>Asset Assessment</v>
      </c>
      <c r="D106" s="329"/>
      <c r="E106" s="329"/>
      <c r="F106" s="329"/>
      <c r="G106" s="329"/>
      <c r="H106" s="329"/>
      <c r="I106" s="329"/>
      <c r="J106" s="329"/>
    </row>
    <row r="107" spans="1:10">
      <c r="A107" s="3"/>
      <c r="B107" s="252"/>
      <c r="C107" s="341" t="s">
        <v>68</v>
      </c>
      <c r="D107" s="771"/>
      <c r="E107" s="771">
        <v>2.4209999999999998</v>
      </c>
      <c r="F107" s="771">
        <v>2.4209999999999998</v>
      </c>
      <c r="G107" s="771">
        <v>2.4209999999999998</v>
      </c>
      <c r="H107" s="771">
        <v>2.4209999999999998</v>
      </c>
      <c r="I107" s="771">
        <v>2.4209999999999998</v>
      </c>
      <c r="J107" s="771">
        <v>2.4209999999999998</v>
      </c>
    </row>
    <row r="108" spans="1:10">
      <c r="A108" s="3"/>
      <c r="B108" s="252"/>
      <c r="C108" s="341" t="s">
        <v>69</v>
      </c>
      <c r="D108" s="771"/>
      <c r="E108" s="771">
        <v>5.8000000000000003E-2</v>
      </c>
      <c r="F108" s="771">
        <v>5.8000000000000003E-2</v>
      </c>
      <c r="G108" s="771">
        <v>5.8000000000000003E-2</v>
      </c>
      <c r="H108" s="771">
        <v>5.8000000000000003E-2</v>
      </c>
      <c r="I108" s="771">
        <v>5.8000000000000003E-2</v>
      </c>
      <c r="J108" s="771">
        <v>5.8000000000000003E-2</v>
      </c>
    </row>
    <row r="109" spans="1:10" s="759" customFormat="1">
      <c r="A109" s="544"/>
      <c r="B109" s="252"/>
      <c r="C109" s="341" t="s">
        <v>646</v>
      </c>
      <c r="D109" s="771"/>
      <c r="E109" s="771">
        <v>8.1609999999999996</v>
      </c>
      <c r="F109" s="771">
        <v>8.1609999999999996</v>
      </c>
      <c r="G109" s="771">
        <v>8.1609999999999996</v>
      </c>
      <c r="H109" s="771">
        <v>8.1609999999999996</v>
      </c>
      <c r="I109" s="771">
        <v>8.1609999999999996</v>
      </c>
      <c r="J109" s="771">
        <v>8.1609999999999996</v>
      </c>
    </row>
    <row r="110" spans="1:10">
      <c r="A110" s="3"/>
      <c r="B110" s="252"/>
      <c r="C110" s="341" t="s">
        <v>647</v>
      </c>
      <c r="D110" s="263"/>
      <c r="E110" s="263">
        <v>0.30399999999999999</v>
      </c>
      <c r="F110" s="263">
        <v>0.30399999999999999</v>
      </c>
      <c r="G110" s="263">
        <v>0.30399999999999999</v>
      </c>
      <c r="H110" s="263">
        <v>0.30399999999999999</v>
      </c>
      <c r="I110" s="263">
        <v>0.30399999999999999</v>
      </c>
      <c r="J110" s="263">
        <v>0.30399999999999999</v>
      </c>
    </row>
    <row r="111" spans="1:10" s="759" customFormat="1">
      <c r="A111" s="544"/>
      <c r="B111" s="252"/>
      <c r="C111" s="341" t="s">
        <v>575</v>
      </c>
      <c r="D111" s="263"/>
      <c r="E111" s="263">
        <v>1.026</v>
      </c>
      <c r="F111" s="263">
        <v>1.026</v>
      </c>
      <c r="G111" s="263">
        <v>1.026</v>
      </c>
      <c r="H111" s="263">
        <v>1.026</v>
      </c>
      <c r="I111" s="263">
        <v>1.026</v>
      </c>
      <c r="J111" s="263">
        <v>1.026</v>
      </c>
    </row>
    <row r="112" spans="1:10">
      <c r="A112" s="3"/>
      <c r="B112" s="252"/>
      <c r="C112" s="341" t="s">
        <v>70</v>
      </c>
      <c r="D112" s="263"/>
      <c r="E112" s="263">
        <v>0</v>
      </c>
      <c r="F112" s="263">
        <v>0</v>
      </c>
      <c r="G112" s="263">
        <v>0</v>
      </c>
      <c r="H112" s="263">
        <v>0</v>
      </c>
      <c r="I112" s="263">
        <v>0</v>
      </c>
      <c r="J112" s="263">
        <v>0</v>
      </c>
    </row>
    <row r="113" spans="1:10">
      <c r="A113" s="3"/>
      <c r="B113" s="252"/>
      <c r="C113" s="342" t="s">
        <v>75</v>
      </c>
      <c r="D113" s="357">
        <f t="shared" ref="D113:J113" si="11">SUBTOTAL(9,D107:D112)</f>
        <v>0</v>
      </c>
      <c r="E113" s="357">
        <f t="shared" si="11"/>
        <v>11.969999999999999</v>
      </c>
      <c r="F113" s="357">
        <f t="shared" si="11"/>
        <v>11.969999999999999</v>
      </c>
      <c r="G113" s="357">
        <f t="shared" si="11"/>
        <v>11.969999999999999</v>
      </c>
      <c r="H113" s="357">
        <f t="shared" si="11"/>
        <v>11.969999999999999</v>
      </c>
      <c r="I113" s="357">
        <f t="shared" si="11"/>
        <v>11.969999999999999</v>
      </c>
      <c r="J113" s="357">
        <f t="shared" si="11"/>
        <v>11.969999999999999</v>
      </c>
    </row>
    <row r="114" spans="1:10">
      <c r="A114" s="3"/>
      <c r="B114" s="252"/>
      <c r="C114" s="342"/>
      <c r="D114" s="329"/>
      <c r="E114" s="329"/>
      <c r="F114" s="329"/>
      <c r="G114" s="329"/>
      <c r="H114" s="329"/>
      <c r="I114" s="329"/>
      <c r="J114" s="329"/>
    </row>
    <row r="115" spans="1:10">
      <c r="A115" s="339">
        <f>+A106+1</f>
        <v>13</v>
      </c>
      <c r="B115" s="252" t="str">
        <f ca="1">OFFSET(List_DAOpexStart,A115,0)</f>
        <v>DA-13</v>
      </c>
      <c r="C115" s="340" t="str">
        <f ca="1">VLOOKUP(B115,List_DirectlyAttributedServices,2,FALSE)</f>
        <v>Asset Maintenance</v>
      </c>
      <c r="D115" s="329"/>
      <c r="E115" s="329"/>
      <c r="F115" s="329"/>
      <c r="G115" s="329"/>
      <c r="H115" s="329"/>
      <c r="I115" s="329"/>
      <c r="J115" s="329"/>
    </row>
    <row r="116" spans="1:10">
      <c r="A116" s="3"/>
      <c r="B116" s="252"/>
      <c r="C116" s="341" t="s">
        <v>68</v>
      </c>
      <c r="D116" s="771"/>
      <c r="E116" s="771">
        <v>8.3899999999999988</v>
      </c>
      <c r="F116" s="771">
        <v>8.3899999999999988</v>
      </c>
      <c r="G116" s="771">
        <v>8.3899999999999988</v>
      </c>
      <c r="H116" s="771">
        <v>8.3899999999999988</v>
      </c>
      <c r="I116" s="771">
        <v>8.3899999999999988</v>
      </c>
      <c r="J116" s="771">
        <v>8.3899999999999988</v>
      </c>
    </row>
    <row r="117" spans="1:10">
      <c r="A117" s="3"/>
      <c r="B117" s="252"/>
      <c r="C117" s="341" t="s">
        <v>69</v>
      </c>
      <c r="D117" s="771"/>
      <c r="E117" s="771">
        <v>1.1950000000000001</v>
      </c>
      <c r="F117" s="771">
        <v>1.1950000000000001</v>
      </c>
      <c r="G117" s="771">
        <v>1.1950000000000001</v>
      </c>
      <c r="H117" s="771">
        <v>1.1950000000000001</v>
      </c>
      <c r="I117" s="771">
        <v>1.1950000000000001</v>
      </c>
      <c r="J117" s="771">
        <v>1.1950000000000001</v>
      </c>
    </row>
    <row r="118" spans="1:10" s="759" customFormat="1">
      <c r="A118" s="544"/>
      <c r="B118" s="252"/>
      <c r="C118" s="341" t="s">
        <v>646</v>
      </c>
      <c r="D118" s="771"/>
      <c r="E118" s="771">
        <v>0.13700000000000001</v>
      </c>
      <c r="F118" s="771">
        <v>0.13700000000000001</v>
      </c>
      <c r="G118" s="771">
        <v>0.13700000000000001</v>
      </c>
      <c r="H118" s="771">
        <v>0.13700000000000001</v>
      </c>
      <c r="I118" s="771">
        <v>0.13700000000000001</v>
      </c>
      <c r="J118" s="771">
        <v>0.13700000000000001</v>
      </c>
    </row>
    <row r="119" spans="1:10">
      <c r="A119" s="3"/>
      <c r="B119" s="252"/>
      <c r="C119" s="341" t="s">
        <v>647</v>
      </c>
      <c r="D119" s="263"/>
      <c r="E119" s="263">
        <v>3.4049999999999998</v>
      </c>
      <c r="F119" s="263">
        <v>3.4049999999999998</v>
      </c>
      <c r="G119" s="263">
        <v>3.4049999999999998</v>
      </c>
      <c r="H119" s="263">
        <v>3.4049999999999998</v>
      </c>
      <c r="I119" s="263">
        <v>3.4049999999999998</v>
      </c>
      <c r="J119" s="263">
        <v>3.4049999999999998</v>
      </c>
    </row>
    <row r="120" spans="1:10" s="759" customFormat="1">
      <c r="A120" s="544"/>
      <c r="B120" s="252"/>
      <c r="C120" s="341" t="s">
        <v>575</v>
      </c>
      <c r="D120" s="263"/>
      <c r="E120" s="263">
        <v>0.85799999999999998</v>
      </c>
      <c r="F120" s="263">
        <v>0.85799999999999998</v>
      </c>
      <c r="G120" s="263">
        <v>0.85799999999999998</v>
      </c>
      <c r="H120" s="263">
        <v>0.85799999999999998</v>
      </c>
      <c r="I120" s="263">
        <v>0.85799999999999998</v>
      </c>
      <c r="J120" s="263">
        <v>0.85799999999999998</v>
      </c>
    </row>
    <row r="121" spans="1:10">
      <c r="A121" s="3"/>
      <c r="B121" s="252"/>
      <c r="C121" s="341" t="s">
        <v>70</v>
      </c>
      <c r="D121" s="263"/>
      <c r="E121" s="263">
        <v>0</v>
      </c>
      <c r="F121" s="263">
        <v>0</v>
      </c>
      <c r="G121" s="263">
        <v>0</v>
      </c>
      <c r="H121" s="263">
        <v>0</v>
      </c>
      <c r="I121" s="263">
        <v>0</v>
      </c>
      <c r="J121" s="263">
        <v>0</v>
      </c>
    </row>
    <row r="122" spans="1:10">
      <c r="A122" s="3"/>
      <c r="B122" s="252"/>
      <c r="C122" s="342" t="s">
        <v>75</v>
      </c>
      <c r="D122" s="357">
        <f t="shared" ref="D122:J122" si="12">SUBTOTAL(9,D116:D121)</f>
        <v>0</v>
      </c>
      <c r="E122" s="357">
        <f t="shared" si="12"/>
        <v>13.984999999999999</v>
      </c>
      <c r="F122" s="357">
        <f t="shared" si="12"/>
        <v>13.984999999999999</v>
      </c>
      <c r="G122" s="357">
        <f t="shared" si="12"/>
        <v>13.984999999999999</v>
      </c>
      <c r="H122" s="357">
        <f t="shared" si="12"/>
        <v>13.984999999999999</v>
      </c>
      <c r="I122" s="357">
        <f t="shared" si="12"/>
        <v>13.984999999999999</v>
      </c>
      <c r="J122" s="357">
        <f t="shared" si="12"/>
        <v>13.984999999999999</v>
      </c>
    </row>
    <row r="123" spans="1:10">
      <c r="A123" s="3"/>
      <c r="B123" s="252"/>
      <c r="C123" s="342"/>
      <c r="D123" s="329"/>
      <c r="E123" s="329"/>
      <c r="F123" s="329"/>
      <c r="G123" s="329"/>
      <c r="H123" s="329"/>
      <c r="I123" s="329"/>
      <c r="J123" s="329"/>
    </row>
    <row r="124" spans="1:10">
      <c r="A124" s="339">
        <f>+A115+1</f>
        <v>14</v>
      </c>
      <c r="B124" s="252" t="str">
        <f ca="1">OFFSET(List_DAOpexStart,A124,0)</f>
        <v>DA-14</v>
      </c>
      <c r="C124" s="340" t="str">
        <f ca="1">VLOOKUP(B124,List_DirectlyAttributedServices,2,FALSE)</f>
        <v>Vegetation Management</v>
      </c>
      <c r="D124" s="329"/>
      <c r="E124" s="329"/>
      <c r="F124" s="329"/>
      <c r="G124" s="329"/>
      <c r="H124" s="329"/>
      <c r="I124" s="329"/>
      <c r="J124" s="329"/>
    </row>
    <row r="125" spans="1:10">
      <c r="A125" s="339"/>
      <c r="B125" s="252"/>
      <c r="C125" s="341" t="s">
        <v>68</v>
      </c>
      <c r="D125" s="771"/>
      <c r="E125" s="771">
        <v>1.6990000000000001</v>
      </c>
      <c r="F125" s="771">
        <v>1.6990000000000001</v>
      </c>
      <c r="G125" s="771">
        <v>1.6990000000000001</v>
      </c>
      <c r="H125" s="771">
        <v>1.6990000000000001</v>
      </c>
      <c r="I125" s="771">
        <v>1.6990000000000001</v>
      </c>
      <c r="J125" s="771">
        <v>1.6990000000000001</v>
      </c>
    </row>
    <row r="126" spans="1:10">
      <c r="A126" s="339"/>
      <c r="B126" s="252"/>
      <c r="C126" s="341" t="s">
        <v>69</v>
      </c>
      <c r="D126" s="771"/>
      <c r="E126" s="771">
        <v>4.0000000000000001E-3</v>
      </c>
      <c r="F126" s="771">
        <v>4.0000000000000001E-3</v>
      </c>
      <c r="G126" s="771">
        <v>4.0000000000000001E-3</v>
      </c>
      <c r="H126" s="771">
        <v>4.0000000000000001E-3</v>
      </c>
      <c r="I126" s="771">
        <v>4.0000000000000001E-3</v>
      </c>
      <c r="J126" s="771">
        <v>4.0000000000000001E-3</v>
      </c>
    </row>
    <row r="127" spans="1:10" s="759" customFormat="1">
      <c r="A127" s="339"/>
      <c r="B127" s="252"/>
      <c r="C127" s="341" t="s">
        <v>646</v>
      </c>
      <c r="D127" s="771"/>
      <c r="E127" s="771">
        <f t="shared" ref="E127:J127" si="13">31.39-1.882</f>
        <v>29.507999999999999</v>
      </c>
      <c r="F127" s="771">
        <f t="shared" si="13"/>
        <v>29.507999999999999</v>
      </c>
      <c r="G127" s="771">
        <f t="shared" si="13"/>
        <v>29.507999999999999</v>
      </c>
      <c r="H127" s="771">
        <f t="shared" si="13"/>
        <v>29.507999999999999</v>
      </c>
      <c r="I127" s="771">
        <f t="shared" si="13"/>
        <v>29.507999999999999</v>
      </c>
      <c r="J127" s="771">
        <f t="shared" si="13"/>
        <v>29.507999999999999</v>
      </c>
    </row>
    <row r="128" spans="1:10">
      <c r="A128" s="339"/>
      <c r="B128" s="252"/>
      <c r="C128" s="341" t="s">
        <v>647</v>
      </c>
      <c r="D128" s="263"/>
      <c r="E128" s="263">
        <v>0.35299999999999998</v>
      </c>
      <c r="F128" s="263">
        <v>0.35299999999999998</v>
      </c>
      <c r="G128" s="263">
        <v>0.35299999999999998</v>
      </c>
      <c r="H128" s="263">
        <v>0.35299999999999998</v>
      </c>
      <c r="I128" s="263">
        <v>0.35299999999999998</v>
      </c>
      <c r="J128" s="263">
        <v>0.35299999999999998</v>
      </c>
    </row>
    <row r="129" spans="1:10" s="759" customFormat="1">
      <c r="A129" s="339"/>
      <c r="B129" s="252"/>
      <c r="C129" s="341" t="s">
        <v>575</v>
      </c>
      <c r="D129" s="263"/>
      <c r="E129" s="263">
        <v>1.873</v>
      </c>
      <c r="F129" s="263">
        <v>1.873</v>
      </c>
      <c r="G129" s="263">
        <v>1.873</v>
      </c>
      <c r="H129" s="263">
        <v>1.873</v>
      </c>
      <c r="I129" s="263">
        <v>1.873</v>
      </c>
      <c r="J129" s="263">
        <v>1.873</v>
      </c>
    </row>
    <row r="130" spans="1:10">
      <c r="A130" s="339"/>
      <c r="B130" s="252"/>
      <c r="C130" s="341" t="s">
        <v>70</v>
      </c>
      <c r="D130" s="263"/>
      <c r="E130" s="263">
        <v>0</v>
      </c>
      <c r="F130" s="263">
        <v>0</v>
      </c>
      <c r="G130" s="263">
        <v>0</v>
      </c>
      <c r="H130" s="263">
        <v>0</v>
      </c>
      <c r="I130" s="263">
        <v>0</v>
      </c>
      <c r="J130" s="263">
        <v>0</v>
      </c>
    </row>
    <row r="131" spans="1:10">
      <c r="A131" s="339"/>
      <c r="B131" s="252"/>
      <c r="C131" s="342" t="s">
        <v>75</v>
      </c>
      <c r="D131" s="357">
        <f t="shared" ref="D131:J131" si="14">SUBTOTAL(9,D125:D130)</f>
        <v>0</v>
      </c>
      <c r="E131" s="357">
        <f t="shared" si="14"/>
        <v>33.436999999999998</v>
      </c>
      <c r="F131" s="357">
        <f t="shared" si="14"/>
        <v>33.436999999999998</v>
      </c>
      <c r="G131" s="357">
        <f t="shared" si="14"/>
        <v>33.436999999999998</v>
      </c>
      <c r="H131" s="357">
        <f t="shared" si="14"/>
        <v>33.436999999999998</v>
      </c>
      <c r="I131" s="357">
        <f t="shared" si="14"/>
        <v>33.436999999999998</v>
      </c>
      <c r="J131" s="357">
        <f t="shared" si="14"/>
        <v>33.436999999999998</v>
      </c>
    </row>
    <row r="132" spans="1:10">
      <c r="A132" s="339"/>
      <c r="B132" s="252"/>
      <c r="C132" s="342"/>
      <c r="D132" s="329"/>
      <c r="E132" s="329"/>
      <c r="F132" s="329"/>
      <c r="G132" s="329"/>
      <c r="H132" s="329"/>
      <c r="I132" s="329"/>
      <c r="J132" s="329"/>
    </row>
    <row r="133" spans="1:10">
      <c r="A133" s="339">
        <f>+A124+1</f>
        <v>15</v>
      </c>
      <c r="B133" s="252" t="str">
        <f ca="1">OFFSET(List_DAOpexStart,A133,0)</f>
        <v>DA-15</v>
      </c>
      <c r="C133" s="340" t="str">
        <f ca="1">VLOOKUP(B133,List_DirectlyAttributedServices,2,FALSE)</f>
        <v>Emergency Response</v>
      </c>
      <c r="D133" s="329"/>
      <c r="E133" s="329"/>
      <c r="F133" s="329"/>
      <c r="G133" s="329"/>
      <c r="H133" s="329"/>
      <c r="I133" s="329"/>
      <c r="J133" s="329"/>
    </row>
    <row r="134" spans="1:10">
      <c r="A134" s="339"/>
      <c r="B134" s="252"/>
      <c r="C134" s="341" t="s">
        <v>68</v>
      </c>
      <c r="D134" s="771"/>
      <c r="E134" s="771">
        <v>21.924000000000003</v>
      </c>
      <c r="F134" s="771">
        <v>21.924000000000003</v>
      </c>
      <c r="G134" s="771">
        <v>21.924000000000003</v>
      </c>
      <c r="H134" s="771">
        <v>21.924000000000003</v>
      </c>
      <c r="I134" s="771">
        <v>21.924000000000003</v>
      </c>
      <c r="J134" s="771">
        <v>21.924000000000003</v>
      </c>
    </row>
    <row r="135" spans="1:10">
      <c r="A135" s="339"/>
      <c r="B135" s="252"/>
      <c r="C135" s="341" t="s">
        <v>69</v>
      </c>
      <c r="D135" s="771"/>
      <c r="E135" s="771">
        <v>-1.512</v>
      </c>
      <c r="F135" s="771">
        <v>-1.512</v>
      </c>
      <c r="G135" s="771">
        <v>-1.512</v>
      </c>
      <c r="H135" s="771">
        <v>-1.512</v>
      </c>
      <c r="I135" s="771">
        <v>-1.512</v>
      </c>
      <c r="J135" s="771">
        <v>-1.512</v>
      </c>
    </row>
    <row r="136" spans="1:10" s="759" customFormat="1">
      <c r="A136" s="339"/>
      <c r="B136" s="252"/>
      <c r="C136" s="341" t="s">
        <v>646</v>
      </c>
      <c r="D136" s="771"/>
      <c r="E136" s="771">
        <v>1.4139999999999999</v>
      </c>
      <c r="F136" s="771">
        <v>1.4139999999999999</v>
      </c>
      <c r="G136" s="771">
        <v>1.4139999999999999</v>
      </c>
      <c r="H136" s="771">
        <v>1.4139999999999999</v>
      </c>
      <c r="I136" s="771">
        <v>1.4139999999999999</v>
      </c>
      <c r="J136" s="771">
        <v>1.4139999999999999</v>
      </c>
    </row>
    <row r="137" spans="1:10">
      <c r="A137" s="339"/>
      <c r="B137" s="252"/>
      <c r="C137" s="341" t="s">
        <v>647</v>
      </c>
      <c r="D137" s="263"/>
      <c r="E137" s="263">
        <v>7.2669999999999995</v>
      </c>
      <c r="F137" s="263">
        <v>7.2669999999999995</v>
      </c>
      <c r="G137" s="263">
        <v>7.2669999999999995</v>
      </c>
      <c r="H137" s="263">
        <v>7.2669999999999995</v>
      </c>
      <c r="I137" s="263">
        <v>7.2669999999999995</v>
      </c>
      <c r="J137" s="263">
        <v>7.2669999999999995</v>
      </c>
    </row>
    <row r="138" spans="1:10" s="759" customFormat="1">
      <c r="A138" s="339"/>
      <c r="B138" s="252"/>
      <c r="C138" s="341" t="s">
        <v>575</v>
      </c>
      <c r="D138" s="263"/>
      <c r="E138" s="263">
        <v>4.3010000000000002</v>
      </c>
      <c r="F138" s="263">
        <v>4.3010000000000002</v>
      </c>
      <c r="G138" s="263">
        <v>4.3010000000000002</v>
      </c>
      <c r="H138" s="263">
        <v>4.3010000000000002</v>
      </c>
      <c r="I138" s="263">
        <v>4.3010000000000002</v>
      </c>
      <c r="J138" s="263">
        <v>4.3010000000000002</v>
      </c>
    </row>
    <row r="139" spans="1:10">
      <c r="A139" s="339"/>
      <c r="B139" s="252"/>
      <c r="C139" s="341" t="s">
        <v>70</v>
      </c>
      <c r="D139" s="263"/>
      <c r="E139" s="263">
        <v>0</v>
      </c>
      <c r="F139" s="263">
        <v>0</v>
      </c>
      <c r="G139" s="263">
        <v>0</v>
      </c>
      <c r="H139" s="263">
        <v>0</v>
      </c>
      <c r="I139" s="263">
        <v>0</v>
      </c>
      <c r="J139" s="263">
        <v>0</v>
      </c>
    </row>
    <row r="140" spans="1:10">
      <c r="A140" s="339"/>
      <c r="B140" s="252"/>
      <c r="C140" s="342" t="s">
        <v>75</v>
      </c>
      <c r="D140" s="357">
        <f t="shared" ref="D140:J140" si="15">SUBTOTAL(9,D134:D139)</f>
        <v>0</v>
      </c>
      <c r="E140" s="357">
        <f t="shared" si="15"/>
        <v>33.394000000000005</v>
      </c>
      <c r="F140" s="357">
        <f t="shared" si="15"/>
        <v>33.394000000000005</v>
      </c>
      <c r="G140" s="357">
        <f t="shared" si="15"/>
        <v>33.394000000000005</v>
      </c>
      <c r="H140" s="357">
        <f t="shared" si="15"/>
        <v>33.394000000000005</v>
      </c>
      <c r="I140" s="357">
        <f t="shared" si="15"/>
        <v>33.394000000000005</v>
      </c>
      <c r="J140" s="357">
        <f t="shared" si="15"/>
        <v>33.394000000000005</v>
      </c>
    </row>
    <row r="141" spans="1:10">
      <c r="A141" s="339"/>
      <c r="B141" s="252"/>
      <c r="C141" s="342"/>
      <c r="D141" s="329"/>
      <c r="E141" s="329"/>
      <c r="F141" s="329"/>
      <c r="G141" s="329"/>
      <c r="H141" s="329"/>
      <c r="I141" s="329"/>
      <c r="J141" s="329"/>
    </row>
    <row r="142" spans="1:10">
      <c r="A142" s="339">
        <f>+A133+1</f>
        <v>16</v>
      </c>
      <c r="B142" s="252" t="str">
        <f ca="1">OFFSET(List_DAOpexStart,A142,0)</f>
        <v>DA-16</v>
      </c>
      <c r="C142" s="340" t="str">
        <f ca="1">VLOOKUP(B142,List_DirectlyAttributedServices,2,FALSE)</f>
        <v>Meter Reading Charges</v>
      </c>
      <c r="D142" s="329"/>
      <c r="E142" s="329"/>
      <c r="F142" s="329"/>
      <c r="G142" s="329"/>
      <c r="H142" s="329"/>
      <c r="I142" s="329"/>
      <c r="J142" s="329"/>
    </row>
    <row r="143" spans="1:10">
      <c r="A143" s="339"/>
      <c r="B143" s="252"/>
      <c r="C143" s="341" t="s">
        <v>68</v>
      </c>
      <c r="D143" s="771"/>
      <c r="E143" s="771">
        <v>0</v>
      </c>
      <c r="F143" s="771">
        <v>0</v>
      </c>
      <c r="G143" s="771">
        <v>0</v>
      </c>
      <c r="H143" s="771">
        <v>0</v>
      </c>
      <c r="I143" s="771">
        <v>0</v>
      </c>
      <c r="J143" s="771">
        <v>0</v>
      </c>
    </row>
    <row r="144" spans="1:10">
      <c r="A144" s="339"/>
      <c r="B144" s="252"/>
      <c r="C144" s="341" t="s">
        <v>69</v>
      </c>
      <c r="D144" s="771"/>
      <c r="E144" s="771">
        <v>0</v>
      </c>
      <c r="F144" s="771">
        <v>0</v>
      </c>
      <c r="G144" s="771">
        <v>0</v>
      </c>
      <c r="H144" s="771">
        <v>0</v>
      </c>
      <c r="I144" s="771">
        <v>0</v>
      </c>
      <c r="J144" s="771">
        <v>0</v>
      </c>
    </row>
    <row r="145" spans="1:10" s="759" customFormat="1">
      <c r="A145" s="339"/>
      <c r="B145" s="252"/>
      <c r="C145" s="341" t="s">
        <v>646</v>
      </c>
      <c r="D145" s="771"/>
      <c r="E145" s="771">
        <v>0</v>
      </c>
      <c r="F145" s="771">
        <v>0</v>
      </c>
      <c r="G145" s="771">
        <v>0</v>
      </c>
      <c r="H145" s="771">
        <v>0</v>
      </c>
      <c r="I145" s="771">
        <v>0</v>
      </c>
      <c r="J145" s="771">
        <v>0</v>
      </c>
    </row>
    <row r="146" spans="1:10">
      <c r="A146" s="339"/>
      <c r="B146" s="252"/>
      <c r="C146" s="341" t="s">
        <v>647</v>
      </c>
      <c r="D146" s="263"/>
      <c r="E146" s="263">
        <v>0</v>
      </c>
      <c r="F146" s="263">
        <v>0</v>
      </c>
      <c r="G146" s="263">
        <v>0</v>
      </c>
      <c r="H146" s="263">
        <v>0</v>
      </c>
      <c r="I146" s="263">
        <v>0</v>
      </c>
      <c r="J146" s="263">
        <v>0</v>
      </c>
    </row>
    <row r="147" spans="1:10" s="759" customFormat="1">
      <c r="A147" s="339"/>
      <c r="B147" s="252"/>
      <c r="C147" s="341" t="s">
        <v>575</v>
      </c>
      <c r="D147" s="263"/>
      <c r="E147" s="263">
        <v>0</v>
      </c>
      <c r="F147" s="263">
        <v>0</v>
      </c>
      <c r="G147" s="263">
        <v>0</v>
      </c>
      <c r="H147" s="263">
        <v>0</v>
      </c>
      <c r="I147" s="263">
        <v>0</v>
      </c>
      <c r="J147" s="263">
        <v>0</v>
      </c>
    </row>
    <row r="148" spans="1:10">
      <c r="A148" s="339"/>
      <c r="B148" s="252"/>
      <c r="C148" s="341" t="s">
        <v>70</v>
      </c>
      <c r="D148" s="263"/>
      <c r="E148" s="263">
        <v>0</v>
      </c>
      <c r="F148" s="263">
        <v>0</v>
      </c>
      <c r="G148" s="263">
        <v>0</v>
      </c>
      <c r="H148" s="263">
        <v>0</v>
      </c>
      <c r="I148" s="263">
        <v>0</v>
      </c>
      <c r="J148" s="263">
        <v>0</v>
      </c>
    </row>
    <row r="149" spans="1:10">
      <c r="A149" s="339"/>
      <c r="B149" s="252"/>
      <c r="C149" s="342" t="s">
        <v>75</v>
      </c>
      <c r="D149" s="357">
        <f t="shared" ref="D149:J149" si="16">SUBTOTAL(9,D143:D148)</f>
        <v>0</v>
      </c>
      <c r="E149" s="357">
        <f t="shared" si="16"/>
        <v>0</v>
      </c>
      <c r="F149" s="357">
        <f t="shared" si="16"/>
        <v>0</v>
      </c>
      <c r="G149" s="357">
        <f t="shared" si="16"/>
        <v>0</v>
      </c>
      <c r="H149" s="357">
        <f t="shared" si="16"/>
        <v>0</v>
      </c>
      <c r="I149" s="357">
        <f t="shared" si="16"/>
        <v>0</v>
      </c>
      <c r="J149" s="357">
        <f t="shared" si="16"/>
        <v>0</v>
      </c>
    </row>
    <row r="150" spans="1:10">
      <c r="A150" s="339"/>
      <c r="B150" s="252"/>
      <c r="C150" s="342"/>
      <c r="D150" s="329"/>
      <c r="E150" s="329"/>
      <c r="F150" s="329"/>
      <c r="G150" s="329"/>
      <c r="H150" s="329"/>
      <c r="I150" s="329"/>
      <c r="J150" s="329"/>
    </row>
    <row r="151" spans="1:10">
      <c r="A151" s="339">
        <f>+A142+1</f>
        <v>17</v>
      </c>
      <c r="B151" s="252" t="str">
        <f ca="1">OFFSET(List_DAOpexStart,A151,0)</f>
        <v>DA-17</v>
      </c>
      <c r="C151" s="340" t="str">
        <f ca="1">VLOOKUP(B151,List_DirectlyAttributedServices,2,FALSE)</f>
        <v>Call Centre Charges</v>
      </c>
      <c r="D151" s="329"/>
      <c r="E151" s="329"/>
      <c r="F151" s="329"/>
      <c r="G151" s="329"/>
      <c r="H151" s="329"/>
      <c r="I151" s="329"/>
      <c r="J151" s="329"/>
    </row>
    <row r="152" spans="1:10">
      <c r="A152" s="339"/>
      <c r="B152" s="252"/>
      <c r="C152" s="341" t="s">
        <v>68</v>
      </c>
      <c r="D152" s="771"/>
      <c r="E152" s="771">
        <v>0</v>
      </c>
      <c r="F152" s="771">
        <v>0</v>
      </c>
      <c r="G152" s="771">
        <v>0</v>
      </c>
      <c r="H152" s="771">
        <v>0</v>
      </c>
      <c r="I152" s="771">
        <v>0</v>
      </c>
      <c r="J152" s="771">
        <v>0</v>
      </c>
    </row>
    <row r="153" spans="1:10">
      <c r="A153" s="339"/>
      <c r="B153" s="252"/>
      <c r="C153" s="341" t="s">
        <v>69</v>
      </c>
      <c r="D153" s="771"/>
      <c r="E153" s="771">
        <v>0</v>
      </c>
      <c r="F153" s="771">
        <v>0</v>
      </c>
      <c r="G153" s="771">
        <v>0</v>
      </c>
      <c r="H153" s="771">
        <v>0</v>
      </c>
      <c r="I153" s="771">
        <v>0</v>
      </c>
      <c r="J153" s="771">
        <v>0</v>
      </c>
    </row>
    <row r="154" spans="1:10" s="759" customFormat="1">
      <c r="A154" s="339"/>
      <c r="B154" s="252"/>
      <c r="C154" s="341" t="s">
        <v>646</v>
      </c>
      <c r="D154" s="771"/>
      <c r="E154" s="771">
        <v>0</v>
      </c>
      <c r="F154" s="771">
        <v>0</v>
      </c>
      <c r="G154" s="771">
        <v>0</v>
      </c>
      <c r="H154" s="771">
        <v>0</v>
      </c>
      <c r="I154" s="771">
        <v>0</v>
      </c>
      <c r="J154" s="771">
        <v>0</v>
      </c>
    </row>
    <row r="155" spans="1:10">
      <c r="A155" s="339"/>
      <c r="B155" s="252"/>
      <c r="C155" s="341" t="s">
        <v>647</v>
      </c>
      <c r="D155" s="263"/>
      <c r="E155" s="263">
        <v>2.9550000000000001</v>
      </c>
      <c r="F155" s="263">
        <v>2.9550000000000001</v>
      </c>
      <c r="G155" s="263">
        <v>2.9550000000000001</v>
      </c>
      <c r="H155" s="263">
        <v>2.9550000000000001</v>
      </c>
      <c r="I155" s="263">
        <v>2.9550000000000001</v>
      </c>
      <c r="J155" s="263">
        <v>2.9550000000000001</v>
      </c>
    </row>
    <row r="156" spans="1:10" s="759" customFormat="1">
      <c r="A156" s="339"/>
      <c r="B156" s="252"/>
      <c r="C156" s="341" t="s">
        <v>575</v>
      </c>
      <c r="D156" s="263"/>
      <c r="E156" s="263">
        <v>0</v>
      </c>
      <c r="F156" s="263">
        <v>0</v>
      </c>
      <c r="G156" s="263">
        <v>0</v>
      </c>
      <c r="H156" s="263">
        <v>0</v>
      </c>
      <c r="I156" s="263">
        <v>0</v>
      </c>
      <c r="J156" s="263">
        <v>0</v>
      </c>
    </row>
    <row r="157" spans="1:10">
      <c r="A157" s="339"/>
      <c r="B157" s="252"/>
      <c r="C157" s="341" t="s">
        <v>70</v>
      </c>
      <c r="D157" s="263"/>
      <c r="E157" s="263">
        <v>0</v>
      </c>
      <c r="F157" s="263">
        <v>0</v>
      </c>
      <c r="G157" s="263">
        <v>0</v>
      </c>
      <c r="H157" s="263">
        <v>0</v>
      </c>
      <c r="I157" s="263">
        <v>0</v>
      </c>
      <c r="J157" s="263">
        <v>0</v>
      </c>
    </row>
    <row r="158" spans="1:10">
      <c r="A158" s="339"/>
      <c r="B158" s="252"/>
      <c r="C158" s="342" t="s">
        <v>75</v>
      </c>
      <c r="D158" s="357">
        <f t="shared" ref="D158:J158" si="17">SUBTOTAL(9,D152:D157)</f>
        <v>0</v>
      </c>
      <c r="E158" s="357">
        <f t="shared" si="17"/>
        <v>2.9550000000000001</v>
      </c>
      <c r="F158" s="357">
        <f t="shared" si="17"/>
        <v>2.9550000000000001</v>
      </c>
      <c r="G158" s="357">
        <f t="shared" si="17"/>
        <v>2.9550000000000001</v>
      </c>
      <c r="H158" s="357">
        <f t="shared" si="17"/>
        <v>2.9550000000000001</v>
      </c>
      <c r="I158" s="357">
        <f t="shared" si="17"/>
        <v>2.9550000000000001</v>
      </c>
      <c r="J158" s="357">
        <f t="shared" si="17"/>
        <v>2.9550000000000001</v>
      </c>
    </row>
    <row r="159" spans="1:10">
      <c r="A159" s="339"/>
      <c r="B159" s="252"/>
      <c r="C159" s="342"/>
      <c r="D159" s="329"/>
      <c r="E159" s="329"/>
      <c r="F159" s="329"/>
      <c r="G159" s="329"/>
      <c r="H159" s="329"/>
      <c r="I159" s="329"/>
      <c r="J159" s="329"/>
    </row>
    <row r="160" spans="1:10">
      <c r="A160" s="339">
        <f>+A151+1</f>
        <v>18</v>
      </c>
      <c r="B160" s="252" t="str">
        <f ca="1">OFFSET(List_DAOpexStart,A160,0)</f>
        <v>DA-18</v>
      </c>
      <c r="C160" s="340" t="str">
        <f ca="1">VLOOKUP(B160,List_DirectlyAttributedServices,2,FALSE)</f>
        <v>Demand Management</v>
      </c>
      <c r="D160" s="329"/>
      <c r="E160" s="329"/>
      <c r="F160" s="329"/>
      <c r="G160" s="329"/>
      <c r="H160" s="329"/>
      <c r="I160" s="329"/>
      <c r="J160" s="329"/>
    </row>
    <row r="161" spans="1:11">
      <c r="A161" s="3"/>
      <c r="B161" s="252"/>
      <c r="C161" s="341" t="s">
        <v>68</v>
      </c>
      <c r="D161" s="771"/>
      <c r="E161" s="771">
        <v>0.71</v>
      </c>
      <c r="F161" s="771">
        <v>0.71</v>
      </c>
      <c r="G161" s="771">
        <v>0.71</v>
      </c>
      <c r="H161" s="771">
        <v>0.71</v>
      </c>
      <c r="I161" s="771">
        <v>0.71</v>
      </c>
      <c r="J161" s="771">
        <v>0.71</v>
      </c>
    </row>
    <row r="162" spans="1:11">
      <c r="A162" s="3"/>
      <c r="B162" s="252"/>
      <c r="C162" s="341" t="s">
        <v>69</v>
      </c>
      <c r="D162" s="771"/>
      <c r="E162" s="771">
        <v>0.20899999999999999</v>
      </c>
      <c r="F162" s="771">
        <v>0.20899999999999999</v>
      </c>
      <c r="G162" s="771">
        <v>0.20899999999999999</v>
      </c>
      <c r="H162" s="771">
        <v>0.20899999999999999</v>
      </c>
      <c r="I162" s="771">
        <v>0.20899999999999999</v>
      </c>
      <c r="J162" s="771">
        <v>0.20899999999999999</v>
      </c>
    </row>
    <row r="163" spans="1:11" s="759" customFormat="1">
      <c r="A163" s="544"/>
      <c r="B163" s="252"/>
      <c r="C163" s="341" t="s">
        <v>646</v>
      </c>
      <c r="D163" s="771"/>
      <c r="E163" s="771">
        <v>7.4999999999999997E-2</v>
      </c>
      <c r="F163" s="771">
        <v>7.4999999999999997E-2</v>
      </c>
      <c r="G163" s="771">
        <v>7.4999999999999997E-2</v>
      </c>
      <c r="H163" s="771">
        <v>7.4999999999999997E-2</v>
      </c>
      <c r="I163" s="771">
        <v>7.4999999999999997E-2</v>
      </c>
      <c r="J163" s="771">
        <v>7.4999999999999997E-2</v>
      </c>
    </row>
    <row r="164" spans="1:11">
      <c r="A164" s="3"/>
      <c r="B164" s="252"/>
      <c r="C164" s="341" t="s">
        <v>647</v>
      </c>
      <c r="D164" s="263"/>
      <c r="E164" s="263">
        <v>0.32400000000000001</v>
      </c>
      <c r="F164" s="263">
        <v>0.32400000000000001</v>
      </c>
      <c r="G164" s="263">
        <v>0.32400000000000001</v>
      </c>
      <c r="H164" s="263">
        <v>0.32400000000000001</v>
      </c>
      <c r="I164" s="263">
        <v>0.32400000000000001</v>
      </c>
      <c r="J164" s="263">
        <v>0.32400000000000001</v>
      </c>
    </row>
    <row r="165" spans="1:11" s="759" customFormat="1">
      <c r="A165" s="544"/>
      <c r="B165" s="252"/>
      <c r="C165" s="341" t="s">
        <v>575</v>
      </c>
      <c r="D165" s="263"/>
      <c r="E165" s="263">
        <v>-0.122</v>
      </c>
      <c r="F165" s="263">
        <v>-0.122</v>
      </c>
      <c r="G165" s="263">
        <v>-0.122</v>
      </c>
      <c r="H165" s="263">
        <v>-0.122</v>
      </c>
      <c r="I165" s="263">
        <v>-0.122</v>
      </c>
      <c r="J165" s="263">
        <v>-0.122</v>
      </c>
    </row>
    <row r="166" spans="1:11">
      <c r="A166" s="3"/>
      <c r="B166" s="252"/>
      <c r="C166" s="341" t="s">
        <v>70</v>
      </c>
      <c r="D166" s="263"/>
      <c r="E166" s="263">
        <v>0</v>
      </c>
      <c r="F166" s="263">
        <v>0</v>
      </c>
      <c r="G166" s="263">
        <v>0</v>
      </c>
      <c r="H166" s="263">
        <v>0</v>
      </c>
      <c r="I166" s="263">
        <v>0</v>
      </c>
      <c r="J166" s="263">
        <v>0</v>
      </c>
    </row>
    <row r="167" spans="1:11">
      <c r="A167" s="3"/>
      <c r="B167" s="252"/>
      <c r="C167" s="342" t="s">
        <v>75</v>
      </c>
      <c r="D167" s="357">
        <f t="shared" ref="D167:J167" si="18">SUBTOTAL(9,D161:D166)</f>
        <v>0</v>
      </c>
      <c r="E167" s="357">
        <f t="shared" si="18"/>
        <v>1.1959999999999997</v>
      </c>
      <c r="F167" s="357">
        <f t="shared" si="18"/>
        <v>1.1959999999999997</v>
      </c>
      <c r="G167" s="357">
        <f t="shared" si="18"/>
        <v>1.1959999999999997</v>
      </c>
      <c r="H167" s="357">
        <f t="shared" si="18"/>
        <v>1.1959999999999997</v>
      </c>
      <c r="I167" s="357">
        <f t="shared" si="18"/>
        <v>1.1959999999999997</v>
      </c>
      <c r="J167" s="357">
        <f t="shared" si="18"/>
        <v>1.1959999999999997</v>
      </c>
      <c r="K167" s="489"/>
    </row>
    <row r="168" spans="1:11">
      <c r="A168" s="3"/>
      <c r="B168" s="252"/>
      <c r="C168" s="342"/>
      <c r="D168" s="329"/>
      <c r="E168" s="329"/>
      <c r="F168" s="329"/>
      <c r="G168" s="329"/>
      <c r="H168" s="329"/>
      <c r="I168" s="329"/>
      <c r="J168" s="329"/>
    </row>
    <row r="169" spans="1:11">
      <c r="A169" s="339">
        <f>+A160+1</f>
        <v>19</v>
      </c>
      <c r="B169" s="252" t="str">
        <f ca="1">OFFSET(List_DAOpexStart,A169,0)</f>
        <v>DA-19</v>
      </c>
      <c r="C169" s="340" t="str">
        <f ca="1">VLOOKUP(B169,List_DirectlyAttributedServices,2,FALSE)</f>
        <v>Demand Management Innovation Fund</v>
      </c>
      <c r="D169" s="329"/>
      <c r="E169" s="329"/>
      <c r="F169" s="329"/>
      <c r="G169" s="329"/>
      <c r="H169" s="329"/>
      <c r="I169" s="329"/>
      <c r="J169" s="329"/>
    </row>
    <row r="170" spans="1:11">
      <c r="A170" s="339"/>
      <c r="B170" s="252"/>
      <c r="C170" s="341" t="s">
        <v>68</v>
      </c>
      <c r="D170" s="771"/>
      <c r="E170" s="771"/>
      <c r="F170" s="771"/>
      <c r="G170" s="771"/>
      <c r="H170" s="771"/>
      <c r="I170" s="771"/>
      <c r="J170" s="771"/>
    </row>
    <row r="171" spans="1:11">
      <c r="A171" s="339"/>
      <c r="B171" s="252"/>
      <c r="C171" s="341" t="s">
        <v>69</v>
      </c>
      <c r="D171" s="771"/>
      <c r="E171" s="771"/>
      <c r="F171" s="771"/>
      <c r="G171" s="771"/>
      <c r="H171" s="771"/>
      <c r="I171" s="771"/>
      <c r="J171" s="771"/>
    </row>
    <row r="172" spans="1:11" s="759" customFormat="1">
      <c r="A172" s="339"/>
      <c r="B172" s="252"/>
      <c r="C172" s="341" t="s">
        <v>646</v>
      </c>
      <c r="D172" s="771"/>
      <c r="E172" s="771"/>
      <c r="F172" s="771"/>
      <c r="G172" s="771"/>
      <c r="H172" s="771"/>
      <c r="I172" s="771"/>
      <c r="J172" s="771"/>
    </row>
    <row r="173" spans="1:11">
      <c r="A173" s="339"/>
      <c r="B173" s="252"/>
      <c r="C173" s="341" t="s">
        <v>647</v>
      </c>
      <c r="D173" s="263"/>
      <c r="E173" s="263"/>
      <c r="F173" s="263"/>
      <c r="G173" s="263"/>
      <c r="H173" s="263"/>
      <c r="I173" s="263"/>
      <c r="J173" s="263"/>
    </row>
    <row r="174" spans="1:11" s="759" customFormat="1">
      <c r="A174" s="339"/>
      <c r="B174" s="252"/>
      <c r="C174" s="341" t="s">
        <v>575</v>
      </c>
      <c r="D174" s="263"/>
      <c r="E174" s="263"/>
      <c r="F174" s="263"/>
      <c r="G174" s="263"/>
      <c r="H174" s="263"/>
      <c r="I174" s="263"/>
      <c r="J174" s="263"/>
    </row>
    <row r="175" spans="1:11">
      <c r="A175" s="339"/>
      <c r="B175" s="252"/>
      <c r="C175" s="341" t="s">
        <v>70</v>
      </c>
      <c r="D175" s="263"/>
      <c r="E175" s="263"/>
      <c r="F175" s="263"/>
      <c r="G175" s="263"/>
      <c r="H175" s="263"/>
      <c r="I175" s="263"/>
      <c r="J175" s="263"/>
    </row>
    <row r="176" spans="1:11">
      <c r="A176" s="339"/>
      <c r="B176" s="252"/>
      <c r="C176" s="342" t="s">
        <v>75</v>
      </c>
      <c r="D176" s="357">
        <f t="shared" ref="D176:J176" si="19">SUBTOTAL(9,D170:D175)</f>
        <v>0</v>
      </c>
      <c r="E176" s="357">
        <f t="shared" si="19"/>
        <v>0</v>
      </c>
      <c r="F176" s="357">
        <f t="shared" si="19"/>
        <v>0</v>
      </c>
      <c r="G176" s="357">
        <f t="shared" si="19"/>
        <v>0</v>
      </c>
      <c r="H176" s="357">
        <f t="shared" si="19"/>
        <v>0</v>
      </c>
      <c r="I176" s="357">
        <f t="shared" si="19"/>
        <v>0</v>
      </c>
      <c r="J176" s="357">
        <f t="shared" si="19"/>
        <v>0</v>
      </c>
    </row>
    <row r="177" spans="1:10">
      <c r="A177" s="339"/>
      <c r="B177" s="252"/>
      <c r="C177" s="342"/>
      <c r="D177" s="329"/>
      <c r="E177" s="329"/>
      <c r="F177" s="329"/>
      <c r="G177" s="329"/>
      <c r="H177" s="329"/>
      <c r="I177" s="329"/>
      <c r="J177" s="329"/>
    </row>
    <row r="178" spans="1:10">
      <c r="A178" s="339">
        <f>+A169+1</f>
        <v>20</v>
      </c>
      <c r="B178" s="252" t="str">
        <f ca="1">OFFSET(List_DAOpexStart,A178,0)</f>
        <v>DA-20</v>
      </c>
      <c r="C178" s="340" t="str">
        <f ca="1">VLOOKUP(B178,List_DirectlyAttributedServices,2,FALSE)</f>
        <v>Guaranteed Service Level Payments</v>
      </c>
      <c r="D178" s="329"/>
      <c r="E178" s="329"/>
      <c r="F178" s="329"/>
      <c r="G178" s="329"/>
      <c r="H178" s="329"/>
      <c r="I178" s="329"/>
      <c r="J178" s="329"/>
    </row>
    <row r="179" spans="1:10">
      <c r="A179" s="339"/>
      <c r="B179" s="252"/>
      <c r="C179" s="341" t="s">
        <v>68</v>
      </c>
      <c r="D179" s="771"/>
      <c r="E179" s="771">
        <v>0</v>
      </c>
      <c r="F179" s="771">
        <v>0</v>
      </c>
      <c r="G179" s="771">
        <v>0</v>
      </c>
      <c r="H179" s="771">
        <v>0</v>
      </c>
      <c r="I179" s="771">
        <v>0</v>
      </c>
      <c r="J179" s="771">
        <v>0</v>
      </c>
    </row>
    <row r="180" spans="1:10">
      <c r="A180" s="339"/>
      <c r="B180" s="252"/>
      <c r="C180" s="341" t="s">
        <v>69</v>
      </c>
      <c r="D180" s="771"/>
      <c r="E180" s="771">
        <v>0</v>
      </c>
      <c r="F180" s="771">
        <v>0</v>
      </c>
      <c r="G180" s="771">
        <v>0</v>
      </c>
      <c r="H180" s="771">
        <v>0</v>
      </c>
      <c r="I180" s="771">
        <v>0</v>
      </c>
      <c r="J180" s="771">
        <v>0</v>
      </c>
    </row>
    <row r="181" spans="1:10" s="759" customFormat="1">
      <c r="A181" s="339"/>
      <c r="B181" s="252"/>
      <c r="C181" s="341" t="s">
        <v>646</v>
      </c>
      <c r="D181" s="771"/>
      <c r="E181" s="771">
        <v>0</v>
      </c>
      <c r="F181" s="771">
        <v>0</v>
      </c>
      <c r="G181" s="771">
        <v>0</v>
      </c>
      <c r="H181" s="771">
        <v>0</v>
      </c>
      <c r="I181" s="771">
        <v>0</v>
      </c>
      <c r="J181" s="771">
        <v>0</v>
      </c>
    </row>
    <row r="182" spans="1:10">
      <c r="A182" s="339"/>
      <c r="B182" s="252"/>
      <c r="C182" s="341" t="s">
        <v>647</v>
      </c>
      <c r="D182" s="263"/>
      <c r="E182" s="263">
        <v>0</v>
      </c>
      <c r="F182" s="263">
        <v>0</v>
      </c>
      <c r="G182" s="263">
        <v>0</v>
      </c>
      <c r="H182" s="263">
        <v>0</v>
      </c>
      <c r="I182" s="263">
        <v>0</v>
      </c>
      <c r="J182" s="263">
        <v>0</v>
      </c>
    </row>
    <row r="183" spans="1:10" s="759" customFormat="1">
      <c r="A183" s="339"/>
      <c r="B183" s="252"/>
      <c r="C183" s="341" t="s">
        <v>575</v>
      </c>
      <c r="D183" s="263"/>
      <c r="E183" s="263">
        <v>0</v>
      </c>
      <c r="F183" s="263">
        <v>0</v>
      </c>
      <c r="G183" s="263">
        <v>0</v>
      </c>
      <c r="H183" s="263">
        <v>0</v>
      </c>
      <c r="I183" s="263">
        <v>0</v>
      </c>
      <c r="J183" s="263">
        <v>0</v>
      </c>
    </row>
    <row r="184" spans="1:10">
      <c r="A184" s="339"/>
      <c r="B184" s="252"/>
      <c r="C184" s="341" t="s">
        <v>70</v>
      </c>
      <c r="D184" s="263"/>
      <c r="E184" s="867">
        <v>9.9329999999999998</v>
      </c>
      <c r="F184" s="867">
        <v>9.9329999999999998</v>
      </c>
      <c r="G184" s="867">
        <v>9.9329999999999998</v>
      </c>
      <c r="H184" s="867">
        <v>9.9329999999999998</v>
      </c>
      <c r="I184" s="867">
        <v>9.9329999999999998</v>
      </c>
      <c r="J184" s="867">
        <v>9.9329999999999998</v>
      </c>
    </row>
    <row r="185" spans="1:10">
      <c r="A185" s="339"/>
      <c r="B185" s="252"/>
      <c r="C185" s="342" t="s">
        <v>75</v>
      </c>
      <c r="D185" s="357">
        <f t="shared" ref="D185:J185" si="20">SUBTOTAL(9,D179:D184)</f>
        <v>0</v>
      </c>
      <c r="E185" s="357">
        <f t="shared" si="20"/>
        <v>9.9329999999999998</v>
      </c>
      <c r="F185" s="357">
        <f t="shared" si="20"/>
        <v>9.9329999999999998</v>
      </c>
      <c r="G185" s="357">
        <f t="shared" si="20"/>
        <v>9.9329999999999998</v>
      </c>
      <c r="H185" s="357">
        <f t="shared" si="20"/>
        <v>9.9329999999999998</v>
      </c>
      <c r="I185" s="357">
        <f t="shared" si="20"/>
        <v>9.9329999999999998</v>
      </c>
      <c r="J185" s="357">
        <f t="shared" si="20"/>
        <v>9.9329999999999998</v>
      </c>
    </row>
    <row r="186" spans="1:10">
      <c r="A186" s="339"/>
      <c r="B186" s="252"/>
      <c r="C186" s="342"/>
      <c r="D186" s="329"/>
      <c r="E186" s="329"/>
      <c r="F186" s="329"/>
      <c r="G186" s="329"/>
      <c r="H186" s="329"/>
      <c r="I186" s="329"/>
      <c r="J186" s="329"/>
    </row>
    <row r="187" spans="1:10">
      <c r="A187" s="339">
        <f>+A178+1</f>
        <v>21</v>
      </c>
      <c r="B187" s="252" t="str">
        <f ca="1">OFFSET(List_DAOpexStart,A187,0)</f>
        <v>DA-21</v>
      </c>
      <c r="C187" s="340" t="str">
        <f ca="1">VLOOKUP(B187,List_DirectlyAttributedServices,2,FALSE)</f>
        <v>Property – Substation Sites</v>
      </c>
      <c r="D187" s="329"/>
      <c r="E187" s="329"/>
      <c r="F187" s="329"/>
      <c r="G187" s="329"/>
      <c r="H187" s="329"/>
      <c r="I187" s="329"/>
      <c r="J187" s="329"/>
    </row>
    <row r="188" spans="1:10">
      <c r="A188" s="339"/>
      <c r="B188" s="252"/>
      <c r="C188" s="341" t="s">
        <v>68</v>
      </c>
      <c r="D188" s="771"/>
      <c r="E188" s="771">
        <v>0.64</v>
      </c>
      <c r="F188" s="771">
        <v>0.64</v>
      </c>
      <c r="G188" s="771">
        <v>0.64</v>
      </c>
      <c r="H188" s="771">
        <v>0.64</v>
      </c>
      <c r="I188" s="771">
        <v>0.64</v>
      </c>
      <c r="J188" s="771">
        <v>0.64</v>
      </c>
    </row>
    <row r="189" spans="1:10" s="759" customFormat="1">
      <c r="A189" s="339"/>
      <c r="B189" s="252"/>
      <c r="C189" s="341" t="s">
        <v>69</v>
      </c>
      <c r="D189" s="771"/>
      <c r="E189" s="771">
        <v>0.14899999999999999</v>
      </c>
      <c r="F189" s="771">
        <v>0.14899999999999999</v>
      </c>
      <c r="G189" s="771">
        <v>0.14899999999999999</v>
      </c>
      <c r="H189" s="771">
        <v>0.14899999999999999</v>
      </c>
      <c r="I189" s="771">
        <v>0.14899999999999999</v>
      </c>
      <c r="J189" s="771">
        <v>0.14899999999999999</v>
      </c>
    </row>
    <row r="190" spans="1:10">
      <c r="A190" s="339"/>
      <c r="B190" s="252"/>
      <c r="C190" s="341" t="s">
        <v>646</v>
      </c>
      <c r="D190" s="771"/>
      <c r="E190" s="771">
        <v>5.0000000000000001E-3</v>
      </c>
      <c r="F190" s="771">
        <v>5.0000000000000001E-3</v>
      </c>
      <c r="G190" s="771">
        <v>5.0000000000000001E-3</v>
      </c>
      <c r="H190" s="771">
        <v>5.0000000000000001E-3</v>
      </c>
      <c r="I190" s="771">
        <v>5.0000000000000001E-3</v>
      </c>
      <c r="J190" s="771">
        <v>5.0000000000000001E-3</v>
      </c>
    </row>
    <row r="191" spans="1:10" s="759" customFormat="1">
      <c r="A191" s="339"/>
      <c r="B191" s="252"/>
      <c r="C191" s="341" t="s">
        <v>647</v>
      </c>
      <c r="D191" s="263"/>
      <c r="E191" s="263">
        <v>4.3969999999999994</v>
      </c>
      <c r="F191" s="263">
        <v>4.3969999999999994</v>
      </c>
      <c r="G191" s="263">
        <v>4.3969999999999994</v>
      </c>
      <c r="H191" s="263">
        <v>4.3969999999999994</v>
      </c>
      <c r="I191" s="263">
        <v>4.3969999999999994</v>
      </c>
      <c r="J191" s="263">
        <v>4.3969999999999994</v>
      </c>
    </row>
    <row r="192" spans="1:10">
      <c r="A192" s="339"/>
      <c r="B192" s="252"/>
      <c r="C192" s="341" t="s">
        <v>575</v>
      </c>
      <c r="D192" s="263"/>
      <c r="E192" s="263">
        <v>0</v>
      </c>
      <c r="F192" s="263">
        <v>0</v>
      </c>
      <c r="G192" s="263">
        <v>0</v>
      </c>
      <c r="H192" s="263">
        <v>0</v>
      </c>
      <c r="I192" s="263">
        <v>0</v>
      </c>
      <c r="J192" s="263">
        <v>0</v>
      </c>
    </row>
    <row r="193" spans="1:10">
      <c r="A193" s="339"/>
      <c r="B193" s="252"/>
      <c r="C193" s="341" t="s">
        <v>70</v>
      </c>
      <c r="D193" s="263"/>
      <c r="E193" s="263">
        <v>1.546</v>
      </c>
      <c r="F193" s="263">
        <v>1.546</v>
      </c>
      <c r="G193" s="263">
        <v>1.546</v>
      </c>
      <c r="H193" s="263">
        <v>1.546</v>
      </c>
      <c r="I193" s="263">
        <v>1.546</v>
      </c>
      <c r="J193" s="263">
        <v>1.546</v>
      </c>
    </row>
    <row r="194" spans="1:10">
      <c r="A194" s="339"/>
      <c r="B194" s="252"/>
      <c r="C194" s="342" t="s">
        <v>75</v>
      </c>
      <c r="D194" s="357">
        <f t="shared" ref="D194:J194" si="21">SUBTOTAL(9,D188:D193)</f>
        <v>0</v>
      </c>
      <c r="E194" s="357">
        <f t="shared" si="21"/>
        <v>6.7369999999999992</v>
      </c>
      <c r="F194" s="357">
        <f t="shared" si="21"/>
        <v>6.7369999999999992</v>
      </c>
      <c r="G194" s="357">
        <f t="shared" si="21"/>
        <v>6.7369999999999992</v>
      </c>
      <c r="H194" s="357">
        <f t="shared" si="21"/>
        <v>6.7369999999999992</v>
      </c>
      <c r="I194" s="357">
        <f t="shared" si="21"/>
        <v>6.7369999999999992</v>
      </c>
      <c r="J194" s="357">
        <f t="shared" si="21"/>
        <v>6.7369999999999992</v>
      </c>
    </row>
    <row r="195" spans="1:10">
      <c r="A195" s="339"/>
      <c r="B195" s="252"/>
      <c r="C195" s="342"/>
      <c r="D195" s="329"/>
      <c r="E195" s="329"/>
      <c r="F195" s="329"/>
      <c r="G195" s="329"/>
      <c r="H195" s="329"/>
      <c r="I195" s="329"/>
      <c r="J195" s="329"/>
    </row>
    <row r="196" spans="1:10">
      <c r="A196" s="339">
        <f>+A187+1</f>
        <v>22</v>
      </c>
      <c r="B196" s="252" t="str">
        <f ca="1">OFFSET(List_DAOpexStart,A196,0)</f>
        <v>DA-22</v>
      </c>
      <c r="C196" s="340" t="str">
        <f ca="1">VLOOKUP(B196,List_DirectlyAttributedServices,2,FALSE)</f>
        <v>Network Insurance</v>
      </c>
      <c r="D196" s="329"/>
      <c r="E196" s="329"/>
      <c r="F196" s="329"/>
      <c r="G196" s="329"/>
      <c r="H196" s="329"/>
      <c r="I196" s="329"/>
      <c r="J196" s="329"/>
    </row>
    <row r="197" spans="1:10">
      <c r="A197" s="339"/>
      <c r="B197" s="252"/>
      <c r="C197" s="341" t="s">
        <v>68</v>
      </c>
      <c r="D197" s="771"/>
      <c r="E197" s="771">
        <v>0.4594860449285228</v>
      </c>
      <c r="F197" s="771">
        <v>0.4594860449285228</v>
      </c>
      <c r="G197" s="771">
        <v>0.4594860449285228</v>
      </c>
      <c r="H197" s="771">
        <v>0.4594860449285228</v>
      </c>
      <c r="I197" s="771">
        <v>0.4594860449285228</v>
      </c>
      <c r="J197" s="771">
        <v>0.4594860449285228</v>
      </c>
    </row>
    <row r="198" spans="1:10">
      <c r="A198" s="339"/>
      <c r="B198" s="252"/>
      <c r="C198" s="341" t="s">
        <v>69</v>
      </c>
      <c r="D198" s="771"/>
      <c r="E198" s="771">
        <v>0</v>
      </c>
      <c r="F198" s="771">
        <v>0</v>
      </c>
      <c r="G198" s="771">
        <v>0</v>
      </c>
      <c r="H198" s="771">
        <v>0</v>
      </c>
      <c r="I198" s="771">
        <v>0</v>
      </c>
      <c r="J198" s="771">
        <v>0</v>
      </c>
    </row>
    <row r="199" spans="1:10" s="759" customFormat="1">
      <c r="A199" s="339"/>
      <c r="B199" s="252"/>
      <c r="C199" s="341" t="s">
        <v>646</v>
      </c>
      <c r="D199" s="771"/>
      <c r="E199" s="771">
        <v>6.9142273655547993E-3</v>
      </c>
      <c r="F199" s="771">
        <v>6.9142273655547993E-3</v>
      </c>
      <c r="G199" s="771">
        <v>6.9142273655547993E-3</v>
      </c>
      <c r="H199" s="771">
        <v>6.9142273655547993E-3</v>
      </c>
      <c r="I199" s="771">
        <v>6.9142273655547993E-3</v>
      </c>
      <c r="J199" s="771">
        <v>6.9142273655547993E-3</v>
      </c>
    </row>
    <row r="200" spans="1:10">
      <c r="A200" s="339"/>
      <c r="B200" s="252"/>
      <c r="C200" s="341" t="s">
        <v>647</v>
      </c>
      <c r="D200" s="263"/>
      <c r="E200" s="263">
        <v>0</v>
      </c>
      <c r="F200" s="263">
        <v>0</v>
      </c>
      <c r="G200" s="263">
        <v>0</v>
      </c>
      <c r="H200" s="263">
        <v>0</v>
      </c>
      <c r="I200" s="263">
        <v>0</v>
      </c>
      <c r="J200" s="263">
        <v>0</v>
      </c>
    </row>
    <row r="201" spans="1:10" s="759" customFormat="1">
      <c r="A201" s="339"/>
      <c r="B201" s="252"/>
      <c r="C201" s="341" t="s">
        <v>575</v>
      </c>
      <c r="D201" s="263"/>
      <c r="E201" s="263">
        <v>0</v>
      </c>
      <c r="F201" s="263">
        <v>0</v>
      </c>
      <c r="G201" s="263">
        <v>0</v>
      </c>
      <c r="H201" s="263">
        <v>0</v>
      </c>
      <c r="I201" s="263">
        <v>0</v>
      </c>
      <c r="J201" s="263">
        <v>0</v>
      </c>
    </row>
    <row r="202" spans="1:10">
      <c r="A202" s="339"/>
      <c r="B202" s="252"/>
      <c r="C202" s="341" t="s">
        <v>70</v>
      </c>
      <c r="D202" s="263"/>
      <c r="E202" s="867">
        <v>2.536599727705922</v>
      </c>
      <c r="F202" s="867">
        <v>2.536599727705922</v>
      </c>
      <c r="G202" s="867">
        <v>2.536599727705922</v>
      </c>
      <c r="H202" s="867">
        <v>2.536599727705922</v>
      </c>
      <c r="I202" s="867">
        <v>2.536599727705922</v>
      </c>
      <c r="J202" s="867">
        <v>2.536599727705922</v>
      </c>
    </row>
    <row r="203" spans="1:10">
      <c r="A203" s="339"/>
      <c r="B203" s="252"/>
      <c r="C203" s="342" t="s">
        <v>75</v>
      </c>
      <c r="D203" s="357">
        <f t="shared" ref="D203:J203" si="22">SUBTOTAL(9,D197:D202)</f>
        <v>0</v>
      </c>
      <c r="E203" s="357">
        <f t="shared" si="22"/>
        <v>3.0029999999999997</v>
      </c>
      <c r="F203" s="357">
        <f t="shared" si="22"/>
        <v>3.0029999999999997</v>
      </c>
      <c r="G203" s="357">
        <f t="shared" si="22"/>
        <v>3.0029999999999997</v>
      </c>
      <c r="H203" s="357">
        <f t="shared" si="22"/>
        <v>3.0029999999999997</v>
      </c>
      <c r="I203" s="357">
        <f t="shared" si="22"/>
        <v>3.0029999999999997</v>
      </c>
      <c r="J203" s="357">
        <f t="shared" si="22"/>
        <v>3.0029999999999997</v>
      </c>
    </row>
    <row r="204" spans="1:10">
      <c r="A204" s="339"/>
      <c r="B204" s="252"/>
      <c r="C204" s="342"/>
      <c r="D204" s="329"/>
      <c r="E204" s="329"/>
      <c r="F204" s="329"/>
      <c r="G204" s="329"/>
      <c r="H204" s="329"/>
      <c r="I204" s="329"/>
      <c r="J204" s="329"/>
    </row>
    <row r="205" spans="1:10">
      <c r="A205" s="339">
        <f>+A196+1</f>
        <v>23</v>
      </c>
      <c r="B205" s="252" t="str">
        <f ca="1">OFFSET(List_DAOpexStart,A205,0)</f>
        <v>DA-23</v>
      </c>
      <c r="C205" s="340" t="str">
        <f ca="1">VLOOKUP(B205,List_DirectlyAttributedServices,2,FALSE)</f>
        <v>Retail Contestability</v>
      </c>
      <c r="D205" s="329"/>
      <c r="E205" s="329"/>
      <c r="F205" s="329"/>
      <c r="G205" s="329"/>
      <c r="H205" s="329"/>
      <c r="I205" s="329"/>
      <c r="J205" s="329"/>
    </row>
    <row r="206" spans="1:10">
      <c r="A206" s="3"/>
      <c r="B206" s="252"/>
      <c r="C206" s="341" t="s">
        <v>68</v>
      </c>
      <c r="D206" s="771"/>
      <c r="E206" s="771">
        <f>4.531-0.381</f>
        <v>4.1499999999999995</v>
      </c>
      <c r="F206" s="771">
        <f t="shared" ref="F206:J206" si="23">4.531-0.381</f>
        <v>4.1499999999999995</v>
      </c>
      <c r="G206" s="771">
        <f t="shared" si="23"/>
        <v>4.1499999999999995</v>
      </c>
      <c r="H206" s="771">
        <f t="shared" si="23"/>
        <v>4.1499999999999995</v>
      </c>
      <c r="I206" s="771">
        <f t="shared" si="23"/>
        <v>4.1499999999999995</v>
      </c>
      <c r="J206" s="771">
        <f t="shared" si="23"/>
        <v>4.1499999999999995</v>
      </c>
    </row>
    <row r="207" spans="1:10">
      <c r="A207" s="3"/>
      <c r="B207" s="252"/>
      <c r="C207" s="341" t="s">
        <v>69</v>
      </c>
      <c r="D207" s="771"/>
      <c r="E207" s="771">
        <v>5.2999999999999999E-2</v>
      </c>
      <c r="F207" s="771">
        <v>5.2999999999999999E-2</v>
      </c>
      <c r="G207" s="771">
        <v>5.2999999999999999E-2</v>
      </c>
      <c r="H207" s="771">
        <v>5.2999999999999999E-2</v>
      </c>
      <c r="I207" s="771">
        <v>5.2999999999999999E-2</v>
      </c>
      <c r="J207" s="771">
        <v>5.2999999999999999E-2</v>
      </c>
    </row>
    <row r="208" spans="1:10" s="759" customFormat="1">
      <c r="A208" s="544"/>
      <c r="B208" s="252"/>
      <c r="C208" s="341" t="s">
        <v>646</v>
      </c>
      <c r="D208" s="771"/>
      <c r="E208" s="771">
        <v>11.552</v>
      </c>
      <c r="F208" s="771">
        <v>11.552</v>
      </c>
      <c r="G208" s="771">
        <v>11.552</v>
      </c>
      <c r="H208" s="771">
        <v>11.552</v>
      </c>
      <c r="I208" s="771">
        <v>11.552</v>
      </c>
      <c r="J208" s="771">
        <v>11.552</v>
      </c>
    </row>
    <row r="209" spans="1:10">
      <c r="A209" s="3"/>
      <c r="B209" s="252"/>
      <c r="C209" s="341" t="s">
        <v>647</v>
      </c>
      <c r="D209" s="263"/>
      <c r="E209" s="263">
        <f>0.948-1.764</f>
        <v>-0.81600000000000006</v>
      </c>
      <c r="F209" s="263">
        <f t="shared" ref="F209:J209" si="24">0.948-1.764</f>
        <v>-0.81600000000000006</v>
      </c>
      <c r="G209" s="263">
        <f t="shared" si="24"/>
        <v>-0.81600000000000006</v>
      </c>
      <c r="H209" s="263">
        <f t="shared" si="24"/>
        <v>-0.81600000000000006</v>
      </c>
      <c r="I209" s="263">
        <f t="shared" si="24"/>
        <v>-0.81600000000000006</v>
      </c>
      <c r="J209" s="263">
        <f t="shared" si="24"/>
        <v>-0.81600000000000006</v>
      </c>
    </row>
    <row r="210" spans="1:10" s="759" customFormat="1">
      <c r="A210" s="544"/>
      <c r="B210" s="252"/>
      <c r="C210" s="341" t="s">
        <v>575</v>
      </c>
      <c r="D210" s="263"/>
      <c r="E210" s="263">
        <v>-7.3999999999999996E-2</v>
      </c>
      <c r="F210" s="263">
        <v>-7.3999999999999996E-2</v>
      </c>
      <c r="G210" s="263">
        <v>-7.3999999999999996E-2</v>
      </c>
      <c r="H210" s="263">
        <v>-7.3999999999999996E-2</v>
      </c>
      <c r="I210" s="263">
        <v>-7.3999999999999996E-2</v>
      </c>
      <c r="J210" s="263">
        <v>-7.3999999999999996E-2</v>
      </c>
    </row>
    <row r="211" spans="1:10">
      <c r="A211" s="3"/>
      <c r="B211" s="252"/>
      <c r="C211" s="341" t="s">
        <v>70</v>
      </c>
      <c r="D211" s="263"/>
      <c r="E211" s="263">
        <v>0</v>
      </c>
      <c r="F211" s="263">
        <v>0</v>
      </c>
      <c r="G211" s="263">
        <v>0</v>
      </c>
      <c r="H211" s="263">
        <v>0</v>
      </c>
      <c r="I211" s="263">
        <v>0</v>
      </c>
      <c r="J211" s="263">
        <v>0</v>
      </c>
    </row>
    <row r="212" spans="1:10">
      <c r="A212" s="3"/>
      <c r="B212" s="252"/>
      <c r="C212" s="346" t="s">
        <v>75</v>
      </c>
      <c r="D212" s="357">
        <f t="shared" ref="D212:J212" si="25">SUBTOTAL(9,D206:D211)</f>
        <v>0</v>
      </c>
      <c r="E212" s="357">
        <f t="shared" si="25"/>
        <v>14.864999999999998</v>
      </c>
      <c r="F212" s="357">
        <f t="shared" si="25"/>
        <v>14.864999999999998</v>
      </c>
      <c r="G212" s="357">
        <f t="shared" si="25"/>
        <v>14.864999999999998</v>
      </c>
      <c r="H212" s="357">
        <f t="shared" si="25"/>
        <v>14.864999999999998</v>
      </c>
      <c r="I212" s="357">
        <f t="shared" si="25"/>
        <v>14.864999999999998</v>
      </c>
      <c r="J212" s="357">
        <f t="shared" si="25"/>
        <v>14.864999999999998</v>
      </c>
    </row>
    <row r="213" spans="1:10" ht="18">
      <c r="A213" s="3"/>
      <c r="B213" s="252"/>
      <c r="C213" s="297" t="s">
        <v>70</v>
      </c>
      <c r="D213" s="329"/>
      <c r="E213" s="329"/>
      <c r="F213" s="329"/>
      <c r="G213" s="329"/>
      <c r="H213" s="329"/>
      <c r="I213" s="329"/>
      <c r="J213" s="329"/>
    </row>
    <row r="214" spans="1:10">
      <c r="A214" s="339">
        <f>+A205+1</f>
        <v>24</v>
      </c>
      <c r="B214" s="252" t="str">
        <f ca="1">OFFSET(List_DAOpexStart,A214,0)</f>
        <v>DA-24</v>
      </c>
      <c r="C214" s="340" t="str">
        <f ca="1">VLOOKUP(B214,List_DirectlyAttributedServices,2,FALSE)</f>
        <v>Non Network Solutions</v>
      </c>
      <c r="D214" s="329"/>
      <c r="E214" s="329"/>
      <c r="F214" s="329"/>
      <c r="G214" s="329"/>
      <c r="H214" s="329"/>
      <c r="I214" s="329"/>
      <c r="J214" s="329"/>
    </row>
    <row r="215" spans="1:10">
      <c r="A215" s="3"/>
      <c r="B215" s="252"/>
      <c r="C215" s="341" t="s">
        <v>68</v>
      </c>
      <c r="D215" s="771"/>
      <c r="E215" s="771">
        <v>0</v>
      </c>
      <c r="F215" s="771">
        <v>0</v>
      </c>
      <c r="G215" s="771">
        <v>0</v>
      </c>
      <c r="H215" s="771">
        <v>0</v>
      </c>
      <c r="I215" s="771">
        <v>0</v>
      </c>
      <c r="J215" s="771">
        <v>0</v>
      </c>
    </row>
    <row r="216" spans="1:10">
      <c r="A216" s="3"/>
      <c r="B216" s="252"/>
      <c r="C216" s="341" t="s">
        <v>69</v>
      </c>
      <c r="D216" s="771"/>
      <c r="E216" s="771">
        <v>0</v>
      </c>
      <c r="F216" s="771">
        <v>0</v>
      </c>
      <c r="G216" s="771">
        <v>0</v>
      </c>
      <c r="H216" s="771">
        <v>0</v>
      </c>
      <c r="I216" s="771">
        <v>0</v>
      </c>
      <c r="J216" s="771">
        <v>0</v>
      </c>
    </row>
    <row r="217" spans="1:10" s="759" customFormat="1">
      <c r="A217" s="544"/>
      <c r="B217" s="252"/>
      <c r="C217" s="341" t="s">
        <v>646</v>
      </c>
      <c r="D217" s="771"/>
      <c r="E217" s="771">
        <v>0</v>
      </c>
      <c r="F217" s="771">
        <v>0</v>
      </c>
      <c r="G217" s="771">
        <v>0</v>
      </c>
      <c r="H217" s="771">
        <v>0</v>
      </c>
      <c r="I217" s="771">
        <v>0</v>
      </c>
      <c r="J217" s="771">
        <v>0</v>
      </c>
    </row>
    <row r="218" spans="1:10">
      <c r="A218" s="3"/>
      <c r="B218" s="252"/>
      <c r="C218" s="341" t="s">
        <v>647</v>
      </c>
      <c r="D218" s="263"/>
      <c r="E218" s="263">
        <v>0</v>
      </c>
      <c r="F218" s="263">
        <v>0</v>
      </c>
      <c r="G218" s="263">
        <v>0</v>
      </c>
      <c r="H218" s="263">
        <v>0</v>
      </c>
      <c r="I218" s="263">
        <v>0</v>
      </c>
      <c r="J218" s="263">
        <v>0</v>
      </c>
    </row>
    <row r="219" spans="1:10" s="759" customFormat="1">
      <c r="A219" s="544"/>
      <c r="B219" s="252"/>
      <c r="C219" s="341" t="s">
        <v>575</v>
      </c>
      <c r="D219" s="263"/>
      <c r="E219" s="263">
        <v>0</v>
      </c>
      <c r="F219" s="263">
        <v>0</v>
      </c>
      <c r="G219" s="263">
        <v>0</v>
      </c>
      <c r="H219" s="263">
        <v>0</v>
      </c>
      <c r="I219" s="263">
        <v>0</v>
      </c>
      <c r="J219" s="263">
        <v>0</v>
      </c>
    </row>
    <row r="220" spans="1:10">
      <c r="A220" s="3"/>
      <c r="B220" s="252"/>
      <c r="C220" s="341" t="s">
        <v>70</v>
      </c>
      <c r="D220" s="263"/>
      <c r="E220" s="263">
        <v>0</v>
      </c>
      <c r="F220" s="263">
        <v>0</v>
      </c>
      <c r="G220" s="263">
        <v>0</v>
      </c>
      <c r="H220" s="263">
        <v>0</v>
      </c>
      <c r="I220" s="263">
        <v>0</v>
      </c>
      <c r="J220" s="263">
        <v>0</v>
      </c>
    </row>
    <row r="221" spans="1:10">
      <c r="A221" s="3"/>
      <c r="B221" s="252"/>
      <c r="C221" s="342" t="s">
        <v>75</v>
      </c>
      <c r="D221" s="327">
        <f t="shared" ref="D221:J221" si="26">SUBTOTAL(9,D215:D220)</f>
        <v>0</v>
      </c>
      <c r="E221" s="327">
        <f t="shared" si="26"/>
        <v>0</v>
      </c>
      <c r="F221" s="327">
        <f t="shared" si="26"/>
        <v>0</v>
      </c>
      <c r="G221" s="327">
        <f t="shared" si="26"/>
        <v>0</v>
      </c>
      <c r="H221" s="327">
        <f t="shared" si="26"/>
        <v>0</v>
      </c>
      <c r="I221" s="327">
        <f t="shared" si="26"/>
        <v>0</v>
      </c>
      <c r="J221" s="327">
        <f t="shared" si="26"/>
        <v>0</v>
      </c>
    </row>
    <row r="222" spans="1:10">
      <c r="A222" s="3"/>
      <c r="B222" s="252"/>
      <c r="C222" s="341"/>
      <c r="D222" s="327"/>
      <c r="E222" s="327"/>
      <c r="F222" s="327"/>
      <c r="G222" s="327"/>
      <c r="H222" s="327"/>
      <c r="I222" s="327"/>
      <c r="J222" s="327"/>
    </row>
    <row r="223" spans="1:10" ht="26.25" thickBot="1">
      <c r="A223" s="3"/>
      <c r="B223" s="344"/>
      <c r="C223" s="345" t="s">
        <v>271</v>
      </c>
      <c r="D223" s="358">
        <f t="shared" ref="D223:J223" si="27">SUBTOTAL(9,D97:D222)</f>
        <v>0</v>
      </c>
      <c r="E223" s="358">
        <f t="shared" si="27"/>
        <v>132.50099999999998</v>
      </c>
      <c r="F223" s="358">
        <f t="shared" si="27"/>
        <v>132.50099999999998</v>
      </c>
      <c r="G223" s="358">
        <f t="shared" si="27"/>
        <v>132.50099999999998</v>
      </c>
      <c r="H223" s="358">
        <f t="shared" si="27"/>
        <v>132.50099999999998</v>
      </c>
      <c r="I223" s="358">
        <f t="shared" si="27"/>
        <v>132.50099999999998</v>
      </c>
      <c r="J223" s="358">
        <f t="shared" si="27"/>
        <v>132.50099999999998</v>
      </c>
    </row>
    <row r="224" spans="1:10" ht="16.5" thickBot="1">
      <c r="A224" s="3"/>
      <c r="B224" s="441"/>
      <c r="C224" s="451" t="s">
        <v>272</v>
      </c>
      <c r="D224" s="452">
        <f t="shared" ref="D224:J224" si="28">SUBTOTAL(9,D8:D223)</f>
        <v>0</v>
      </c>
      <c r="E224" s="452">
        <f t="shared" si="28"/>
        <v>162.95899999999992</v>
      </c>
      <c r="F224" s="452">
        <f t="shared" si="28"/>
        <v>162.95899999999992</v>
      </c>
      <c r="G224" s="452">
        <f t="shared" si="28"/>
        <v>162.95899999999992</v>
      </c>
      <c r="H224" s="452">
        <f t="shared" si="28"/>
        <v>162.95899999999992</v>
      </c>
      <c r="I224" s="452">
        <f t="shared" si="28"/>
        <v>162.95899999999992</v>
      </c>
      <c r="J224" s="452">
        <f t="shared" si="28"/>
        <v>162.95899999999992</v>
      </c>
    </row>
    <row r="225" spans="1:10">
      <c r="A225" s="3"/>
      <c r="B225" s="347"/>
      <c r="C225" s="348"/>
      <c r="D225" s="349"/>
      <c r="E225" s="349"/>
      <c r="F225" s="349"/>
      <c r="G225" s="349"/>
      <c r="H225" s="349"/>
      <c r="I225" s="349"/>
      <c r="J225" s="349"/>
    </row>
    <row r="226" spans="1:10">
      <c r="A226" s="3"/>
      <c r="B226" s="371"/>
      <c r="C226" s="371"/>
      <c r="D226" s="372"/>
      <c r="E226" s="372"/>
      <c r="F226" s="372"/>
      <c r="G226" s="372"/>
      <c r="H226" s="372"/>
      <c r="I226" s="372"/>
      <c r="J226" s="372"/>
    </row>
    <row r="227" spans="1:10">
      <c r="A227" s="3"/>
      <c r="B227" s="371"/>
      <c r="C227" s="371"/>
      <c r="D227" s="371"/>
      <c r="E227" s="371"/>
      <c r="F227" s="371"/>
      <c r="G227" s="371"/>
      <c r="H227" s="371"/>
      <c r="I227" s="371"/>
      <c r="J227" s="371"/>
    </row>
    <row r="228" spans="1:10" ht="16.5" thickBot="1">
      <c r="A228" s="3"/>
      <c r="B228" s="366"/>
      <c r="C228" s="367" t="s">
        <v>267</v>
      </c>
      <c r="D228" s="375"/>
      <c r="E228" s="375"/>
      <c r="F228" s="375"/>
      <c r="G228" s="375"/>
      <c r="H228" s="375"/>
      <c r="I228" s="375"/>
      <c r="J228" s="375"/>
    </row>
    <row r="229" spans="1:10" ht="13.5" thickBot="1">
      <c r="A229" s="3"/>
      <c r="B229" s="3"/>
      <c r="C229" s="3"/>
      <c r="D229" s="442"/>
      <c r="E229" s="442"/>
      <c r="F229" s="442"/>
      <c r="G229" s="442"/>
      <c r="H229" s="442"/>
      <c r="I229" s="442"/>
      <c r="J229" s="442"/>
    </row>
    <row r="230" spans="1:10" ht="13.5" thickBot="1">
      <c r="A230" s="3"/>
      <c r="B230" s="3"/>
      <c r="C230" s="436"/>
      <c r="D230" s="453" t="str">
        <f>'Ref-1'!O39</f>
        <v>2013/14</v>
      </c>
      <c r="E230" s="453" t="str">
        <f>'Ref-1'!P39</f>
        <v>2014/15</v>
      </c>
      <c r="F230" s="453" t="str">
        <f>'Ref-1'!Q39</f>
        <v>2015/16</v>
      </c>
      <c r="G230" s="453" t="str">
        <f>'Ref-1'!R39</f>
        <v>2016/17</v>
      </c>
      <c r="H230" s="453" t="str">
        <f>'Ref-1'!S39</f>
        <v>2017/18</v>
      </c>
      <c r="I230" s="453" t="str">
        <f>'Ref-1'!T39</f>
        <v>2018/19</v>
      </c>
      <c r="J230" s="453" t="str">
        <f>'Ref-1'!U39</f>
        <v>2019/20</v>
      </c>
    </row>
    <row r="231" spans="1:10">
      <c r="A231" s="3"/>
      <c r="B231" s="3"/>
      <c r="C231" s="341" t="s">
        <v>68</v>
      </c>
      <c r="D231" s="359">
        <f t="shared" ref="D231:J236" ca="1" si="29">SUMIF($C$7:$C$223,$C231,D$7:D$223)</f>
        <v>0</v>
      </c>
      <c r="E231" s="360">
        <f t="shared" ca="1" si="29"/>
        <v>60.220850082078698</v>
      </c>
      <c r="F231" s="360">
        <f t="shared" ca="1" si="29"/>
        <v>60.220850082078698</v>
      </c>
      <c r="G231" s="360">
        <f t="shared" ca="1" si="29"/>
        <v>60.220850082078698</v>
      </c>
      <c r="H231" s="360">
        <f t="shared" ca="1" si="29"/>
        <v>60.220850082078698</v>
      </c>
      <c r="I231" s="360">
        <f t="shared" ca="1" si="29"/>
        <v>60.220850082078698</v>
      </c>
      <c r="J231" s="360">
        <f t="shared" ca="1" si="29"/>
        <v>60.220850082078698</v>
      </c>
    </row>
    <row r="232" spans="1:10">
      <c r="A232" s="3"/>
      <c r="B232" s="3"/>
      <c r="C232" s="341" t="s">
        <v>69</v>
      </c>
      <c r="D232" s="359">
        <f t="shared" ca="1" si="29"/>
        <v>0</v>
      </c>
      <c r="E232" s="360">
        <f t="shared" ca="1" si="29"/>
        <v>0.27854793477535272</v>
      </c>
      <c r="F232" s="360">
        <f t="shared" ca="1" si="29"/>
        <v>0.27854793477535272</v>
      </c>
      <c r="G232" s="360">
        <f t="shared" ca="1" si="29"/>
        <v>0.27854793477535272</v>
      </c>
      <c r="H232" s="360">
        <f t="shared" ca="1" si="29"/>
        <v>0.27854793477535272</v>
      </c>
      <c r="I232" s="360">
        <f t="shared" ca="1" si="29"/>
        <v>0.27854793477535272</v>
      </c>
      <c r="J232" s="360">
        <f t="shared" ca="1" si="29"/>
        <v>0.27854793477535272</v>
      </c>
    </row>
    <row r="233" spans="1:10" s="770" customFormat="1">
      <c r="A233" s="544"/>
      <c r="B233" s="544"/>
      <c r="C233" s="341" t="s">
        <v>646</v>
      </c>
      <c r="D233" s="359">
        <f t="shared" ca="1" si="29"/>
        <v>0</v>
      </c>
      <c r="E233" s="360">
        <f t="shared" ca="1" si="29"/>
        <v>54.494712114168571</v>
      </c>
      <c r="F233" s="360">
        <f t="shared" ca="1" si="29"/>
        <v>54.494712114168571</v>
      </c>
      <c r="G233" s="360">
        <f t="shared" ca="1" si="29"/>
        <v>54.494712114168571</v>
      </c>
      <c r="H233" s="360">
        <f t="shared" ca="1" si="29"/>
        <v>54.494712114168571</v>
      </c>
      <c r="I233" s="360">
        <f t="shared" ca="1" si="29"/>
        <v>54.494712114168571</v>
      </c>
      <c r="J233" s="360">
        <f t="shared" ca="1" si="29"/>
        <v>54.494712114168571</v>
      </c>
    </row>
    <row r="234" spans="1:10">
      <c r="A234" s="3"/>
      <c r="B234" s="3"/>
      <c r="C234" s="341" t="s">
        <v>647</v>
      </c>
      <c r="D234" s="359">
        <f t="shared" ca="1" si="29"/>
        <v>0</v>
      </c>
      <c r="E234" s="360">
        <f t="shared" ca="1" si="29"/>
        <v>20.812290141271461</v>
      </c>
      <c r="F234" s="360">
        <f t="shared" ca="1" si="29"/>
        <v>20.812290141271461</v>
      </c>
      <c r="G234" s="360">
        <f t="shared" ca="1" si="29"/>
        <v>20.812290141271461</v>
      </c>
      <c r="H234" s="360">
        <f t="shared" ca="1" si="29"/>
        <v>20.812290141271461</v>
      </c>
      <c r="I234" s="360">
        <f t="shared" ca="1" si="29"/>
        <v>20.812290141271461</v>
      </c>
      <c r="J234" s="360">
        <f t="shared" ca="1" si="29"/>
        <v>20.812290141271461</v>
      </c>
    </row>
    <row r="235" spans="1:10" s="770" customFormat="1">
      <c r="A235" s="544"/>
      <c r="B235" s="544"/>
      <c r="C235" s="341" t="s">
        <v>575</v>
      </c>
      <c r="D235" s="359">
        <f t="shared" ca="1" si="29"/>
        <v>0</v>
      </c>
      <c r="E235" s="360">
        <f t="shared" ca="1" si="29"/>
        <v>9.8130000000000006</v>
      </c>
      <c r="F235" s="360">
        <f t="shared" ca="1" si="29"/>
        <v>9.8130000000000006</v>
      </c>
      <c r="G235" s="360">
        <f t="shared" ca="1" si="29"/>
        <v>9.8130000000000006</v>
      </c>
      <c r="H235" s="360">
        <f t="shared" ca="1" si="29"/>
        <v>9.8130000000000006</v>
      </c>
      <c r="I235" s="360">
        <f t="shared" ca="1" si="29"/>
        <v>9.8130000000000006</v>
      </c>
      <c r="J235" s="360">
        <f t="shared" ca="1" si="29"/>
        <v>9.8130000000000006</v>
      </c>
    </row>
    <row r="236" spans="1:10">
      <c r="A236" s="3"/>
      <c r="B236" s="3"/>
      <c r="C236" s="341" t="s">
        <v>70</v>
      </c>
      <c r="D236" s="359">
        <f t="shared" ca="1" si="29"/>
        <v>0</v>
      </c>
      <c r="E236" s="360">
        <f t="shared" ca="1" si="29"/>
        <v>17.33959972770592</v>
      </c>
      <c r="F236" s="360">
        <f t="shared" ca="1" si="29"/>
        <v>17.33959972770592</v>
      </c>
      <c r="G236" s="360">
        <f t="shared" ca="1" si="29"/>
        <v>17.33959972770592</v>
      </c>
      <c r="H236" s="360">
        <f t="shared" ca="1" si="29"/>
        <v>17.33959972770592</v>
      </c>
      <c r="I236" s="360">
        <f t="shared" ca="1" si="29"/>
        <v>17.33959972770592</v>
      </c>
      <c r="J236" s="360">
        <f t="shared" ca="1" si="29"/>
        <v>17.33959972770592</v>
      </c>
    </row>
    <row r="237" spans="1:10" ht="13.5" thickBot="1">
      <c r="A237" s="3"/>
      <c r="B237" s="3"/>
      <c r="C237" s="356" t="s">
        <v>75</v>
      </c>
      <c r="D237" s="363">
        <f t="shared" ref="D237:J237" ca="1" si="30">SUM(D231:D236)</f>
        <v>0</v>
      </c>
      <c r="E237" s="363">
        <f t="shared" ca="1" si="30"/>
        <v>162.95899999999997</v>
      </c>
      <c r="F237" s="363">
        <f t="shared" ca="1" si="30"/>
        <v>162.95899999999997</v>
      </c>
      <c r="G237" s="363">
        <f t="shared" ca="1" si="30"/>
        <v>162.95899999999997</v>
      </c>
      <c r="H237" s="363">
        <f t="shared" ca="1" si="30"/>
        <v>162.95899999999997</v>
      </c>
      <c r="I237" s="363">
        <f t="shared" ca="1" si="30"/>
        <v>162.95899999999997</v>
      </c>
      <c r="J237" s="363">
        <f t="shared" ca="1" si="30"/>
        <v>162.95899999999997</v>
      </c>
    </row>
    <row r="238" spans="1:10">
      <c r="A238" s="3"/>
      <c r="B238" s="3"/>
      <c r="C238" s="3"/>
      <c r="D238" s="3"/>
      <c r="E238" s="3"/>
      <c r="F238" s="3"/>
      <c r="G238" s="3"/>
      <c r="H238" s="3"/>
      <c r="I238" s="3"/>
      <c r="J238" s="3"/>
    </row>
    <row r="239" spans="1:10">
      <c r="A239" s="3"/>
      <c r="B239" s="3"/>
      <c r="C239" s="3"/>
      <c r="D239" s="3"/>
      <c r="E239" s="3"/>
      <c r="F239" s="3"/>
      <c r="G239" s="3"/>
      <c r="H239" s="3"/>
      <c r="I239" s="3"/>
      <c r="J239" s="3"/>
    </row>
    <row r="240" spans="1:10">
      <c r="A240" s="3"/>
      <c r="B240" s="3"/>
      <c r="C240" s="3"/>
      <c r="D240" s="3"/>
      <c r="E240" s="3"/>
      <c r="F240" s="3"/>
      <c r="G240" s="3"/>
      <c r="H240" s="3"/>
      <c r="I240" s="3"/>
      <c r="J240" s="3"/>
    </row>
    <row r="241" spans="2:10">
      <c r="B241" s="2"/>
    </row>
    <row r="242" spans="2:10">
      <c r="F242" s="590"/>
      <c r="G242" s="590"/>
      <c r="H242" s="590"/>
      <c r="I242" s="590"/>
      <c r="J242" s="590"/>
    </row>
    <row r="243" spans="2:10">
      <c r="F243" s="590"/>
      <c r="G243" s="590"/>
      <c r="H243" s="590"/>
      <c r="I243" s="590"/>
      <c r="J243" s="590"/>
    </row>
    <row r="244" spans="2:10">
      <c r="F244" s="590"/>
      <c r="G244" s="590"/>
      <c r="H244" s="590"/>
      <c r="I244" s="590"/>
      <c r="J244" s="590"/>
    </row>
    <row r="246" spans="2:10" ht="13.5" thickBot="1"/>
    <row r="247" spans="2:10">
      <c r="C247" s="326" t="s">
        <v>288</v>
      </c>
      <c r="D247" s="317"/>
      <c r="E247" s="317"/>
      <c r="F247" s="317"/>
      <c r="G247" s="317"/>
      <c r="H247" s="317"/>
      <c r="I247" s="317"/>
      <c r="J247" s="318"/>
    </row>
    <row r="248" spans="2:10">
      <c r="C248" s="319" t="s">
        <v>311</v>
      </c>
      <c r="D248" s="308">
        <f t="shared" ref="D248:J248" ca="1" si="31">+D237-D224</f>
        <v>0</v>
      </c>
      <c r="E248" s="308">
        <f t="shared" ca="1" si="31"/>
        <v>0</v>
      </c>
      <c r="F248" s="308">
        <f t="shared" ca="1" si="31"/>
        <v>0</v>
      </c>
      <c r="G248" s="308">
        <f t="shared" ca="1" si="31"/>
        <v>0</v>
      </c>
      <c r="H248" s="308">
        <f t="shared" ca="1" si="31"/>
        <v>0</v>
      </c>
      <c r="I248" s="308">
        <f t="shared" ca="1" si="31"/>
        <v>0</v>
      </c>
      <c r="J248" s="320">
        <f t="shared" ca="1" si="31"/>
        <v>0</v>
      </c>
    </row>
    <row r="249" spans="2:10" ht="13.5" thickBot="1">
      <c r="C249" s="322"/>
      <c r="D249" s="323"/>
      <c r="E249" s="323"/>
      <c r="F249" s="323"/>
      <c r="G249" s="323"/>
      <c r="H249" s="323"/>
      <c r="I249" s="323"/>
      <c r="J249" s="324"/>
    </row>
  </sheetData>
  <sheetProtection formatColumns="0" formatRows="0"/>
  <protectedRanges>
    <protectedRange sqref="D219:J220 D210:J211 D201:J202 D192:J193 D183:J184 D174:D175 D165:J166 D156:J157 D147:J148 D138:J139 D129:J130 D120:J121 D111:J112 D102:J103 D93:J94 D84:J85 D75:J76 D66:J67 D57:J58 D48:J49 D39:J40 D30:J31 D21:J22 D12:J13 F174:J175" name="Range1_8"/>
    <protectedRange sqref="D218:J218 D209:J209 D200:J200 D191:J191 D182:J182 D173 D164:J164 D155:J155 D146:J146 D137:J137 D128:J128 D119:J119 D110:J110 D101:J101 D92:J92 D83:J83 D74:J74 D65:J65 D56:J56 D47:J47 D38:J38 D29:J29 D20:J20 D11:J11 F173:J173" name="Range1_1_1_2"/>
    <protectedRange sqref="D215:J217 D206:J208 D197:J199 D188:J190 D179:J181 D170:J170 D161:J163 D152:J154 D143:J145 D134:J136 D116:J118 D107:J109 D98:J100 D89:J91 D80:J82 D71:J73 D62:J64 D53:J55 D44:J46 D35:J37 D26:J28 D17:J19 D8:J10 D125:J127 D171:D172 F171:J172 E171:E175" name="Range1_26_1"/>
  </protectedRanges>
  <phoneticPr fontId="0" type="noConversion"/>
  <conditionalFormatting sqref="D248:J248">
    <cfRule type="cellIs" dxfId="384" priority="1" stopIfTrue="1" operator="equal">
      <formula>0</formula>
    </cfRule>
    <cfRule type="cellIs" dxfId="383" priority="2" stopIfTrue="1" operator="notEqual">
      <formula>0</formula>
    </cfRule>
  </conditionalFormatting>
  <pageMargins left="0.46" right="0.47" top="0.64" bottom="0.64" header="0.24" footer="0.2"/>
  <pageSetup paperSize="9" scale="66" fitToHeight="0" orientation="landscape" r:id="rId1"/>
  <headerFooter alignWithMargins="0">
    <oddFooter>&amp;L&amp;8&amp;F
&amp;A
Printed: &amp;T on &amp;D&amp;C&amp;8Page &amp;P of &amp;N</oddFooter>
  </headerFooter>
  <rowBreaks count="3" manualBreakCount="3">
    <brk id="69" min="1" max="12" man="1"/>
    <brk id="132" min="1" max="12" man="1"/>
    <brk id="195" min="1" max="12" man="1"/>
  </rowBreaks>
  <legacyDrawing r:id="rId2"/>
</worksheet>
</file>

<file path=xl/worksheets/sheet90.xml><?xml version="1.0" encoding="utf-8"?>
<worksheet xmlns="http://schemas.openxmlformats.org/spreadsheetml/2006/main" xmlns:r="http://schemas.openxmlformats.org/officeDocument/2006/relationships">
  <sheetPr codeName="Sheet107" enableFormatConditionsCalculation="0">
    <tabColor indexed="12"/>
    <pageSetUpPr fitToPage="1"/>
  </sheetPr>
  <dimension ref="A1:N818"/>
  <sheetViews>
    <sheetView showGridLines="0" zoomScale="75" zoomScaleNormal="75" workbookViewId="0">
      <selection activeCell="G14" sqref="G14"/>
    </sheetView>
  </sheetViews>
  <sheetFormatPr defaultRowHeight="12.75"/>
  <cols>
    <col min="1" max="1" width="6" customWidth="1"/>
    <col min="2" max="2" width="9.85546875" customWidth="1"/>
    <col min="3" max="3" width="41.85546875" customWidth="1"/>
    <col min="4" max="5" width="9.28515625" hidden="1" customWidth="1"/>
    <col min="6" max="6" width="10" bestFit="1" customWidth="1"/>
    <col min="7" max="11" width="9.28515625" customWidth="1"/>
    <col min="12" max="12" width="56.28515625" customWidth="1"/>
    <col min="13" max="13" width="51" customWidth="1"/>
    <col min="14" max="14" width="17.28515625" bestFit="1" customWidth="1"/>
  </cols>
  <sheetData>
    <row r="1" spans="1:14" ht="20.25">
      <c r="A1" s="7" t="s">
        <v>552</v>
      </c>
      <c r="B1" s="7" t="s">
        <v>332</v>
      </c>
    </row>
    <row r="2" spans="1:14" ht="13.5" thickBot="1">
      <c r="K2" s="474" t="str">
        <f>+LU_PTRMDollarDenomination</f>
        <v>$'M June 2015</v>
      </c>
      <c r="L2" t="b">
        <f ca="1">ISNUMBER('R4 Variations'!D9)</f>
        <v>0</v>
      </c>
    </row>
    <row r="3" spans="1:14" ht="13.5" thickBot="1">
      <c r="D3" s="8"/>
      <c r="E3" s="9"/>
      <c r="F3" s="9"/>
      <c r="G3" s="9"/>
      <c r="H3" s="9"/>
      <c r="I3" s="9"/>
      <c r="J3" s="9"/>
      <c r="K3" s="71"/>
    </row>
    <row r="4" spans="1:14" ht="13.5" thickBot="1">
      <c r="B4" s="253" t="s">
        <v>265</v>
      </c>
      <c r="C4" s="10"/>
      <c r="D4" s="439" t="str">
        <f t="array" ref="D4:K4">LU_TemplateYearHeader</f>
        <v>2012/13</v>
      </c>
      <c r="E4" s="439" t="str">
        <v>2013/14</v>
      </c>
      <c r="F4" s="439" t="str">
        <v>2014/15</v>
      </c>
      <c r="G4" s="439" t="str">
        <v>2015/16</v>
      </c>
      <c r="H4" s="439" t="str">
        <v>2016/17</v>
      </c>
      <c r="I4" s="439" t="str">
        <v>2017/18</v>
      </c>
      <c r="J4" s="439" t="str">
        <v>2018/19</v>
      </c>
      <c r="K4" s="439" t="str">
        <v>2019/20</v>
      </c>
      <c r="L4" s="514" t="s">
        <v>117</v>
      </c>
      <c r="M4" s="503" t="s">
        <v>417</v>
      </c>
      <c r="N4" s="503" t="s">
        <v>111</v>
      </c>
    </row>
    <row r="5" spans="1:14" ht="18">
      <c r="B5" s="259"/>
      <c r="C5" s="260" t="s">
        <v>266</v>
      </c>
      <c r="D5" s="302"/>
      <c r="E5" s="302"/>
      <c r="F5" s="302"/>
      <c r="G5" s="302"/>
      <c r="H5" s="302"/>
      <c r="I5" s="302"/>
      <c r="J5" s="302"/>
      <c r="K5" s="505"/>
      <c r="L5" s="515"/>
      <c r="M5" s="450"/>
      <c r="N5" s="450"/>
    </row>
    <row r="6" spans="1:14" ht="18">
      <c r="B6" s="252"/>
      <c r="C6" s="248" t="s">
        <v>95</v>
      </c>
      <c r="D6" s="244"/>
      <c r="E6" s="506"/>
      <c r="F6" s="244"/>
      <c r="G6" s="244"/>
      <c r="H6" s="244"/>
      <c r="I6" s="244"/>
      <c r="J6" s="244"/>
      <c r="K6" s="506"/>
      <c r="L6" s="515"/>
      <c r="M6" s="450"/>
      <c r="N6" s="450"/>
    </row>
    <row r="7" spans="1:14">
      <c r="A7" s="5"/>
      <c r="B7" s="249" t="str">
        <f ca="1">+'I-4 History'!B7</f>
        <v>DA-1</v>
      </c>
      <c r="C7" s="381" t="str">
        <f ca="1">+'I-4 History'!C7</f>
        <v>Distribution Licence Fee</v>
      </c>
      <c r="D7" s="11"/>
      <c r="E7" s="507"/>
      <c r="F7" s="11"/>
      <c r="G7" s="11"/>
      <c r="H7" s="11"/>
      <c r="I7" s="11"/>
      <c r="J7" s="11"/>
      <c r="K7" s="507"/>
      <c r="L7" s="515"/>
      <c r="M7" s="450"/>
      <c r="N7" s="450"/>
    </row>
    <row r="8" spans="1:14">
      <c r="A8" s="5"/>
      <c r="B8" s="249"/>
      <c r="C8" s="384" t="str">
        <f ca="1">+'R4 Variations'!C8</f>
        <v>Step Change</v>
      </c>
      <c r="D8" s="491">
        <f ca="1">IF(ISNUMBER('R4 Variations'!D8),+'R4 Variations'!D8*LU_Escalation,0)</f>
        <v>0</v>
      </c>
      <c r="E8" s="850">
        <f ca="1">IF(ISNUMBER('R4 Variations'!E8),+'R4 Variations'!E8*LU_Escalation,0)</f>
        <v>0</v>
      </c>
      <c r="F8" s="491">
        <f ca="1">IF(ISNUMBER('R4 Variations'!F8),+'R4 Variations'!F8*LU_Escalation,0)</f>
        <v>0</v>
      </c>
      <c r="G8" s="491">
        <f ca="1">IF(ISNUMBER('R4 Variations'!G8),+'R4 Variations'!G8*LU_Escalation,0)</f>
        <v>-0.76599450000000002</v>
      </c>
      <c r="H8" s="491">
        <f ca="1">IF(ISNUMBER('R4 Variations'!H8),+'R4 Variations'!H8*LU_Escalation,0)</f>
        <v>-1.0626752307692309</v>
      </c>
      <c r="I8" s="491">
        <f ca="1">IF(ISNUMBER('R4 Variations'!I8),+'R4 Variations'!I8*LU_Escalation,0)</f>
        <v>-1.0626752307692309</v>
      </c>
      <c r="J8" s="491">
        <f ca="1">IF(ISNUMBER('R4 Variations'!J8),+'R4 Variations'!J8*LU_Escalation,0)</f>
        <v>-1.0626752307692309</v>
      </c>
      <c r="K8" s="491">
        <f ca="1">IF(ISNUMBER('R4 Variations'!K8),+'R4 Variations'!K8*LU_Escalation,0)</f>
        <v>-1.0626752307692309</v>
      </c>
      <c r="L8" s="515" t="str">
        <f ca="1">+'R4 Variations'!L8</f>
        <v>Proposal Step Change</v>
      </c>
      <c r="M8" s="450" t="str">
        <f ca="1">+'R4 Variations'!M8</f>
        <v>Refer Opex Workings</v>
      </c>
      <c r="N8" s="450" t="str">
        <f ca="1">+'R4 Variations'!N8</f>
        <v>Proposal, October 2014</v>
      </c>
    </row>
    <row r="9" spans="1:14">
      <c r="A9" s="5"/>
      <c r="B9" s="249"/>
      <c r="C9" s="384" t="str">
        <f ca="1">+'R4 Variations'!C9</f>
        <v/>
      </c>
      <c r="D9" s="491">
        <f ca="1">IF(ISNUMBER('R4 Variations'!D9),+'R4 Variations'!D9*LU_Escalation,0)</f>
        <v>0</v>
      </c>
      <c r="E9" s="850">
        <f ca="1">IF(ISNUMBER('R4 Variations'!E9),+'R4 Variations'!E9*LU_Escalation,0)</f>
        <v>0</v>
      </c>
      <c r="F9" s="491">
        <f ca="1">IF(ISNUMBER('R4 Variations'!F9),+'R4 Variations'!F9*LU_Escalation,0)</f>
        <v>0</v>
      </c>
      <c r="G9" s="491">
        <f ca="1">IF(ISNUMBER('R4 Variations'!G9),+'R4 Variations'!G9*LU_Escalation,0)</f>
        <v>0</v>
      </c>
      <c r="H9" s="491">
        <f ca="1">IF(ISNUMBER('R4 Variations'!H9),+'R4 Variations'!H9*LU_Escalation,0)</f>
        <v>0</v>
      </c>
      <c r="I9" s="491">
        <f ca="1">IF(ISNUMBER('R4 Variations'!I9),+'R4 Variations'!I9*LU_Escalation,0)</f>
        <v>0</v>
      </c>
      <c r="J9" s="491">
        <f ca="1">IF(ISNUMBER('R4 Variations'!J9),+'R4 Variations'!J9*LU_Escalation,0)</f>
        <v>0</v>
      </c>
      <c r="K9" s="491">
        <f ca="1">IF(ISNUMBER('R4 Variations'!K9),+'R4 Variations'!K9*LU_Escalation,0)</f>
        <v>0</v>
      </c>
      <c r="L9" s="515" t="str">
        <f ca="1">+'R4 Variations'!L9</f>
        <v/>
      </c>
      <c r="M9" s="450" t="str">
        <f ca="1">+'R4 Variations'!M9</f>
        <v/>
      </c>
      <c r="N9" s="450" t="str">
        <f ca="1">+'R4 Variations'!N9</f>
        <v/>
      </c>
    </row>
    <row r="10" spans="1:14">
      <c r="A10" s="5"/>
      <c r="B10" s="249"/>
      <c r="C10" s="384" t="str">
        <f ca="1">+'R4 Variations'!C10</f>
        <v/>
      </c>
      <c r="D10" s="491">
        <f ca="1">IF(ISNUMBER('R4 Variations'!D10),+'R4 Variations'!D10*LU_Escalation,0)</f>
        <v>0</v>
      </c>
      <c r="E10" s="850">
        <f ca="1">IF(ISNUMBER('R4 Variations'!E10),+'R4 Variations'!E10*LU_Escalation,0)</f>
        <v>0</v>
      </c>
      <c r="F10" s="491">
        <f ca="1">IF(ISNUMBER('R4 Variations'!F10),+'R4 Variations'!F10*LU_Escalation,0)</f>
        <v>0</v>
      </c>
      <c r="G10" s="491">
        <f ca="1">IF(ISNUMBER('R4 Variations'!G10),+'R4 Variations'!G10*LU_Escalation,0)</f>
        <v>0</v>
      </c>
      <c r="H10" s="491">
        <f ca="1">IF(ISNUMBER('R4 Variations'!H10),+'R4 Variations'!H10*LU_Escalation,0)</f>
        <v>0</v>
      </c>
      <c r="I10" s="491">
        <f ca="1">IF(ISNUMBER('R4 Variations'!I10),+'R4 Variations'!I10*LU_Escalation,0)</f>
        <v>0</v>
      </c>
      <c r="J10" s="491">
        <f ca="1">IF(ISNUMBER('R4 Variations'!J10),+'R4 Variations'!J10*LU_Escalation,0)</f>
        <v>0</v>
      </c>
      <c r="K10" s="491">
        <f ca="1">IF(ISNUMBER('R4 Variations'!K10),+'R4 Variations'!K10*LU_Escalation,0)</f>
        <v>0</v>
      </c>
      <c r="L10" s="515" t="str">
        <f ca="1">+'R4 Variations'!L10</f>
        <v/>
      </c>
      <c r="M10" s="450" t="str">
        <f ca="1">+'R4 Variations'!M10</f>
        <v/>
      </c>
      <c r="N10" s="450" t="str">
        <f ca="1">+'R4 Variations'!N10</f>
        <v/>
      </c>
    </row>
    <row r="11" spans="1:14">
      <c r="A11" s="5"/>
      <c r="B11" s="249"/>
      <c r="C11" s="384" t="str">
        <f ca="1">+'R4 Variations'!C11</f>
        <v/>
      </c>
      <c r="D11" s="491">
        <f ca="1">IF(ISNUMBER('R4 Variations'!D11),+'R4 Variations'!D11*LU_Escalation,0)</f>
        <v>0</v>
      </c>
      <c r="E11" s="850">
        <f ca="1">IF(ISNUMBER('R4 Variations'!E11),+'R4 Variations'!E11*LU_Escalation,0)</f>
        <v>0</v>
      </c>
      <c r="F11" s="491">
        <f ca="1">IF(ISNUMBER('R4 Variations'!F11),+'R4 Variations'!F11*LU_Escalation,0)</f>
        <v>0</v>
      </c>
      <c r="G11" s="491">
        <f ca="1">IF(ISNUMBER('R4 Variations'!G11),+'R4 Variations'!G11*LU_Escalation,0)</f>
        <v>0</v>
      </c>
      <c r="H11" s="491">
        <f ca="1">IF(ISNUMBER('R4 Variations'!H11),+'R4 Variations'!H11*LU_Escalation,0)</f>
        <v>0</v>
      </c>
      <c r="I11" s="491">
        <f ca="1">IF(ISNUMBER('R4 Variations'!I11),+'R4 Variations'!I11*LU_Escalation,0)</f>
        <v>0</v>
      </c>
      <c r="J11" s="491">
        <f ca="1">IF(ISNUMBER('R4 Variations'!J11),+'R4 Variations'!J11*LU_Escalation,0)</f>
        <v>0</v>
      </c>
      <c r="K11" s="491">
        <f ca="1">IF(ISNUMBER('R4 Variations'!K11),+'R4 Variations'!K11*LU_Escalation,0)</f>
        <v>0</v>
      </c>
      <c r="L11" s="515" t="str">
        <f ca="1">+'R4 Variations'!L11</f>
        <v/>
      </c>
      <c r="M11" s="450" t="str">
        <f ca="1">+'R4 Variations'!M11</f>
        <v/>
      </c>
      <c r="N11" s="450" t="str">
        <f ca="1">+'R4 Variations'!N11</f>
        <v/>
      </c>
    </row>
    <row r="12" spans="1:14">
      <c r="A12" s="5"/>
      <c r="B12" s="249"/>
      <c r="C12" s="384" t="str">
        <f ca="1">+'R4 Variations'!C12</f>
        <v/>
      </c>
      <c r="D12" s="491">
        <f ca="1">IF(ISNUMBER('R4 Variations'!D12),+'R4 Variations'!D12*LU_Escalation,0)</f>
        <v>0</v>
      </c>
      <c r="E12" s="850">
        <f ca="1">IF(ISNUMBER('R4 Variations'!E12),+'R4 Variations'!E12*LU_Escalation,0)</f>
        <v>0</v>
      </c>
      <c r="F12" s="491">
        <f ca="1">IF(ISNUMBER('R4 Variations'!F12),+'R4 Variations'!F12*LU_Escalation,0)</f>
        <v>0</v>
      </c>
      <c r="G12" s="491">
        <f ca="1">IF(ISNUMBER('R4 Variations'!G12),+'R4 Variations'!G12*LU_Escalation,0)</f>
        <v>0</v>
      </c>
      <c r="H12" s="491">
        <f ca="1">IF(ISNUMBER('R4 Variations'!H12),+'R4 Variations'!H12*LU_Escalation,0)</f>
        <v>0</v>
      </c>
      <c r="I12" s="491">
        <f ca="1">IF(ISNUMBER('R4 Variations'!I12),+'R4 Variations'!I12*LU_Escalation,0)</f>
        <v>0</v>
      </c>
      <c r="J12" s="491">
        <f ca="1">IF(ISNUMBER('R4 Variations'!J12),+'R4 Variations'!J12*LU_Escalation,0)</f>
        <v>0</v>
      </c>
      <c r="K12" s="491">
        <f ca="1">IF(ISNUMBER('R4 Variations'!K12),+'R4 Variations'!K12*LU_Escalation,0)</f>
        <v>0</v>
      </c>
      <c r="L12" s="515" t="str">
        <f ca="1">+'R4 Variations'!L12</f>
        <v/>
      </c>
      <c r="M12" s="450" t="str">
        <f ca="1">+'R4 Variations'!M12</f>
        <v/>
      </c>
      <c r="N12" s="450" t="str">
        <f ca="1">+'R4 Variations'!N12</f>
        <v/>
      </c>
    </row>
    <row r="13" spans="1:14">
      <c r="A13" s="5"/>
      <c r="B13" s="249"/>
      <c r="C13" s="384" t="str">
        <f ca="1">+'R4 Variations'!C13</f>
        <v/>
      </c>
      <c r="D13" s="491">
        <f ca="1">IF(ISNUMBER('R4 Variations'!D13),+'R4 Variations'!D13*LU_Escalation,0)</f>
        <v>0</v>
      </c>
      <c r="E13" s="850">
        <f ca="1">IF(ISNUMBER('R4 Variations'!E13),+'R4 Variations'!E13*LU_Escalation,0)</f>
        <v>0</v>
      </c>
      <c r="F13" s="491">
        <f ca="1">IF(ISNUMBER('R4 Variations'!F13),+'R4 Variations'!F13*LU_Escalation,0)</f>
        <v>0</v>
      </c>
      <c r="G13" s="491">
        <f ca="1">IF(ISNUMBER('R4 Variations'!G13),+'R4 Variations'!G13*LU_Escalation,0)</f>
        <v>0</v>
      </c>
      <c r="H13" s="491">
        <f ca="1">IF(ISNUMBER('R4 Variations'!H13),+'R4 Variations'!H13*LU_Escalation,0)</f>
        <v>0</v>
      </c>
      <c r="I13" s="491">
        <f ca="1">IF(ISNUMBER('R4 Variations'!I13),+'R4 Variations'!I13*LU_Escalation,0)</f>
        <v>0</v>
      </c>
      <c r="J13" s="491">
        <f ca="1">IF(ISNUMBER('R4 Variations'!J13),+'R4 Variations'!J13*LU_Escalation,0)</f>
        <v>0</v>
      </c>
      <c r="K13" s="491">
        <f ca="1">IF(ISNUMBER('R4 Variations'!K13),+'R4 Variations'!K13*LU_Escalation,0)</f>
        <v>0</v>
      </c>
      <c r="L13" s="515" t="str">
        <f ca="1">+'R4 Variations'!L13</f>
        <v/>
      </c>
      <c r="M13" s="450" t="str">
        <f ca="1">+'R4 Variations'!M13</f>
        <v/>
      </c>
      <c r="N13" s="450" t="str">
        <f ca="1">+'R4 Variations'!N13</f>
        <v/>
      </c>
    </row>
    <row r="14" spans="1:14">
      <c r="A14" s="5"/>
      <c r="B14" s="249"/>
      <c r="C14" s="384" t="str">
        <f ca="1">+'R4 Variations'!C14</f>
        <v/>
      </c>
      <c r="D14" s="491">
        <f ca="1">IF(ISNUMBER('R4 Variations'!D14),+'R4 Variations'!D14*LU_Escalation,0)</f>
        <v>0</v>
      </c>
      <c r="E14" s="850">
        <f ca="1">IF(ISNUMBER('R4 Variations'!E14),+'R4 Variations'!E14*LU_Escalation,0)</f>
        <v>0</v>
      </c>
      <c r="F14" s="491">
        <f ca="1">IF(ISNUMBER('R4 Variations'!F14),+'R4 Variations'!F14*LU_Escalation,0)</f>
        <v>0</v>
      </c>
      <c r="G14" s="491">
        <f ca="1">IF(ISNUMBER('R4 Variations'!G14),+'R4 Variations'!G14*LU_Escalation,0)</f>
        <v>0</v>
      </c>
      <c r="H14" s="491">
        <f ca="1">IF(ISNUMBER('R4 Variations'!H14),+'R4 Variations'!H14*LU_Escalation,0)</f>
        <v>0</v>
      </c>
      <c r="I14" s="491">
        <f ca="1">IF(ISNUMBER('R4 Variations'!I14),+'R4 Variations'!I14*LU_Escalation,0)</f>
        <v>0</v>
      </c>
      <c r="J14" s="491">
        <f ca="1">IF(ISNUMBER('R4 Variations'!J14),+'R4 Variations'!J14*LU_Escalation,0)</f>
        <v>0</v>
      </c>
      <c r="K14" s="491">
        <f ca="1">IF(ISNUMBER('R4 Variations'!K14),+'R4 Variations'!K14*LU_Escalation,0)</f>
        <v>0</v>
      </c>
      <c r="L14" s="515" t="str">
        <f ca="1">+'R4 Variations'!L14</f>
        <v/>
      </c>
      <c r="M14" s="450" t="str">
        <f ca="1">+'R4 Variations'!M14</f>
        <v/>
      </c>
      <c r="N14" s="450" t="str">
        <f ca="1">+'R4 Variations'!N14</f>
        <v/>
      </c>
    </row>
    <row r="15" spans="1:14">
      <c r="A15" s="5"/>
      <c r="B15" s="249"/>
      <c r="C15" s="384" t="str">
        <f ca="1">+'R4 Variations'!C15</f>
        <v/>
      </c>
      <c r="D15" s="491">
        <f ca="1">IF(ISNUMBER('R4 Variations'!D15),+'R4 Variations'!D15*LU_Escalation,0)</f>
        <v>0</v>
      </c>
      <c r="E15" s="850">
        <f ca="1">IF(ISNUMBER('R4 Variations'!E15),+'R4 Variations'!E15*LU_Escalation,0)</f>
        <v>0</v>
      </c>
      <c r="F15" s="491">
        <f ca="1">IF(ISNUMBER('R4 Variations'!F15),+'R4 Variations'!F15*LU_Escalation,0)</f>
        <v>0</v>
      </c>
      <c r="G15" s="491">
        <f ca="1">IF(ISNUMBER('R4 Variations'!G15),+'R4 Variations'!G15*LU_Escalation,0)</f>
        <v>0</v>
      </c>
      <c r="H15" s="491">
        <f ca="1">IF(ISNUMBER('R4 Variations'!H15),+'R4 Variations'!H15*LU_Escalation,0)</f>
        <v>0</v>
      </c>
      <c r="I15" s="491">
        <f ca="1">IF(ISNUMBER('R4 Variations'!I15),+'R4 Variations'!I15*LU_Escalation,0)</f>
        <v>0</v>
      </c>
      <c r="J15" s="491">
        <f ca="1">IF(ISNUMBER('R4 Variations'!J15),+'R4 Variations'!J15*LU_Escalation,0)</f>
        <v>0</v>
      </c>
      <c r="K15" s="491">
        <f ca="1">IF(ISNUMBER('R4 Variations'!K15),+'R4 Variations'!K15*LU_Escalation,0)</f>
        <v>0</v>
      </c>
      <c r="L15" s="515" t="str">
        <f ca="1">+'R4 Variations'!L15</f>
        <v/>
      </c>
      <c r="M15" s="450" t="str">
        <f ca="1">+'R4 Variations'!M15</f>
        <v/>
      </c>
      <c r="N15" s="450" t="str">
        <f ca="1">+'R4 Variations'!N15</f>
        <v/>
      </c>
    </row>
    <row r="16" spans="1:14">
      <c r="A16" s="5"/>
      <c r="B16" s="249"/>
      <c r="C16" s="384" t="str">
        <f ca="1">+'R4 Variations'!C16</f>
        <v/>
      </c>
      <c r="D16" s="491">
        <f ca="1">IF(ISNUMBER('R4 Variations'!D16),+'R4 Variations'!D16*LU_Escalation,0)</f>
        <v>0</v>
      </c>
      <c r="E16" s="850">
        <f ca="1">IF(ISNUMBER('R4 Variations'!E16),+'R4 Variations'!E16*LU_Escalation,0)</f>
        <v>0</v>
      </c>
      <c r="F16" s="491">
        <f ca="1">IF(ISNUMBER('R4 Variations'!F16),+'R4 Variations'!F16*LU_Escalation,0)</f>
        <v>0</v>
      </c>
      <c r="G16" s="491">
        <f ca="1">IF(ISNUMBER('R4 Variations'!G16),+'R4 Variations'!G16*LU_Escalation,0)</f>
        <v>0</v>
      </c>
      <c r="H16" s="491">
        <f ca="1">IF(ISNUMBER('R4 Variations'!H16),+'R4 Variations'!H16*LU_Escalation,0)</f>
        <v>0</v>
      </c>
      <c r="I16" s="491">
        <f ca="1">IF(ISNUMBER('R4 Variations'!I16),+'R4 Variations'!I16*LU_Escalation,0)</f>
        <v>0</v>
      </c>
      <c r="J16" s="491">
        <f ca="1">IF(ISNUMBER('R4 Variations'!J16),+'R4 Variations'!J16*LU_Escalation,0)</f>
        <v>0</v>
      </c>
      <c r="K16" s="491">
        <f ca="1">IF(ISNUMBER('R4 Variations'!K16),+'R4 Variations'!K16*LU_Escalation,0)</f>
        <v>0</v>
      </c>
      <c r="L16" s="515" t="str">
        <f ca="1">+'R4 Variations'!L16</f>
        <v/>
      </c>
      <c r="M16" s="450" t="str">
        <f ca="1">+'R4 Variations'!M16</f>
        <v/>
      </c>
      <c r="N16" s="450" t="str">
        <f ca="1">+'R4 Variations'!N16</f>
        <v/>
      </c>
    </row>
    <row r="17" spans="1:14">
      <c r="A17" s="5"/>
      <c r="B17" s="249"/>
      <c r="C17" s="384" t="str">
        <f ca="1">+'R4 Variations'!C17</f>
        <v/>
      </c>
      <c r="D17" s="491">
        <f ca="1">IF(ISNUMBER('R4 Variations'!D17),+'R4 Variations'!D17*LU_Escalation,0)</f>
        <v>0</v>
      </c>
      <c r="E17" s="850">
        <f ca="1">IF(ISNUMBER('R4 Variations'!E17),+'R4 Variations'!E17*LU_Escalation,0)</f>
        <v>0</v>
      </c>
      <c r="F17" s="491">
        <f ca="1">IF(ISNUMBER('R4 Variations'!F17),+'R4 Variations'!F17*LU_Escalation,0)</f>
        <v>0</v>
      </c>
      <c r="G17" s="491">
        <f ca="1">IF(ISNUMBER('R4 Variations'!G17),+'R4 Variations'!G17*LU_Escalation,0)</f>
        <v>0</v>
      </c>
      <c r="H17" s="491">
        <f ca="1">IF(ISNUMBER('R4 Variations'!H17),+'R4 Variations'!H17*LU_Escalation,0)</f>
        <v>0</v>
      </c>
      <c r="I17" s="491">
        <f ca="1">IF(ISNUMBER('R4 Variations'!I17),+'R4 Variations'!I17*LU_Escalation,0)</f>
        <v>0</v>
      </c>
      <c r="J17" s="491">
        <f ca="1">IF(ISNUMBER('R4 Variations'!J17),+'R4 Variations'!J17*LU_Escalation,0)</f>
        <v>0</v>
      </c>
      <c r="K17" s="491">
        <f ca="1">IF(ISNUMBER('R4 Variations'!K17),+'R4 Variations'!K17*LU_Escalation,0)</f>
        <v>0</v>
      </c>
      <c r="L17" s="515" t="str">
        <f ca="1">+'R4 Variations'!L17</f>
        <v/>
      </c>
      <c r="M17" s="450" t="str">
        <f ca="1">+'R4 Variations'!M17</f>
        <v/>
      </c>
      <c r="N17" s="450" t="str">
        <f ca="1">+'R4 Variations'!N17</f>
        <v/>
      </c>
    </row>
    <row r="18" spans="1:14">
      <c r="A18" s="5"/>
      <c r="B18" s="249"/>
      <c r="C18" s="12"/>
      <c r="D18" s="491"/>
      <c r="E18" s="508"/>
      <c r="F18" s="491"/>
      <c r="G18" s="492"/>
      <c r="H18" s="492"/>
      <c r="I18" s="492"/>
      <c r="J18" s="492"/>
      <c r="K18" s="508"/>
      <c r="L18" s="515"/>
      <c r="M18" s="450"/>
      <c r="N18" s="450"/>
    </row>
    <row r="19" spans="1:14">
      <c r="A19" s="5"/>
      <c r="B19" s="249" t="str">
        <f ca="1">+'I-4 History'!B16</f>
        <v>DA-2</v>
      </c>
      <c r="C19" s="14" t="str">
        <f ca="1">+'I-4 History'!C16</f>
        <v>Network Access, Monitoring and Control</v>
      </c>
      <c r="D19" s="491"/>
      <c r="E19" s="508"/>
      <c r="F19" s="491"/>
      <c r="G19" s="492"/>
      <c r="H19" s="492"/>
      <c r="I19" s="492"/>
      <c r="J19" s="492"/>
      <c r="K19" s="508"/>
      <c r="L19" s="515"/>
      <c r="M19" s="450"/>
      <c r="N19" s="450"/>
    </row>
    <row r="20" spans="1:14">
      <c r="A20" s="5"/>
      <c r="B20" s="249"/>
      <c r="C20" s="384" t="str">
        <f ca="1">+'R4 Variations'!C20</f>
        <v>Step Change</v>
      </c>
      <c r="D20" s="491">
        <f ca="1">IF(ISNUMBER('R4 Variations'!D20),+'R4 Variations'!D20*LU_Escalation,0)</f>
        <v>0</v>
      </c>
      <c r="E20" s="850">
        <f ca="1">IF(ISNUMBER('R4 Variations'!E20),+'R4 Variations'!E20*LU_Escalation,0)</f>
        <v>0</v>
      </c>
      <c r="F20" s="491">
        <f ca="1">IF(ISNUMBER('R4 Variations'!F20),+'R4 Variations'!F20*LU_Escalation,0)</f>
        <v>0</v>
      </c>
      <c r="G20" s="491">
        <f ca="1">IF(ISNUMBER('R4 Variations'!G20),+'R4 Variations'!G20*LU_Escalation,0)</f>
        <v>0</v>
      </c>
      <c r="H20" s="491">
        <f ca="1">IF(ISNUMBER('R4 Variations'!H20),+'R4 Variations'!H20*LU_Escalation,0)</f>
        <v>0</v>
      </c>
      <c r="I20" s="491">
        <f ca="1">IF(ISNUMBER('R4 Variations'!I20),+'R4 Variations'!I20*LU_Escalation,0)</f>
        <v>0</v>
      </c>
      <c r="J20" s="491">
        <f ca="1">IF(ISNUMBER('R4 Variations'!J20),+'R4 Variations'!J20*LU_Escalation,0)</f>
        <v>0</v>
      </c>
      <c r="K20" s="491">
        <f ca="1">IF(ISNUMBER('R4 Variations'!K20),+'R4 Variations'!K20*LU_Escalation,0)</f>
        <v>0</v>
      </c>
      <c r="L20" s="515" t="str">
        <f ca="1">+'R4 Variations'!L20</f>
        <v>Proposal Step Change</v>
      </c>
      <c r="M20" s="450" t="str">
        <f ca="1">+'R4 Variations'!M20</f>
        <v>Refer Opex Workings</v>
      </c>
      <c r="N20" s="450" t="str">
        <f ca="1">+'R4 Variations'!N20</f>
        <v>Proposal, October 2014</v>
      </c>
    </row>
    <row r="21" spans="1:14">
      <c r="A21" s="5"/>
      <c r="B21" s="249"/>
      <c r="C21" s="384" t="str">
        <f ca="1">+'R4 Variations'!C21</f>
        <v/>
      </c>
      <c r="D21" s="491">
        <f ca="1">IF(ISNUMBER('R4 Variations'!D21),+'R4 Variations'!D21*LU_Escalation,0)</f>
        <v>0</v>
      </c>
      <c r="E21" s="850">
        <f ca="1">IF(ISNUMBER('R4 Variations'!E21),+'R4 Variations'!E21*LU_Escalation,0)</f>
        <v>0</v>
      </c>
      <c r="F21" s="491">
        <f ca="1">IF(ISNUMBER('R4 Variations'!F21),+'R4 Variations'!F21*LU_Escalation,0)</f>
        <v>0</v>
      </c>
      <c r="G21" s="491">
        <f ca="1">IF(ISNUMBER('R4 Variations'!G21),+'R4 Variations'!G21*LU_Escalation,0)</f>
        <v>0</v>
      </c>
      <c r="H21" s="491">
        <f ca="1">IF(ISNUMBER('R4 Variations'!H21),+'R4 Variations'!H21*LU_Escalation,0)</f>
        <v>0</v>
      </c>
      <c r="I21" s="491">
        <f ca="1">IF(ISNUMBER('R4 Variations'!I21),+'R4 Variations'!I21*LU_Escalation,0)</f>
        <v>0</v>
      </c>
      <c r="J21" s="491">
        <f ca="1">IF(ISNUMBER('R4 Variations'!J21),+'R4 Variations'!J21*LU_Escalation,0)</f>
        <v>0</v>
      </c>
      <c r="K21" s="491">
        <f ca="1">IF(ISNUMBER('R4 Variations'!K21),+'R4 Variations'!K21*LU_Escalation,0)</f>
        <v>0</v>
      </c>
      <c r="L21" s="515" t="str">
        <f ca="1">+'R4 Variations'!L21</f>
        <v/>
      </c>
      <c r="M21" s="450" t="str">
        <f ca="1">+'R4 Variations'!M21</f>
        <v/>
      </c>
      <c r="N21" s="450" t="str">
        <f ca="1">+'R4 Variations'!N21</f>
        <v/>
      </c>
    </row>
    <row r="22" spans="1:14">
      <c r="A22" s="5"/>
      <c r="B22" s="249"/>
      <c r="C22" s="384" t="str">
        <f ca="1">+'R4 Variations'!C22</f>
        <v/>
      </c>
      <c r="D22" s="491">
        <f ca="1">IF(ISNUMBER('R4 Variations'!D22),+'R4 Variations'!D22*LU_Escalation,0)</f>
        <v>0</v>
      </c>
      <c r="E22" s="850">
        <f ca="1">IF(ISNUMBER('R4 Variations'!E22),+'R4 Variations'!E22*LU_Escalation,0)</f>
        <v>0</v>
      </c>
      <c r="F22" s="491">
        <f ca="1">IF(ISNUMBER('R4 Variations'!F22),+'R4 Variations'!F22*LU_Escalation,0)</f>
        <v>0</v>
      </c>
      <c r="G22" s="491">
        <f ca="1">IF(ISNUMBER('R4 Variations'!G22),+'R4 Variations'!G22*LU_Escalation,0)</f>
        <v>0</v>
      </c>
      <c r="H22" s="491">
        <f ca="1">IF(ISNUMBER('R4 Variations'!H22),+'R4 Variations'!H22*LU_Escalation,0)</f>
        <v>0</v>
      </c>
      <c r="I22" s="491">
        <f ca="1">IF(ISNUMBER('R4 Variations'!I22),+'R4 Variations'!I22*LU_Escalation,0)</f>
        <v>0</v>
      </c>
      <c r="J22" s="491">
        <f ca="1">IF(ISNUMBER('R4 Variations'!J22),+'R4 Variations'!J22*LU_Escalation,0)</f>
        <v>0</v>
      </c>
      <c r="K22" s="491">
        <f ca="1">IF(ISNUMBER('R4 Variations'!K22),+'R4 Variations'!K22*LU_Escalation,0)</f>
        <v>0</v>
      </c>
      <c r="L22" s="515" t="str">
        <f ca="1">+'R4 Variations'!L22</f>
        <v/>
      </c>
      <c r="M22" s="450" t="str">
        <f ca="1">+'R4 Variations'!M22</f>
        <v/>
      </c>
      <c r="N22" s="450" t="str">
        <f ca="1">+'R4 Variations'!N22</f>
        <v/>
      </c>
    </row>
    <row r="23" spans="1:14">
      <c r="A23" s="5"/>
      <c r="B23" s="249"/>
      <c r="C23" s="384" t="str">
        <f ca="1">+'R4 Variations'!C23</f>
        <v/>
      </c>
      <c r="D23" s="491">
        <f ca="1">IF(ISNUMBER('R4 Variations'!D23),+'R4 Variations'!D23*LU_Escalation,0)</f>
        <v>0</v>
      </c>
      <c r="E23" s="850">
        <f ca="1">IF(ISNUMBER('R4 Variations'!E23),+'R4 Variations'!E23*LU_Escalation,0)</f>
        <v>0</v>
      </c>
      <c r="F23" s="491">
        <f ca="1">IF(ISNUMBER('R4 Variations'!F23),+'R4 Variations'!F23*LU_Escalation,0)</f>
        <v>0</v>
      </c>
      <c r="G23" s="491">
        <f ca="1">IF(ISNUMBER('R4 Variations'!G23),+'R4 Variations'!G23*LU_Escalation,0)</f>
        <v>0</v>
      </c>
      <c r="H23" s="491">
        <f ca="1">IF(ISNUMBER('R4 Variations'!H23),+'R4 Variations'!H23*LU_Escalation,0)</f>
        <v>0</v>
      </c>
      <c r="I23" s="491">
        <f ca="1">IF(ISNUMBER('R4 Variations'!I23),+'R4 Variations'!I23*LU_Escalation,0)</f>
        <v>0</v>
      </c>
      <c r="J23" s="491">
        <f ca="1">IF(ISNUMBER('R4 Variations'!J23),+'R4 Variations'!J23*LU_Escalation,0)</f>
        <v>0</v>
      </c>
      <c r="K23" s="491">
        <f ca="1">IF(ISNUMBER('R4 Variations'!K23),+'R4 Variations'!K23*LU_Escalation,0)</f>
        <v>0</v>
      </c>
      <c r="L23" s="515" t="str">
        <f ca="1">+'R4 Variations'!L23</f>
        <v/>
      </c>
      <c r="M23" s="450" t="str">
        <f ca="1">+'R4 Variations'!M23</f>
        <v/>
      </c>
      <c r="N23" s="450" t="str">
        <f ca="1">+'R4 Variations'!N23</f>
        <v/>
      </c>
    </row>
    <row r="24" spans="1:14">
      <c r="A24" s="5"/>
      <c r="B24" s="249"/>
      <c r="C24" s="384" t="str">
        <f ca="1">+'R4 Variations'!C24</f>
        <v/>
      </c>
      <c r="D24" s="491">
        <f ca="1">IF(ISNUMBER('R4 Variations'!D24),+'R4 Variations'!D24*LU_Escalation,0)</f>
        <v>0</v>
      </c>
      <c r="E24" s="850">
        <f ca="1">IF(ISNUMBER('R4 Variations'!E24),+'R4 Variations'!E24*LU_Escalation,0)</f>
        <v>0</v>
      </c>
      <c r="F24" s="491">
        <f ca="1">IF(ISNUMBER('R4 Variations'!F24),+'R4 Variations'!F24*LU_Escalation,0)</f>
        <v>0</v>
      </c>
      <c r="G24" s="491">
        <f ca="1">IF(ISNUMBER('R4 Variations'!G24),+'R4 Variations'!G24*LU_Escalation,0)</f>
        <v>0</v>
      </c>
      <c r="H24" s="491">
        <f ca="1">IF(ISNUMBER('R4 Variations'!H24),+'R4 Variations'!H24*LU_Escalation,0)</f>
        <v>0</v>
      </c>
      <c r="I24" s="491">
        <f ca="1">IF(ISNUMBER('R4 Variations'!I24),+'R4 Variations'!I24*LU_Escalation,0)</f>
        <v>0</v>
      </c>
      <c r="J24" s="491">
        <f ca="1">IF(ISNUMBER('R4 Variations'!J24),+'R4 Variations'!J24*LU_Escalation,0)</f>
        <v>0</v>
      </c>
      <c r="K24" s="491">
        <f ca="1">IF(ISNUMBER('R4 Variations'!K24),+'R4 Variations'!K24*LU_Escalation,0)</f>
        <v>0</v>
      </c>
      <c r="L24" s="515" t="str">
        <f ca="1">+'R4 Variations'!L24</f>
        <v/>
      </c>
      <c r="M24" s="450" t="str">
        <f ca="1">+'R4 Variations'!M24</f>
        <v/>
      </c>
      <c r="N24" s="450" t="str">
        <f ca="1">+'R4 Variations'!N24</f>
        <v/>
      </c>
    </row>
    <row r="25" spans="1:14">
      <c r="A25" s="5"/>
      <c r="B25" s="249"/>
      <c r="C25" s="384" t="str">
        <f ca="1">+'R4 Variations'!C25</f>
        <v/>
      </c>
      <c r="D25" s="491">
        <f ca="1">IF(ISNUMBER('R4 Variations'!D25),+'R4 Variations'!D25*LU_Escalation,0)</f>
        <v>0</v>
      </c>
      <c r="E25" s="850">
        <f ca="1">IF(ISNUMBER('R4 Variations'!E25),+'R4 Variations'!E25*LU_Escalation,0)</f>
        <v>0</v>
      </c>
      <c r="F25" s="491">
        <f ca="1">IF(ISNUMBER('R4 Variations'!F25),+'R4 Variations'!F25*LU_Escalation,0)</f>
        <v>0</v>
      </c>
      <c r="G25" s="491">
        <f ca="1">IF(ISNUMBER('R4 Variations'!G25),+'R4 Variations'!G25*LU_Escalation,0)</f>
        <v>0</v>
      </c>
      <c r="H25" s="491">
        <f ca="1">IF(ISNUMBER('R4 Variations'!H25),+'R4 Variations'!H25*LU_Escalation,0)</f>
        <v>0</v>
      </c>
      <c r="I25" s="491">
        <f ca="1">IF(ISNUMBER('R4 Variations'!I25),+'R4 Variations'!I25*LU_Escalation,0)</f>
        <v>0</v>
      </c>
      <c r="J25" s="491">
        <f ca="1">IF(ISNUMBER('R4 Variations'!J25),+'R4 Variations'!J25*LU_Escalation,0)</f>
        <v>0</v>
      </c>
      <c r="K25" s="491">
        <f ca="1">IF(ISNUMBER('R4 Variations'!K25),+'R4 Variations'!K25*LU_Escalation,0)</f>
        <v>0</v>
      </c>
      <c r="L25" s="515" t="str">
        <f ca="1">+'R4 Variations'!L25</f>
        <v/>
      </c>
      <c r="M25" s="450" t="str">
        <f ca="1">+'R4 Variations'!M25</f>
        <v/>
      </c>
      <c r="N25" s="450" t="str">
        <f ca="1">+'R4 Variations'!N25</f>
        <v/>
      </c>
    </row>
    <row r="26" spans="1:14">
      <c r="A26" s="5"/>
      <c r="B26" s="249"/>
      <c r="C26" s="384" t="str">
        <f ca="1">+'R4 Variations'!C26</f>
        <v/>
      </c>
      <c r="D26" s="491">
        <f ca="1">IF(ISNUMBER('R4 Variations'!D26),+'R4 Variations'!D26*LU_Escalation,0)</f>
        <v>0</v>
      </c>
      <c r="E26" s="850">
        <f ca="1">IF(ISNUMBER('R4 Variations'!E26),+'R4 Variations'!E26*LU_Escalation,0)</f>
        <v>0</v>
      </c>
      <c r="F26" s="491">
        <f ca="1">IF(ISNUMBER('R4 Variations'!F26),+'R4 Variations'!F26*LU_Escalation,0)</f>
        <v>0</v>
      </c>
      <c r="G26" s="491">
        <f ca="1">IF(ISNUMBER('R4 Variations'!G26),+'R4 Variations'!G26*LU_Escalation,0)</f>
        <v>0</v>
      </c>
      <c r="H26" s="491">
        <f ca="1">IF(ISNUMBER('R4 Variations'!H26),+'R4 Variations'!H26*LU_Escalation,0)</f>
        <v>0</v>
      </c>
      <c r="I26" s="491">
        <f ca="1">IF(ISNUMBER('R4 Variations'!I26),+'R4 Variations'!I26*LU_Escalation,0)</f>
        <v>0</v>
      </c>
      <c r="J26" s="491">
        <f ca="1">IF(ISNUMBER('R4 Variations'!J26),+'R4 Variations'!J26*LU_Escalation,0)</f>
        <v>0</v>
      </c>
      <c r="K26" s="491">
        <f ca="1">IF(ISNUMBER('R4 Variations'!K26),+'R4 Variations'!K26*LU_Escalation,0)</f>
        <v>0</v>
      </c>
      <c r="L26" s="515" t="str">
        <f ca="1">+'R4 Variations'!L26</f>
        <v/>
      </c>
      <c r="M26" s="450" t="str">
        <f ca="1">+'R4 Variations'!M26</f>
        <v/>
      </c>
      <c r="N26" s="450" t="str">
        <f ca="1">+'R4 Variations'!N26</f>
        <v/>
      </c>
    </row>
    <row r="27" spans="1:14">
      <c r="A27" s="5"/>
      <c r="B27" s="249"/>
      <c r="C27" s="384" t="str">
        <f ca="1">+'R4 Variations'!C27</f>
        <v/>
      </c>
      <c r="D27" s="491">
        <f ca="1">IF(ISNUMBER('R4 Variations'!D27),+'R4 Variations'!D27*LU_Escalation,0)</f>
        <v>0</v>
      </c>
      <c r="E27" s="850">
        <f ca="1">IF(ISNUMBER('R4 Variations'!E27),+'R4 Variations'!E27*LU_Escalation,0)</f>
        <v>0</v>
      </c>
      <c r="F27" s="491">
        <f ca="1">IF(ISNUMBER('R4 Variations'!F27),+'R4 Variations'!F27*LU_Escalation,0)</f>
        <v>0</v>
      </c>
      <c r="G27" s="491">
        <f ca="1">IF(ISNUMBER('R4 Variations'!G27),+'R4 Variations'!G27*LU_Escalation,0)</f>
        <v>0</v>
      </c>
      <c r="H27" s="491">
        <f ca="1">IF(ISNUMBER('R4 Variations'!H27),+'R4 Variations'!H27*LU_Escalation,0)</f>
        <v>0</v>
      </c>
      <c r="I27" s="491">
        <f ca="1">IF(ISNUMBER('R4 Variations'!I27),+'R4 Variations'!I27*LU_Escalation,0)</f>
        <v>0</v>
      </c>
      <c r="J27" s="491">
        <f ca="1">IF(ISNUMBER('R4 Variations'!J27),+'R4 Variations'!J27*LU_Escalation,0)</f>
        <v>0</v>
      </c>
      <c r="K27" s="491">
        <f ca="1">IF(ISNUMBER('R4 Variations'!K27),+'R4 Variations'!K27*LU_Escalation,0)</f>
        <v>0</v>
      </c>
      <c r="L27" s="515" t="str">
        <f ca="1">+'R4 Variations'!L27</f>
        <v/>
      </c>
      <c r="M27" s="450" t="str">
        <f ca="1">+'R4 Variations'!M27</f>
        <v/>
      </c>
      <c r="N27" s="450" t="str">
        <f ca="1">+'R4 Variations'!N27</f>
        <v/>
      </c>
    </row>
    <row r="28" spans="1:14">
      <c r="A28" s="5"/>
      <c r="B28" s="249"/>
      <c r="C28" s="384" t="str">
        <f ca="1">+'R4 Variations'!C28</f>
        <v/>
      </c>
      <c r="D28" s="491">
        <f ca="1">IF(ISNUMBER('R4 Variations'!D28),+'R4 Variations'!D28*LU_Escalation,0)</f>
        <v>0</v>
      </c>
      <c r="E28" s="850">
        <f ca="1">IF(ISNUMBER('R4 Variations'!E28),+'R4 Variations'!E28*LU_Escalation,0)</f>
        <v>0</v>
      </c>
      <c r="F28" s="491">
        <f ca="1">IF(ISNUMBER('R4 Variations'!F28),+'R4 Variations'!F28*LU_Escalation,0)</f>
        <v>0</v>
      </c>
      <c r="G28" s="491">
        <f ca="1">IF(ISNUMBER('R4 Variations'!G28),+'R4 Variations'!G28*LU_Escalation,0)</f>
        <v>0</v>
      </c>
      <c r="H28" s="491">
        <f ca="1">IF(ISNUMBER('R4 Variations'!H28),+'R4 Variations'!H28*LU_Escalation,0)</f>
        <v>0</v>
      </c>
      <c r="I28" s="491">
        <f ca="1">IF(ISNUMBER('R4 Variations'!I28),+'R4 Variations'!I28*LU_Escalation,0)</f>
        <v>0</v>
      </c>
      <c r="J28" s="491">
        <f ca="1">IF(ISNUMBER('R4 Variations'!J28),+'R4 Variations'!J28*LU_Escalation,0)</f>
        <v>0</v>
      </c>
      <c r="K28" s="491">
        <f ca="1">IF(ISNUMBER('R4 Variations'!K28),+'R4 Variations'!K28*LU_Escalation,0)</f>
        <v>0</v>
      </c>
      <c r="L28" s="515" t="str">
        <f ca="1">+'R4 Variations'!L28</f>
        <v/>
      </c>
      <c r="M28" s="450" t="str">
        <f ca="1">+'R4 Variations'!M28</f>
        <v/>
      </c>
      <c r="N28" s="450" t="str">
        <f ca="1">+'R4 Variations'!N28</f>
        <v/>
      </c>
    </row>
    <row r="29" spans="1:14">
      <c r="A29" s="5"/>
      <c r="B29" s="249"/>
      <c r="C29" s="384" t="str">
        <f ca="1">+'R4 Variations'!C29</f>
        <v/>
      </c>
      <c r="D29" s="491">
        <f ca="1">IF(ISNUMBER('R4 Variations'!D29),+'R4 Variations'!D29*LU_Escalation,0)</f>
        <v>0</v>
      </c>
      <c r="E29" s="850">
        <f ca="1">IF(ISNUMBER('R4 Variations'!E29),+'R4 Variations'!E29*LU_Escalation,0)</f>
        <v>0</v>
      </c>
      <c r="F29" s="491">
        <f ca="1">IF(ISNUMBER('R4 Variations'!F29),+'R4 Variations'!F29*LU_Escalation,0)</f>
        <v>0</v>
      </c>
      <c r="G29" s="491">
        <f ca="1">IF(ISNUMBER('R4 Variations'!G29),+'R4 Variations'!G29*LU_Escalation,0)</f>
        <v>0</v>
      </c>
      <c r="H29" s="491">
        <f ca="1">IF(ISNUMBER('R4 Variations'!H29),+'R4 Variations'!H29*LU_Escalation,0)</f>
        <v>0</v>
      </c>
      <c r="I29" s="491">
        <f ca="1">IF(ISNUMBER('R4 Variations'!I29),+'R4 Variations'!I29*LU_Escalation,0)</f>
        <v>0</v>
      </c>
      <c r="J29" s="491">
        <f ca="1">IF(ISNUMBER('R4 Variations'!J29),+'R4 Variations'!J29*LU_Escalation,0)</f>
        <v>0</v>
      </c>
      <c r="K29" s="491">
        <f ca="1">IF(ISNUMBER('R4 Variations'!K29),+'R4 Variations'!K29*LU_Escalation,0)</f>
        <v>0</v>
      </c>
      <c r="L29" s="515" t="str">
        <f ca="1">+'R4 Variations'!L29</f>
        <v/>
      </c>
      <c r="M29" s="450" t="str">
        <f ca="1">+'R4 Variations'!M29</f>
        <v/>
      </c>
      <c r="N29" s="450" t="str">
        <f ca="1">+'R4 Variations'!N29</f>
        <v/>
      </c>
    </row>
    <row r="30" spans="1:14">
      <c r="A30" s="5"/>
      <c r="B30" s="249"/>
      <c r="C30" s="12"/>
      <c r="D30" s="491"/>
      <c r="E30" s="508"/>
      <c r="F30" s="491"/>
      <c r="G30" s="492"/>
      <c r="H30" s="492"/>
      <c r="I30" s="492"/>
      <c r="J30" s="492"/>
      <c r="K30" s="508"/>
      <c r="L30" s="515"/>
      <c r="M30" s="450"/>
      <c r="N30" s="450"/>
    </row>
    <row r="31" spans="1:14">
      <c r="A31" s="5"/>
      <c r="B31" s="249" t="str">
        <f ca="1">+'I-4 History'!B25</f>
        <v>DA-3</v>
      </c>
      <c r="C31" s="14" t="str">
        <f ca="1">+'I-4 History'!C25</f>
        <v>Customer Service</v>
      </c>
      <c r="D31" s="491"/>
      <c r="E31" s="508"/>
      <c r="F31" s="491"/>
      <c r="G31" s="492"/>
      <c r="H31" s="492"/>
      <c r="I31" s="492"/>
      <c r="J31" s="492"/>
      <c r="K31" s="508"/>
      <c r="L31" s="515"/>
      <c r="M31" s="450"/>
      <c r="N31" s="450"/>
    </row>
    <row r="32" spans="1:14">
      <c r="A32" s="5"/>
      <c r="B32" s="249"/>
      <c r="C32" s="384" t="str">
        <f ca="1">+'R4 Variations'!C32</f>
        <v>Step Change</v>
      </c>
      <c r="D32" s="491">
        <f ca="1">IF(ISNUMBER('R4 Variations'!D32),+'R4 Variations'!D32*LU_Escalation,0)</f>
        <v>0</v>
      </c>
      <c r="E32" s="850">
        <f ca="1">IF(ISNUMBER('R4 Variations'!E32),+'R4 Variations'!E32*LU_Escalation,0)</f>
        <v>0</v>
      </c>
      <c r="F32" s="491">
        <f ca="1">IF(ISNUMBER('R4 Variations'!F32),+'R4 Variations'!F32*LU_Escalation,0)</f>
        <v>6.5000000000000002E-2</v>
      </c>
      <c r="G32" s="491">
        <f ca="1">IF(ISNUMBER('R4 Variations'!G32),+'R4 Variations'!G32*LU_Escalation,0)</f>
        <v>0.25843269230769234</v>
      </c>
      <c r="H32" s="491">
        <f ca="1">IF(ISNUMBER('R4 Variations'!H32),+'R4 Variations'!H32*LU_Escalation,0)</f>
        <v>0.25843269230769234</v>
      </c>
      <c r="I32" s="491">
        <f ca="1">IF(ISNUMBER('R4 Variations'!I32),+'R4 Variations'!I32*LU_Escalation,0)</f>
        <v>0.25843269230769234</v>
      </c>
      <c r="J32" s="491">
        <f ca="1">IF(ISNUMBER('R4 Variations'!J32),+'R4 Variations'!J32*LU_Escalation,0)</f>
        <v>0.25843269230769234</v>
      </c>
      <c r="K32" s="491">
        <f ca="1">IF(ISNUMBER('R4 Variations'!K32),+'R4 Variations'!K32*LU_Escalation,0)</f>
        <v>0.25843269230769234</v>
      </c>
      <c r="L32" s="515" t="str">
        <f ca="1">+'R4 Variations'!L32</f>
        <v>Proposal Step Change</v>
      </c>
      <c r="M32" s="450" t="str">
        <f ca="1">+'R4 Variations'!M32</f>
        <v>Refer Opex Workings</v>
      </c>
      <c r="N32" s="450" t="str">
        <f ca="1">+'R4 Variations'!N32</f>
        <v>Proposal, October 2014</v>
      </c>
    </row>
    <row r="33" spans="1:14">
      <c r="A33" s="5"/>
      <c r="B33" s="249"/>
      <c r="C33" s="384" t="str">
        <f ca="1">+'R4 Variations'!C33</f>
        <v/>
      </c>
      <c r="D33" s="491">
        <f ca="1">IF(ISNUMBER('R4 Variations'!D33),+'R4 Variations'!D33*LU_Escalation,0)</f>
        <v>0</v>
      </c>
      <c r="E33" s="850">
        <f ca="1">IF(ISNUMBER('R4 Variations'!E33),+'R4 Variations'!E33*LU_Escalation,0)</f>
        <v>0</v>
      </c>
      <c r="F33" s="491">
        <f ca="1">IF(ISNUMBER('R4 Variations'!F33),+'R4 Variations'!F33*LU_Escalation,0)</f>
        <v>0</v>
      </c>
      <c r="G33" s="491">
        <f ca="1">IF(ISNUMBER('R4 Variations'!G33),+'R4 Variations'!G33*LU_Escalation,0)</f>
        <v>0</v>
      </c>
      <c r="H33" s="491">
        <f ca="1">IF(ISNUMBER('R4 Variations'!H33),+'R4 Variations'!H33*LU_Escalation,0)</f>
        <v>0</v>
      </c>
      <c r="I33" s="491">
        <f ca="1">IF(ISNUMBER('R4 Variations'!I33),+'R4 Variations'!I33*LU_Escalation,0)</f>
        <v>0</v>
      </c>
      <c r="J33" s="491">
        <f ca="1">IF(ISNUMBER('R4 Variations'!J33),+'R4 Variations'!J33*LU_Escalation,0)</f>
        <v>0</v>
      </c>
      <c r="K33" s="491">
        <f ca="1">IF(ISNUMBER('R4 Variations'!K33),+'R4 Variations'!K33*LU_Escalation,0)</f>
        <v>0</v>
      </c>
      <c r="L33" s="515" t="str">
        <f ca="1">+'R4 Variations'!L33</f>
        <v/>
      </c>
      <c r="M33" s="450" t="str">
        <f ca="1">+'R4 Variations'!M33</f>
        <v/>
      </c>
      <c r="N33" s="450" t="str">
        <f ca="1">+'R4 Variations'!N33</f>
        <v/>
      </c>
    </row>
    <row r="34" spans="1:14">
      <c r="A34" s="5"/>
      <c r="B34" s="249"/>
      <c r="C34" s="384" t="str">
        <f ca="1">+'R4 Variations'!C34</f>
        <v/>
      </c>
      <c r="D34" s="491">
        <f ca="1">IF(ISNUMBER('R4 Variations'!D34),+'R4 Variations'!D34*LU_Escalation,0)</f>
        <v>0</v>
      </c>
      <c r="E34" s="850">
        <f ca="1">IF(ISNUMBER('R4 Variations'!E34),+'R4 Variations'!E34*LU_Escalation,0)</f>
        <v>0</v>
      </c>
      <c r="F34" s="491">
        <f ca="1">IF(ISNUMBER('R4 Variations'!F34),+'R4 Variations'!F34*LU_Escalation,0)</f>
        <v>0</v>
      </c>
      <c r="G34" s="491">
        <f ca="1">IF(ISNUMBER('R4 Variations'!G34),+'R4 Variations'!G34*LU_Escalation,0)</f>
        <v>0</v>
      </c>
      <c r="H34" s="491">
        <f ca="1">IF(ISNUMBER('R4 Variations'!H34),+'R4 Variations'!H34*LU_Escalation,0)</f>
        <v>0</v>
      </c>
      <c r="I34" s="491">
        <f ca="1">IF(ISNUMBER('R4 Variations'!I34),+'R4 Variations'!I34*LU_Escalation,0)</f>
        <v>0</v>
      </c>
      <c r="J34" s="491">
        <f ca="1">IF(ISNUMBER('R4 Variations'!J34),+'R4 Variations'!J34*LU_Escalation,0)</f>
        <v>0</v>
      </c>
      <c r="K34" s="491">
        <f ca="1">IF(ISNUMBER('R4 Variations'!K34),+'R4 Variations'!K34*LU_Escalation,0)</f>
        <v>0</v>
      </c>
      <c r="L34" s="515" t="str">
        <f ca="1">+'R4 Variations'!L34</f>
        <v/>
      </c>
      <c r="M34" s="450" t="str">
        <f ca="1">+'R4 Variations'!M34</f>
        <v/>
      </c>
      <c r="N34" s="450" t="str">
        <f ca="1">+'R4 Variations'!N34</f>
        <v/>
      </c>
    </row>
    <row r="35" spans="1:14">
      <c r="A35" s="5"/>
      <c r="B35" s="249"/>
      <c r="C35" s="384" t="str">
        <f ca="1">+'R4 Variations'!C35</f>
        <v/>
      </c>
      <c r="D35" s="491">
        <f ca="1">IF(ISNUMBER('R4 Variations'!D35),+'R4 Variations'!D35*LU_Escalation,0)</f>
        <v>0</v>
      </c>
      <c r="E35" s="850">
        <f ca="1">IF(ISNUMBER('R4 Variations'!E35),+'R4 Variations'!E35*LU_Escalation,0)</f>
        <v>0</v>
      </c>
      <c r="F35" s="491">
        <f ca="1">IF(ISNUMBER('R4 Variations'!F35),+'R4 Variations'!F35*LU_Escalation,0)</f>
        <v>0</v>
      </c>
      <c r="G35" s="491">
        <f ca="1">IF(ISNUMBER('R4 Variations'!G35),+'R4 Variations'!G35*LU_Escalation,0)</f>
        <v>0</v>
      </c>
      <c r="H35" s="491">
        <f ca="1">IF(ISNUMBER('R4 Variations'!H35),+'R4 Variations'!H35*LU_Escalation,0)</f>
        <v>0</v>
      </c>
      <c r="I35" s="491">
        <f ca="1">IF(ISNUMBER('R4 Variations'!I35),+'R4 Variations'!I35*LU_Escalation,0)</f>
        <v>0</v>
      </c>
      <c r="J35" s="491">
        <f ca="1">IF(ISNUMBER('R4 Variations'!J35),+'R4 Variations'!J35*LU_Escalation,0)</f>
        <v>0</v>
      </c>
      <c r="K35" s="491">
        <f ca="1">IF(ISNUMBER('R4 Variations'!K35),+'R4 Variations'!K35*LU_Escalation,0)</f>
        <v>0</v>
      </c>
      <c r="L35" s="515" t="str">
        <f ca="1">+'R4 Variations'!L35</f>
        <v/>
      </c>
      <c r="M35" s="450" t="str">
        <f ca="1">+'R4 Variations'!M35</f>
        <v/>
      </c>
      <c r="N35" s="450" t="str">
        <f ca="1">+'R4 Variations'!N35</f>
        <v/>
      </c>
    </row>
    <row r="36" spans="1:14">
      <c r="A36" s="5"/>
      <c r="B36" s="249"/>
      <c r="C36" s="384" t="str">
        <f ca="1">+'R4 Variations'!C36</f>
        <v/>
      </c>
      <c r="D36" s="491">
        <f ca="1">IF(ISNUMBER('R4 Variations'!D36),+'R4 Variations'!D36*LU_Escalation,0)</f>
        <v>0</v>
      </c>
      <c r="E36" s="850">
        <f ca="1">IF(ISNUMBER('R4 Variations'!E36),+'R4 Variations'!E36*LU_Escalation,0)</f>
        <v>0</v>
      </c>
      <c r="F36" s="491">
        <f ca="1">IF(ISNUMBER('R4 Variations'!F36),+'R4 Variations'!F36*LU_Escalation,0)</f>
        <v>0</v>
      </c>
      <c r="G36" s="491">
        <f ca="1">IF(ISNUMBER('R4 Variations'!G36),+'R4 Variations'!G36*LU_Escalation,0)</f>
        <v>0</v>
      </c>
      <c r="H36" s="491">
        <f ca="1">IF(ISNUMBER('R4 Variations'!H36),+'R4 Variations'!H36*LU_Escalation,0)</f>
        <v>0</v>
      </c>
      <c r="I36" s="491">
        <f ca="1">IF(ISNUMBER('R4 Variations'!I36),+'R4 Variations'!I36*LU_Escalation,0)</f>
        <v>0</v>
      </c>
      <c r="J36" s="491">
        <f ca="1">IF(ISNUMBER('R4 Variations'!J36),+'R4 Variations'!J36*LU_Escalation,0)</f>
        <v>0</v>
      </c>
      <c r="K36" s="491">
        <f ca="1">IF(ISNUMBER('R4 Variations'!K36),+'R4 Variations'!K36*LU_Escalation,0)</f>
        <v>0</v>
      </c>
      <c r="L36" s="515" t="str">
        <f ca="1">+'R4 Variations'!L36</f>
        <v/>
      </c>
      <c r="M36" s="450" t="str">
        <f ca="1">+'R4 Variations'!M36</f>
        <v/>
      </c>
      <c r="N36" s="450" t="str">
        <f ca="1">+'R4 Variations'!N36</f>
        <v/>
      </c>
    </row>
    <row r="37" spans="1:14">
      <c r="A37" s="5"/>
      <c r="B37" s="249"/>
      <c r="C37" s="384" t="str">
        <f ca="1">+'R4 Variations'!C37</f>
        <v/>
      </c>
      <c r="D37" s="491">
        <f ca="1">IF(ISNUMBER('R4 Variations'!D37),+'R4 Variations'!D37*LU_Escalation,0)</f>
        <v>0</v>
      </c>
      <c r="E37" s="850">
        <f ca="1">IF(ISNUMBER('R4 Variations'!E37),+'R4 Variations'!E37*LU_Escalation,0)</f>
        <v>0</v>
      </c>
      <c r="F37" s="491">
        <f ca="1">IF(ISNUMBER('R4 Variations'!F37),+'R4 Variations'!F37*LU_Escalation,0)</f>
        <v>0</v>
      </c>
      <c r="G37" s="491">
        <f ca="1">IF(ISNUMBER('R4 Variations'!G37),+'R4 Variations'!G37*LU_Escalation,0)</f>
        <v>0</v>
      </c>
      <c r="H37" s="491">
        <f ca="1">IF(ISNUMBER('R4 Variations'!H37),+'R4 Variations'!H37*LU_Escalation,0)</f>
        <v>0</v>
      </c>
      <c r="I37" s="491">
        <f ca="1">IF(ISNUMBER('R4 Variations'!I37),+'R4 Variations'!I37*LU_Escalation,0)</f>
        <v>0</v>
      </c>
      <c r="J37" s="491">
        <f ca="1">IF(ISNUMBER('R4 Variations'!J37),+'R4 Variations'!J37*LU_Escalation,0)</f>
        <v>0</v>
      </c>
      <c r="K37" s="491">
        <f ca="1">IF(ISNUMBER('R4 Variations'!K37),+'R4 Variations'!K37*LU_Escalation,0)</f>
        <v>0</v>
      </c>
      <c r="L37" s="515" t="str">
        <f ca="1">+'R4 Variations'!L37</f>
        <v/>
      </c>
      <c r="M37" s="450" t="str">
        <f ca="1">+'R4 Variations'!M37</f>
        <v/>
      </c>
      <c r="N37" s="450" t="str">
        <f ca="1">+'R4 Variations'!N37</f>
        <v/>
      </c>
    </row>
    <row r="38" spans="1:14">
      <c r="A38" s="5"/>
      <c r="B38" s="249"/>
      <c r="C38" s="384" t="str">
        <f ca="1">+'R4 Variations'!C38</f>
        <v/>
      </c>
      <c r="D38" s="491">
        <f ca="1">IF(ISNUMBER('R4 Variations'!D38),+'R4 Variations'!D38*LU_Escalation,0)</f>
        <v>0</v>
      </c>
      <c r="E38" s="850">
        <f ca="1">IF(ISNUMBER('R4 Variations'!E38),+'R4 Variations'!E38*LU_Escalation,0)</f>
        <v>0</v>
      </c>
      <c r="F38" s="491">
        <f ca="1">IF(ISNUMBER('R4 Variations'!F38),+'R4 Variations'!F38*LU_Escalation,0)</f>
        <v>0</v>
      </c>
      <c r="G38" s="491">
        <f ca="1">IF(ISNUMBER('R4 Variations'!G38),+'R4 Variations'!G38*LU_Escalation,0)</f>
        <v>0</v>
      </c>
      <c r="H38" s="491">
        <f ca="1">IF(ISNUMBER('R4 Variations'!H38),+'R4 Variations'!H38*LU_Escalation,0)</f>
        <v>0</v>
      </c>
      <c r="I38" s="491">
        <f ca="1">IF(ISNUMBER('R4 Variations'!I38),+'R4 Variations'!I38*LU_Escalation,0)</f>
        <v>0</v>
      </c>
      <c r="J38" s="491">
        <f ca="1">IF(ISNUMBER('R4 Variations'!J38),+'R4 Variations'!J38*LU_Escalation,0)</f>
        <v>0</v>
      </c>
      <c r="K38" s="491">
        <f ca="1">IF(ISNUMBER('R4 Variations'!K38),+'R4 Variations'!K38*LU_Escalation,0)</f>
        <v>0</v>
      </c>
      <c r="L38" s="515" t="str">
        <f ca="1">+'R4 Variations'!L38</f>
        <v/>
      </c>
      <c r="M38" s="450" t="str">
        <f ca="1">+'R4 Variations'!M38</f>
        <v/>
      </c>
      <c r="N38" s="450" t="str">
        <f ca="1">+'R4 Variations'!N38</f>
        <v/>
      </c>
    </row>
    <row r="39" spans="1:14">
      <c r="A39" s="5"/>
      <c r="B39" s="249"/>
      <c r="C39" s="384" t="str">
        <f ca="1">+'R4 Variations'!C39</f>
        <v/>
      </c>
      <c r="D39" s="491">
        <f ca="1">IF(ISNUMBER('R4 Variations'!D39),+'R4 Variations'!D39*LU_Escalation,0)</f>
        <v>0</v>
      </c>
      <c r="E39" s="850">
        <f ca="1">IF(ISNUMBER('R4 Variations'!E39),+'R4 Variations'!E39*LU_Escalation,0)</f>
        <v>0</v>
      </c>
      <c r="F39" s="491">
        <f ca="1">IF(ISNUMBER('R4 Variations'!F39),+'R4 Variations'!F39*LU_Escalation,0)</f>
        <v>0</v>
      </c>
      <c r="G39" s="491">
        <f ca="1">IF(ISNUMBER('R4 Variations'!G39),+'R4 Variations'!G39*LU_Escalation,0)</f>
        <v>0</v>
      </c>
      <c r="H39" s="491">
        <f ca="1">IF(ISNUMBER('R4 Variations'!H39),+'R4 Variations'!H39*LU_Escalation,0)</f>
        <v>0</v>
      </c>
      <c r="I39" s="491">
        <f ca="1">IF(ISNUMBER('R4 Variations'!I39),+'R4 Variations'!I39*LU_Escalation,0)</f>
        <v>0</v>
      </c>
      <c r="J39" s="491">
        <f ca="1">IF(ISNUMBER('R4 Variations'!J39),+'R4 Variations'!J39*LU_Escalation,0)</f>
        <v>0</v>
      </c>
      <c r="K39" s="491">
        <f ca="1">IF(ISNUMBER('R4 Variations'!K39),+'R4 Variations'!K39*LU_Escalation,0)</f>
        <v>0</v>
      </c>
      <c r="L39" s="515" t="str">
        <f ca="1">+'R4 Variations'!L39</f>
        <v/>
      </c>
      <c r="M39" s="450" t="str">
        <f ca="1">+'R4 Variations'!M39</f>
        <v/>
      </c>
      <c r="N39" s="450" t="str">
        <f ca="1">+'R4 Variations'!N39</f>
        <v/>
      </c>
    </row>
    <row r="40" spans="1:14">
      <c r="A40" s="5"/>
      <c r="B40" s="249"/>
      <c r="C40" s="384" t="str">
        <f ca="1">+'R4 Variations'!C40</f>
        <v/>
      </c>
      <c r="D40" s="491">
        <f ca="1">IF(ISNUMBER('R4 Variations'!D40),+'R4 Variations'!D40*LU_Escalation,0)</f>
        <v>0</v>
      </c>
      <c r="E40" s="850">
        <f ca="1">IF(ISNUMBER('R4 Variations'!E40),+'R4 Variations'!E40*LU_Escalation,0)</f>
        <v>0</v>
      </c>
      <c r="F40" s="491">
        <f ca="1">IF(ISNUMBER('R4 Variations'!F40),+'R4 Variations'!F40*LU_Escalation,0)</f>
        <v>0</v>
      </c>
      <c r="G40" s="491">
        <f ca="1">IF(ISNUMBER('R4 Variations'!G40),+'R4 Variations'!G40*LU_Escalation,0)</f>
        <v>0</v>
      </c>
      <c r="H40" s="491">
        <f ca="1">IF(ISNUMBER('R4 Variations'!H40),+'R4 Variations'!H40*LU_Escalation,0)</f>
        <v>0</v>
      </c>
      <c r="I40" s="491">
        <f ca="1">IF(ISNUMBER('R4 Variations'!I40),+'R4 Variations'!I40*LU_Escalation,0)</f>
        <v>0</v>
      </c>
      <c r="J40" s="491">
        <f ca="1">IF(ISNUMBER('R4 Variations'!J40),+'R4 Variations'!J40*LU_Escalation,0)</f>
        <v>0</v>
      </c>
      <c r="K40" s="491">
        <f ca="1">IF(ISNUMBER('R4 Variations'!K40),+'R4 Variations'!K40*LU_Escalation,0)</f>
        <v>0</v>
      </c>
      <c r="L40" s="515" t="str">
        <f ca="1">+'R4 Variations'!L40</f>
        <v/>
      </c>
      <c r="M40" s="450" t="str">
        <f ca="1">+'R4 Variations'!M40</f>
        <v/>
      </c>
      <c r="N40" s="450" t="str">
        <f ca="1">+'R4 Variations'!N40</f>
        <v/>
      </c>
    </row>
    <row r="41" spans="1:14">
      <c r="A41" s="5"/>
      <c r="B41" s="249"/>
      <c r="C41" s="384" t="str">
        <f ca="1">+'R4 Variations'!C41</f>
        <v/>
      </c>
      <c r="D41" s="491">
        <f ca="1">IF(ISNUMBER('R4 Variations'!D41),+'R4 Variations'!D41*LU_Escalation,0)</f>
        <v>0</v>
      </c>
      <c r="E41" s="850">
        <f ca="1">IF(ISNUMBER('R4 Variations'!E41),+'R4 Variations'!E41*LU_Escalation,0)</f>
        <v>0</v>
      </c>
      <c r="F41" s="491">
        <f ca="1">IF(ISNUMBER('R4 Variations'!F41),+'R4 Variations'!F41*LU_Escalation,0)</f>
        <v>0</v>
      </c>
      <c r="G41" s="491">
        <f ca="1">IF(ISNUMBER('R4 Variations'!G41),+'R4 Variations'!G41*LU_Escalation,0)</f>
        <v>0</v>
      </c>
      <c r="H41" s="491">
        <f ca="1">IF(ISNUMBER('R4 Variations'!H41),+'R4 Variations'!H41*LU_Escalation,0)</f>
        <v>0</v>
      </c>
      <c r="I41" s="491">
        <f ca="1">IF(ISNUMBER('R4 Variations'!I41),+'R4 Variations'!I41*LU_Escalation,0)</f>
        <v>0</v>
      </c>
      <c r="J41" s="491">
        <f ca="1">IF(ISNUMBER('R4 Variations'!J41),+'R4 Variations'!J41*LU_Escalation,0)</f>
        <v>0</v>
      </c>
      <c r="K41" s="491">
        <f ca="1">IF(ISNUMBER('R4 Variations'!K41),+'R4 Variations'!K41*LU_Escalation,0)</f>
        <v>0</v>
      </c>
      <c r="L41" s="515" t="str">
        <f ca="1">+'R4 Variations'!L41</f>
        <v/>
      </c>
      <c r="M41" s="450" t="str">
        <f ca="1">+'R4 Variations'!M41</f>
        <v/>
      </c>
      <c r="N41" s="450" t="str">
        <f ca="1">+'R4 Variations'!N41</f>
        <v/>
      </c>
    </row>
    <row r="42" spans="1:14">
      <c r="A42" s="5"/>
      <c r="B42" s="249"/>
      <c r="C42" s="12"/>
      <c r="D42" s="491"/>
      <c r="E42" s="508"/>
      <c r="F42" s="491"/>
      <c r="G42" s="492"/>
      <c r="H42" s="492"/>
      <c r="I42" s="492"/>
      <c r="J42" s="492"/>
      <c r="K42" s="508"/>
      <c r="L42" s="515"/>
      <c r="M42" s="450"/>
      <c r="N42" s="450"/>
    </row>
    <row r="43" spans="1:14">
      <c r="A43" s="5"/>
      <c r="B43" s="249" t="str">
        <f ca="1">+'I-4 History'!B34</f>
        <v>DA-4</v>
      </c>
      <c r="C43" s="14" t="str">
        <f ca="1">+'I-4 History'!C34</f>
        <v>Standards Development and Maintenance</v>
      </c>
      <c r="D43" s="328"/>
      <c r="E43" s="509"/>
      <c r="F43" s="328"/>
      <c r="G43" s="328"/>
      <c r="H43" s="328"/>
      <c r="I43" s="328"/>
      <c r="J43" s="328"/>
      <c r="K43" s="509"/>
      <c r="L43" s="515"/>
      <c r="M43" s="450"/>
      <c r="N43" s="450"/>
    </row>
    <row r="44" spans="1:14">
      <c r="A44" s="5"/>
      <c r="B44" s="249"/>
      <c r="C44" s="384" t="str">
        <f ca="1">+'R4 Variations'!C44</f>
        <v>Step Change</v>
      </c>
      <c r="D44" s="491">
        <f ca="1">IF(ISNUMBER('R4 Variations'!D44),+'R4 Variations'!D44*LU_Escalation,0)</f>
        <v>0</v>
      </c>
      <c r="E44" s="850">
        <f ca="1">IF(ISNUMBER('R4 Variations'!E44),+'R4 Variations'!E44*LU_Escalation,0)</f>
        <v>0</v>
      </c>
      <c r="F44" s="491">
        <f ca="1">IF(ISNUMBER('R4 Variations'!F44),+'R4 Variations'!F44*LU_Escalation,0)</f>
        <v>0</v>
      </c>
      <c r="G44" s="491">
        <f ca="1">IF(ISNUMBER('R4 Variations'!G44),+'R4 Variations'!G44*LU_Escalation,0)</f>
        <v>0</v>
      </c>
      <c r="H44" s="491">
        <f ca="1">IF(ISNUMBER('R4 Variations'!H44),+'R4 Variations'!H44*LU_Escalation,0)</f>
        <v>0</v>
      </c>
      <c r="I44" s="491">
        <f ca="1">IF(ISNUMBER('R4 Variations'!I44),+'R4 Variations'!I44*LU_Escalation,0)</f>
        <v>0</v>
      </c>
      <c r="J44" s="491">
        <f ca="1">IF(ISNUMBER('R4 Variations'!J44),+'R4 Variations'!J44*LU_Escalation,0)</f>
        <v>0</v>
      </c>
      <c r="K44" s="491">
        <f ca="1">IF(ISNUMBER('R4 Variations'!K44),+'R4 Variations'!K44*LU_Escalation,0)</f>
        <v>0</v>
      </c>
      <c r="L44" s="515" t="str">
        <f ca="1">+'R4 Variations'!L44</f>
        <v>Proposal Step Change</v>
      </c>
      <c r="M44" s="450" t="str">
        <f ca="1">+'R4 Variations'!M44</f>
        <v>Refer Opex Workings</v>
      </c>
      <c r="N44" s="450" t="str">
        <f ca="1">+'R4 Variations'!N44</f>
        <v>Proposal, October 2014</v>
      </c>
    </row>
    <row r="45" spans="1:14">
      <c r="A45" s="5"/>
      <c r="B45" s="249"/>
      <c r="C45" s="384" t="str">
        <f ca="1">+'R4 Variations'!C45</f>
        <v/>
      </c>
      <c r="D45" s="491">
        <f ca="1">IF(ISNUMBER('R4 Variations'!D45),+'R4 Variations'!D45*LU_Escalation,0)</f>
        <v>0</v>
      </c>
      <c r="E45" s="850">
        <f ca="1">IF(ISNUMBER('R4 Variations'!E45),+'R4 Variations'!E45*LU_Escalation,0)</f>
        <v>0</v>
      </c>
      <c r="F45" s="491">
        <f ca="1">IF(ISNUMBER('R4 Variations'!F45),+'R4 Variations'!F45*LU_Escalation,0)</f>
        <v>0</v>
      </c>
      <c r="G45" s="491">
        <f ca="1">IF(ISNUMBER('R4 Variations'!G45),+'R4 Variations'!G45*LU_Escalation,0)</f>
        <v>0</v>
      </c>
      <c r="H45" s="491">
        <f ca="1">IF(ISNUMBER('R4 Variations'!H45),+'R4 Variations'!H45*LU_Escalation,0)</f>
        <v>0</v>
      </c>
      <c r="I45" s="491">
        <f ca="1">IF(ISNUMBER('R4 Variations'!I45),+'R4 Variations'!I45*LU_Escalation,0)</f>
        <v>0</v>
      </c>
      <c r="J45" s="491">
        <f ca="1">IF(ISNUMBER('R4 Variations'!J45),+'R4 Variations'!J45*LU_Escalation,0)</f>
        <v>0</v>
      </c>
      <c r="K45" s="491">
        <f ca="1">IF(ISNUMBER('R4 Variations'!K45),+'R4 Variations'!K45*LU_Escalation,0)</f>
        <v>0</v>
      </c>
      <c r="L45" s="515">
        <f>+'R4 Variations'!L45</f>
        <v>0</v>
      </c>
      <c r="M45" s="450" t="str">
        <f ca="1">+'R4 Variations'!M45</f>
        <v/>
      </c>
      <c r="N45" s="450" t="str">
        <f ca="1">+'R4 Variations'!N45</f>
        <v/>
      </c>
    </row>
    <row r="46" spans="1:14">
      <c r="A46" s="5"/>
      <c r="B46" s="249"/>
      <c r="C46" s="384" t="str">
        <f ca="1">+'R4 Variations'!C46</f>
        <v/>
      </c>
      <c r="D46" s="491">
        <f ca="1">IF(ISNUMBER('R4 Variations'!D46),+'R4 Variations'!D46*LU_Escalation,0)</f>
        <v>0</v>
      </c>
      <c r="E46" s="850">
        <f ca="1">IF(ISNUMBER('R4 Variations'!E46),+'R4 Variations'!E46*LU_Escalation,0)</f>
        <v>0</v>
      </c>
      <c r="F46" s="491">
        <f ca="1">IF(ISNUMBER('R4 Variations'!F46),+'R4 Variations'!F46*LU_Escalation,0)</f>
        <v>0</v>
      </c>
      <c r="G46" s="491">
        <f ca="1">IF(ISNUMBER('R4 Variations'!G46),+'R4 Variations'!G46*LU_Escalation,0)</f>
        <v>0</v>
      </c>
      <c r="H46" s="491">
        <f ca="1">IF(ISNUMBER('R4 Variations'!H46),+'R4 Variations'!H46*LU_Escalation,0)</f>
        <v>0</v>
      </c>
      <c r="I46" s="491">
        <f ca="1">IF(ISNUMBER('R4 Variations'!I46),+'R4 Variations'!I46*LU_Escalation,0)</f>
        <v>0</v>
      </c>
      <c r="J46" s="491">
        <f ca="1">IF(ISNUMBER('R4 Variations'!J46),+'R4 Variations'!J46*LU_Escalation,0)</f>
        <v>0</v>
      </c>
      <c r="K46" s="491">
        <f ca="1">IF(ISNUMBER('R4 Variations'!K46),+'R4 Variations'!K46*LU_Escalation,0)</f>
        <v>0</v>
      </c>
      <c r="L46" s="515" t="str">
        <f ca="1">+'R4 Variations'!L46</f>
        <v/>
      </c>
      <c r="M46" s="450" t="str">
        <f ca="1">+'R4 Variations'!M46</f>
        <v/>
      </c>
      <c r="N46" s="450" t="str">
        <f ca="1">+'R4 Variations'!N46</f>
        <v/>
      </c>
    </row>
    <row r="47" spans="1:14">
      <c r="A47" s="5"/>
      <c r="B47" s="249"/>
      <c r="C47" s="384" t="str">
        <f ca="1">+'R4 Variations'!C47</f>
        <v/>
      </c>
      <c r="D47" s="491">
        <f ca="1">IF(ISNUMBER('R4 Variations'!D47),+'R4 Variations'!D47*LU_Escalation,0)</f>
        <v>0</v>
      </c>
      <c r="E47" s="850">
        <f ca="1">IF(ISNUMBER('R4 Variations'!E47),+'R4 Variations'!E47*LU_Escalation,0)</f>
        <v>0</v>
      </c>
      <c r="F47" s="491">
        <f ca="1">IF(ISNUMBER('R4 Variations'!F47),+'R4 Variations'!F47*LU_Escalation,0)</f>
        <v>0</v>
      </c>
      <c r="G47" s="491">
        <f ca="1">IF(ISNUMBER('R4 Variations'!G47),+'R4 Variations'!G47*LU_Escalation,0)</f>
        <v>0</v>
      </c>
      <c r="H47" s="491">
        <f ca="1">IF(ISNUMBER('R4 Variations'!H47),+'R4 Variations'!H47*LU_Escalation,0)</f>
        <v>0</v>
      </c>
      <c r="I47" s="491">
        <f ca="1">IF(ISNUMBER('R4 Variations'!I47),+'R4 Variations'!I47*LU_Escalation,0)</f>
        <v>0</v>
      </c>
      <c r="J47" s="491">
        <f ca="1">IF(ISNUMBER('R4 Variations'!J47),+'R4 Variations'!J47*LU_Escalation,0)</f>
        <v>0</v>
      </c>
      <c r="K47" s="491">
        <f ca="1">IF(ISNUMBER('R4 Variations'!K47),+'R4 Variations'!K47*LU_Escalation,0)</f>
        <v>0</v>
      </c>
      <c r="L47" s="515" t="str">
        <f ca="1">+'R4 Variations'!L47</f>
        <v/>
      </c>
      <c r="M47" s="450" t="str">
        <f ca="1">+'R4 Variations'!M47</f>
        <v/>
      </c>
      <c r="N47" s="450" t="str">
        <f ca="1">+'R4 Variations'!N47</f>
        <v/>
      </c>
    </row>
    <row r="48" spans="1:14">
      <c r="A48" s="5"/>
      <c r="B48" s="249"/>
      <c r="C48" s="384" t="str">
        <f ca="1">+'R4 Variations'!C48</f>
        <v/>
      </c>
      <c r="D48" s="491">
        <f ca="1">IF(ISNUMBER('R4 Variations'!D48),+'R4 Variations'!D48*LU_Escalation,0)</f>
        <v>0</v>
      </c>
      <c r="E48" s="850">
        <f ca="1">IF(ISNUMBER('R4 Variations'!E48),+'R4 Variations'!E48*LU_Escalation,0)</f>
        <v>0</v>
      </c>
      <c r="F48" s="491">
        <f ca="1">IF(ISNUMBER('R4 Variations'!F48),+'R4 Variations'!F48*LU_Escalation,0)</f>
        <v>0</v>
      </c>
      <c r="G48" s="491">
        <f ca="1">IF(ISNUMBER('R4 Variations'!G48),+'R4 Variations'!G48*LU_Escalation,0)</f>
        <v>0</v>
      </c>
      <c r="H48" s="491">
        <f ca="1">IF(ISNUMBER('R4 Variations'!H48),+'R4 Variations'!H48*LU_Escalation,0)</f>
        <v>0</v>
      </c>
      <c r="I48" s="491">
        <f ca="1">IF(ISNUMBER('R4 Variations'!I48),+'R4 Variations'!I48*LU_Escalation,0)</f>
        <v>0</v>
      </c>
      <c r="J48" s="491">
        <f ca="1">IF(ISNUMBER('R4 Variations'!J48),+'R4 Variations'!J48*LU_Escalation,0)</f>
        <v>0</v>
      </c>
      <c r="K48" s="491">
        <f ca="1">IF(ISNUMBER('R4 Variations'!K48),+'R4 Variations'!K48*LU_Escalation,0)</f>
        <v>0</v>
      </c>
      <c r="L48" s="515" t="str">
        <f ca="1">+'R4 Variations'!L48</f>
        <v/>
      </c>
      <c r="M48" s="450" t="str">
        <f ca="1">+'R4 Variations'!M48</f>
        <v/>
      </c>
      <c r="N48" s="450" t="str">
        <f ca="1">+'R4 Variations'!N48</f>
        <v/>
      </c>
    </row>
    <row r="49" spans="1:14">
      <c r="A49" s="5"/>
      <c r="B49" s="249"/>
      <c r="C49" s="384" t="str">
        <f ca="1">+'R4 Variations'!C49</f>
        <v/>
      </c>
      <c r="D49" s="491">
        <f ca="1">IF(ISNUMBER('R4 Variations'!D49),+'R4 Variations'!D49*LU_Escalation,0)</f>
        <v>0</v>
      </c>
      <c r="E49" s="850">
        <f ca="1">IF(ISNUMBER('R4 Variations'!E49),+'R4 Variations'!E49*LU_Escalation,0)</f>
        <v>0</v>
      </c>
      <c r="F49" s="491">
        <f ca="1">IF(ISNUMBER('R4 Variations'!F49),+'R4 Variations'!F49*LU_Escalation,0)</f>
        <v>0</v>
      </c>
      <c r="G49" s="491">
        <f ca="1">IF(ISNUMBER('R4 Variations'!G49),+'R4 Variations'!G49*LU_Escalation,0)</f>
        <v>0</v>
      </c>
      <c r="H49" s="491">
        <f ca="1">IF(ISNUMBER('R4 Variations'!H49),+'R4 Variations'!H49*LU_Escalation,0)</f>
        <v>0</v>
      </c>
      <c r="I49" s="491">
        <f ca="1">IF(ISNUMBER('R4 Variations'!I49),+'R4 Variations'!I49*LU_Escalation,0)</f>
        <v>0</v>
      </c>
      <c r="J49" s="491">
        <f ca="1">IF(ISNUMBER('R4 Variations'!J49),+'R4 Variations'!J49*LU_Escalation,0)</f>
        <v>0</v>
      </c>
      <c r="K49" s="491">
        <f ca="1">IF(ISNUMBER('R4 Variations'!K49),+'R4 Variations'!K49*LU_Escalation,0)</f>
        <v>0</v>
      </c>
      <c r="L49" s="515" t="str">
        <f ca="1">+'R4 Variations'!L49</f>
        <v/>
      </c>
      <c r="M49" s="450" t="str">
        <f ca="1">+'R4 Variations'!M49</f>
        <v/>
      </c>
      <c r="N49" s="450" t="str">
        <f ca="1">+'R4 Variations'!N49</f>
        <v/>
      </c>
    </row>
    <row r="50" spans="1:14">
      <c r="A50" s="5"/>
      <c r="B50" s="249"/>
      <c r="C50" s="384" t="str">
        <f ca="1">+'R4 Variations'!C50</f>
        <v/>
      </c>
      <c r="D50" s="491">
        <f ca="1">IF(ISNUMBER('R4 Variations'!D50),+'R4 Variations'!D50*LU_Escalation,0)</f>
        <v>0</v>
      </c>
      <c r="E50" s="850">
        <f ca="1">IF(ISNUMBER('R4 Variations'!E50),+'R4 Variations'!E50*LU_Escalation,0)</f>
        <v>0</v>
      </c>
      <c r="F50" s="491">
        <f ca="1">IF(ISNUMBER('R4 Variations'!F50),+'R4 Variations'!F50*LU_Escalation,0)</f>
        <v>0</v>
      </c>
      <c r="G50" s="491">
        <f ca="1">IF(ISNUMBER('R4 Variations'!G50),+'R4 Variations'!G50*LU_Escalation,0)</f>
        <v>0</v>
      </c>
      <c r="H50" s="491">
        <f ca="1">IF(ISNUMBER('R4 Variations'!H50),+'R4 Variations'!H50*LU_Escalation,0)</f>
        <v>0</v>
      </c>
      <c r="I50" s="491">
        <f ca="1">IF(ISNUMBER('R4 Variations'!I50),+'R4 Variations'!I50*LU_Escalation,0)</f>
        <v>0</v>
      </c>
      <c r="J50" s="491">
        <f ca="1">IF(ISNUMBER('R4 Variations'!J50),+'R4 Variations'!J50*LU_Escalation,0)</f>
        <v>0</v>
      </c>
      <c r="K50" s="491">
        <f ca="1">IF(ISNUMBER('R4 Variations'!K50),+'R4 Variations'!K50*LU_Escalation,0)</f>
        <v>0</v>
      </c>
      <c r="L50" s="515" t="str">
        <f ca="1">+'R4 Variations'!L50</f>
        <v/>
      </c>
      <c r="M50" s="450" t="str">
        <f ca="1">+'R4 Variations'!M50</f>
        <v/>
      </c>
      <c r="N50" s="450" t="str">
        <f ca="1">+'R4 Variations'!N50</f>
        <v/>
      </c>
    </row>
    <row r="51" spans="1:14">
      <c r="A51" s="5"/>
      <c r="B51" s="249"/>
      <c r="C51" s="384" t="str">
        <f ca="1">+'R4 Variations'!C51</f>
        <v/>
      </c>
      <c r="D51" s="491">
        <f ca="1">IF(ISNUMBER('R4 Variations'!D51),+'R4 Variations'!D51*LU_Escalation,0)</f>
        <v>0</v>
      </c>
      <c r="E51" s="850">
        <f ca="1">IF(ISNUMBER('R4 Variations'!E51),+'R4 Variations'!E51*LU_Escalation,0)</f>
        <v>0</v>
      </c>
      <c r="F51" s="491">
        <f ca="1">IF(ISNUMBER('R4 Variations'!F51),+'R4 Variations'!F51*LU_Escalation,0)</f>
        <v>0</v>
      </c>
      <c r="G51" s="491">
        <f ca="1">IF(ISNUMBER('R4 Variations'!G51),+'R4 Variations'!G51*LU_Escalation,0)</f>
        <v>0</v>
      </c>
      <c r="H51" s="491">
        <f ca="1">IF(ISNUMBER('R4 Variations'!H51),+'R4 Variations'!H51*LU_Escalation,0)</f>
        <v>0</v>
      </c>
      <c r="I51" s="491">
        <f ca="1">IF(ISNUMBER('R4 Variations'!I51),+'R4 Variations'!I51*LU_Escalation,0)</f>
        <v>0</v>
      </c>
      <c r="J51" s="491">
        <f ca="1">IF(ISNUMBER('R4 Variations'!J51),+'R4 Variations'!J51*LU_Escalation,0)</f>
        <v>0</v>
      </c>
      <c r="K51" s="491">
        <f ca="1">IF(ISNUMBER('R4 Variations'!K51),+'R4 Variations'!K51*LU_Escalation,0)</f>
        <v>0</v>
      </c>
      <c r="L51" s="515" t="str">
        <f ca="1">+'R4 Variations'!L51</f>
        <v/>
      </c>
      <c r="M51" s="450" t="str">
        <f ca="1">+'R4 Variations'!M51</f>
        <v/>
      </c>
      <c r="N51" s="450" t="str">
        <f ca="1">+'R4 Variations'!N51</f>
        <v/>
      </c>
    </row>
    <row r="52" spans="1:14">
      <c r="A52" s="5"/>
      <c r="B52" s="249"/>
      <c r="C52" s="384" t="str">
        <f ca="1">+'R4 Variations'!C52</f>
        <v/>
      </c>
      <c r="D52" s="491">
        <f ca="1">IF(ISNUMBER('R4 Variations'!D52),+'R4 Variations'!D52*LU_Escalation,0)</f>
        <v>0</v>
      </c>
      <c r="E52" s="850">
        <f ca="1">IF(ISNUMBER('R4 Variations'!E52),+'R4 Variations'!E52*LU_Escalation,0)</f>
        <v>0</v>
      </c>
      <c r="F52" s="491">
        <f ca="1">IF(ISNUMBER('R4 Variations'!F52),+'R4 Variations'!F52*LU_Escalation,0)</f>
        <v>0</v>
      </c>
      <c r="G52" s="491">
        <f ca="1">IF(ISNUMBER('R4 Variations'!G52),+'R4 Variations'!G52*LU_Escalation,0)</f>
        <v>0</v>
      </c>
      <c r="H52" s="491">
        <f ca="1">IF(ISNUMBER('R4 Variations'!H52),+'R4 Variations'!H52*LU_Escalation,0)</f>
        <v>0</v>
      </c>
      <c r="I52" s="491">
        <f ca="1">IF(ISNUMBER('R4 Variations'!I52),+'R4 Variations'!I52*LU_Escalation,0)</f>
        <v>0</v>
      </c>
      <c r="J52" s="491">
        <f ca="1">IF(ISNUMBER('R4 Variations'!J52),+'R4 Variations'!J52*LU_Escalation,0)</f>
        <v>0</v>
      </c>
      <c r="K52" s="491">
        <f ca="1">IF(ISNUMBER('R4 Variations'!K52),+'R4 Variations'!K52*LU_Escalation,0)</f>
        <v>0</v>
      </c>
      <c r="L52" s="515" t="str">
        <f ca="1">+'R4 Variations'!L52</f>
        <v/>
      </c>
      <c r="M52" s="450" t="str">
        <f ca="1">+'R4 Variations'!M52</f>
        <v/>
      </c>
      <c r="N52" s="450" t="str">
        <f ca="1">+'R4 Variations'!N52</f>
        <v/>
      </c>
    </row>
    <row r="53" spans="1:14">
      <c r="A53" s="5"/>
      <c r="B53" s="249"/>
      <c r="C53" s="384" t="str">
        <f ca="1">+'R4 Variations'!C53</f>
        <v/>
      </c>
      <c r="D53" s="491">
        <f ca="1">IF(ISNUMBER('R4 Variations'!D53),+'R4 Variations'!D53*LU_Escalation,0)</f>
        <v>0</v>
      </c>
      <c r="E53" s="850">
        <f ca="1">IF(ISNUMBER('R4 Variations'!E53),+'R4 Variations'!E53*LU_Escalation,0)</f>
        <v>0</v>
      </c>
      <c r="F53" s="491">
        <f ca="1">IF(ISNUMBER('R4 Variations'!F53),+'R4 Variations'!F53*LU_Escalation,0)</f>
        <v>0</v>
      </c>
      <c r="G53" s="491">
        <f ca="1">IF(ISNUMBER('R4 Variations'!G53),+'R4 Variations'!G53*LU_Escalation,0)</f>
        <v>0</v>
      </c>
      <c r="H53" s="491">
        <f ca="1">IF(ISNUMBER('R4 Variations'!H53),+'R4 Variations'!H53*LU_Escalation,0)</f>
        <v>0</v>
      </c>
      <c r="I53" s="491">
        <f ca="1">IF(ISNUMBER('R4 Variations'!I53),+'R4 Variations'!I53*LU_Escalation,0)</f>
        <v>0</v>
      </c>
      <c r="J53" s="491">
        <f ca="1">IF(ISNUMBER('R4 Variations'!J53),+'R4 Variations'!J53*LU_Escalation,0)</f>
        <v>0</v>
      </c>
      <c r="K53" s="491">
        <f ca="1">IF(ISNUMBER('R4 Variations'!K53),+'R4 Variations'!K53*LU_Escalation,0)</f>
        <v>0</v>
      </c>
      <c r="L53" s="515" t="str">
        <f ca="1">+'R4 Variations'!L53</f>
        <v/>
      </c>
      <c r="M53" s="450" t="str">
        <f ca="1">+'R4 Variations'!M53</f>
        <v/>
      </c>
      <c r="N53" s="450" t="str">
        <f ca="1">+'R4 Variations'!N53</f>
        <v/>
      </c>
    </row>
    <row r="54" spans="1:14">
      <c r="A54" s="5"/>
      <c r="B54" s="249"/>
      <c r="C54" s="384"/>
      <c r="D54" s="328"/>
      <c r="E54" s="509"/>
      <c r="F54" s="328"/>
      <c r="G54" s="328"/>
      <c r="H54" s="328"/>
      <c r="I54" s="328"/>
      <c r="J54" s="328"/>
      <c r="K54" s="509"/>
      <c r="L54" s="515"/>
      <c r="M54" s="450"/>
      <c r="N54" s="450"/>
    </row>
    <row r="55" spans="1:14">
      <c r="A55" s="5"/>
      <c r="B55" s="249" t="str">
        <f ca="1">+'I-4 History'!B43</f>
        <v>DA-5</v>
      </c>
      <c r="C55" s="14" t="str">
        <f ca="1">+'I-4 History'!C43</f>
        <v>Strategic Asset Management</v>
      </c>
      <c r="D55" s="328"/>
      <c r="E55" s="509"/>
      <c r="F55" s="328"/>
      <c r="G55" s="328"/>
      <c r="H55" s="328"/>
      <c r="I55" s="328"/>
      <c r="J55" s="328"/>
      <c r="K55" s="509"/>
      <c r="L55" s="515"/>
      <c r="M55" s="450"/>
      <c r="N55" s="450"/>
    </row>
    <row r="56" spans="1:14">
      <c r="A56" s="5"/>
      <c r="B56" s="249"/>
      <c r="C56" s="384" t="str">
        <f ca="1">+'R4 Variations'!C56</f>
        <v>Step Change</v>
      </c>
      <c r="D56" s="491">
        <f ca="1">IF(ISNUMBER('R4 Variations'!D56),+'R4 Variations'!D56*LU_Escalation,0)</f>
        <v>0</v>
      </c>
      <c r="E56" s="850">
        <f ca="1">IF(ISNUMBER('R4 Variations'!E56),+'R4 Variations'!E56*LU_Escalation,0)</f>
        <v>0</v>
      </c>
      <c r="F56" s="491">
        <f ca="1">IF(ISNUMBER('R4 Variations'!F56),+'R4 Variations'!F56*LU_Escalation,0)</f>
        <v>0</v>
      </c>
      <c r="G56" s="491">
        <f ca="1">IF(ISNUMBER('R4 Variations'!G56),+'R4 Variations'!G56*LU_Escalation,0)</f>
        <v>0</v>
      </c>
      <c r="H56" s="491">
        <f ca="1">IF(ISNUMBER('R4 Variations'!H56),+'R4 Variations'!H56*LU_Escalation,0)</f>
        <v>0</v>
      </c>
      <c r="I56" s="491">
        <f ca="1">IF(ISNUMBER('R4 Variations'!I56),+'R4 Variations'!I56*LU_Escalation,0)</f>
        <v>0</v>
      </c>
      <c r="J56" s="491">
        <f ca="1">IF(ISNUMBER('R4 Variations'!J56),+'R4 Variations'!J56*LU_Escalation,0)</f>
        <v>0</v>
      </c>
      <c r="K56" s="491">
        <f ca="1">IF(ISNUMBER('R4 Variations'!K56),+'R4 Variations'!K56*LU_Escalation,0)</f>
        <v>0</v>
      </c>
      <c r="L56" s="515" t="str">
        <f ca="1">+'R4 Variations'!L56</f>
        <v>Proposal Step Change</v>
      </c>
      <c r="M56" s="450" t="str">
        <f ca="1">+'R4 Variations'!M56</f>
        <v>Refer Opex Workings</v>
      </c>
      <c r="N56" s="450" t="str">
        <f ca="1">+'R4 Variations'!N56</f>
        <v>Proposal, October 2014</v>
      </c>
    </row>
    <row r="57" spans="1:14">
      <c r="A57" s="5"/>
      <c r="B57" s="249"/>
      <c r="C57" s="384" t="str">
        <f ca="1">+'R4 Variations'!C57</f>
        <v/>
      </c>
      <c r="D57" s="491">
        <f ca="1">IF(ISNUMBER('R4 Variations'!D57),+'R4 Variations'!D57*LU_Escalation,0)</f>
        <v>0</v>
      </c>
      <c r="E57" s="850">
        <f ca="1">IF(ISNUMBER('R4 Variations'!E57),+'R4 Variations'!E57*LU_Escalation,0)</f>
        <v>0</v>
      </c>
      <c r="F57" s="491">
        <f ca="1">IF(ISNUMBER('R4 Variations'!F57),+'R4 Variations'!F57*LU_Escalation,0)</f>
        <v>0</v>
      </c>
      <c r="G57" s="491">
        <f ca="1">IF(ISNUMBER('R4 Variations'!G57),+'R4 Variations'!G57*LU_Escalation,0)</f>
        <v>0</v>
      </c>
      <c r="H57" s="491">
        <f ca="1">IF(ISNUMBER('R4 Variations'!H57),+'R4 Variations'!H57*LU_Escalation,0)</f>
        <v>0</v>
      </c>
      <c r="I57" s="491">
        <f ca="1">IF(ISNUMBER('R4 Variations'!I57),+'R4 Variations'!I57*LU_Escalation,0)</f>
        <v>0</v>
      </c>
      <c r="J57" s="491">
        <f ca="1">IF(ISNUMBER('R4 Variations'!J57),+'R4 Variations'!J57*LU_Escalation,0)</f>
        <v>0</v>
      </c>
      <c r="K57" s="491">
        <f ca="1">IF(ISNUMBER('R4 Variations'!K57),+'R4 Variations'!K57*LU_Escalation,0)</f>
        <v>0</v>
      </c>
      <c r="L57" s="515" t="str">
        <f ca="1">+'R4 Variations'!L57</f>
        <v/>
      </c>
      <c r="M57" s="450" t="str">
        <f ca="1">+'R4 Variations'!M57</f>
        <v/>
      </c>
      <c r="N57" s="450" t="str">
        <f ca="1">+'R4 Variations'!N57</f>
        <v/>
      </c>
    </row>
    <row r="58" spans="1:14">
      <c r="A58" s="5"/>
      <c r="B58" s="249"/>
      <c r="C58" s="384" t="str">
        <f ca="1">+'R4 Variations'!C58</f>
        <v/>
      </c>
      <c r="D58" s="491">
        <f ca="1">IF(ISNUMBER('R4 Variations'!D58),+'R4 Variations'!D58*LU_Escalation,0)</f>
        <v>0</v>
      </c>
      <c r="E58" s="850">
        <f ca="1">IF(ISNUMBER('R4 Variations'!E58),+'R4 Variations'!E58*LU_Escalation,0)</f>
        <v>0</v>
      </c>
      <c r="F58" s="491">
        <f ca="1">IF(ISNUMBER('R4 Variations'!F58),+'R4 Variations'!F58*LU_Escalation,0)</f>
        <v>0</v>
      </c>
      <c r="G58" s="491">
        <f ca="1">IF(ISNUMBER('R4 Variations'!G58),+'R4 Variations'!G58*LU_Escalation,0)</f>
        <v>0</v>
      </c>
      <c r="H58" s="491">
        <f ca="1">IF(ISNUMBER('R4 Variations'!H58),+'R4 Variations'!H58*LU_Escalation,0)</f>
        <v>0</v>
      </c>
      <c r="I58" s="491">
        <f ca="1">IF(ISNUMBER('R4 Variations'!I58),+'R4 Variations'!I58*LU_Escalation,0)</f>
        <v>0</v>
      </c>
      <c r="J58" s="491">
        <f ca="1">IF(ISNUMBER('R4 Variations'!J58),+'R4 Variations'!J58*LU_Escalation,0)</f>
        <v>0</v>
      </c>
      <c r="K58" s="491">
        <f ca="1">IF(ISNUMBER('R4 Variations'!K58),+'R4 Variations'!K58*LU_Escalation,0)</f>
        <v>0</v>
      </c>
      <c r="L58" s="515" t="str">
        <f ca="1">+'R4 Variations'!L58</f>
        <v/>
      </c>
      <c r="M58" s="450" t="str">
        <f ca="1">+'R4 Variations'!M58</f>
        <v/>
      </c>
      <c r="N58" s="450" t="str">
        <f ca="1">+'R4 Variations'!N58</f>
        <v/>
      </c>
    </row>
    <row r="59" spans="1:14">
      <c r="A59" s="5"/>
      <c r="B59" s="249"/>
      <c r="C59" s="384" t="str">
        <f ca="1">+'R4 Variations'!C59</f>
        <v/>
      </c>
      <c r="D59" s="491">
        <f ca="1">IF(ISNUMBER('R4 Variations'!D59),+'R4 Variations'!D59*LU_Escalation,0)</f>
        <v>0</v>
      </c>
      <c r="E59" s="850">
        <f ca="1">IF(ISNUMBER('R4 Variations'!E59),+'R4 Variations'!E59*LU_Escalation,0)</f>
        <v>0</v>
      </c>
      <c r="F59" s="491">
        <f ca="1">IF(ISNUMBER('R4 Variations'!F59),+'R4 Variations'!F59*LU_Escalation,0)</f>
        <v>0</v>
      </c>
      <c r="G59" s="491">
        <f ca="1">IF(ISNUMBER('R4 Variations'!G59),+'R4 Variations'!G59*LU_Escalation,0)</f>
        <v>0</v>
      </c>
      <c r="H59" s="491">
        <f ca="1">IF(ISNUMBER('R4 Variations'!H59),+'R4 Variations'!H59*LU_Escalation,0)</f>
        <v>0</v>
      </c>
      <c r="I59" s="491">
        <f ca="1">IF(ISNUMBER('R4 Variations'!I59),+'R4 Variations'!I59*LU_Escalation,0)</f>
        <v>0</v>
      </c>
      <c r="J59" s="491">
        <f ca="1">IF(ISNUMBER('R4 Variations'!J59),+'R4 Variations'!J59*LU_Escalation,0)</f>
        <v>0</v>
      </c>
      <c r="K59" s="491">
        <f ca="1">IF(ISNUMBER('R4 Variations'!K59),+'R4 Variations'!K59*LU_Escalation,0)</f>
        <v>0</v>
      </c>
      <c r="L59" s="515" t="str">
        <f ca="1">+'R4 Variations'!L59</f>
        <v/>
      </c>
      <c r="M59" s="450" t="str">
        <f ca="1">+'R4 Variations'!M59</f>
        <v/>
      </c>
      <c r="N59" s="450" t="str">
        <f ca="1">+'R4 Variations'!N59</f>
        <v/>
      </c>
    </row>
    <row r="60" spans="1:14">
      <c r="A60" s="5"/>
      <c r="B60" s="249"/>
      <c r="C60" s="384" t="str">
        <f ca="1">+'R4 Variations'!C60</f>
        <v/>
      </c>
      <c r="D60" s="491">
        <f ca="1">IF(ISNUMBER('R4 Variations'!D60),+'R4 Variations'!D60*LU_Escalation,0)</f>
        <v>0</v>
      </c>
      <c r="E60" s="850">
        <f ca="1">IF(ISNUMBER('R4 Variations'!E60),+'R4 Variations'!E60*LU_Escalation,0)</f>
        <v>0</v>
      </c>
      <c r="F60" s="491">
        <f ca="1">IF(ISNUMBER('R4 Variations'!F60),+'R4 Variations'!F60*LU_Escalation,0)</f>
        <v>0</v>
      </c>
      <c r="G60" s="491">
        <f ca="1">IF(ISNUMBER('R4 Variations'!G60),+'R4 Variations'!G60*LU_Escalation,0)</f>
        <v>0</v>
      </c>
      <c r="H60" s="491">
        <f ca="1">IF(ISNUMBER('R4 Variations'!H60),+'R4 Variations'!H60*LU_Escalation,0)</f>
        <v>0</v>
      </c>
      <c r="I60" s="491">
        <f ca="1">IF(ISNUMBER('R4 Variations'!I60),+'R4 Variations'!I60*LU_Escalation,0)</f>
        <v>0</v>
      </c>
      <c r="J60" s="491">
        <f ca="1">IF(ISNUMBER('R4 Variations'!J60),+'R4 Variations'!J60*LU_Escalation,0)</f>
        <v>0</v>
      </c>
      <c r="K60" s="491">
        <f ca="1">IF(ISNUMBER('R4 Variations'!K60),+'R4 Variations'!K60*LU_Escalation,0)</f>
        <v>0</v>
      </c>
      <c r="L60" s="515" t="str">
        <f ca="1">+'R4 Variations'!L60</f>
        <v/>
      </c>
      <c r="M60" s="450" t="str">
        <f ca="1">+'R4 Variations'!M60</f>
        <v/>
      </c>
      <c r="N60" s="450" t="str">
        <f ca="1">+'R4 Variations'!N60</f>
        <v/>
      </c>
    </row>
    <row r="61" spans="1:14">
      <c r="A61" s="5"/>
      <c r="B61" s="249"/>
      <c r="C61" s="384" t="str">
        <f ca="1">+'R4 Variations'!C61</f>
        <v/>
      </c>
      <c r="D61" s="491">
        <f ca="1">IF(ISNUMBER('R4 Variations'!D61),+'R4 Variations'!D61*LU_Escalation,0)</f>
        <v>0</v>
      </c>
      <c r="E61" s="850">
        <f ca="1">IF(ISNUMBER('R4 Variations'!E61),+'R4 Variations'!E61*LU_Escalation,0)</f>
        <v>0</v>
      </c>
      <c r="F61" s="491">
        <f ca="1">IF(ISNUMBER('R4 Variations'!F61),+'R4 Variations'!F61*LU_Escalation,0)</f>
        <v>0</v>
      </c>
      <c r="G61" s="491">
        <f ca="1">IF(ISNUMBER('R4 Variations'!G61),+'R4 Variations'!G61*LU_Escalation,0)</f>
        <v>0</v>
      </c>
      <c r="H61" s="491">
        <f ca="1">IF(ISNUMBER('R4 Variations'!H61),+'R4 Variations'!H61*LU_Escalation,0)</f>
        <v>0</v>
      </c>
      <c r="I61" s="491">
        <f ca="1">IF(ISNUMBER('R4 Variations'!I61),+'R4 Variations'!I61*LU_Escalation,0)</f>
        <v>0</v>
      </c>
      <c r="J61" s="491">
        <f ca="1">IF(ISNUMBER('R4 Variations'!J61),+'R4 Variations'!J61*LU_Escalation,0)</f>
        <v>0</v>
      </c>
      <c r="K61" s="491">
        <f ca="1">IF(ISNUMBER('R4 Variations'!K61),+'R4 Variations'!K61*LU_Escalation,0)</f>
        <v>0</v>
      </c>
      <c r="L61" s="515" t="str">
        <f ca="1">+'R4 Variations'!L61</f>
        <v/>
      </c>
      <c r="M61" s="450" t="str">
        <f ca="1">+'R4 Variations'!M61</f>
        <v/>
      </c>
      <c r="N61" s="450" t="str">
        <f ca="1">+'R4 Variations'!N61</f>
        <v/>
      </c>
    </row>
    <row r="62" spans="1:14">
      <c r="A62" s="5"/>
      <c r="B62" s="249"/>
      <c r="C62" s="384" t="str">
        <f ca="1">+'R4 Variations'!C62</f>
        <v/>
      </c>
      <c r="D62" s="491">
        <f ca="1">IF(ISNUMBER('R4 Variations'!D62),+'R4 Variations'!D62*LU_Escalation,0)</f>
        <v>0</v>
      </c>
      <c r="E62" s="850">
        <f ca="1">IF(ISNUMBER('R4 Variations'!E62),+'R4 Variations'!E62*LU_Escalation,0)</f>
        <v>0</v>
      </c>
      <c r="F62" s="491">
        <f ca="1">IF(ISNUMBER('R4 Variations'!F62),+'R4 Variations'!F62*LU_Escalation,0)</f>
        <v>0</v>
      </c>
      <c r="G62" s="491">
        <f ca="1">IF(ISNUMBER('R4 Variations'!G62),+'R4 Variations'!G62*LU_Escalation,0)</f>
        <v>0</v>
      </c>
      <c r="H62" s="491">
        <f ca="1">IF(ISNUMBER('R4 Variations'!H62),+'R4 Variations'!H62*LU_Escalation,0)</f>
        <v>0</v>
      </c>
      <c r="I62" s="491">
        <f ca="1">IF(ISNUMBER('R4 Variations'!I62),+'R4 Variations'!I62*LU_Escalation,0)</f>
        <v>0</v>
      </c>
      <c r="J62" s="491">
        <f ca="1">IF(ISNUMBER('R4 Variations'!J62),+'R4 Variations'!J62*LU_Escalation,0)</f>
        <v>0</v>
      </c>
      <c r="K62" s="491">
        <f ca="1">IF(ISNUMBER('R4 Variations'!K62),+'R4 Variations'!K62*LU_Escalation,0)</f>
        <v>0</v>
      </c>
      <c r="L62" s="515" t="str">
        <f ca="1">+'R4 Variations'!L62</f>
        <v/>
      </c>
      <c r="M62" s="450" t="str">
        <f ca="1">+'R4 Variations'!M62</f>
        <v/>
      </c>
      <c r="N62" s="450" t="str">
        <f ca="1">+'R4 Variations'!N62</f>
        <v/>
      </c>
    </row>
    <row r="63" spans="1:14">
      <c r="A63" s="5"/>
      <c r="B63" s="249"/>
      <c r="C63" s="384" t="str">
        <f ca="1">+'R4 Variations'!C63</f>
        <v/>
      </c>
      <c r="D63" s="491">
        <f ca="1">IF(ISNUMBER('R4 Variations'!D63),+'R4 Variations'!D63*LU_Escalation,0)</f>
        <v>0</v>
      </c>
      <c r="E63" s="850">
        <f ca="1">IF(ISNUMBER('R4 Variations'!E63),+'R4 Variations'!E63*LU_Escalation,0)</f>
        <v>0</v>
      </c>
      <c r="F63" s="491">
        <f ca="1">IF(ISNUMBER('R4 Variations'!F63),+'R4 Variations'!F63*LU_Escalation,0)</f>
        <v>0</v>
      </c>
      <c r="G63" s="491">
        <f ca="1">IF(ISNUMBER('R4 Variations'!G63),+'R4 Variations'!G63*LU_Escalation,0)</f>
        <v>0</v>
      </c>
      <c r="H63" s="491">
        <f ca="1">IF(ISNUMBER('R4 Variations'!H63),+'R4 Variations'!H63*LU_Escalation,0)</f>
        <v>0</v>
      </c>
      <c r="I63" s="491">
        <f ca="1">IF(ISNUMBER('R4 Variations'!I63),+'R4 Variations'!I63*LU_Escalation,0)</f>
        <v>0</v>
      </c>
      <c r="J63" s="491">
        <f ca="1">IF(ISNUMBER('R4 Variations'!J63),+'R4 Variations'!J63*LU_Escalation,0)</f>
        <v>0</v>
      </c>
      <c r="K63" s="491">
        <f ca="1">IF(ISNUMBER('R4 Variations'!K63),+'R4 Variations'!K63*LU_Escalation,0)</f>
        <v>0</v>
      </c>
      <c r="L63" s="515" t="str">
        <f ca="1">+'R4 Variations'!L63</f>
        <v/>
      </c>
      <c r="M63" s="450" t="str">
        <f ca="1">+'R4 Variations'!M63</f>
        <v/>
      </c>
      <c r="N63" s="450" t="str">
        <f ca="1">+'R4 Variations'!N63</f>
        <v/>
      </c>
    </row>
    <row r="64" spans="1:14">
      <c r="A64" s="5"/>
      <c r="B64" s="249"/>
      <c r="C64" s="384" t="str">
        <f ca="1">+'R4 Variations'!C64</f>
        <v/>
      </c>
      <c r="D64" s="491">
        <f ca="1">IF(ISNUMBER('R4 Variations'!D64),+'R4 Variations'!D64*LU_Escalation,0)</f>
        <v>0</v>
      </c>
      <c r="E64" s="850">
        <f ca="1">IF(ISNUMBER('R4 Variations'!E64),+'R4 Variations'!E64*LU_Escalation,0)</f>
        <v>0</v>
      </c>
      <c r="F64" s="491">
        <f ca="1">IF(ISNUMBER('R4 Variations'!F64),+'R4 Variations'!F64*LU_Escalation,0)</f>
        <v>0</v>
      </c>
      <c r="G64" s="491">
        <f ca="1">IF(ISNUMBER('R4 Variations'!G64),+'R4 Variations'!G64*LU_Escalation,0)</f>
        <v>0</v>
      </c>
      <c r="H64" s="491">
        <f ca="1">IF(ISNUMBER('R4 Variations'!H64),+'R4 Variations'!H64*LU_Escalation,0)</f>
        <v>0</v>
      </c>
      <c r="I64" s="491">
        <f ca="1">IF(ISNUMBER('R4 Variations'!I64),+'R4 Variations'!I64*LU_Escalation,0)</f>
        <v>0</v>
      </c>
      <c r="J64" s="491">
        <f ca="1">IF(ISNUMBER('R4 Variations'!J64),+'R4 Variations'!J64*LU_Escalation,0)</f>
        <v>0</v>
      </c>
      <c r="K64" s="491">
        <f ca="1">IF(ISNUMBER('R4 Variations'!K64),+'R4 Variations'!K64*LU_Escalation,0)</f>
        <v>0</v>
      </c>
      <c r="L64" s="515" t="str">
        <f ca="1">+'R4 Variations'!L64</f>
        <v/>
      </c>
      <c r="M64" s="450" t="str">
        <f ca="1">+'R4 Variations'!M64</f>
        <v/>
      </c>
      <c r="N64" s="450" t="str">
        <f ca="1">+'R4 Variations'!N64</f>
        <v/>
      </c>
    </row>
    <row r="65" spans="1:14">
      <c r="A65" s="5"/>
      <c r="B65" s="249"/>
      <c r="C65" s="384" t="str">
        <f ca="1">+'R4 Variations'!C65</f>
        <v/>
      </c>
      <c r="D65" s="491">
        <f ca="1">IF(ISNUMBER('R4 Variations'!D65),+'R4 Variations'!D65*LU_Escalation,0)</f>
        <v>0</v>
      </c>
      <c r="E65" s="850">
        <f ca="1">IF(ISNUMBER('R4 Variations'!E65),+'R4 Variations'!E65*LU_Escalation,0)</f>
        <v>0</v>
      </c>
      <c r="F65" s="491">
        <f ca="1">IF(ISNUMBER('R4 Variations'!F65),+'R4 Variations'!F65*LU_Escalation,0)</f>
        <v>0</v>
      </c>
      <c r="G65" s="491">
        <f ca="1">IF(ISNUMBER('R4 Variations'!G65),+'R4 Variations'!G65*LU_Escalation,0)</f>
        <v>0</v>
      </c>
      <c r="H65" s="491">
        <f ca="1">IF(ISNUMBER('R4 Variations'!H65),+'R4 Variations'!H65*LU_Escalation,0)</f>
        <v>0</v>
      </c>
      <c r="I65" s="491">
        <f ca="1">IF(ISNUMBER('R4 Variations'!I65),+'R4 Variations'!I65*LU_Escalation,0)</f>
        <v>0</v>
      </c>
      <c r="J65" s="491">
        <f ca="1">IF(ISNUMBER('R4 Variations'!J65),+'R4 Variations'!J65*LU_Escalation,0)</f>
        <v>0</v>
      </c>
      <c r="K65" s="491">
        <f ca="1">IF(ISNUMBER('R4 Variations'!K65),+'R4 Variations'!K65*LU_Escalation,0)</f>
        <v>0</v>
      </c>
      <c r="L65" s="515" t="str">
        <f ca="1">+'R4 Variations'!L65</f>
        <v/>
      </c>
      <c r="M65" s="450" t="str">
        <f ca="1">+'R4 Variations'!M65</f>
        <v/>
      </c>
      <c r="N65" s="450" t="str">
        <f ca="1">+'R4 Variations'!N65</f>
        <v/>
      </c>
    </row>
    <row r="66" spans="1:14">
      <c r="A66" s="5"/>
      <c r="B66" s="249"/>
      <c r="C66" s="384"/>
      <c r="D66" s="491"/>
      <c r="E66" s="508"/>
      <c r="F66" s="491"/>
      <c r="G66" s="492"/>
      <c r="H66" s="492"/>
      <c r="I66" s="492"/>
      <c r="J66" s="492"/>
      <c r="K66" s="508"/>
      <c r="L66" s="515"/>
      <c r="M66" s="450"/>
      <c r="N66" s="450"/>
    </row>
    <row r="67" spans="1:14" ht="14.25" customHeight="1">
      <c r="A67" s="5"/>
      <c r="B67" s="249" t="str">
        <f ca="1">+'I-4 History'!B52</f>
        <v>DA-6</v>
      </c>
      <c r="C67" s="14" t="str">
        <f ca="1">+'I-4 History'!C52</f>
        <v>Operational Asset Management</v>
      </c>
      <c r="D67" s="491"/>
      <c r="E67" s="508"/>
      <c r="F67" s="491"/>
      <c r="G67" s="492"/>
      <c r="H67" s="492"/>
      <c r="I67" s="492"/>
      <c r="J67" s="492"/>
      <c r="K67" s="508"/>
      <c r="L67" s="515"/>
      <c r="M67" s="450"/>
      <c r="N67" s="450"/>
    </row>
    <row r="68" spans="1:14">
      <c r="A68" s="5"/>
      <c r="B68" s="249"/>
      <c r="C68" s="384" t="str">
        <f ca="1">+'R4 Variations'!C68</f>
        <v>Step Change</v>
      </c>
      <c r="D68" s="491">
        <f ca="1">IF(ISNUMBER('R4 Variations'!D68),+'R4 Variations'!D68*LU_Escalation,0)</f>
        <v>0</v>
      </c>
      <c r="E68" s="850">
        <f ca="1">IF(ISNUMBER('R4 Variations'!E68),+'R4 Variations'!E68*LU_Escalation,0)</f>
        <v>0</v>
      </c>
      <c r="F68" s="491">
        <f ca="1">IF(ISNUMBER('R4 Variations'!F68),+'R4 Variations'!F68*LU_Escalation,0)</f>
        <v>0</v>
      </c>
      <c r="G68" s="491">
        <f ca="1">IF(ISNUMBER('R4 Variations'!G68),+'R4 Variations'!G68*LU_Escalation,0)</f>
        <v>0</v>
      </c>
      <c r="H68" s="491">
        <f ca="1">IF(ISNUMBER('R4 Variations'!H68),+'R4 Variations'!H68*LU_Escalation,0)</f>
        <v>0</v>
      </c>
      <c r="I68" s="491">
        <f ca="1">IF(ISNUMBER('R4 Variations'!I68),+'R4 Variations'!I68*LU_Escalation,0)</f>
        <v>0</v>
      </c>
      <c r="J68" s="491">
        <f ca="1">IF(ISNUMBER('R4 Variations'!J68),+'R4 Variations'!J68*LU_Escalation,0)</f>
        <v>0</v>
      </c>
      <c r="K68" s="491">
        <f ca="1">IF(ISNUMBER('R4 Variations'!K68),+'R4 Variations'!K68*LU_Escalation,0)</f>
        <v>0</v>
      </c>
      <c r="L68" s="515" t="str">
        <f ca="1">+'R4 Variations'!L68</f>
        <v>Proposal Step Change</v>
      </c>
      <c r="M68" s="450" t="str">
        <f ca="1">+'R4 Variations'!M68</f>
        <v>Refer Opex Workings</v>
      </c>
      <c r="N68" s="450" t="str">
        <f ca="1">+'R4 Variations'!N68</f>
        <v>Proposal, October 2014</v>
      </c>
    </row>
    <row r="69" spans="1:14">
      <c r="A69" s="5"/>
      <c r="B69" s="249"/>
      <c r="C69" s="384" t="str">
        <f ca="1">+'R4 Variations'!C69</f>
        <v/>
      </c>
      <c r="D69" s="491">
        <f ca="1">IF(ISNUMBER('R4 Variations'!D69),+'R4 Variations'!D69*LU_Escalation,0)</f>
        <v>0</v>
      </c>
      <c r="E69" s="850">
        <f ca="1">IF(ISNUMBER('R4 Variations'!E69),+'R4 Variations'!E69*LU_Escalation,0)</f>
        <v>0</v>
      </c>
      <c r="F69" s="491">
        <f ca="1">IF(ISNUMBER('R4 Variations'!F69),+'R4 Variations'!F69*LU_Escalation,0)</f>
        <v>0</v>
      </c>
      <c r="G69" s="491">
        <f ca="1">IF(ISNUMBER('R4 Variations'!G69),+'R4 Variations'!G69*LU_Escalation,0)</f>
        <v>0</v>
      </c>
      <c r="H69" s="491">
        <f ca="1">IF(ISNUMBER('R4 Variations'!H69),+'R4 Variations'!H69*LU_Escalation,0)</f>
        <v>0</v>
      </c>
      <c r="I69" s="491">
        <f ca="1">IF(ISNUMBER('R4 Variations'!I69),+'R4 Variations'!I69*LU_Escalation,0)</f>
        <v>0</v>
      </c>
      <c r="J69" s="491">
        <f ca="1">IF(ISNUMBER('R4 Variations'!J69),+'R4 Variations'!J69*LU_Escalation,0)</f>
        <v>0</v>
      </c>
      <c r="K69" s="491">
        <f ca="1">IF(ISNUMBER('R4 Variations'!K69),+'R4 Variations'!K69*LU_Escalation,0)</f>
        <v>0</v>
      </c>
      <c r="L69" s="515" t="str">
        <f ca="1">+'R4 Variations'!L69</f>
        <v/>
      </c>
      <c r="M69" s="450" t="str">
        <f ca="1">+'R4 Variations'!M69</f>
        <v/>
      </c>
      <c r="N69" s="450" t="str">
        <f ca="1">+'R4 Variations'!N69</f>
        <v/>
      </c>
    </row>
    <row r="70" spans="1:14">
      <c r="A70" s="5"/>
      <c r="B70" s="249"/>
      <c r="C70" s="384" t="str">
        <f ca="1">+'R4 Variations'!C70</f>
        <v/>
      </c>
      <c r="D70" s="491">
        <f ca="1">IF(ISNUMBER('R4 Variations'!D70),+'R4 Variations'!D70*LU_Escalation,0)</f>
        <v>0</v>
      </c>
      <c r="E70" s="850">
        <f ca="1">IF(ISNUMBER('R4 Variations'!E70),+'R4 Variations'!E70*LU_Escalation,0)</f>
        <v>0</v>
      </c>
      <c r="F70" s="491">
        <f ca="1">IF(ISNUMBER('R4 Variations'!F70),+'R4 Variations'!F70*LU_Escalation,0)</f>
        <v>0</v>
      </c>
      <c r="G70" s="491">
        <f ca="1">IF(ISNUMBER('R4 Variations'!G70),+'R4 Variations'!G70*LU_Escalation,0)</f>
        <v>0</v>
      </c>
      <c r="H70" s="491">
        <f ca="1">IF(ISNUMBER('R4 Variations'!H70),+'R4 Variations'!H70*LU_Escalation,0)</f>
        <v>0</v>
      </c>
      <c r="I70" s="491">
        <f ca="1">IF(ISNUMBER('R4 Variations'!I70),+'R4 Variations'!I70*LU_Escalation,0)</f>
        <v>0</v>
      </c>
      <c r="J70" s="491">
        <f ca="1">IF(ISNUMBER('R4 Variations'!J70),+'R4 Variations'!J70*LU_Escalation,0)</f>
        <v>0</v>
      </c>
      <c r="K70" s="491">
        <f ca="1">IF(ISNUMBER('R4 Variations'!K70),+'R4 Variations'!K70*LU_Escalation,0)</f>
        <v>0</v>
      </c>
      <c r="L70" s="515" t="str">
        <f ca="1">+'R4 Variations'!L70</f>
        <v/>
      </c>
      <c r="M70" s="450" t="str">
        <f ca="1">+'R4 Variations'!M70</f>
        <v/>
      </c>
      <c r="N70" s="450" t="str">
        <f ca="1">+'R4 Variations'!N70</f>
        <v/>
      </c>
    </row>
    <row r="71" spans="1:14">
      <c r="A71" s="5"/>
      <c r="B71" s="249"/>
      <c r="C71" s="384" t="str">
        <f ca="1">+'R4 Variations'!C71</f>
        <v/>
      </c>
      <c r="D71" s="491">
        <f ca="1">IF(ISNUMBER('R4 Variations'!D71),+'R4 Variations'!D71*LU_Escalation,0)</f>
        <v>0</v>
      </c>
      <c r="E71" s="850">
        <f ca="1">IF(ISNUMBER('R4 Variations'!E71),+'R4 Variations'!E71*LU_Escalation,0)</f>
        <v>0</v>
      </c>
      <c r="F71" s="491">
        <f ca="1">IF(ISNUMBER('R4 Variations'!F71),+'R4 Variations'!F71*LU_Escalation,0)</f>
        <v>0</v>
      </c>
      <c r="G71" s="491">
        <f ca="1">IF(ISNUMBER('R4 Variations'!G71),+'R4 Variations'!G71*LU_Escalation,0)</f>
        <v>0</v>
      </c>
      <c r="H71" s="491">
        <f ca="1">IF(ISNUMBER('R4 Variations'!H71),+'R4 Variations'!H71*LU_Escalation,0)</f>
        <v>0</v>
      </c>
      <c r="I71" s="491">
        <f ca="1">IF(ISNUMBER('R4 Variations'!I71),+'R4 Variations'!I71*LU_Escalation,0)</f>
        <v>0</v>
      </c>
      <c r="J71" s="491">
        <f ca="1">IF(ISNUMBER('R4 Variations'!J71),+'R4 Variations'!J71*LU_Escalation,0)</f>
        <v>0</v>
      </c>
      <c r="K71" s="491">
        <f ca="1">IF(ISNUMBER('R4 Variations'!K71),+'R4 Variations'!K71*LU_Escalation,0)</f>
        <v>0</v>
      </c>
      <c r="L71" s="515" t="str">
        <f ca="1">+'R4 Variations'!L71</f>
        <v/>
      </c>
      <c r="M71" s="450" t="str">
        <f ca="1">+'R4 Variations'!M71</f>
        <v/>
      </c>
      <c r="N71" s="450" t="str">
        <f ca="1">+'R4 Variations'!N71</f>
        <v/>
      </c>
    </row>
    <row r="72" spans="1:14">
      <c r="A72" s="5"/>
      <c r="B72" s="249"/>
      <c r="C72" s="384" t="str">
        <f ca="1">+'R4 Variations'!C72</f>
        <v/>
      </c>
      <c r="D72" s="491">
        <f ca="1">IF(ISNUMBER('R4 Variations'!D72),+'R4 Variations'!D72*LU_Escalation,0)</f>
        <v>0</v>
      </c>
      <c r="E72" s="850">
        <f ca="1">IF(ISNUMBER('R4 Variations'!E72),+'R4 Variations'!E72*LU_Escalation,0)</f>
        <v>0</v>
      </c>
      <c r="F72" s="491">
        <f ca="1">IF(ISNUMBER('R4 Variations'!F72),+'R4 Variations'!F72*LU_Escalation,0)</f>
        <v>0</v>
      </c>
      <c r="G72" s="491">
        <f ca="1">IF(ISNUMBER('R4 Variations'!G72),+'R4 Variations'!G72*LU_Escalation,0)</f>
        <v>0</v>
      </c>
      <c r="H72" s="491">
        <f ca="1">IF(ISNUMBER('R4 Variations'!H72),+'R4 Variations'!H72*LU_Escalation,0)</f>
        <v>0</v>
      </c>
      <c r="I72" s="491">
        <f ca="1">IF(ISNUMBER('R4 Variations'!I72),+'R4 Variations'!I72*LU_Escalation,0)</f>
        <v>0</v>
      </c>
      <c r="J72" s="491">
        <f ca="1">IF(ISNUMBER('R4 Variations'!J72),+'R4 Variations'!J72*LU_Escalation,0)</f>
        <v>0</v>
      </c>
      <c r="K72" s="491">
        <f ca="1">IF(ISNUMBER('R4 Variations'!K72),+'R4 Variations'!K72*LU_Escalation,0)</f>
        <v>0</v>
      </c>
      <c r="L72" s="515" t="str">
        <f ca="1">+'R4 Variations'!L72</f>
        <v/>
      </c>
      <c r="M72" s="450" t="str">
        <f ca="1">+'R4 Variations'!M72</f>
        <v/>
      </c>
      <c r="N72" s="450" t="str">
        <f ca="1">+'R4 Variations'!N72</f>
        <v/>
      </c>
    </row>
    <row r="73" spans="1:14">
      <c r="A73" s="5"/>
      <c r="B73" s="249"/>
      <c r="C73" s="384" t="str">
        <f ca="1">+'R4 Variations'!C73</f>
        <v/>
      </c>
      <c r="D73" s="491">
        <f ca="1">IF(ISNUMBER('R4 Variations'!D73),+'R4 Variations'!D73*LU_Escalation,0)</f>
        <v>0</v>
      </c>
      <c r="E73" s="850">
        <f ca="1">IF(ISNUMBER('R4 Variations'!E73),+'R4 Variations'!E73*LU_Escalation,0)</f>
        <v>0</v>
      </c>
      <c r="F73" s="491">
        <f ca="1">IF(ISNUMBER('R4 Variations'!F73),+'R4 Variations'!F73*LU_Escalation,0)</f>
        <v>0</v>
      </c>
      <c r="G73" s="491">
        <f ca="1">IF(ISNUMBER('R4 Variations'!G73),+'R4 Variations'!G73*LU_Escalation,0)</f>
        <v>0</v>
      </c>
      <c r="H73" s="491">
        <f ca="1">IF(ISNUMBER('R4 Variations'!H73),+'R4 Variations'!H73*LU_Escalation,0)</f>
        <v>0</v>
      </c>
      <c r="I73" s="491">
        <f ca="1">IF(ISNUMBER('R4 Variations'!I73),+'R4 Variations'!I73*LU_Escalation,0)</f>
        <v>0</v>
      </c>
      <c r="J73" s="491">
        <f ca="1">IF(ISNUMBER('R4 Variations'!J73),+'R4 Variations'!J73*LU_Escalation,0)</f>
        <v>0</v>
      </c>
      <c r="K73" s="491">
        <f ca="1">IF(ISNUMBER('R4 Variations'!K73),+'R4 Variations'!K73*LU_Escalation,0)</f>
        <v>0</v>
      </c>
      <c r="L73" s="515" t="str">
        <f ca="1">+'R4 Variations'!L73</f>
        <v/>
      </c>
      <c r="M73" s="450" t="str">
        <f ca="1">+'R4 Variations'!M73</f>
        <v/>
      </c>
      <c r="N73" s="450" t="str">
        <f ca="1">+'R4 Variations'!N73</f>
        <v/>
      </c>
    </row>
    <row r="74" spans="1:14">
      <c r="A74" s="5"/>
      <c r="B74" s="249"/>
      <c r="C74" s="384" t="str">
        <f ca="1">+'R4 Variations'!C74</f>
        <v/>
      </c>
      <c r="D74" s="491">
        <f ca="1">IF(ISNUMBER('R4 Variations'!D74),+'R4 Variations'!D74*LU_Escalation,0)</f>
        <v>0</v>
      </c>
      <c r="E74" s="850">
        <f ca="1">IF(ISNUMBER('R4 Variations'!E74),+'R4 Variations'!E74*LU_Escalation,0)</f>
        <v>0</v>
      </c>
      <c r="F74" s="491">
        <f ca="1">IF(ISNUMBER('R4 Variations'!F74),+'R4 Variations'!F74*LU_Escalation,0)</f>
        <v>0</v>
      </c>
      <c r="G74" s="491">
        <f ca="1">IF(ISNUMBER('R4 Variations'!G74),+'R4 Variations'!G74*LU_Escalation,0)</f>
        <v>0</v>
      </c>
      <c r="H74" s="491">
        <f ca="1">IF(ISNUMBER('R4 Variations'!H74),+'R4 Variations'!H74*LU_Escalation,0)</f>
        <v>0</v>
      </c>
      <c r="I74" s="491">
        <f ca="1">IF(ISNUMBER('R4 Variations'!I74),+'R4 Variations'!I74*LU_Escalation,0)</f>
        <v>0</v>
      </c>
      <c r="J74" s="491">
        <f ca="1">IF(ISNUMBER('R4 Variations'!J74),+'R4 Variations'!J74*LU_Escalation,0)</f>
        <v>0</v>
      </c>
      <c r="K74" s="491">
        <f ca="1">IF(ISNUMBER('R4 Variations'!K74),+'R4 Variations'!K74*LU_Escalation,0)</f>
        <v>0</v>
      </c>
      <c r="L74" s="515" t="str">
        <f ca="1">+'R4 Variations'!L74</f>
        <v/>
      </c>
      <c r="M74" s="450" t="str">
        <f ca="1">+'R4 Variations'!M74</f>
        <v/>
      </c>
      <c r="N74" s="450" t="str">
        <f ca="1">+'R4 Variations'!N74</f>
        <v/>
      </c>
    </row>
    <row r="75" spans="1:14">
      <c r="A75" s="5"/>
      <c r="B75" s="249"/>
      <c r="C75" s="384" t="str">
        <f ca="1">+'R4 Variations'!C75</f>
        <v/>
      </c>
      <c r="D75" s="491">
        <f ca="1">IF(ISNUMBER('R4 Variations'!D75),+'R4 Variations'!D75*LU_Escalation,0)</f>
        <v>0</v>
      </c>
      <c r="E75" s="850">
        <f ca="1">IF(ISNUMBER('R4 Variations'!E75),+'R4 Variations'!E75*LU_Escalation,0)</f>
        <v>0</v>
      </c>
      <c r="F75" s="491">
        <f ca="1">IF(ISNUMBER('R4 Variations'!F75),+'R4 Variations'!F75*LU_Escalation,0)</f>
        <v>0</v>
      </c>
      <c r="G75" s="491">
        <f ca="1">IF(ISNUMBER('R4 Variations'!G75),+'R4 Variations'!G75*LU_Escalation,0)</f>
        <v>0</v>
      </c>
      <c r="H75" s="491">
        <f ca="1">IF(ISNUMBER('R4 Variations'!H75),+'R4 Variations'!H75*LU_Escalation,0)</f>
        <v>0</v>
      </c>
      <c r="I75" s="491">
        <f ca="1">IF(ISNUMBER('R4 Variations'!I75),+'R4 Variations'!I75*LU_Escalation,0)</f>
        <v>0</v>
      </c>
      <c r="J75" s="491">
        <f ca="1">IF(ISNUMBER('R4 Variations'!J75),+'R4 Variations'!J75*LU_Escalation,0)</f>
        <v>0</v>
      </c>
      <c r="K75" s="491">
        <f ca="1">IF(ISNUMBER('R4 Variations'!K75),+'R4 Variations'!K75*LU_Escalation,0)</f>
        <v>0</v>
      </c>
      <c r="L75" s="515" t="str">
        <f ca="1">+'R4 Variations'!L75</f>
        <v/>
      </c>
      <c r="M75" s="450" t="str">
        <f ca="1">+'R4 Variations'!M75</f>
        <v/>
      </c>
      <c r="N75" s="450" t="str">
        <f ca="1">+'R4 Variations'!N75</f>
        <v/>
      </c>
    </row>
    <row r="76" spans="1:14">
      <c r="A76" s="5"/>
      <c r="B76" s="249"/>
      <c r="C76" s="384" t="str">
        <f ca="1">+'R4 Variations'!C76</f>
        <v/>
      </c>
      <c r="D76" s="491">
        <f ca="1">IF(ISNUMBER('R4 Variations'!D76),+'R4 Variations'!D76*LU_Escalation,0)</f>
        <v>0</v>
      </c>
      <c r="E76" s="850">
        <f ca="1">IF(ISNUMBER('R4 Variations'!E76),+'R4 Variations'!E76*LU_Escalation,0)</f>
        <v>0</v>
      </c>
      <c r="F76" s="491">
        <f ca="1">IF(ISNUMBER('R4 Variations'!F76),+'R4 Variations'!F76*LU_Escalation,0)</f>
        <v>0</v>
      </c>
      <c r="G76" s="491">
        <f ca="1">IF(ISNUMBER('R4 Variations'!G76),+'R4 Variations'!G76*LU_Escalation,0)</f>
        <v>0</v>
      </c>
      <c r="H76" s="491">
        <f ca="1">IF(ISNUMBER('R4 Variations'!H76),+'R4 Variations'!H76*LU_Escalation,0)</f>
        <v>0</v>
      </c>
      <c r="I76" s="491">
        <f ca="1">IF(ISNUMBER('R4 Variations'!I76),+'R4 Variations'!I76*LU_Escalation,0)</f>
        <v>0</v>
      </c>
      <c r="J76" s="491">
        <f ca="1">IF(ISNUMBER('R4 Variations'!J76),+'R4 Variations'!J76*LU_Escalation,0)</f>
        <v>0</v>
      </c>
      <c r="K76" s="491">
        <f ca="1">IF(ISNUMBER('R4 Variations'!K76),+'R4 Variations'!K76*LU_Escalation,0)</f>
        <v>0</v>
      </c>
      <c r="L76" s="515" t="str">
        <f ca="1">+'R4 Variations'!L76</f>
        <v/>
      </c>
      <c r="M76" s="450" t="str">
        <f ca="1">+'R4 Variations'!M76</f>
        <v/>
      </c>
      <c r="N76" s="450" t="str">
        <f ca="1">+'R4 Variations'!N76</f>
        <v/>
      </c>
    </row>
    <row r="77" spans="1:14">
      <c r="A77" s="5"/>
      <c r="B77" s="249"/>
      <c r="C77" s="384" t="str">
        <f ca="1">+'R4 Variations'!C77</f>
        <v/>
      </c>
      <c r="D77" s="491">
        <f ca="1">IF(ISNUMBER('R4 Variations'!D77),+'R4 Variations'!D77*LU_Escalation,0)</f>
        <v>0</v>
      </c>
      <c r="E77" s="850">
        <f ca="1">IF(ISNUMBER('R4 Variations'!E77),+'R4 Variations'!E77*LU_Escalation,0)</f>
        <v>0</v>
      </c>
      <c r="F77" s="491">
        <f ca="1">IF(ISNUMBER('R4 Variations'!F77),+'R4 Variations'!F77*LU_Escalation,0)</f>
        <v>0</v>
      </c>
      <c r="G77" s="491">
        <f ca="1">IF(ISNUMBER('R4 Variations'!G77),+'R4 Variations'!G77*LU_Escalation,0)</f>
        <v>0</v>
      </c>
      <c r="H77" s="491">
        <f ca="1">IF(ISNUMBER('R4 Variations'!H77),+'R4 Variations'!H77*LU_Escalation,0)</f>
        <v>0</v>
      </c>
      <c r="I77" s="491">
        <f ca="1">IF(ISNUMBER('R4 Variations'!I77),+'R4 Variations'!I77*LU_Escalation,0)</f>
        <v>0</v>
      </c>
      <c r="J77" s="491">
        <f ca="1">IF(ISNUMBER('R4 Variations'!J77),+'R4 Variations'!J77*LU_Escalation,0)</f>
        <v>0</v>
      </c>
      <c r="K77" s="491">
        <f ca="1">IF(ISNUMBER('R4 Variations'!K77),+'R4 Variations'!K77*LU_Escalation,0)</f>
        <v>0</v>
      </c>
      <c r="L77" s="515" t="str">
        <f ca="1">+'R4 Variations'!L77</f>
        <v/>
      </c>
      <c r="M77" s="450" t="str">
        <f ca="1">+'R4 Variations'!M77</f>
        <v/>
      </c>
      <c r="N77" s="450" t="str">
        <f ca="1">+'R4 Variations'!N77</f>
        <v/>
      </c>
    </row>
    <row r="78" spans="1:14">
      <c r="A78" s="5"/>
      <c r="B78" s="249"/>
      <c r="C78" s="12"/>
      <c r="D78" s="491"/>
      <c r="E78" s="508"/>
      <c r="F78" s="491"/>
      <c r="G78" s="492"/>
      <c r="H78" s="492"/>
      <c r="I78" s="492"/>
      <c r="J78" s="492"/>
      <c r="K78" s="508"/>
      <c r="L78" s="515"/>
      <c r="M78" s="450"/>
      <c r="N78" s="450"/>
    </row>
    <row r="79" spans="1:14">
      <c r="A79" s="5"/>
      <c r="B79" s="249" t="str">
        <f ca="1">+'I-4 History'!B61</f>
        <v>DA-7</v>
      </c>
      <c r="C79" s="14" t="str">
        <f ca="1">+'I-4 History'!C61</f>
        <v>Maintenance of Asset Information</v>
      </c>
      <c r="D79" s="491"/>
      <c r="E79" s="508"/>
      <c r="F79" s="491"/>
      <c r="G79" s="492"/>
      <c r="H79" s="492"/>
      <c r="I79" s="492"/>
      <c r="J79" s="492"/>
      <c r="K79" s="508"/>
      <c r="L79" s="515"/>
      <c r="M79" s="450"/>
      <c r="N79" s="450"/>
    </row>
    <row r="80" spans="1:14">
      <c r="A80" s="5"/>
      <c r="B80" s="249"/>
      <c r="C80" s="384" t="str">
        <f ca="1">+'R4 Variations'!C80</f>
        <v>Step Change</v>
      </c>
      <c r="D80" s="491">
        <f ca="1">IF(ISNUMBER('R4 Variations'!D80),+'R4 Variations'!D80*LU_Escalation,0)</f>
        <v>0</v>
      </c>
      <c r="E80" s="850">
        <f ca="1">IF(ISNUMBER('R4 Variations'!E80),+'R4 Variations'!E80*LU_Escalation,0)</f>
        <v>0</v>
      </c>
      <c r="F80" s="491">
        <f ca="1">IF(ISNUMBER('R4 Variations'!F80),+'R4 Variations'!F80*LU_Escalation,0)</f>
        <v>0</v>
      </c>
      <c r="G80" s="491">
        <f ca="1">IF(ISNUMBER('R4 Variations'!G80),+'R4 Variations'!G80*LU_Escalation,0)</f>
        <v>0</v>
      </c>
      <c r="H80" s="491">
        <f ca="1">IF(ISNUMBER('R4 Variations'!H80),+'R4 Variations'!H80*LU_Escalation,0)</f>
        <v>0</v>
      </c>
      <c r="I80" s="491">
        <f ca="1">IF(ISNUMBER('R4 Variations'!I80),+'R4 Variations'!I80*LU_Escalation,0)</f>
        <v>0</v>
      </c>
      <c r="J80" s="491">
        <f ca="1">IF(ISNUMBER('R4 Variations'!J80),+'R4 Variations'!J80*LU_Escalation,0)</f>
        <v>0</v>
      </c>
      <c r="K80" s="491">
        <f ca="1">IF(ISNUMBER('R4 Variations'!K80),+'R4 Variations'!K80*LU_Escalation,0)</f>
        <v>0</v>
      </c>
      <c r="L80" s="515" t="str">
        <f ca="1">+'R4 Variations'!L80</f>
        <v>Proposal Step Change</v>
      </c>
      <c r="M80" s="450" t="str">
        <f ca="1">+'R4 Variations'!M80</f>
        <v>Refer Opex Workings</v>
      </c>
      <c r="N80" s="450" t="str">
        <f ca="1">+'R4 Variations'!N80</f>
        <v>Proposal, October 2014</v>
      </c>
    </row>
    <row r="81" spans="1:14">
      <c r="A81" s="5"/>
      <c r="B81" s="249"/>
      <c r="C81" s="384" t="str">
        <f ca="1">+'R4 Variations'!C81</f>
        <v/>
      </c>
      <c r="D81" s="491">
        <f ca="1">IF(ISNUMBER('R4 Variations'!D81),+'R4 Variations'!D81*LU_Escalation,0)</f>
        <v>0</v>
      </c>
      <c r="E81" s="850">
        <f ca="1">IF(ISNUMBER('R4 Variations'!E81),+'R4 Variations'!E81*LU_Escalation,0)</f>
        <v>0</v>
      </c>
      <c r="F81" s="491">
        <f ca="1">IF(ISNUMBER('R4 Variations'!F81),+'R4 Variations'!F81*LU_Escalation,0)</f>
        <v>0</v>
      </c>
      <c r="G81" s="491">
        <f ca="1">IF(ISNUMBER('R4 Variations'!G81),+'R4 Variations'!G81*LU_Escalation,0)</f>
        <v>0</v>
      </c>
      <c r="H81" s="491">
        <f ca="1">IF(ISNUMBER('R4 Variations'!H81),+'R4 Variations'!H81*LU_Escalation,0)</f>
        <v>0</v>
      </c>
      <c r="I81" s="491">
        <f ca="1">IF(ISNUMBER('R4 Variations'!I81),+'R4 Variations'!I81*LU_Escalation,0)</f>
        <v>0</v>
      </c>
      <c r="J81" s="491">
        <f ca="1">IF(ISNUMBER('R4 Variations'!J81),+'R4 Variations'!J81*LU_Escalation,0)</f>
        <v>0</v>
      </c>
      <c r="K81" s="491">
        <f ca="1">IF(ISNUMBER('R4 Variations'!K81),+'R4 Variations'!K81*LU_Escalation,0)</f>
        <v>0</v>
      </c>
      <c r="L81" s="515" t="str">
        <f ca="1">+'R4 Variations'!L81</f>
        <v/>
      </c>
      <c r="M81" s="450" t="str">
        <f ca="1">+'R4 Variations'!M81</f>
        <v/>
      </c>
      <c r="N81" s="450" t="str">
        <f ca="1">+'R4 Variations'!N81</f>
        <v/>
      </c>
    </row>
    <row r="82" spans="1:14">
      <c r="A82" s="5"/>
      <c r="B82" s="249"/>
      <c r="C82" s="384" t="str">
        <f ca="1">+'R4 Variations'!C82</f>
        <v/>
      </c>
      <c r="D82" s="491">
        <f ca="1">IF(ISNUMBER('R4 Variations'!D82),+'R4 Variations'!D82*LU_Escalation,0)</f>
        <v>0</v>
      </c>
      <c r="E82" s="850">
        <f ca="1">IF(ISNUMBER('R4 Variations'!E82),+'R4 Variations'!E82*LU_Escalation,0)</f>
        <v>0</v>
      </c>
      <c r="F82" s="491">
        <f ca="1">IF(ISNUMBER('R4 Variations'!F82),+'R4 Variations'!F82*LU_Escalation,0)</f>
        <v>0</v>
      </c>
      <c r="G82" s="491">
        <f ca="1">IF(ISNUMBER('R4 Variations'!G82),+'R4 Variations'!G82*LU_Escalation,0)</f>
        <v>0</v>
      </c>
      <c r="H82" s="491">
        <f ca="1">IF(ISNUMBER('R4 Variations'!H82),+'R4 Variations'!H82*LU_Escalation,0)</f>
        <v>0</v>
      </c>
      <c r="I82" s="491">
        <f ca="1">IF(ISNUMBER('R4 Variations'!I82),+'R4 Variations'!I82*LU_Escalation,0)</f>
        <v>0</v>
      </c>
      <c r="J82" s="491">
        <f ca="1">IF(ISNUMBER('R4 Variations'!J82),+'R4 Variations'!J82*LU_Escalation,0)</f>
        <v>0</v>
      </c>
      <c r="K82" s="491">
        <f ca="1">IF(ISNUMBER('R4 Variations'!K82),+'R4 Variations'!K82*LU_Escalation,0)</f>
        <v>0</v>
      </c>
      <c r="L82" s="515" t="str">
        <f ca="1">+'R4 Variations'!L82</f>
        <v/>
      </c>
      <c r="M82" s="450" t="str">
        <f ca="1">+'R4 Variations'!M82</f>
        <v/>
      </c>
      <c r="N82" s="450" t="str">
        <f ca="1">+'R4 Variations'!N82</f>
        <v/>
      </c>
    </row>
    <row r="83" spans="1:14">
      <c r="A83" s="5"/>
      <c r="B83" s="249"/>
      <c r="C83" s="384" t="str">
        <f ca="1">+'R4 Variations'!C83</f>
        <v/>
      </c>
      <c r="D83" s="491">
        <f ca="1">IF(ISNUMBER('R4 Variations'!D83),+'R4 Variations'!D83*LU_Escalation,0)</f>
        <v>0</v>
      </c>
      <c r="E83" s="850">
        <f ca="1">IF(ISNUMBER('R4 Variations'!E83),+'R4 Variations'!E83*LU_Escalation,0)</f>
        <v>0</v>
      </c>
      <c r="F83" s="491">
        <f ca="1">IF(ISNUMBER('R4 Variations'!F83),+'R4 Variations'!F83*LU_Escalation,0)</f>
        <v>0</v>
      </c>
      <c r="G83" s="491">
        <f ca="1">IF(ISNUMBER('R4 Variations'!G83),+'R4 Variations'!G83*LU_Escalation,0)</f>
        <v>0</v>
      </c>
      <c r="H83" s="491">
        <f ca="1">IF(ISNUMBER('R4 Variations'!H83),+'R4 Variations'!H83*LU_Escalation,0)</f>
        <v>0</v>
      </c>
      <c r="I83" s="491">
        <f ca="1">IF(ISNUMBER('R4 Variations'!I83),+'R4 Variations'!I83*LU_Escalation,0)</f>
        <v>0</v>
      </c>
      <c r="J83" s="491">
        <f ca="1">IF(ISNUMBER('R4 Variations'!J83),+'R4 Variations'!J83*LU_Escalation,0)</f>
        <v>0</v>
      </c>
      <c r="K83" s="491">
        <f ca="1">IF(ISNUMBER('R4 Variations'!K83),+'R4 Variations'!K83*LU_Escalation,0)</f>
        <v>0</v>
      </c>
      <c r="L83" s="515" t="str">
        <f ca="1">+'R4 Variations'!L83</f>
        <v/>
      </c>
      <c r="M83" s="450" t="str">
        <f ca="1">+'R4 Variations'!M83</f>
        <v/>
      </c>
      <c r="N83" s="450" t="str">
        <f ca="1">+'R4 Variations'!N83</f>
        <v/>
      </c>
    </row>
    <row r="84" spans="1:14">
      <c r="A84" s="5"/>
      <c r="B84" s="249"/>
      <c r="C84" s="384" t="str">
        <f ca="1">+'R4 Variations'!C84</f>
        <v/>
      </c>
      <c r="D84" s="491">
        <f ca="1">IF(ISNUMBER('R4 Variations'!D84),+'R4 Variations'!D84*LU_Escalation,0)</f>
        <v>0</v>
      </c>
      <c r="E84" s="850">
        <f ca="1">IF(ISNUMBER('R4 Variations'!E84),+'R4 Variations'!E84*LU_Escalation,0)</f>
        <v>0</v>
      </c>
      <c r="F84" s="491">
        <f ca="1">IF(ISNUMBER('R4 Variations'!F84),+'R4 Variations'!F84*LU_Escalation,0)</f>
        <v>0</v>
      </c>
      <c r="G84" s="491">
        <f ca="1">IF(ISNUMBER('R4 Variations'!G84),+'R4 Variations'!G84*LU_Escalation,0)</f>
        <v>0</v>
      </c>
      <c r="H84" s="491">
        <f ca="1">IF(ISNUMBER('R4 Variations'!H84),+'R4 Variations'!H84*LU_Escalation,0)</f>
        <v>0</v>
      </c>
      <c r="I84" s="491">
        <f ca="1">IF(ISNUMBER('R4 Variations'!I84),+'R4 Variations'!I84*LU_Escalation,0)</f>
        <v>0</v>
      </c>
      <c r="J84" s="491">
        <f ca="1">IF(ISNUMBER('R4 Variations'!J84),+'R4 Variations'!J84*LU_Escalation,0)</f>
        <v>0</v>
      </c>
      <c r="K84" s="491">
        <f ca="1">IF(ISNUMBER('R4 Variations'!K84),+'R4 Variations'!K84*LU_Escalation,0)</f>
        <v>0</v>
      </c>
      <c r="L84" s="515" t="str">
        <f ca="1">+'R4 Variations'!L84</f>
        <v/>
      </c>
      <c r="M84" s="450" t="str">
        <f ca="1">+'R4 Variations'!M84</f>
        <v/>
      </c>
      <c r="N84" s="450" t="str">
        <f ca="1">+'R4 Variations'!N84</f>
        <v/>
      </c>
    </row>
    <row r="85" spans="1:14">
      <c r="A85" s="5"/>
      <c r="B85" s="249"/>
      <c r="C85" s="384" t="str">
        <f ca="1">+'R4 Variations'!C85</f>
        <v/>
      </c>
      <c r="D85" s="491">
        <f ca="1">IF(ISNUMBER('R4 Variations'!D85),+'R4 Variations'!D85*LU_Escalation,0)</f>
        <v>0</v>
      </c>
      <c r="E85" s="850">
        <f ca="1">IF(ISNUMBER('R4 Variations'!E85),+'R4 Variations'!E85*LU_Escalation,0)</f>
        <v>0</v>
      </c>
      <c r="F85" s="491">
        <f ca="1">IF(ISNUMBER('R4 Variations'!F85),+'R4 Variations'!F85*LU_Escalation,0)</f>
        <v>0</v>
      </c>
      <c r="G85" s="491">
        <f ca="1">IF(ISNUMBER('R4 Variations'!G85),+'R4 Variations'!G85*LU_Escalation,0)</f>
        <v>0</v>
      </c>
      <c r="H85" s="491">
        <f ca="1">IF(ISNUMBER('R4 Variations'!H85),+'R4 Variations'!H85*LU_Escalation,0)</f>
        <v>0</v>
      </c>
      <c r="I85" s="491">
        <f ca="1">IF(ISNUMBER('R4 Variations'!I85),+'R4 Variations'!I85*LU_Escalation,0)</f>
        <v>0</v>
      </c>
      <c r="J85" s="491">
        <f ca="1">IF(ISNUMBER('R4 Variations'!J85),+'R4 Variations'!J85*LU_Escalation,0)</f>
        <v>0</v>
      </c>
      <c r="K85" s="491">
        <f ca="1">IF(ISNUMBER('R4 Variations'!K85),+'R4 Variations'!K85*LU_Escalation,0)</f>
        <v>0</v>
      </c>
      <c r="L85" s="515" t="str">
        <f ca="1">+'R4 Variations'!L85</f>
        <v/>
      </c>
      <c r="M85" s="450" t="str">
        <f ca="1">+'R4 Variations'!M85</f>
        <v/>
      </c>
      <c r="N85" s="450" t="str">
        <f ca="1">+'R4 Variations'!N85</f>
        <v/>
      </c>
    </row>
    <row r="86" spans="1:14">
      <c r="A86" s="5"/>
      <c r="B86" s="249"/>
      <c r="C86" s="384" t="str">
        <f ca="1">+'R4 Variations'!C86</f>
        <v/>
      </c>
      <c r="D86" s="491">
        <f ca="1">IF(ISNUMBER('R4 Variations'!D86),+'R4 Variations'!D86*LU_Escalation,0)</f>
        <v>0</v>
      </c>
      <c r="E86" s="850">
        <f ca="1">IF(ISNUMBER('R4 Variations'!E86),+'R4 Variations'!E86*LU_Escalation,0)</f>
        <v>0</v>
      </c>
      <c r="F86" s="491">
        <f ca="1">IF(ISNUMBER('R4 Variations'!F86),+'R4 Variations'!F86*LU_Escalation,0)</f>
        <v>0</v>
      </c>
      <c r="G86" s="491">
        <f ca="1">IF(ISNUMBER('R4 Variations'!G86),+'R4 Variations'!G86*LU_Escalation,0)</f>
        <v>0</v>
      </c>
      <c r="H86" s="491">
        <f ca="1">IF(ISNUMBER('R4 Variations'!H86),+'R4 Variations'!H86*LU_Escalation,0)</f>
        <v>0</v>
      </c>
      <c r="I86" s="491">
        <f ca="1">IF(ISNUMBER('R4 Variations'!I86),+'R4 Variations'!I86*LU_Escalation,0)</f>
        <v>0</v>
      </c>
      <c r="J86" s="491">
        <f ca="1">IF(ISNUMBER('R4 Variations'!J86),+'R4 Variations'!J86*LU_Escalation,0)</f>
        <v>0</v>
      </c>
      <c r="K86" s="491">
        <f ca="1">IF(ISNUMBER('R4 Variations'!K86),+'R4 Variations'!K86*LU_Escalation,0)</f>
        <v>0</v>
      </c>
      <c r="L86" s="515" t="str">
        <f ca="1">+'R4 Variations'!L86</f>
        <v/>
      </c>
      <c r="M86" s="450" t="str">
        <f ca="1">+'R4 Variations'!M86</f>
        <v/>
      </c>
      <c r="N86" s="450" t="str">
        <f ca="1">+'R4 Variations'!N86</f>
        <v/>
      </c>
    </row>
    <row r="87" spans="1:14">
      <c r="A87" s="5"/>
      <c r="B87" s="249"/>
      <c r="C87" s="384" t="str">
        <f ca="1">+'R4 Variations'!C87</f>
        <v/>
      </c>
      <c r="D87" s="491">
        <f ca="1">IF(ISNUMBER('R4 Variations'!D87),+'R4 Variations'!D87*LU_Escalation,0)</f>
        <v>0</v>
      </c>
      <c r="E87" s="850">
        <f ca="1">IF(ISNUMBER('R4 Variations'!E87),+'R4 Variations'!E87*LU_Escalation,0)</f>
        <v>0</v>
      </c>
      <c r="F87" s="491">
        <f ca="1">IF(ISNUMBER('R4 Variations'!F87),+'R4 Variations'!F87*LU_Escalation,0)</f>
        <v>0</v>
      </c>
      <c r="G87" s="491">
        <f ca="1">IF(ISNUMBER('R4 Variations'!G87),+'R4 Variations'!G87*LU_Escalation,0)</f>
        <v>0</v>
      </c>
      <c r="H87" s="491">
        <f ca="1">IF(ISNUMBER('R4 Variations'!H87),+'R4 Variations'!H87*LU_Escalation,0)</f>
        <v>0</v>
      </c>
      <c r="I87" s="491">
        <f ca="1">IF(ISNUMBER('R4 Variations'!I87),+'R4 Variations'!I87*LU_Escalation,0)</f>
        <v>0</v>
      </c>
      <c r="J87" s="491">
        <f ca="1">IF(ISNUMBER('R4 Variations'!J87),+'R4 Variations'!J87*LU_Escalation,0)</f>
        <v>0</v>
      </c>
      <c r="K87" s="491">
        <f ca="1">IF(ISNUMBER('R4 Variations'!K87),+'R4 Variations'!K87*LU_Escalation,0)</f>
        <v>0</v>
      </c>
      <c r="L87" s="515" t="str">
        <f ca="1">+'R4 Variations'!L87</f>
        <v/>
      </c>
      <c r="M87" s="450" t="str">
        <f ca="1">+'R4 Variations'!M87</f>
        <v/>
      </c>
      <c r="N87" s="450" t="str">
        <f ca="1">+'R4 Variations'!N87</f>
        <v/>
      </c>
    </row>
    <row r="88" spans="1:14">
      <c r="A88" s="5"/>
      <c r="B88" s="249"/>
      <c r="C88" s="384" t="str">
        <f ca="1">+'R4 Variations'!C88</f>
        <v/>
      </c>
      <c r="D88" s="491">
        <f ca="1">IF(ISNUMBER('R4 Variations'!D88),+'R4 Variations'!D88*LU_Escalation,0)</f>
        <v>0</v>
      </c>
      <c r="E88" s="850">
        <f ca="1">IF(ISNUMBER('R4 Variations'!E88),+'R4 Variations'!E88*LU_Escalation,0)</f>
        <v>0</v>
      </c>
      <c r="F88" s="491">
        <f ca="1">IF(ISNUMBER('R4 Variations'!F88),+'R4 Variations'!F88*LU_Escalation,0)</f>
        <v>0</v>
      </c>
      <c r="G88" s="491">
        <f ca="1">IF(ISNUMBER('R4 Variations'!G88),+'R4 Variations'!G88*LU_Escalation,0)</f>
        <v>0</v>
      </c>
      <c r="H88" s="491">
        <f ca="1">IF(ISNUMBER('R4 Variations'!H88),+'R4 Variations'!H88*LU_Escalation,0)</f>
        <v>0</v>
      </c>
      <c r="I88" s="491">
        <f ca="1">IF(ISNUMBER('R4 Variations'!I88),+'R4 Variations'!I88*LU_Escalation,0)</f>
        <v>0</v>
      </c>
      <c r="J88" s="491">
        <f ca="1">IF(ISNUMBER('R4 Variations'!J88),+'R4 Variations'!J88*LU_Escalation,0)</f>
        <v>0</v>
      </c>
      <c r="K88" s="491">
        <f ca="1">IF(ISNUMBER('R4 Variations'!K88),+'R4 Variations'!K88*LU_Escalation,0)</f>
        <v>0</v>
      </c>
      <c r="L88" s="515" t="str">
        <f ca="1">+'R4 Variations'!L88</f>
        <v/>
      </c>
      <c r="M88" s="450" t="str">
        <f ca="1">+'R4 Variations'!M88</f>
        <v/>
      </c>
      <c r="N88" s="450" t="str">
        <f ca="1">+'R4 Variations'!N88</f>
        <v/>
      </c>
    </row>
    <row r="89" spans="1:14">
      <c r="A89" s="5"/>
      <c r="B89" s="249"/>
      <c r="C89" s="384" t="str">
        <f ca="1">+'R4 Variations'!C89</f>
        <v/>
      </c>
      <c r="D89" s="491">
        <f ca="1">IF(ISNUMBER('R4 Variations'!D89),+'R4 Variations'!D89*LU_Escalation,0)</f>
        <v>0</v>
      </c>
      <c r="E89" s="850">
        <f ca="1">IF(ISNUMBER('R4 Variations'!E89),+'R4 Variations'!E89*LU_Escalation,0)</f>
        <v>0</v>
      </c>
      <c r="F89" s="491">
        <f ca="1">IF(ISNUMBER('R4 Variations'!F89),+'R4 Variations'!F89*LU_Escalation,0)</f>
        <v>0</v>
      </c>
      <c r="G89" s="491">
        <f ca="1">IF(ISNUMBER('R4 Variations'!G89),+'R4 Variations'!G89*LU_Escalation,0)</f>
        <v>0</v>
      </c>
      <c r="H89" s="491">
        <f ca="1">IF(ISNUMBER('R4 Variations'!H89),+'R4 Variations'!H89*LU_Escalation,0)</f>
        <v>0</v>
      </c>
      <c r="I89" s="491">
        <f ca="1">IF(ISNUMBER('R4 Variations'!I89),+'R4 Variations'!I89*LU_Escalation,0)</f>
        <v>0</v>
      </c>
      <c r="J89" s="491">
        <f ca="1">IF(ISNUMBER('R4 Variations'!J89),+'R4 Variations'!J89*LU_Escalation,0)</f>
        <v>0</v>
      </c>
      <c r="K89" s="491">
        <f ca="1">IF(ISNUMBER('R4 Variations'!K89),+'R4 Variations'!K89*LU_Escalation,0)</f>
        <v>0</v>
      </c>
      <c r="L89" s="515" t="str">
        <f ca="1">+'R4 Variations'!L89</f>
        <v/>
      </c>
      <c r="M89" s="450" t="str">
        <f ca="1">+'R4 Variations'!M89</f>
        <v/>
      </c>
      <c r="N89" s="450" t="str">
        <f ca="1">+'R4 Variations'!N89</f>
        <v/>
      </c>
    </row>
    <row r="90" spans="1:14">
      <c r="A90" s="5"/>
      <c r="B90" s="249"/>
      <c r="C90" s="12"/>
      <c r="D90" s="491"/>
      <c r="E90" s="508"/>
      <c r="F90" s="491"/>
      <c r="G90" s="492"/>
      <c r="H90" s="492"/>
      <c r="I90" s="492"/>
      <c r="J90" s="492"/>
      <c r="K90" s="508"/>
      <c r="L90" s="515"/>
      <c r="M90" s="450"/>
      <c r="N90" s="450"/>
    </row>
    <row r="91" spans="1:14">
      <c r="A91" s="5"/>
      <c r="B91" s="249" t="str">
        <f ca="1">+'I-4 History'!B70</f>
        <v>DA-8</v>
      </c>
      <c r="C91" s="14" t="str">
        <f ca="1">+'I-4 History'!C70</f>
        <v>Network Telephony</v>
      </c>
      <c r="D91" s="491"/>
      <c r="E91" s="508"/>
      <c r="F91" s="491"/>
      <c r="G91" s="492"/>
      <c r="H91" s="492"/>
      <c r="I91" s="492"/>
      <c r="J91" s="492"/>
      <c r="K91" s="508"/>
      <c r="L91" s="515"/>
      <c r="M91" s="450"/>
      <c r="N91" s="450"/>
    </row>
    <row r="92" spans="1:14">
      <c r="A92" s="5"/>
      <c r="B92" s="249"/>
      <c r="C92" s="384" t="str">
        <f ca="1">+'R4 Variations'!C92</f>
        <v>Step Change</v>
      </c>
      <c r="D92" s="491">
        <f ca="1">IF(ISNUMBER('R4 Variations'!D92),+'R4 Variations'!D92*LU_Escalation,0)</f>
        <v>0</v>
      </c>
      <c r="E92" s="850">
        <f ca="1">IF(ISNUMBER('R4 Variations'!E92),+'R4 Variations'!E92*LU_Escalation,0)</f>
        <v>0</v>
      </c>
      <c r="F92" s="491">
        <f ca="1">IF(ISNUMBER('R4 Variations'!F92),+'R4 Variations'!F92*LU_Escalation,0)</f>
        <v>0</v>
      </c>
      <c r="G92" s="491">
        <f ca="1">IF(ISNUMBER('R4 Variations'!G92),+'R4 Variations'!G92*LU_Escalation,0)</f>
        <v>0.17676796153846155</v>
      </c>
      <c r="H92" s="491">
        <f ca="1">IF(ISNUMBER('R4 Variations'!H92),+'R4 Variations'!H92*LU_Escalation,0)</f>
        <v>7.597921153846154</v>
      </c>
      <c r="I92" s="491">
        <f ca="1">IF(ISNUMBER('R4 Variations'!I92),+'R4 Variations'!I92*LU_Escalation,0)</f>
        <v>2.6908011923076924</v>
      </c>
      <c r="J92" s="491">
        <f ca="1">IF(ISNUMBER('R4 Variations'!J92),+'R4 Variations'!J92*LU_Escalation,0)</f>
        <v>2.6908011923076929</v>
      </c>
      <c r="K92" s="491">
        <f ca="1">IF(ISNUMBER('R4 Variations'!K92),+'R4 Variations'!K92*LU_Escalation,0)</f>
        <v>2.6918349230769234</v>
      </c>
      <c r="L92" s="515" t="str">
        <f ca="1">+'R4 Variations'!L92</f>
        <v>Proposal Step Change</v>
      </c>
      <c r="M92" s="450" t="str">
        <f ca="1">+'R4 Variations'!M92</f>
        <v>Refer Opex Workings</v>
      </c>
      <c r="N92" s="450" t="str">
        <f ca="1">+'R4 Variations'!N92</f>
        <v>Proposal, October 2014</v>
      </c>
    </row>
    <row r="93" spans="1:14">
      <c r="A93" s="5"/>
      <c r="B93" s="249"/>
      <c r="C93" s="384" t="str">
        <f ca="1">+'R4 Variations'!C93</f>
        <v/>
      </c>
      <c r="D93" s="491">
        <f ca="1">IF(ISNUMBER('R4 Variations'!D93),+'R4 Variations'!D93*LU_Escalation,0)</f>
        <v>0</v>
      </c>
      <c r="E93" s="850">
        <f ca="1">IF(ISNUMBER('R4 Variations'!E93),+'R4 Variations'!E93*LU_Escalation,0)</f>
        <v>0</v>
      </c>
      <c r="F93" s="491">
        <f ca="1">IF(ISNUMBER('R4 Variations'!F93),+'R4 Variations'!F93*LU_Escalation,0)</f>
        <v>0</v>
      </c>
      <c r="G93" s="491">
        <f ca="1">IF(ISNUMBER('R4 Variations'!G93),+'R4 Variations'!G93*LU_Escalation,0)</f>
        <v>0</v>
      </c>
      <c r="H93" s="491">
        <f ca="1">IF(ISNUMBER('R4 Variations'!H93),+'R4 Variations'!H93*LU_Escalation,0)</f>
        <v>0</v>
      </c>
      <c r="I93" s="491">
        <f ca="1">IF(ISNUMBER('R4 Variations'!I93),+'R4 Variations'!I93*LU_Escalation,0)</f>
        <v>0</v>
      </c>
      <c r="J93" s="491">
        <f ca="1">IF(ISNUMBER('R4 Variations'!J93),+'R4 Variations'!J93*LU_Escalation,0)</f>
        <v>0</v>
      </c>
      <c r="K93" s="491">
        <f ca="1">IF(ISNUMBER('R4 Variations'!K93),+'R4 Variations'!K93*LU_Escalation,0)</f>
        <v>0</v>
      </c>
      <c r="L93" s="515" t="str">
        <f ca="1">+'R4 Variations'!L93</f>
        <v/>
      </c>
      <c r="M93" s="450" t="str">
        <f ca="1">+'R4 Variations'!M93</f>
        <v/>
      </c>
      <c r="N93" s="450" t="str">
        <f ca="1">+'R4 Variations'!N93</f>
        <v/>
      </c>
    </row>
    <row r="94" spans="1:14">
      <c r="A94" s="5"/>
      <c r="B94" s="249"/>
      <c r="C94" s="384" t="str">
        <f ca="1">+'R4 Variations'!C94</f>
        <v/>
      </c>
      <c r="D94" s="491">
        <f ca="1">IF(ISNUMBER('R4 Variations'!D94),+'R4 Variations'!D94*LU_Escalation,0)</f>
        <v>0</v>
      </c>
      <c r="E94" s="850">
        <f ca="1">IF(ISNUMBER('R4 Variations'!E94),+'R4 Variations'!E94*LU_Escalation,0)</f>
        <v>0</v>
      </c>
      <c r="F94" s="491">
        <f ca="1">IF(ISNUMBER('R4 Variations'!F94),+'R4 Variations'!F94*LU_Escalation,0)</f>
        <v>0</v>
      </c>
      <c r="G94" s="491">
        <f ca="1">IF(ISNUMBER('R4 Variations'!G94),+'R4 Variations'!G94*LU_Escalation,0)</f>
        <v>0</v>
      </c>
      <c r="H94" s="491">
        <f ca="1">IF(ISNUMBER('R4 Variations'!H94),+'R4 Variations'!H94*LU_Escalation,0)</f>
        <v>0</v>
      </c>
      <c r="I94" s="491">
        <f ca="1">IF(ISNUMBER('R4 Variations'!I94),+'R4 Variations'!I94*LU_Escalation,0)</f>
        <v>0</v>
      </c>
      <c r="J94" s="491">
        <f ca="1">IF(ISNUMBER('R4 Variations'!J94),+'R4 Variations'!J94*LU_Escalation,0)</f>
        <v>0</v>
      </c>
      <c r="K94" s="491">
        <f ca="1">IF(ISNUMBER('R4 Variations'!K94),+'R4 Variations'!K94*LU_Escalation,0)</f>
        <v>0</v>
      </c>
      <c r="L94" s="515" t="str">
        <f ca="1">+'R4 Variations'!L94</f>
        <v/>
      </c>
      <c r="M94" s="450" t="str">
        <f ca="1">+'R4 Variations'!M94</f>
        <v/>
      </c>
      <c r="N94" s="450" t="str">
        <f ca="1">+'R4 Variations'!N94</f>
        <v/>
      </c>
    </row>
    <row r="95" spans="1:14">
      <c r="A95" s="5"/>
      <c r="B95" s="249"/>
      <c r="C95" s="384" t="str">
        <f ca="1">+'R4 Variations'!C95</f>
        <v/>
      </c>
      <c r="D95" s="491">
        <f ca="1">IF(ISNUMBER('R4 Variations'!D95),+'R4 Variations'!D95*LU_Escalation,0)</f>
        <v>0</v>
      </c>
      <c r="E95" s="850">
        <f ca="1">IF(ISNUMBER('R4 Variations'!E95),+'R4 Variations'!E95*LU_Escalation,0)</f>
        <v>0</v>
      </c>
      <c r="F95" s="491">
        <f ca="1">IF(ISNUMBER('R4 Variations'!F95),+'R4 Variations'!F95*LU_Escalation,0)</f>
        <v>0</v>
      </c>
      <c r="G95" s="491">
        <f ca="1">IF(ISNUMBER('R4 Variations'!G95),+'R4 Variations'!G95*LU_Escalation,0)</f>
        <v>0</v>
      </c>
      <c r="H95" s="491">
        <f ca="1">IF(ISNUMBER('R4 Variations'!H95),+'R4 Variations'!H95*LU_Escalation,0)</f>
        <v>0</v>
      </c>
      <c r="I95" s="491">
        <f ca="1">IF(ISNUMBER('R4 Variations'!I95),+'R4 Variations'!I95*LU_Escalation,0)</f>
        <v>0</v>
      </c>
      <c r="J95" s="491">
        <f ca="1">IF(ISNUMBER('R4 Variations'!J95),+'R4 Variations'!J95*LU_Escalation,0)</f>
        <v>0</v>
      </c>
      <c r="K95" s="491">
        <f ca="1">IF(ISNUMBER('R4 Variations'!K95),+'R4 Variations'!K95*LU_Escalation,0)</f>
        <v>0</v>
      </c>
      <c r="L95" s="515" t="str">
        <f ca="1">+'R4 Variations'!L95</f>
        <v/>
      </c>
      <c r="M95" s="450" t="str">
        <f ca="1">+'R4 Variations'!M95</f>
        <v/>
      </c>
      <c r="N95" s="450" t="str">
        <f ca="1">+'R4 Variations'!N95</f>
        <v/>
      </c>
    </row>
    <row r="96" spans="1:14">
      <c r="A96" s="5"/>
      <c r="B96" s="249"/>
      <c r="C96" s="384" t="str">
        <f ca="1">+'R4 Variations'!C96</f>
        <v/>
      </c>
      <c r="D96" s="491">
        <f ca="1">IF(ISNUMBER('R4 Variations'!D96),+'R4 Variations'!D96*LU_Escalation,0)</f>
        <v>0</v>
      </c>
      <c r="E96" s="850">
        <f ca="1">IF(ISNUMBER('R4 Variations'!E96),+'R4 Variations'!E96*LU_Escalation,0)</f>
        <v>0</v>
      </c>
      <c r="F96" s="491">
        <f ca="1">IF(ISNUMBER('R4 Variations'!F96),+'R4 Variations'!F96*LU_Escalation,0)</f>
        <v>0</v>
      </c>
      <c r="G96" s="491">
        <f ca="1">IF(ISNUMBER('R4 Variations'!G96),+'R4 Variations'!G96*LU_Escalation,0)</f>
        <v>0</v>
      </c>
      <c r="H96" s="491">
        <f ca="1">IF(ISNUMBER('R4 Variations'!H96),+'R4 Variations'!H96*LU_Escalation,0)</f>
        <v>0</v>
      </c>
      <c r="I96" s="491">
        <f ca="1">IF(ISNUMBER('R4 Variations'!I96),+'R4 Variations'!I96*LU_Escalation,0)</f>
        <v>0</v>
      </c>
      <c r="J96" s="491">
        <f ca="1">IF(ISNUMBER('R4 Variations'!J96),+'R4 Variations'!J96*LU_Escalation,0)</f>
        <v>0</v>
      </c>
      <c r="K96" s="491">
        <f ca="1">IF(ISNUMBER('R4 Variations'!K96),+'R4 Variations'!K96*LU_Escalation,0)</f>
        <v>0</v>
      </c>
      <c r="L96" s="515" t="str">
        <f ca="1">+'R4 Variations'!L96</f>
        <v/>
      </c>
      <c r="M96" s="450" t="str">
        <f ca="1">+'R4 Variations'!M96</f>
        <v/>
      </c>
      <c r="N96" s="450" t="str">
        <f ca="1">+'R4 Variations'!N96</f>
        <v/>
      </c>
    </row>
    <row r="97" spans="1:14">
      <c r="A97" s="5"/>
      <c r="B97" s="249"/>
      <c r="C97" s="384" t="str">
        <f ca="1">+'R4 Variations'!C97</f>
        <v/>
      </c>
      <c r="D97" s="491">
        <f ca="1">IF(ISNUMBER('R4 Variations'!D97),+'R4 Variations'!D97*LU_Escalation,0)</f>
        <v>0</v>
      </c>
      <c r="E97" s="850">
        <f ca="1">IF(ISNUMBER('R4 Variations'!E97),+'R4 Variations'!E97*LU_Escalation,0)</f>
        <v>0</v>
      </c>
      <c r="F97" s="491">
        <f ca="1">IF(ISNUMBER('R4 Variations'!F97),+'R4 Variations'!F97*LU_Escalation,0)</f>
        <v>0</v>
      </c>
      <c r="G97" s="491">
        <f ca="1">IF(ISNUMBER('R4 Variations'!G97),+'R4 Variations'!G97*LU_Escalation,0)</f>
        <v>0</v>
      </c>
      <c r="H97" s="491">
        <f ca="1">IF(ISNUMBER('R4 Variations'!H97),+'R4 Variations'!H97*LU_Escalation,0)</f>
        <v>0</v>
      </c>
      <c r="I97" s="491">
        <f ca="1">IF(ISNUMBER('R4 Variations'!I97),+'R4 Variations'!I97*LU_Escalation,0)</f>
        <v>0</v>
      </c>
      <c r="J97" s="491">
        <f ca="1">IF(ISNUMBER('R4 Variations'!J97),+'R4 Variations'!J97*LU_Escalation,0)</f>
        <v>0</v>
      </c>
      <c r="K97" s="491">
        <f ca="1">IF(ISNUMBER('R4 Variations'!K97),+'R4 Variations'!K97*LU_Escalation,0)</f>
        <v>0</v>
      </c>
      <c r="L97" s="515" t="str">
        <f ca="1">+'R4 Variations'!L97</f>
        <v/>
      </c>
      <c r="M97" s="450" t="str">
        <f ca="1">+'R4 Variations'!M97</f>
        <v/>
      </c>
      <c r="N97" s="450" t="str">
        <f ca="1">+'R4 Variations'!N97</f>
        <v/>
      </c>
    </row>
    <row r="98" spans="1:14">
      <c r="A98" s="5"/>
      <c r="B98" s="249"/>
      <c r="C98" s="384" t="str">
        <f ca="1">+'R4 Variations'!C98</f>
        <v/>
      </c>
      <c r="D98" s="491">
        <f ca="1">IF(ISNUMBER('R4 Variations'!D98),+'R4 Variations'!D98*LU_Escalation,0)</f>
        <v>0</v>
      </c>
      <c r="E98" s="850">
        <f ca="1">IF(ISNUMBER('R4 Variations'!E98),+'R4 Variations'!E98*LU_Escalation,0)</f>
        <v>0</v>
      </c>
      <c r="F98" s="491">
        <f ca="1">IF(ISNUMBER('R4 Variations'!F98),+'R4 Variations'!F98*LU_Escalation,0)</f>
        <v>0</v>
      </c>
      <c r="G98" s="491">
        <f ca="1">IF(ISNUMBER('R4 Variations'!G98),+'R4 Variations'!G98*LU_Escalation,0)</f>
        <v>0</v>
      </c>
      <c r="H98" s="491">
        <f ca="1">IF(ISNUMBER('R4 Variations'!H98),+'R4 Variations'!H98*LU_Escalation,0)</f>
        <v>0</v>
      </c>
      <c r="I98" s="491">
        <f ca="1">IF(ISNUMBER('R4 Variations'!I98),+'R4 Variations'!I98*LU_Escalation,0)</f>
        <v>0</v>
      </c>
      <c r="J98" s="491">
        <f ca="1">IF(ISNUMBER('R4 Variations'!J98),+'R4 Variations'!J98*LU_Escalation,0)</f>
        <v>0</v>
      </c>
      <c r="K98" s="491">
        <f ca="1">IF(ISNUMBER('R4 Variations'!K98),+'R4 Variations'!K98*LU_Escalation,0)</f>
        <v>0</v>
      </c>
      <c r="L98" s="515" t="str">
        <f ca="1">+'R4 Variations'!L98</f>
        <v/>
      </c>
      <c r="M98" s="450" t="str">
        <f ca="1">+'R4 Variations'!M98</f>
        <v/>
      </c>
      <c r="N98" s="450" t="str">
        <f ca="1">+'R4 Variations'!N98</f>
        <v/>
      </c>
    </row>
    <row r="99" spans="1:14">
      <c r="A99" s="5"/>
      <c r="B99" s="249"/>
      <c r="C99" s="384" t="str">
        <f ca="1">+'R4 Variations'!C99</f>
        <v/>
      </c>
      <c r="D99" s="491">
        <f ca="1">IF(ISNUMBER('R4 Variations'!D99),+'R4 Variations'!D99*LU_Escalation,0)</f>
        <v>0</v>
      </c>
      <c r="E99" s="850">
        <f ca="1">IF(ISNUMBER('R4 Variations'!E99),+'R4 Variations'!E99*LU_Escalation,0)</f>
        <v>0</v>
      </c>
      <c r="F99" s="491">
        <f ca="1">IF(ISNUMBER('R4 Variations'!F99),+'R4 Variations'!F99*LU_Escalation,0)</f>
        <v>0</v>
      </c>
      <c r="G99" s="491">
        <f ca="1">IF(ISNUMBER('R4 Variations'!G99),+'R4 Variations'!G99*LU_Escalation,0)</f>
        <v>0</v>
      </c>
      <c r="H99" s="491">
        <f ca="1">IF(ISNUMBER('R4 Variations'!H99),+'R4 Variations'!H99*LU_Escalation,0)</f>
        <v>0</v>
      </c>
      <c r="I99" s="491">
        <f ca="1">IF(ISNUMBER('R4 Variations'!I99),+'R4 Variations'!I99*LU_Escalation,0)</f>
        <v>0</v>
      </c>
      <c r="J99" s="491">
        <f ca="1">IF(ISNUMBER('R4 Variations'!J99),+'R4 Variations'!J99*LU_Escalation,0)</f>
        <v>0</v>
      </c>
      <c r="K99" s="491">
        <f ca="1">IF(ISNUMBER('R4 Variations'!K99),+'R4 Variations'!K99*LU_Escalation,0)</f>
        <v>0</v>
      </c>
      <c r="L99" s="515" t="str">
        <f ca="1">+'R4 Variations'!L99</f>
        <v/>
      </c>
      <c r="M99" s="450" t="str">
        <f ca="1">+'R4 Variations'!M99</f>
        <v/>
      </c>
      <c r="N99" s="450" t="str">
        <f ca="1">+'R4 Variations'!N99</f>
        <v/>
      </c>
    </row>
    <row r="100" spans="1:14">
      <c r="A100" s="5"/>
      <c r="B100" s="249"/>
      <c r="C100" s="384" t="str">
        <f ca="1">+'R4 Variations'!C100</f>
        <v/>
      </c>
      <c r="D100" s="491">
        <f ca="1">IF(ISNUMBER('R4 Variations'!D100),+'R4 Variations'!D100*LU_Escalation,0)</f>
        <v>0</v>
      </c>
      <c r="E100" s="850">
        <f ca="1">IF(ISNUMBER('R4 Variations'!E100),+'R4 Variations'!E100*LU_Escalation,0)</f>
        <v>0</v>
      </c>
      <c r="F100" s="491">
        <f ca="1">IF(ISNUMBER('R4 Variations'!F100),+'R4 Variations'!F100*LU_Escalation,0)</f>
        <v>0</v>
      </c>
      <c r="G100" s="491">
        <f ca="1">IF(ISNUMBER('R4 Variations'!G100),+'R4 Variations'!G100*LU_Escalation,0)</f>
        <v>0</v>
      </c>
      <c r="H100" s="491">
        <f ca="1">IF(ISNUMBER('R4 Variations'!H100),+'R4 Variations'!H100*LU_Escalation,0)</f>
        <v>0</v>
      </c>
      <c r="I100" s="491">
        <f ca="1">IF(ISNUMBER('R4 Variations'!I100),+'R4 Variations'!I100*LU_Escalation,0)</f>
        <v>0</v>
      </c>
      <c r="J100" s="491">
        <f ca="1">IF(ISNUMBER('R4 Variations'!J100),+'R4 Variations'!J100*LU_Escalation,0)</f>
        <v>0</v>
      </c>
      <c r="K100" s="491">
        <f ca="1">IF(ISNUMBER('R4 Variations'!K100),+'R4 Variations'!K100*LU_Escalation,0)</f>
        <v>0</v>
      </c>
      <c r="L100" s="515" t="str">
        <f ca="1">+'R4 Variations'!L100</f>
        <v/>
      </c>
      <c r="M100" s="450" t="str">
        <f ca="1">+'R4 Variations'!M100</f>
        <v/>
      </c>
      <c r="N100" s="450" t="str">
        <f ca="1">+'R4 Variations'!N100</f>
        <v/>
      </c>
    </row>
    <row r="101" spans="1:14">
      <c r="A101" s="5"/>
      <c r="B101" s="249"/>
      <c r="C101" s="384" t="str">
        <f ca="1">+'R4 Variations'!C101</f>
        <v/>
      </c>
      <c r="D101" s="491">
        <f ca="1">IF(ISNUMBER('R4 Variations'!D101),+'R4 Variations'!D101*LU_Escalation,0)</f>
        <v>0</v>
      </c>
      <c r="E101" s="850">
        <f ca="1">IF(ISNUMBER('R4 Variations'!E101),+'R4 Variations'!E101*LU_Escalation,0)</f>
        <v>0</v>
      </c>
      <c r="F101" s="491">
        <f ca="1">IF(ISNUMBER('R4 Variations'!F101),+'R4 Variations'!F101*LU_Escalation,0)</f>
        <v>0</v>
      </c>
      <c r="G101" s="491">
        <f ca="1">IF(ISNUMBER('R4 Variations'!G101),+'R4 Variations'!G101*LU_Escalation,0)</f>
        <v>0</v>
      </c>
      <c r="H101" s="491">
        <f ca="1">IF(ISNUMBER('R4 Variations'!H101),+'R4 Variations'!H101*LU_Escalation,0)</f>
        <v>0</v>
      </c>
      <c r="I101" s="491">
        <f ca="1">IF(ISNUMBER('R4 Variations'!I101),+'R4 Variations'!I101*LU_Escalation,0)</f>
        <v>0</v>
      </c>
      <c r="J101" s="491">
        <f ca="1">IF(ISNUMBER('R4 Variations'!J101),+'R4 Variations'!J101*LU_Escalation,0)</f>
        <v>0</v>
      </c>
      <c r="K101" s="491">
        <f ca="1">IF(ISNUMBER('R4 Variations'!K101),+'R4 Variations'!K101*LU_Escalation,0)</f>
        <v>0</v>
      </c>
      <c r="L101" s="515" t="str">
        <f ca="1">+'R4 Variations'!L101</f>
        <v/>
      </c>
      <c r="M101" s="450" t="str">
        <f ca="1">+'R4 Variations'!M101</f>
        <v/>
      </c>
      <c r="N101" s="450" t="str">
        <f ca="1">+'R4 Variations'!N101</f>
        <v/>
      </c>
    </row>
    <row r="102" spans="1:14">
      <c r="A102" s="5"/>
      <c r="B102" s="249"/>
      <c r="C102" s="12"/>
      <c r="D102" s="491"/>
      <c r="E102" s="508"/>
      <c r="F102" s="491"/>
      <c r="G102" s="492"/>
      <c r="H102" s="492"/>
      <c r="I102" s="492"/>
      <c r="J102" s="492"/>
      <c r="K102" s="508"/>
      <c r="L102" s="515"/>
      <c r="M102" s="450"/>
      <c r="N102" s="450"/>
    </row>
    <row r="103" spans="1:14">
      <c r="A103" s="5"/>
      <c r="B103" s="249" t="str">
        <f ca="1">+'I-4 History'!B79</f>
        <v>DA-9</v>
      </c>
      <c r="C103" s="14" t="str">
        <f ca="1">+'I-4 History'!C79</f>
        <v>Feed-in Tariffs</v>
      </c>
      <c r="D103" s="491"/>
      <c r="E103" s="508"/>
      <c r="F103" s="491"/>
      <c r="G103" s="492"/>
      <c r="H103" s="492"/>
      <c r="I103" s="492"/>
      <c r="J103" s="492"/>
      <c r="K103" s="508"/>
      <c r="L103" s="515"/>
      <c r="M103" s="450"/>
      <c r="N103" s="450"/>
    </row>
    <row r="104" spans="1:14">
      <c r="A104" s="5"/>
      <c r="B104" s="249"/>
      <c r="C104" s="384" t="str">
        <f ca="1">+'R4 Variations'!C104</f>
        <v>Step Change</v>
      </c>
      <c r="D104" s="491">
        <f ca="1">IF(ISNUMBER('R4 Variations'!D104),+'R4 Variations'!D104*LU_Escalation,0)</f>
        <v>0</v>
      </c>
      <c r="E104" s="850">
        <f ca="1">IF(ISNUMBER('R4 Variations'!E104),+'R4 Variations'!E104*LU_Escalation,0)</f>
        <v>0</v>
      </c>
      <c r="F104" s="491">
        <f ca="1">IF(ISNUMBER('R4 Variations'!F104),+'R4 Variations'!F104*LU_Escalation,0)</f>
        <v>0</v>
      </c>
      <c r="G104" s="491">
        <f ca="1">IF(ISNUMBER('R4 Variations'!G104),+'R4 Variations'!G104*LU_Escalation,0)</f>
        <v>0</v>
      </c>
      <c r="H104" s="491">
        <f ca="1">IF(ISNUMBER('R4 Variations'!H104),+'R4 Variations'!H104*LU_Escalation,0)</f>
        <v>0</v>
      </c>
      <c r="I104" s="491">
        <f ca="1">IF(ISNUMBER('R4 Variations'!I104),+'R4 Variations'!I104*LU_Escalation,0)</f>
        <v>0</v>
      </c>
      <c r="J104" s="491">
        <f ca="1">IF(ISNUMBER('R4 Variations'!J104),+'R4 Variations'!J104*LU_Escalation,0)</f>
        <v>0</v>
      </c>
      <c r="K104" s="491">
        <f ca="1">IF(ISNUMBER('R4 Variations'!K104),+'R4 Variations'!K104*LU_Escalation,0)</f>
        <v>0</v>
      </c>
      <c r="L104" s="515" t="str">
        <f ca="1">+'R4 Variations'!L104</f>
        <v>Proposal Step Change</v>
      </c>
      <c r="M104" s="450" t="str">
        <f ca="1">+'R4 Variations'!M104</f>
        <v>Refer Opex Workings</v>
      </c>
      <c r="N104" s="450" t="str">
        <f ca="1">+'R4 Variations'!N104</f>
        <v>Proposal, October 2014</v>
      </c>
    </row>
    <row r="105" spans="1:14">
      <c r="A105" s="5"/>
      <c r="B105" s="249"/>
      <c r="C105" s="593"/>
      <c r="D105" s="594"/>
      <c r="E105" s="851"/>
      <c r="F105" s="594"/>
      <c r="G105" s="594"/>
      <c r="H105" s="594"/>
      <c r="I105" s="594"/>
      <c r="J105" s="594"/>
      <c r="K105" s="594"/>
      <c r="L105" s="595"/>
      <c r="M105" s="596"/>
      <c r="N105" s="596"/>
    </row>
    <row r="106" spans="1:14">
      <c r="A106" s="5"/>
      <c r="B106" s="249"/>
      <c r="C106" s="593"/>
      <c r="D106" s="594"/>
      <c r="E106" s="851"/>
      <c r="F106" s="594"/>
      <c r="G106" s="594"/>
      <c r="H106" s="594"/>
      <c r="I106" s="594"/>
      <c r="J106" s="594"/>
      <c r="K106" s="594"/>
      <c r="L106" s="595"/>
      <c r="M106" s="596"/>
      <c r="N106" s="596"/>
    </row>
    <row r="107" spans="1:14">
      <c r="A107" s="5"/>
      <c r="B107" s="249"/>
      <c r="C107" s="593"/>
      <c r="D107" s="594"/>
      <c r="E107" s="851"/>
      <c r="F107" s="594"/>
      <c r="G107" s="594"/>
      <c r="H107" s="594"/>
      <c r="I107" s="594"/>
      <c r="J107" s="594"/>
      <c r="K107" s="594"/>
      <c r="L107" s="595"/>
      <c r="M107" s="596"/>
      <c r="N107" s="596"/>
    </row>
    <row r="108" spans="1:14">
      <c r="A108" s="5"/>
      <c r="B108" s="249"/>
      <c r="C108" s="593"/>
      <c r="D108" s="594"/>
      <c r="E108" s="851"/>
      <c r="F108" s="594"/>
      <c r="G108" s="594"/>
      <c r="H108" s="594"/>
      <c r="I108" s="594"/>
      <c r="J108" s="594"/>
      <c r="K108" s="594"/>
      <c r="L108" s="595"/>
      <c r="M108" s="596"/>
      <c r="N108" s="596"/>
    </row>
    <row r="109" spans="1:14">
      <c r="A109" s="5"/>
      <c r="B109" s="249"/>
      <c r="C109" s="593"/>
      <c r="D109" s="594"/>
      <c r="E109" s="851"/>
      <c r="F109" s="594"/>
      <c r="G109" s="594"/>
      <c r="H109" s="594"/>
      <c r="I109" s="594"/>
      <c r="J109" s="594"/>
      <c r="K109" s="594"/>
      <c r="L109" s="595"/>
      <c r="M109" s="596"/>
      <c r="N109" s="596"/>
    </row>
    <row r="110" spans="1:14">
      <c r="A110" s="5"/>
      <c r="B110" s="249"/>
      <c r="C110" s="593"/>
      <c r="D110" s="594"/>
      <c r="E110" s="851"/>
      <c r="F110" s="594"/>
      <c r="G110" s="594"/>
      <c r="H110" s="594"/>
      <c r="I110" s="594"/>
      <c r="J110" s="594"/>
      <c r="K110" s="594"/>
      <c r="L110" s="595"/>
      <c r="M110" s="596"/>
      <c r="N110" s="596"/>
    </row>
    <row r="111" spans="1:14">
      <c r="A111" s="5"/>
      <c r="B111" s="249"/>
      <c r="C111" s="593"/>
      <c r="D111" s="594"/>
      <c r="E111" s="851"/>
      <c r="F111" s="594"/>
      <c r="G111" s="594"/>
      <c r="H111" s="594"/>
      <c r="I111" s="594"/>
      <c r="J111" s="594"/>
      <c r="K111" s="594"/>
      <c r="L111" s="595"/>
      <c r="M111" s="596"/>
      <c r="N111" s="596"/>
    </row>
    <row r="112" spans="1:14">
      <c r="A112" s="5"/>
      <c r="B112" s="249"/>
      <c r="C112" s="593"/>
      <c r="D112" s="594"/>
      <c r="E112" s="851"/>
      <c r="F112" s="594"/>
      <c r="G112" s="594"/>
      <c r="H112" s="594"/>
      <c r="I112" s="594"/>
      <c r="J112" s="594"/>
      <c r="K112" s="594"/>
      <c r="L112" s="595"/>
      <c r="M112" s="596"/>
      <c r="N112" s="596"/>
    </row>
    <row r="113" spans="1:14">
      <c r="A113" s="5"/>
      <c r="B113" s="249"/>
      <c r="C113" s="593"/>
      <c r="D113" s="594"/>
      <c r="E113" s="851"/>
      <c r="F113" s="594"/>
      <c r="G113" s="594"/>
      <c r="H113" s="594"/>
      <c r="I113" s="594"/>
      <c r="J113" s="594"/>
      <c r="K113" s="594"/>
      <c r="L113" s="595"/>
      <c r="M113" s="596"/>
      <c r="N113" s="596"/>
    </row>
    <row r="114" spans="1:14">
      <c r="A114" s="5"/>
      <c r="B114" s="249"/>
      <c r="C114" s="12"/>
      <c r="D114" s="491"/>
      <c r="E114" s="508"/>
      <c r="F114" s="491"/>
      <c r="G114" s="492"/>
      <c r="H114" s="492"/>
      <c r="I114" s="492"/>
      <c r="J114" s="492"/>
      <c r="K114" s="508"/>
      <c r="L114" s="515"/>
      <c r="M114" s="450"/>
      <c r="N114" s="450"/>
    </row>
    <row r="115" spans="1:14">
      <c r="A115" s="5"/>
      <c r="B115" s="249" t="str">
        <f ca="1">+'I-4 History'!B88</f>
        <v>DA-10</v>
      </c>
      <c r="C115" s="14" t="str">
        <f ca="1">+'I-4 History'!C88</f>
        <v>Regulatory Compliance</v>
      </c>
      <c r="D115" s="491"/>
      <c r="E115" s="508"/>
      <c r="F115" s="491"/>
      <c r="G115" s="492"/>
      <c r="H115" s="492"/>
      <c r="I115" s="492"/>
      <c r="J115" s="492"/>
      <c r="K115" s="508"/>
      <c r="L115" s="515"/>
      <c r="M115" s="450"/>
      <c r="N115" s="450"/>
    </row>
    <row r="116" spans="1:14">
      <c r="A116" s="5"/>
      <c r="B116" s="249"/>
      <c r="C116" s="384" t="str">
        <f ca="1">+'R4 Variations'!C116</f>
        <v>Step Change</v>
      </c>
      <c r="D116" s="491">
        <f ca="1">IF(ISNUMBER('R4 Variations'!D116),+'R4 Variations'!D116*LU_Escalation,0)</f>
        <v>0</v>
      </c>
      <c r="E116" s="850">
        <f ca="1">IF(ISNUMBER('R4 Variations'!E116),+'R4 Variations'!E116*LU_Escalation,0)</f>
        <v>0</v>
      </c>
      <c r="F116" s="491">
        <f ca="1">IF(ISNUMBER('R4 Variations'!F116),+'R4 Variations'!F116*LU_Escalation,0)</f>
        <v>0</v>
      </c>
      <c r="G116" s="491">
        <f ca="1">IF(ISNUMBER('R4 Variations'!G116),+'R4 Variations'!G116*LU_Escalation,0)</f>
        <v>0</v>
      </c>
      <c r="H116" s="491">
        <f ca="1">IF(ISNUMBER('R4 Variations'!H116),+'R4 Variations'!H116*LU_Escalation,0)</f>
        <v>0</v>
      </c>
      <c r="I116" s="491">
        <f ca="1">IF(ISNUMBER('R4 Variations'!I116),+'R4 Variations'!I116*LU_Escalation,0)</f>
        <v>0</v>
      </c>
      <c r="J116" s="491">
        <f ca="1">IF(ISNUMBER('R4 Variations'!J116),+'R4 Variations'!J116*LU_Escalation,0)</f>
        <v>0</v>
      </c>
      <c r="K116" s="491">
        <f ca="1">IF(ISNUMBER('R4 Variations'!K116),+'R4 Variations'!K116*LU_Escalation,0)</f>
        <v>0</v>
      </c>
      <c r="L116" s="515" t="str">
        <f ca="1">+'R4 Variations'!L116</f>
        <v>Proposal Step Change</v>
      </c>
      <c r="M116" s="450" t="str">
        <f ca="1">+'R4 Variations'!M116</f>
        <v>Refer Opex Workings</v>
      </c>
      <c r="N116" s="450" t="str">
        <f ca="1">+'R4 Variations'!N116</f>
        <v>Proposal, October 2014</v>
      </c>
    </row>
    <row r="117" spans="1:14">
      <c r="A117" s="5"/>
      <c r="B117" s="249"/>
      <c r="C117" s="384" t="str">
        <f ca="1">+'R4 Variations'!C117</f>
        <v/>
      </c>
      <c r="D117" s="491">
        <f ca="1">IF(ISNUMBER('R4 Variations'!D117),+'R4 Variations'!D117*LU_Escalation,0)</f>
        <v>0</v>
      </c>
      <c r="E117" s="850">
        <f ca="1">IF(ISNUMBER('R4 Variations'!E117),+'R4 Variations'!E117*LU_Escalation,0)</f>
        <v>0</v>
      </c>
      <c r="F117" s="491">
        <f ca="1">IF(ISNUMBER('R4 Variations'!F117),+'R4 Variations'!F117*LU_Escalation,0)</f>
        <v>0</v>
      </c>
      <c r="G117" s="491">
        <f ca="1">IF(ISNUMBER('R4 Variations'!G117),+'R4 Variations'!G117*LU_Escalation,0)</f>
        <v>0</v>
      </c>
      <c r="H117" s="491">
        <f ca="1">IF(ISNUMBER('R4 Variations'!H117),+'R4 Variations'!H117*LU_Escalation,0)</f>
        <v>0</v>
      </c>
      <c r="I117" s="491">
        <f ca="1">IF(ISNUMBER('R4 Variations'!I117),+'R4 Variations'!I117*LU_Escalation,0)</f>
        <v>0</v>
      </c>
      <c r="J117" s="491">
        <f ca="1">IF(ISNUMBER('R4 Variations'!J117),+'R4 Variations'!J117*LU_Escalation,0)</f>
        <v>0</v>
      </c>
      <c r="K117" s="491">
        <f ca="1">IF(ISNUMBER('R4 Variations'!K117),+'R4 Variations'!K117*LU_Escalation,0)</f>
        <v>0</v>
      </c>
      <c r="L117" s="515" t="str">
        <f ca="1">+'R4 Variations'!L117</f>
        <v/>
      </c>
      <c r="M117" s="450" t="str">
        <f ca="1">+'R4 Variations'!M117</f>
        <v/>
      </c>
      <c r="N117" s="450" t="str">
        <f ca="1">+'R4 Variations'!N117</f>
        <v/>
      </c>
    </row>
    <row r="118" spans="1:14">
      <c r="A118" s="5"/>
      <c r="B118" s="249"/>
      <c r="C118" s="384" t="str">
        <f ca="1">+'R4 Variations'!C118</f>
        <v/>
      </c>
      <c r="D118" s="491">
        <f ca="1">IF(ISNUMBER('R4 Variations'!D118),+'R4 Variations'!D118*LU_Escalation,0)</f>
        <v>0</v>
      </c>
      <c r="E118" s="850">
        <f ca="1">IF(ISNUMBER('R4 Variations'!E118),+'R4 Variations'!E118*LU_Escalation,0)</f>
        <v>0</v>
      </c>
      <c r="F118" s="491">
        <f ca="1">IF(ISNUMBER('R4 Variations'!F118),+'R4 Variations'!F118*LU_Escalation,0)</f>
        <v>0</v>
      </c>
      <c r="G118" s="491">
        <f ca="1">IF(ISNUMBER('R4 Variations'!G118),+'R4 Variations'!G118*LU_Escalation,0)</f>
        <v>0</v>
      </c>
      <c r="H118" s="491">
        <f ca="1">IF(ISNUMBER('R4 Variations'!H118),+'R4 Variations'!H118*LU_Escalation,0)</f>
        <v>0</v>
      </c>
      <c r="I118" s="491">
        <f ca="1">IF(ISNUMBER('R4 Variations'!I118),+'R4 Variations'!I118*LU_Escalation,0)</f>
        <v>0</v>
      </c>
      <c r="J118" s="491">
        <f ca="1">IF(ISNUMBER('R4 Variations'!J118),+'R4 Variations'!J118*LU_Escalation,0)</f>
        <v>0</v>
      </c>
      <c r="K118" s="491">
        <f ca="1">IF(ISNUMBER('R4 Variations'!K118),+'R4 Variations'!K118*LU_Escalation,0)</f>
        <v>0</v>
      </c>
      <c r="L118" s="515" t="str">
        <f ca="1">+'R4 Variations'!L118</f>
        <v/>
      </c>
      <c r="M118" s="450" t="str">
        <f ca="1">+'R4 Variations'!M118</f>
        <v/>
      </c>
      <c r="N118" s="450" t="str">
        <f ca="1">+'R4 Variations'!N118</f>
        <v/>
      </c>
    </row>
    <row r="119" spans="1:14">
      <c r="A119" s="5"/>
      <c r="B119" s="249"/>
      <c r="C119" s="384" t="str">
        <f ca="1">+'R4 Variations'!C119</f>
        <v/>
      </c>
      <c r="D119" s="491">
        <f ca="1">IF(ISNUMBER('R4 Variations'!D119),+'R4 Variations'!D119*LU_Escalation,0)</f>
        <v>0</v>
      </c>
      <c r="E119" s="850">
        <f ca="1">IF(ISNUMBER('R4 Variations'!E119),+'R4 Variations'!E119*LU_Escalation,0)</f>
        <v>0</v>
      </c>
      <c r="F119" s="491">
        <f ca="1">IF(ISNUMBER('R4 Variations'!F119),+'R4 Variations'!F119*LU_Escalation,0)</f>
        <v>0</v>
      </c>
      <c r="G119" s="491">
        <f ca="1">IF(ISNUMBER('R4 Variations'!G119),+'R4 Variations'!G119*LU_Escalation,0)</f>
        <v>0</v>
      </c>
      <c r="H119" s="491">
        <f ca="1">IF(ISNUMBER('R4 Variations'!H119),+'R4 Variations'!H119*LU_Escalation,0)</f>
        <v>0</v>
      </c>
      <c r="I119" s="491">
        <f ca="1">IF(ISNUMBER('R4 Variations'!I119),+'R4 Variations'!I119*LU_Escalation,0)</f>
        <v>0</v>
      </c>
      <c r="J119" s="491">
        <f ca="1">IF(ISNUMBER('R4 Variations'!J119),+'R4 Variations'!J119*LU_Escalation,0)</f>
        <v>0</v>
      </c>
      <c r="K119" s="491">
        <f ca="1">IF(ISNUMBER('R4 Variations'!K119),+'R4 Variations'!K119*LU_Escalation,0)</f>
        <v>0</v>
      </c>
      <c r="L119" s="515" t="str">
        <f ca="1">+'R4 Variations'!L119</f>
        <v/>
      </c>
      <c r="M119" s="450" t="str">
        <f ca="1">+'R4 Variations'!M119</f>
        <v/>
      </c>
      <c r="N119" s="450" t="str">
        <f ca="1">+'R4 Variations'!N119</f>
        <v/>
      </c>
    </row>
    <row r="120" spans="1:14">
      <c r="A120" s="5"/>
      <c r="B120" s="249"/>
      <c r="C120" s="384" t="str">
        <f ca="1">+'R4 Variations'!C120</f>
        <v/>
      </c>
      <c r="D120" s="491">
        <f ca="1">IF(ISNUMBER('R4 Variations'!D120),+'R4 Variations'!D120*LU_Escalation,0)</f>
        <v>0</v>
      </c>
      <c r="E120" s="850">
        <f ca="1">IF(ISNUMBER('R4 Variations'!E120),+'R4 Variations'!E120*LU_Escalation,0)</f>
        <v>0</v>
      </c>
      <c r="F120" s="491">
        <f ca="1">IF(ISNUMBER('R4 Variations'!F120),+'R4 Variations'!F120*LU_Escalation,0)</f>
        <v>0</v>
      </c>
      <c r="G120" s="491">
        <f ca="1">IF(ISNUMBER('R4 Variations'!G120),+'R4 Variations'!G120*LU_Escalation,0)</f>
        <v>0</v>
      </c>
      <c r="H120" s="491">
        <f ca="1">IF(ISNUMBER('R4 Variations'!H120),+'R4 Variations'!H120*LU_Escalation,0)</f>
        <v>0</v>
      </c>
      <c r="I120" s="491">
        <f ca="1">IF(ISNUMBER('R4 Variations'!I120),+'R4 Variations'!I120*LU_Escalation,0)</f>
        <v>0</v>
      </c>
      <c r="J120" s="491">
        <f ca="1">IF(ISNUMBER('R4 Variations'!J120),+'R4 Variations'!J120*LU_Escalation,0)</f>
        <v>0</v>
      </c>
      <c r="K120" s="491">
        <f ca="1">IF(ISNUMBER('R4 Variations'!K120),+'R4 Variations'!K120*LU_Escalation,0)</f>
        <v>0</v>
      </c>
      <c r="L120" s="515" t="str">
        <f ca="1">+'R4 Variations'!L120</f>
        <v/>
      </c>
      <c r="M120" s="450" t="str">
        <f ca="1">+'R4 Variations'!M120</f>
        <v/>
      </c>
      <c r="N120" s="450" t="str">
        <f ca="1">+'R4 Variations'!N120</f>
        <v/>
      </c>
    </row>
    <row r="121" spans="1:14">
      <c r="A121" s="5"/>
      <c r="B121" s="249"/>
      <c r="C121" s="384" t="str">
        <f ca="1">+'R4 Variations'!C121</f>
        <v/>
      </c>
      <c r="D121" s="491">
        <f ca="1">IF(ISNUMBER('R4 Variations'!D121),+'R4 Variations'!D121*LU_Escalation,0)</f>
        <v>0</v>
      </c>
      <c r="E121" s="850">
        <f ca="1">IF(ISNUMBER('R4 Variations'!E121),+'R4 Variations'!E121*LU_Escalation,0)</f>
        <v>0</v>
      </c>
      <c r="F121" s="491">
        <f ca="1">IF(ISNUMBER('R4 Variations'!F121),+'R4 Variations'!F121*LU_Escalation,0)</f>
        <v>0</v>
      </c>
      <c r="G121" s="491">
        <f ca="1">IF(ISNUMBER('R4 Variations'!G121),+'R4 Variations'!G121*LU_Escalation,0)</f>
        <v>0</v>
      </c>
      <c r="H121" s="491">
        <f ca="1">IF(ISNUMBER('R4 Variations'!H121),+'R4 Variations'!H121*LU_Escalation,0)</f>
        <v>0</v>
      </c>
      <c r="I121" s="491">
        <f ca="1">IF(ISNUMBER('R4 Variations'!I121),+'R4 Variations'!I121*LU_Escalation,0)</f>
        <v>0</v>
      </c>
      <c r="J121" s="491">
        <f ca="1">IF(ISNUMBER('R4 Variations'!J121),+'R4 Variations'!J121*LU_Escalation,0)</f>
        <v>0</v>
      </c>
      <c r="K121" s="491">
        <f ca="1">IF(ISNUMBER('R4 Variations'!K121),+'R4 Variations'!K121*LU_Escalation,0)</f>
        <v>0</v>
      </c>
      <c r="L121" s="515" t="str">
        <f ca="1">+'R4 Variations'!L121</f>
        <v/>
      </c>
      <c r="M121" s="450" t="str">
        <f ca="1">+'R4 Variations'!M121</f>
        <v/>
      </c>
      <c r="N121" s="450" t="str">
        <f ca="1">+'R4 Variations'!N121</f>
        <v/>
      </c>
    </row>
    <row r="122" spans="1:14">
      <c r="A122" s="5"/>
      <c r="B122" s="249"/>
      <c r="C122" s="384" t="str">
        <f ca="1">+'R4 Variations'!C122</f>
        <v/>
      </c>
      <c r="D122" s="491">
        <f ca="1">IF(ISNUMBER('R4 Variations'!D122),+'R4 Variations'!D122*LU_Escalation,0)</f>
        <v>0</v>
      </c>
      <c r="E122" s="850">
        <f ca="1">IF(ISNUMBER('R4 Variations'!E122),+'R4 Variations'!E122*LU_Escalation,0)</f>
        <v>0</v>
      </c>
      <c r="F122" s="491">
        <f ca="1">IF(ISNUMBER('R4 Variations'!F122),+'R4 Variations'!F122*LU_Escalation,0)</f>
        <v>0</v>
      </c>
      <c r="G122" s="491">
        <f ca="1">IF(ISNUMBER('R4 Variations'!G122),+'R4 Variations'!G122*LU_Escalation,0)</f>
        <v>0</v>
      </c>
      <c r="H122" s="491">
        <f ca="1">IF(ISNUMBER('R4 Variations'!H122),+'R4 Variations'!H122*LU_Escalation,0)</f>
        <v>0</v>
      </c>
      <c r="I122" s="491">
        <f ca="1">IF(ISNUMBER('R4 Variations'!I122),+'R4 Variations'!I122*LU_Escalation,0)</f>
        <v>0</v>
      </c>
      <c r="J122" s="491">
        <f ca="1">IF(ISNUMBER('R4 Variations'!J122),+'R4 Variations'!J122*LU_Escalation,0)</f>
        <v>0</v>
      </c>
      <c r="K122" s="491">
        <f ca="1">IF(ISNUMBER('R4 Variations'!K122),+'R4 Variations'!K122*LU_Escalation,0)</f>
        <v>0</v>
      </c>
      <c r="L122" s="515" t="str">
        <f ca="1">+'R4 Variations'!L122</f>
        <v/>
      </c>
      <c r="M122" s="450" t="str">
        <f ca="1">+'R4 Variations'!M122</f>
        <v/>
      </c>
      <c r="N122" s="450" t="str">
        <f ca="1">+'R4 Variations'!N122</f>
        <v/>
      </c>
    </row>
    <row r="123" spans="1:14">
      <c r="A123" s="5"/>
      <c r="B123" s="249"/>
      <c r="C123" s="384" t="str">
        <f ca="1">+'R4 Variations'!C123</f>
        <v/>
      </c>
      <c r="D123" s="491">
        <f ca="1">IF(ISNUMBER('R4 Variations'!D123),+'R4 Variations'!D123*LU_Escalation,0)</f>
        <v>0</v>
      </c>
      <c r="E123" s="850">
        <f ca="1">IF(ISNUMBER('R4 Variations'!E123),+'R4 Variations'!E123*LU_Escalation,0)</f>
        <v>0</v>
      </c>
      <c r="F123" s="491">
        <f ca="1">IF(ISNUMBER('R4 Variations'!F123),+'R4 Variations'!F123*LU_Escalation,0)</f>
        <v>0</v>
      </c>
      <c r="G123" s="491">
        <f ca="1">IF(ISNUMBER('R4 Variations'!G123),+'R4 Variations'!G123*LU_Escalation,0)</f>
        <v>0</v>
      </c>
      <c r="H123" s="491">
        <f ca="1">IF(ISNUMBER('R4 Variations'!H123),+'R4 Variations'!H123*LU_Escalation,0)</f>
        <v>0</v>
      </c>
      <c r="I123" s="491">
        <f ca="1">IF(ISNUMBER('R4 Variations'!I123),+'R4 Variations'!I123*LU_Escalation,0)</f>
        <v>0</v>
      </c>
      <c r="J123" s="491">
        <f ca="1">IF(ISNUMBER('R4 Variations'!J123),+'R4 Variations'!J123*LU_Escalation,0)</f>
        <v>0</v>
      </c>
      <c r="K123" s="491">
        <f ca="1">IF(ISNUMBER('R4 Variations'!K123),+'R4 Variations'!K123*LU_Escalation,0)</f>
        <v>0</v>
      </c>
      <c r="L123" s="515" t="str">
        <f ca="1">+'R4 Variations'!L123</f>
        <v/>
      </c>
      <c r="M123" s="450" t="str">
        <f ca="1">+'R4 Variations'!M123</f>
        <v/>
      </c>
      <c r="N123" s="450" t="str">
        <f ca="1">+'R4 Variations'!N123</f>
        <v/>
      </c>
    </row>
    <row r="124" spans="1:14">
      <c r="A124" s="5"/>
      <c r="B124" s="249"/>
      <c r="C124" s="384" t="str">
        <f ca="1">+'R4 Variations'!C124</f>
        <v/>
      </c>
      <c r="D124" s="491">
        <f ca="1">IF(ISNUMBER('R4 Variations'!D124),+'R4 Variations'!D124*LU_Escalation,0)</f>
        <v>0</v>
      </c>
      <c r="E124" s="850">
        <f ca="1">IF(ISNUMBER('R4 Variations'!E124),+'R4 Variations'!E124*LU_Escalation,0)</f>
        <v>0</v>
      </c>
      <c r="F124" s="491">
        <f ca="1">IF(ISNUMBER('R4 Variations'!F124),+'R4 Variations'!F124*LU_Escalation,0)</f>
        <v>0</v>
      </c>
      <c r="G124" s="491">
        <f ca="1">IF(ISNUMBER('R4 Variations'!G124),+'R4 Variations'!G124*LU_Escalation,0)</f>
        <v>0</v>
      </c>
      <c r="H124" s="491">
        <f ca="1">IF(ISNUMBER('R4 Variations'!H124),+'R4 Variations'!H124*LU_Escalation,0)</f>
        <v>0</v>
      </c>
      <c r="I124" s="491">
        <f ca="1">IF(ISNUMBER('R4 Variations'!I124),+'R4 Variations'!I124*LU_Escalation,0)</f>
        <v>0</v>
      </c>
      <c r="J124" s="491">
        <f ca="1">IF(ISNUMBER('R4 Variations'!J124),+'R4 Variations'!J124*LU_Escalation,0)</f>
        <v>0</v>
      </c>
      <c r="K124" s="491">
        <f ca="1">IF(ISNUMBER('R4 Variations'!K124),+'R4 Variations'!K124*LU_Escalation,0)</f>
        <v>0</v>
      </c>
      <c r="L124" s="515" t="str">
        <f ca="1">+'R4 Variations'!L124</f>
        <v/>
      </c>
      <c r="M124" s="450" t="str">
        <f ca="1">+'R4 Variations'!M124</f>
        <v/>
      </c>
      <c r="N124" s="450" t="str">
        <f ca="1">+'R4 Variations'!N124</f>
        <v/>
      </c>
    </row>
    <row r="125" spans="1:14">
      <c r="A125" s="5"/>
      <c r="B125" s="249"/>
      <c r="C125" s="384" t="str">
        <f ca="1">+'R4 Variations'!C125</f>
        <v/>
      </c>
      <c r="D125" s="491">
        <f ca="1">IF(ISNUMBER('R4 Variations'!D125),+'R4 Variations'!D125*LU_Escalation,0)</f>
        <v>0</v>
      </c>
      <c r="E125" s="850">
        <f ca="1">IF(ISNUMBER('R4 Variations'!E125),+'R4 Variations'!E125*LU_Escalation,0)</f>
        <v>0</v>
      </c>
      <c r="F125" s="491">
        <f ca="1">IF(ISNUMBER('R4 Variations'!F125),+'R4 Variations'!F125*LU_Escalation,0)</f>
        <v>0</v>
      </c>
      <c r="G125" s="491">
        <f ca="1">IF(ISNUMBER('R4 Variations'!G125),+'R4 Variations'!G125*LU_Escalation,0)</f>
        <v>0</v>
      </c>
      <c r="H125" s="491">
        <f ca="1">IF(ISNUMBER('R4 Variations'!H125),+'R4 Variations'!H125*LU_Escalation,0)</f>
        <v>0</v>
      </c>
      <c r="I125" s="491">
        <f ca="1">IF(ISNUMBER('R4 Variations'!I125),+'R4 Variations'!I125*LU_Escalation,0)</f>
        <v>0</v>
      </c>
      <c r="J125" s="491">
        <f ca="1">IF(ISNUMBER('R4 Variations'!J125),+'R4 Variations'!J125*LU_Escalation,0)</f>
        <v>0</v>
      </c>
      <c r="K125" s="491">
        <f ca="1">IF(ISNUMBER('R4 Variations'!K125),+'R4 Variations'!K125*LU_Escalation,0)</f>
        <v>0</v>
      </c>
      <c r="L125" s="515" t="str">
        <f ca="1">+'R4 Variations'!L125</f>
        <v/>
      </c>
      <c r="M125" s="450" t="str">
        <f ca="1">+'R4 Variations'!M125</f>
        <v/>
      </c>
      <c r="N125" s="450" t="str">
        <f ca="1">+'R4 Variations'!N125</f>
        <v/>
      </c>
    </row>
    <row r="126" spans="1:14">
      <c r="A126" s="5"/>
      <c r="B126" s="249"/>
      <c r="C126" s="12"/>
      <c r="D126" s="491"/>
      <c r="E126" s="508"/>
      <c r="F126" s="491"/>
      <c r="G126" s="492"/>
      <c r="H126" s="492"/>
      <c r="I126" s="492"/>
      <c r="J126" s="492"/>
      <c r="K126" s="508"/>
      <c r="L126" s="515"/>
      <c r="M126" s="450"/>
      <c r="N126" s="450"/>
    </row>
    <row r="127" spans="1:14" ht="13.5" thickBot="1">
      <c r="A127" s="5"/>
      <c r="B127" s="250"/>
      <c r="C127" s="269" t="s">
        <v>270</v>
      </c>
      <c r="D127" s="486">
        <f t="shared" ref="D127:K127" ca="1" si="0">SUBTOTAL(9,D8:D125)</f>
        <v>0</v>
      </c>
      <c r="E127" s="511">
        <f t="shared" ca="1" si="0"/>
        <v>0</v>
      </c>
      <c r="F127" s="486">
        <f t="shared" ca="1" si="0"/>
        <v>6.5000000000000002E-2</v>
      </c>
      <c r="G127" s="486">
        <f t="shared" ca="1" si="0"/>
        <v>-0.33079384615384611</v>
      </c>
      <c r="H127" s="486">
        <f t="shared" ca="1" si="0"/>
        <v>6.7936786153846151</v>
      </c>
      <c r="I127" s="486">
        <f t="shared" ca="1" si="0"/>
        <v>1.8865586538461538</v>
      </c>
      <c r="J127" s="486">
        <f t="shared" ca="1" si="0"/>
        <v>1.8865586538461543</v>
      </c>
      <c r="K127" s="511">
        <f t="shared" ca="1" si="0"/>
        <v>1.8875923846153848</v>
      </c>
      <c r="L127" s="515"/>
      <c r="M127" s="450"/>
      <c r="N127" s="450"/>
    </row>
    <row r="128" spans="1:14" ht="18">
      <c r="A128" s="5"/>
      <c r="B128" s="252"/>
      <c r="C128" s="248" t="s">
        <v>168</v>
      </c>
      <c r="D128" s="329"/>
      <c r="E128" s="512"/>
      <c r="F128" s="329"/>
      <c r="G128" s="329"/>
      <c r="H128" s="329"/>
      <c r="I128" s="329"/>
      <c r="J128" s="329"/>
      <c r="K128" s="512"/>
      <c r="L128" s="515"/>
      <c r="M128" s="450"/>
      <c r="N128" s="450"/>
    </row>
    <row r="129" spans="1:14">
      <c r="A129" s="5"/>
      <c r="B129" s="249" t="str">
        <f ca="1">+'I-4 History'!B97</f>
        <v>DA-11</v>
      </c>
      <c r="C129" s="14" t="str">
        <f ca="1">+'I-4 History'!C97</f>
        <v>Outage Management System</v>
      </c>
      <c r="D129" s="328"/>
      <c r="E129" s="509"/>
      <c r="F129" s="328"/>
      <c r="G129" s="328"/>
      <c r="H129" s="328"/>
      <c r="I129" s="328"/>
      <c r="J129" s="328"/>
      <c r="K129" s="509"/>
      <c r="L129" s="515"/>
      <c r="M129" s="450"/>
      <c r="N129" s="450"/>
    </row>
    <row r="130" spans="1:14">
      <c r="A130" s="5"/>
      <c r="B130" s="249"/>
      <c r="C130" s="384" t="str">
        <f ca="1">+'R4 Variations'!C130</f>
        <v>Step Change</v>
      </c>
      <c r="D130" s="491">
        <f ca="1">IF(ISNUMBER('R4 Variations'!D130),+'R4 Variations'!D130*LU_Escalation,0)</f>
        <v>0</v>
      </c>
      <c r="E130" s="850">
        <f ca="1">IF(ISNUMBER('R4 Variations'!E130),+'R4 Variations'!E130*LU_Escalation,0)</f>
        <v>0</v>
      </c>
      <c r="F130" s="491">
        <f ca="1">IF(ISNUMBER('R4 Variations'!F130),+'R4 Variations'!F130*LU_Escalation,0)</f>
        <v>0</v>
      </c>
      <c r="G130" s="491">
        <f ca="1">IF(ISNUMBER('R4 Variations'!G130),+'R4 Variations'!G130*LU_Escalation,0)</f>
        <v>0</v>
      </c>
      <c r="H130" s="491">
        <f ca="1">IF(ISNUMBER('R4 Variations'!H130),+'R4 Variations'!H130*LU_Escalation,0)</f>
        <v>0</v>
      </c>
      <c r="I130" s="491">
        <f ca="1">IF(ISNUMBER('R4 Variations'!I130),+'R4 Variations'!I130*LU_Escalation,0)</f>
        <v>0</v>
      </c>
      <c r="J130" s="491">
        <f ca="1">IF(ISNUMBER('R4 Variations'!J130),+'R4 Variations'!J130*LU_Escalation,0)</f>
        <v>0</v>
      </c>
      <c r="K130" s="491">
        <f ca="1">IF(ISNUMBER('R4 Variations'!K130),+'R4 Variations'!K130*LU_Escalation,0)</f>
        <v>0</v>
      </c>
      <c r="L130" s="515" t="str">
        <f ca="1">+'R4 Variations'!L130</f>
        <v>Proposal Step Change</v>
      </c>
      <c r="M130" s="450" t="str">
        <f ca="1">+'R4 Variations'!M130</f>
        <v>Refer Opex Workings</v>
      </c>
      <c r="N130" s="450" t="str">
        <f ca="1">+'R4 Variations'!N130</f>
        <v>Proposal, October 2014</v>
      </c>
    </row>
    <row r="131" spans="1:14">
      <c r="A131" s="5"/>
      <c r="B131" s="249"/>
      <c r="C131" s="384" t="str">
        <f ca="1">+'R4 Variations'!C131</f>
        <v/>
      </c>
      <c r="D131" s="491">
        <f ca="1">IF(ISNUMBER('R4 Variations'!D131),+'R4 Variations'!D131*LU_Escalation,0)</f>
        <v>0</v>
      </c>
      <c r="E131" s="850">
        <f ca="1">IF(ISNUMBER('R4 Variations'!E131),+'R4 Variations'!E131*LU_Escalation,0)</f>
        <v>0</v>
      </c>
      <c r="F131" s="491">
        <f ca="1">IF(ISNUMBER('R4 Variations'!F131),+'R4 Variations'!F131*LU_Escalation,0)</f>
        <v>0</v>
      </c>
      <c r="G131" s="491">
        <f ca="1">IF(ISNUMBER('R4 Variations'!G131),+'R4 Variations'!G131*LU_Escalation,0)</f>
        <v>0</v>
      </c>
      <c r="H131" s="491">
        <f ca="1">IF(ISNUMBER('R4 Variations'!H131),+'R4 Variations'!H131*LU_Escalation,0)</f>
        <v>0</v>
      </c>
      <c r="I131" s="491">
        <f ca="1">IF(ISNUMBER('R4 Variations'!I131),+'R4 Variations'!I131*LU_Escalation,0)</f>
        <v>0</v>
      </c>
      <c r="J131" s="491">
        <f ca="1">IF(ISNUMBER('R4 Variations'!J131),+'R4 Variations'!J131*LU_Escalation,0)</f>
        <v>0</v>
      </c>
      <c r="K131" s="491">
        <f ca="1">IF(ISNUMBER('R4 Variations'!K131),+'R4 Variations'!K131*LU_Escalation,0)</f>
        <v>0</v>
      </c>
      <c r="L131" s="515" t="str">
        <f ca="1">+'R4 Variations'!L131</f>
        <v/>
      </c>
      <c r="M131" s="450" t="str">
        <f ca="1">+'R4 Variations'!M131</f>
        <v/>
      </c>
      <c r="N131" s="450" t="str">
        <f ca="1">+'R4 Variations'!N131</f>
        <v/>
      </c>
    </row>
    <row r="132" spans="1:14">
      <c r="A132" s="5"/>
      <c r="B132" s="249"/>
      <c r="C132" s="384" t="str">
        <f ca="1">+'R4 Variations'!C132</f>
        <v/>
      </c>
      <c r="D132" s="491">
        <f ca="1">IF(ISNUMBER('R4 Variations'!D132),+'R4 Variations'!D132*LU_Escalation,0)</f>
        <v>0</v>
      </c>
      <c r="E132" s="850">
        <f ca="1">IF(ISNUMBER('R4 Variations'!E132),+'R4 Variations'!E132*LU_Escalation,0)</f>
        <v>0</v>
      </c>
      <c r="F132" s="491">
        <f ca="1">IF(ISNUMBER('R4 Variations'!F132),+'R4 Variations'!F132*LU_Escalation,0)</f>
        <v>0</v>
      </c>
      <c r="G132" s="491">
        <f ca="1">IF(ISNUMBER('R4 Variations'!G132),+'R4 Variations'!G132*LU_Escalation,0)</f>
        <v>0</v>
      </c>
      <c r="H132" s="491">
        <f ca="1">IF(ISNUMBER('R4 Variations'!H132),+'R4 Variations'!H132*LU_Escalation,0)</f>
        <v>0</v>
      </c>
      <c r="I132" s="491">
        <f ca="1">IF(ISNUMBER('R4 Variations'!I132),+'R4 Variations'!I132*LU_Escalation,0)</f>
        <v>0</v>
      </c>
      <c r="J132" s="491">
        <f ca="1">IF(ISNUMBER('R4 Variations'!J132),+'R4 Variations'!J132*LU_Escalation,0)</f>
        <v>0</v>
      </c>
      <c r="K132" s="491">
        <f ca="1">IF(ISNUMBER('R4 Variations'!K132),+'R4 Variations'!K132*LU_Escalation,0)</f>
        <v>0</v>
      </c>
      <c r="L132" s="515" t="str">
        <f ca="1">+'R4 Variations'!L132</f>
        <v/>
      </c>
      <c r="M132" s="450" t="str">
        <f ca="1">+'R4 Variations'!M132</f>
        <v/>
      </c>
      <c r="N132" s="450" t="str">
        <f ca="1">+'R4 Variations'!N132</f>
        <v/>
      </c>
    </row>
    <row r="133" spans="1:14">
      <c r="A133" s="5"/>
      <c r="B133" s="249"/>
      <c r="C133" s="384" t="str">
        <f ca="1">+'R4 Variations'!C133</f>
        <v/>
      </c>
      <c r="D133" s="491">
        <f ca="1">IF(ISNUMBER('R4 Variations'!D133),+'R4 Variations'!D133*LU_Escalation,0)</f>
        <v>0</v>
      </c>
      <c r="E133" s="850">
        <f ca="1">IF(ISNUMBER('R4 Variations'!E133),+'R4 Variations'!E133*LU_Escalation,0)</f>
        <v>0</v>
      </c>
      <c r="F133" s="491">
        <f ca="1">IF(ISNUMBER('R4 Variations'!F133),+'R4 Variations'!F133*LU_Escalation,0)</f>
        <v>0</v>
      </c>
      <c r="G133" s="491">
        <f ca="1">IF(ISNUMBER('R4 Variations'!G133),+'R4 Variations'!G133*LU_Escalation,0)</f>
        <v>0</v>
      </c>
      <c r="H133" s="491">
        <f ca="1">IF(ISNUMBER('R4 Variations'!H133),+'R4 Variations'!H133*LU_Escalation,0)</f>
        <v>0</v>
      </c>
      <c r="I133" s="491">
        <f ca="1">IF(ISNUMBER('R4 Variations'!I133),+'R4 Variations'!I133*LU_Escalation,0)</f>
        <v>0</v>
      </c>
      <c r="J133" s="491">
        <f ca="1">IF(ISNUMBER('R4 Variations'!J133),+'R4 Variations'!J133*LU_Escalation,0)</f>
        <v>0</v>
      </c>
      <c r="K133" s="491">
        <f ca="1">IF(ISNUMBER('R4 Variations'!K133),+'R4 Variations'!K133*LU_Escalation,0)</f>
        <v>0</v>
      </c>
      <c r="L133" s="515" t="str">
        <f ca="1">+'R4 Variations'!L133</f>
        <v/>
      </c>
      <c r="M133" s="450" t="str">
        <f ca="1">+'R4 Variations'!M133</f>
        <v/>
      </c>
      <c r="N133" s="450" t="str">
        <f ca="1">+'R4 Variations'!N133</f>
        <v/>
      </c>
    </row>
    <row r="134" spans="1:14">
      <c r="A134" s="5"/>
      <c r="B134" s="249"/>
      <c r="C134" s="384" t="str">
        <f ca="1">+'R4 Variations'!C134</f>
        <v/>
      </c>
      <c r="D134" s="491">
        <f ca="1">IF(ISNUMBER('R4 Variations'!D134),+'R4 Variations'!D134*LU_Escalation,0)</f>
        <v>0</v>
      </c>
      <c r="E134" s="850">
        <f ca="1">IF(ISNUMBER('R4 Variations'!E134),+'R4 Variations'!E134*LU_Escalation,0)</f>
        <v>0</v>
      </c>
      <c r="F134" s="491">
        <f ca="1">IF(ISNUMBER('R4 Variations'!F134),+'R4 Variations'!F134*LU_Escalation,0)</f>
        <v>0</v>
      </c>
      <c r="G134" s="491">
        <f ca="1">IF(ISNUMBER('R4 Variations'!G134),+'R4 Variations'!G134*LU_Escalation,0)</f>
        <v>0</v>
      </c>
      <c r="H134" s="491">
        <f ca="1">IF(ISNUMBER('R4 Variations'!H134),+'R4 Variations'!H134*LU_Escalation,0)</f>
        <v>0</v>
      </c>
      <c r="I134" s="491">
        <f ca="1">IF(ISNUMBER('R4 Variations'!I134),+'R4 Variations'!I134*LU_Escalation,0)</f>
        <v>0</v>
      </c>
      <c r="J134" s="491">
        <f ca="1">IF(ISNUMBER('R4 Variations'!J134),+'R4 Variations'!J134*LU_Escalation,0)</f>
        <v>0</v>
      </c>
      <c r="K134" s="491">
        <f ca="1">IF(ISNUMBER('R4 Variations'!K134),+'R4 Variations'!K134*LU_Escalation,0)</f>
        <v>0</v>
      </c>
      <c r="L134" s="515" t="str">
        <f ca="1">+'R4 Variations'!L134</f>
        <v/>
      </c>
      <c r="M134" s="450" t="str">
        <f ca="1">+'R4 Variations'!M134</f>
        <v/>
      </c>
      <c r="N134" s="450" t="str">
        <f ca="1">+'R4 Variations'!N134</f>
        <v/>
      </c>
    </row>
    <row r="135" spans="1:14">
      <c r="A135" s="5"/>
      <c r="B135" s="249"/>
      <c r="C135" s="384" t="str">
        <f ca="1">+'R4 Variations'!C135</f>
        <v/>
      </c>
      <c r="D135" s="491">
        <f ca="1">IF(ISNUMBER('R4 Variations'!D135),+'R4 Variations'!D135*LU_Escalation,0)</f>
        <v>0</v>
      </c>
      <c r="E135" s="850">
        <f ca="1">IF(ISNUMBER('R4 Variations'!E135),+'R4 Variations'!E135*LU_Escalation,0)</f>
        <v>0</v>
      </c>
      <c r="F135" s="491">
        <f ca="1">IF(ISNUMBER('R4 Variations'!F135),+'R4 Variations'!F135*LU_Escalation,0)</f>
        <v>0</v>
      </c>
      <c r="G135" s="491">
        <f ca="1">IF(ISNUMBER('R4 Variations'!G135),+'R4 Variations'!G135*LU_Escalation,0)</f>
        <v>0</v>
      </c>
      <c r="H135" s="491">
        <f ca="1">IF(ISNUMBER('R4 Variations'!H135),+'R4 Variations'!H135*LU_Escalation,0)</f>
        <v>0</v>
      </c>
      <c r="I135" s="491">
        <f ca="1">IF(ISNUMBER('R4 Variations'!I135),+'R4 Variations'!I135*LU_Escalation,0)</f>
        <v>0</v>
      </c>
      <c r="J135" s="491">
        <f ca="1">IF(ISNUMBER('R4 Variations'!J135),+'R4 Variations'!J135*LU_Escalation,0)</f>
        <v>0</v>
      </c>
      <c r="K135" s="491">
        <f ca="1">IF(ISNUMBER('R4 Variations'!K135),+'R4 Variations'!K135*LU_Escalation,0)</f>
        <v>0</v>
      </c>
      <c r="L135" s="515" t="str">
        <f ca="1">+'R4 Variations'!L135</f>
        <v/>
      </c>
      <c r="M135" s="450" t="str">
        <f ca="1">+'R4 Variations'!M135</f>
        <v/>
      </c>
      <c r="N135" s="450" t="str">
        <f ca="1">+'R4 Variations'!N135</f>
        <v/>
      </c>
    </row>
    <row r="136" spans="1:14">
      <c r="B136" s="249"/>
      <c r="C136" s="384" t="str">
        <f ca="1">+'R4 Variations'!C136</f>
        <v/>
      </c>
      <c r="D136" s="491">
        <f ca="1">IF(ISNUMBER('R4 Variations'!D136),+'R4 Variations'!D136*LU_Escalation,0)</f>
        <v>0</v>
      </c>
      <c r="E136" s="850">
        <f ca="1">IF(ISNUMBER('R4 Variations'!E136),+'R4 Variations'!E136*LU_Escalation,0)</f>
        <v>0</v>
      </c>
      <c r="F136" s="491">
        <f ca="1">IF(ISNUMBER('R4 Variations'!F136),+'R4 Variations'!F136*LU_Escalation,0)</f>
        <v>0</v>
      </c>
      <c r="G136" s="491">
        <f ca="1">IF(ISNUMBER('R4 Variations'!G136),+'R4 Variations'!G136*LU_Escalation,0)</f>
        <v>0</v>
      </c>
      <c r="H136" s="491">
        <f ca="1">IF(ISNUMBER('R4 Variations'!H136),+'R4 Variations'!H136*LU_Escalation,0)</f>
        <v>0</v>
      </c>
      <c r="I136" s="491">
        <f ca="1">IF(ISNUMBER('R4 Variations'!I136),+'R4 Variations'!I136*LU_Escalation,0)</f>
        <v>0</v>
      </c>
      <c r="J136" s="491">
        <f ca="1">IF(ISNUMBER('R4 Variations'!J136),+'R4 Variations'!J136*LU_Escalation,0)</f>
        <v>0</v>
      </c>
      <c r="K136" s="491">
        <f ca="1">IF(ISNUMBER('R4 Variations'!K136),+'R4 Variations'!K136*LU_Escalation,0)</f>
        <v>0</v>
      </c>
      <c r="L136" s="515" t="str">
        <f ca="1">+'R4 Variations'!L136</f>
        <v/>
      </c>
      <c r="M136" s="450" t="str">
        <f ca="1">+'R4 Variations'!M136</f>
        <v/>
      </c>
      <c r="N136" s="450" t="str">
        <f ca="1">+'R4 Variations'!N136</f>
        <v/>
      </c>
    </row>
    <row r="137" spans="1:14">
      <c r="B137" s="249"/>
      <c r="C137" s="384" t="str">
        <f ca="1">+'R4 Variations'!C137</f>
        <v/>
      </c>
      <c r="D137" s="491">
        <f ca="1">IF(ISNUMBER('R4 Variations'!D137),+'R4 Variations'!D137*LU_Escalation,0)</f>
        <v>0</v>
      </c>
      <c r="E137" s="850">
        <f ca="1">IF(ISNUMBER('R4 Variations'!E137),+'R4 Variations'!E137*LU_Escalation,0)</f>
        <v>0</v>
      </c>
      <c r="F137" s="491">
        <f ca="1">IF(ISNUMBER('R4 Variations'!F137),+'R4 Variations'!F137*LU_Escalation,0)</f>
        <v>0</v>
      </c>
      <c r="G137" s="491">
        <f ca="1">IF(ISNUMBER('R4 Variations'!G137),+'R4 Variations'!G137*LU_Escalation,0)</f>
        <v>0</v>
      </c>
      <c r="H137" s="491">
        <f ca="1">IF(ISNUMBER('R4 Variations'!H137),+'R4 Variations'!H137*LU_Escalation,0)</f>
        <v>0</v>
      </c>
      <c r="I137" s="491">
        <f ca="1">IF(ISNUMBER('R4 Variations'!I137),+'R4 Variations'!I137*LU_Escalation,0)</f>
        <v>0</v>
      </c>
      <c r="J137" s="491">
        <f ca="1">IF(ISNUMBER('R4 Variations'!J137),+'R4 Variations'!J137*LU_Escalation,0)</f>
        <v>0</v>
      </c>
      <c r="K137" s="491">
        <f ca="1">IF(ISNUMBER('R4 Variations'!K137),+'R4 Variations'!K137*LU_Escalation,0)</f>
        <v>0</v>
      </c>
      <c r="L137" s="515" t="str">
        <f ca="1">+'R4 Variations'!L137</f>
        <v/>
      </c>
      <c r="M137" s="450" t="str">
        <f ca="1">+'R4 Variations'!M137</f>
        <v/>
      </c>
      <c r="N137" s="450" t="str">
        <f ca="1">+'R4 Variations'!N137</f>
        <v/>
      </c>
    </row>
    <row r="138" spans="1:14">
      <c r="B138" s="249"/>
      <c r="C138" s="384" t="str">
        <f ca="1">+'R4 Variations'!C138</f>
        <v/>
      </c>
      <c r="D138" s="491">
        <f ca="1">IF(ISNUMBER('R4 Variations'!D138),+'R4 Variations'!D138*LU_Escalation,0)</f>
        <v>0</v>
      </c>
      <c r="E138" s="850">
        <f ca="1">IF(ISNUMBER('R4 Variations'!E138),+'R4 Variations'!E138*LU_Escalation,0)</f>
        <v>0</v>
      </c>
      <c r="F138" s="491">
        <f ca="1">IF(ISNUMBER('R4 Variations'!F138),+'R4 Variations'!F138*LU_Escalation,0)</f>
        <v>0</v>
      </c>
      <c r="G138" s="491">
        <f ca="1">IF(ISNUMBER('R4 Variations'!G138),+'R4 Variations'!G138*LU_Escalation,0)</f>
        <v>0</v>
      </c>
      <c r="H138" s="491">
        <f ca="1">IF(ISNUMBER('R4 Variations'!H138),+'R4 Variations'!H138*LU_Escalation,0)</f>
        <v>0</v>
      </c>
      <c r="I138" s="491">
        <f ca="1">IF(ISNUMBER('R4 Variations'!I138),+'R4 Variations'!I138*LU_Escalation,0)</f>
        <v>0</v>
      </c>
      <c r="J138" s="491">
        <f ca="1">IF(ISNUMBER('R4 Variations'!J138),+'R4 Variations'!J138*LU_Escalation,0)</f>
        <v>0</v>
      </c>
      <c r="K138" s="491">
        <f ca="1">IF(ISNUMBER('R4 Variations'!K138),+'R4 Variations'!K138*LU_Escalation,0)</f>
        <v>0</v>
      </c>
      <c r="L138" s="515" t="str">
        <f ca="1">+'R4 Variations'!L138</f>
        <v/>
      </c>
      <c r="M138" s="450" t="str">
        <f ca="1">+'R4 Variations'!M138</f>
        <v/>
      </c>
      <c r="N138" s="450" t="str">
        <f ca="1">+'R4 Variations'!N138</f>
        <v/>
      </c>
    </row>
    <row r="139" spans="1:14">
      <c r="B139" s="249"/>
      <c r="C139" s="384" t="str">
        <f ca="1">+'R4 Variations'!C139</f>
        <v/>
      </c>
      <c r="D139" s="491">
        <f ca="1">IF(ISNUMBER('R4 Variations'!D139),+'R4 Variations'!D139*LU_Escalation,0)</f>
        <v>0</v>
      </c>
      <c r="E139" s="850">
        <f ca="1">IF(ISNUMBER('R4 Variations'!E139),+'R4 Variations'!E139*LU_Escalation,0)</f>
        <v>0</v>
      </c>
      <c r="F139" s="491">
        <f ca="1">IF(ISNUMBER('R4 Variations'!F139),+'R4 Variations'!F139*LU_Escalation,0)</f>
        <v>0</v>
      </c>
      <c r="G139" s="491">
        <f ca="1">IF(ISNUMBER('R4 Variations'!G139),+'R4 Variations'!G139*LU_Escalation,0)</f>
        <v>0</v>
      </c>
      <c r="H139" s="491">
        <f ca="1">IF(ISNUMBER('R4 Variations'!H139),+'R4 Variations'!H139*LU_Escalation,0)</f>
        <v>0</v>
      </c>
      <c r="I139" s="491">
        <f ca="1">IF(ISNUMBER('R4 Variations'!I139),+'R4 Variations'!I139*LU_Escalation,0)</f>
        <v>0</v>
      </c>
      <c r="J139" s="491">
        <f ca="1">IF(ISNUMBER('R4 Variations'!J139),+'R4 Variations'!J139*LU_Escalation,0)</f>
        <v>0</v>
      </c>
      <c r="K139" s="491">
        <f ca="1">IF(ISNUMBER('R4 Variations'!K139),+'R4 Variations'!K139*LU_Escalation,0)</f>
        <v>0</v>
      </c>
      <c r="L139" s="515" t="str">
        <f ca="1">+'R4 Variations'!L139</f>
        <v/>
      </c>
      <c r="M139" s="450" t="str">
        <f ca="1">+'R4 Variations'!M139</f>
        <v/>
      </c>
      <c r="N139" s="450" t="str">
        <f ca="1">+'R4 Variations'!N139</f>
        <v/>
      </c>
    </row>
    <row r="140" spans="1:14">
      <c r="B140" s="249"/>
      <c r="C140" s="12"/>
      <c r="D140" s="491"/>
      <c r="E140" s="508"/>
      <c r="F140" s="491"/>
      <c r="G140" s="492"/>
      <c r="H140" s="492"/>
      <c r="I140" s="492"/>
      <c r="J140" s="492"/>
      <c r="K140" s="508"/>
      <c r="L140" s="515"/>
      <c r="M140" s="450"/>
      <c r="N140" s="450"/>
    </row>
    <row r="141" spans="1:14">
      <c r="A141" s="5"/>
      <c r="B141" s="249" t="str">
        <f ca="1">+'I-4 History'!B106</f>
        <v>DA-12</v>
      </c>
      <c r="C141" s="14" t="str">
        <f ca="1">+'I-4 History'!C106</f>
        <v>Asset Assessment</v>
      </c>
      <c r="D141" s="491"/>
      <c r="E141" s="508"/>
      <c r="F141" s="491"/>
      <c r="G141" s="492"/>
      <c r="H141" s="492"/>
      <c r="I141" s="492"/>
      <c r="J141" s="492"/>
      <c r="K141" s="508"/>
      <c r="L141" s="515"/>
      <c r="M141" s="450"/>
      <c r="N141" s="450"/>
    </row>
    <row r="142" spans="1:14">
      <c r="A142" s="5"/>
      <c r="B142" s="249"/>
      <c r="C142" s="384" t="str">
        <f ca="1">+'R4 Variations'!C142</f>
        <v>Step Change</v>
      </c>
      <c r="D142" s="491">
        <f ca="1">IF(ISNUMBER('R4 Variations'!D142),+'R4 Variations'!D142*LU_Escalation,0)</f>
        <v>0</v>
      </c>
      <c r="E142" s="850">
        <f ca="1">IF(ISNUMBER('R4 Variations'!E142),+'R4 Variations'!E142*LU_Escalation,0)</f>
        <v>0</v>
      </c>
      <c r="F142" s="491">
        <f ca="1">IF(ISNUMBER('R4 Variations'!F142),+'R4 Variations'!F142*LU_Escalation,0)</f>
        <v>2.226656076923077</v>
      </c>
      <c r="G142" s="491">
        <f ca="1">IF(ISNUMBER('R4 Variations'!G142),+'R4 Variations'!G142*LU_Escalation,0)</f>
        <v>7.6196295000000012</v>
      </c>
      <c r="H142" s="491">
        <f ca="1">IF(ISNUMBER('R4 Variations'!H142),+'R4 Variations'!H142*LU_Escalation,0)</f>
        <v>7.8987368076923099</v>
      </c>
      <c r="I142" s="491">
        <f ca="1">IF(ISNUMBER('R4 Variations'!I142),+'R4 Variations'!I142*LU_Escalation,0)</f>
        <v>7.9710979615384625</v>
      </c>
      <c r="J142" s="491">
        <f ca="1">IF(ISNUMBER('R4 Variations'!J142),+'R4 Variations'!J142*LU_Escalation,0)</f>
        <v>8.0031436153846176</v>
      </c>
      <c r="K142" s="491">
        <f ca="1">IF(ISNUMBER('R4 Variations'!K142),+'R4 Variations'!K142*LU_Escalation,0)</f>
        <v>6.1310571923076935</v>
      </c>
      <c r="L142" s="515" t="str">
        <f ca="1">+'R4 Variations'!L142</f>
        <v>Proposal Step Change</v>
      </c>
      <c r="M142" s="450" t="str">
        <f ca="1">+'R4 Variations'!M142</f>
        <v>Refer Opex Workings</v>
      </c>
      <c r="N142" s="450" t="str">
        <f ca="1">+'R4 Variations'!N142</f>
        <v>Proposal, October 2014</v>
      </c>
    </row>
    <row r="143" spans="1:14">
      <c r="A143" s="5"/>
      <c r="B143" s="249"/>
      <c r="C143" s="384" t="str">
        <f ca="1">+'R4 Variations'!C143</f>
        <v/>
      </c>
      <c r="D143" s="491">
        <f ca="1">IF(ISNUMBER('R4 Variations'!D143),+'R4 Variations'!D143*LU_Escalation,0)</f>
        <v>0</v>
      </c>
      <c r="E143" s="850">
        <f ca="1">IF(ISNUMBER('R4 Variations'!E143),+'R4 Variations'!E143*LU_Escalation,0)</f>
        <v>0</v>
      </c>
      <c r="F143" s="491">
        <f ca="1">IF(ISNUMBER('R4 Variations'!F143),+'R4 Variations'!F143*LU_Escalation,0)</f>
        <v>0</v>
      </c>
      <c r="G143" s="491">
        <f ca="1">IF(ISNUMBER('R4 Variations'!G143),+'R4 Variations'!G143*LU_Escalation,0)</f>
        <v>0</v>
      </c>
      <c r="H143" s="491">
        <f ca="1">IF(ISNUMBER('R4 Variations'!H143),+'R4 Variations'!H143*LU_Escalation,0)</f>
        <v>0</v>
      </c>
      <c r="I143" s="491">
        <f ca="1">IF(ISNUMBER('R4 Variations'!I143),+'R4 Variations'!I143*LU_Escalation,0)</f>
        <v>0</v>
      </c>
      <c r="J143" s="491">
        <f ca="1">IF(ISNUMBER('R4 Variations'!J143),+'R4 Variations'!J143*LU_Escalation,0)</f>
        <v>0</v>
      </c>
      <c r="K143" s="491">
        <f ca="1">IF(ISNUMBER('R4 Variations'!K143),+'R4 Variations'!K143*LU_Escalation,0)</f>
        <v>0</v>
      </c>
      <c r="L143" s="515" t="str">
        <f ca="1">+'R4 Variations'!L143</f>
        <v/>
      </c>
      <c r="M143" s="450" t="str">
        <f ca="1">+'R4 Variations'!M143</f>
        <v/>
      </c>
      <c r="N143" s="450" t="str">
        <f ca="1">+'R4 Variations'!N143</f>
        <v/>
      </c>
    </row>
    <row r="144" spans="1:14">
      <c r="A144" s="5"/>
      <c r="B144" s="249"/>
      <c r="C144" s="384" t="str">
        <f ca="1">+'R4 Variations'!C144</f>
        <v/>
      </c>
      <c r="D144" s="491">
        <f ca="1">IF(ISNUMBER('R4 Variations'!D144),+'R4 Variations'!D144*LU_Escalation,0)</f>
        <v>0</v>
      </c>
      <c r="E144" s="850">
        <f ca="1">IF(ISNUMBER('R4 Variations'!E144),+'R4 Variations'!E144*LU_Escalation,0)</f>
        <v>0</v>
      </c>
      <c r="F144" s="491">
        <f ca="1">IF(ISNUMBER('R4 Variations'!F144),+'R4 Variations'!F144*LU_Escalation,0)</f>
        <v>0</v>
      </c>
      <c r="G144" s="491">
        <f ca="1">IF(ISNUMBER('R4 Variations'!G144),+'R4 Variations'!G144*LU_Escalation,0)</f>
        <v>0</v>
      </c>
      <c r="H144" s="491">
        <f ca="1">IF(ISNUMBER('R4 Variations'!H144),+'R4 Variations'!H144*LU_Escalation,0)</f>
        <v>0</v>
      </c>
      <c r="I144" s="491">
        <f ca="1">IF(ISNUMBER('R4 Variations'!I144),+'R4 Variations'!I144*LU_Escalation,0)</f>
        <v>0</v>
      </c>
      <c r="J144" s="491">
        <f ca="1">IF(ISNUMBER('R4 Variations'!J144),+'R4 Variations'!J144*LU_Escalation,0)</f>
        <v>0</v>
      </c>
      <c r="K144" s="491">
        <f ca="1">IF(ISNUMBER('R4 Variations'!K144),+'R4 Variations'!K144*LU_Escalation,0)</f>
        <v>0</v>
      </c>
      <c r="L144" s="515" t="str">
        <f ca="1">+'R4 Variations'!L144</f>
        <v/>
      </c>
      <c r="M144" s="450" t="str">
        <f ca="1">+'R4 Variations'!M144</f>
        <v/>
      </c>
      <c r="N144" s="450" t="str">
        <f ca="1">+'R4 Variations'!N144</f>
        <v/>
      </c>
    </row>
    <row r="145" spans="1:14">
      <c r="A145" s="5"/>
      <c r="B145" s="249"/>
      <c r="C145" s="384" t="str">
        <f ca="1">+'R4 Variations'!C145</f>
        <v/>
      </c>
      <c r="D145" s="491">
        <f ca="1">IF(ISNUMBER('R4 Variations'!D145),+'R4 Variations'!D145*LU_Escalation,0)</f>
        <v>0</v>
      </c>
      <c r="E145" s="850">
        <f ca="1">IF(ISNUMBER('R4 Variations'!E145),+'R4 Variations'!E145*LU_Escalation,0)</f>
        <v>0</v>
      </c>
      <c r="F145" s="491">
        <f ca="1">IF(ISNUMBER('R4 Variations'!F145),+'R4 Variations'!F145*LU_Escalation,0)</f>
        <v>0</v>
      </c>
      <c r="G145" s="491">
        <f ca="1">IF(ISNUMBER('R4 Variations'!G145),+'R4 Variations'!G145*LU_Escalation,0)</f>
        <v>0</v>
      </c>
      <c r="H145" s="491">
        <f ca="1">IF(ISNUMBER('R4 Variations'!H145),+'R4 Variations'!H145*LU_Escalation,0)</f>
        <v>0</v>
      </c>
      <c r="I145" s="491">
        <f ca="1">IF(ISNUMBER('R4 Variations'!I145),+'R4 Variations'!I145*LU_Escalation,0)</f>
        <v>0</v>
      </c>
      <c r="J145" s="491">
        <f ca="1">IF(ISNUMBER('R4 Variations'!J145),+'R4 Variations'!J145*LU_Escalation,0)</f>
        <v>0</v>
      </c>
      <c r="K145" s="491">
        <f ca="1">IF(ISNUMBER('R4 Variations'!K145),+'R4 Variations'!K145*LU_Escalation,0)</f>
        <v>0</v>
      </c>
      <c r="L145" s="515" t="str">
        <f ca="1">+'R4 Variations'!L145</f>
        <v/>
      </c>
      <c r="M145" s="450" t="str">
        <f ca="1">+'R4 Variations'!M145</f>
        <v/>
      </c>
      <c r="N145" s="450" t="str">
        <f ca="1">+'R4 Variations'!N145</f>
        <v/>
      </c>
    </row>
    <row r="146" spans="1:14">
      <c r="A146" s="5"/>
      <c r="B146" s="249"/>
      <c r="C146" s="384" t="str">
        <f ca="1">+'R4 Variations'!C146</f>
        <v/>
      </c>
      <c r="D146" s="491">
        <f ca="1">IF(ISNUMBER('R4 Variations'!D146),+'R4 Variations'!D146*LU_Escalation,0)</f>
        <v>0</v>
      </c>
      <c r="E146" s="850">
        <f ca="1">IF(ISNUMBER('R4 Variations'!E146),+'R4 Variations'!E146*LU_Escalation,0)</f>
        <v>0</v>
      </c>
      <c r="F146" s="491">
        <f ca="1">IF(ISNUMBER('R4 Variations'!F146),+'R4 Variations'!F146*LU_Escalation,0)</f>
        <v>0</v>
      </c>
      <c r="G146" s="491">
        <f ca="1">IF(ISNUMBER('R4 Variations'!G146),+'R4 Variations'!G146*LU_Escalation,0)</f>
        <v>0</v>
      </c>
      <c r="H146" s="491">
        <f ca="1">IF(ISNUMBER('R4 Variations'!H146),+'R4 Variations'!H146*LU_Escalation,0)</f>
        <v>0</v>
      </c>
      <c r="I146" s="491">
        <f ca="1">IF(ISNUMBER('R4 Variations'!I146),+'R4 Variations'!I146*LU_Escalation,0)</f>
        <v>0</v>
      </c>
      <c r="J146" s="491">
        <f ca="1">IF(ISNUMBER('R4 Variations'!J146),+'R4 Variations'!J146*LU_Escalation,0)</f>
        <v>0</v>
      </c>
      <c r="K146" s="491">
        <f ca="1">IF(ISNUMBER('R4 Variations'!K146),+'R4 Variations'!K146*LU_Escalation,0)</f>
        <v>0</v>
      </c>
      <c r="L146" s="515" t="str">
        <f ca="1">+'R4 Variations'!L146</f>
        <v/>
      </c>
      <c r="M146" s="450" t="str">
        <f ca="1">+'R4 Variations'!M146</f>
        <v/>
      </c>
      <c r="N146" s="450" t="str">
        <f ca="1">+'R4 Variations'!N146</f>
        <v/>
      </c>
    </row>
    <row r="147" spans="1:14">
      <c r="B147" s="249"/>
      <c r="C147" s="384" t="str">
        <f ca="1">+'R4 Variations'!C147</f>
        <v/>
      </c>
      <c r="D147" s="491">
        <f ca="1">IF(ISNUMBER('R4 Variations'!D147),+'R4 Variations'!D147*LU_Escalation,0)</f>
        <v>0</v>
      </c>
      <c r="E147" s="850">
        <f ca="1">IF(ISNUMBER('R4 Variations'!E147),+'R4 Variations'!E147*LU_Escalation,0)</f>
        <v>0</v>
      </c>
      <c r="F147" s="491">
        <f ca="1">IF(ISNUMBER('R4 Variations'!F147),+'R4 Variations'!F147*LU_Escalation,0)</f>
        <v>0</v>
      </c>
      <c r="G147" s="491">
        <f ca="1">IF(ISNUMBER('R4 Variations'!G147),+'R4 Variations'!G147*LU_Escalation,0)</f>
        <v>0</v>
      </c>
      <c r="H147" s="491">
        <f ca="1">IF(ISNUMBER('R4 Variations'!H147),+'R4 Variations'!H147*LU_Escalation,0)</f>
        <v>0</v>
      </c>
      <c r="I147" s="491">
        <f ca="1">IF(ISNUMBER('R4 Variations'!I147),+'R4 Variations'!I147*LU_Escalation,0)</f>
        <v>0</v>
      </c>
      <c r="J147" s="491">
        <f ca="1">IF(ISNUMBER('R4 Variations'!J147),+'R4 Variations'!J147*LU_Escalation,0)</f>
        <v>0</v>
      </c>
      <c r="K147" s="491">
        <f ca="1">IF(ISNUMBER('R4 Variations'!K147),+'R4 Variations'!K147*LU_Escalation,0)</f>
        <v>0</v>
      </c>
      <c r="L147" s="515" t="str">
        <f ca="1">+'R4 Variations'!L147</f>
        <v/>
      </c>
      <c r="M147" s="450" t="str">
        <f ca="1">+'R4 Variations'!M147</f>
        <v/>
      </c>
      <c r="N147" s="450" t="str">
        <f ca="1">+'R4 Variations'!N147</f>
        <v/>
      </c>
    </row>
    <row r="148" spans="1:14">
      <c r="B148" s="249"/>
      <c r="C148" s="384" t="str">
        <f ca="1">+'R4 Variations'!C148</f>
        <v/>
      </c>
      <c r="D148" s="491">
        <f ca="1">IF(ISNUMBER('R4 Variations'!D148),+'R4 Variations'!D148*LU_Escalation,0)</f>
        <v>0</v>
      </c>
      <c r="E148" s="850">
        <f ca="1">IF(ISNUMBER('R4 Variations'!E148),+'R4 Variations'!E148*LU_Escalation,0)</f>
        <v>0</v>
      </c>
      <c r="F148" s="491">
        <f ca="1">IF(ISNUMBER('R4 Variations'!F148),+'R4 Variations'!F148*LU_Escalation,0)</f>
        <v>0</v>
      </c>
      <c r="G148" s="491">
        <f ca="1">IF(ISNUMBER('R4 Variations'!G148),+'R4 Variations'!G148*LU_Escalation,0)</f>
        <v>0</v>
      </c>
      <c r="H148" s="491">
        <f ca="1">IF(ISNUMBER('R4 Variations'!H148),+'R4 Variations'!H148*LU_Escalation,0)</f>
        <v>0</v>
      </c>
      <c r="I148" s="491">
        <f ca="1">IF(ISNUMBER('R4 Variations'!I148),+'R4 Variations'!I148*LU_Escalation,0)</f>
        <v>0</v>
      </c>
      <c r="J148" s="491">
        <f ca="1">IF(ISNUMBER('R4 Variations'!J148),+'R4 Variations'!J148*LU_Escalation,0)</f>
        <v>0</v>
      </c>
      <c r="K148" s="491">
        <f ca="1">IF(ISNUMBER('R4 Variations'!K148),+'R4 Variations'!K148*LU_Escalation,0)</f>
        <v>0</v>
      </c>
      <c r="L148" s="515" t="str">
        <f ca="1">+'R4 Variations'!L148</f>
        <v/>
      </c>
      <c r="M148" s="450" t="str">
        <f ca="1">+'R4 Variations'!M148</f>
        <v/>
      </c>
      <c r="N148" s="450" t="str">
        <f ca="1">+'R4 Variations'!N148</f>
        <v/>
      </c>
    </row>
    <row r="149" spans="1:14">
      <c r="B149" s="249"/>
      <c r="C149" s="384" t="str">
        <f ca="1">+'R4 Variations'!C149</f>
        <v/>
      </c>
      <c r="D149" s="491">
        <f ca="1">IF(ISNUMBER('R4 Variations'!D149),+'R4 Variations'!D149*LU_Escalation,0)</f>
        <v>0</v>
      </c>
      <c r="E149" s="850">
        <f ca="1">IF(ISNUMBER('R4 Variations'!E149),+'R4 Variations'!E149*LU_Escalation,0)</f>
        <v>0</v>
      </c>
      <c r="F149" s="491">
        <f ca="1">IF(ISNUMBER('R4 Variations'!F149),+'R4 Variations'!F149*LU_Escalation,0)</f>
        <v>0</v>
      </c>
      <c r="G149" s="491">
        <f ca="1">IF(ISNUMBER('R4 Variations'!G149),+'R4 Variations'!G149*LU_Escalation,0)</f>
        <v>0</v>
      </c>
      <c r="H149" s="491">
        <f ca="1">IF(ISNUMBER('R4 Variations'!H149),+'R4 Variations'!H149*LU_Escalation,0)</f>
        <v>0</v>
      </c>
      <c r="I149" s="491">
        <f ca="1">IF(ISNUMBER('R4 Variations'!I149),+'R4 Variations'!I149*LU_Escalation,0)</f>
        <v>0</v>
      </c>
      <c r="J149" s="491">
        <f ca="1">IF(ISNUMBER('R4 Variations'!J149),+'R4 Variations'!J149*LU_Escalation,0)</f>
        <v>0</v>
      </c>
      <c r="K149" s="491">
        <f ca="1">IF(ISNUMBER('R4 Variations'!K149),+'R4 Variations'!K149*LU_Escalation,0)</f>
        <v>0</v>
      </c>
      <c r="L149" s="515" t="str">
        <f ca="1">+'R4 Variations'!L149</f>
        <v/>
      </c>
      <c r="M149" s="450" t="str">
        <f ca="1">+'R4 Variations'!M149</f>
        <v/>
      </c>
      <c r="N149" s="450" t="str">
        <f ca="1">+'R4 Variations'!N149</f>
        <v/>
      </c>
    </row>
    <row r="150" spans="1:14">
      <c r="B150" s="249"/>
      <c r="C150" s="384" t="str">
        <f ca="1">+'R4 Variations'!C150</f>
        <v/>
      </c>
      <c r="D150" s="491">
        <f ca="1">IF(ISNUMBER('R4 Variations'!D150),+'R4 Variations'!D150*LU_Escalation,0)</f>
        <v>0</v>
      </c>
      <c r="E150" s="850">
        <f ca="1">IF(ISNUMBER('R4 Variations'!E150),+'R4 Variations'!E150*LU_Escalation,0)</f>
        <v>0</v>
      </c>
      <c r="F150" s="491">
        <f ca="1">IF(ISNUMBER('R4 Variations'!F150),+'R4 Variations'!F150*LU_Escalation,0)</f>
        <v>0</v>
      </c>
      <c r="G150" s="491">
        <f ca="1">IF(ISNUMBER('R4 Variations'!G150),+'R4 Variations'!G150*LU_Escalation,0)</f>
        <v>0</v>
      </c>
      <c r="H150" s="491">
        <f ca="1">IF(ISNUMBER('R4 Variations'!H150),+'R4 Variations'!H150*LU_Escalation,0)</f>
        <v>0</v>
      </c>
      <c r="I150" s="491">
        <f ca="1">IF(ISNUMBER('R4 Variations'!I150),+'R4 Variations'!I150*LU_Escalation,0)</f>
        <v>0</v>
      </c>
      <c r="J150" s="491">
        <f ca="1">IF(ISNUMBER('R4 Variations'!J150),+'R4 Variations'!J150*LU_Escalation,0)</f>
        <v>0</v>
      </c>
      <c r="K150" s="491">
        <f ca="1">IF(ISNUMBER('R4 Variations'!K150),+'R4 Variations'!K150*LU_Escalation,0)</f>
        <v>0</v>
      </c>
      <c r="L150" s="515" t="str">
        <f ca="1">+'R4 Variations'!L150</f>
        <v/>
      </c>
      <c r="M150" s="450" t="str">
        <f ca="1">+'R4 Variations'!M150</f>
        <v/>
      </c>
      <c r="N150" s="450" t="str">
        <f ca="1">+'R4 Variations'!N150</f>
        <v/>
      </c>
    </row>
    <row r="151" spans="1:14">
      <c r="B151" s="249"/>
      <c r="C151" s="384" t="str">
        <f ca="1">+'R4 Variations'!C151</f>
        <v/>
      </c>
      <c r="D151" s="491">
        <f ca="1">IF(ISNUMBER('R4 Variations'!D151),+'R4 Variations'!D151*LU_Escalation,0)</f>
        <v>0</v>
      </c>
      <c r="E151" s="850">
        <f ca="1">IF(ISNUMBER('R4 Variations'!E151),+'R4 Variations'!E151*LU_Escalation,0)</f>
        <v>0</v>
      </c>
      <c r="F151" s="491">
        <f ca="1">IF(ISNUMBER('R4 Variations'!F151),+'R4 Variations'!F151*LU_Escalation,0)</f>
        <v>0</v>
      </c>
      <c r="G151" s="491">
        <f ca="1">IF(ISNUMBER('R4 Variations'!G151),+'R4 Variations'!G151*LU_Escalation,0)</f>
        <v>0</v>
      </c>
      <c r="H151" s="491">
        <f ca="1">IF(ISNUMBER('R4 Variations'!H151),+'R4 Variations'!H151*LU_Escalation,0)</f>
        <v>0</v>
      </c>
      <c r="I151" s="491">
        <f ca="1">IF(ISNUMBER('R4 Variations'!I151),+'R4 Variations'!I151*LU_Escalation,0)</f>
        <v>0</v>
      </c>
      <c r="J151" s="491">
        <f ca="1">IF(ISNUMBER('R4 Variations'!J151),+'R4 Variations'!J151*LU_Escalation,0)</f>
        <v>0</v>
      </c>
      <c r="K151" s="491">
        <f ca="1">IF(ISNUMBER('R4 Variations'!K151),+'R4 Variations'!K151*LU_Escalation,0)</f>
        <v>0</v>
      </c>
      <c r="L151" s="515" t="str">
        <f ca="1">+'R4 Variations'!L151</f>
        <v/>
      </c>
      <c r="M151" s="450" t="str">
        <f ca="1">+'R4 Variations'!M151</f>
        <v/>
      </c>
      <c r="N151" s="450" t="str">
        <f ca="1">+'R4 Variations'!N151</f>
        <v/>
      </c>
    </row>
    <row r="152" spans="1:14">
      <c r="B152" s="249"/>
      <c r="C152" s="384"/>
      <c r="D152" s="491"/>
      <c r="E152" s="508"/>
      <c r="F152" s="491"/>
      <c r="G152" s="492"/>
      <c r="H152" s="492"/>
      <c r="I152" s="492"/>
      <c r="J152" s="492"/>
      <c r="K152" s="508"/>
      <c r="L152" s="515"/>
      <c r="M152" s="450"/>
      <c r="N152" s="450"/>
    </row>
    <row r="153" spans="1:14">
      <c r="A153" s="5"/>
      <c r="B153" s="249" t="str">
        <f ca="1">+'I-4 History'!B115</f>
        <v>DA-13</v>
      </c>
      <c r="C153" s="14" t="str">
        <f ca="1">+'I-4 History'!C115</f>
        <v>Asset Maintenance</v>
      </c>
      <c r="D153" s="491"/>
      <c r="E153" s="508"/>
      <c r="F153" s="491"/>
      <c r="G153" s="492"/>
      <c r="H153" s="492"/>
      <c r="I153" s="492"/>
      <c r="J153" s="492"/>
      <c r="K153" s="508"/>
      <c r="L153" s="515"/>
      <c r="M153" s="450"/>
      <c r="N153" s="450"/>
    </row>
    <row r="154" spans="1:14">
      <c r="A154" s="5"/>
      <c r="B154" s="249"/>
      <c r="C154" s="384" t="str">
        <f ca="1">+'R4 Variations'!C154</f>
        <v>Step Change</v>
      </c>
      <c r="D154" s="491">
        <f ca="1">IF(ISNUMBER('R4 Variations'!D154),+'R4 Variations'!D154*LU_Escalation,0)</f>
        <v>0</v>
      </c>
      <c r="E154" s="850">
        <f ca="1">IF(ISNUMBER('R4 Variations'!E154),+'R4 Variations'!E154*LU_Escalation,0)</f>
        <v>0</v>
      </c>
      <c r="F154" s="491">
        <f ca="1">IF(ISNUMBER('R4 Variations'!F154),+'R4 Variations'!F154*LU_Escalation,0)</f>
        <v>0</v>
      </c>
      <c r="G154" s="491">
        <f ca="1">IF(ISNUMBER('R4 Variations'!G154),+'R4 Variations'!G154*LU_Escalation,0)</f>
        <v>0</v>
      </c>
      <c r="H154" s="491">
        <f ca="1">IF(ISNUMBER('R4 Variations'!H154),+'R4 Variations'!H154*LU_Escalation,0)</f>
        <v>0</v>
      </c>
      <c r="I154" s="491">
        <f ca="1">IF(ISNUMBER('R4 Variations'!I154),+'R4 Variations'!I154*LU_Escalation,0)</f>
        <v>0</v>
      </c>
      <c r="J154" s="491">
        <f ca="1">IF(ISNUMBER('R4 Variations'!J154),+'R4 Variations'!J154*LU_Escalation,0)</f>
        <v>0</v>
      </c>
      <c r="K154" s="491">
        <f ca="1">IF(ISNUMBER('R4 Variations'!K154),+'R4 Variations'!K154*LU_Escalation,0)</f>
        <v>0</v>
      </c>
      <c r="L154" s="515" t="str">
        <f ca="1">+'R4 Variations'!L154</f>
        <v>Proposal Step Change</v>
      </c>
      <c r="M154" s="450" t="str">
        <f ca="1">+'R4 Variations'!M154</f>
        <v>Refer Opex Workings</v>
      </c>
      <c r="N154" s="450" t="str">
        <f ca="1">+'R4 Variations'!N154</f>
        <v>Proposal, October 2014</v>
      </c>
    </row>
    <row r="155" spans="1:14">
      <c r="A155" s="5"/>
      <c r="B155" s="249"/>
      <c r="C155" s="384" t="str">
        <f ca="1">+'R4 Variations'!C155</f>
        <v/>
      </c>
      <c r="D155" s="491">
        <f ca="1">IF(ISNUMBER('R4 Variations'!D155),+'R4 Variations'!D155*LU_Escalation,0)</f>
        <v>0</v>
      </c>
      <c r="E155" s="850">
        <f ca="1">IF(ISNUMBER('R4 Variations'!E155),+'R4 Variations'!E155*LU_Escalation,0)</f>
        <v>0</v>
      </c>
      <c r="F155" s="491">
        <f ca="1">IF(ISNUMBER('R4 Variations'!F155),+'R4 Variations'!F155*LU_Escalation,0)</f>
        <v>0</v>
      </c>
      <c r="G155" s="491">
        <f ca="1">IF(ISNUMBER('R4 Variations'!G155),+'R4 Variations'!G155*LU_Escalation,0)</f>
        <v>0</v>
      </c>
      <c r="H155" s="491">
        <f ca="1">IF(ISNUMBER('R4 Variations'!H155),+'R4 Variations'!H155*LU_Escalation,0)</f>
        <v>0</v>
      </c>
      <c r="I155" s="491">
        <f ca="1">IF(ISNUMBER('R4 Variations'!I155),+'R4 Variations'!I155*LU_Escalation,0)</f>
        <v>0</v>
      </c>
      <c r="J155" s="491">
        <f ca="1">IF(ISNUMBER('R4 Variations'!J155),+'R4 Variations'!J155*LU_Escalation,0)</f>
        <v>0</v>
      </c>
      <c r="K155" s="491">
        <f ca="1">IF(ISNUMBER('R4 Variations'!K155),+'R4 Variations'!K155*LU_Escalation,0)</f>
        <v>0</v>
      </c>
      <c r="L155" s="515" t="str">
        <f ca="1">+'R4 Variations'!L155</f>
        <v/>
      </c>
      <c r="M155" s="450" t="str">
        <f ca="1">+'R4 Variations'!M155</f>
        <v/>
      </c>
      <c r="N155" s="450" t="str">
        <f ca="1">+'R4 Variations'!N155</f>
        <v/>
      </c>
    </row>
    <row r="156" spans="1:14">
      <c r="A156" s="5"/>
      <c r="B156" s="249"/>
      <c r="C156" s="384" t="str">
        <f ca="1">+'R4 Variations'!C156</f>
        <v/>
      </c>
      <c r="D156" s="491">
        <f ca="1">IF(ISNUMBER('R4 Variations'!D156),+'R4 Variations'!D156*LU_Escalation,0)</f>
        <v>0</v>
      </c>
      <c r="E156" s="850">
        <f ca="1">IF(ISNUMBER('R4 Variations'!E156),+'R4 Variations'!E156*LU_Escalation,0)</f>
        <v>0</v>
      </c>
      <c r="F156" s="491">
        <f ca="1">IF(ISNUMBER('R4 Variations'!F156),+'R4 Variations'!F156*LU_Escalation,0)</f>
        <v>0</v>
      </c>
      <c r="G156" s="491">
        <f ca="1">IF(ISNUMBER('R4 Variations'!G156),+'R4 Variations'!G156*LU_Escalation,0)</f>
        <v>0</v>
      </c>
      <c r="H156" s="491">
        <f ca="1">IF(ISNUMBER('R4 Variations'!H156),+'R4 Variations'!H156*LU_Escalation,0)</f>
        <v>0</v>
      </c>
      <c r="I156" s="491">
        <f ca="1">IF(ISNUMBER('R4 Variations'!I156),+'R4 Variations'!I156*LU_Escalation,0)</f>
        <v>0</v>
      </c>
      <c r="J156" s="491">
        <f ca="1">IF(ISNUMBER('R4 Variations'!J156),+'R4 Variations'!J156*LU_Escalation,0)</f>
        <v>0</v>
      </c>
      <c r="K156" s="491">
        <f ca="1">IF(ISNUMBER('R4 Variations'!K156),+'R4 Variations'!K156*LU_Escalation,0)</f>
        <v>0</v>
      </c>
      <c r="L156" s="515" t="str">
        <f ca="1">+'R4 Variations'!L156</f>
        <v/>
      </c>
      <c r="M156" s="450" t="str">
        <f ca="1">+'R4 Variations'!M156</f>
        <v/>
      </c>
      <c r="N156" s="450" t="str">
        <f ca="1">+'R4 Variations'!N156</f>
        <v/>
      </c>
    </row>
    <row r="157" spans="1:14">
      <c r="A157" s="5"/>
      <c r="B157" s="249"/>
      <c r="C157" s="384" t="str">
        <f ca="1">+'R4 Variations'!C157</f>
        <v/>
      </c>
      <c r="D157" s="491">
        <f ca="1">IF(ISNUMBER('R4 Variations'!D157),+'R4 Variations'!D157*LU_Escalation,0)</f>
        <v>0</v>
      </c>
      <c r="E157" s="850">
        <f ca="1">IF(ISNUMBER('R4 Variations'!E157),+'R4 Variations'!E157*LU_Escalation,0)</f>
        <v>0</v>
      </c>
      <c r="F157" s="491">
        <f ca="1">IF(ISNUMBER('R4 Variations'!F157),+'R4 Variations'!F157*LU_Escalation,0)</f>
        <v>0</v>
      </c>
      <c r="G157" s="491">
        <f ca="1">IF(ISNUMBER('R4 Variations'!G157),+'R4 Variations'!G157*LU_Escalation,0)</f>
        <v>0</v>
      </c>
      <c r="H157" s="491">
        <f ca="1">IF(ISNUMBER('R4 Variations'!H157),+'R4 Variations'!H157*LU_Escalation,0)</f>
        <v>0</v>
      </c>
      <c r="I157" s="491">
        <f ca="1">IF(ISNUMBER('R4 Variations'!I157),+'R4 Variations'!I157*LU_Escalation,0)</f>
        <v>0</v>
      </c>
      <c r="J157" s="491">
        <f ca="1">IF(ISNUMBER('R4 Variations'!J157),+'R4 Variations'!J157*LU_Escalation,0)</f>
        <v>0</v>
      </c>
      <c r="K157" s="491">
        <f ca="1">IF(ISNUMBER('R4 Variations'!K157),+'R4 Variations'!K157*LU_Escalation,0)</f>
        <v>0</v>
      </c>
      <c r="L157" s="515" t="str">
        <f ca="1">+'R4 Variations'!L157</f>
        <v/>
      </c>
      <c r="M157" s="450" t="str">
        <f ca="1">+'R4 Variations'!M157</f>
        <v/>
      </c>
      <c r="N157" s="450" t="str">
        <f ca="1">+'R4 Variations'!N157</f>
        <v/>
      </c>
    </row>
    <row r="158" spans="1:14">
      <c r="A158" s="5"/>
      <c r="B158" s="249"/>
      <c r="C158" s="384" t="str">
        <f ca="1">+'R4 Variations'!C158</f>
        <v/>
      </c>
      <c r="D158" s="491">
        <f ca="1">IF(ISNUMBER('R4 Variations'!D158),+'R4 Variations'!D158*LU_Escalation,0)</f>
        <v>0</v>
      </c>
      <c r="E158" s="850">
        <f ca="1">IF(ISNUMBER('R4 Variations'!E158),+'R4 Variations'!E158*LU_Escalation,0)</f>
        <v>0</v>
      </c>
      <c r="F158" s="491">
        <f ca="1">IF(ISNUMBER('R4 Variations'!F158),+'R4 Variations'!F158*LU_Escalation,0)</f>
        <v>0</v>
      </c>
      <c r="G158" s="491">
        <f ca="1">IF(ISNUMBER('R4 Variations'!G158),+'R4 Variations'!G158*LU_Escalation,0)</f>
        <v>0</v>
      </c>
      <c r="H158" s="491">
        <f ca="1">IF(ISNUMBER('R4 Variations'!H158),+'R4 Variations'!H158*LU_Escalation,0)</f>
        <v>0</v>
      </c>
      <c r="I158" s="491">
        <f ca="1">IF(ISNUMBER('R4 Variations'!I158),+'R4 Variations'!I158*LU_Escalation,0)</f>
        <v>0</v>
      </c>
      <c r="J158" s="491">
        <f ca="1">IF(ISNUMBER('R4 Variations'!J158),+'R4 Variations'!J158*LU_Escalation,0)</f>
        <v>0</v>
      </c>
      <c r="K158" s="491">
        <f ca="1">IF(ISNUMBER('R4 Variations'!K158),+'R4 Variations'!K158*LU_Escalation,0)</f>
        <v>0</v>
      </c>
      <c r="L158" s="515" t="str">
        <f ca="1">+'R4 Variations'!L158</f>
        <v/>
      </c>
      <c r="M158" s="450" t="str">
        <f ca="1">+'R4 Variations'!M158</f>
        <v/>
      </c>
      <c r="N158" s="450" t="str">
        <f ca="1">+'R4 Variations'!N158</f>
        <v/>
      </c>
    </row>
    <row r="159" spans="1:14">
      <c r="B159" s="249"/>
      <c r="C159" s="384" t="str">
        <f ca="1">+'R4 Variations'!C159</f>
        <v/>
      </c>
      <c r="D159" s="491">
        <f ca="1">IF(ISNUMBER('R4 Variations'!D159),+'R4 Variations'!D159*LU_Escalation,0)</f>
        <v>0</v>
      </c>
      <c r="E159" s="850">
        <f ca="1">IF(ISNUMBER('R4 Variations'!E159),+'R4 Variations'!E159*LU_Escalation,0)</f>
        <v>0</v>
      </c>
      <c r="F159" s="491">
        <f ca="1">IF(ISNUMBER('R4 Variations'!F159),+'R4 Variations'!F159*LU_Escalation,0)</f>
        <v>0</v>
      </c>
      <c r="G159" s="491">
        <f ca="1">IF(ISNUMBER('R4 Variations'!G159),+'R4 Variations'!G159*LU_Escalation,0)</f>
        <v>0</v>
      </c>
      <c r="H159" s="491">
        <f ca="1">IF(ISNUMBER('R4 Variations'!H159),+'R4 Variations'!H159*LU_Escalation,0)</f>
        <v>0</v>
      </c>
      <c r="I159" s="491">
        <f ca="1">IF(ISNUMBER('R4 Variations'!I159),+'R4 Variations'!I159*LU_Escalation,0)</f>
        <v>0</v>
      </c>
      <c r="J159" s="491">
        <f ca="1">IF(ISNUMBER('R4 Variations'!J159),+'R4 Variations'!J159*LU_Escalation,0)</f>
        <v>0</v>
      </c>
      <c r="K159" s="491">
        <f ca="1">IF(ISNUMBER('R4 Variations'!K159),+'R4 Variations'!K159*LU_Escalation,0)</f>
        <v>0</v>
      </c>
      <c r="L159" s="515" t="str">
        <f ca="1">+'R4 Variations'!L159</f>
        <v/>
      </c>
      <c r="M159" s="450" t="str">
        <f ca="1">+'R4 Variations'!M159</f>
        <v/>
      </c>
      <c r="N159" s="450" t="str">
        <f ca="1">+'R4 Variations'!N159</f>
        <v/>
      </c>
    </row>
    <row r="160" spans="1:14">
      <c r="B160" s="249"/>
      <c r="C160" s="384" t="str">
        <f ca="1">+'R4 Variations'!C160</f>
        <v/>
      </c>
      <c r="D160" s="491">
        <f ca="1">IF(ISNUMBER('R4 Variations'!D160),+'R4 Variations'!D160*LU_Escalation,0)</f>
        <v>0</v>
      </c>
      <c r="E160" s="850">
        <f ca="1">IF(ISNUMBER('R4 Variations'!E160),+'R4 Variations'!E160*LU_Escalation,0)</f>
        <v>0</v>
      </c>
      <c r="F160" s="491">
        <f ca="1">IF(ISNUMBER('R4 Variations'!F160),+'R4 Variations'!F160*LU_Escalation,0)</f>
        <v>0</v>
      </c>
      <c r="G160" s="491">
        <f ca="1">IF(ISNUMBER('R4 Variations'!G160),+'R4 Variations'!G160*LU_Escalation,0)</f>
        <v>0</v>
      </c>
      <c r="H160" s="491">
        <f ca="1">IF(ISNUMBER('R4 Variations'!H160),+'R4 Variations'!H160*LU_Escalation,0)</f>
        <v>0</v>
      </c>
      <c r="I160" s="491">
        <f ca="1">IF(ISNUMBER('R4 Variations'!I160),+'R4 Variations'!I160*LU_Escalation,0)</f>
        <v>0</v>
      </c>
      <c r="J160" s="491">
        <f ca="1">IF(ISNUMBER('R4 Variations'!J160),+'R4 Variations'!J160*LU_Escalation,0)</f>
        <v>0</v>
      </c>
      <c r="K160" s="491">
        <f ca="1">IF(ISNUMBER('R4 Variations'!K160),+'R4 Variations'!K160*LU_Escalation,0)</f>
        <v>0</v>
      </c>
      <c r="L160" s="515" t="str">
        <f ca="1">+'R4 Variations'!L160</f>
        <v/>
      </c>
      <c r="M160" s="450" t="str">
        <f ca="1">+'R4 Variations'!M160</f>
        <v/>
      </c>
      <c r="N160" s="450" t="str">
        <f ca="1">+'R4 Variations'!N160</f>
        <v/>
      </c>
    </row>
    <row r="161" spans="1:14">
      <c r="B161" s="249"/>
      <c r="C161" s="384" t="str">
        <f ca="1">+'R4 Variations'!C161</f>
        <v/>
      </c>
      <c r="D161" s="491">
        <f ca="1">IF(ISNUMBER('R4 Variations'!D161),+'R4 Variations'!D161*LU_Escalation,0)</f>
        <v>0</v>
      </c>
      <c r="E161" s="850">
        <f ca="1">IF(ISNUMBER('R4 Variations'!E161),+'R4 Variations'!E161*LU_Escalation,0)</f>
        <v>0</v>
      </c>
      <c r="F161" s="491">
        <f ca="1">IF(ISNUMBER('R4 Variations'!F161),+'R4 Variations'!F161*LU_Escalation,0)</f>
        <v>0</v>
      </c>
      <c r="G161" s="491">
        <f ca="1">IF(ISNUMBER('R4 Variations'!G161),+'R4 Variations'!G161*LU_Escalation,0)</f>
        <v>0</v>
      </c>
      <c r="H161" s="491">
        <f ca="1">IF(ISNUMBER('R4 Variations'!H161),+'R4 Variations'!H161*LU_Escalation,0)</f>
        <v>0</v>
      </c>
      <c r="I161" s="491">
        <f ca="1">IF(ISNUMBER('R4 Variations'!I161),+'R4 Variations'!I161*LU_Escalation,0)</f>
        <v>0</v>
      </c>
      <c r="J161" s="491">
        <f ca="1">IF(ISNUMBER('R4 Variations'!J161),+'R4 Variations'!J161*LU_Escalation,0)</f>
        <v>0</v>
      </c>
      <c r="K161" s="491">
        <f ca="1">IF(ISNUMBER('R4 Variations'!K161),+'R4 Variations'!K161*LU_Escalation,0)</f>
        <v>0</v>
      </c>
      <c r="L161" s="515" t="str">
        <f ca="1">+'R4 Variations'!L161</f>
        <v/>
      </c>
      <c r="M161" s="450" t="str">
        <f ca="1">+'R4 Variations'!M161</f>
        <v/>
      </c>
      <c r="N161" s="450" t="str">
        <f ca="1">+'R4 Variations'!N161</f>
        <v/>
      </c>
    </row>
    <row r="162" spans="1:14">
      <c r="B162" s="249"/>
      <c r="C162" s="384" t="str">
        <f ca="1">+'R4 Variations'!C162</f>
        <v/>
      </c>
      <c r="D162" s="491">
        <f ca="1">IF(ISNUMBER('R4 Variations'!D162),+'R4 Variations'!D162*LU_Escalation,0)</f>
        <v>0</v>
      </c>
      <c r="E162" s="850">
        <f ca="1">IF(ISNUMBER('R4 Variations'!E162),+'R4 Variations'!E162*LU_Escalation,0)</f>
        <v>0</v>
      </c>
      <c r="F162" s="491">
        <f ca="1">IF(ISNUMBER('R4 Variations'!F162),+'R4 Variations'!F162*LU_Escalation,0)</f>
        <v>0</v>
      </c>
      <c r="G162" s="491">
        <f ca="1">IF(ISNUMBER('R4 Variations'!G162),+'R4 Variations'!G162*LU_Escalation,0)</f>
        <v>0</v>
      </c>
      <c r="H162" s="491">
        <f ca="1">IF(ISNUMBER('R4 Variations'!H162),+'R4 Variations'!H162*LU_Escalation,0)</f>
        <v>0</v>
      </c>
      <c r="I162" s="491">
        <f ca="1">IF(ISNUMBER('R4 Variations'!I162),+'R4 Variations'!I162*LU_Escalation,0)</f>
        <v>0</v>
      </c>
      <c r="J162" s="491">
        <f ca="1">IF(ISNUMBER('R4 Variations'!J162),+'R4 Variations'!J162*LU_Escalation,0)</f>
        <v>0</v>
      </c>
      <c r="K162" s="491">
        <f ca="1">IF(ISNUMBER('R4 Variations'!K162),+'R4 Variations'!K162*LU_Escalation,0)</f>
        <v>0</v>
      </c>
      <c r="L162" s="515" t="str">
        <f ca="1">+'R4 Variations'!L162</f>
        <v/>
      </c>
      <c r="M162" s="450" t="str">
        <f ca="1">+'R4 Variations'!M162</f>
        <v/>
      </c>
      <c r="N162" s="450" t="str">
        <f ca="1">+'R4 Variations'!N162</f>
        <v/>
      </c>
    </row>
    <row r="163" spans="1:14">
      <c r="B163" s="249"/>
      <c r="C163" s="384" t="str">
        <f ca="1">+'R4 Variations'!C163</f>
        <v/>
      </c>
      <c r="D163" s="491">
        <f ca="1">IF(ISNUMBER('R4 Variations'!D163),+'R4 Variations'!D163*LU_Escalation,0)</f>
        <v>0</v>
      </c>
      <c r="E163" s="850">
        <f ca="1">IF(ISNUMBER('R4 Variations'!E163),+'R4 Variations'!E163*LU_Escalation,0)</f>
        <v>0</v>
      </c>
      <c r="F163" s="491">
        <f ca="1">IF(ISNUMBER('R4 Variations'!F163),+'R4 Variations'!F163*LU_Escalation,0)</f>
        <v>0</v>
      </c>
      <c r="G163" s="491">
        <f ca="1">IF(ISNUMBER('R4 Variations'!G163),+'R4 Variations'!G163*LU_Escalation,0)</f>
        <v>0</v>
      </c>
      <c r="H163" s="491">
        <f ca="1">IF(ISNUMBER('R4 Variations'!H163),+'R4 Variations'!H163*LU_Escalation,0)</f>
        <v>0</v>
      </c>
      <c r="I163" s="491">
        <f ca="1">IF(ISNUMBER('R4 Variations'!I163),+'R4 Variations'!I163*LU_Escalation,0)</f>
        <v>0</v>
      </c>
      <c r="J163" s="491">
        <f ca="1">IF(ISNUMBER('R4 Variations'!J163),+'R4 Variations'!J163*LU_Escalation,0)</f>
        <v>0</v>
      </c>
      <c r="K163" s="491">
        <f ca="1">IF(ISNUMBER('R4 Variations'!K163),+'R4 Variations'!K163*LU_Escalation,0)</f>
        <v>0</v>
      </c>
      <c r="L163" s="515" t="str">
        <f ca="1">+'R4 Variations'!L163</f>
        <v/>
      </c>
      <c r="M163" s="450" t="str">
        <f ca="1">+'R4 Variations'!M163</f>
        <v/>
      </c>
      <c r="N163" s="450" t="str">
        <f ca="1">+'R4 Variations'!N163</f>
        <v/>
      </c>
    </row>
    <row r="164" spans="1:14">
      <c r="B164" s="249"/>
      <c r="C164" s="384"/>
      <c r="D164" s="491"/>
      <c r="E164" s="508"/>
      <c r="F164" s="491"/>
      <c r="G164" s="492"/>
      <c r="H164" s="492"/>
      <c r="I164" s="492"/>
      <c r="J164" s="492"/>
      <c r="K164" s="508"/>
      <c r="L164" s="515"/>
      <c r="M164" s="450"/>
      <c r="N164" s="450"/>
    </row>
    <row r="165" spans="1:14">
      <c r="A165" s="5"/>
      <c r="B165" s="249" t="str">
        <f ca="1">+'I-4 History'!B124</f>
        <v>DA-14</v>
      </c>
      <c r="C165" s="14" t="str">
        <f ca="1">+'I-4 History'!C124</f>
        <v>Vegetation Management</v>
      </c>
      <c r="D165" s="491"/>
      <c r="E165" s="508"/>
      <c r="F165" s="491"/>
      <c r="G165" s="492"/>
      <c r="H165" s="492"/>
      <c r="I165" s="492"/>
      <c r="J165" s="492"/>
      <c r="K165" s="508"/>
      <c r="L165" s="515"/>
      <c r="M165" s="450"/>
      <c r="N165" s="450"/>
    </row>
    <row r="166" spans="1:14">
      <c r="A166" s="5"/>
      <c r="B166" s="249"/>
      <c r="C166" s="384" t="str">
        <f ca="1">+'R4 Variations'!C166</f>
        <v>Step Change</v>
      </c>
      <c r="D166" s="491">
        <f ca="1">IF(ISNUMBER('R4 Variations'!D166),+'R4 Variations'!D166*LU_Escalation,0)</f>
        <v>0</v>
      </c>
      <c r="E166" s="850">
        <f ca="1">IF(ISNUMBER('R4 Variations'!E166),+'R4 Variations'!E166*LU_Escalation,0)</f>
        <v>0</v>
      </c>
      <c r="F166" s="491">
        <f ca="1">IF(ISNUMBER('R4 Variations'!F166),+'R4 Variations'!F166*LU_Escalation,0)</f>
        <v>2.7579936923076929</v>
      </c>
      <c r="G166" s="491">
        <f ca="1">IF(ISNUMBER('R4 Variations'!G166),+'R4 Variations'!G166*LU_Escalation,0)</f>
        <v>9.663315230769232</v>
      </c>
      <c r="H166" s="491">
        <f ca="1">IF(ISNUMBER('R4 Variations'!H166),+'R4 Variations'!H166*LU_Escalation,0)</f>
        <v>7.0758871153846172</v>
      </c>
      <c r="I166" s="491">
        <f ca="1">IF(ISNUMBER('R4 Variations'!I166),+'R4 Variations'!I166*LU_Escalation,0)</f>
        <v>6.3750176538461547</v>
      </c>
      <c r="J166" s="491">
        <f ca="1">IF(ISNUMBER('R4 Variations'!J166),+'R4 Variations'!J166*LU_Escalation,0)</f>
        <v>5.6751819230769236</v>
      </c>
      <c r="K166" s="491">
        <f ca="1">IF(ISNUMBER('R4 Variations'!K166),+'R4 Variations'!K166*LU_Escalation,0)</f>
        <v>4.9732787307692314</v>
      </c>
      <c r="L166" s="515" t="str">
        <f ca="1">+'R4 Variations'!L166</f>
        <v>Proposal Step Change</v>
      </c>
      <c r="M166" s="450" t="str">
        <f ca="1">+'R4 Variations'!M166</f>
        <v>Refer Opex Workings</v>
      </c>
      <c r="N166" s="450" t="str">
        <f ca="1">+'R4 Variations'!N166</f>
        <v>Proposal, October 2014</v>
      </c>
    </row>
    <row r="167" spans="1:14">
      <c r="A167" s="5"/>
      <c r="B167" s="249"/>
      <c r="C167" s="384" t="str">
        <f ca="1">+'R4 Variations'!C167</f>
        <v/>
      </c>
      <c r="D167" s="491">
        <f ca="1">IF(ISNUMBER('R4 Variations'!D167),+'R4 Variations'!D167*LU_Escalation,0)</f>
        <v>0</v>
      </c>
      <c r="E167" s="850">
        <f ca="1">IF(ISNUMBER('R4 Variations'!E167),+'R4 Variations'!E167*LU_Escalation,0)</f>
        <v>0</v>
      </c>
      <c r="F167" s="491">
        <f ca="1">IF(ISNUMBER('R4 Variations'!F167),+'R4 Variations'!F167*LU_Escalation,0)</f>
        <v>0</v>
      </c>
      <c r="G167" s="491">
        <f ca="1">IF(ISNUMBER('R4 Variations'!G167),+'R4 Variations'!G167*LU_Escalation,0)</f>
        <v>0</v>
      </c>
      <c r="H167" s="491">
        <f ca="1">IF(ISNUMBER('R4 Variations'!H167),+'R4 Variations'!H167*LU_Escalation,0)</f>
        <v>0</v>
      </c>
      <c r="I167" s="491">
        <f ca="1">IF(ISNUMBER('R4 Variations'!I167),+'R4 Variations'!I167*LU_Escalation,0)</f>
        <v>0</v>
      </c>
      <c r="J167" s="491">
        <f ca="1">IF(ISNUMBER('R4 Variations'!J167),+'R4 Variations'!J167*LU_Escalation,0)</f>
        <v>0</v>
      </c>
      <c r="K167" s="491">
        <f ca="1">IF(ISNUMBER('R4 Variations'!K167),+'R4 Variations'!K167*LU_Escalation,0)</f>
        <v>0</v>
      </c>
      <c r="L167" s="515" t="str">
        <f ca="1">+'R4 Variations'!L167</f>
        <v/>
      </c>
      <c r="M167" s="450" t="str">
        <f ca="1">+'R4 Variations'!M167</f>
        <v/>
      </c>
      <c r="N167" s="450" t="str">
        <f ca="1">+'R4 Variations'!N167</f>
        <v/>
      </c>
    </row>
    <row r="168" spans="1:14">
      <c r="A168" s="5"/>
      <c r="B168" s="249"/>
      <c r="C168" s="384" t="str">
        <f ca="1">+'R4 Variations'!C168</f>
        <v/>
      </c>
      <c r="D168" s="491">
        <f ca="1">IF(ISNUMBER('R4 Variations'!D168),+'R4 Variations'!D168*LU_Escalation,0)</f>
        <v>0</v>
      </c>
      <c r="E168" s="850">
        <f ca="1">IF(ISNUMBER('R4 Variations'!E168),+'R4 Variations'!E168*LU_Escalation,0)</f>
        <v>0</v>
      </c>
      <c r="F168" s="491">
        <f ca="1">IF(ISNUMBER('R4 Variations'!F168),+'R4 Variations'!F168*LU_Escalation,0)</f>
        <v>0</v>
      </c>
      <c r="G168" s="491">
        <f ca="1">IF(ISNUMBER('R4 Variations'!G168),+'R4 Variations'!G168*LU_Escalation,0)</f>
        <v>0</v>
      </c>
      <c r="H168" s="491">
        <f ca="1">IF(ISNUMBER('R4 Variations'!H168),+'R4 Variations'!H168*LU_Escalation,0)</f>
        <v>0</v>
      </c>
      <c r="I168" s="491">
        <f ca="1">IF(ISNUMBER('R4 Variations'!I168),+'R4 Variations'!I168*LU_Escalation,0)</f>
        <v>0</v>
      </c>
      <c r="J168" s="491">
        <f ca="1">IF(ISNUMBER('R4 Variations'!J168),+'R4 Variations'!J168*LU_Escalation,0)</f>
        <v>0</v>
      </c>
      <c r="K168" s="491">
        <f ca="1">IF(ISNUMBER('R4 Variations'!K168),+'R4 Variations'!K168*LU_Escalation,0)</f>
        <v>0</v>
      </c>
      <c r="L168" s="515" t="str">
        <f ca="1">+'R4 Variations'!L168</f>
        <v/>
      </c>
      <c r="M168" s="450" t="str">
        <f ca="1">+'R4 Variations'!M168</f>
        <v/>
      </c>
      <c r="N168" s="450" t="str">
        <f ca="1">+'R4 Variations'!N168</f>
        <v/>
      </c>
    </row>
    <row r="169" spans="1:14">
      <c r="A169" s="5"/>
      <c r="B169" s="249"/>
      <c r="C169" s="384" t="str">
        <f ca="1">+'R4 Variations'!C169</f>
        <v/>
      </c>
      <c r="D169" s="491">
        <f ca="1">IF(ISNUMBER('R4 Variations'!D169),+'R4 Variations'!D169*LU_Escalation,0)</f>
        <v>0</v>
      </c>
      <c r="E169" s="850">
        <f ca="1">IF(ISNUMBER('R4 Variations'!E169),+'R4 Variations'!E169*LU_Escalation,0)</f>
        <v>0</v>
      </c>
      <c r="F169" s="491">
        <f ca="1">IF(ISNUMBER('R4 Variations'!F169),+'R4 Variations'!F169*LU_Escalation,0)</f>
        <v>0</v>
      </c>
      <c r="G169" s="491">
        <f ca="1">IF(ISNUMBER('R4 Variations'!G169),+'R4 Variations'!G169*LU_Escalation,0)</f>
        <v>0</v>
      </c>
      <c r="H169" s="491">
        <f ca="1">IF(ISNUMBER('R4 Variations'!H169),+'R4 Variations'!H169*LU_Escalation,0)</f>
        <v>0</v>
      </c>
      <c r="I169" s="491">
        <f ca="1">IF(ISNUMBER('R4 Variations'!I169),+'R4 Variations'!I169*LU_Escalation,0)</f>
        <v>0</v>
      </c>
      <c r="J169" s="491">
        <f ca="1">IF(ISNUMBER('R4 Variations'!J169),+'R4 Variations'!J169*LU_Escalation,0)</f>
        <v>0</v>
      </c>
      <c r="K169" s="491">
        <f ca="1">IF(ISNUMBER('R4 Variations'!K169),+'R4 Variations'!K169*LU_Escalation,0)</f>
        <v>0</v>
      </c>
      <c r="L169" s="515" t="str">
        <f ca="1">+'R4 Variations'!L169</f>
        <v/>
      </c>
      <c r="M169" s="450" t="str">
        <f ca="1">+'R4 Variations'!M169</f>
        <v/>
      </c>
      <c r="N169" s="450" t="str">
        <f ca="1">+'R4 Variations'!N169</f>
        <v/>
      </c>
    </row>
    <row r="170" spans="1:14">
      <c r="A170" s="5"/>
      <c r="B170" s="249"/>
      <c r="C170" s="384" t="str">
        <f ca="1">+'R4 Variations'!C170</f>
        <v/>
      </c>
      <c r="D170" s="491">
        <f ca="1">IF(ISNUMBER('R4 Variations'!D170),+'R4 Variations'!D170*LU_Escalation,0)</f>
        <v>0</v>
      </c>
      <c r="E170" s="850">
        <f ca="1">IF(ISNUMBER('R4 Variations'!E170),+'R4 Variations'!E170*LU_Escalation,0)</f>
        <v>0</v>
      </c>
      <c r="F170" s="491">
        <f ca="1">IF(ISNUMBER('R4 Variations'!F170),+'R4 Variations'!F170*LU_Escalation,0)</f>
        <v>0</v>
      </c>
      <c r="G170" s="491">
        <f ca="1">IF(ISNUMBER('R4 Variations'!G170),+'R4 Variations'!G170*LU_Escalation,0)</f>
        <v>0</v>
      </c>
      <c r="H170" s="491">
        <f ca="1">IF(ISNUMBER('R4 Variations'!H170),+'R4 Variations'!H170*LU_Escalation,0)</f>
        <v>0</v>
      </c>
      <c r="I170" s="491">
        <f ca="1">IF(ISNUMBER('R4 Variations'!I170),+'R4 Variations'!I170*LU_Escalation,0)</f>
        <v>0</v>
      </c>
      <c r="J170" s="491">
        <f ca="1">IF(ISNUMBER('R4 Variations'!J170),+'R4 Variations'!J170*LU_Escalation,0)</f>
        <v>0</v>
      </c>
      <c r="K170" s="491">
        <f ca="1">IF(ISNUMBER('R4 Variations'!K170),+'R4 Variations'!K170*LU_Escalation,0)</f>
        <v>0</v>
      </c>
      <c r="L170" s="515" t="str">
        <f ca="1">+'R4 Variations'!L170</f>
        <v/>
      </c>
      <c r="M170" s="450" t="str">
        <f ca="1">+'R4 Variations'!M170</f>
        <v/>
      </c>
      <c r="N170" s="450" t="str">
        <f ca="1">+'R4 Variations'!N170</f>
        <v/>
      </c>
    </row>
    <row r="171" spans="1:14">
      <c r="A171" s="5"/>
      <c r="B171" s="249"/>
      <c r="C171" s="384" t="str">
        <f ca="1">+'R4 Variations'!C171</f>
        <v/>
      </c>
      <c r="D171" s="491">
        <f ca="1">IF(ISNUMBER('R4 Variations'!D171),+'R4 Variations'!D171*LU_Escalation,0)</f>
        <v>0</v>
      </c>
      <c r="E171" s="850">
        <f ca="1">IF(ISNUMBER('R4 Variations'!E171),+'R4 Variations'!E171*LU_Escalation,0)</f>
        <v>0</v>
      </c>
      <c r="F171" s="491">
        <f ca="1">IF(ISNUMBER('R4 Variations'!F171),+'R4 Variations'!F171*LU_Escalation,0)</f>
        <v>0</v>
      </c>
      <c r="G171" s="491">
        <f ca="1">IF(ISNUMBER('R4 Variations'!G171),+'R4 Variations'!G171*LU_Escalation,0)</f>
        <v>0</v>
      </c>
      <c r="H171" s="491">
        <f ca="1">IF(ISNUMBER('R4 Variations'!H171),+'R4 Variations'!H171*LU_Escalation,0)</f>
        <v>0</v>
      </c>
      <c r="I171" s="491">
        <f ca="1">IF(ISNUMBER('R4 Variations'!I171),+'R4 Variations'!I171*LU_Escalation,0)</f>
        <v>0</v>
      </c>
      <c r="J171" s="491">
        <f ca="1">IF(ISNUMBER('R4 Variations'!J171),+'R4 Variations'!J171*LU_Escalation,0)</f>
        <v>0</v>
      </c>
      <c r="K171" s="491">
        <f ca="1">IF(ISNUMBER('R4 Variations'!K171),+'R4 Variations'!K171*LU_Escalation,0)</f>
        <v>0</v>
      </c>
      <c r="L171" s="515" t="str">
        <f ca="1">+'R4 Variations'!L171</f>
        <v/>
      </c>
      <c r="M171" s="450" t="str">
        <f ca="1">+'R4 Variations'!M171</f>
        <v/>
      </c>
      <c r="N171" s="450" t="str">
        <f ca="1">+'R4 Variations'!N171</f>
        <v/>
      </c>
    </row>
    <row r="172" spans="1:14">
      <c r="A172" s="5"/>
      <c r="B172" s="249"/>
      <c r="C172" s="384" t="str">
        <f ca="1">+'R4 Variations'!C172</f>
        <v/>
      </c>
      <c r="D172" s="491">
        <f ca="1">IF(ISNUMBER('R4 Variations'!D172),+'R4 Variations'!D172*LU_Escalation,0)</f>
        <v>0</v>
      </c>
      <c r="E172" s="850">
        <f ca="1">IF(ISNUMBER('R4 Variations'!E172),+'R4 Variations'!E172*LU_Escalation,0)</f>
        <v>0</v>
      </c>
      <c r="F172" s="491">
        <f ca="1">IF(ISNUMBER('R4 Variations'!F172),+'R4 Variations'!F172*LU_Escalation,0)</f>
        <v>0</v>
      </c>
      <c r="G172" s="491">
        <f ca="1">IF(ISNUMBER('R4 Variations'!G172),+'R4 Variations'!G172*LU_Escalation,0)</f>
        <v>0</v>
      </c>
      <c r="H172" s="491">
        <f ca="1">IF(ISNUMBER('R4 Variations'!H172),+'R4 Variations'!H172*LU_Escalation,0)</f>
        <v>0</v>
      </c>
      <c r="I172" s="491">
        <f ca="1">IF(ISNUMBER('R4 Variations'!I172),+'R4 Variations'!I172*LU_Escalation,0)</f>
        <v>0</v>
      </c>
      <c r="J172" s="491">
        <f ca="1">IF(ISNUMBER('R4 Variations'!J172),+'R4 Variations'!J172*LU_Escalation,0)</f>
        <v>0</v>
      </c>
      <c r="K172" s="491">
        <f ca="1">IF(ISNUMBER('R4 Variations'!K172),+'R4 Variations'!K172*LU_Escalation,0)</f>
        <v>0</v>
      </c>
      <c r="L172" s="515" t="str">
        <f ca="1">+'R4 Variations'!L172</f>
        <v/>
      </c>
      <c r="M172" s="450" t="str">
        <f ca="1">+'R4 Variations'!M172</f>
        <v/>
      </c>
      <c r="N172" s="450" t="str">
        <f ca="1">+'R4 Variations'!N172</f>
        <v/>
      </c>
    </row>
    <row r="173" spans="1:14">
      <c r="A173" s="5"/>
      <c r="B173" s="249"/>
      <c r="C173" s="384" t="str">
        <f ca="1">+'R4 Variations'!C173</f>
        <v/>
      </c>
      <c r="D173" s="491">
        <f ca="1">IF(ISNUMBER('R4 Variations'!D173),+'R4 Variations'!D173*LU_Escalation,0)</f>
        <v>0</v>
      </c>
      <c r="E173" s="850">
        <f ca="1">IF(ISNUMBER('R4 Variations'!E173),+'R4 Variations'!E173*LU_Escalation,0)</f>
        <v>0</v>
      </c>
      <c r="F173" s="491">
        <f ca="1">IF(ISNUMBER('R4 Variations'!F173),+'R4 Variations'!F173*LU_Escalation,0)</f>
        <v>0</v>
      </c>
      <c r="G173" s="491">
        <f ca="1">IF(ISNUMBER('R4 Variations'!G173),+'R4 Variations'!G173*LU_Escalation,0)</f>
        <v>0</v>
      </c>
      <c r="H173" s="491">
        <f ca="1">IF(ISNUMBER('R4 Variations'!H173),+'R4 Variations'!H173*LU_Escalation,0)</f>
        <v>0</v>
      </c>
      <c r="I173" s="491">
        <f ca="1">IF(ISNUMBER('R4 Variations'!I173),+'R4 Variations'!I173*LU_Escalation,0)</f>
        <v>0</v>
      </c>
      <c r="J173" s="491">
        <f ca="1">IF(ISNUMBER('R4 Variations'!J173),+'R4 Variations'!J173*LU_Escalation,0)</f>
        <v>0</v>
      </c>
      <c r="K173" s="491">
        <f ca="1">IF(ISNUMBER('R4 Variations'!K173),+'R4 Variations'!K173*LU_Escalation,0)</f>
        <v>0</v>
      </c>
      <c r="L173" s="515" t="str">
        <f ca="1">+'R4 Variations'!L173</f>
        <v/>
      </c>
      <c r="M173" s="450" t="str">
        <f ca="1">+'R4 Variations'!M173</f>
        <v/>
      </c>
      <c r="N173" s="450" t="str">
        <f ca="1">+'R4 Variations'!N173</f>
        <v/>
      </c>
    </row>
    <row r="174" spans="1:14">
      <c r="A174" s="5"/>
      <c r="B174" s="249"/>
      <c r="C174" s="384" t="str">
        <f ca="1">+'R4 Variations'!C174</f>
        <v/>
      </c>
      <c r="D174" s="491">
        <f ca="1">IF(ISNUMBER('R4 Variations'!D174),+'R4 Variations'!D174*LU_Escalation,0)</f>
        <v>0</v>
      </c>
      <c r="E174" s="850">
        <f ca="1">IF(ISNUMBER('R4 Variations'!E174),+'R4 Variations'!E174*LU_Escalation,0)</f>
        <v>0</v>
      </c>
      <c r="F174" s="491">
        <f ca="1">IF(ISNUMBER('R4 Variations'!F174),+'R4 Variations'!F174*LU_Escalation,0)</f>
        <v>0</v>
      </c>
      <c r="G174" s="491">
        <f ca="1">IF(ISNUMBER('R4 Variations'!G174),+'R4 Variations'!G174*LU_Escalation,0)</f>
        <v>0</v>
      </c>
      <c r="H174" s="491">
        <f ca="1">IF(ISNUMBER('R4 Variations'!H174),+'R4 Variations'!H174*LU_Escalation,0)</f>
        <v>0</v>
      </c>
      <c r="I174" s="491">
        <f ca="1">IF(ISNUMBER('R4 Variations'!I174),+'R4 Variations'!I174*LU_Escalation,0)</f>
        <v>0</v>
      </c>
      <c r="J174" s="491">
        <f ca="1">IF(ISNUMBER('R4 Variations'!J174),+'R4 Variations'!J174*LU_Escalation,0)</f>
        <v>0</v>
      </c>
      <c r="K174" s="491">
        <f ca="1">IF(ISNUMBER('R4 Variations'!K174),+'R4 Variations'!K174*LU_Escalation,0)</f>
        <v>0</v>
      </c>
      <c r="L174" s="515" t="str">
        <f ca="1">+'R4 Variations'!L174</f>
        <v/>
      </c>
      <c r="M174" s="450" t="str">
        <f ca="1">+'R4 Variations'!M174</f>
        <v/>
      </c>
      <c r="N174" s="450" t="str">
        <f ca="1">+'R4 Variations'!N174</f>
        <v/>
      </c>
    </row>
    <row r="175" spans="1:14">
      <c r="A175" s="5"/>
      <c r="B175" s="249"/>
      <c r="C175" s="384" t="str">
        <f ca="1">+'R4 Variations'!C175</f>
        <v/>
      </c>
      <c r="D175" s="491">
        <f ca="1">IF(ISNUMBER('R4 Variations'!D175),+'R4 Variations'!D175*LU_Escalation,0)</f>
        <v>0</v>
      </c>
      <c r="E175" s="850">
        <f ca="1">IF(ISNUMBER('R4 Variations'!E175),+'R4 Variations'!E175*LU_Escalation,0)</f>
        <v>0</v>
      </c>
      <c r="F175" s="491">
        <f ca="1">IF(ISNUMBER('R4 Variations'!F175),+'R4 Variations'!F175*LU_Escalation,0)</f>
        <v>0</v>
      </c>
      <c r="G175" s="491">
        <f ca="1">IF(ISNUMBER('R4 Variations'!G175),+'R4 Variations'!G175*LU_Escalation,0)</f>
        <v>0</v>
      </c>
      <c r="H175" s="491">
        <f ca="1">IF(ISNUMBER('R4 Variations'!H175),+'R4 Variations'!H175*LU_Escalation,0)</f>
        <v>0</v>
      </c>
      <c r="I175" s="491">
        <f ca="1">IF(ISNUMBER('R4 Variations'!I175),+'R4 Variations'!I175*LU_Escalation,0)</f>
        <v>0</v>
      </c>
      <c r="J175" s="491">
        <f ca="1">IF(ISNUMBER('R4 Variations'!J175),+'R4 Variations'!J175*LU_Escalation,0)</f>
        <v>0</v>
      </c>
      <c r="K175" s="491">
        <f ca="1">IF(ISNUMBER('R4 Variations'!K175),+'R4 Variations'!K175*LU_Escalation,0)</f>
        <v>0</v>
      </c>
      <c r="L175" s="515" t="str">
        <f ca="1">+'R4 Variations'!L175</f>
        <v/>
      </c>
      <c r="M175" s="450" t="str">
        <f ca="1">+'R4 Variations'!M175</f>
        <v/>
      </c>
      <c r="N175" s="450" t="str">
        <f ca="1">+'R4 Variations'!N175</f>
        <v/>
      </c>
    </row>
    <row r="176" spans="1:14">
      <c r="A176" s="5"/>
      <c r="B176" s="249"/>
      <c r="C176" s="12"/>
      <c r="D176" s="491"/>
      <c r="E176" s="508"/>
      <c r="F176" s="491"/>
      <c r="G176" s="492"/>
      <c r="H176" s="492"/>
      <c r="I176" s="492"/>
      <c r="J176" s="492"/>
      <c r="K176" s="508"/>
      <c r="L176" s="515"/>
      <c r="M176" s="450"/>
      <c r="N176" s="450"/>
    </row>
    <row r="177" spans="1:14">
      <c r="A177" s="5"/>
      <c r="B177" s="249" t="str">
        <f ca="1">+'I-4 History'!B133</f>
        <v>DA-15</v>
      </c>
      <c r="C177" s="14" t="str">
        <f ca="1">+'I-4 History'!C133</f>
        <v>Emergency Response</v>
      </c>
      <c r="D177" s="491"/>
      <c r="E177" s="508"/>
      <c r="F177" s="491"/>
      <c r="G177" s="492"/>
      <c r="H177" s="492"/>
      <c r="I177" s="492"/>
      <c r="J177" s="492"/>
      <c r="K177" s="508"/>
      <c r="L177" s="515"/>
      <c r="M177" s="450"/>
      <c r="N177" s="450"/>
    </row>
    <row r="178" spans="1:14">
      <c r="A178" s="5"/>
      <c r="B178" s="249"/>
      <c r="C178" s="384" t="str">
        <f ca="1">+'R4 Variations'!C178</f>
        <v>Step Change</v>
      </c>
      <c r="D178" s="491">
        <f ca="1">IF(ISNUMBER('R4 Variations'!D178),+'R4 Variations'!D178*LU_Escalation,0)</f>
        <v>0</v>
      </c>
      <c r="E178" s="850">
        <f ca="1">IF(ISNUMBER('R4 Variations'!E178),+'R4 Variations'!E178*LU_Escalation,0)</f>
        <v>0</v>
      </c>
      <c r="F178" s="491">
        <f ca="1">IF(ISNUMBER('R4 Variations'!F178),+'R4 Variations'!F178*LU_Escalation,0)</f>
        <v>0</v>
      </c>
      <c r="G178" s="491">
        <f ca="1">IF(ISNUMBER('R4 Variations'!G178),+'R4 Variations'!G178*LU_Escalation,0)</f>
        <v>0</v>
      </c>
      <c r="H178" s="491">
        <f ca="1">IF(ISNUMBER('R4 Variations'!H178),+'R4 Variations'!H178*LU_Escalation,0)</f>
        <v>0</v>
      </c>
      <c r="I178" s="491">
        <f ca="1">IF(ISNUMBER('R4 Variations'!I178),+'R4 Variations'!I178*LU_Escalation,0)</f>
        <v>0</v>
      </c>
      <c r="J178" s="491">
        <f ca="1">IF(ISNUMBER('R4 Variations'!J178),+'R4 Variations'!J178*LU_Escalation,0)</f>
        <v>0</v>
      </c>
      <c r="K178" s="491">
        <f ca="1">IF(ISNUMBER('R4 Variations'!K178),+'R4 Variations'!K178*LU_Escalation,0)</f>
        <v>0</v>
      </c>
      <c r="L178" s="515" t="str">
        <f ca="1">+'R4 Variations'!L178</f>
        <v>Proposal Step Change</v>
      </c>
      <c r="M178" s="450" t="str">
        <f ca="1">+'R4 Variations'!M178</f>
        <v>Refer Opex Workings</v>
      </c>
      <c r="N178" s="450" t="str">
        <f ca="1">+'R4 Variations'!N178</f>
        <v>Proposal, October 2014</v>
      </c>
    </row>
    <row r="179" spans="1:14">
      <c r="A179" s="5"/>
      <c r="B179" s="249"/>
      <c r="C179" s="384" t="str">
        <f ca="1">+'R4 Variations'!C179</f>
        <v/>
      </c>
      <c r="D179" s="491">
        <f ca="1">IF(ISNUMBER('R4 Variations'!D179),+'R4 Variations'!D179*LU_Escalation,0)</f>
        <v>0</v>
      </c>
      <c r="E179" s="850">
        <f ca="1">IF(ISNUMBER('R4 Variations'!E179),+'R4 Variations'!E179*LU_Escalation,0)</f>
        <v>0</v>
      </c>
      <c r="F179" s="491">
        <f ca="1">IF(ISNUMBER('R4 Variations'!F179),+'R4 Variations'!F179*LU_Escalation,0)</f>
        <v>0</v>
      </c>
      <c r="G179" s="491">
        <f ca="1">IF(ISNUMBER('R4 Variations'!G179),+'R4 Variations'!G179*LU_Escalation,0)</f>
        <v>0</v>
      </c>
      <c r="H179" s="491">
        <f ca="1">IF(ISNUMBER('R4 Variations'!H179),+'R4 Variations'!H179*LU_Escalation,0)</f>
        <v>0</v>
      </c>
      <c r="I179" s="491">
        <f ca="1">IF(ISNUMBER('R4 Variations'!I179),+'R4 Variations'!I179*LU_Escalation,0)</f>
        <v>0</v>
      </c>
      <c r="J179" s="491">
        <f ca="1">IF(ISNUMBER('R4 Variations'!J179),+'R4 Variations'!J179*LU_Escalation,0)</f>
        <v>0</v>
      </c>
      <c r="K179" s="491">
        <f ca="1">IF(ISNUMBER('R4 Variations'!K179),+'R4 Variations'!K179*LU_Escalation,0)</f>
        <v>0</v>
      </c>
      <c r="L179" s="515" t="str">
        <f ca="1">+'R4 Variations'!L179</f>
        <v/>
      </c>
      <c r="M179" s="450" t="str">
        <f ca="1">+'R4 Variations'!M179</f>
        <v/>
      </c>
      <c r="N179" s="450" t="str">
        <f ca="1">+'R4 Variations'!N179</f>
        <v/>
      </c>
    </row>
    <row r="180" spans="1:14">
      <c r="A180" s="5"/>
      <c r="B180" s="249"/>
      <c r="C180" s="384" t="str">
        <f ca="1">+'R4 Variations'!C180</f>
        <v/>
      </c>
      <c r="D180" s="491">
        <f ca="1">IF(ISNUMBER('R4 Variations'!D180),+'R4 Variations'!D180*LU_Escalation,0)</f>
        <v>0</v>
      </c>
      <c r="E180" s="850">
        <f ca="1">IF(ISNUMBER('R4 Variations'!E180),+'R4 Variations'!E180*LU_Escalation,0)</f>
        <v>0</v>
      </c>
      <c r="F180" s="491">
        <f ca="1">IF(ISNUMBER('R4 Variations'!F180),+'R4 Variations'!F180*LU_Escalation,0)</f>
        <v>0</v>
      </c>
      <c r="G180" s="491">
        <f ca="1">IF(ISNUMBER('R4 Variations'!G180),+'R4 Variations'!G180*LU_Escalation,0)</f>
        <v>0</v>
      </c>
      <c r="H180" s="491">
        <f ca="1">IF(ISNUMBER('R4 Variations'!H180),+'R4 Variations'!H180*LU_Escalation,0)</f>
        <v>0</v>
      </c>
      <c r="I180" s="491">
        <f ca="1">IF(ISNUMBER('R4 Variations'!I180),+'R4 Variations'!I180*LU_Escalation,0)</f>
        <v>0</v>
      </c>
      <c r="J180" s="491">
        <f ca="1">IF(ISNUMBER('R4 Variations'!J180),+'R4 Variations'!J180*LU_Escalation,0)</f>
        <v>0</v>
      </c>
      <c r="K180" s="491">
        <f ca="1">IF(ISNUMBER('R4 Variations'!K180),+'R4 Variations'!K180*LU_Escalation,0)</f>
        <v>0</v>
      </c>
      <c r="L180" s="515" t="str">
        <f ca="1">+'R4 Variations'!L180</f>
        <v/>
      </c>
      <c r="M180" s="450" t="str">
        <f ca="1">+'R4 Variations'!M180</f>
        <v/>
      </c>
      <c r="N180" s="450" t="str">
        <f ca="1">+'R4 Variations'!N180</f>
        <v/>
      </c>
    </row>
    <row r="181" spans="1:14">
      <c r="A181" s="5"/>
      <c r="B181" s="249"/>
      <c r="C181" s="384" t="str">
        <f ca="1">+'R4 Variations'!C181</f>
        <v/>
      </c>
      <c r="D181" s="491">
        <f ca="1">IF(ISNUMBER('R4 Variations'!D181),+'R4 Variations'!D181*LU_Escalation,0)</f>
        <v>0</v>
      </c>
      <c r="E181" s="850">
        <f ca="1">IF(ISNUMBER('R4 Variations'!E181),+'R4 Variations'!E181*LU_Escalation,0)</f>
        <v>0</v>
      </c>
      <c r="F181" s="491">
        <f ca="1">IF(ISNUMBER('R4 Variations'!F181),+'R4 Variations'!F181*LU_Escalation,0)</f>
        <v>0</v>
      </c>
      <c r="G181" s="491">
        <f ca="1">IF(ISNUMBER('R4 Variations'!G181),+'R4 Variations'!G181*LU_Escalation,0)</f>
        <v>0</v>
      </c>
      <c r="H181" s="491">
        <f ca="1">IF(ISNUMBER('R4 Variations'!H181),+'R4 Variations'!H181*LU_Escalation,0)</f>
        <v>0</v>
      </c>
      <c r="I181" s="491">
        <f ca="1">IF(ISNUMBER('R4 Variations'!I181),+'R4 Variations'!I181*LU_Escalation,0)</f>
        <v>0</v>
      </c>
      <c r="J181" s="491">
        <f ca="1">IF(ISNUMBER('R4 Variations'!J181),+'R4 Variations'!J181*LU_Escalation,0)</f>
        <v>0</v>
      </c>
      <c r="K181" s="491">
        <f ca="1">IF(ISNUMBER('R4 Variations'!K181),+'R4 Variations'!K181*LU_Escalation,0)</f>
        <v>0</v>
      </c>
      <c r="L181" s="515" t="str">
        <f ca="1">+'R4 Variations'!L181</f>
        <v/>
      </c>
      <c r="M181" s="450" t="str">
        <f ca="1">+'R4 Variations'!M181</f>
        <v/>
      </c>
      <c r="N181" s="450" t="str">
        <f ca="1">+'R4 Variations'!N181</f>
        <v/>
      </c>
    </row>
    <row r="182" spans="1:14">
      <c r="A182" s="5"/>
      <c r="B182" s="249"/>
      <c r="C182" s="384" t="str">
        <f ca="1">+'R4 Variations'!C182</f>
        <v/>
      </c>
      <c r="D182" s="491">
        <f ca="1">IF(ISNUMBER('R4 Variations'!D182),+'R4 Variations'!D182*LU_Escalation,0)</f>
        <v>0</v>
      </c>
      <c r="E182" s="850">
        <f ca="1">IF(ISNUMBER('R4 Variations'!E182),+'R4 Variations'!E182*LU_Escalation,0)</f>
        <v>0</v>
      </c>
      <c r="F182" s="491">
        <f ca="1">IF(ISNUMBER('R4 Variations'!F182),+'R4 Variations'!F182*LU_Escalation,0)</f>
        <v>0</v>
      </c>
      <c r="G182" s="491">
        <f ca="1">IF(ISNUMBER('R4 Variations'!G182),+'R4 Variations'!G182*LU_Escalation,0)</f>
        <v>0</v>
      </c>
      <c r="H182" s="491">
        <f ca="1">IF(ISNUMBER('R4 Variations'!H182),+'R4 Variations'!H182*LU_Escalation,0)</f>
        <v>0</v>
      </c>
      <c r="I182" s="491">
        <f ca="1">IF(ISNUMBER('R4 Variations'!I182),+'R4 Variations'!I182*LU_Escalation,0)</f>
        <v>0</v>
      </c>
      <c r="J182" s="491">
        <f ca="1">IF(ISNUMBER('R4 Variations'!J182),+'R4 Variations'!J182*LU_Escalation,0)</f>
        <v>0</v>
      </c>
      <c r="K182" s="491">
        <f ca="1">IF(ISNUMBER('R4 Variations'!K182),+'R4 Variations'!K182*LU_Escalation,0)</f>
        <v>0</v>
      </c>
      <c r="L182" s="515" t="str">
        <f ca="1">+'R4 Variations'!L182</f>
        <v/>
      </c>
      <c r="M182" s="450" t="str">
        <f ca="1">+'R4 Variations'!M182</f>
        <v/>
      </c>
      <c r="N182" s="450" t="str">
        <f ca="1">+'R4 Variations'!N182</f>
        <v/>
      </c>
    </row>
    <row r="183" spans="1:14">
      <c r="A183" s="5"/>
      <c r="B183" s="249"/>
      <c r="C183" s="384" t="str">
        <f ca="1">+'R4 Variations'!C183</f>
        <v/>
      </c>
      <c r="D183" s="491">
        <f ca="1">IF(ISNUMBER('R4 Variations'!D183),+'R4 Variations'!D183*LU_Escalation,0)</f>
        <v>0</v>
      </c>
      <c r="E183" s="850">
        <f ca="1">IF(ISNUMBER('R4 Variations'!E183),+'R4 Variations'!E183*LU_Escalation,0)</f>
        <v>0</v>
      </c>
      <c r="F183" s="491">
        <f ca="1">IF(ISNUMBER('R4 Variations'!F183),+'R4 Variations'!F183*LU_Escalation,0)</f>
        <v>0</v>
      </c>
      <c r="G183" s="491">
        <f ca="1">IF(ISNUMBER('R4 Variations'!G183),+'R4 Variations'!G183*LU_Escalation,0)</f>
        <v>0</v>
      </c>
      <c r="H183" s="491">
        <f ca="1">IF(ISNUMBER('R4 Variations'!H183),+'R4 Variations'!H183*LU_Escalation,0)</f>
        <v>0</v>
      </c>
      <c r="I183" s="491">
        <f ca="1">IF(ISNUMBER('R4 Variations'!I183),+'R4 Variations'!I183*LU_Escalation,0)</f>
        <v>0</v>
      </c>
      <c r="J183" s="491">
        <f ca="1">IF(ISNUMBER('R4 Variations'!J183),+'R4 Variations'!J183*LU_Escalation,0)</f>
        <v>0</v>
      </c>
      <c r="K183" s="491">
        <f ca="1">IF(ISNUMBER('R4 Variations'!K183),+'R4 Variations'!K183*LU_Escalation,0)</f>
        <v>0</v>
      </c>
      <c r="L183" s="515" t="str">
        <f ca="1">+'R4 Variations'!L183</f>
        <v/>
      </c>
      <c r="M183" s="450" t="str">
        <f ca="1">+'R4 Variations'!M183</f>
        <v/>
      </c>
      <c r="N183" s="450" t="str">
        <f ca="1">+'R4 Variations'!N183</f>
        <v/>
      </c>
    </row>
    <row r="184" spans="1:14">
      <c r="A184" s="5"/>
      <c r="B184" s="249"/>
      <c r="C184" s="384" t="str">
        <f ca="1">+'R4 Variations'!C184</f>
        <v/>
      </c>
      <c r="D184" s="491">
        <f ca="1">IF(ISNUMBER('R4 Variations'!D184),+'R4 Variations'!D184*LU_Escalation,0)</f>
        <v>0</v>
      </c>
      <c r="E184" s="850">
        <f ca="1">IF(ISNUMBER('R4 Variations'!E184),+'R4 Variations'!E184*LU_Escalation,0)</f>
        <v>0</v>
      </c>
      <c r="F184" s="491">
        <f ca="1">IF(ISNUMBER('R4 Variations'!F184),+'R4 Variations'!F184*LU_Escalation,0)</f>
        <v>0</v>
      </c>
      <c r="G184" s="491">
        <f ca="1">IF(ISNUMBER('R4 Variations'!G184),+'R4 Variations'!G184*LU_Escalation,0)</f>
        <v>0</v>
      </c>
      <c r="H184" s="491">
        <f ca="1">IF(ISNUMBER('R4 Variations'!H184),+'R4 Variations'!H184*LU_Escalation,0)</f>
        <v>0</v>
      </c>
      <c r="I184" s="491">
        <f ca="1">IF(ISNUMBER('R4 Variations'!I184),+'R4 Variations'!I184*LU_Escalation,0)</f>
        <v>0</v>
      </c>
      <c r="J184" s="491">
        <f ca="1">IF(ISNUMBER('R4 Variations'!J184),+'R4 Variations'!J184*LU_Escalation,0)</f>
        <v>0</v>
      </c>
      <c r="K184" s="491">
        <f ca="1">IF(ISNUMBER('R4 Variations'!K184),+'R4 Variations'!K184*LU_Escalation,0)</f>
        <v>0</v>
      </c>
      <c r="L184" s="515" t="str">
        <f ca="1">+'R4 Variations'!L184</f>
        <v/>
      </c>
      <c r="M184" s="450" t="str">
        <f ca="1">+'R4 Variations'!M184</f>
        <v/>
      </c>
      <c r="N184" s="450" t="str">
        <f ca="1">+'R4 Variations'!N184</f>
        <v/>
      </c>
    </row>
    <row r="185" spans="1:14">
      <c r="A185" s="5"/>
      <c r="B185" s="249"/>
      <c r="C185" s="384" t="str">
        <f ca="1">+'R4 Variations'!C185</f>
        <v/>
      </c>
      <c r="D185" s="491">
        <f ca="1">IF(ISNUMBER('R4 Variations'!D185),+'R4 Variations'!D185*LU_Escalation,0)</f>
        <v>0</v>
      </c>
      <c r="E185" s="850">
        <f ca="1">IF(ISNUMBER('R4 Variations'!E185),+'R4 Variations'!E185*LU_Escalation,0)</f>
        <v>0</v>
      </c>
      <c r="F185" s="491">
        <f ca="1">IF(ISNUMBER('R4 Variations'!F185),+'R4 Variations'!F185*LU_Escalation,0)</f>
        <v>0</v>
      </c>
      <c r="G185" s="491">
        <f ca="1">IF(ISNUMBER('R4 Variations'!G185),+'R4 Variations'!G185*LU_Escalation,0)</f>
        <v>0</v>
      </c>
      <c r="H185" s="491">
        <f ca="1">IF(ISNUMBER('R4 Variations'!H185),+'R4 Variations'!H185*LU_Escalation,0)</f>
        <v>0</v>
      </c>
      <c r="I185" s="491">
        <f ca="1">IF(ISNUMBER('R4 Variations'!I185),+'R4 Variations'!I185*LU_Escalation,0)</f>
        <v>0</v>
      </c>
      <c r="J185" s="491">
        <f ca="1">IF(ISNUMBER('R4 Variations'!J185),+'R4 Variations'!J185*LU_Escalation,0)</f>
        <v>0</v>
      </c>
      <c r="K185" s="491">
        <f ca="1">IF(ISNUMBER('R4 Variations'!K185),+'R4 Variations'!K185*LU_Escalation,0)</f>
        <v>0</v>
      </c>
      <c r="L185" s="515" t="str">
        <f ca="1">+'R4 Variations'!L185</f>
        <v/>
      </c>
      <c r="M185" s="450" t="str">
        <f ca="1">+'R4 Variations'!M185</f>
        <v/>
      </c>
      <c r="N185" s="450" t="str">
        <f ca="1">+'R4 Variations'!N185</f>
        <v/>
      </c>
    </row>
    <row r="186" spans="1:14">
      <c r="A186" s="5"/>
      <c r="B186" s="249"/>
      <c r="C186" s="384" t="str">
        <f ca="1">+'R4 Variations'!C186</f>
        <v/>
      </c>
      <c r="D186" s="491">
        <f ca="1">IF(ISNUMBER('R4 Variations'!D186),+'R4 Variations'!D186*LU_Escalation,0)</f>
        <v>0</v>
      </c>
      <c r="E186" s="850">
        <f ca="1">IF(ISNUMBER('R4 Variations'!E186),+'R4 Variations'!E186*LU_Escalation,0)</f>
        <v>0</v>
      </c>
      <c r="F186" s="491">
        <f ca="1">IF(ISNUMBER('R4 Variations'!F186),+'R4 Variations'!F186*LU_Escalation,0)</f>
        <v>0</v>
      </c>
      <c r="G186" s="491">
        <f ca="1">IF(ISNUMBER('R4 Variations'!G186),+'R4 Variations'!G186*LU_Escalation,0)</f>
        <v>0</v>
      </c>
      <c r="H186" s="491">
        <f ca="1">IF(ISNUMBER('R4 Variations'!H186),+'R4 Variations'!H186*LU_Escalation,0)</f>
        <v>0</v>
      </c>
      <c r="I186" s="491">
        <f ca="1">IF(ISNUMBER('R4 Variations'!I186),+'R4 Variations'!I186*LU_Escalation,0)</f>
        <v>0</v>
      </c>
      <c r="J186" s="491">
        <f ca="1">IF(ISNUMBER('R4 Variations'!J186),+'R4 Variations'!J186*LU_Escalation,0)</f>
        <v>0</v>
      </c>
      <c r="K186" s="491">
        <f ca="1">IF(ISNUMBER('R4 Variations'!K186),+'R4 Variations'!K186*LU_Escalation,0)</f>
        <v>0</v>
      </c>
      <c r="L186" s="515" t="str">
        <f ca="1">+'R4 Variations'!L186</f>
        <v/>
      </c>
      <c r="M186" s="450" t="str">
        <f ca="1">+'R4 Variations'!M186</f>
        <v/>
      </c>
      <c r="N186" s="450" t="str">
        <f ca="1">+'R4 Variations'!N186</f>
        <v/>
      </c>
    </row>
    <row r="187" spans="1:14">
      <c r="A187" s="5"/>
      <c r="B187" s="249"/>
      <c r="C187" s="384" t="str">
        <f ca="1">+'R4 Variations'!C187</f>
        <v/>
      </c>
      <c r="D187" s="491">
        <f ca="1">IF(ISNUMBER('R4 Variations'!D187),+'R4 Variations'!D187*LU_Escalation,0)</f>
        <v>0</v>
      </c>
      <c r="E187" s="850">
        <f ca="1">IF(ISNUMBER('R4 Variations'!E187),+'R4 Variations'!E187*LU_Escalation,0)</f>
        <v>0</v>
      </c>
      <c r="F187" s="491">
        <f ca="1">IF(ISNUMBER('R4 Variations'!F187),+'R4 Variations'!F187*LU_Escalation,0)</f>
        <v>0</v>
      </c>
      <c r="G187" s="491">
        <f ca="1">IF(ISNUMBER('R4 Variations'!G187),+'R4 Variations'!G187*LU_Escalation,0)</f>
        <v>0</v>
      </c>
      <c r="H187" s="491">
        <f ca="1">IF(ISNUMBER('R4 Variations'!H187),+'R4 Variations'!H187*LU_Escalation,0)</f>
        <v>0</v>
      </c>
      <c r="I187" s="491">
        <f ca="1">IF(ISNUMBER('R4 Variations'!I187),+'R4 Variations'!I187*LU_Escalation,0)</f>
        <v>0</v>
      </c>
      <c r="J187" s="491">
        <f ca="1">IF(ISNUMBER('R4 Variations'!J187),+'R4 Variations'!J187*LU_Escalation,0)</f>
        <v>0</v>
      </c>
      <c r="K187" s="491">
        <f ca="1">IF(ISNUMBER('R4 Variations'!K187),+'R4 Variations'!K187*LU_Escalation,0)</f>
        <v>0</v>
      </c>
      <c r="L187" s="515" t="str">
        <f ca="1">+'R4 Variations'!L187</f>
        <v/>
      </c>
      <c r="M187" s="450" t="str">
        <f ca="1">+'R4 Variations'!M187</f>
        <v/>
      </c>
      <c r="N187" s="450" t="str">
        <f ca="1">+'R4 Variations'!N187</f>
        <v/>
      </c>
    </row>
    <row r="188" spans="1:14">
      <c r="A188" s="5"/>
      <c r="B188" s="249"/>
      <c r="C188" s="12"/>
      <c r="D188" s="491"/>
      <c r="E188" s="508"/>
      <c r="F188" s="491"/>
      <c r="G188" s="492"/>
      <c r="H188" s="492"/>
      <c r="I188" s="492"/>
      <c r="J188" s="492"/>
      <c r="K188" s="508"/>
      <c r="L188" s="515"/>
      <c r="M188" s="450"/>
      <c r="N188" s="450"/>
    </row>
    <row r="189" spans="1:14">
      <c r="A189" s="5"/>
      <c r="B189" s="249" t="str">
        <f ca="1">+'I-4 History'!B142</f>
        <v>DA-16</v>
      </c>
      <c r="C189" s="14" t="str">
        <f ca="1">+'I-4 History'!C142</f>
        <v>Meter Reading Charges</v>
      </c>
      <c r="D189" s="491"/>
      <c r="E189" s="508"/>
      <c r="F189" s="491"/>
      <c r="G189" s="492"/>
      <c r="H189" s="492"/>
      <c r="I189" s="492"/>
      <c r="J189" s="492"/>
      <c r="K189" s="508"/>
      <c r="L189" s="515"/>
      <c r="M189" s="450"/>
      <c r="N189" s="450"/>
    </row>
    <row r="190" spans="1:14">
      <c r="A190" s="5"/>
      <c r="B190" s="249"/>
      <c r="C190" s="384" t="str">
        <f ca="1">+'R4 Variations'!C190</f>
        <v>Step Change</v>
      </c>
      <c r="D190" s="491">
        <f ca="1">IF(ISNUMBER('R4 Variations'!D190),+'R4 Variations'!D190*LU_Escalation,0)</f>
        <v>0</v>
      </c>
      <c r="E190" s="850">
        <f ca="1">IF(ISNUMBER('R4 Variations'!E190),+'R4 Variations'!E190*LU_Escalation,0)</f>
        <v>0</v>
      </c>
      <c r="F190" s="491">
        <f ca="1">IF(ISNUMBER('R4 Variations'!F190),+'R4 Variations'!F190*LU_Escalation,0)</f>
        <v>0</v>
      </c>
      <c r="G190" s="491">
        <f ca="1">IF(ISNUMBER('R4 Variations'!G190),+'R4 Variations'!G190*LU_Escalation,0)</f>
        <v>0</v>
      </c>
      <c r="H190" s="491">
        <f ca="1">IF(ISNUMBER('R4 Variations'!H190),+'R4 Variations'!H190*LU_Escalation,0)</f>
        <v>0</v>
      </c>
      <c r="I190" s="491">
        <f ca="1">IF(ISNUMBER('R4 Variations'!I190),+'R4 Variations'!I190*LU_Escalation,0)</f>
        <v>0</v>
      </c>
      <c r="J190" s="491">
        <f ca="1">IF(ISNUMBER('R4 Variations'!J190),+'R4 Variations'!J190*LU_Escalation,0)</f>
        <v>0</v>
      </c>
      <c r="K190" s="491">
        <f ca="1">IF(ISNUMBER('R4 Variations'!K190),+'R4 Variations'!K190*LU_Escalation,0)</f>
        <v>0</v>
      </c>
      <c r="L190" s="515" t="str">
        <f ca="1">+'R4 Variations'!L190</f>
        <v>Proposal Step Change</v>
      </c>
      <c r="M190" s="450" t="str">
        <f ca="1">+'R4 Variations'!M190</f>
        <v>Refer Opex Workings</v>
      </c>
      <c r="N190" s="450" t="str">
        <f ca="1">+'R4 Variations'!N190</f>
        <v>Proposal, October 2014</v>
      </c>
    </row>
    <row r="191" spans="1:14">
      <c r="A191" s="5"/>
      <c r="B191" s="249"/>
      <c r="C191" s="384" t="str">
        <f ca="1">+'R4 Variations'!C191</f>
        <v/>
      </c>
      <c r="D191" s="491">
        <f ca="1">IF(ISNUMBER('R4 Variations'!D191),+'R4 Variations'!D191*LU_Escalation,0)</f>
        <v>0</v>
      </c>
      <c r="E191" s="850">
        <f ca="1">IF(ISNUMBER('R4 Variations'!E191),+'R4 Variations'!E191*LU_Escalation,0)</f>
        <v>0</v>
      </c>
      <c r="F191" s="491">
        <f ca="1">IF(ISNUMBER('R4 Variations'!F191),+'R4 Variations'!F191*LU_Escalation,0)</f>
        <v>0</v>
      </c>
      <c r="G191" s="491">
        <f ca="1">IF(ISNUMBER('R4 Variations'!G191),+'R4 Variations'!G191*LU_Escalation,0)</f>
        <v>0</v>
      </c>
      <c r="H191" s="491">
        <f ca="1">IF(ISNUMBER('R4 Variations'!H191),+'R4 Variations'!H191*LU_Escalation,0)</f>
        <v>0</v>
      </c>
      <c r="I191" s="491">
        <f ca="1">IF(ISNUMBER('R4 Variations'!I191),+'R4 Variations'!I191*LU_Escalation,0)</f>
        <v>0</v>
      </c>
      <c r="J191" s="491">
        <f ca="1">IF(ISNUMBER('R4 Variations'!J191),+'R4 Variations'!J191*LU_Escalation,0)</f>
        <v>0</v>
      </c>
      <c r="K191" s="491">
        <f ca="1">IF(ISNUMBER('R4 Variations'!K191),+'R4 Variations'!K191*LU_Escalation,0)</f>
        <v>0</v>
      </c>
      <c r="L191" s="515" t="str">
        <f ca="1">+'R4 Variations'!L191</f>
        <v/>
      </c>
      <c r="M191" s="450" t="str">
        <f ca="1">+'R4 Variations'!M191</f>
        <v/>
      </c>
      <c r="N191" s="450" t="str">
        <f ca="1">+'R4 Variations'!N191</f>
        <v/>
      </c>
    </row>
    <row r="192" spans="1:14">
      <c r="A192" s="5"/>
      <c r="B192" s="249"/>
      <c r="C192" s="384" t="str">
        <f ca="1">+'R4 Variations'!C192</f>
        <v/>
      </c>
      <c r="D192" s="491">
        <f ca="1">IF(ISNUMBER('R4 Variations'!D192),+'R4 Variations'!D192*LU_Escalation,0)</f>
        <v>0</v>
      </c>
      <c r="E192" s="850">
        <f ca="1">IF(ISNUMBER('R4 Variations'!E192),+'R4 Variations'!E192*LU_Escalation,0)</f>
        <v>0</v>
      </c>
      <c r="F192" s="491">
        <f ca="1">IF(ISNUMBER('R4 Variations'!F192),+'R4 Variations'!F192*LU_Escalation,0)</f>
        <v>0</v>
      </c>
      <c r="G192" s="491">
        <f ca="1">IF(ISNUMBER('R4 Variations'!G192),+'R4 Variations'!G192*LU_Escalation,0)</f>
        <v>0</v>
      </c>
      <c r="H192" s="491">
        <f ca="1">IF(ISNUMBER('R4 Variations'!H192),+'R4 Variations'!H192*LU_Escalation,0)</f>
        <v>0</v>
      </c>
      <c r="I192" s="491">
        <f ca="1">IF(ISNUMBER('R4 Variations'!I192),+'R4 Variations'!I192*LU_Escalation,0)</f>
        <v>0</v>
      </c>
      <c r="J192" s="491">
        <f ca="1">IF(ISNUMBER('R4 Variations'!J192),+'R4 Variations'!J192*LU_Escalation,0)</f>
        <v>0</v>
      </c>
      <c r="K192" s="491">
        <f ca="1">IF(ISNUMBER('R4 Variations'!K192),+'R4 Variations'!K192*LU_Escalation,0)</f>
        <v>0</v>
      </c>
      <c r="L192" s="515" t="str">
        <f ca="1">+'R4 Variations'!L192</f>
        <v/>
      </c>
      <c r="M192" s="450" t="str">
        <f ca="1">+'R4 Variations'!M192</f>
        <v/>
      </c>
      <c r="N192" s="450" t="str">
        <f ca="1">+'R4 Variations'!N192</f>
        <v/>
      </c>
    </row>
    <row r="193" spans="1:14">
      <c r="A193" s="5"/>
      <c r="B193" s="249"/>
      <c r="C193" s="384" t="str">
        <f ca="1">+'R4 Variations'!C193</f>
        <v/>
      </c>
      <c r="D193" s="491">
        <f ca="1">IF(ISNUMBER('R4 Variations'!D193),+'R4 Variations'!D193*LU_Escalation,0)</f>
        <v>0</v>
      </c>
      <c r="E193" s="850">
        <f ca="1">IF(ISNUMBER('R4 Variations'!E193),+'R4 Variations'!E193*LU_Escalation,0)</f>
        <v>0</v>
      </c>
      <c r="F193" s="491">
        <f ca="1">IF(ISNUMBER('R4 Variations'!F193),+'R4 Variations'!F193*LU_Escalation,0)</f>
        <v>0</v>
      </c>
      <c r="G193" s="491">
        <f ca="1">IF(ISNUMBER('R4 Variations'!G193),+'R4 Variations'!G193*LU_Escalation,0)</f>
        <v>0</v>
      </c>
      <c r="H193" s="491">
        <f ca="1">IF(ISNUMBER('R4 Variations'!H193),+'R4 Variations'!H193*LU_Escalation,0)</f>
        <v>0</v>
      </c>
      <c r="I193" s="491">
        <f ca="1">IF(ISNUMBER('R4 Variations'!I193),+'R4 Variations'!I193*LU_Escalation,0)</f>
        <v>0</v>
      </c>
      <c r="J193" s="491">
        <f ca="1">IF(ISNUMBER('R4 Variations'!J193),+'R4 Variations'!J193*LU_Escalation,0)</f>
        <v>0</v>
      </c>
      <c r="K193" s="491">
        <f ca="1">IF(ISNUMBER('R4 Variations'!K193),+'R4 Variations'!K193*LU_Escalation,0)</f>
        <v>0</v>
      </c>
      <c r="L193" s="515" t="str">
        <f ca="1">+'R4 Variations'!L193</f>
        <v/>
      </c>
      <c r="M193" s="450" t="str">
        <f ca="1">+'R4 Variations'!M193</f>
        <v/>
      </c>
      <c r="N193" s="450" t="str">
        <f ca="1">+'R4 Variations'!N193</f>
        <v/>
      </c>
    </row>
    <row r="194" spans="1:14">
      <c r="A194" s="5"/>
      <c r="B194" s="249"/>
      <c r="C194" s="384" t="str">
        <f ca="1">+'R4 Variations'!C194</f>
        <v/>
      </c>
      <c r="D194" s="491">
        <f ca="1">IF(ISNUMBER('R4 Variations'!D194),+'R4 Variations'!D194*LU_Escalation,0)</f>
        <v>0</v>
      </c>
      <c r="E194" s="850">
        <f ca="1">IF(ISNUMBER('R4 Variations'!E194),+'R4 Variations'!E194*LU_Escalation,0)</f>
        <v>0</v>
      </c>
      <c r="F194" s="491">
        <f ca="1">IF(ISNUMBER('R4 Variations'!F194),+'R4 Variations'!F194*LU_Escalation,0)</f>
        <v>0</v>
      </c>
      <c r="G194" s="491">
        <f ca="1">IF(ISNUMBER('R4 Variations'!G194),+'R4 Variations'!G194*LU_Escalation,0)</f>
        <v>0</v>
      </c>
      <c r="H194" s="491">
        <f ca="1">IF(ISNUMBER('R4 Variations'!H194),+'R4 Variations'!H194*LU_Escalation,0)</f>
        <v>0</v>
      </c>
      <c r="I194" s="491">
        <f ca="1">IF(ISNUMBER('R4 Variations'!I194),+'R4 Variations'!I194*LU_Escalation,0)</f>
        <v>0</v>
      </c>
      <c r="J194" s="491">
        <f ca="1">IF(ISNUMBER('R4 Variations'!J194),+'R4 Variations'!J194*LU_Escalation,0)</f>
        <v>0</v>
      </c>
      <c r="K194" s="491">
        <f ca="1">IF(ISNUMBER('R4 Variations'!K194),+'R4 Variations'!K194*LU_Escalation,0)</f>
        <v>0</v>
      </c>
      <c r="L194" s="515" t="str">
        <f ca="1">+'R4 Variations'!L194</f>
        <v/>
      </c>
      <c r="M194" s="450" t="str">
        <f ca="1">+'R4 Variations'!M194</f>
        <v/>
      </c>
      <c r="N194" s="450" t="str">
        <f ca="1">+'R4 Variations'!N194</f>
        <v/>
      </c>
    </row>
    <row r="195" spans="1:14">
      <c r="A195" s="5"/>
      <c r="B195" s="249"/>
      <c r="C195" s="384" t="str">
        <f ca="1">+'R4 Variations'!C195</f>
        <v/>
      </c>
      <c r="D195" s="491">
        <f ca="1">IF(ISNUMBER('R4 Variations'!D195),+'R4 Variations'!D195*LU_Escalation,0)</f>
        <v>0</v>
      </c>
      <c r="E195" s="850">
        <f ca="1">IF(ISNUMBER('R4 Variations'!E195),+'R4 Variations'!E195*LU_Escalation,0)</f>
        <v>0</v>
      </c>
      <c r="F195" s="491">
        <f ca="1">IF(ISNUMBER('R4 Variations'!F195),+'R4 Variations'!F195*LU_Escalation,0)</f>
        <v>0</v>
      </c>
      <c r="G195" s="491">
        <f ca="1">IF(ISNUMBER('R4 Variations'!G195),+'R4 Variations'!G195*LU_Escalation,0)</f>
        <v>0</v>
      </c>
      <c r="H195" s="491">
        <f ca="1">IF(ISNUMBER('R4 Variations'!H195),+'R4 Variations'!H195*LU_Escalation,0)</f>
        <v>0</v>
      </c>
      <c r="I195" s="491">
        <f ca="1">IF(ISNUMBER('R4 Variations'!I195),+'R4 Variations'!I195*LU_Escalation,0)</f>
        <v>0</v>
      </c>
      <c r="J195" s="491">
        <f ca="1">IF(ISNUMBER('R4 Variations'!J195),+'R4 Variations'!J195*LU_Escalation,0)</f>
        <v>0</v>
      </c>
      <c r="K195" s="491">
        <f ca="1">IF(ISNUMBER('R4 Variations'!K195),+'R4 Variations'!K195*LU_Escalation,0)</f>
        <v>0</v>
      </c>
      <c r="L195" s="515" t="str">
        <f ca="1">+'R4 Variations'!L195</f>
        <v/>
      </c>
      <c r="M195" s="450" t="str">
        <f ca="1">+'R4 Variations'!M195</f>
        <v/>
      </c>
      <c r="N195" s="450" t="str">
        <f ca="1">+'R4 Variations'!N195</f>
        <v/>
      </c>
    </row>
    <row r="196" spans="1:14">
      <c r="A196" s="5"/>
      <c r="B196" s="249"/>
      <c r="C196" s="384" t="str">
        <f ca="1">+'R4 Variations'!C196</f>
        <v/>
      </c>
      <c r="D196" s="491">
        <f ca="1">IF(ISNUMBER('R4 Variations'!D196),+'R4 Variations'!D196*LU_Escalation,0)</f>
        <v>0</v>
      </c>
      <c r="E196" s="850">
        <f ca="1">IF(ISNUMBER('R4 Variations'!E196),+'R4 Variations'!E196*LU_Escalation,0)</f>
        <v>0</v>
      </c>
      <c r="F196" s="491">
        <f ca="1">IF(ISNUMBER('R4 Variations'!F196),+'R4 Variations'!F196*LU_Escalation,0)</f>
        <v>0</v>
      </c>
      <c r="G196" s="491">
        <f ca="1">IF(ISNUMBER('R4 Variations'!G196),+'R4 Variations'!G196*LU_Escalation,0)</f>
        <v>0</v>
      </c>
      <c r="H196" s="491">
        <f ca="1">IF(ISNUMBER('R4 Variations'!H196),+'R4 Variations'!H196*LU_Escalation,0)</f>
        <v>0</v>
      </c>
      <c r="I196" s="491">
        <f ca="1">IF(ISNUMBER('R4 Variations'!I196),+'R4 Variations'!I196*LU_Escalation,0)</f>
        <v>0</v>
      </c>
      <c r="J196" s="491">
        <f ca="1">IF(ISNUMBER('R4 Variations'!J196),+'R4 Variations'!J196*LU_Escalation,0)</f>
        <v>0</v>
      </c>
      <c r="K196" s="491">
        <f ca="1">IF(ISNUMBER('R4 Variations'!K196),+'R4 Variations'!K196*LU_Escalation,0)</f>
        <v>0</v>
      </c>
      <c r="L196" s="515" t="str">
        <f ca="1">+'R4 Variations'!L196</f>
        <v/>
      </c>
      <c r="M196" s="450" t="str">
        <f ca="1">+'R4 Variations'!M196</f>
        <v/>
      </c>
      <c r="N196" s="450" t="str">
        <f ca="1">+'R4 Variations'!N196</f>
        <v/>
      </c>
    </row>
    <row r="197" spans="1:14">
      <c r="A197" s="5"/>
      <c r="B197" s="249"/>
      <c r="C197" s="384" t="str">
        <f ca="1">+'R4 Variations'!C197</f>
        <v/>
      </c>
      <c r="D197" s="491">
        <f ca="1">IF(ISNUMBER('R4 Variations'!D197),+'R4 Variations'!D197*LU_Escalation,0)</f>
        <v>0</v>
      </c>
      <c r="E197" s="850">
        <f ca="1">IF(ISNUMBER('R4 Variations'!E197),+'R4 Variations'!E197*LU_Escalation,0)</f>
        <v>0</v>
      </c>
      <c r="F197" s="491">
        <f ca="1">IF(ISNUMBER('R4 Variations'!F197),+'R4 Variations'!F197*LU_Escalation,0)</f>
        <v>0</v>
      </c>
      <c r="G197" s="491">
        <f ca="1">IF(ISNUMBER('R4 Variations'!G197),+'R4 Variations'!G197*LU_Escalation,0)</f>
        <v>0</v>
      </c>
      <c r="H197" s="491">
        <f ca="1">IF(ISNUMBER('R4 Variations'!H197),+'R4 Variations'!H197*LU_Escalation,0)</f>
        <v>0</v>
      </c>
      <c r="I197" s="491">
        <f ca="1">IF(ISNUMBER('R4 Variations'!I197),+'R4 Variations'!I197*LU_Escalation,0)</f>
        <v>0</v>
      </c>
      <c r="J197" s="491">
        <f ca="1">IF(ISNUMBER('R4 Variations'!J197),+'R4 Variations'!J197*LU_Escalation,0)</f>
        <v>0</v>
      </c>
      <c r="K197" s="491">
        <f ca="1">IF(ISNUMBER('R4 Variations'!K197),+'R4 Variations'!K197*LU_Escalation,0)</f>
        <v>0</v>
      </c>
      <c r="L197" s="515" t="str">
        <f ca="1">+'R4 Variations'!L197</f>
        <v/>
      </c>
      <c r="M197" s="450" t="str">
        <f ca="1">+'R4 Variations'!M197</f>
        <v/>
      </c>
      <c r="N197" s="450" t="str">
        <f ca="1">+'R4 Variations'!N197</f>
        <v/>
      </c>
    </row>
    <row r="198" spans="1:14">
      <c r="A198" s="5"/>
      <c r="B198" s="249"/>
      <c r="C198" s="384" t="str">
        <f ca="1">+'R4 Variations'!C198</f>
        <v/>
      </c>
      <c r="D198" s="491">
        <f ca="1">IF(ISNUMBER('R4 Variations'!D198),+'R4 Variations'!D198*LU_Escalation,0)</f>
        <v>0</v>
      </c>
      <c r="E198" s="850">
        <f ca="1">IF(ISNUMBER('R4 Variations'!E198),+'R4 Variations'!E198*LU_Escalation,0)</f>
        <v>0</v>
      </c>
      <c r="F198" s="491">
        <f ca="1">IF(ISNUMBER('R4 Variations'!F198),+'R4 Variations'!F198*LU_Escalation,0)</f>
        <v>0</v>
      </c>
      <c r="G198" s="491">
        <f ca="1">IF(ISNUMBER('R4 Variations'!G198),+'R4 Variations'!G198*LU_Escalation,0)</f>
        <v>0</v>
      </c>
      <c r="H198" s="491">
        <f ca="1">IF(ISNUMBER('R4 Variations'!H198),+'R4 Variations'!H198*LU_Escalation,0)</f>
        <v>0</v>
      </c>
      <c r="I198" s="491">
        <f ca="1">IF(ISNUMBER('R4 Variations'!I198),+'R4 Variations'!I198*LU_Escalation,0)</f>
        <v>0</v>
      </c>
      <c r="J198" s="491">
        <f ca="1">IF(ISNUMBER('R4 Variations'!J198),+'R4 Variations'!J198*LU_Escalation,0)</f>
        <v>0</v>
      </c>
      <c r="K198" s="491">
        <f ca="1">IF(ISNUMBER('R4 Variations'!K198),+'R4 Variations'!K198*LU_Escalation,0)</f>
        <v>0</v>
      </c>
      <c r="L198" s="515" t="str">
        <f ca="1">+'R4 Variations'!L198</f>
        <v/>
      </c>
      <c r="M198" s="450" t="str">
        <f ca="1">+'R4 Variations'!M198</f>
        <v/>
      </c>
      <c r="N198" s="450" t="str">
        <f ca="1">+'R4 Variations'!N198</f>
        <v/>
      </c>
    </row>
    <row r="199" spans="1:14">
      <c r="A199" s="5"/>
      <c r="B199" s="249"/>
      <c r="C199" s="384" t="str">
        <f ca="1">+'R4 Variations'!C199</f>
        <v/>
      </c>
      <c r="D199" s="491">
        <f ca="1">IF(ISNUMBER('R4 Variations'!D199),+'R4 Variations'!D199*LU_Escalation,0)</f>
        <v>0</v>
      </c>
      <c r="E199" s="850">
        <f ca="1">IF(ISNUMBER('R4 Variations'!E199),+'R4 Variations'!E199*LU_Escalation,0)</f>
        <v>0</v>
      </c>
      <c r="F199" s="491">
        <f ca="1">IF(ISNUMBER('R4 Variations'!F199),+'R4 Variations'!F199*LU_Escalation,0)</f>
        <v>0</v>
      </c>
      <c r="G199" s="491">
        <f ca="1">IF(ISNUMBER('R4 Variations'!G199),+'R4 Variations'!G199*LU_Escalation,0)</f>
        <v>0</v>
      </c>
      <c r="H199" s="491">
        <f ca="1">IF(ISNUMBER('R4 Variations'!H199),+'R4 Variations'!H199*LU_Escalation,0)</f>
        <v>0</v>
      </c>
      <c r="I199" s="491">
        <f ca="1">IF(ISNUMBER('R4 Variations'!I199),+'R4 Variations'!I199*LU_Escalation,0)</f>
        <v>0</v>
      </c>
      <c r="J199" s="491">
        <f ca="1">IF(ISNUMBER('R4 Variations'!J199),+'R4 Variations'!J199*LU_Escalation,0)</f>
        <v>0</v>
      </c>
      <c r="K199" s="491">
        <f ca="1">IF(ISNUMBER('R4 Variations'!K199),+'R4 Variations'!K199*LU_Escalation,0)</f>
        <v>0</v>
      </c>
      <c r="L199" s="515" t="str">
        <f ca="1">+'R4 Variations'!L199</f>
        <v/>
      </c>
      <c r="M199" s="450" t="str">
        <f ca="1">+'R4 Variations'!M199</f>
        <v/>
      </c>
      <c r="N199" s="450" t="str">
        <f ca="1">+'R4 Variations'!N199</f>
        <v/>
      </c>
    </row>
    <row r="200" spans="1:14">
      <c r="A200" s="5"/>
      <c r="B200" s="249"/>
      <c r="C200" s="12"/>
      <c r="D200" s="491"/>
      <c r="E200" s="508"/>
      <c r="F200" s="491"/>
      <c r="G200" s="492"/>
      <c r="H200" s="492"/>
      <c r="I200" s="492"/>
      <c r="J200" s="492"/>
      <c r="K200" s="508"/>
      <c r="L200" s="515"/>
      <c r="M200" s="450"/>
      <c r="N200" s="450"/>
    </row>
    <row r="201" spans="1:14">
      <c r="A201" s="5"/>
      <c r="B201" s="249" t="str">
        <f ca="1">+'I-4 History'!B151</f>
        <v>DA-17</v>
      </c>
      <c r="C201" s="14" t="str">
        <f ca="1">+'I-4 History'!C151</f>
        <v>Call Centre Charges</v>
      </c>
      <c r="D201" s="491"/>
      <c r="E201" s="508"/>
      <c r="F201" s="491"/>
      <c r="G201" s="492"/>
      <c r="H201" s="492"/>
      <c r="I201" s="492"/>
      <c r="J201" s="492"/>
      <c r="K201" s="508"/>
      <c r="L201" s="515"/>
      <c r="M201" s="450"/>
      <c r="N201" s="450"/>
    </row>
    <row r="202" spans="1:14">
      <c r="A202" s="5"/>
      <c r="B202" s="249"/>
      <c r="C202" s="384" t="str">
        <f ca="1">+'R4 Variations'!C202</f>
        <v>Step Change</v>
      </c>
      <c r="D202" s="491">
        <f ca="1">IF(ISNUMBER('R4 Variations'!D202),+'R4 Variations'!D202*LU_Escalation,0)</f>
        <v>0</v>
      </c>
      <c r="E202" s="850">
        <f ca="1">IF(ISNUMBER('R4 Variations'!E202),+'R4 Variations'!E202*LU_Escalation,0)</f>
        <v>0</v>
      </c>
      <c r="F202" s="491">
        <f ca="1">IF(ISNUMBER('R4 Variations'!F202),+'R4 Variations'!F202*LU_Escalation,0)</f>
        <v>0</v>
      </c>
      <c r="G202" s="491">
        <f ca="1">IF(ISNUMBER('R4 Variations'!G202),+'R4 Variations'!G202*LU_Escalation,0)</f>
        <v>0</v>
      </c>
      <c r="H202" s="491">
        <f ca="1">IF(ISNUMBER('R4 Variations'!H202),+'R4 Variations'!H202*LU_Escalation,0)</f>
        <v>0</v>
      </c>
      <c r="I202" s="491">
        <f ca="1">IF(ISNUMBER('R4 Variations'!I202),+'R4 Variations'!I202*LU_Escalation,0)</f>
        <v>0</v>
      </c>
      <c r="J202" s="491">
        <f ca="1">IF(ISNUMBER('R4 Variations'!J202),+'R4 Variations'!J202*LU_Escalation,0)</f>
        <v>0</v>
      </c>
      <c r="K202" s="491">
        <f ca="1">IF(ISNUMBER('R4 Variations'!K202),+'R4 Variations'!K202*LU_Escalation,0)</f>
        <v>0</v>
      </c>
      <c r="L202" s="515" t="str">
        <f ca="1">+'R4 Variations'!L202</f>
        <v>Proposal Step Change</v>
      </c>
      <c r="M202" s="450" t="str">
        <f ca="1">+'R4 Variations'!M202</f>
        <v>Refer Opex Workings</v>
      </c>
      <c r="N202" s="450" t="str">
        <f ca="1">+'R4 Variations'!N202</f>
        <v>Proposal, October 2014</v>
      </c>
    </row>
    <row r="203" spans="1:14">
      <c r="A203" s="5"/>
      <c r="B203" s="249"/>
      <c r="C203" s="384" t="str">
        <f ca="1">+'R4 Variations'!C203</f>
        <v/>
      </c>
      <c r="D203" s="491">
        <f ca="1">IF(ISNUMBER('R4 Variations'!D203),+'R4 Variations'!D203*LU_Escalation,0)</f>
        <v>0</v>
      </c>
      <c r="E203" s="850">
        <f ca="1">IF(ISNUMBER('R4 Variations'!E203),+'R4 Variations'!E203*LU_Escalation,0)</f>
        <v>0</v>
      </c>
      <c r="F203" s="491">
        <f ca="1">IF(ISNUMBER('R4 Variations'!F203),+'R4 Variations'!F203*LU_Escalation,0)</f>
        <v>0</v>
      </c>
      <c r="G203" s="491">
        <f ca="1">IF(ISNUMBER('R4 Variations'!G203),+'R4 Variations'!G203*LU_Escalation,0)</f>
        <v>0</v>
      </c>
      <c r="H203" s="491">
        <f ca="1">IF(ISNUMBER('R4 Variations'!H203),+'R4 Variations'!H203*LU_Escalation,0)</f>
        <v>0</v>
      </c>
      <c r="I203" s="491">
        <f ca="1">IF(ISNUMBER('R4 Variations'!I203),+'R4 Variations'!I203*LU_Escalation,0)</f>
        <v>0</v>
      </c>
      <c r="J203" s="491">
        <f ca="1">IF(ISNUMBER('R4 Variations'!J203),+'R4 Variations'!J203*LU_Escalation,0)</f>
        <v>0</v>
      </c>
      <c r="K203" s="491">
        <f ca="1">IF(ISNUMBER('R4 Variations'!K203),+'R4 Variations'!K203*LU_Escalation,0)</f>
        <v>0</v>
      </c>
      <c r="L203" s="515" t="str">
        <f ca="1">+'R4 Variations'!L203</f>
        <v/>
      </c>
      <c r="M203" s="450" t="str">
        <f ca="1">+'R4 Variations'!M203</f>
        <v/>
      </c>
      <c r="N203" s="450" t="str">
        <f ca="1">+'R4 Variations'!N203</f>
        <v/>
      </c>
    </row>
    <row r="204" spans="1:14">
      <c r="A204" s="5"/>
      <c r="B204" s="249"/>
      <c r="C204" s="384" t="str">
        <f ca="1">+'R4 Variations'!C204</f>
        <v/>
      </c>
      <c r="D204" s="491">
        <f ca="1">IF(ISNUMBER('R4 Variations'!D204),+'R4 Variations'!D204*LU_Escalation,0)</f>
        <v>0</v>
      </c>
      <c r="E204" s="850">
        <f ca="1">IF(ISNUMBER('R4 Variations'!E204),+'R4 Variations'!E204*LU_Escalation,0)</f>
        <v>0</v>
      </c>
      <c r="F204" s="491">
        <f ca="1">IF(ISNUMBER('R4 Variations'!F204),+'R4 Variations'!F204*LU_Escalation,0)</f>
        <v>0</v>
      </c>
      <c r="G204" s="491">
        <f ca="1">IF(ISNUMBER('R4 Variations'!G204),+'R4 Variations'!G204*LU_Escalation,0)</f>
        <v>0</v>
      </c>
      <c r="H204" s="491">
        <f ca="1">IF(ISNUMBER('R4 Variations'!H204),+'R4 Variations'!H204*LU_Escalation,0)</f>
        <v>0</v>
      </c>
      <c r="I204" s="491">
        <f ca="1">IF(ISNUMBER('R4 Variations'!I204),+'R4 Variations'!I204*LU_Escalation,0)</f>
        <v>0</v>
      </c>
      <c r="J204" s="491">
        <f ca="1">IF(ISNUMBER('R4 Variations'!J204),+'R4 Variations'!J204*LU_Escalation,0)</f>
        <v>0</v>
      </c>
      <c r="K204" s="491">
        <f ca="1">IF(ISNUMBER('R4 Variations'!K204),+'R4 Variations'!K204*LU_Escalation,0)</f>
        <v>0</v>
      </c>
      <c r="L204" s="515" t="str">
        <f ca="1">+'R4 Variations'!L204</f>
        <v/>
      </c>
      <c r="M204" s="450" t="str">
        <f ca="1">+'R4 Variations'!M204</f>
        <v/>
      </c>
      <c r="N204" s="450" t="str">
        <f ca="1">+'R4 Variations'!N204</f>
        <v/>
      </c>
    </row>
    <row r="205" spans="1:14">
      <c r="A205" s="5"/>
      <c r="B205" s="249"/>
      <c r="C205" s="384" t="str">
        <f ca="1">+'R4 Variations'!C205</f>
        <v/>
      </c>
      <c r="D205" s="491">
        <f ca="1">IF(ISNUMBER('R4 Variations'!D205),+'R4 Variations'!D205*LU_Escalation,0)</f>
        <v>0</v>
      </c>
      <c r="E205" s="850">
        <f ca="1">IF(ISNUMBER('R4 Variations'!E205),+'R4 Variations'!E205*LU_Escalation,0)</f>
        <v>0</v>
      </c>
      <c r="F205" s="491">
        <f ca="1">IF(ISNUMBER('R4 Variations'!F205),+'R4 Variations'!F205*LU_Escalation,0)</f>
        <v>0</v>
      </c>
      <c r="G205" s="491">
        <f ca="1">IF(ISNUMBER('R4 Variations'!G205),+'R4 Variations'!G205*LU_Escalation,0)</f>
        <v>0</v>
      </c>
      <c r="H205" s="491">
        <f ca="1">IF(ISNUMBER('R4 Variations'!H205),+'R4 Variations'!H205*LU_Escalation,0)</f>
        <v>0</v>
      </c>
      <c r="I205" s="491">
        <f ca="1">IF(ISNUMBER('R4 Variations'!I205),+'R4 Variations'!I205*LU_Escalation,0)</f>
        <v>0</v>
      </c>
      <c r="J205" s="491">
        <f ca="1">IF(ISNUMBER('R4 Variations'!J205),+'R4 Variations'!J205*LU_Escalation,0)</f>
        <v>0</v>
      </c>
      <c r="K205" s="491">
        <f ca="1">IF(ISNUMBER('R4 Variations'!K205),+'R4 Variations'!K205*LU_Escalation,0)</f>
        <v>0</v>
      </c>
      <c r="L205" s="515" t="str">
        <f ca="1">+'R4 Variations'!L205</f>
        <v/>
      </c>
      <c r="M205" s="450" t="str">
        <f ca="1">+'R4 Variations'!M205</f>
        <v/>
      </c>
      <c r="N205" s="450" t="str">
        <f ca="1">+'R4 Variations'!N205</f>
        <v/>
      </c>
    </row>
    <row r="206" spans="1:14">
      <c r="A206" s="5"/>
      <c r="B206" s="249"/>
      <c r="C206" s="384" t="str">
        <f ca="1">+'R4 Variations'!C206</f>
        <v/>
      </c>
      <c r="D206" s="491">
        <f ca="1">IF(ISNUMBER('R4 Variations'!D206),+'R4 Variations'!D206*LU_Escalation,0)</f>
        <v>0</v>
      </c>
      <c r="E206" s="850">
        <f ca="1">IF(ISNUMBER('R4 Variations'!E206),+'R4 Variations'!E206*LU_Escalation,0)</f>
        <v>0</v>
      </c>
      <c r="F206" s="491">
        <f ca="1">IF(ISNUMBER('R4 Variations'!F206),+'R4 Variations'!F206*LU_Escalation,0)</f>
        <v>0</v>
      </c>
      <c r="G206" s="491">
        <f ca="1">IF(ISNUMBER('R4 Variations'!G206),+'R4 Variations'!G206*LU_Escalation,0)</f>
        <v>0</v>
      </c>
      <c r="H206" s="491">
        <f ca="1">IF(ISNUMBER('R4 Variations'!H206),+'R4 Variations'!H206*LU_Escalation,0)</f>
        <v>0</v>
      </c>
      <c r="I206" s="491">
        <f ca="1">IF(ISNUMBER('R4 Variations'!I206),+'R4 Variations'!I206*LU_Escalation,0)</f>
        <v>0</v>
      </c>
      <c r="J206" s="491">
        <f ca="1">IF(ISNUMBER('R4 Variations'!J206),+'R4 Variations'!J206*LU_Escalation,0)</f>
        <v>0</v>
      </c>
      <c r="K206" s="491">
        <f ca="1">IF(ISNUMBER('R4 Variations'!K206),+'R4 Variations'!K206*LU_Escalation,0)</f>
        <v>0</v>
      </c>
      <c r="L206" s="515" t="str">
        <f ca="1">+'R4 Variations'!L206</f>
        <v/>
      </c>
      <c r="M206" s="450" t="str">
        <f ca="1">+'R4 Variations'!M206</f>
        <v/>
      </c>
      <c r="N206" s="450" t="str">
        <f ca="1">+'R4 Variations'!N206</f>
        <v/>
      </c>
    </row>
    <row r="207" spans="1:14">
      <c r="A207" s="5"/>
      <c r="B207" s="249"/>
      <c r="C207" s="384" t="str">
        <f ca="1">+'R4 Variations'!C207</f>
        <v/>
      </c>
      <c r="D207" s="491">
        <f ca="1">IF(ISNUMBER('R4 Variations'!D207),+'R4 Variations'!D207*LU_Escalation,0)</f>
        <v>0</v>
      </c>
      <c r="E207" s="850">
        <f ca="1">IF(ISNUMBER('R4 Variations'!E207),+'R4 Variations'!E207*LU_Escalation,0)</f>
        <v>0</v>
      </c>
      <c r="F207" s="491">
        <f ca="1">IF(ISNUMBER('R4 Variations'!F207),+'R4 Variations'!F207*LU_Escalation,0)</f>
        <v>0</v>
      </c>
      <c r="G207" s="491">
        <f ca="1">IF(ISNUMBER('R4 Variations'!G207),+'R4 Variations'!G207*LU_Escalation,0)</f>
        <v>0</v>
      </c>
      <c r="H207" s="491">
        <f ca="1">IF(ISNUMBER('R4 Variations'!H207),+'R4 Variations'!H207*LU_Escalation,0)</f>
        <v>0</v>
      </c>
      <c r="I207" s="491">
        <f ca="1">IF(ISNUMBER('R4 Variations'!I207),+'R4 Variations'!I207*LU_Escalation,0)</f>
        <v>0</v>
      </c>
      <c r="J207" s="491">
        <f ca="1">IF(ISNUMBER('R4 Variations'!J207),+'R4 Variations'!J207*LU_Escalation,0)</f>
        <v>0</v>
      </c>
      <c r="K207" s="491">
        <f ca="1">IF(ISNUMBER('R4 Variations'!K207),+'R4 Variations'!K207*LU_Escalation,0)</f>
        <v>0</v>
      </c>
      <c r="L207" s="515" t="str">
        <f ca="1">+'R4 Variations'!L207</f>
        <v/>
      </c>
      <c r="M207" s="450" t="str">
        <f ca="1">+'R4 Variations'!M207</f>
        <v/>
      </c>
      <c r="N207" s="450" t="str">
        <f ca="1">+'R4 Variations'!N207</f>
        <v/>
      </c>
    </row>
    <row r="208" spans="1:14">
      <c r="A208" s="5"/>
      <c r="B208" s="249"/>
      <c r="C208" s="384" t="str">
        <f ca="1">+'R4 Variations'!C208</f>
        <v/>
      </c>
      <c r="D208" s="491">
        <f ca="1">IF(ISNUMBER('R4 Variations'!D208),+'R4 Variations'!D208*LU_Escalation,0)</f>
        <v>0</v>
      </c>
      <c r="E208" s="850">
        <f ca="1">IF(ISNUMBER('R4 Variations'!E208),+'R4 Variations'!E208*LU_Escalation,0)</f>
        <v>0</v>
      </c>
      <c r="F208" s="491">
        <f ca="1">IF(ISNUMBER('R4 Variations'!F208),+'R4 Variations'!F208*LU_Escalation,0)</f>
        <v>0</v>
      </c>
      <c r="G208" s="491">
        <f ca="1">IF(ISNUMBER('R4 Variations'!G208),+'R4 Variations'!G208*LU_Escalation,0)</f>
        <v>0</v>
      </c>
      <c r="H208" s="491">
        <f ca="1">IF(ISNUMBER('R4 Variations'!H208),+'R4 Variations'!H208*LU_Escalation,0)</f>
        <v>0</v>
      </c>
      <c r="I208" s="491">
        <f ca="1">IF(ISNUMBER('R4 Variations'!I208),+'R4 Variations'!I208*LU_Escalation,0)</f>
        <v>0</v>
      </c>
      <c r="J208" s="491">
        <f ca="1">IF(ISNUMBER('R4 Variations'!J208),+'R4 Variations'!J208*LU_Escalation,0)</f>
        <v>0</v>
      </c>
      <c r="K208" s="491">
        <f ca="1">IF(ISNUMBER('R4 Variations'!K208),+'R4 Variations'!K208*LU_Escalation,0)</f>
        <v>0</v>
      </c>
      <c r="L208" s="515" t="str">
        <f ca="1">+'R4 Variations'!L208</f>
        <v/>
      </c>
      <c r="M208" s="450" t="str">
        <f ca="1">+'R4 Variations'!M208</f>
        <v/>
      </c>
      <c r="N208" s="450" t="str">
        <f ca="1">+'R4 Variations'!N208</f>
        <v/>
      </c>
    </row>
    <row r="209" spans="1:14">
      <c r="A209" s="5"/>
      <c r="B209" s="249"/>
      <c r="C209" s="384" t="str">
        <f ca="1">+'R4 Variations'!C209</f>
        <v/>
      </c>
      <c r="D209" s="491">
        <f ca="1">IF(ISNUMBER('R4 Variations'!D209),+'R4 Variations'!D209*LU_Escalation,0)</f>
        <v>0</v>
      </c>
      <c r="E209" s="850">
        <f ca="1">IF(ISNUMBER('R4 Variations'!E209),+'R4 Variations'!E209*LU_Escalation,0)</f>
        <v>0</v>
      </c>
      <c r="F209" s="491">
        <f ca="1">IF(ISNUMBER('R4 Variations'!F209),+'R4 Variations'!F209*LU_Escalation,0)</f>
        <v>0</v>
      </c>
      <c r="G209" s="491">
        <f ca="1">IF(ISNUMBER('R4 Variations'!G209),+'R4 Variations'!G209*LU_Escalation,0)</f>
        <v>0</v>
      </c>
      <c r="H209" s="491">
        <f ca="1">IF(ISNUMBER('R4 Variations'!H209),+'R4 Variations'!H209*LU_Escalation,0)</f>
        <v>0</v>
      </c>
      <c r="I209" s="491">
        <f ca="1">IF(ISNUMBER('R4 Variations'!I209),+'R4 Variations'!I209*LU_Escalation,0)</f>
        <v>0</v>
      </c>
      <c r="J209" s="491">
        <f ca="1">IF(ISNUMBER('R4 Variations'!J209),+'R4 Variations'!J209*LU_Escalation,0)</f>
        <v>0</v>
      </c>
      <c r="K209" s="491">
        <f ca="1">IF(ISNUMBER('R4 Variations'!K209),+'R4 Variations'!K209*LU_Escalation,0)</f>
        <v>0</v>
      </c>
      <c r="L209" s="515" t="str">
        <f ca="1">+'R4 Variations'!L209</f>
        <v/>
      </c>
      <c r="M209" s="450" t="str">
        <f ca="1">+'R4 Variations'!M209</f>
        <v/>
      </c>
      <c r="N209" s="450" t="str">
        <f ca="1">+'R4 Variations'!N209</f>
        <v/>
      </c>
    </row>
    <row r="210" spans="1:14">
      <c r="A210" s="5"/>
      <c r="B210" s="249"/>
      <c r="C210" s="384" t="str">
        <f ca="1">+'R4 Variations'!C210</f>
        <v/>
      </c>
      <c r="D210" s="491">
        <f ca="1">IF(ISNUMBER('R4 Variations'!D210),+'R4 Variations'!D210*LU_Escalation,0)</f>
        <v>0</v>
      </c>
      <c r="E210" s="850">
        <f ca="1">IF(ISNUMBER('R4 Variations'!E210),+'R4 Variations'!E210*LU_Escalation,0)</f>
        <v>0</v>
      </c>
      <c r="F210" s="491">
        <f ca="1">IF(ISNUMBER('R4 Variations'!F210),+'R4 Variations'!F210*LU_Escalation,0)</f>
        <v>0</v>
      </c>
      <c r="G210" s="491">
        <f ca="1">IF(ISNUMBER('R4 Variations'!G210),+'R4 Variations'!G210*LU_Escalation,0)</f>
        <v>0</v>
      </c>
      <c r="H210" s="491">
        <f ca="1">IF(ISNUMBER('R4 Variations'!H210),+'R4 Variations'!H210*LU_Escalation,0)</f>
        <v>0</v>
      </c>
      <c r="I210" s="491">
        <f ca="1">IF(ISNUMBER('R4 Variations'!I210),+'R4 Variations'!I210*LU_Escalation,0)</f>
        <v>0</v>
      </c>
      <c r="J210" s="491">
        <f ca="1">IF(ISNUMBER('R4 Variations'!J210),+'R4 Variations'!J210*LU_Escalation,0)</f>
        <v>0</v>
      </c>
      <c r="K210" s="491">
        <f ca="1">IF(ISNUMBER('R4 Variations'!K210),+'R4 Variations'!K210*LU_Escalation,0)</f>
        <v>0</v>
      </c>
      <c r="L210" s="515" t="str">
        <f ca="1">+'R4 Variations'!L210</f>
        <v/>
      </c>
      <c r="M210" s="450" t="str">
        <f ca="1">+'R4 Variations'!M210</f>
        <v/>
      </c>
      <c r="N210" s="450" t="str">
        <f ca="1">+'R4 Variations'!N210</f>
        <v/>
      </c>
    </row>
    <row r="211" spans="1:14">
      <c r="A211" s="5"/>
      <c r="B211" s="249"/>
      <c r="C211" s="384" t="str">
        <f ca="1">+'R4 Variations'!C211</f>
        <v/>
      </c>
      <c r="D211" s="491">
        <f ca="1">IF(ISNUMBER('R4 Variations'!D211),+'R4 Variations'!D211*LU_Escalation,0)</f>
        <v>0</v>
      </c>
      <c r="E211" s="850">
        <f ca="1">IF(ISNUMBER('R4 Variations'!E211),+'R4 Variations'!E211*LU_Escalation,0)</f>
        <v>0</v>
      </c>
      <c r="F211" s="491">
        <f ca="1">IF(ISNUMBER('R4 Variations'!F211),+'R4 Variations'!F211*LU_Escalation,0)</f>
        <v>0</v>
      </c>
      <c r="G211" s="491">
        <f ca="1">IF(ISNUMBER('R4 Variations'!G211),+'R4 Variations'!G211*LU_Escalation,0)</f>
        <v>0</v>
      </c>
      <c r="H211" s="491">
        <f ca="1">IF(ISNUMBER('R4 Variations'!H211),+'R4 Variations'!H211*LU_Escalation,0)</f>
        <v>0</v>
      </c>
      <c r="I211" s="491">
        <f ca="1">IF(ISNUMBER('R4 Variations'!I211),+'R4 Variations'!I211*LU_Escalation,0)</f>
        <v>0</v>
      </c>
      <c r="J211" s="491">
        <f ca="1">IF(ISNUMBER('R4 Variations'!J211),+'R4 Variations'!J211*LU_Escalation,0)</f>
        <v>0</v>
      </c>
      <c r="K211" s="491">
        <f ca="1">IF(ISNUMBER('R4 Variations'!K211),+'R4 Variations'!K211*LU_Escalation,0)</f>
        <v>0</v>
      </c>
      <c r="L211" s="515" t="str">
        <f ca="1">+'R4 Variations'!L211</f>
        <v/>
      </c>
      <c r="M211" s="450" t="str">
        <f ca="1">+'R4 Variations'!M211</f>
        <v/>
      </c>
      <c r="N211" s="450" t="str">
        <f ca="1">+'R4 Variations'!N211</f>
        <v/>
      </c>
    </row>
    <row r="212" spans="1:14">
      <c r="A212" s="5"/>
      <c r="B212" s="249"/>
      <c r="C212" s="12"/>
      <c r="D212" s="491"/>
      <c r="E212" s="508"/>
      <c r="F212" s="491"/>
      <c r="G212" s="492"/>
      <c r="H212" s="492"/>
      <c r="I212" s="492"/>
      <c r="J212" s="492"/>
      <c r="K212" s="508"/>
      <c r="L212" s="515"/>
      <c r="M212" s="450"/>
      <c r="N212" s="450"/>
    </row>
    <row r="213" spans="1:14">
      <c r="A213" s="5"/>
      <c r="B213" s="249" t="str">
        <f ca="1">+'I-4 History'!B160</f>
        <v>DA-18</v>
      </c>
      <c r="C213" s="14" t="str">
        <f ca="1">+'I-4 History'!C160</f>
        <v>Demand Management</v>
      </c>
      <c r="D213" s="491"/>
      <c r="E213" s="508"/>
      <c r="F213" s="491"/>
      <c r="G213" s="492"/>
      <c r="H213" s="492"/>
      <c r="I213" s="492"/>
      <c r="J213" s="492"/>
      <c r="K213" s="508"/>
      <c r="L213" s="515"/>
      <c r="M213" s="450"/>
      <c r="N213" s="450"/>
    </row>
    <row r="214" spans="1:14">
      <c r="A214" s="5"/>
      <c r="B214" s="249"/>
      <c r="C214" s="384" t="str">
        <f ca="1">+'R4 Variations'!C214</f>
        <v>Step Change</v>
      </c>
      <c r="D214" s="491">
        <f ca="1">IF(ISNUMBER('R4 Variations'!D214),+'R4 Variations'!D214*LU_Escalation,0)</f>
        <v>0</v>
      </c>
      <c r="E214" s="850">
        <f ca="1">IF(ISNUMBER('R4 Variations'!E214),+'R4 Variations'!E214*LU_Escalation,0)</f>
        <v>0</v>
      </c>
      <c r="F214" s="491">
        <f ca="1">IF(ISNUMBER('R4 Variations'!F214),+'R4 Variations'!F214*LU_Escalation,0)</f>
        <v>0</v>
      </c>
      <c r="G214" s="491">
        <f ca="1">IF(ISNUMBER('R4 Variations'!G214),+'R4 Variations'!G214*LU_Escalation,0)</f>
        <v>0</v>
      </c>
      <c r="H214" s="491">
        <f ca="1">IF(ISNUMBER('R4 Variations'!H214),+'R4 Variations'!H214*LU_Escalation,0)</f>
        <v>0</v>
      </c>
      <c r="I214" s="491">
        <f ca="1">IF(ISNUMBER('R4 Variations'!I214),+'R4 Variations'!I214*LU_Escalation,0)</f>
        <v>0</v>
      </c>
      <c r="J214" s="491">
        <f ca="1">IF(ISNUMBER('R4 Variations'!J214),+'R4 Variations'!J214*LU_Escalation,0)</f>
        <v>0</v>
      </c>
      <c r="K214" s="491">
        <f ca="1">IF(ISNUMBER('R4 Variations'!K214),+'R4 Variations'!K214*LU_Escalation,0)</f>
        <v>0</v>
      </c>
      <c r="L214" s="515" t="str">
        <f ca="1">+'R4 Variations'!L214</f>
        <v>Proposal Step Change</v>
      </c>
      <c r="M214" s="450" t="str">
        <f ca="1">+'R4 Variations'!M214</f>
        <v>Refer Opex Workings</v>
      </c>
      <c r="N214" s="450" t="str">
        <f ca="1">+'R4 Variations'!N214</f>
        <v>Proposal, October 2014</v>
      </c>
    </row>
    <row r="215" spans="1:14">
      <c r="A215" s="5"/>
      <c r="B215" s="249"/>
      <c r="C215" s="384" t="str">
        <f ca="1">+'R4 Variations'!C215</f>
        <v/>
      </c>
      <c r="D215" s="491">
        <f ca="1">IF(ISNUMBER('R4 Variations'!D215),+'R4 Variations'!D215*LU_Escalation,0)</f>
        <v>0</v>
      </c>
      <c r="E215" s="850">
        <f ca="1">IF(ISNUMBER('R4 Variations'!E215),+'R4 Variations'!E215*LU_Escalation,0)</f>
        <v>0</v>
      </c>
      <c r="F215" s="491">
        <f ca="1">IF(ISNUMBER('R4 Variations'!F215),+'R4 Variations'!F215*LU_Escalation,0)</f>
        <v>0</v>
      </c>
      <c r="G215" s="491">
        <f ca="1">IF(ISNUMBER('R4 Variations'!G215),+'R4 Variations'!G215*LU_Escalation,0)</f>
        <v>0</v>
      </c>
      <c r="H215" s="491">
        <f ca="1">IF(ISNUMBER('R4 Variations'!H215),+'R4 Variations'!H215*LU_Escalation,0)</f>
        <v>0</v>
      </c>
      <c r="I215" s="491">
        <f ca="1">IF(ISNUMBER('R4 Variations'!I215),+'R4 Variations'!I215*LU_Escalation,0)</f>
        <v>0</v>
      </c>
      <c r="J215" s="491">
        <f ca="1">IF(ISNUMBER('R4 Variations'!J215),+'R4 Variations'!J215*LU_Escalation,0)</f>
        <v>0</v>
      </c>
      <c r="K215" s="491">
        <f ca="1">IF(ISNUMBER('R4 Variations'!K215),+'R4 Variations'!K215*LU_Escalation,0)</f>
        <v>0</v>
      </c>
      <c r="L215" s="515" t="str">
        <f ca="1">+'R4 Variations'!L215</f>
        <v/>
      </c>
      <c r="M215" s="450" t="str">
        <f ca="1">+'R4 Variations'!M215</f>
        <v/>
      </c>
      <c r="N215" s="450" t="str">
        <f ca="1">+'R4 Variations'!N215</f>
        <v/>
      </c>
    </row>
    <row r="216" spans="1:14">
      <c r="A216" s="5"/>
      <c r="B216" s="249"/>
      <c r="C216" s="384" t="str">
        <f ca="1">+'R4 Variations'!C216</f>
        <v/>
      </c>
      <c r="D216" s="491">
        <f ca="1">IF(ISNUMBER('R4 Variations'!D216),+'R4 Variations'!D216*LU_Escalation,0)</f>
        <v>0</v>
      </c>
      <c r="E216" s="850">
        <f ca="1">IF(ISNUMBER('R4 Variations'!E216),+'R4 Variations'!E216*LU_Escalation,0)</f>
        <v>0</v>
      </c>
      <c r="F216" s="491">
        <f ca="1">IF(ISNUMBER('R4 Variations'!F216),+'R4 Variations'!F216*LU_Escalation,0)</f>
        <v>0</v>
      </c>
      <c r="G216" s="491">
        <f ca="1">IF(ISNUMBER('R4 Variations'!G216),+'R4 Variations'!G216*LU_Escalation,0)</f>
        <v>0</v>
      </c>
      <c r="H216" s="491">
        <f ca="1">IF(ISNUMBER('R4 Variations'!H216),+'R4 Variations'!H216*LU_Escalation,0)</f>
        <v>0</v>
      </c>
      <c r="I216" s="491">
        <f ca="1">IF(ISNUMBER('R4 Variations'!I216),+'R4 Variations'!I216*LU_Escalation,0)</f>
        <v>0</v>
      </c>
      <c r="J216" s="491">
        <f ca="1">IF(ISNUMBER('R4 Variations'!J216),+'R4 Variations'!J216*LU_Escalation,0)</f>
        <v>0</v>
      </c>
      <c r="K216" s="491">
        <f ca="1">IF(ISNUMBER('R4 Variations'!K216),+'R4 Variations'!K216*LU_Escalation,0)</f>
        <v>0</v>
      </c>
      <c r="L216" s="515" t="str">
        <f ca="1">+'R4 Variations'!L216</f>
        <v/>
      </c>
      <c r="M216" s="450" t="str">
        <f ca="1">+'R4 Variations'!M216</f>
        <v/>
      </c>
      <c r="N216" s="450" t="str">
        <f ca="1">+'R4 Variations'!N216</f>
        <v/>
      </c>
    </row>
    <row r="217" spans="1:14">
      <c r="A217" s="5"/>
      <c r="B217" s="249"/>
      <c r="C217" s="384" t="str">
        <f ca="1">+'R4 Variations'!C217</f>
        <v/>
      </c>
      <c r="D217" s="491">
        <f ca="1">IF(ISNUMBER('R4 Variations'!D217),+'R4 Variations'!D217*LU_Escalation,0)</f>
        <v>0</v>
      </c>
      <c r="E217" s="850">
        <f ca="1">IF(ISNUMBER('R4 Variations'!E217),+'R4 Variations'!E217*LU_Escalation,0)</f>
        <v>0</v>
      </c>
      <c r="F217" s="491">
        <f ca="1">IF(ISNUMBER('R4 Variations'!F217),+'R4 Variations'!F217*LU_Escalation,0)</f>
        <v>0</v>
      </c>
      <c r="G217" s="491">
        <f ca="1">IF(ISNUMBER('R4 Variations'!G217),+'R4 Variations'!G217*LU_Escalation,0)</f>
        <v>0</v>
      </c>
      <c r="H217" s="491">
        <f ca="1">IF(ISNUMBER('R4 Variations'!H217),+'R4 Variations'!H217*LU_Escalation,0)</f>
        <v>0</v>
      </c>
      <c r="I217" s="491">
        <f ca="1">IF(ISNUMBER('R4 Variations'!I217),+'R4 Variations'!I217*LU_Escalation,0)</f>
        <v>0</v>
      </c>
      <c r="J217" s="491">
        <f ca="1">IF(ISNUMBER('R4 Variations'!J217),+'R4 Variations'!J217*LU_Escalation,0)</f>
        <v>0</v>
      </c>
      <c r="K217" s="491">
        <f ca="1">IF(ISNUMBER('R4 Variations'!K217),+'R4 Variations'!K217*LU_Escalation,0)</f>
        <v>0</v>
      </c>
      <c r="L217" s="515" t="str">
        <f ca="1">+'R4 Variations'!L217</f>
        <v/>
      </c>
      <c r="M217" s="450" t="str">
        <f ca="1">+'R4 Variations'!M217</f>
        <v/>
      </c>
      <c r="N217" s="450" t="str">
        <f ca="1">+'R4 Variations'!N217</f>
        <v/>
      </c>
    </row>
    <row r="218" spans="1:14">
      <c r="A218" s="5"/>
      <c r="B218" s="249"/>
      <c r="C218" s="384" t="str">
        <f ca="1">+'R4 Variations'!C218</f>
        <v/>
      </c>
      <c r="D218" s="491">
        <f ca="1">IF(ISNUMBER('R4 Variations'!D218),+'R4 Variations'!D218*LU_Escalation,0)</f>
        <v>0</v>
      </c>
      <c r="E218" s="850">
        <f ca="1">IF(ISNUMBER('R4 Variations'!E218),+'R4 Variations'!E218*LU_Escalation,0)</f>
        <v>0</v>
      </c>
      <c r="F218" s="491">
        <f ca="1">IF(ISNUMBER('R4 Variations'!F218),+'R4 Variations'!F218*LU_Escalation,0)</f>
        <v>0</v>
      </c>
      <c r="G218" s="491">
        <f ca="1">IF(ISNUMBER('R4 Variations'!G218),+'R4 Variations'!G218*LU_Escalation,0)</f>
        <v>0</v>
      </c>
      <c r="H218" s="491">
        <f ca="1">IF(ISNUMBER('R4 Variations'!H218),+'R4 Variations'!H218*LU_Escalation,0)</f>
        <v>0</v>
      </c>
      <c r="I218" s="491">
        <f ca="1">IF(ISNUMBER('R4 Variations'!I218),+'R4 Variations'!I218*LU_Escalation,0)</f>
        <v>0</v>
      </c>
      <c r="J218" s="491">
        <f ca="1">IF(ISNUMBER('R4 Variations'!J218),+'R4 Variations'!J218*LU_Escalation,0)</f>
        <v>0</v>
      </c>
      <c r="K218" s="491">
        <f ca="1">IF(ISNUMBER('R4 Variations'!K218),+'R4 Variations'!K218*LU_Escalation,0)</f>
        <v>0</v>
      </c>
      <c r="L218" s="515" t="str">
        <f ca="1">+'R4 Variations'!L218</f>
        <v/>
      </c>
      <c r="M218" s="450" t="str">
        <f ca="1">+'R4 Variations'!M218</f>
        <v/>
      </c>
      <c r="N218" s="450" t="str">
        <f ca="1">+'R4 Variations'!N218</f>
        <v/>
      </c>
    </row>
    <row r="219" spans="1:14">
      <c r="B219" s="249"/>
      <c r="C219" s="384" t="str">
        <f ca="1">+'R4 Variations'!C219</f>
        <v/>
      </c>
      <c r="D219" s="491">
        <f ca="1">IF(ISNUMBER('R4 Variations'!D219),+'R4 Variations'!D219*LU_Escalation,0)</f>
        <v>0</v>
      </c>
      <c r="E219" s="850">
        <f ca="1">IF(ISNUMBER('R4 Variations'!E219),+'R4 Variations'!E219*LU_Escalation,0)</f>
        <v>0</v>
      </c>
      <c r="F219" s="491">
        <f ca="1">IF(ISNUMBER('R4 Variations'!F219),+'R4 Variations'!F219*LU_Escalation,0)</f>
        <v>0</v>
      </c>
      <c r="G219" s="491">
        <f ca="1">IF(ISNUMBER('R4 Variations'!G219),+'R4 Variations'!G219*LU_Escalation,0)</f>
        <v>0</v>
      </c>
      <c r="H219" s="491">
        <f ca="1">IF(ISNUMBER('R4 Variations'!H219),+'R4 Variations'!H219*LU_Escalation,0)</f>
        <v>0</v>
      </c>
      <c r="I219" s="491">
        <f ca="1">IF(ISNUMBER('R4 Variations'!I219),+'R4 Variations'!I219*LU_Escalation,0)</f>
        <v>0</v>
      </c>
      <c r="J219" s="491">
        <f ca="1">IF(ISNUMBER('R4 Variations'!J219),+'R4 Variations'!J219*LU_Escalation,0)</f>
        <v>0</v>
      </c>
      <c r="K219" s="491">
        <f ca="1">IF(ISNUMBER('R4 Variations'!K219),+'R4 Variations'!K219*LU_Escalation,0)</f>
        <v>0</v>
      </c>
      <c r="L219" s="515" t="str">
        <f ca="1">+'R4 Variations'!L219</f>
        <v/>
      </c>
      <c r="M219" s="450" t="str">
        <f ca="1">+'R4 Variations'!M219</f>
        <v/>
      </c>
      <c r="N219" s="450" t="str">
        <f ca="1">+'R4 Variations'!N219</f>
        <v/>
      </c>
    </row>
    <row r="220" spans="1:14">
      <c r="B220" s="249"/>
      <c r="C220" s="384" t="str">
        <f ca="1">+'R4 Variations'!C220</f>
        <v/>
      </c>
      <c r="D220" s="491">
        <f ca="1">IF(ISNUMBER('R4 Variations'!D220),+'R4 Variations'!D220*LU_Escalation,0)</f>
        <v>0</v>
      </c>
      <c r="E220" s="850">
        <f ca="1">IF(ISNUMBER('R4 Variations'!E220),+'R4 Variations'!E220*LU_Escalation,0)</f>
        <v>0</v>
      </c>
      <c r="F220" s="491">
        <f ca="1">IF(ISNUMBER('R4 Variations'!F220),+'R4 Variations'!F220*LU_Escalation,0)</f>
        <v>0</v>
      </c>
      <c r="G220" s="491">
        <f ca="1">IF(ISNUMBER('R4 Variations'!G220),+'R4 Variations'!G220*LU_Escalation,0)</f>
        <v>0</v>
      </c>
      <c r="H220" s="491">
        <f ca="1">IF(ISNUMBER('R4 Variations'!H220),+'R4 Variations'!H220*LU_Escalation,0)</f>
        <v>0</v>
      </c>
      <c r="I220" s="491">
        <f ca="1">IF(ISNUMBER('R4 Variations'!I220),+'R4 Variations'!I220*LU_Escalation,0)</f>
        <v>0</v>
      </c>
      <c r="J220" s="491">
        <f ca="1">IF(ISNUMBER('R4 Variations'!J220),+'R4 Variations'!J220*LU_Escalation,0)</f>
        <v>0</v>
      </c>
      <c r="K220" s="491">
        <f ca="1">IF(ISNUMBER('R4 Variations'!K220),+'R4 Variations'!K220*LU_Escalation,0)</f>
        <v>0</v>
      </c>
      <c r="L220" s="515" t="str">
        <f ca="1">+'R4 Variations'!L220</f>
        <v/>
      </c>
      <c r="M220" s="450" t="str">
        <f ca="1">+'R4 Variations'!M220</f>
        <v/>
      </c>
      <c r="N220" s="450" t="str">
        <f ca="1">+'R4 Variations'!N220</f>
        <v/>
      </c>
    </row>
    <row r="221" spans="1:14">
      <c r="B221" s="249"/>
      <c r="C221" s="384" t="str">
        <f ca="1">+'R4 Variations'!C221</f>
        <v/>
      </c>
      <c r="D221" s="491">
        <f ca="1">IF(ISNUMBER('R4 Variations'!D221),+'R4 Variations'!D221*LU_Escalation,0)</f>
        <v>0</v>
      </c>
      <c r="E221" s="850">
        <f ca="1">IF(ISNUMBER('R4 Variations'!E221),+'R4 Variations'!E221*LU_Escalation,0)</f>
        <v>0</v>
      </c>
      <c r="F221" s="491">
        <f ca="1">IF(ISNUMBER('R4 Variations'!F221),+'R4 Variations'!F221*LU_Escalation,0)</f>
        <v>0</v>
      </c>
      <c r="G221" s="491">
        <f ca="1">IF(ISNUMBER('R4 Variations'!G221),+'R4 Variations'!G221*LU_Escalation,0)</f>
        <v>0</v>
      </c>
      <c r="H221" s="491">
        <f ca="1">IF(ISNUMBER('R4 Variations'!H221),+'R4 Variations'!H221*LU_Escalation,0)</f>
        <v>0</v>
      </c>
      <c r="I221" s="491">
        <f ca="1">IF(ISNUMBER('R4 Variations'!I221),+'R4 Variations'!I221*LU_Escalation,0)</f>
        <v>0</v>
      </c>
      <c r="J221" s="491">
        <f ca="1">IF(ISNUMBER('R4 Variations'!J221),+'R4 Variations'!J221*LU_Escalation,0)</f>
        <v>0</v>
      </c>
      <c r="K221" s="491">
        <f ca="1">IF(ISNUMBER('R4 Variations'!K221),+'R4 Variations'!K221*LU_Escalation,0)</f>
        <v>0</v>
      </c>
      <c r="L221" s="515" t="str">
        <f ca="1">+'R4 Variations'!L221</f>
        <v/>
      </c>
      <c r="M221" s="450" t="str">
        <f ca="1">+'R4 Variations'!M221</f>
        <v/>
      </c>
      <c r="N221" s="450" t="str">
        <f ca="1">+'R4 Variations'!N221</f>
        <v/>
      </c>
    </row>
    <row r="222" spans="1:14">
      <c r="B222" s="249"/>
      <c r="C222" s="384" t="str">
        <f ca="1">+'R4 Variations'!C222</f>
        <v/>
      </c>
      <c r="D222" s="491">
        <f ca="1">IF(ISNUMBER('R4 Variations'!D222),+'R4 Variations'!D222*LU_Escalation,0)</f>
        <v>0</v>
      </c>
      <c r="E222" s="850">
        <f ca="1">IF(ISNUMBER('R4 Variations'!E222),+'R4 Variations'!E222*LU_Escalation,0)</f>
        <v>0</v>
      </c>
      <c r="F222" s="491">
        <f ca="1">IF(ISNUMBER('R4 Variations'!F222),+'R4 Variations'!F222*LU_Escalation,0)</f>
        <v>0</v>
      </c>
      <c r="G222" s="491">
        <f ca="1">IF(ISNUMBER('R4 Variations'!G222),+'R4 Variations'!G222*LU_Escalation,0)</f>
        <v>0</v>
      </c>
      <c r="H222" s="491">
        <f ca="1">IF(ISNUMBER('R4 Variations'!H222),+'R4 Variations'!H222*LU_Escalation,0)</f>
        <v>0</v>
      </c>
      <c r="I222" s="491">
        <f ca="1">IF(ISNUMBER('R4 Variations'!I222),+'R4 Variations'!I222*LU_Escalation,0)</f>
        <v>0</v>
      </c>
      <c r="J222" s="491">
        <f ca="1">IF(ISNUMBER('R4 Variations'!J222),+'R4 Variations'!J222*LU_Escalation,0)</f>
        <v>0</v>
      </c>
      <c r="K222" s="491">
        <f ca="1">IF(ISNUMBER('R4 Variations'!K222),+'R4 Variations'!K222*LU_Escalation,0)</f>
        <v>0</v>
      </c>
      <c r="L222" s="515" t="str">
        <f ca="1">+'R4 Variations'!L222</f>
        <v/>
      </c>
      <c r="M222" s="450" t="str">
        <f ca="1">+'R4 Variations'!M222</f>
        <v/>
      </c>
      <c r="N222" s="450" t="str">
        <f ca="1">+'R4 Variations'!N222</f>
        <v/>
      </c>
    </row>
    <row r="223" spans="1:14">
      <c r="B223" s="249"/>
      <c r="C223" s="384" t="str">
        <f ca="1">+'R4 Variations'!C223</f>
        <v/>
      </c>
      <c r="D223" s="491">
        <f ca="1">IF(ISNUMBER('R4 Variations'!D223),+'R4 Variations'!D223*LU_Escalation,0)</f>
        <v>0</v>
      </c>
      <c r="E223" s="850">
        <f ca="1">IF(ISNUMBER('R4 Variations'!E223),+'R4 Variations'!E223*LU_Escalation,0)</f>
        <v>0</v>
      </c>
      <c r="F223" s="491">
        <f ca="1">IF(ISNUMBER('R4 Variations'!F223),+'R4 Variations'!F223*LU_Escalation,0)</f>
        <v>0</v>
      </c>
      <c r="G223" s="491">
        <f ca="1">IF(ISNUMBER('R4 Variations'!G223),+'R4 Variations'!G223*LU_Escalation,0)</f>
        <v>0</v>
      </c>
      <c r="H223" s="491">
        <f ca="1">IF(ISNUMBER('R4 Variations'!H223),+'R4 Variations'!H223*LU_Escalation,0)</f>
        <v>0</v>
      </c>
      <c r="I223" s="491">
        <f ca="1">IF(ISNUMBER('R4 Variations'!I223),+'R4 Variations'!I223*LU_Escalation,0)</f>
        <v>0</v>
      </c>
      <c r="J223" s="491">
        <f ca="1">IF(ISNUMBER('R4 Variations'!J223),+'R4 Variations'!J223*LU_Escalation,0)</f>
        <v>0</v>
      </c>
      <c r="K223" s="491">
        <f ca="1">IF(ISNUMBER('R4 Variations'!K223),+'R4 Variations'!K223*LU_Escalation,0)</f>
        <v>0</v>
      </c>
      <c r="L223" s="515" t="str">
        <f ca="1">+'R4 Variations'!L223</f>
        <v/>
      </c>
      <c r="M223" s="450" t="str">
        <f ca="1">+'R4 Variations'!M223</f>
        <v/>
      </c>
      <c r="N223" s="450" t="str">
        <f ca="1">+'R4 Variations'!N223</f>
        <v/>
      </c>
    </row>
    <row r="224" spans="1:14">
      <c r="B224" s="249"/>
      <c r="C224" s="12"/>
      <c r="D224" s="491"/>
      <c r="E224" s="508"/>
      <c r="F224" s="491"/>
      <c r="G224" s="492"/>
      <c r="H224" s="492"/>
      <c r="I224" s="492"/>
      <c r="J224" s="492"/>
      <c r="K224" s="508"/>
      <c r="L224" s="515"/>
      <c r="M224" s="450"/>
      <c r="N224" s="450"/>
    </row>
    <row r="225" spans="1:14">
      <c r="A225" s="5"/>
      <c r="B225" s="249" t="str">
        <f ca="1">+'I-4 History'!B169</f>
        <v>DA-19</v>
      </c>
      <c r="C225" s="14" t="str">
        <f ca="1">+'I-4 History'!C169</f>
        <v>Demand Management Innovation Fund</v>
      </c>
      <c r="D225" s="491"/>
      <c r="E225" s="508"/>
      <c r="F225" s="491"/>
      <c r="G225" s="492"/>
      <c r="H225" s="492"/>
      <c r="I225" s="492"/>
      <c r="J225" s="492"/>
      <c r="K225" s="508"/>
      <c r="L225" s="515"/>
      <c r="M225" s="450"/>
      <c r="N225" s="450"/>
    </row>
    <row r="226" spans="1:14">
      <c r="A226" s="5"/>
      <c r="B226" s="249"/>
      <c r="C226" s="384" t="str">
        <f ca="1">+'R4 Variations'!C226</f>
        <v>Step Change</v>
      </c>
      <c r="D226" s="491">
        <f ca="1">IF(ISNUMBER('R4 Variations'!D226),+'R4 Variations'!D226*LU_Escalation,0)</f>
        <v>0</v>
      </c>
      <c r="E226" s="850">
        <f ca="1">IF(ISNUMBER('R4 Variations'!E226),+'R4 Variations'!E226*LU_Escalation,0)</f>
        <v>0</v>
      </c>
      <c r="F226" s="491">
        <f ca="1">IF(ISNUMBER('R4 Variations'!F226),+'R4 Variations'!F226*LU_Escalation,0)</f>
        <v>0</v>
      </c>
      <c r="G226" s="491">
        <f ca="1">IF(ISNUMBER('R4 Variations'!G226),+'R4 Variations'!G226*LU_Escalation,0)</f>
        <v>0</v>
      </c>
      <c r="H226" s="491">
        <f ca="1">IF(ISNUMBER('R4 Variations'!H226),+'R4 Variations'!H226*LU_Escalation,0)</f>
        <v>0</v>
      </c>
      <c r="I226" s="491">
        <f ca="1">IF(ISNUMBER('R4 Variations'!I226),+'R4 Variations'!I226*LU_Escalation,0)</f>
        <v>0</v>
      </c>
      <c r="J226" s="491">
        <f ca="1">IF(ISNUMBER('R4 Variations'!J226),+'R4 Variations'!J226*LU_Escalation,0)</f>
        <v>0</v>
      </c>
      <c r="K226" s="491">
        <f ca="1">IF(ISNUMBER('R4 Variations'!K226),+'R4 Variations'!K226*LU_Escalation,0)</f>
        <v>0</v>
      </c>
      <c r="L226" s="515" t="str">
        <f ca="1">+'R4 Variations'!L226</f>
        <v>Proposal Step Change</v>
      </c>
      <c r="M226" s="450" t="str">
        <f ca="1">+'R4 Variations'!M226</f>
        <v>Refer Opex Workings</v>
      </c>
      <c r="N226" s="450" t="str">
        <f ca="1">+'R4 Variations'!N226</f>
        <v>Proposal, October 2014</v>
      </c>
    </row>
    <row r="227" spans="1:14">
      <c r="A227" s="5"/>
      <c r="B227" s="249"/>
      <c r="C227" s="384" t="str">
        <f ca="1">+'R4 Variations'!C227</f>
        <v/>
      </c>
      <c r="D227" s="491">
        <f ca="1">IF(ISNUMBER('R4 Variations'!D227),+'R4 Variations'!D227*LU_Escalation,0)</f>
        <v>0</v>
      </c>
      <c r="E227" s="850">
        <f ca="1">IF(ISNUMBER('R4 Variations'!E227),+'R4 Variations'!E227*LU_Escalation,0)</f>
        <v>0</v>
      </c>
      <c r="F227" s="491">
        <f ca="1">IF(ISNUMBER('R4 Variations'!F227),+'R4 Variations'!F227*LU_Escalation,0)</f>
        <v>0</v>
      </c>
      <c r="G227" s="491">
        <f ca="1">IF(ISNUMBER('R4 Variations'!G227),+'R4 Variations'!G227*LU_Escalation,0)</f>
        <v>0</v>
      </c>
      <c r="H227" s="491">
        <f ca="1">IF(ISNUMBER('R4 Variations'!H227),+'R4 Variations'!H227*LU_Escalation,0)</f>
        <v>0</v>
      </c>
      <c r="I227" s="491">
        <f ca="1">IF(ISNUMBER('R4 Variations'!I227),+'R4 Variations'!I227*LU_Escalation,0)</f>
        <v>0</v>
      </c>
      <c r="J227" s="491">
        <f ca="1">IF(ISNUMBER('R4 Variations'!J227),+'R4 Variations'!J227*LU_Escalation,0)</f>
        <v>0</v>
      </c>
      <c r="K227" s="491">
        <f ca="1">IF(ISNUMBER('R4 Variations'!K227),+'R4 Variations'!K227*LU_Escalation,0)</f>
        <v>0</v>
      </c>
      <c r="L227" s="515" t="str">
        <f ca="1">+'R4 Variations'!L227</f>
        <v/>
      </c>
      <c r="M227" s="450" t="str">
        <f ca="1">+'R4 Variations'!M227</f>
        <v/>
      </c>
      <c r="N227" s="450" t="str">
        <f ca="1">+'R4 Variations'!N227</f>
        <v/>
      </c>
    </row>
    <row r="228" spans="1:14">
      <c r="A228" s="5"/>
      <c r="B228" s="249"/>
      <c r="C228" s="384" t="str">
        <f ca="1">+'R4 Variations'!C228</f>
        <v/>
      </c>
      <c r="D228" s="491">
        <f ca="1">IF(ISNUMBER('R4 Variations'!D228),+'R4 Variations'!D228*LU_Escalation,0)</f>
        <v>0</v>
      </c>
      <c r="E228" s="850">
        <f ca="1">IF(ISNUMBER('R4 Variations'!E228),+'R4 Variations'!E228*LU_Escalation,0)</f>
        <v>0</v>
      </c>
      <c r="F228" s="491">
        <f ca="1">IF(ISNUMBER('R4 Variations'!F228),+'R4 Variations'!F228*LU_Escalation,0)</f>
        <v>0</v>
      </c>
      <c r="G228" s="491">
        <f ca="1">IF(ISNUMBER('R4 Variations'!G228),+'R4 Variations'!G228*LU_Escalation,0)</f>
        <v>0</v>
      </c>
      <c r="H228" s="491">
        <f ca="1">IF(ISNUMBER('R4 Variations'!H228),+'R4 Variations'!H228*LU_Escalation,0)</f>
        <v>0</v>
      </c>
      <c r="I228" s="491">
        <f ca="1">IF(ISNUMBER('R4 Variations'!I228),+'R4 Variations'!I228*LU_Escalation,0)</f>
        <v>0</v>
      </c>
      <c r="J228" s="491">
        <f ca="1">IF(ISNUMBER('R4 Variations'!J228),+'R4 Variations'!J228*LU_Escalation,0)</f>
        <v>0</v>
      </c>
      <c r="K228" s="491">
        <f ca="1">IF(ISNUMBER('R4 Variations'!K228),+'R4 Variations'!K228*LU_Escalation,0)</f>
        <v>0</v>
      </c>
      <c r="L228" s="515" t="str">
        <f ca="1">+'R4 Variations'!L228</f>
        <v/>
      </c>
      <c r="M228" s="450" t="str">
        <f ca="1">+'R4 Variations'!M228</f>
        <v/>
      </c>
      <c r="N228" s="450" t="str">
        <f ca="1">+'R4 Variations'!N228</f>
        <v/>
      </c>
    </row>
    <row r="229" spans="1:14">
      <c r="A229" s="5"/>
      <c r="B229" s="249"/>
      <c r="C229" s="384" t="str">
        <f ca="1">+'R4 Variations'!C229</f>
        <v/>
      </c>
      <c r="D229" s="491">
        <f ca="1">IF(ISNUMBER('R4 Variations'!D229),+'R4 Variations'!D229*LU_Escalation,0)</f>
        <v>0</v>
      </c>
      <c r="E229" s="850">
        <f ca="1">IF(ISNUMBER('R4 Variations'!E229),+'R4 Variations'!E229*LU_Escalation,0)</f>
        <v>0</v>
      </c>
      <c r="F229" s="491">
        <f ca="1">IF(ISNUMBER('R4 Variations'!F229),+'R4 Variations'!F229*LU_Escalation,0)</f>
        <v>0</v>
      </c>
      <c r="G229" s="491">
        <f ca="1">IF(ISNUMBER('R4 Variations'!G229),+'R4 Variations'!G229*LU_Escalation,0)</f>
        <v>0</v>
      </c>
      <c r="H229" s="491">
        <f ca="1">IF(ISNUMBER('R4 Variations'!H229),+'R4 Variations'!H229*LU_Escalation,0)</f>
        <v>0</v>
      </c>
      <c r="I229" s="491">
        <f ca="1">IF(ISNUMBER('R4 Variations'!I229),+'R4 Variations'!I229*LU_Escalation,0)</f>
        <v>0</v>
      </c>
      <c r="J229" s="491">
        <f ca="1">IF(ISNUMBER('R4 Variations'!J229),+'R4 Variations'!J229*LU_Escalation,0)</f>
        <v>0</v>
      </c>
      <c r="K229" s="491">
        <f ca="1">IF(ISNUMBER('R4 Variations'!K229),+'R4 Variations'!K229*LU_Escalation,0)</f>
        <v>0</v>
      </c>
      <c r="L229" s="515" t="str">
        <f ca="1">+'R4 Variations'!L229</f>
        <v/>
      </c>
      <c r="M229" s="450" t="str">
        <f ca="1">+'R4 Variations'!M229</f>
        <v/>
      </c>
      <c r="N229" s="450" t="str">
        <f ca="1">+'R4 Variations'!N229</f>
        <v/>
      </c>
    </row>
    <row r="230" spans="1:14">
      <c r="A230" s="5"/>
      <c r="B230" s="249"/>
      <c r="C230" s="384" t="str">
        <f ca="1">+'R4 Variations'!C230</f>
        <v/>
      </c>
      <c r="D230" s="491">
        <f ca="1">IF(ISNUMBER('R4 Variations'!D230),+'R4 Variations'!D230*LU_Escalation,0)</f>
        <v>0</v>
      </c>
      <c r="E230" s="850">
        <f ca="1">IF(ISNUMBER('R4 Variations'!E230),+'R4 Variations'!E230*LU_Escalation,0)</f>
        <v>0</v>
      </c>
      <c r="F230" s="491">
        <f ca="1">IF(ISNUMBER('R4 Variations'!F230),+'R4 Variations'!F230*LU_Escalation,0)</f>
        <v>0</v>
      </c>
      <c r="G230" s="491">
        <f ca="1">IF(ISNUMBER('R4 Variations'!G230),+'R4 Variations'!G230*LU_Escalation,0)</f>
        <v>0</v>
      </c>
      <c r="H230" s="491">
        <f ca="1">IF(ISNUMBER('R4 Variations'!H230),+'R4 Variations'!H230*LU_Escalation,0)</f>
        <v>0</v>
      </c>
      <c r="I230" s="491">
        <f ca="1">IF(ISNUMBER('R4 Variations'!I230),+'R4 Variations'!I230*LU_Escalation,0)</f>
        <v>0</v>
      </c>
      <c r="J230" s="491">
        <f ca="1">IF(ISNUMBER('R4 Variations'!J230),+'R4 Variations'!J230*LU_Escalation,0)</f>
        <v>0</v>
      </c>
      <c r="K230" s="491">
        <f ca="1">IF(ISNUMBER('R4 Variations'!K230),+'R4 Variations'!K230*LU_Escalation,0)</f>
        <v>0</v>
      </c>
      <c r="L230" s="515" t="str">
        <f ca="1">+'R4 Variations'!L230</f>
        <v/>
      </c>
      <c r="M230" s="450" t="str">
        <f ca="1">+'R4 Variations'!M230</f>
        <v/>
      </c>
      <c r="N230" s="450" t="str">
        <f ca="1">+'R4 Variations'!N230</f>
        <v/>
      </c>
    </row>
    <row r="231" spans="1:14">
      <c r="A231" s="5"/>
      <c r="B231" s="249"/>
      <c r="C231" s="384" t="str">
        <f ca="1">+'R4 Variations'!C231</f>
        <v/>
      </c>
      <c r="D231" s="491">
        <f ca="1">IF(ISNUMBER('R4 Variations'!D231),+'R4 Variations'!D231*LU_Escalation,0)</f>
        <v>0</v>
      </c>
      <c r="E231" s="850">
        <f ca="1">IF(ISNUMBER('R4 Variations'!E231),+'R4 Variations'!E231*LU_Escalation,0)</f>
        <v>0</v>
      </c>
      <c r="F231" s="491">
        <f ca="1">IF(ISNUMBER('R4 Variations'!F231),+'R4 Variations'!F231*LU_Escalation,0)</f>
        <v>0</v>
      </c>
      <c r="G231" s="491">
        <f ca="1">IF(ISNUMBER('R4 Variations'!G231),+'R4 Variations'!G231*LU_Escalation,0)</f>
        <v>0</v>
      </c>
      <c r="H231" s="491">
        <f ca="1">IF(ISNUMBER('R4 Variations'!H231),+'R4 Variations'!H231*LU_Escalation,0)</f>
        <v>0</v>
      </c>
      <c r="I231" s="491">
        <f ca="1">IF(ISNUMBER('R4 Variations'!I231),+'R4 Variations'!I231*LU_Escalation,0)</f>
        <v>0</v>
      </c>
      <c r="J231" s="491">
        <f ca="1">IF(ISNUMBER('R4 Variations'!J231),+'R4 Variations'!J231*LU_Escalation,0)</f>
        <v>0</v>
      </c>
      <c r="K231" s="491">
        <f ca="1">IF(ISNUMBER('R4 Variations'!K231),+'R4 Variations'!K231*LU_Escalation,0)</f>
        <v>0</v>
      </c>
      <c r="L231" s="515" t="str">
        <f ca="1">+'R4 Variations'!L231</f>
        <v/>
      </c>
      <c r="M231" s="450" t="str">
        <f ca="1">+'R4 Variations'!M231</f>
        <v/>
      </c>
      <c r="N231" s="450" t="str">
        <f ca="1">+'R4 Variations'!N231</f>
        <v/>
      </c>
    </row>
    <row r="232" spans="1:14">
      <c r="A232" s="5"/>
      <c r="B232" s="249"/>
      <c r="C232" s="384" t="str">
        <f ca="1">+'R4 Variations'!C232</f>
        <v/>
      </c>
      <c r="D232" s="491">
        <f ca="1">IF(ISNUMBER('R4 Variations'!D232),+'R4 Variations'!D232*LU_Escalation,0)</f>
        <v>0</v>
      </c>
      <c r="E232" s="850">
        <f ca="1">IF(ISNUMBER('R4 Variations'!E232),+'R4 Variations'!E232*LU_Escalation,0)</f>
        <v>0</v>
      </c>
      <c r="F232" s="491">
        <f ca="1">IF(ISNUMBER('R4 Variations'!F232),+'R4 Variations'!F232*LU_Escalation,0)</f>
        <v>0</v>
      </c>
      <c r="G232" s="491">
        <f ca="1">IF(ISNUMBER('R4 Variations'!G232),+'R4 Variations'!G232*LU_Escalation,0)</f>
        <v>0</v>
      </c>
      <c r="H232" s="491">
        <f ca="1">IF(ISNUMBER('R4 Variations'!H232),+'R4 Variations'!H232*LU_Escalation,0)</f>
        <v>0</v>
      </c>
      <c r="I232" s="491">
        <f ca="1">IF(ISNUMBER('R4 Variations'!I232),+'R4 Variations'!I232*LU_Escalation,0)</f>
        <v>0</v>
      </c>
      <c r="J232" s="491">
        <f ca="1">IF(ISNUMBER('R4 Variations'!J232),+'R4 Variations'!J232*LU_Escalation,0)</f>
        <v>0</v>
      </c>
      <c r="K232" s="491">
        <f ca="1">IF(ISNUMBER('R4 Variations'!K232),+'R4 Variations'!K232*LU_Escalation,0)</f>
        <v>0</v>
      </c>
      <c r="L232" s="515" t="str">
        <f ca="1">+'R4 Variations'!L232</f>
        <v/>
      </c>
      <c r="M232" s="450" t="str">
        <f ca="1">+'R4 Variations'!M232</f>
        <v/>
      </c>
      <c r="N232" s="450" t="str">
        <f ca="1">+'R4 Variations'!N232</f>
        <v/>
      </c>
    </row>
    <row r="233" spans="1:14">
      <c r="A233" s="5"/>
      <c r="B233" s="249"/>
      <c r="C233" s="384" t="str">
        <f ca="1">+'R4 Variations'!C233</f>
        <v/>
      </c>
      <c r="D233" s="491">
        <f ca="1">IF(ISNUMBER('R4 Variations'!D233),+'R4 Variations'!D233*LU_Escalation,0)</f>
        <v>0</v>
      </c>
      <c r="E233" s="850">
        <f ca="1">IF(ISNUMBER('R4 Variations'!E233),+'R4 Variations'!E233*LU_Escalation,0)</f>
        <v>0</v>
      </c>
      <c r="F233" s="491">
        <f ca="1">IF(ISNUMBER('R4 Variations'!F233),+'R4 Variations'!F233*LU_Escalation,0)</f>
        <v>0</v>
      </c>
      <c r="G233" s="491">
        <f ca="1">IF(ISNUMBER('R4 Variations'!G233),+'R4 Variations'!G233*LU_Escalation,0)</f>
        <v>0</v>
      </c>
      <c r="H233" s="491">
        <f ca="1">IF(ISNUMBER('R4 Variations'!H233),+'R4 Variations'!H233*LU_Escalation,0)</f>
        <v>0</v>
      </c>
      <c r="I233" s="491">
        <f ca="1">IF(ISNUMBER('R4 Variations'!I233),+'R4 Variations'!I233*LU_Escalation,0)</f>
        <v>0</v>
      </c>
      <c r="J233" s="491">
        <f ca="1">IF(ISNUMBER('R4 Variations'!J233),+'R4 Variations'!J233*LU_Escalation,0)</f>
        <v>0</v>
      </c>
      <c r="K233" s="491">
        <f ca="1">IF(ISNUMBER('R4 Variations'!K233),+'R4 Variations'!K233*LU_Escalation,0)</f>
        <v>0</v>
      </c>
      <c r="L233" s="515" t="str">
        <f ca="1">+'R4 Variations'!L233</f>
        <v/>
      </c>
      <c r="M233" s="450" t="str">
        <f ca="1">+'R4 Variations'!M233</f>
        <v/>
      </c>
      <c r="N233" s="450" t="str">
        <f ca="1">+'R4 Variations'!N233</f>
        <v/>
      </c>
    </row>
    <row r="234" spans="1:14">
      <c r="A234" s="5"/>
      <c r="B234" s="249"/>
      <c r="C234" s="384" t="str">
        <f ca="1">+'R4 Variations'!C234</f>
        <v/>
      </c>
      <c r="D234" s="491">
        <f ca="1">IF(ISNUMBER('R4 Variations'!D234),+'R4 Variations'!D234*LU_Escalation,0)</f>
        <v>0</v>
      </c>
      <c r="E234" s="850">
        <f ca="1">IF(ISNUMBER('R4 Variations'!E234),+'R4 Variations'!E234*LU_Escalation,0)</f>
        <v>0</v>
      </c>
      <c r="F234" s="491">
        <f ca="1">IF(ISNUMBER('R4 Variations'!F234),+'R4 Variations'!F234*LU_Escalation,0)</f>
        <v>0</v>
      </c>
      <c r="G234" s="491">
        <f ca="1">IF(ISNUMBER('R4 Variations'!G234),+'R4 Variations'!G234*LU_Escalation,0)</f>
        <v>0</v>
      </c>
      <c r="H234" s="491">
        <f ca="1">IF(ISNUMBER('R4 Variations'!H234),+'R4 Variations'!H234*LU_Escalation,0)</f>
        <v>0</v>
      </c>
      <c r="I234" s="491">
        <f ca="1">IF(ISNUMBER('R4 Variations'!I234),+'R4 Variations'!I234*LU_Escalation,0)</f>
        <v>0</v>
      </c>
      <c r="J234" s="491">
        <f ca="1">IF(ISNUMBER('R4 Variations'!J234),+'R4 Variations'!J234*LU_Escalation,0)</f>
        <v>0</v>
      </c>
      <c r="K234" s="491">
        <f ca="1">IF(ISNUMBER('R4 Variations'!K234),+'R4 Variations'!K234*LU_Escalation,0)</f>
        <v>0</v>
      </c>
      <c r="L234" s="515" t="str">
        <f ca="1">+'R4 Variations'!L234</f>
        <v/>
      </c>
      <c r="M234" s="450" t="str">
        <f ca="1">+'R4 Variations'!M234</f>
        <v/>
      </c>
      <c r="N234" s="450" t="str">
        <f ca="1">+'R4 Variations'!N234</f>
        <v/>
      </c>
    </row>
    <row r="235" spans="1:14">
      <c r="A235" s="5"/>
      <c r="B235" s="249"/>
      <c r="C235" s="384" t="str">
        <f ca="1">+'R4 Variations'!C235</f>
        <v/>
      </c>
      <c r="D235" s="491">
        <f ca="1">IF(ISNUMBER('R4 Variations'!D235),+'R4 Variations'!D235*LU_Escalation,0)</f>
        <v>0</v>
      </c>
      <c r="E235" s="850">
        <f ca="1">IF(ISNUMBER('R4 Variations'!E235),+'R4 Variations'!E235*LU_Escalation,0)</f>
        <v>0</v>
      </c>
      <c r="F235" s="491">
        <f ca="1">IF(ISNUMBER('R4 Variations'!F235),+'R4 Variations'!F235*LU_Escalation,0)</f>
        <v>0</v>
      </c>
      <c r="G235" s="491">
        <f ca="1">IF(ISNUMBER('R4 Variations'!G235),+'R4 Variations'!G235*LU_Escalation,0)</f>
        <v>0</v>
      </c>
      <c r="H235" s="491">
        <f ca="1">IF(ISNUMBER('R4 Variations'!H235),+'R4 Variations'!H235*LU_Escalation,0)</f>
        <v>0</v>
      </c>
      <c r="I235" s="491">
        <f ca="1">IF(ISNUMBER('R4 Variations'!I235),+'R4 Variations'!I235*LU_Escalation,0)</f>
        <v>0</v>
      </c>
      <c r="J235" s="491">
        <f ca="1">IF(ISNUMBER('R4 Variations'!J235),+'R4 Variations'!J235*LU_Escalation,0)</f>
        <v>0</v>
      </c>
      <c r="K235" s="491">
        <f ca="1">IF(ISNUMBER('R4 Variations'!K235),+'R4 Variations'!K235*LU_Escalation,0)</f>
        <v>0</v>
      </c>
      <c r="L235" s="515" t="str">
        <f ca="1">+'R4 Variations'!L235</f>
        <v/>
      </c>
      <c r="M235" s="450" t="str">
        <f ca="1">+'R4 Variations'!M235</f>
        <v/>
      </c>
      <c r="N235" s="450" t="str">
        <f ca="1">+'R4 Variations'!N235</f>
        <v/>
      </c>
    </row>
    <row r="236" spans="1:14">
      <c r="A236" s="5"/>
      <c r="B236" s="249"/>
      <c r="C236" s="12"/>
      <c r="D236" s="491"/>
      <c r="E236" s="508"/>
      <c r="F236" s="491"/>
      <c r="G236" s="492"/>
      <c r="H236" s="492"/>
      <c r="I236" s="492"/>
      <c r="J236" s="492"/>
      <c r="K236" s="508"/>
      <c r="L236" s="515"/>
      <c r="M236" s="450"/>
      <c r="N236" s="450"/>
    </row>
    <row r="237" spans="1:14">
      <c r="A237" s="5"/>
      <c r="B237" s="249" t="str">
        <f ca="1">+'I-4 History'!B178</f>
        <v>DA-20</v>
      </c>
      <c r="C237" s="14" t="str">
        <f ca="1">+'I-4 History'!C178</f>
        <v>Guaranteed Service Level Payments</v>
      </c>
      <c r="D237" s="491"/>
      <c r="E237" s="508"/>
      <c r="F237" s="491"/>
      <c r="G237" s="492"/>
      <c r="H237" s="492"/>
      <c r="I237" s="492"/>
      <c r="J237" s="492"/>
      <c r="K237" s="508"/>
      <c r="L237" s="515"/>
      <c r="M237" s="450"/>
      <c r="N237" s="450"/>
    </row>
    <row r="238" spans="1:14">
      <c r="A238" s="5"/>
      <c r="B238" s="249"/>
      <c r="C238" s="384" t="str">
        <f ca="1">+'R4 Variations'!C238</f>
        <v>Step Change</v>
      </c>
      <c r="D238" s="491">
        <f ca="1">IF(ISNUMBER('R4 Variations'!D238),+'R4 Variations'!D238*LU_Escalation,0)</f>
        <v>0</v>
      </c>
      <c r="E238" s="850">
        <f ca="1">IF(ISNUMBER('R4 Variations'!E238),+'R4 Variations'!E238*LU_Escalation,0)</f>
        <v>0</v>
      </c>
      <c r="F238" s="491">
        <f ca="1">IF(ISNUMBER('R4 Variations'!F238),+'R4 Variations'!F238*LU_Escalation,0)</f>
        <v>0</v>
      </c>
      <c r="G238" s="491">
        <f ca="1">IF(ISNUMBER('R4 Variations'!G238),+'R4 Variations'!G238*LU_Escalation,0)</f>
        <v>0</v>
      </c>
      <c r="H238" s="491">
        <f ca="1">IF(ISNUMBER('R4 Variations'!H238),+'R4 Variations'!H238*LU_Escalation,0)</f>
        <v>0</v>
      </c>
      <c r="I238" s="491">
        <f ca="1">IF(ISNUMBER('R4 Variations'!I238),+'R4 Variations'!I238*LU_Escalation,0)</f>
        <v>0</v>
      </c>
      <c r="J238" s="491">
        <f ca="1">IF(ISNUMBER('R4 Variations'!J238),+'R4 Variations'!J238*LU_Escalation,0)</f>
        <v>0</v>
      </c>
      <c r="K238" s="491">
        <f ca="1">IF(ISNUMBER('R4 Variations'!K238),+'R4 Variations'!K238*LU_Escalation,0)</f>
        <v>0</v>
      </c>
      <c r="L238" s="515" t="str">
        <f ca="1">+'R4 Variations'!L238</f>
        <v>Proposal Step Change</v>
      </c>
      <c r="M238" s="450" t="str">
        <f ca="1">+'R4 Variations'!M238</f>
        <v>Refer Opex Workings</v>
      </c>
      <c r="N238" s="450" t="str">
        <f ca="1">+'R4 Variations'!N238</f>
        <v>Proposal, October 2014</v>
      </c>
    </row>
    <row r="239" spans="1:14">
      <c r="A239" s="5"/>
      <c r="B239" s="249"/>
      <c r="C239" s="384" t="str">
        <f ca="1">+'R4 Variations'!C239</f>
        <v/>
      </c>
      <c r="D239" s="491">
        <f ca="1">IF(ISNUMBER('R4 Variations'!D239),+'R4 Variations'!D239*LU_Escalation,0)</f>
        <v>0</v>
      </c>
      <c r="E239" s="850">
        <f ca="1">IF(ISNUMBER('R4 Variations'!E239),+'R4 Variations'!E239*LU_Escalation,0)</f>
        <v>0</v>
      </c>
      <c r="F239" s="491">
        <f ca="1">IF(ISNUMBER('R4 Variations'!F239),+'R4 Variations'!F239*LU_Escalation,0)</f>
        <v>0</v>
      </c>
      <c r="G239" s="491">
        <f ca="1">IF(ISNUMBER('R4 Variations'!G239),+'R4 Variations'!G239*LU_Escalation,0)</f>
        <v>0</v>
      </c>
      <c r="H239" s="491">
        <f ca="1">IF(ISNUMBER('R4 Variations'!H239),+'R4 Variations'!H239*LU_Escalation,0)</f>
        <v>0</v>
      </c>
      <c r="I239" s="491">
        <f ca="1">IF(ISNUMBER('R4 Variations'!I239),+'R4 Variations'!I239*LU_Escalation,0)</f>
        <v>0</v>
      </c>
      <c r="J239" s="491">
        <f ca="1">IF(ISNUMBER('R4 Variations'!J239),+'R4 Variations'!J239*LU_Escalation,0)</f>
        <v>0</v>
      </c>
      <c r="K239" s="491">
        <f ca="1">IF(ISNUMBER('R4 Variations'!K239),+'R4 Variations'!K239*LU_Escalation,0)</f>
        <v>0</v>
      </c>
      <c r="L239" s="515" t="str">
        <f ca="1">+'R4 Variations'!L239</f>
        <v/>
      </c>
      <c r="M239" s="450" t="str">
        <f ca="1">+'R4 Variations'!M239</f>
        <v/>
      </c>
      <c r="N239" s="450" t="str">
        <f ca="1">+'R4 Variations'!N239</f>
        <v/>
      </c>
    </row>
    <row r="240" spans="1:14">
      <c r="A240" s="5"/>
      <c r="B240" s="249"/>
      <c r="C240" s="384" t="str">
        <f ca="1">+'R4 Variations'!C240</f>
        <v/>
      </c>
      <c r="D240" s="491">
        <f ca="1">IF(ISNUMBER('R4 Variations'!D240),+'R4 Variations'!D240*LU_Escalation,0)</f>
        <v>0</v>
      </c>
      <c r="E240" s="850">
        <f ca="1">IF(ISNUMBER('R4 Variations'!E240),+'R4 Variations'!E240*LU_Escalation,0)</f>
        <v>0</v>
      </c>
      <c r="F240" s="491">
        <f ca="1">IF(ISNUMBER('R4 Variations'!F240),+'R4 Variations'!F240*LU_Escalation,0)</f>
        <v>0</v>
      </c>
      <c r="G240" s="491">
        <f ca="1">IF(ISNUMBER('R4 Variations'!G240),+'R4 Variations'!G240*LU_Escalation,0)</f>
        <v>0</v>
      </c>
      <c r="H240" s="491">
        <f ca="1">IF(ISNUMBER('R4 Variations'!H240),+'R4 Variations'!H240*LU_Escalation,0)</f>
        <v>0</v>
      </c>
      <c r="I240" s="491">
        <f ca="1">IF(ISNUMBER('R4 Variations'!I240),+'R4 Variations'!I240*LU_Escalation,0)</f>
        <v>0</v>
      </c>
      <c r="J240" s="491">
        <f ca="1">IF(ISNUMBER('R4 Variations'!J240),+'R4 Variations'!J240*LU_Escalation,0)</f>
        <v>0</v>
      </c>
      <c r="K240" s="491">
        <f ca="1">IF(ISNUMBER('R4 Variations'!K240),+'R4 Variations'!K240*LU_Escalation,0)</f>
        <v>0</v>
      </c>
      <c r="L240" s="515" t="str">
        <f ca="1">+'R4 Variations'!L240</f>
        <v/>
      </c>
      <c r="M240" s="450" t="str">
        <f ca="1">+'R4 Variations'!M240</f>
        <v/>
      </c>
      <c r="N240" s="450" t="str">
        <f ca="1">+'R4 Variations'!N240</f>
        <v/>
      </c>
    </row>
    <row r="241" spans="1:14">
      <c r="A241" s="5"/>
      <c r="B241" s="249"/>
      <c r="C241" s="384" t="str">
        <f ca="1">+'R4 Variations'!C241</f>
        <v/>
      </c>
      <c r="D241" s="491">
        <f ca="1">IF(ISNUMBER('R4 Variations'!D241),+'R4 Variations'!D241*LU_Escalation,0)</f>
        <v>0</v>
      </c>
      <c r="E241" s="850">
        <f ca="1">IF(ISNUMBER('R4 Variations'!E241),+'R4 Variations'!E241*LU_Escalation,0)</f>
        <v>0</v>
      </c>
      <c r="F241" s="491">
        <f ca="1">IF(ISNUMBER('R4 Variations'!F241),+'R4 Variations'!F241*LU_Escalation,0)</f>
        <v>0</v>
      </c>
      <c r="G241" s="491">
        <f ca="1">IF(ISNUMBER('R4 Variations'!G241),+'R4 Variations'!G241*LU_Escalation,0)</f>
        <v>0</v>
      </c>
      <c r="H241" s="491">
        <f ca="1">IF(ISNUMBER('R4 Variations'!H241),+'R4 Variations'!H241*LU_Escalation,0)</f>
        <v>0</v>
      </c>
      <c r="I241" s="491">
        <f ca="1">IF(ISNUMBER('R4 Variations'!I241),+'R4 Variations'!I241*LU_Escalation,0)</f>
        <v>0</v>
      </c>
      <c r="J241" s="491">
        <f ca="1">IF(ISNUMBER('R4 Variations'!J241),+'R4 Variations'!J241*LU_Escalation,0)</f>
        <v>0</v>
      </c>
      <c r="K241" s="491">
        <f ca="1">IF(ISNUMBER('R4 Variations'!K241),+'R4 Variations'!K241*LU_Escalation,0)</f>
        <v>0</v>
      </c>
      <c r="L241" s="515" t="str">
        <f ca="1">+'R4 Variations'!L241</f>
        <v/>
      </c>
      <c r="M241" s="450" t="str">
        <f ca="1">+'R4 Variations'!M241</f>
        <v/>
      </c>
      <c r="N241" s="450" t="str">
        <f ca="1">+'R4 Variations'!N241</f>
        <v/>
      </c>
    </row>
    <row r="242" spans="1:14">
      <c r="A242" s="5"/>
      <c r="B242" s="249"/>
      <c r="C242" s="384" t="str">
        <f ca="1">+'R4 Variations'!C242</f>
        <v/>
      </c>
      <c r="D242" s="491">
        <f ca="1">IF(ISNUMBER('R4 Variations'!D242),+'R4 Variations'!D242*LU_Escalation,0)</f>
        <v>0</v>
      </c>
      <c r="E242" s="850">
        <f ca="1">IF(ISNUMBER('R4 Variations'!E242),+'R4 Variations'!E242*LU_Escalation,0)</f>
        <v>0</v>
      </c>
      <c r="F242" s="491">
        <f ca="1">IF(ISNUMBER('R4 Variations'!F242),+'R4 Variations'!F242*LU_Escalation,0)</f>
        <v>0</v>
      </c>
      <c r="G242" s="491">
        <f ca="1">IF(ISNUMBER('R4 Variations'!G242),+'R4 Variations'!G242*LU_Escalation,0)</f>
        <v>0</v>
      </c>
      <c r="H242" s="491">
        <f ca="1">IF(ISNUMBER('R4 Variations'!H242),+'R4 Variations'!H242*LU_Escalation,0)</f>
        <v>0</v>
      </c>
      <c r="I242" s="491">
        <f ca="1">IF(ISNUMBER('R4 Variations'!I242),+'R4 Variations'!I242*LU_Escalation,0)</f>
        <v>0</v>
      </c>
      <c r="J242" s="491">
        <f ca="1">IF(ISNUMBER('R4 Variations'!J242),+'R4 Variations'!J242*LU_Escalation,0)</f>
        <v>0</v>
      </c>
      <c r="K242" s="491">
        <f ca="1">IF(ISNUMBER('R4 Variations'!K242),+'R4 Variations'!K242*LU_Escalation,0)</f>
        <v>0</v>
      </c>
      <c r="L242" s="515" t="str">
        <f ca="1">+'R4 Variations'!L242</f>
        <v/>
      </c>
      <c r="M242" s="450" t="str">
        <f ca="1">+'R4 Variations'!M242</f>
        <v/>
      </c>
      <c r="N242" s="450" t="str">
        <f ca="1">+'R4 Variations'!N242</f>
        <v/>
      </c>
    </row>
    <row r="243" spans="1:14">
      <c r="A243" s="5"/>
      <c r="B243" s="249"/>
      <c r="C243" s="384" t="str">
        <f ca="1">+'R4 Variations'!C243</f>
        <v/>
      </c>
      <c r="D243" s="491">
        <f ca="1">IF(ISNUMBER('R4 Variations'!D243),+'R4 Variations'!D243*LU_Escalation,0)</f>
        <v>0</v>
      </c>
      <c r="E243" s="850">
        <f ca="1">IF(ISNUMBER('R4 Variations'!E243),+'R4 Variations'!E243*LU_Escalation,0)</f>
        <v>0</v>
      </c>
      <c r="F243" s="491">
        <f ca="1">IF(ISNUMBER('R4 Variations'!F243),+'R4 Variations'!F243*LU_Escalation,0)</f>
        <v>0</v>
      </c>
      <c r="G243" s="491">
        <f ca="1">IF(ISNUMBER('R4 Variations'!G243),+'R4 Variations'!G243*LU_Escalation,0)</f>
        <v>0</v>
      </c>
      <c r="H243" s="491">
        <f ca="1">IF(ISNUMBER('R4 Variations'!H243),+'R4 Variations'!H243*LU_Escalation,0)</f>
        <v>0</v>
      </c>
      <c r="I243" s="491">
        <f ca="1">IF(ISNUMBER('R4 Variations'!I243),+'R4 Variations'!I243*LU_Escalation,0)</f>
        <v>0</v>
      </c>
      <c r="J243" s="491">
        <f ca="1">IF(ISNUMBER('R4 Variations'!J243),+'R4 Variations'!J243*LU_Escalation,0)</f>
        <v>0</v>
      </c>
      <c r="K243" s="491">
        <f ca="1">IF(ISNUMBER('R4 Variations'!K243),+'R4 Variations'!K243*LU_Escalation,0)</f>
        <v>0</v>
      </c>
      <c r="L243" s="515" t="str">
        <f ca="1">+'R4 Variations'!L243</f>
        <v/>
      </c>
      <c r="M243" s="450" t="str">
        <f ca="1">+'R4 Variations'!M243</f>
        <v/>
      </c>
      <c r="N243" s="450" t="str">
        <f ca="1">+'R4 Variations'!N243</f>
        <v/>
      </c>
    </row>
    <row r="244" spans="1:14">
      <c r="A244" s="5"/>
      <c r="B244" s="249"/>
      <c r="C244" s="384" t="str">
        <f ca="1">+'R4 Variations'!C244</f>
        <v/>
      </c>
      <c r="D244" s="491">
        <f ca="1">IF(ISNUMBER('R4 Variations'!D244),+'R4 Variations'!D244*LU_Escalation,0)</f>
        <v>0</v>
      </c>
      <c r="E244" s="850">
        <f ca="1">IF(ISNUMBER('R4 Variations'!E244),+'R4 Variations'!E244*LU_Escalation,0)</f>
        <v>0</v>
      </c>
      <c r="F244" s="491">
        <f ca="1">IF(ISNUMBER('R4 Variations'!F244),+'R4 Variations'!F244*LU_Escalation,0)</f>
        <v>0</v>
      </c>
      <c r="G244" s="491">
        <f ca="1">IF(ISNUMBER('R4 Variations'!G244),+'R4 Variations'!G244*LU_Escalation,0)</f>
        <v>0</v>
      </c>
      <c r="H244" s="491">
        <f ca="1">IF(ISNUMBER('R4 Variations'!H244),+'R4 Variations'!H244*LU_Escalation,0)</f>
        <v>0</v>
      </c>
      <c r="I244" s="491">
        <f ca="1">IF(ISNUMBER('R4 Variations'!I244),+'R4 Variations'!I244*LU_Escalation,0)</f>
        <v>0</v>
      </c>
      <c r="J244" s="491">
        <f ca="1">IF(ISNUMBER('R4 Variations'!J244),+'R4 Variations'!J244*LU_Escalation,0)</f>
        <v>0</v>
      </c>
      <c r="K244" s="491">
        <f ca="1">IF(ISNUMBER('R4 Variations'!K244),+'R4 Variations'!K244*LU_Escalation,0)</f>
        <v>0</v>
      </c>
      <c r="L244" s="515" t="str">
        <f ca="1">+'R4 Variations'!L244</f>
        <v/>
      </c>
      <c r="M244" s="450" t="str">
        <f ca="1">+'R4 Variations'!M244</f>
        <v/>
      </c>
      <c r="N244" s="450" t="str">
        <f ca="1">+'R4 Variations'!N244</f>
        <v/>
      </c>
    </row>
    <row r="245" spans="1:14">
      <c r="A245" s="5"/>
      <c r="B245" s="249"/>
      <c r="C245" s="384" t="str">
        <f ca="1">+'R4 Variations'!C245</f>
        <v/>
      </c>
      <c r="D245" s="491">
        <f ca="1">IF(ISNUMBER('R4 Variations'!D245),+'R4 Variations'!D245*LU_Escalation,0)</f>
        <v>0</v>
      </c>
      <c r="E245" s="850">
        <f ca="1">IF(ISNUMBER('R4 Variations'!E245),+'R4 Variations'!E245*LU_Escalation,0)</f>
        <v>0</v>
      </c>
      <c r="F245" s="491">
        <f ca="1">IF(ISNUMBER('R4 Variations'!F245),+'R4 Variations'!F245*LU_Escalation,0)</f>
        <v>0</v>
      </c>
      <c r="G245" s="491">
        <f ca="1">IF(ISNUMBER('R4 Variations'!G245),+'R4 Variations'!G245*LU_Escalation,0)</f>
        <v>0</v>
      </c>
      <c r="H245" s="491">
        <f ca="1">IF(ISNUMBER('R4 Variations'!H245),+'R4 Variations'!H245*LU_Escalation,0)</f>
        <v>0</v>
      </c>
      <c r="I245" s="491">
        <f ca="1">IF(ISNUMBER('R4 Variations'!I245),+'R4 Variations'!I245*LU_Escalation,0)</f>
        <v>0</v>
      </c>
      <c r="J245" s="491">
        <f ca="1">IF(ISNUMBER('R4 Variations'!J245),+'R4 Variations'!J245*LU_Escalation,0)</f>
        <v>0</v>
      </c>
      <c r="K245" s="491">
        <f ca="1">IF(ISNUMBER('R4 Variations'!K245),+'R4 Variations'!K245*LU_Escalation,0)</f>
        <v>0</v>
      </c>
      <c r="L245" s="515" t="str">
        <f ca="1">+'R4 Variations'!L245</f>
        <v/>
      </c>
      <c r="M245" s="450" t="str">
        <f ca="1">+'R4 Variations'!M245</f>
        <v/>
      </c>
      <c r="N245" s="450" t="str">
        <f ca="1">+'R4 Variations'!N245</f>
        <v/>
      </c>
    </row>
    <row r="246" spans="1:14">
      <c r="A246" s="5"/>
      <c r="B246" s="249"/>
      <c r="C246" s="384" t="str">
        <f ca="1">+'R4 Variations'!C246</f>
        <v/>
      </c>
      <c r="D246" s="491">
        <f ca="1">IF(ISNUMBER('R4 Variations'!D246),+'R4 Variations'!D246*LU_Escalation,0)</f>
        <v>0</v>
      </c>
      <c r="E246" s="850">
        <f ca="1">IF(ISNUMBER('R4 Variations'!E246),+'R4 Variations'!E246*LU_Escalation,0)</f>
        <v>0</v>
      </c>
      <c r="F246" s="491">
        <f ca="1">IF(ISNUMBER('R4 Variations'!F246),+'R4 Variations'!F246*LU_Escalation,0)</f>
        <v>0</v>
      </c>
      <c r="G246" s="491">
        <f ca="1">IF(ISNUMBER('R4 Variations'!G246),+'R4 Variations'!G246*LU_Escalation,0)</f>
        <v>0</v>
      </c>
      <c r="H246" s="491">
        <f ca="1">IF(ISNUMBER('R4 Variations'!H246),+'R4 Variations'!H246*LU_Escalation,0)</f>
        <v>0</v>
      </c>
      <c r="I246" s="491">
        <f ca="1">IF(ISNUMBER('R4 Variations'!I246),+'R4 Variations'!I246*LU_Escalation,0)</f>
        <v>0</v>
      </c>
      <c r="J246" s="491">
        <f ca="1">IF(ISNUMBER('R4 Variations'!J246),+'R4 Variations'!J246*LU_Escalation,0)</f>
        <v>0</v>
      </c>
      <c r="K246" s="491">
        <f ca="1">IF(ISNUMBER('R4 Variations'!K246),+'R4 Variations'!K246*LU_Escalation,0)</f>
        <v>0</v>
      </c>
      <c r="L246" s="515" t="str">
        <f ca="1">+'R4 Variations'!L246</f>
        <v/>
      </c>
      <c r="M246" s="450" t="str">
        <f ca="1">+'R4 Variations'!M246</f>
        <v/>
      </c>
      <c r="N246" s="450" t="str">
        <f ca="1">+'R4 Variations'!N246</f>
        <v/>
      </c>
    </row>
    <row r="247" spans="1:14">
      <c r="A247" s="5"/>
      <c r="B247" s="249"/>
      <c r="C247" s="384" t="str">
        <f ca="1">+'R4 Variations'!C247</f>
        <v/>
      </c>
      <c r="D247" s="491">
        <f ca="1">IF(ISNUMBER('R4 Variations'!D247),+'R4 Variations'!D247*LU_Escalation,0)</f>
        <v>0</v>
      </c>
      <c r="E247" s="850">
        <f ca="1">IF(ISNUMBER('R4 Variations'!E247),+'R4 Variations'!E247*LU_Escalation,0)</f>
        <v>0</v>
      </c>
      <c r="F247" s="491">
        <f ca="1">IF(ISNUMBER('R4 Variations'!F247),+'R4 Variations'!F247*LU_Escalation,0)</f>
        <v>0</v>
      </c>
      <c r="G247" s="491">
        <f ca="1">IF(ISNUMBER('R4 Variations'!G247),+'R4 Variations'!G247*LU_Escalation,0)</f>
        <v>0</v>
      </c>
      <c r="H247" s="491">
        <f ca="1">IF(ISNUMBER('R4 Variations'!H247),+'R4 Variations'!H247*LU_Escalation,0)</f>
        <v>0</v>
      </c>
      <c r="I247" s="491">
        <f ca="1">IF(ISNUMBER('R4 Variations'!I247),+'R4 Variations'!I247*LU_Escalation,0)</f>
        <v>0</v>
      </c>
      <c r="J247" s="491">
        <f ca="1">IF(ISNUMBER('R4 Variations'!J247),+'R4 Variations'!J247*LU_Escalation,0)</f>
        <v>0</v>
      </c>
      <c r="K247" s="491">
        <f ca="1">IF(ISNUMBER('R4 Variations'!K247),+'R4 Variations'!K247*LU_Escalation,0)</f>
        <v>0</v>
      </c>
      <c r="L247" s="515" t="str">
        <f ca="1">+'R4 Variations'!L247</f>
        <v/>
      </c>
      <c r="M247" s="450" t="str">
        <f ca="1">+'R4 Variations'!M247</f>
        <v/>
      </c>
      <c r="N247" s="450" t="str">
        <f ca="1">+'R4 Variations'!N247</f>
        <v/>
      </c>
    </row>
    <row r="248" spans="1:14">
      <c r="A248" s="5"/>
      <c r="B248" s="249"/>
      <c r="C248" s="12"/>
      <c r="D248" s="491"/>
      <c r="E248" s="508"/>
      <c r="F248" s="491"/>
      <c r="G248" s="492"/>
      <c r="H248" s="492"/>
      <c r="I248" s="492"/>
      <c r="J248" s="492"/>
      <c r="K248" s="508"/>
      <c r="L248" s="515"/>
      <c r="M248" s="450"/>
      <c r="N248" s="450"/>
    </row>
    <row r="249" spans="1:14">
      <c r="A249" s="5"/>
      <c r="B249" s="249" t="str">
        <f ca="1">+'I-4 History'!B187</f>
        <v>DA-21</v>
      </c>
      <c r="C249" s="14" t="str">
        <f ca="1">+'I-4 History'!C187</f>
        <v>Property – Substation Sites</v>
      </c>
      <c r="D249" s="491"/>
      <c r="E249" s="508"/>
      <c r="F249" s="491"/>
      <c r="G249" s="492"/>
      <c r="H249" s="492"/>
      <c r="I249" s="492"/>
      <c r="J249" s="492"/>
      <c r="K249" s="508"/>
      <c r="L249" s="515"/>
      <c r="M249" s="450"/>
      <c r="N249" s="450"/>
    </row>
    <row r="250" spans="1:14">
      <c r="A250" s="5"/>
      <c r="B250" s="249"/>
      <c r="C250" s="384" t="str">
        <f ca="1">+'R4 Variations'!C250</f>
        <v>Step Change</v>
      </c>
      <c r="D250" s="491">
        <f ca="1">IF(ISNUMBER('R4 Variations'!D250),+'R4 Variations'!D250*LU_Escalation,0)</f>
        <v>0</v>
      </c>
      <c r="E250" s="850">
        <f ca="1">IF(ISNUMBER('R4 Variations'!E250),+'R4 Variations'!E250*LU_Escalation,0)</f>
        <v>0</v>
      </c>
      <c r="F250" s="491">
        <f ca="1">IF(ISNUMBER('R4 Variations'!F250),+'R4 Variations'!F250*LU_Escalation,0)</f>
        <v>0</v>
      </c>
      <c r="G250" s="491">
        <f ca="1">IF(ISNUMBER('R4 Variations'!G250),+'R4 Variations'!G250*LU_Escalation,0)</f>
        <v>0</v>
      </c>
      <c r="H250" s="491">
        <f ca="1">IF(ISNUMBER('R4 Variations'!H250),+'R4 Variations'!H250*LU_Escalation,0)</f>
        <v>0</v>
      </c>
      <c r="I250" s="491">
        <f ca="1">IF(ISNUMBER('R4 Variations'!I250),+'R4 Variations'!I250*LU_Escalation,0)</f>
        <v>0</v>
      </c>
      <c r="J250" s="491">
        <f ca="1">IF(ISNUMBER('R4 Variations'!J250),+'R4 Variations'!J250*LU_Escalation,0)</f>
        <v>0</v>
      </c>
      <c r="K250" s="491">
        <f ca="1">IF(ISNUMBER('R4 Variations'!K250),+'R4 Variations'!K250*LU_Escalation,0)</f>
        <v>0</v>
      </c>
      <c r="L250" s="515" t="str">
        <f ca="1">+'R4 Variations'!L250</f>
        <v>Proposal Step Change</v>
      </c>
      <c r="M250" s="450" t="str">
        <f ca="1">+'R4 Variations'!M250</f>
        <v>Refer Opex Workings</v>
      </c>
      <c r="N250" s="450" t="str">
        <f ca="1">+'R4 Variations'!N250</f>
        <v>Proposal, October 2014</v>
      </c>
    </row>
    <row r="251" spans="1:14">
      <c r="A251" s="5"/>
      <c r="B251" s="249"/>
      <c r="C251" s="384" t="str">
        <f ca="1">+'R4 Variations'!C251</f>
        <v/>
      </c>
      <c r="D251" s="491">
        <f ca="1">IF(ISNUMBER('R4 Variations'!D251),+'R4 Variations'!D251*LU_Escalation,0)</f>
        <v>0</v>
      </c>
      <c r="E251" s="850">
        <f ca="1">IF(ISNUMBER('R4 Variations'!E251),+'R4 Variations'!E251*LU_Escalation,0)</f>
        <v>0</v>
      </c>
      <c r="F251" s="491">
        <f ca="1">IF(ISNUMBER('R4 Variations'!F251),+'R4 Variations'!F251*LU_Escalation,0)</f>
        <v>0</v>
      </c>
      <c r="G251" s="491">
        <f ca="1">IF(ISNUMBER('R4 Variations'!G251),+'R4 Variations'!G251*LU_Escalation,0)</f>
        <v>0</v>
      </c>
      <c r="H251" s="491">
        <f ca="1">IF(ISNUMBER('R4 Variations'!H251),+'R4 Variations'!H251*LU_Escalation,0)</f>
        <v>0</v>
      </c>
      <c r="I251" s="491">
        <f ca="1">IF(ISNUMBER('R4 Variations'!I251),+'R4 Variations'!I251*LU_Escalation,0)</f>
        <v>0</v>
      </c>
      <c r="J251" s="491">
        <f ca="1">IF(ISNUMBER('R4 Variations'!J251),+'R4 Variations'!J251*LU_Escalation,0)</f>
        <v>0</v>
      </c>
      <c r="K251" s="491">
        <f ca="1">IF(ISNUMBER('R4 Variations'!K251),+'R4 Variations'!K251*LU_Escalation,0)</f>
        <v>0</v>
      </c>
      <c r="L251" s="515" t="str">
        <f ca="1">+'R4 Variations'!L251</f>
        <v/>
      </c>
      <c r="M251" s="450" t="str">
        <f ca="1">+'R4 Variations'!M251</f>
        <v/>
      </c>
      <c r="N251" s="450" t="str">
        <f ca="1">+'R4 Variations'!N251</f>
        <v/>
      </c>
    </row>
    <row r="252" spans="1:14">
      <c r="A252" s="5"/>
      <c r="B252" s="249"/>
      <c r="C252" s="384" t="str">
        <f ca="1">+'R4 Variations'!C252</f>
        <v/>
      </c>
      <c r="D252" s="491">
        <f ca="1">IF(ISNUMBER('R4 Variations'!D252),+'R4 Variations'!D252*LU_Escalation,0)</f>
        <v>0</v>
      </c>
      <c r="E252" s="850">
        <f ca="1">IF(ISNUMBER('R4 Variations'!E252),+'R4 Variations'!E252*LU_Escalation,0)</f>
        <v>0</v>
      </c>
      <c r="F252" s="491">
        <f ca="1">IF(ISNUMBER('R4 Variations'!F252),+'R4 Variations'!F252*LU_Escalation,0)</f>
        <v>0</v>
      </c>
      <c r="G252" s="491">
        <f ca="1">IF(ISNUMBER('R4 Variations'!G252),+'R4 Variations'!G252*LU_Escalation,0)</f>
        <v>0</v>
      </c>
      <c r="H252" s="491">
        <f ca="1">IF(ISNUMBER('R4 Variations'!H252),+'R4 Variations'!H252*LU_Escalation,0)</f>
        <v>0</v>
      </c>
      <c r="I252" s="491">
        <f ca="1">IF(ISNUMBER('R4 Variations'!I252),+'R4 Variations'!I252*LU_Escalation,0)</f>
        <v>0</v>
      </c>
      <c r="J252" s="491">
        <f ca="1">IF(ISNUMBER('R4 Variations'!J252),+'R4 Variations'!J252*LU_Escalation,0)</f>
        <v>0</v>
      </c>
      <c r="K252" s="491">
        <f ca="1">IF(ISNUMBER('R4 Variations'!K252),+'R4 Variations'!K252*LU_Escalation,0)</f>
        <v>0</v>
      </c>
      <c r="L252" s="515" t="str">
        <f ca="1">+'R4 Variations'!L252</f>
        <v/>
      </c>
      <c r="M252" s="450" t="str">
        <f ca="1">+'R4 Variations'!M252</f>
        <v/>
      </c>
      <c r="N252" s="450" t="str">
        <f ca="1">+'R4 Variations'!N252</f>
        <v/>
      </c>
    </row>
    <row r="253" spans="1:14">
      <c r="A253" s="5"/>
      <c r="B253" s="249"/>
      <c r="C253" s="384" t="str">
        <f ca="1">+'R4 Variations'!C253</f>
        <v/>
      </c>
      <c r="D253" s="491">
        <f ca="1">IF(ISNUMBER('R4 Variations'!D253),+'R4 Variations'!D253*LU_Escalation,0)</f>
        <v>0</v>
      </c>
      <c r="E253" s="850">
        <f ca="1">IF(ISNUMBER('R4 Variations'!E253),+'R4 Variations'!E253*LU_Escalation,0)</f>
        <v>0</v>
      </c>
      <c r="F253" s="491">
        <f ca="1">IF(ISNUMBER('R4 Variations'!F253),+'R4 Variations'!F253*LU_Escalation,0)</f>
        <v>0</v>
      </c>
      <c r="G253" s="491">
        <f ca="1">IF(ISNUMBER('R4 Variations'!G253),+'R4 Variations'!G253*LU_Escalation,0)</f>
        <v>0</v>
      </c>
      <c r="H253" s="491">
        <f ca="1">IF(ISNUMBER('R4 Variations'!H253),+'R4 Variations'!H253*LU_Escalation,0)</f>
        <v>0</v>
      </c>
      <c r="I253" s="491">
        <f ca="1">IF(ISNUMBER('R4 Variations'!I253),+'R4 Variations'!I253*LU_Escalation,0)</f>
        <v>0</v>
      </c>
      <c r="J253" s="491">
        <f ca="1">IF(ISNUMBER('R4 Variations'!J253),+'R4 Variations'!J253*LU_Escalation,0)</f>
        <v>0</v>
      </c>
      <c r="K253" s="491">
        <f ca="1">IF(ISNUMBER('R4 Variations'!K253),+'R4 Variations'!K253*LU_Escalation,0)</f>
        <v>0</v>
      </c>
      <c r="L253" s="515" t="str">
        <f ca="1">+'R4 Variations'!L253</f>
        <v/>
      </c>
      <c r="M253" s="450" t="str">
        <f ca="1">+'R4 Variations'!M253</f>
        <v/>
      </c>
      <c r="N253" s="450" t="str">
        <f ca="1">+'R4 Variations'!N253</f>
        <v/>
      </c>
    </row>
    <row r="254" spans="1:14">
      <c r="A254" s="5"/>
      <c r="B254" s="249"/>
      <c r="C254" s="384" t="str">
        <f ca="1">+'R4 Variations'!C254</f>
        <v/>
      </c>
      <c r="D254" s="491">
        <f ca="1">IF(ISNUMBER('R4 Variations'!D254),+'R4 Variations'!D254*LU_Escalation,0)</f>
        <v>0</v>
      </c>
      <c r="E254" s="850">
        <f ca="1">IF(ISNUMBER('R4 Variations'!E254),+'R4 Variations'!E254*LU_Escalation,0)</f>
        <v>0</v>
      </c>
      <c r="F254" s="491">
        <f ca="1">IF(ISNUMBER('R4 Variations'!F254),+'R4 Variations'!F254*LU_Escalation,0)</f>
        <v>0</v>
      </c>
      <c r="G254" s="491">
        <f ca="1">IF(ISNUMBER('R4 Variations'!G254),+'R4 Variations'!G254*LU_Escalation,0)</f>
        <v>0</v>
      </c>
      <c r="H254" s="491">
        <f ca="1">IF(ISNUMBER('R4 Variations'!H254),+'R4 Variations'!H254*LU_Escalation,0)</f>
        <v>0</v>
      </c>
      <c r="I254" s="491">
        <f ca="1">IF(ISNUMBER('R4 Variations'!I254),+'R4 Variations'!I254*LU_Escalation,0)</f>
        <v>0</v>
      </c>
      <c r="J254" s="491">
        <f ca="1">IF(ISNUMBER('R4 Variations'!J254),+'R4 Variations'!J254*LU_Escalation,0)</f>
        <v>0</v>
      </c>
      <c r="K254" s="491">
        <f ca="1">IF(ISNUMBER('R4 Variations'!K254),+'R4 Variations'!K254*LU_Escalation,0)</f>
        <v>0</v>
      </c>
      <c r="L254" s="515" t="str">
        <f ca="1">+'R4 Variations'!L254</f>
        <v/>
      </c>
      <c r="M254" s="450" t="str">
        <f ca="1">+'R4 Variations'!M254</f>
        <v/>
      </c>
      <c r="N254" s="450" t="str">
        <f ca="1">+'R4 Variations'!N254</f>
        <v/>
      </c>
    </row>
    <row r="255" spans="1:14">
      <c r="A255" s="5"/>
      <c r="B255" s="249"/>
      <c r="C255" s="384" t="str">
        <f ca="1">+'R4 Variations'!C255</f>
        <v/>
      </c>
      <c r="D255" s="491">
        <f ca="1">IF(ISNUMBER('R4 Variations'!D255),+'R4 Variations'!D255*LU_Escalation,0)</f>
        <v>0</v>
      </c>
      <c r="E255" s="850">
        <f ca="1">IF(ISNUMBER('R4 Variations'!E255),+'R4 Variations'!E255*LU_Escalation,0)</f>
        <v>0</v>
      </c>
      <c r="F255" s="491">
        <f ca="1">IF(ISNUMBER('R4 Variations'!F255),+'R4 Variations'!F255*LU_Escalation,0)</f>
        <v>0</v>
      </c>
      <c r="G255" s="491">
        <f ca="1">IF(ISNUMBER('R4 Variations'!G255),+'R4 Variations'!G255*LU_Escalation,0)</f>
        <v>0</v>
      </c>
      <c r="H255" s="491">
        <f ca="1">IF(ISNUMBER('R4 Variations'!H255),+'R4 Variations'!H255*LU_Escalation,0)</f>
        <v>0</v>
      </c>
      <c r="I255" s="491">
        <f ca="1">IF(ISNUMBER('R4 Variations'!I255),+'R4 Variations'!I255*LU_Escalation,0)</f>
        <v>0</v>
      </c>
      <c r="J255" s="491">
        <f ca="1">IF(ISNUMBER('R4 Variations'!J255),+'R4 Variations'!J255*LU_Escalation,0)</f>
        <v>0</v>
      </c>
      <c r="K255" s="491">
        <f ca="1">IF(ISNUMBER('R4 Variations'!K255),+'R4 Variations'!K255*LU_Escalation,0)</f>
        <v>0</v>
      </c>
      <c r="L255" s="515" t="str">
        <f ca="1">+'R4 Variations'!L255</f>
        <v/>
      </c>
      <c r="M255" s="450" t="str">
        <f ca="1">+'R4 Variations'!M255</f>
        <v/>
      </c>
      <c r="N255" s="450" t="str">
        <f ca="1">+'R4 Variations'!N255</f>
        <v/>
      </c>
    </row>
    <row r="256" spans="1:14">
      <c r="A256" s="5"/>
      <c r="B256" s="249"/>
      <c r="C256" s="384" t="str">
        <f ca="1">+'R4 Variations'!C256</f>
        <v/>
      </c>
      <c r="D256" s="491">
        <f ca="1">IF(ISNUMBER('R4 Variations'!D256),+'R4 Variations'!D256*LU_Escalation,0)</f>
        <v>0</v>
      </c>
      <c r="E256" s="850">
        <f ca="1">IF(ISNUMBER('R4 Variations'!E256),+'R4 Variations'!E256*LU_Escalation,0)</f>
        <v>0</v>
      </c>
      <c r="F256" s="491">
        <f ca="1">IF(ISNUMBER('R4 Variations'!F256),+'R4 Variations'!F256*LU_Escalation,0)</f>
        <v>0</v>
      </c>
      <c r="G256" s="491">
        <f ca="1">IF(ISNUMBER('R4 Variations'!G256),+'R4 Variations'!G256*LU_Escalation,0)</f>
        <v>0</v>
      </c>
      <c r="H256" s="491">
        <f ca="1">IF(ISNUMBER('R4 Variations'!H256),+'R4 Variations'!H256*LU_Escalation,0)</f>
        <v>0</v>
      </c>
      <c r="I256" s="491">
        <f ca="1">IF(ISNUMBER('R4 Variations'!I256),+'R4 Variations'!I256*LU_Escalation,0)</f>
        <v>0</v>
      </c>
      <c r="J256" s="491">
        <f ca="1">IF(ISNUMBER('R4 Variations'!J256),+'R4 Variations'!J256*LU_Escalation,0)</f>
        <v>0</v>
      </c>
      <c r="K256" s="491">
        <f ca="1">IF(ISNUMBER('R4 Variations'!K256),+'R4 Variations'!K256*LU_Escalation,0)</f>
        <v>0</v>
      </c>
      <c r="L256" s="515" t="str">
        <f ca="1">+'R4 Variations'!L256</f>
        <v/>
      </c>
      <c r="M256" s="450" t="str">
        <f ca="1">+'R4 Variations'!M256</f>
        <v/>
      </c>
      <c r="N256" s="450" t="str">
        <f ca="1">+'R4 Variations'!N256</f>
        <v/>
      </c>
    </row>
    <row r="257" spans="1:14">
      <c r="A257" s="5"/>
      <c r="B257" s="249"/>
      <c r="C257" s="384" t="str">
        <f ca="1">+'R4 Variations'!C257</f>
        <v/>
      </c>
      <c r="D257" s="491">
        <f ca="1">IF(ISNUMBER('R4 Variations'!D257),+'R4 Variations'!D257*LU_Escalation,0)</f>
        <v>0</v>
      </c>
      <c r="E257" s="850">
        <f ca="1">IF(ISNUMBER('R4 Variations'!E257),+'R4 Variations'!E257*LU_Escalation,0)</f>
        <v>0</v>
      </c>
      <c r="F257" s="491">
        <f ca="1">IF(ISNUMBER('R4 Variations'!F257),+'R4 Variations'!F257*LU_Escalation,0)</f>
        <v>0</v>
      </c>
      <c r="G257" s="491">
        <f ca="1">IF(ISNUMBER('R4 Variations'!G257),+'R4 Variations'!G257*LU_Escalation,0)</f>
        <v>0</v>
      </c>
      <c r="H257" s="491">
        <f ca="1">IF(ISNUMBER('R4 Variations'!H257),+'R4 Variations'!H257*LU_Escalation,0)</f>
        <v>0</v>
      </c>
      <c r="I257" s="491">
        <f ca="1">IF(ISNUMBER('R4 Variations'!I257),+'R4 Variations'!I257*LU_Escalation,0)</f>
        <v>0</v>
      </c>
      <c r="J257" s="491">
        <f ca="1">IF(ISNUMBER('R4 Variations'!J257),+'R4 Variations'!J257*LU_Escalation,0)</f>
        <v>0</v>
      </c>
      <c r="K257" s="491">
        <f ca="1">IF(ISNUMBER('R4 Variations'!K257),+'R4 Variations'!K257*LU_Escalation,0)</f>
        <v>0</v>
      </c>
      <c r="L257" s="515" t="str">
        <f ca="1">+'R4 Variations'!L257</f>
        <v/>
      </c>
      <c r="M257" s="450" t="str">
        <f ca="1">+'R4 Variations'!M257</f>
        <v/>
      </c>
      <c r="N257" s="450" t="str">
        <f ca="1">+'R4 Variations'!N257</f>
        <v/>
      </c>
    </row>
    <row r="258" spans="1:14">
      <c r="A258" s="5"/>
      <c r="B258" s="249"/>
      <c r="C258" s="384" t="str">
        <f ca="1">+'R4 Variations'!C258</f>
        <v/>
      </c>
      <c r="D258" s="491">
        <f ca="1">IF(ISNUMBER('R4 Variations'!D258),+'R4 Variations'!D258*LU_Escalation,0)</f>
        <v>0</v>
      </c>
      <c r="E258" s="850">
        <f ca="1">IF(ISNUMBER('R4 Variations'!E258),+'R4 Variations'!E258*LU_Escalation,0)</f>
        <v>0</v>
      </c>
      <c r="F258" s="491">
        <f ca="1">IF(ISNUMBER('R4 Variations'!F258),+'R4 Variations'!F258*LU_Escalation,0)</f>
        <v>0</v>
      </c>
      <c r="G258" s="491">
        <f ca="1">IF(ISNUMBER('R4 Variations'!G258),+'R4 Variations'!G258*LU_Escalation,0)</f>
        <v>0</v>
      </c>
      <c r="H258" s="491">
        <f ca="1">IF(ISNUMBER('R4 Variations'!H258),+'R4 Variations'!H258*LU_Escalation,0)</f>
        <v>0</v>
      </c>
      <c r="I258" s="491">
        <f ca="1">IF(ISNUMBER('R4 Variations'!I258),+'R4 Variations'!I258*LU_Escalation,0)</f>
        <v>0</v>
      </c>
      <c r="J258" s="491">
        <f ca="1">IF(ISNUMBER('R4 Variations'!J258),+'R4 Variations'!J258*LU_Escalation,0)</f>
        <v>0</v>
      </c>
      <c r="K258" s="491">
        <f ca="1">IF(ISNUMBER('R4 Variations'!K258),+'R4 Variations'!K258*LU_Escalation,0)</f>
        <v>0</v>
      </c>
      <c r="L258" s="515" t="str">
        <f ca="1">+'R4 Variations'!L258</f>
        <v/>
      </c>
      <c r="M258" s="450" t="str">
        <f ca="1">+'R4 Variations'!M258</f>
        <v/>
      </c>
      <c r="N258" s="450" t="str">
        <f ca="1">+'R4 Variations'!N258</f>
        <v/>
      </c>
    </row>
    <row r="259" spans="1:14">
      <c r="A259" s="5"/>
      <c r="B259" s="249"/>
      <c r="C259" s="384" t="str">
        <f ca="1">+'R4 Variations'!C259</f>
        <v/>
      </c>
      <c r="D259" s="491">
        <f ca="1">IF(ISNUMBER('R4 Variations'!D259),+'R4 Variations'!D259*LU_Escalation,0)</f>
        <v>0</v>
      </c>
      <c r="E259" s="850">
        <f ca="1">IF(ISNUMBER('R4 Variations'!E259),+'R4 Variations'!E259*LU_Escalation,0)</f>
        <v>0</v>
      </c>
      <c r="F259" s="491">
        <f ca="1">IF(ISNUMBER('R4 Variations'!F259),+'R4 Variations'!F259*LU_Escalation,0)</f>
        <v>0</v>
      </c>
      <c r="G259" s="491">
        <f ca="1">IF(ISNUMBER('R4 Variations'!G259),+'R4 Variations'!G259*LU_Escalation,0)</f>
        <v>0</v>
      </c>
      <c r="H259" s="491">
        <f ca="1">IF(ISNUMBER('R4 Variations'!H259),+'R4 Variations'!H259*LU_Escalation,0)</f>
        <v>0</v>
      </c>
      <c r="I259" s="491">
        <f ca="1">IF(ISNUMBER('R4 Variations'!I259),+'R4 Variations'!I259*LU_Escalation,0)</f>
        <v>0</v>
      </c>
      <c r="J259" s="491">
        <f ca="1">IF(ISNUMBER('R4 Variations'!J259),+'R4 Variations'!J259*LU_Escalation,0)</f>
        <v>0</v>
      </c>
      <c r="K259" s="491">
        <f ca="1">IF(ISNUMBER('R4 Variations'!K259),+'R4 Variations'!K259*LU_Escalation,0)</f>
        <v>0</v>
      </c>
      <c r="L259" s="515" t="str">
        <f ca="1">+'R4 Variations'!L259</f>
        <v/>
      </c>
      <c r="M259" s="450" t="str">
        <f ca="1">+'R4 Variations'!M259</f>
        <v/>
      </c>
      <c r="N259" s="450" t="str">
        <f ca="1">+'R4 Variations'!N259</f>
        <v/>
      </c>
    </row>
    <row r="260" spans="1:14">
      <c r="A260" s="5"/>
      <c r="B260" s="249"/>
      <c r="C260" s="12"/>
      <c r="D260" s="491"/>
      <c r="E260" s="508"/>
      <c r="F260" s="491"/>
      <c r="G260" s="492"/>
      <c r="H260" s="492"/>
      <c r="I260" s="492"/>
      <c r="J260" s="492"/>
      <c r="K260" s="508"/>
      <c r="L260" s="515"/>
      <c r="M260" s="450"/>
      <c r="N260" s="450"/>
    </row>
    <row r="261" spans="1:14">
      <c r="A261" s="5"/>
      <c r="B261" s="249" t="str">
        <f ca="1">+'I-4 History'!B196</f>
        <v>DA-22</v>
      </c>
      <c r="C261" s="14" t="str">
        <f ca="1">+'I-4 History'!C196</f>
        <v>Network Insurance</v>
      </c>
      <c r="D261" s="491"/>
      <c r="E261" s="508"/>
      <c r="F261" s="491"/>
      <c r="G261" s="492"/>
      <c r="H261" s="492"/>
      <c r="I261" s="492"/>
      <c r="J261" s="492"/>
      <c r="K261" s="508"/>
      <c r="L261" s="515"/>
      <c r="M261" s="450"/>
      <c r="N261" s="450"/>
    </row>
    <row r="262" spans="1:14">
      <c r="A262" s="5"/>
      <c r="B262" s="249"/>
      <c r="C262" s="384" t="str">
        <f ca="1">+'R4 Variations'!C262</f>
        <v>Step Change</v>
      </c>
      <c r="D262" s="491">
        <f ca="1">IF(ISNUMBER('R4 Variations'!D262),+'R4 Variations'!D262*LU_Escalation,0)</f>
        <v>0</v>
      </c>
      <c r="E262" s="850">
        <f ca="1">IF(ISNUMBER('R4 Variations'!E262),+'R4 Variations'!E262*LU_Escalation,0)</f>
        <v>0</v>
      </c>
      <c r="F262" s="491">
        <f ca="1">IF(ISNUMBER('R4 Variations'!F262),+'R4 Variations'!F262*LU_Escalation,0)</f>
        <v>0</v>
      </c>
      <c r="G262" s="491">
        <f ca="1">IF(ISNUMBER('R4 Variations'!G262),+'R4 Variations'!G262*LU_Escalation,0)</f>
        <v>0</v>
      </c>
      <c r="H262" s="491">
        <f ca="1">IF(ISNUMBER('R4 Variations'!H262),+'R4 Variations'!H262*LU_Escalation,0)</f>
        <v>0</v>
      </c>
      <c r="I262" s="491">
        <f ca="1">IF(ISNUMBER('R4 Variations'!I262),+'R4 Variations'!I262*LU_Escalation,0)</f>
        <v>0</v>
      </c>
      <c r="J262" s="491">
        <f ca="1">IF(ISNUMBER('R4 Variations'!J262),+'R4 Variations'!J262*LU_Escalation,0)</f>
        <v>0</v>
      </c>
      <c r="K262" s="491">
        <f ca="1">IF(ISNUMBER('R4 Variations'!K262),+'R4 Variations'!K262*LU_Escalation,0)</f>
        <v>0</v>
      </c>
      <c r="L262" s="515" t="str">
        <f ca="1">+'R4 Variations'!L262</f>
        <v>Proposal Step Change</v>
      </c>
      <c r="M262" s="450" t="str">
        <f ca="1">+'R4 Variations'!M262</f>
        <v>Refer Opex Workings</v>
      </c>
      <c r="N262" s="450" t="str">
        <f ca="1">+'R4 Variations'!N262</f>
        <v>Proposal, October 2014</v>
      </c>
    </row>
    <row r="263" spans="1:14">
      <c r="A263" s="5"/>
      <c r="B263" s="249"/>
      <c r="C263" s="384" t="str">
        <f ca="1">+'R4 Variations'!C263</f>
        <v/>
      </c>
      <c r="D263" s="491">
        <f ca="1">IF(ISNUMBER('R4 Variations'!D263),+'R4 Variations'!D263*LU_Escalation,0)</f>
        <v>0</v>
      </c>
      <c r="E263" s="850">
        <f ca="1">IF(ISNUMBER('R4 Variations'!E263),+'R4 Variations'!E263*LU_Escalation,0)</f>
        <v>0</v>
      </c>
      <c r="F263" s="491">
        <f ca="1">IF(ISNUMBER('R4 Variations'!F263),+'R4 Variations'!F263*LU_Escalation,0)</f>
        <v>0</v>
      </c>
      <c r="G263" s="491">
        <f ca="1">IF(ISNUMBER('R4 Variations'!G263),+'R4 Variations'!G263*LU_Escalation,0)</f>
        <v>0</v>
      </c>
      <c r="H263" s="491">
        <f ca="1">IF(ISNUMBER('R4 Variations'!H263),+'R4 Variations'!H263*LU_Escalation,0)</f>
        <v>0</v>
      </c>
      <c r="I263" s="491">
        <f ca="1">IF(ISNUMBER('R4 Variations'!I263),+'R4 Variations'!I263*LU_Escalation,0)</f>
        <v>0</v>
      </c>
      <c r="J263" s="491">
        <f ca="1">IF(ISNUMBER('R4 Variations'!J263),+'R4 Variations'!J263*LU_Escalation,0)</f>
        <v>0</v>
      </c>
      <c r="K263" s="491">
        <f ca="1">IF(ISNUMBER('R4 Variations'!K263),+'R4 Variations'!K263*LU_Escalation,0)</f>
        <v>0</v>
      </c>
      <c r="L263" s="515" t="str">
        <f ca="1">+'R4 Variations'!L263</f>
        <v/>
      </c>
      <c r="M263" s="450" t="str">
        <f ca="1">+'R4 Variations'!M263</f>
        <v/>
      </c>
      <c r="N263" s="450" t="str">
        <f ca="1">+'R4 Variations'!N263</f>
        <v/>
      </c>
    </row>
    <row r="264" spans="1:14">
      <c r="A264" s="5"/>
      <c r="B264" s="249"/>
      <c r="C264" s="384" t="str">
        <f ca="1">+'R4 Variations'!C264</f>
        <v/>
      </c>
      <c r="D264" s="491">
        <f ca="1">IF(ISNUMBER('R4 Variations'!D264),+'R4 Variations'!D264*LU_Escalation,0)</f>
        <v>0</v>
      </c>
      <c r="E264" s="850">
        <f ca="1">IF(ISNUMBER('R4 Variations'!E264),+'R4 Variations'!E264*LU_Escalation,0)</f>
        <v>0</v>
      </c>
      <c r="F264" s="491">
        <f ca="1">IF(ISNUMBER('R4 Variations'!F264),+'R4 Variations'!F264*LU_Escalation,0)</f>
        <v>0</v>
      </c>
      <c r="G264" s="491">
        <f ca="1">IF(ISNUMBER('R4 Variations'!G264),+'R4 Variations'!G264*LU_Escalation,0)</f>
        <v>0</v>
      </c>
      <c r="H264" s="491">
        <f ca="1">IF(ISNUMBER('R4 Variations'!H264),+'R4 Variations'!H264*LU_Escalation,0)</f>
        <v>0</v>
      </c>
      <c r="I264" s="491">
        <f ca="1">IF(ISNUMBER('R4 Variations'!I264),+'R4 Variations'!I264*LU_Escalation,0)</f>
        <v>0</v>
      </c>
      <c r="J264" s="491">
        <f ca="1">IF(ISNUMBER('R4 Variations'!J264),+'R4 Variations'!J264*LU_Escalation,0)</f>
        <v>0</v>
      </c>
      <c r="K264" s="491">
        <f ca="1">IF(ISNUMBER('R4 Variations'!K264),+'R4 Variations'!K264*LU_Escalation,0)</f>
        <v>0</v>
      </c>
      <c r="L264" s="515" t="str">
        <f ca="1">+'R4 Variations'!L264</f>
        <v/>
      </c>
      <c r="M264" s="450" t="str">
        <f ca="1">+'R4 Variations'!M264</f>
        <v/>
      </c>
      <c r="N264" s="450" t="str">
        <f ca="1">+'R4 Variations'!N264</f>
        <v/>
      </c>
    </row>
    <row r="265" spans="1:14">
      <c r="A265" s="5"/>
      <c r="B265" s="249"/>
      <c r="C265" s="384" t="str">
        <f ca="1">+'R4 Variations'!C265</f>
        <v/>
      </c>
      <c r="D265" s="491">
        <f ca="1">IF(ISNUMBER('R4 Variations'!D265),+'R4 Variations'!D265*LU_Escalation,0)</f>
        <v>0</v>
      </c>
      <c r="E265" s="850">
        <f ca="1">IF(ISNUMBER('R4 Variations'!E265),+'R4 Variations'!E265*LU_Escalation,0)</f>
        <v>0</v>
      </c>
      <c r="F265" s="491">
        <f ca="1">IF(ISNUMBER('R4 Variations'!F265),+'R4 Variations'!F265*LU_Escalation,0)</f>
        <v>0</v>
      </c>
      <c r="G265" s="491">
        <f ca="1">IF(ISNUMBER('R4 Variations'!G265),+'R4 Variations'!G265*LU_Escalation,0)</f>
        <v>0</v>
      </c>
      <c r="H265" s="491">
        <f ca="1">IF(ISNUMBER('R4 Variations'!H265),+'R4 Variations'!H265*LU_Escalation,0)</f>
        <v>0</v>
      </c>
      <c r="I265" s="491">
        <f ca="1">IF(ISNUMBER('R4 Variations'!I265),+'R4 Variations'!I265*LU_Escalation,0)</f>
        <v>0</v>
      </c>
      <c r="J265" s="491">
        <f ca="1">IF(ISNUMBER('R4 Variations'!J265),+'R4 Variations'!J265*LU_Escalation,0)</f>
        <v>0</v>
      </c>
      <c r="K265" s="491">
        <f ca="1">IF(ISNUMBER('R4 Variations'!K265),+'R4 Variations'!K265*LU_Escalation,0)</f>
        <v>0</v>
      </c>
      <c r="L265" s="515" t="str">
        <f ca="1">+'R4 Variations'!L265</f>
        <v/>
      </c>
      <c r="M265" s="450" t="str">
        <f ca="1">+'R4 Variations'!M265</f>
        <v/>
      </c>
      <c r="N265" s="450" t="str">
        <f ca="1">+'R4 Variations'!N265</f>
        <v/>
      </c>
    </row>
    <row r="266" spans="1:14">
      <c r="A266" s="5"/>
      <c r="B266" s="249"/>
      <c r="C266" s="384" t="str">
        <f ca="1">+'R4 Variations'!C266</f>
        <v/>
      </c>
      <c r="D266" s="491">
        <f ca="1">IF(ISNUMBER('R4 Variations'!D266),+'R4 Variations'!D266*LU_Escalation,0)</f>
        <v>0</v>
      </c>
      <c r="E266" s="850">
        <f ca="1">IF(ISNUMBER('R4 Variations'!E266),+'R4 Variations'!E266*LU_Escalation,0)</f>
        <v>0</v>
      </c>
      <c r="F266" s="491">
        <f ca="1">IF(ISNUMBER('R4 Variations'!F266),+'R4 Variations'!F266*LU_Escalation,0)</f>
        <v>0</v>
      </c>
      <c r="G266" s="491">
        <f ca="1">IF(ISNUMBER('R4 Variations'!G266),+'R4 Variations'!G266*LU_Escalation,0)</f>
        <v>0</v>
      </c>
      <c r="H266" s="491">
        <f ca="1">IF(ISNUMBER('R4 Variations'!H266),+'R4 Variations'!H266*LU_Escalation,0)</f>
        <v>0</v>
      </c>
      <c r="I266" s="491">
        <f ca="1">IF(ISNUMBER('R4 Variations'!I266),+'R4 Variations'!I266*LU_Escalation,0)</f>
        <v>0</v>
      </c>
      <c r="J266" s="491">
        <f ca="1">IF(ISNUMBER('R4 Variations'!J266),+'R4 Variations'!J266*LU_Escalation,0)</f>
        <v>0</v>
      </c>
      <c r="K266" s="491">
        <f ca="1">IF(ISNUMBER('R4 Variations'!K266),+'R4 Variations'!K266*LU_Escalation,0)</f>
        <v>0</v>
      </c>
      <c r="L266" s="515" t="str">
        <f ca="1">+'R4 Variations'!L266</f>
        <v/>
      </c>
      <c r="M266" s="450" t="str">
        <f ca="1">+'R4 Variations'!M266</f>
        <v/>
      </c>
      <c r="N266" s="450" t="str">
        <f ca="1">+'R4 Variations'!N266</f>
        <v/>
      </c>
    </row>
    <row r="267" spans="1:14">
      <c r="A267" s="5"/>
      <c r="B267" s="249"/>
      <c r="C267" s="384" t="str">
        <f ca="1">+'R4 Variations'!C267</f>
        <v/>
      </c>
      <c r="D267" s="491">
        <f ca="1">IF(ISNUMBER('R4 Variations'!D267),+'R4 Variations'!D267*LU_Escalation,0)</f>
        <v>0</v>
      </c>
      <c r="E267" s="850">
        <f ca="1">IF(ISNUMBER('R4 Variations'!E267),+'R4 Variations'!E267*LU_Escalation,0)</f>
        <v>0</v>
      </c>
      <c r="F267" s="491">
        <f ca="1">IF(ISNUMBER('R4 Variations'!F267),+'R4 Variations'!F267*LU_Escalation,0)</f>
        <v>0</v>
      </c>
      <c r="G267" s="491">
        <f ca="1">IF(ISNUMBER('R4 Variations'!G267),+'R4 Variations'!G267*LU_Escalation,0)</f>
        <v>0</v>
      </c>
      <c r="H267" s="491">
        <f ca="1">IF(ISNUMBER('R4 Variations'!H267),+'R4 Variations'!H267*LU_Escalation,0)</f>
        <v>0</v>
      </c>
      <c r="I267" s="491">
        <f ca="1">IF(ISNUMBER('R4 Variations'!I267),+'R4 Variations'!I267*LU_Escalation,0)</f>
        <v>0</v>
      </c>
      <c r="J267" s="491">
        <f ca="1">IF(ISNUMBER('R4 Variations'!J267),+'R4 Variations'!J267*LU_Escalation,0)</f>
        <v>0</v>
      </c>
      <c r="K267" s="491">
        <f ca="1">IF(ISNUMBER('R4 Variations'!K267),+'R4 Variations'!K267*LU_Escalation,0)</f>
        <v>0</v>
      </c>
      <c r="L267" s="515" t="str">
        <f ca="1">+'R4 Variations'!L267</f>
        <v/>
      </c>
      <c r="M267" s="450" t="str">
        <f ca="1">+'R4 Variations'!M267</f>
        <v/>
      </c>
      <c r="N267" s="450" t="str">
        <f ca="1">+'R4 Variations'!N267</f>
        <v/>
      </c>
    </row>
    <row r="268" spans="1:14">
      <c r="A268" s="5"/>
      <c r="B268" s="249"/>
      <c r="C268" s="384" t="str">
        <f ca="1">+'R4 Variations'!C268</f>
        <v/>
      </c>
      <c r="D268" s="491">
        <f ca="1">IF(ISNUMBER('R4 Variations'!D268),+'R4 Variations'!D268*LU_Escalation,0)</f>
        <v>0</v>
      </c>
      <c r="E268" s="850">
        <f ca="1">IF(ISNUMBER('R4 Variations'!E268),+'R4 Variations'!E268*LU_Escalation,0)</f>
        <v>0</v>
      </c>
      <c r="F268" s="491">
        <f ca="1">IF(ISNUMBER('R4 Variations'!F268),+'R4 Variations'!F268*LU_Escalation,0)</f>
        <v>0</v>
      </c>
      <c r="G268" s="491">
        <f ca="1">IF(ISNUMBER('R4 Variations'!G268),+'R4 Variations'!G268*LU_Escalation,0)</f>
        <v>0</v>
      </c>
      <c r="H268" s="491">
        <f ca="1">IF(ISNUMBER('R4 Variations'!H268),+'R4 Variations'!H268*LU_Escalation,0)</f>
        <v>0</v>
      </c>
      <c r="I268" s="491">
        <f ca="1">IF(ISNUMBER('R4 Variations'!I268),+'R4 Variations'!I268*LU_Escalation,0)</f>
        <v>0</v>
      </c>
      <c r="J268" s="491">
        <f ca="1">IF(ISNUMBER('R4 Variations'!J268),+'R4 Variations'!J268*LU_Escalation,0)</f>
        <v>0</v>
      </c>
      <c r="K268" s="491">
        <f ca="1">IF(ISNUMBER('R4 Variations'!K268),+'R4 Variations'!K268*LU_Escalation,0)</f>
        <v>0</v>
      </c>
      <c r="L268" s="515" t="str">
        <f ca="1">+'R4 Variations'!L268</f>
        <v/>
      </c>
      <c r="M268" s="450" t="str">
        <f ca="1">+'R4 Variations'!M268</f>
        <v/>
      </c>
      <c r="N268" s="450" t="str">
        <f ca="1">+'R4 Variations'!N268</f>
        <v/>
      </c>
    </row>
    <row r="269" spans="1:14">
      <c r="A269" s="5"/>
      <c r="B269" s="249"/>
      <c r="C269" s="384" t="str">
        <f ca="1">+'R4 Variations'!C269</f>
        <v/>
      </c>
      <c r="D269" s="491">
        <f ca="1">IF(ISNUMBER('R4 Variations'!D269),+'R4 Variations'!D269*LU_Escalation,0)</f>
        <v>0</v>
      </c>
      <c r="E269" s="850">
        <f ca="1">IF(ISNUMBER('R4 Variations'!E269),+'R4 Variations'!E269*LU_Escalation,0)</f>
        <v>0</v>
      </c>
      <c r="F269" s="491">
        <f ca="1">IF(ISNUMBER('R4 Variations'!F269),+'R4 Variations'!F269*LU_Escalation,0)</f>
        <v>0</v>
      </c>
      <c r="G269" s="491">
        <f ca="1">IF(ISNUMBER('R4 Variations'!G269),+'R4 Variations'!G269*LU_Escalation,0)</f>
        <v>0</v>
      </c>
      <c r="H269" s="491">
        <f ca="1">IF(ISNUMBER('R4 Variations'!H269),+'R4 Variations'!H269*LU_Escalation,0)</f>
        <v>0</v>
      </c>
      <c r="I269" s="491">
        <f ca="1">IF(ISNUMBER('R4 Variations'!I269),+'R4 Variations'!I269*LU_Escalation,0)</f>
        <v>0</v>
      </c>
      <c r="J269" s="491">
        <f ca="1">IF(ISNUMBER('R4 Variations'!J269),+'R4 Variations'!J269*LU_Escalation,0)</f>
        <v>0</v>
      </c>
      <c r="K269" s="491">
        <f ca="1">IF(ISNUMBER('R4 Variations'!K269),+'R4 Variations'!K269*LU_Escalation,0)</f>
        <v>0</v>
      </c>
      <c r="L269" s="515" t="str">
        <f ca="1">+'R4 Variations'!L269</f>
        <v/>
      </c>
      <c r="M269" s="450" t="str">
        <f ca="1">+'R4 Variations'!M269</f>
        <v/>
      </c>
      <c r="N269" s="450" t="str">
        <f ca="1">+'R4 Variations'!N269</f>
        <v/>
      </c>
    </row>
    <row r="270" spans="1:14">
      <c r="A270" s="5"/>
      <c r="B270" s="249"/>
      <c r="C270" s="384" t="str">
        <f ca="1">+'R4 Variations'!C270</f>
        <v/>
      </c>
      <c r="D270" s="491">
        <f ca="1">IF(ISNUMBER('R4 Variations'!D270),+'R4 Variations'!D270*LU_Escalation,0)</f>
        <v>0</v>
      </c>
      <c r="E270" s="850">
        <f ca="1">IF(ISNUMBER('R4 Variations'!E270),+'R4 Variations'!E270*LU_Escalation,0)</f>
        <v>0</v>
      </c>
      <c r="F270" s="491">
        <f ca="1">IF(ISNUMBER('R4 Variations'!F270),+'R4 Variations'!F270*LU_Escalation,0)</f>
        <v>0</v>
      </c>
      <c r="G270" s="491">
        <f ca="1">IF(ISNUMBER('R4 Variations'!G270),+'R4 Variations'!G270*LU_Escalation,0)</f>
        <v>0</v>
      </c>
      <c r="H270" s="491">
        <f ca="1">IF(ISNUMBER('R4 Variations'!H270),+'R4 Variations'!H270*LU_Escalation,0)</f>
        <v>0</v>
      </c>
      <c r="I270" s="491">
        <f ca="1">IF(ISNUMBER('R4 Variations'!I270),+'R4 Variations'!I270*LU_Escalation,0)</f>
        <v>0</v>
      </c>
      <c r="J270" s="491">
        <f ca="1">IF(ISNUMBER('R4 Variations'!J270),+'R4 Variations'!J270*LU_Escalation,0)</f>
        <v>0</v>
      </c>
      <c r="K270" s="491">
        <f ca="1">IF(ISNUMBER('R4 Variations'!K270),+'R4 Variations'!K270*LU_Escalation,0)</f>
        <v>0</v>
      </c>
      <c r="L270" s="515" t="str">
        <f ca="1">+'R4 Variations'!L270</f>
        <v/>
      </c>
      <c r="M270" s="450" t="str">
        <f ca="1">+'R4 Variations'!M270</f>
        <v/>
      </c>
      <c r="N270" s="450" t="str">
        <f ca="1">+'R4 Variations'!N270</f>
        <v/>
      </c>
    </row>
    <row r="271" spans="1:14">
      <c r="A271" s="5"/>
      <c r="B271" s="249"/>
      <c r="C271" s="384" t="str">
        <f ca="1">+'R4 Variations'!C271</f>
        <v/>
      </c>
      <c r="D271" s="491">
        <f ca="1">IF(ISNUMBER('R4 Variations'!D271),+'R4 Variations'!D271*LU_Escalation,0)</f>
        <v>0</v>
      </c>
      <c r="E271" s="850">
        <f ca="1">IF(ISNUMBER('R4 Variations'!E271),+'R4 Variations'!E271*LU_Escalation,0)</f>
        <v>0</v>
      </c>
      <c r="F271" s="491">
        <f ca="1">IF(ISNUMBER('R4 Variations'!F271),+'R4 Variations'!F271*LU_Escalation,0)</f>
        <v>0</v>
      </c>
      <c r="G271" s="491">
        <f ca="1">IF(ISNUMBER('R4 Variations'!G271),+'R4 Variations'!G271*LU_Escalation,0)</f>
        <v>0</v>
      </c>
      <c r="H271" s="491">
        <f ca="1">IF(ISNUMBER('R4 Variations'!H271),+'R4 Variations'!H271*LU_Escalation,0)</f>
        <v>0</v>
      </c>
      <c r="I271" s="491">
        <f ca="1">IF(ISNUMBER('R4 Variations'!I271),+'R4 Variations'!I271*LU_Escalation,0)</f>
        <v>0</v>
      </c>
      <c r="J271" s="491">
        <f ca="1">IF(ISNUMBER('R4 Variations'!J271),+'R4 Variations'!J271*LU_Escalation,0)</f>
        <v>0</v>
      </c>
      <c r="K271" s="491">
        <f ca="1">IF(ISNUMBER('R4 Variations'!K271),+'R4 Variations'!K271*LU_Escalation,0)</f>
        <v>0</v>
      </c>
      <c r="L271" s="515" t="str">
        <f ca="1">+'R4 Variations'!L271</f>
        <v/>
      </c>
      <c r="M271" s="450" t="str">
        <f ca="1">+'R4 Variations'!M271</f>
        <v/>
      </c>
      <c r="N271" s="450" t="str">
        <f ca="1">+'R4 Variations'!N271</f>
        <v/>
      </c>
    </row>
    <row r="272" spans="1:14">
      <c r="A272" s="5"/>
      <c r="B272" s="249"/>
      <c r="C272" s="12"/>
      <c r="D272" s="491"/>
      <c r="E272" s="508"/>
      <c r="F272" s="491"/>
      <c r="G272" s="492"/>
      <c r="H272" s="492"/>
      <c r="I272" s="492"/>
      <c r="J272" s="492"/>
      <c r="K272" s="508"/>
      <c r="L272" s="515"/>
      <c r="M272" s="450"/>
      <c r="N272" s="450"/>
    </row>
    <row r="273" spans="1:14">
      <c r="A273" s="5"/>
      <c r="B273" s="249" t="str">
        <f ca="1">+'I-4 History'!B205</f>
        <v>DA-23</v>
      </c>
      <c r="C273" s="14" t="str">
        <f ca="1">+'I-4 History'!C205</f>
        <v>Retail Contestability</v>
      </c>
      <c r="D273" s="491"/>
      <c r="E273" s="508"/>
      <c r="F273" s="491"/>
      <c r="G273" s="492"/>
      <c r="H273" s="492"/>
      <c r="I273" s="492"/>
      <c r="J273" s="492"/>
      <c r="K273" s="508"/>
      <c r="L273" s="515"/>
      <c r="M273" s="450"/>
      <c r="N273" s="450"/>
    </row>
    <row r="274" spans="1:14">
      <c r="A274" s="5"/>
      <c r="B274" s="249"/>
      <c r="C274" s="384" t="str">
        <f ca="1">+'R4 Variations'!C274</f>
        <v>Step Change</v>
      </c>
      <c r="D274" s="491">
        <f ca="1">IF(ISNUMBER('R4 Variations'!D274),+'R4 Variations'!D274*LU_Escalation,0)</f>
        <v>0</v>
      </c>
      <c r="E274" s="850">
        <f ca="1">IF(ISNUMBER('R4 Variations'!E274),+'R4 Variations'!E274*LU_Escalation,0)</f>
        <v>0</v>
      </c>
      <c r="F274" s="491">
        <f ca="1">IF(ISNUMBER('R4 Variations'!F274),+'R4 Variations'!F274*LU_Escalation,0)</f>
        <v>0</v>
      </c>
      <c r="G274" s="491">
        <f ca="1">IF(ISNUMBER('R4 Variations'!G274),+'R4 Variations'!G274*LU_Escalation,0)</f>
        <v>1.2549491538461539</v>
      </c>
      <c r="H274" s="491">
        <f ca="1">IF(ISNUMBER('R4 Variations'!H274),+'R4 Variations'!H274*LU_Escalation,0)</f>
        <v>1.6095188076923077</v>
      </c>
      <c r="I274" s="491">
        <f ca="1">IF(ISNUMBER('R4 Variations'!I274),+'R4 Variations'!I274*LU_Escalation,0)</f>
        <v>2.0230111153846155</v>
      </c>
      <c r="J274" s="491">
        <f ca="1">IF(ISNUMBER('R4 Variations'!J274),+'R4 Variations'!J274*LU_Escalation,0)</f>
        <v>2.0157750000000005</v>
      </c>
      <c r="K274" s="491">
        <f ca="1">IF(ISNUMBER('R4 Variations'!K274),+'R4 Variations'!K274*LU_Escalation,0)</f>
        <v>2.1294853846153847</v>
      </c>
      <c r="L274" s="515" t="str">
        <f ca="1">+'R4 Variations'!L274</f>
        <v>Proposal Step Change</v>
      </c>
      <c r="M274" s="450" t="str">
        <f ca="1">+'R4 Variations'!M274</f>
        <v>Refer Opex Workings</v>
      </c>
      <c r="N274" s="450" t="str">
        <f ca="1">+'R4 Variations'!N274</f>
        <v>Proposal, October 2014</v>
      </c>
    </row>
    <row r="275" spans="1:14">
      <c r="A275" s="5"/>
      <c r="B275" s="249"/>
      <c r="C275" s="384" t="str">
        <f ca="1">+'R4 Variations'!C275</f>
        <v/>
      </c>
      <c r="D275" s="491">
        <f ca="1">IF(ISNUMBER('R4 Variations'!D275),+'R4 Variations'!D275*LU_Escalation,0)</f>
        <v>0</v>
      </c>
      <c r="E275" s="850">
        <f ca="1">IF(ISNUMBER('R4 Variations'!E275),+'R4 Variations'!E275*LU_Escalation,0)</f>
        <v>0</v>
      </c>
      <c r="F275" s="491">
        <f ca="1">IF(ISNUMBER('R4 Variations'!F275),+'R4 Variations'!F275*LU_Escalation,0)</f>
        <v>0</v>
      </c>
      <c r="G275" s="491">
        <f ca="1">IF(ISNUMBER('R4 Variations'!G275),+'R4 Variations'!G275*LU_Escalation,0)</f>
        <v>0</v>
      </c>
      <c r="H275" s="491">
        <f ca="1">IF(ISNUMBER('R4 Variations'!H275),+'R4 Variations'!H275*LU_Escalation,0)</f>
        <v>0</v>
      </c>
      <c r="I275" s="491">
        <f ca="1">IF(ISNUMBER('R4 Variations'!I275),+'R4 Variations'!I275*LU_Escalation,0)</f>
        <v>0</v>
      </c>
      <c r="J275" s="491">
        <f ca="1">IF(ISNUMBER('R4 Variations'!J275),+'R4 Variations'!J275*LU_Escalation,0)</f>
        <v>0</v>
      </c>
      <c r="K275" s="491">
        <f ca="1">IF(ISNUMBER('R4 Variations'!K275),+'R4 Variations'!K275*LU_Escalation,0)</f>
        <v>0</v>
      </c>
      <c r="L275" s="515" t="str">
        <f ca="1">+'R4 Variations'!L275</f>
        <v/>
      </c>
      <c r="M275" s="450" t="str">
        <f ca="1">+'R4 Variations'!M275</f>
        <v/>
      </c>
      <c r="N275" s="450" t="str">
        <f ca="1">+'R4 Variations'!N275</f>
        <v/>
      </c>
    </row>
    <row r="276" spans="1:14">
      <c r="A276" s="5"/>
      <c r="B276" s="249"/>
      <c r="C276" s="384" t="str">
        <f ca="1">+'R4 Variations'!C276</f>
        <v/>
      </c>
      <c r="D276" s="491">
        <f ca="1">IF(ISNUMBER('R4 Variations'!D276),+'R4 Variations'!D276*LU_Escalation,0)</f>
        <v>0</v>
      </c>
      <c r="E276" s="850">
        <f ca="1">IF(ISNUMBER('R4 Variations'!E276),+'R4 Variations'!E276*LU_Escalation,0)</f>
        <v>0</v>
      </c>
      <c r="F276" s="491">
        <f ca="1">IF(ISNUMBER('R4 Variations'!F276),+'R4 Variations'!F276*LU_Escalation,0)</f>
        <v>0</v>
      </c>
      <c r="G276" s="491">
        <f ca="1">IF(ISNUMBER('R4 Variations'!G276),+'R4 Variations'!G276*LU_Escalation,0)</f>
        <v>0</v>
      </c>
      <c r="H276" s="491">
        <f ca="1">IF(ISNUMBER('R4 Variations'!H276),+'R4 Variations'!H276*LU_Escalation,0)</f>
        <v>0</v>
      </c>
      <c r="I276" s="491">
        <f ca="1">IF(ISNUMBER('R4 Variations'!I276),+'R4 Variations'!I276*LU_Escalation,0)</f>
        <v>0</v>
      </c>
      <c r="J276" s="491">
        <f ca="1">IF(ISNUMBER('R4 Variations'!J276),+'R4 Variations'!J276*LU_Escalation,0)</f>
        <v>0</v>
      </c>
      <c r="K276" s="491">
        <f ca="1">IF(ISNUMBER('R4 Variations'!K276),+'R4 Variations'!K276*LU_Escalation,0)</f>
        <v>0</v>
      </c>
      <c r="L276" s="515" t="str">
        <f ca="1">+'R4 Variations'!L276</f>
        <v/>
      </c>
      <c r="M276" s="450" t="str">
        <f ca="1">+'R4 Variations'!M276</f>
        <v/>
      </c>
      <c r="N276" s="450" t="str">
        <f ca="1">+'R4 Variations'!N276</f>
        <v/>
      </c>
    </row>
    <row r="277" spans="1:14">
      <c r="A277" s="5"/>
      <c r="B277" s="249"/>
      <c r="C277" s="384" t="str">
        <f ca="1">+'R4 Variations'!C277</f>
        <v/>
      </c>
      <c r="D277" s="491">
        <f ca="1">IF(ISNUMBER('R4 Variations'!D277),+'R4 Variations'!D277*LU_Escalation,0)</f>
        <v>0</v>
      </c>
      <c r="E277" s="850">
        <f ca="1">IF(ISNUMBER('R4 Variations'!E277),+'R4 Variations'!E277*LU_Escalation,0)</f>
        <v>0</v>
      </c>
      <c r="F277" s="491">
        <f ca="1">IF(ISNUMBER('R4 Variations'!F277),+'R4 Variations'!F277*LU_Escalation,0)</f>
        <v>0</v>
      </c>
      <c r="G277" s="491">
        <f ca="1">IF(ISNUMBER('R4 Variations'!G277),+'R4 Variations'!G277*LU_Escalation,0)</f>
        <v>0</v>
      </c>
      <c r="H277" s="491">
        <f ca="1">IF(ISNUMBER('R4 Variations'!H277),+'R4 Variations'!H277*LU_Escalation,0)</f>
        <v>0</v>
      </c>
      <c r="I277" s="491">
        <f ca="1">IF(ISNUMBER('R4 Variations'!I277),+'R4 Variations'!I277*LU_Escalation,0)</f>
        <v>0</v>
      </c>
      <c r="J277" s="491">
        <f ca="1">IF(ISNUMBER('R4 Variations'!J277),+'R4 Variations'!J277*LU_Escalation,0)</f>
        <v>0</v>
      </c>
      <c r="K277" s="491">
        <f ca="1">IF(ISNUMBER('R4 Variations'!K277),+'R4 Variations'!K277*LU_Escalation,0)</f>
        <v>0</v>
      </c>
      <c r="L277" s="515" t="str">
        <f ca="1">+'R4 Variations'!L277</f>
        <v/>
      </c>
      <c r="M277" s="450" t="str">
        <f ca="1">+'R4 Variations'!M277</f>
        <v/>
      </c>
      <c r="N277" s="450" t="str">
        <f ca="1">+'R4 Variations'!N277</f>
        <v/>
      </c>
    </row>
    <row r="278" spans="1:14">
      <c r="A278" s="5"/>
      <c r="B278" s="249"/>
      <c r="C278" s="384" t="str">
        <f ca="1">+'R4 Variations'!C278</f>
        <v/>
      </c>
      <c r="D278" s="491">
        <f ca="1">IF(ISNUMBER('R4 Variations'!D278),+'R4 Variations'!D278*LU_Escalation,0)</f>
        <v>0</v>
      </c>
      <c r="E278" s="850">
        <f ca="1">IF(ISNUMBER('R4 Variations'!E278),+'R4 Variations'!E278*LU_Escalation,0)</f>
        <v>0</v>
      </c>
      <c r="F278" s="491">
        <f ca="1">IF(ISNUMBER('R4 Variations'!F278),+'R4 Variations'!F278*LU_Escalation,0)</f>
        <v>0</v>
      </c>
      <c r="G278" s="491">
        <f ca="1">IF(ISNUMBER('R4 Variations'!G278),+'R4 Variations'!G278*LU_Escalation,0)</f>
        <v>0</v>
      </c>
      <c r="H278" s="491">
        <f ca="1">IF(ISNUMBER('R4 Variations'!H278),+'R4 Variations'!H278*LU_Escalation,0)</f>
        <v>0</v>
      </c>
      <c r="I278" s="491">
        <f ca="1">IF(ISNUMBER('R4 Variations'!I278),+'R4 Variations'!I278*LU_Escalation,0)</f>
        <v>0</v>
      </c>
      <c r="J278" s="491">
        <f ca="1">IF(ISNUMBER('R4 Variations'!J278),+'R4 Variations'!J278*LU_Escalation,0)</f>
        <v>0</v>
      </c>
      <c r="K278" s="491">
        <f ca="1">IF(ISNUMBER('R4 Variations'!K278),+'R4 Variations'!K278*LU_Escalation,0)</f>
        <v>0</v>
      </c>
      <c r="L278" s="515" t="str">
        <f ca="1">+'R4 Variations'!L278</f>
        <v/>
      </c>
      <c r="M278" s="450" t="str">
        <f ca="1">+'R4 Variations'!M278</f>
        <v/>
      </c>
      <c r="N278" s="450" t="str">
        <f ca="1">+'R4 Variations'!N278</f>
        <v/>
      </c>
    </row>
    <row r="279" spans="1:14">
      <c r="B279" s="249"/>
      <c r="C279" s="384" t="str">
        <f ca="1">+'R4 Variations'!C279</f>
        <v/>
      </c>
      <c r="D279" s="491">
        <f ca="1">IF(ISNUMBER('R4 Variations'!D279),+'R4 Variations'!D279*LU_Escalation,0)</f>
        <v>0</v>
      </c>
      <c r="E279" s="850">
        <f ca="1">IF(ISNUMBER('R4 Variations'!E279),+'R4 Variations'!E279*LU_Escalation,0)</f>
        <v>0</v>
      </c>
      <c r="F279" s="491">
        <f ca="1">IF(ISNUMBER('R4 Variations'!F279),+'R4 Variations'!F279*LU_Escalation,0)</f>
        <v>0</v>
      </c>
      <c r="G279" s="491">
        <f ca="1">IF(ISNUMBER('R4 Variations'!G279),+'R4 Variations'!G279*LU_Escalation,0)</f>
        <v>0</v>
      </c>
      <c r="H279" s="491">
        <f ca="1">IF(ISNUMBER('R4 Variations'!H279),+'R4 Variations'!H279*LU_Escalation,0)</f>
        <v>0</v>
      </c>
      <c r="I279" s="491">
        <f ca="1">IF(ISNUMBER('R4 Variations'!I279),+'R4 Variations'!I279*LU_Escalation,0)</f>
        <v>0</v>
      </c>
      <c r="J279" s="491">
        <f ca="1">IF(ISNUMBER('R4 Variations'!J279),+'R4 Variations'!J279*LU_Escalation,0)</f>
        <v>0</v>
      </c>
      <c r="K279" s="491">
        <f ca="1">IF(ISNUMBER('R4 Variations'!K279),+'R4 Variations'!K279*LU_Escalation,0)</f>
        <v>0</v>
      </c>
      <c r="L279" s="515" t="str">
        <f ca="1">+'R4 Variations'!L279</f>
        <v/>
      </c>
      <c r="M279" s="450" t="str">
        <f ca="1">+'R4 Variations'!M279</f>
        <v/>
      </c>
      <c r="N279" s="450" t="str">
        <f ca="1">+'R4 Variations'!N279</f>
        <v/>
      </c>
    </row>
    <row r="280" spans="1:14">
      <c r="B280" s="249"/>
      <c r="C280" s="384" t="str">
        <f ca="1">+'R4 Variations'!C280</f>
        <v/>
      </c>
      <c r="D280" s="491">
        <f ca="1">IF(ISNUMBER('R4 Variations'!D280),+'R4 Variations'!D280*LU_Escalation,0)</f>
        <v>0</v>
      </c>
      <c r="E280" s="850">
        <f ca="1">IF(ISNUMBER('R4 Variations'!E280),+'R4 Variations'!E280*LU_Escalation,0)</f>
        <v>0</v>
      </c>
      <c r="F280" s="491">
        <f ca="1">IF(ISNUMBER('R4 Variations'!F280),+'R4 Variations'!F280*LU_Escalation,0)</f>
        <v>0</v>
      </c>
      <c r="G280" s="491">
        <f ca="1">IF(ISNUMBER('R4 Variations'!G280),+'R4 Variations'!G280*LU_Escalation,0)</f>
        <v>0</v>
      </c>
      <c r="H280" s="491">
        <f ca="1">IF(ISNUMBER('R4 Variations'!H280),+'R4 Variations'!H280*LU_Escalation,0)</f>
        <v>0</v>
      </c>
      <c r="I280" s="491">
        <f ca="1">IF(ISNUMBER('R4 Variations'!I280),+'R4 Variations'!I280*LU_Escalation,0)</f>
        <v>0</v>
      </c>
      <c r="J280" s="491">
        <f ca="1">IF(ISNUMBER('R4 Variations'!J280),+'R4 Variations'!J280*LU_Escalation,0)</f>
        <v>0</v>
      </c>
      <c r="K280" s="491">
        <f ca="1">IF(ISNUMBER('R4 Variations'!K280),+'R4 Variations'!K280*LU_Escalation,0)</f>
        <v>0</v>
      </c>
      <c r="L280" s="515" t="str">
        <f ca="1">+'R4 Variations'!L280</f>
        <v/>
      </c>
      <c r="M280" s="450" t="str">
        <f ca="1">+'R4 Variations'!M280</f>
        <v/>
      </c>
      <c r="N280" s="450" t="str">
        <f ca="1">+'R4 Variations'!N280</f>
        <v/>
      </c>
    </row>
    <row r="281" spans="1:14">
      <c r="B281" s="249"/>
      <c r="C281" s="384" t="str">
        <f ca="1">+'R4 Variations'!C281</f>
        <v/>
      </c>
      <c r="D281" s="491">
        <f ca="1">IF(ISNUMBER('R4 Variations'!D281),+'R4 Variations'!D281*LU_Escalation,0)</f>
        <v>0</v>
      </c>
      <c r="E281" s="850">
        <f ca="1">IF(ISNUMBER('R4 Variations'!E281),+'R4 Variations'!E281*LU_Escalation,0)</f>
        <v>0</v>
      </c>
      <c r="F281" s="491">
        <f ca="1">IF(ISNUMBER('R4 Variations'!F281),+'R4 Variations'!F281*LU_Escalation,0)</f>
        <v>0</v>
      </c>
      <c r="G281" s="491">
        <f ca="1">IF(ISNUMBER('R4 Variations'!G281),+'R4 Variations'!G281*LU_Escalation,0)</f>
        <v>0</v>
      </c>
      <c r="H281" s="491">
        <f ca="1">IF(ISNUMBER('R4 Variations'!H281),+'R4 Variations'!H281*LU_Escalation,0)</f>
        <v>0</v>
      </c>
      <c r="I281" s="491">
        <f ca="1">IF(ISNUMBER('R4 Variations'!I281),+'R4 Variations'!I281*LU_Escalation,0)</f>
        <v>0</v>
      </c>
      <c r="J281" s="491">
        <f ca="1">IF(ISNUMBER('R4 Variations'!J281),+'R4 Variations'!J281*LU_Escalation,0)</f>
        <v>0</v>
      </c>
      <c r="K281" s="491">
        <f ca="1">IF(ISNUMBER('R4 Variations'!K281),+'R4 Variations'!K281*LU_Escalation,0)</f>
        <v>0</v>
      </c>
      <c r="L281" s="515" t="str">
        <f ca="1">+'R4 Variations'!L281</f>
        <v/>
      </c>
      <c r="M281" s="450" t="str">
        <f ca="1">+'R4 Variations'!M281</f>
        <v/>
      </c>
      <c r="N281" s="450" t="str">
        <f ca="1">+'R4 Variations'!N281</f>
        <v/>
      </c>
    </row>
    <row r="282" spans="1:14">
      <c r="B282" s="249"/>
      <c r="C282" s="384" t="str">
        <f ca="1">+'R4 Variations'!C282</f>
        <v/>
      </c>
      <c r="D282" s="491">
        <f ca="1">IF(ISNUMBER('R4 Variations'!D282),+'R4 Variations'!D282*LU_Escalation,0)</f>
        <v>0</v>
      </c>
      <c r="E282" s="850">
        <f ca="1">IF(ISNUMBER('R4 Variations'!E282),+'R4 Variations'!E282*LU_Escalation,0)</f>
        <v>0</v>
      </c>
      <c r="F282" s="491">
        <f ca="1">IF(ISNUMBER('R4 Variations'!F282),+'R4 Variations'!F282*LU_Escalation,0)</f>
        <v>0</v>
      </c>
      <c r="G282" s="491">
        <f ca="1">IF(ISNUMBER('R4 Variations'!G282),+'R4 Variations'!G282*LU_Escalation,0)</f>
        <v>0</v>
      </c>
      <c r="H282" s="491">
        <f ca="1">IF(ISNUMBER('R4 Variations'!H282),+'R4 Variations'!H282*LU_Escalation,0)</f>
        <v>0</v>
      </c>
      <c r="I282" s="491">
        <f ca="1">IF(ISNUMBER('R4 Variations'!I282),+'R4 Variations'!I282*LU_Escalation,0)</f>
        <v>0</v>
      </c>
      <c r="J282" s="491">
        <f ca="1">IF(ISNUMBER('R4 Variations'!J282),+'R4 Variations'!J282*LU_Escalation,0)</f>
        <v>0</v>
      </c>
      <c r="K282" s="491">
        <f ca="1">IF(ISNUMBER('R4 Variations'!K282),+'R4 Variations'!K282*LU_Escalation,0)</f>
        <v>0</v>
      </c>
      <c r="L282" s="515" t="str">
        <f ca="1">+'R4 Variations'!L282</f>
        <v/>
      </c>
      <c r="M282" s="450" t="str">
        <f ca="1">+'R4 Variations'!M282</f>
        <v/>
      </c>
      <c r="N282" s="450" t="str">
        <f ca="1">+'R4 Variations'!N282</f>
        <v/>
      </c>
    </row>
    <row r="283" spans="1:14">
      <c r="B283" s="249"/>
      <c r="C283" s="384" t="str">
        <f ca="1">+'R4 Variations'!C283</f>
        <v/>
      </c>
      <c r="D283" s="491">
        <f ca="1">IF(ISNUMBER('R4 Variations'!D283),+'R4 Variations'!D283*LU_Escalation,0)</f>
        <v>0</v>
      </c>
      <c r="E283" s="850">
        <f ca="1">IF(ISNUMBER('R4 Variations'!E283),+'R4 Variations'!E283*LU_Escalation,0)</f>
        <v>0</v>
      </c>
      <c r="F283" s="491">
        <f ca="1">IF(ISNUMBER('R4 Variations'!F283),+'R4 Variations'!F283*LU_Escalation,0)</f>
        <v>0</v>
      </c>
      <c r="G283" s="491">
        <f ca="1">IF(ISNUMBER('R4 Variations'!G283),+'R4 Variations'!G283*LU_Escalation,0)</f>
        <v>0</v>
      </c>
      <c r="H283" s="491">
        <f ca="1">IF(ISNUMBER('R4 Variations'!H283),+'R4 Variations'!H283*LU_Escalation,0)</f>
        <v>0</v>
      </c>
      <c r="I283" s="491">
        <f ca="1">IF(ISNUMBER('R4 Variations'!I283),+'R4 Variations'!I283*LU_Escalation,0)</f>
        <v>0</v>
      </c>
      <c r="J283" s="491">
        <f ca="1">IF(ISNUMBER('R4 Variations'!J283),+'R4 Variations'!J283*LU_Escalation,0)</f>
        <v>0</v>
      </c>
      <c r="K283" s="491">
        <f ca="1">IF(ISNUMBER('R4 Variations'!K283),+'R4 Variations'!K283*LU_Escalation,0)</f>
        <v>0</v>
      </c>
      <c r="L283" s="515" t="str">
        <f ca="1">+'R4 Variations'!L283</f>
        <v/>
      </c>
      <c r="M283" s="450" t="str">
        <f ca="1">+'R4 Variations'!M283</f>
        <v/>
      </c>
      <c r="N283" s="450" t="str">
        <f ca="1">+'R4 Variations'!N283</f>
        <v/>
      </c>
    </row>
    <row r="284" spans="1:14" ht="18">
      <c r="B284" s="252"/>
      <c r="C284" s="297" t="s">
        <v>70</v>
      </c>
      <c r="D284" s="329"/>
      <c r="E284" s="512"/>
      <c r="F284" s="329"/>
      <c r="G284" s="329"/>
      <c r="H284" s="329"/>
      <c r="I284" s="329"/>
      <c r="J284" s="329"/>
      <c r="K284" s="512"/>
      <c r="L284" s="515"/>
      <c r="M284" s="450"/>
      <c r="N284" s="450"/>
    </row>
    <row r="285" spans="1:14">
      <c r="A285" s="5"/>
      <c r="B285" s="249" t="str">
        <f ca="1">+'I-4 History'!B214</f>
        <v>DA-24</v>
      </c>
      <c r="C285" s="14" t="str">
        <f ca="1">+'I-4 History'!C214</f>
        <v>Non Network Solutions</v>
      </c>
      <c r="D285" s="491"/>
      <c r="E285" s="508"/>
      <c r="F285" s="491"/>
      <c r="G285" s="492"/>
      <c r="H285" s="492"/>
      <c r="I285" s="492"/>
      <c r="J285" s="492"/>
      <c r="K285" s="508"/>
      <c r="L285" s="515"/>
      <c r="M285" s="450"/>
      <c r="N285" s="450"/>
    </row>
    <row r="286" spans="1:14">
      <c r="A286" s="5"/>
      <c r="B286" s="249"/>
      <c r="C286" s="384" t="str">
        <f ca="1">+'R4 Variations'!C286</f>
        <v>Step Change</v>
      </c>
      <c r="D286" s="491">
        <f ca="1">IF(ISNUMBER('R4 Variations'!D286),+'R4 Variations'!D286*LU_Escalation,0)</f>
        <v>0</v>
      </c>
      <c r="E286" s="850">
        <f ca="1">IF(ISNUMBER('R4 Variations'!E286),+'R4 Variations'!E286*LU_Escalation,0)</f>
        <v>0</v>
      </c>
      <c r="F286" s="491">
        <f ca="1">IF(ISNUMBER('R4 Variations'!F286),+'R4 Variations'!F286*LU_Escalation,0)</f>
        <v>0.1</v>
      </c>
      <c r="G286" s="491">
        <f ca="1">IF(ISNUMBER('R4 Variations'!G286),+'R4 Variations'!G286*LU_Escalation,0)</f>
        <v>0.15505961538461541</v>
      </c>
      <c r="H286" s="491">
        <f ca="1">IF(ISNUMBER('R4 Variations'!H286),+'R4 Variations'!H286*LU_Escalation,0)</f>
        <v>0.20674615384615389</v>
      </c>
      <c r="I286" s="491">
        <f ca="1">IF(ISNUMBER('R4 Variations'!I286),+'R4 Variations'!I286*LU_Escalation,0)</f>
        <v>0.25843269230769234</v>
      </c>
      <c r="J286" s="491">
        <f ca="1">IF(ISNUMBER('R4 Variations'!J286),+'R4 Variations'!J286*LU_Escalation,0)</f>
        <v>0.31011923076923081</v>
      </c>
      <c r="K286" s="491">
        <f ca="1">IF(ISNUMBER('R4 Variations'!K286),+'R4 Variations'!K286*LU_Escalation,0)</f>
        <v>0.36180576923076924</v>
      </c>
      <c r="L286" s="515" t="str">
        <f t="array" ref="L286:N295" ca="1">+'DA-24'!$K$160:$M$169</f>
        <v>Proposal Step Change</v>
      </c>
      <c r="M286" s="450" t="str">
        <f ca="1"/>
        <v>Refer Opex Workings</v>
      </c>
      <c r="N286" s="450" t="str">
        <f ca="1"/>
        <v>Proposal, October 2014</v>
      </c>
    </row>
    <row r="287" spans="1:14">
      <c r="A287" s="5"/>
      <c r="B287" s="249"/>
      <c r="C287" s="384" t="str">
        <f ca="1">+'R4 Variations'!C287</f>
        <v/>
      </c>
      <c r="D287" s="491">
        <f ca="1">IF(ISNUMBER('R4 Variations'!D287),+'R4 Variations'!D287*LU_Escalation,0)</f>
        <v>0</v>
      </c>
      <c r="E287" s="850">
        <f ca="1">IF(ISNUMBER('R4 Variations'!E287),+'R4 Variations'!E287*LU_Escalation,0)</f>
        <v>0</v>
      </c>
      <c r="F287" s="491">
        <f ca="1">IF(ISNUMBER('R4 Variations'!F287),+'R4 Variations'!F287*LU_Escalation,0)</f>
        <v>0</v>
      </c>
      <c r="G287" s="491">
        <f ca="1">IF(ISNUMBER('R4 Variations'!G287),+'R4 Variations'!G287*LU_Escalation,0)</f>
        <v>0</v>
      </c>
      <c r="H287" s="491">
        <f ca="1">IF(ISNUMBER('R4 Variations'!H287),+'R4 Variations'!H287*LU_Escalation,0)</f>
        <v>0</v>
      </c>
      <c r="I287" s="491">
        <f ca="1">IF(ISNUMBER('R4 Variations'!I287),+'R4 Variations'!I287*LU_Escalation,0)</f>
        <v>0</v>
      </c>
      <c r="J287" s="491">
        <f ca="1">IF(ISNUMBER('R4 Variations'!J287),+'R4 Variations'!J287*LU_Escalation,0)</f>
        <v>0</v>
      </c>
      <c r="K287" s="491">
        <f ca="1">IF(ISNUMBER('R4 Variations'!K287),+'R4 Variations'!K287*LU_Escalation,0)</f>
        <v>0</v>
      </c>
      <c r="L287" s="515" t="str">
        <f ca="1"/>
        <v/>
      </c>
      <c r="M287" s="450" t="str">
        <f ca="1"/>
        <v/>
      </c>
      <c r="N287" s="450" t="str">
        <f ca="1"/>
        <v/>
      </c>
    </row>
    <row r="288" spans="1:14">
      <c r="A288" s="5"/>
      <c r="B288" s="249"/>
      <c r="C288" s="384" t="str">
        <f ca="1">+'R4 Variations'!C288</f>
        <v/>
      </c>
      <c r="D288" s="491">
        <f ca="1">IF(ISNUMBER('R4 Variations'!D288),+'R4 Variations'!D288*LU_Escalation,0)</f>
        <v>0</v>
      </c>
      <c r="E288" s="850">
        <f ca="1">IF(ISNUMBER('R4 Variations'!E288),+'R4 Variations'!E288*LU_Escalation,0)</f>
        <v>0</v>
      </c>
      <c r="F288" s="491">
        <f ca="1">IF(ISNUMBER('R4 Variations'!F288),+'R4 Variations'!F288*LU_Escalation,0)</f>
        <v>0</v>
      </c>
      <c r="G288" s="491">
        <f ca="1">IF(ISNUMBER('R4 Variations'!G288),+'R4 Variations'!G288*LU_Escalation,0)</f>
        <v>0</v>
      </c>
      <c r="H288" s="491">
        <f ca="1">IF(ISNUMBER('R4 Variations'!H288),+'R4 Variations'!H288*LU_Escalation,0)</f>
        <v>0</v>
      </c>
      <c r="I288" s="491">
        <f ca="1">IF(ISNUMBER('R4 Variations'!I288),+'R4 Variations'!I288*LU_Escalation,0)</f>
        <v>0</v>
      </c>
      <c r="J288" s="491">
        <f ca="1">IF(ISNUMBER('R4 Variations'!J288),+'R4 Variations'!J288*LU_Escalation,0)</f>
        <v>0</v>
      </c>
      <c r="K288" s="491">
        <f ca="1">IF(ISNUMBER('R4 Variations'!K288),+'R4 Variations'!K288*LU_Escalation,0)</f>
        <v>0</v>
      </c>
      <c r="L288" s="515" t="str">
        <f ca="1"/>
        <v/>
      </c>
      <c r="M288" s="450" t="str">
        <f ca="1"/>
        <v/>
      </c>
      <c r="N288" s="450" t="str">
        <f ca="1"/>
        <v/>
      </c>
    </row>
    <row r="289" spans="1:14">
      <c r="A289" s="5"/>
      <c r="B289" s="249"/>
      <c r="C289" s="384" t="str">
        <f ca="1">+'R4 Variations'!C289</f>
        <v/>
      </c>
      <c r="D289" s="491">
        <f ca="1">IF(ISNUMBER('R4 Variations'!D289),+'R4 Variations'!D289*LU_Escalation,0)</f>
        <v>0</v>
      </c>
      <c r="E289" s="850">
        <f ca="1">IF(ISNUMBER('R4 Variations'!E289),+'R4 Variations'!E289*LU_Escalation,0)</f>
        <v>0</v>
      </c>
      <c r="F289" s="491">
        <f ca="1">IF(ISNUMBER('R4 Variations'!F289),+'R4 Variations'!F289*LU_Escalation,0)</f>
        <v>0</v>
      </c>
      <c r="G289" s="491">
        <f ca="1">IF(ISNUMBER('R4 Variations'!G289),+'R4 Variations'!G289*LU_Escalation,0)</f>
        <v>0</v>
      </c>
      <c r="H289" s="491">
        <f ca="1">IF(ISNUMBER('R4 Variations'!H289),+'R4 Variations'!H289*LU_Escalation,0)</f>
        <v>0</v>
      </c>
      <c r="I289" s="491">
        <f ca="1">IF(ISNUMBER('R4 Variations'!I289),+'R4 Variations'!I289*LU_Escalation,0)</f>
        <v>0</v>
      </c>
      <c r="J289" s="491">
        <f ca="1">IF(ISNUMBER('R4 Variations'!J289),+'R4 Variations'!J289*LU_Escalation,0)</f>
        <v>0</v>
      </c>
      <c r="K289" s="491">
        <f ca="1">IF(ISNUMBER('R4 Variations'!K289),+'R4 Variations'!K289*LU_Escalation,0)</f>
        <v>0</v>
      </c>
      <c r="L289" s="515" t="str">
        <f ca="1"/>
        <v/>
      </c>
      <c r="M289" s="450" t="str">
        <f ca="1"/>
        <v/>
      </c>
      <c r="N289" s="450" t="str">
        <f ca="1"/>
        <v/>
      </c>
    </row>
    <row r="290" spans="1:14">
      <c r="A290" s="5"/>
      <c r="B290" s="249"/>
      <c r="C290" s="384" t="str">
        <f ca="1">+'R4 Variations'!C290</f>
        <v/>
      </c>
      <c r="D290" s="491">
        <f ca="1">IF(ISNUMBER('R4 Variations'!D290),+'R4 Variations'!D290*LU_Escalation,0)</f>
        <v>0</v>
      </c>
      <c r="E290" s="850">
        <f ca="1">IF(ISNUMBER('R4 Variations'!E290),+'R4 Variations'!E290*LU_Escalation,0)</f>
        <v>0</v>
      </c>
      <c r="F290" s="491">
        <f ca="1">IF(ISNUMBER('R4 Variations'!F290),+'R4 Variations'!F290*LU_Escalation,0)</f>
        <v>0</v>
      </c>
      <c r="G290" s="491">
        <f ca="1">IF(ISNUMBER('R4 Variations'!G290),+'R4 Variations'!G290*LU_Escalation,0)</f>
        <v>0</v>
      </c>
      <c r="H290" s="491">
        <f ca="1">IF(ISNUMBER('R4 Variations'!H290),+'R4 Variations'!H290*LU_Escalation,0)</f>
        <v>0</v>
      </c>
      <c r="I290" s="491">
        <f ca="1">IF(ISNUMBER('R4 Variations'!I290),+'R4 Variations'!I290*LU_Escalation,0)</f>
        <v>0</v>
      </c>
      <c r="J290" s="491">
        <f ca="1">IF(ISNUMBER('R4 Variations'!J290),+'R4 Variations'!J290*LU_Escalation,0)</f>
        <v>0</v>
      </c>
      <c r="K290" s="491">
        <f ca="1">IF(ISNUMBER('R4 Variations'!K290),+'R4 Variations'!K290*LU_Escalation,0)</f>
        <v>0</v>
      </c>
      <c r="L290" s="515" t="str">
        <f ca="1"/>
        <v/>
      </c>
      <c r="M290" s="450" t="str">
        <f ca="1"/>
        <v/>
      </c>
      <c r="N290" s="450" t="str">
        <f ca="1"/>
        <v/>
      </c>
    </row>
    <row r="291" spans="1:14">
      <c r="B291" s="249"/>
      <c r="C291" s="384" t="str">
        <f ca="1">+'R4 Variations'!C291</f>
        <v/>
      </c>
      <c r="D291" s="491">
        <f ca="1">IF(ISNUMBER('R4 Variations'!D291),+'R4 Variations'!D291*LU_Escalation,0)</f>
        <v>0</v>
      </c>
      <c r="E291" s="850">
        <f ca="1">IF(ISNUMBER('R4 Variations'!E291),+'R4 Variations'!E291*LU_Escalation,0)</f>
        <v>0</v>
      </c>
      <c r="F291" s="491">
        <f ca="1">IF(ISNUMBER('R4 Variations'!F291),+'R4 Variations'!F291*LU_Escalation,0)</f>
        <v>0</v>
      </c>
      <c r="G291" s="491">
        <f ca="1">IF(ISNUMBER('R4 Variations'!G291),+'R4 Variations'!G291*LU_Escalation,0)</f>
        <v>0</v>
      </c>
      <c r="H291" s="491">
        <f ca="1">IF(ISNUMBER('R4 Variations'!H291),+'R4 Variations'!H291*LU_Escalation,0)</f>
        <v>0</v>
      </c>
      <c r="I291" s="491">
        <f ca="1">IF(ISNUMBER('R4 Variations'!I291),+'R4 Variations'!I291*LU_Escalation,0)</f>
        <v>0</v>
      </c>
      <c r="J291" s="491">
        <f ca="1">IF(ISNUMBER('R4 Variations'!J291),+'R4 Variations'!J291*LU_Escalation,0)</f>
        <v>0</v>
      </c>
      <c r="K291" s="491">
        <f ca="1">IF(ISNUMBER('R4 Variations'!K291),+'R4 Variations'!K291*LU_Escalation,0)</f>
        <v>0</v>
      </c>
      <c r="L291" s="515" t="str">
        <f ca="1"/>
        <v/>
      </c>
      <c r="M291" s="450" t="str">
        <f ca="1"/>
        <v/>
      </c>
      <c r="N291" s="450" t="str">
        <f ca="1"/>
        <v/>
      </c>
    </row>
    <row r="292" spans="1:14">
      <c r="B292" s="249"/>
      <c r="C292" s="384" t="str">
        <f ca="1">+'R4 Variations'!C292</f>
        <v/>
      </c>
      <c r="D292" s="491">
        <f ca="1">IF(ISNUMBER('R4 Variations'!D292),+'R4 Variations'!D292*LU_Escalation,0)</f>
        <v>0</v>
      </c>
      <c r="E292" s="850">
        <f ca="1">IF(ISNUMBER('R4 Variations'!E292),+'R4 Variations'!E292*LU_Escalation,0)</f>
        <v>0</v>
      </c>
      <c r="F292" s="491">
        <f ca="1">IF(ISNUMBER('R4 Variations'!F292),+'R4 Variations'!F292*LU_Escalation,0)</f>
        <v>0</v>
      </c>
      <c r="G292" s="491">
        <f ca="1">IF(ISNUMBER('R4 Variations'!G292),+'R4 Variations'!G292*LU_Escalation,0)</f>
        <v>0</v>
      </c>
      <c r="H292" s="491">
        <f ca="1">IF(ISNUMBER('R4 Variations'!H292),+'R4 Variations'!H292*LU_Escalation,0)</f>
        <v>0</v>
      </c>
      <c r="I292" s="491">
        <f ca="1">IF(ISNUMBER('R4 Variations'!I292),+'R4 Variations'!I292*LU_Escalation,0)</f>
        <v>0</v>
      </c>
      <c r="J292" s="491">
        <f ca="1">IF(ISNUMBER('R4 Variations'!J292),+'R4 Variations'!J292*LU_Escalation,0)</f>
        <v>0</v>
      </c>
      <c r="K292" s="491">
        <f ca="1">IF(ISNUMBER('R4 Variations'!K292),+'R4 Variations'!K292*LU_Escalation,0)</f>
        <v>0</v>
      </c>
      <c r="L292" s="515" t="str">
        <f ca="1"/>
        <v/>
      </c>
      <c r="M292" s="450" t="str">
        <f ca="1"/>
        <v/>
      </c>
      <c r="N292" s="450" t="str">
        <f ca="1"/>
        <v/>
      </c>
    </row>
    <row r="293" spans="1:14">
      <c r="B293" s="249"/>
      <c r="C293" s="384" t="str">
        <f ca="1">+'R4 Variations'!C293</f>
        <v/>
      </c>
      <c r="D293" s="491">
        <f ca="1">IF(ISNUMBER('R4 Variations'!D293),+'R4 Variations'!D293*LU_Escalation,0)</f>
        <v>0</v>
      </c>
      <c r="E293" s="850">
        <f ca="1">IF(ISNUMBER('R4 Variations'!E293),+'R4 Variations'!E293*LU_Escalation,0)</f>
        <v>0</v>
      </c>
      <c r="F293" s="491">
        <f ca="1">IF(ISNUMBER('R4 Variations'!F293),+'R4 Variations'!F293*LU_Escalation,0)</f>
        <v>0</v>
      </c>
      <c r="G293" s="491">
        <f ca="1">IF(ISNUMBER('R4 Variations'!G293),+'R4 Variations'!G293*LU_Escalation,0)</f>
        <v>0</v>
      </c>
      <c r="H293" s="491">
        <f ca="1">IF(ISNUMBER('R4 Variations'!H293),+'R4 Variations'!H293*LU_Escalation,0)</f>
        <v>0</v>
      </c>
      <c r="I293" s="491">
        <f ca="1">IF(ISNUMBER('R4 Variations'!I293),+'R4 Variations'!I293*LU_Escalation,0)</f>
        <v>0</v>
      </c>
      <c r="J293" s="491">
        <f ca="1">IF(ISNUMBER('R4 Variations'!J293),+'R4 Variations'!J293*LU_Escalation,0)</f>
        <v>0</v>
      </c>
      <c r="K293" s="491">
        <f ca="1">IF(ISNUMBER('R4 Variations'!K293),+'R4 Variations'!K293*LU_Escalation,0)</f>
        <v>0</v>
      </c>
      <c r="L293" s="515" t="str">
        <f ca="1"/>
        <v/>
      </c>
      <c r="M293" s="450" t="str">
        <f ca="1"/>
        <v/>
      </c>
      <c r="N293" s="450" t="str">
        <f ca="1"/>
        <v/>
      </c>
    </row>
    <row r="294" spans="1:14">
      <c r="B294" s="249"/>
      <c r="C294" s="384" t="str">
        <f ca="1">+'R4 Variations'!C294</f>
        <v/>
      </c>
      <c r="D294" s="491">
        <f ca="1">IF(ISNUMBER('R4 Variations'!D294),+'R4 Variations'!D294*LU_Escalation,0)</f>
        <v>0</v>
      </c>
      <c r="E294" s="850">
        <f ca="1">IF(ISNUMBER('R4 Variations'!E294),+'R4 Variations'!E294*LU_Escalation,0)</f>
        <v>0</v>
      </c>
      <c r="F294" s="491">
        <f ca="1">IF(ISNUMBER('R4 Variations'!F294),+'R4 Variations'!F294*LU_Escalation,0)</f>
        <v>0</v>
      </c>
      <c r="G294" s="491">
        <f ca="1">IF(ISNUMBER('R4 Variations'!G294),+'R4 Variations'!G294*LU_Escalation,0)</f>
        <v>0</v>
      </c>
      <c r="H294" s="491">
        <f ca="1">IF(ISNUMBER('R4 Variations'!H294),+'R4 Variations'!H294*LU_Escalation,0)</f>
        <v>0</v>
      </c>
      <c r="I294" s="491">
        <f ca="1">IF(ISNUMBER('R4 Variations'!I294),+'R4 Variations'!I294*LU_Escalation,0)</f>
        <v>0</v>
      </c>
      <c r="J294" s="491">
        <f ca="1">IF(ISNUMBER('R4 Variations'!J294),+'R4 Variations'!J294*LU_Escalation,0)</f>
        <v>0</v>
      </c>
      <c r="K294" s="491">
        <f ca="1">IF(ISNUMBER('R4 Variations'!K294),+'R4 Variations'!K294*LU_Escalation,0)</f>
        <v>0</v>
      </c>
      <c r="L294" s="515" t="str">
        <f ca="1"/>
        <v/>
      </c>
      <c r="M294" s="450" t="str">
        <f ca="1"/>
        <v/>
      </c>
      <c r="N294" s="450" t="str">
        <f ca="1"/>
        <v/>
      </c>
    </row>
    <row r="295" spans="1:14">
      <c r="B295" s="249"/>
      <c r="C295" s="384" t="str">
        <f ca="1">+'R4 Variations'!C295</f>
        <v/>
      </c>
      <c r="D295" s="491">
        <f ca="1">IF(ISNUMBER('R4 Variations'!D295),+'R4 Variations'!D295*LU_Escalation,0)</f>
        <v>0</v>
      </c>
      <c r="E295" s="850">
        <f ca="1">IF(ISNUMBER('R4 Variations'!E295),+'R4 Variations'!E295*LU_Escalation,0)</f>
        <v>0</v>
      </c>
      <c r="F295" s="491">
        <f ca="1">IF(ISNUMBER('R4 Variations'!F295),+'R4 Variations'!F295*LU_Escalation,0)</f>
        <v>0</v>
      </c>
      <c r="G295" s="491">
        <f ca="1">IF(ISNUMBER('R4 Variations'!G295),+'R4 Variations'!G295*LU_Escalation,0)</f>
        <v>0</v>
      </c>
      <c r="H295" s="491">
        <f ca="1">IF(ISNUMBER('R4 Variations'!H295),+'R4 Variations'!H295*LU_Escalation,0)</f>
        <v>0</v>
      </c>
      <c r="I295" s="491">
        <f ca="1">IF(ISNUMBER('R4 Variations'!I295),+'R4 Variations'!I295*LU_Escalation,0)</f>
        <v>0</v>
      </c>
      <c r="J295" s="491">
        <f ca="1">IF(ISNUMBER('R4 Variations'!J295),+'R4 Variations'!J295*LU_Escalation,0)</f>
        <v>0</v>
      </c>
      <c r="K295" s="491">
        <f ca="1">IF(ISNUMBER('R4 Variations'!K295),+'R4 Variations'!K295*LU_Escalation,0)</f>
        <v>0</v>
      </c>
      <c r="L295" s="515" t="str">
        <f ca="1"/>
        <v/>
      </c>
      <c r="M295" s="450" t="str">
        <f ca="1"/>
        <v/>
      </c>
      <c r="N295" s="450" t="str">
        <f ca="1"/>
        <v/>
      </c>
    </row>
    <row r="296" spans="1:14">
      <c r="B296" s="249"/>
      <c r="C296" s="384"/>
      <c r="D296" s="491"/>
      <c r="E296" s="850"/>
      <c r="F296" s="491"/>
      <c r="G296" s="491"/>
      <c r="H296" s="491"/>
      <c r="I296" s="491"/>
      <c r="J296" s="491"/>
      <c r="K296" s="491"/>
      <c r="L296" s="515"/>
      <c r="M296" s="450"/>
      <c r="N296" s="450"/>
    </row>
    <row r="297" spans="1:14" ht="26.25" thickBot="1">
      <c r="B297" s="250"/>
      <c r="C297" s="269" t="s">
        <v>271</v>
      </c>
      <c r="D297" s="311">
        <f t="shared" ref="D297:K297" ca="1" si="1">SUBTOTAL(9,D129:D296)</f>
        <v>0</v>
      </c>
      <c r="E297" s="513">
        <f t="shared" ca="1" si="1"/>
        <v>0</v>
      </c>
      <c r="F297" s="313">
        <f t="shared" ca="1" si="1"/>
        <v>5.0846497692307695</v>
      </c>
      <c r="G297" s="311">
        <f t="shared" ca="1" si="1"/>
        <v>18.692953500000005</v>
      </c>
      <c r="H297" s="311">
        <f t="shared" ca="1" si="1"/>
        <v>16.790888884615388</v>
      </c>
      <c r="I297" s="311">
        <f t="shared" ca="1" si="1"/>
        <v>16.627559423076924</v>
      </c>
      <c r="J297" s="311">
        <f t="shared" ca="1" si="1"/>
        <v>16.004219769230772</v>
      </c>
      <c r="K297" s="513">
        <f t="shared" ca="1" si="1"/>
        <v>13.59562707692308</v>
      </c>
      <c r="L297" s="515"/>
      <c r="M297" s="450"/>
      <c r="N297" s="450"/>
    </row>
    <row r="298" spans="1:14" ht="15.75">
      <c r="B298" s="270"/>
      <c r="C298" s="272" t="s">
        <v>272</v>
      </c>
      <c r="D298" s="330">
        <f t="shared" ref="D298:K298" ca="1" si="2">SUBTOTAL(9,D9:D297)</f>
        <v>0</v>
      </c>
      <c r="E298" s="497">
        <f t="shared" ca="1" si="2"/>
        <v>0</v>
      </c>
      <c r="F298" s="330">
        <f t="shared" ca="1" si="2"/>
        <v>5.1496497692307699</v>
      </c>
      <c r="G298" s="330">
        <f t="shared" ca="1" si="2"/>
        <v>19.128154153846157</v>
      </c>
      <c r="H298" s="330">
        <f t="shared" ca="1" si="2"/>
        <v>24.647242730769236</v>
      </c>
      <c r="I298" s="330">
        <f t="shared" ca="1" si="2"/>
        <v>19.576793307692309</v>
      </c>
      <c r="J298" s="330">
        <f t="shared" ca="1" si="2"/>
        <v>18.953453653846157</v>
      </c>
      <c r="K298" s="497">
        <f t="shared" ca="1" si="2"/>
        <v>16.545894692307698</v>
      </c>
      <c r="L298" s="515"/>
      <c r="M298" s="450"/>
      <c r="N298" s="504"/>
    </row>
    <row r="299" spans="1:14">
      <c r="B299" s="274"/>
      <c r="C299" s="275"/>
      <c r="D299" s="487"/>
      <c r="E299" s="487"/>
      <c r="F299" s="846"/>
      <c r="G299" s="487"/>
      <c r="H299" s="487"/>
      <c r="I299" s="487"/>
      <c r="J299" s="487"/>
      <c r="K299" s="487"/>
      <c r="L299" s="515"/>
      <c r="M299" s="450"/>
      <c r="N299" s="450"/>
    </row>
    <row r="300" spans="1:14" ht="18">
      <c r="B300" s="270"/>
      <c r="C300" s="273" t="s">
        <v>268</v>
      </c>
      <c r="D300" s="331"/>
      <c r="E300" s="498"/>
      <c r="F300" s="331"/>
      <c r="G300" s="331"/>
      <c r="H300" s="331"/>
      <c r="I300" s="331"/>
      <c r="J300" s="331"/>
      <c r="K300" s="498"/>
      <c r="L300" s="515"/>
      <c r="M300" s="450"/>
      <c r="N300" s="450"/>
    </row>
    <row r="301" spans="1:14" ht="18">
      <c r="B301" s="252"/>
      <c r="C301" s="248" t="str">
        <f>+'I-3 Allocated'!A5</f>
        <v>Office of the CEO</v>
      </c>
      <c r="D301" s="329"/>
      <c r="E301" s="512"/>
      <c r="F301" s="329"/>
      <c r="G301" s="329"/>
      <c r="H301" s="329"/>
      <c r="I301" s="329"/>
      <c r="J301" s="329"/>
      <c r="K301" s="512"/>
      <c r="L301" s="515"/>
      <c r="M301" s="450"/>
      <c r="N301" s="450"/>
    </row>
    <row r="302" spans="1:14">
      <c r="A302" s="5"/>
      <c r="B302" s="249" t="str">
        <f ca="1">+'I-4 History'!B228</f>
        <v>A-1</v>
      </c>
      <c r="C302" s="14" t="str">
        <f ca="1">+'I-4 History'!C228</f>
        <v>CEO</v>
      </c>
      <c r="D302" s="491"/>
      <c r="E302" s="508"/>
      <c r="F302" s="491"/>
      <c r="G302" s="492"/>
      <c r="H302" s="492"/>
      <c r="I302" s="492"/>
      <c r="J302" s="492"/>
      <c r="K302" s="508"/>
      <c r="L302" s="515"/>
      <c r="M302" s="450"/>
      <c r="N302" s="450"/>
    </row>
    <row r="303" spans="1:14">
      <c r="A303" s="5"/>
      <c r="B303" s="249"/>
      <c r="C303" s="384" t="str">
        <f ca="1">+'R4 Variations'!C303</f>
        <v>Step Change</v>
      </c>
      <c r="D303" s="491">
        <f ca="1">IF(ISNUMBER('R4 Variations'!D303),+'R4 Variations'!D303*LU_Escalation,0)</f>
        <v>0</v>
      </c>
      <c r="E303" s="850">
        <f ca="1">IF(ISNUMBER('R4 Variations'!E303),+'R4 Variations'!E303*LU_Escalation,0)</f>
        <v>0</v>
      </c>
      <c r="F303" s="491">
        <f ca="1">IF(ISNUMBER('R4 Variations'!F303),+'R4 Variations'!F303*LU_Escalation,0)</f>
        <v>0</v>
      </c>
      <c r="G303" s="491">
        <f ca="1">IF(ISNUMBER('R4 Variations'!G303),+'R4 Variations'!G303*LU_Escalation,0)</f>
        <v>0</v>
      </c>
      <c r="H303" s="491">
        <f ca="1">IF(ISNUMBER('R4 Variations'!H303),+'R4 Variations'!H303*LU_Escalation,0)</f>
        <v>0</v>
      </c>
      <c r="I303" s="491">
        <f ca="1">IF(ISNUMBER('R4 Variations'!I303),+'R4 Variations'!I303*LU_Escalation,0)</f>
        <v>0</v>
      </c>
      <c r="J303" s="491">
        <f ca="1">IF(ISNUMBER('R4 Variations'!J303),+'R4 Variations'!J303*LU_Escalation,0)</f>
        <v>0</v>
      </c>
      <c r="K303" s="491">
        <f ca="1">IF(ISNUMBER('R4 Variations'!K303),+'R4 Variations'!K303*LU_Escalation,0)</f>
        <v>0</v>
      </c>
      <c r="L303" s="515" t="str">
        <f ca="1">+'R4 Variations'!L303</f>
        <v>Proposal Step Change</v>
      </c>
      <c r="M303" s="450" t="str">
        <f ca="1">+'R4 Variations'!M303</f>
        <v>Refer Opex Workings</v>
      </c>
      <c r="N303" s="450" t="str">
        <f ca="1">+'R4 Variations'!N303</f>
        <v>Proposal, October 2014</v>
      </c>
    </row>
    <row r="304" spans="1:14">
      <c r="A304" s="5"/>
      <c r="B304" s="249"/>
      <c r="C304" s="384" t="str">
        <f ca="1">+'R4 Variations'!C304</f>
        <v/>
      </c>
      <c r="D304" s="491">
        <f ca="1">IF(ISNUMBER('R4 Variations'!D304),+'R4 Variations'!D304*LU_Escalation,0)</f>
        <v>0</v>
      </c>
      <c r="E304" s="850">
        <f ca="1">IF(ISNUMBER('R4 Variations'!E304),+'R4 Variations'!E304*LU_Escalation,0)</f>
        <v>0</v>
      </c>
      <c r="F304" s="491">
        <f ca="1">IF(ISNUMBER('R4 Variations'!F304),+'R4 Variations'!F304*LU_Escalation,0)</f>
        <v>0</v>
      </c>
      <c r="G304" s="491">
        <f ca="1">IF(ISNUMBER('R4 Variations'!G304),+'R4 Variations'!G304*LU_Escalation,0)</f>
        <v>0</v>
      </c>
      <c r="H304" s="491">
        <f ca="1">IF(ISNUMBER('R4 Variations'!H304),+'R4 Variations'!H304*LU_Escalation,0)</f>
        <v>0</v>
      </c>
      <c r="I304" s="491">
        <f ca="1">IF(ISNUMBER('R4 Variations'!I304),+'R4 Variations'!I304*LU_Escalation,0)</f>
        <v>0</v>
      </c>
      <c r="J304" s="491">
        <f ca="1">IF(ISNUMBER('R4 Variations'!J304),+'R4 Variations'!J304*LU_Escalation,0)</f>
        <v>0</v>
      </c>
      <c r="K304" s="491">
        <f ca="1">IF(ISNUMBER('R4 Variations'!K304),+'R4 Variations'!K304*LU_Escalation,0)</f>
        <v>0</v>
      </c>
      <c r="L304" s="515" t="str">
        <f ca="1">+'R4 Variations'!L304</f>
        <v/>
      </c>
      <c r="M304" s="450" t="str">
        <f ca="1">+'R4 Variations'!M304</f>
        <v/>
      </c>
      <c r="N304" s="450" t="str">
        <f ca="1">+'R4 Variations'!N304</f>
        <v/>
      </c>
    </row>
    <row r="305" spans="1:14">
      <c r="A305" s="5"/>
      <c r="B305" s="249"/>
      <c r="C305" s="384" t="str">
        <f ca="1">+'R4 Variations'!C305</f>
        <v/>
      </c>
      <c r="D305" s="491">
        <f ca="1">IF(ISNUMBER('R4 Variations'!D305),+'R4 Variations'!D305*LU_Escalation,0)</f>
        <v>0</v>
      </c>
      <c r="E305" s="850">
        <f ca="1">IF(ISNUMBER('R4 Variations'!E305),+'R4 Variations'!E305*LU_Escalation,0)</f>
        <v>0</v>
      </c>
      <c r="F305" s="491">
        <f ca="1">IF(ISNUMBER('R4 Variations'!F305),+'R4 Variations'!F305*LU_Escalation,0)</f>
        <v>0</v>
      </c>
      <c r="G305" s="491">
        <f ca="1">IF(ISNUMBER('R4 Variations'!G305),+'R4 Variations'!G305*LU_Escalation,0)</f>
        <v>0</v>
      </c>
      <c r="H305" s="491">
        <f ca="1">IF(ISNUMBER('R4 Variations'!H305),+'R4 Variations'!H305*LU_Escalation,0)</f>
        <v>0</v>
      </c>
      <c r="I305" s="491">
        <f ca="1">IF(ISNUMBER('R4 Variations'!I305),+'R4 Variations'!I305*LU_Escalation,0)</f>
        <v>0</v>
      </c>
      <c r="J305" s="491">
        <f ca="1">IF(ISNUMBER('R4 Variations'!J305),+'R4 Variations'!J305*LU_Escalation,0)</f>
        <v>0</v>
      </c>
      <c r="K305" s="491">
        <f ca="1">IF(ISNUMBER('R4 Variations'!K305),+'R4 Variations'!K305*LU_Escalation,0)</f>
        <v>0</v>
      </c>
      <c r="L305" s="515" t="str">
        <f ca="1">+'R4 Variations'!L305</f>
        <v/>
      </c>
      <c r="M305" s="450" t="str">
        <f ca="1">+'R4 Variations'!M305</f>
        <v/>
      </c>
      <c r="N305" s="450" t="str">
        <f ca="1">+'R4 Variations'!N305</f>
        <v/>
      </c>
    </row>
    <row r="306" spans="1:14">
      <c r="A306" s="5"/>
      <c r="B306" s="249"/>
      <c r="C306" s="384" t="str">
        <f ca="1">+'R4 Variations'!C306</f>
        <v/>
      </c>
      <c r="D306" s="491">
        <f ca="1">IF(ISNUMBER('R4 Variations'!D306),+'R4 Variations'!D306*LU_Escalation,0)</f>
        <v>0</v>
      </c>
      <c r="E306" s="850">
        <f ca="1">IF(ISNUMBER('R4 Variations'!E306),+'R4 Variations'!E306*LU_Escalation,0)</f>
        <v>0</v>
      </c>
      <c r="F306" s="491">
        <f ca="1">IF(ISNUMBER('R4 Variations'!F306),+'R4 Variations'!F306*LU_Escalation,0)</f>
        <v>0</v>
      </c>
      <c r="G306" s="491">
        <f ca="1">IF(ISNUMBER('R4 Variations'!G306),+'R4 Variations'!G306*LU_Escalation,0)</f>
        <v>0</v>
      </c>
      <c r="H306" s="491">
        <f ca="1">IF(ISNUMBER('R4 Variations'!H306),+'R4 Variations'!H306*LU_Escalation,0)</f>
        <v>0</v>
      </c>
      <c r="I306" s="491">
        <f ca="1">IF(ISNUMBER('R4 Variations'!I306),+'R4 Variations'!I306*LU_Escalation,0)</f>
        <v>0</v>
      </c>
      <c r="J306" s="491">
        <f ca="1">IF(ISNUMBER('R4 Variations'!J306),+'R4 Variations'!J306*LU_Escalation,0)</f>
        <v>0</v>
      </c>
      <c r="K306" s="491">
        <f ca="1">IF(ISNUMBER('R4 Variations'!K306),+'R4 Variations'!K306*LU_Escalation,0)</f>
        <v>0</v>
      </c>
      <c r="L306" s="515" t="str">
        <f ca="1">+'R4 Variations'!L306</f>
        <v/>
      </c>
      <c r="M306" s="450" t="str">
        <f ca="1">+'R4 Variations'!M306</f>
        <v/>
      </c>
      <c r="N306" s="450" t="str">
        <f ca="1">+'R4 Variations'!N306</f>
        <v/>
      </c>
    </row>
    <row r="307" spans="1:14">
      <c r="A307" s="5"/>
      <c r="B307" s="249"/>
      <c r="C307" s="384" t="str">
        <f ca="1">+'R4 Variations'!C307</f>
        <v/>
      </c>
      <c r="D307" s="491">
        <f ca="1">IF(ISNUMBER('R4 Variations'!D307),+'R4 Variations'!D307*LU_Escalation,0)</f>
        <v>0</v>
      </c>
      <c r="E307" s="850">
        <f ca="1">IF(ISNUMBER('R4 Variations'!E307),+'R4 Variations'!E307*LU_Escalation,0)</f>
        <v>0</v>
      </c>
      <c r="F307" s="491">
        <f ca="1">IF(ISNUMBER('R4 Variations'!F307),+'R4 Variations'!F307*LU_Escalation,0)</f>
        <v>0</v>
      </c>
      <c r="G307" s="491">
        <f ca="1">IF(ISNUMBER('R4 Variations'!G307),+'R4 Variations'!G307*LU_Escalation,0)</f>
        <v>0</v>
      </c>
      <c r="H307" s="491">
        <f ca="1">IF(ISNUMBER('R4 Variations'!H307),+'R4 Variations'!H307*LU_Escalation,0)</f>
        <v>0</v>
      </c>
      <c r="I307" s="491">
        <f ca="1">IF(ISNUMBER('R4 Variations'!I307),+'R4 Variations'!I307*LU_Escalation,0)</f>
        <v>0</v>
      </c>
      <c r="J307" s="491">
        <f ca="1">IF(ISNUMBER('R4 Variations'!J307),+'R4 Variations'!J307*LU_Escalation,0)</f>
        <v>0</v>
      </c>
      <c r="K307" s="491">
        <f ca="1">IF(ISNUMBER('R4 Variations'!K307),+'R4 Variations'!K307*LU_Escalation,0)</f>
        <v>0</v>
      </c>
      <c r="L307" s="515" t="str">
        <f ca="1">+'R4 Variations'!L307</f>
        <v/>
      </c>
      <c r="M307" s="450" t="str">
        <f ca="1">+'R4 Variations'!M307</f>
        <v/>
      </c>
      <c r="N307" s="450" t="str">
        <f ca="1">+'R4 Variations'!N307</f>
        <v/>
      </c>
    </row>
    <row r="308" spans="1:14">
      <c r="A308" s="5"/>
      <c r="B308" s="249"/>
      <c r="C308" s="384" t="str">
        <f ca="1">+'R4 Variations'!C308</f>
        <v/>
      </c>
      <c r="D308" s="491">
        <f ca="1">IF(ISNUMBER('R4 Variations'!D308),+'R4 Variations'!D308*LU_Escalation,0)</f>
        <v>0</v>
      </c>
      <c r="E308" s="850">
        <f ca="1">IF(ISNUMBER('R4 Variations'!E308),+'R4 Variations'!E308*LU_Escalation,0)</f>
        <v>0</v>
      </c>
      <c r="F308" s="491">
        <f ca="1">IF(ISNUMBER('R4 Variations'!F308),+'R4 Variations'!F308*LU_Escalation,0)</f>
        <v>0</v>
      </c>
      <c r="G308" s="491">
        <f ca="1">IF(ISNUMBER('R4 Variations'!G308),+'R4 Variations'!G308*LU_Escalation,0)</f>
        <v>0</v>
      </c>
      <c r="H308" s="491">
        <f ca="1">IF(ISNUMBER('R4 Variations'!H308),+'R4 Variations'!H308*LU_Escalation,0)</f>
        <v>0</v>
      </c>
      <c r="I308" s="491">
        <f ca="1">IF(ISNUMBER('R4 Variations'!I308),+'R4 Variations'!I308*LU_Escalation,0)</f>
        <v>0</v>
      </c>
      <c r="J308" s="491">
        <f ca="1">IF(ISNUMBER('R4 Variations'!J308),+'R4 Variations'!J308*LU_Escalation,0)</f>
        <v>0</v>
      </c>
      <c r="K308" s="491">
        <f ca="1">IF(ISNUMBER('R4 Variations'!K308),+'R4 Variations'!K308*LU_Escalation,0)</f>
        <v>0</v>
      </c>
      <c r="L308" s="515" t="str">
        <f ca="1">+'R4 Variations'!L308</f>
        <v/>
      </c>
      <c r="M308" s="450" t="str">
        <f ca="1">+'R4 Variations'!M308</f>
        <v/>
      </c>
      <c r="N308" s="450" t="str">
        <f ca="1">+'R4 Variations'!N308</f>
        <v/>
      </c>
    </row>
    <row r="309" spans="1:14">
      <c r="A309" s="5"/>
      <c r="B309" s="249"/>
      <c r="C309" s="384" t="str">
        <f ca="1">+'R4 Variations'!C309</f>
        <v/>
      </c>
      <c r="D309" s="491">
        <f ca="1">IF(ISNUMBER('R4 Variations'!D309),+'R4 Variations'!D309*LU_Escalation,0)</f>
        <v>0</v>
      </c>
      <c r="E309" s="850">
        <f ca="1">IF(ISNUMBER('R4 Variations'!E309),+'R4 Variations'!E309*LU_Escalation,0)</f>
        <v>0</v>
      </c>
      <c r="F309" s="491">
        <f ca="1">IF(ISNUMBER('R4 Variations'!F309),+'R4 Variations'!F309*LU_Escalation,0)</f>
        <v>0</v>
      </c>
      <c r="G309" s="491">
        <f ca="1">IF(ISNUMBER('R4 Variations'!G309),+'R4 Variations'!G309*LU_Escalation,0)</f>
        <v>0</v>
      </c>
      <c r="H309" s="491">
        <f ca="1">IF(ISNUMBER('R4 Variations'!H309),+'R4 Variations'!H309*LU_Escalation,0)</f>
        <v>0</v>
      </c>
      <c r="I309" s="491">
        <f ca="1">IF(ISNUMBER('R4 Variations'!I309),+'R4 Variations'!I309*LU_Escalation,0)</f>
        <v>0</v>
      </c>
      <c r="J309" s="491">
        <f ca="1">IF(ISNUMBER('R4 Variations'!J309),+'R4 Variations'!J309*LU_Escalation,0)</f>
        <v>0</v>
      </c>
      <c r="K309" s="491">
        <f ca="1">IF(ISNUMBER('R4 Variations'!K309),+'R4 Variations'!K309*LU_Escalation,0)</f>
        <v>0</v>
      </c>
      <c r="L309" s="515" t="str">
        <f ca="1">+'R4 Variations'!L309</f>
        <v/>
      </c>
      <c r="M309" s="450" t="str">
        <f ca="1">+'R4 Variations'!M309</f>
        <v/>
      </c>
      <c r="N309" s="450" t="str">
        <f ca="1">+'R4 Variations'!N309</f>
        <v/>
      </c>
    </row>
    <row r="310" spans="1:14">
      <c r="A310" s="5"/>
      <c r="B310" s="249"/>
      <c r="C310" s="384" t="str">
        <f ca="1">+'R4 Variations'!C310</f>
        <v/>
      </c>
      <c r="D310" s="491">
        <f ca="1">IF(ISNUMBER('R4 Variations'!D310),+'R4 Variations'!D310*LU_Escalation,0)</f>
        <v>0</v>
      </c>
      <c r="E310" s="850">
        <f ca="1">IF(ISNUMBER('R4 Variations'!E310),+'R4 Variations'!E310*LU_Escalation,0)</f>
        <v>0</v>
      </c>
      <c r="F310" s="491">
        <f ca="1">IF(ISNUMBER('R4 Variations'!F310),+'R4 Variations'!F310*LU_Escalation,0)</f>
        <v>0</v>
      </c>
      <c r="G310" s="491">
        <f ca="1">IF(ISNUMBER('R4 Variations'!G310),+'R4 Variations'!G310*LU_Escalation,0)</f>
        <v>0</v>
      </c>
      <c r="H310" s="491">
        <f ca="1">IF(ISNUMBER('R4 Variations'!H310),+'R4 Variations'!H310*LU_Escalation,0)</f>
        <v>0</v>
      </c>
      <c r="I310" s="491">
        <f ca="1">IF(ISNUMBER('R4 Variations'!I310),+'R4 Variations'!I310*LU_Escalation,0)</f>
        <v>0</v>
      </c>
      <c r="J310" s="491">
        <f ca="1">IF(ISNUMBER('R4 Variations'!J310),+'R4 Variations'!J310*LU_Escalation,0)</f>
        <v>0</v>
      </c>
      <c r="K310" s="491">
        <f ca="1">IF(ISNUMBER('R4 Variations'!K310),+'R4 Variations'!K310*LU_Escalation,0)</f>
        <v>0</v>
      </c>
      <c r="L310" s="515" t="str">
        <f ca="1">+'R4 Variations'!L310</f>
        <v/>
      </c>
      <c r="M310" s="450" t="str">
        <f ca="1">+'R4 Variations'!M310</f>
        <v/>
      </c>
      <c r="N310" s="450" t="str">
        <f ca="1">+'R4 Variations'!N310</f>
        <v/>
      </c>
    </row>
    <row r="311" spans="1:14">
      <c r="A311" s="5"/>
      <c r="B311" s="249"/>
      <c r="C311" s="384" t="str">
        <f ca="1">+'R4 Variations'!C311</f>
        <v/>
      </c>
      <c r="D311" s="491">
        <f ca="1">IF(ISNUMBER('R4 Variations'!D311),+'R4 Variations'!D311*LU_Escalation,0)</f>
        <v>0</v>
      </c>
      <c r="E311" s="850">
        <f ca="1">IF(ISNUMBER('R4 Variations'!E311),+'R4 Variations'!E311*LU_Escalation,0)</f>
        <v>0</v>
      </c>
      <c r="F311" s="491">
        <f ca="1">IF(ISNUMBER('R4 Variations'!F311),+'R4 Variations'!F311*LU_Escalation,0)</f>
        <v>0</v>
      </c>
      <c r="G311" s="491">
        <f ca="1">IF(ISNUMBER('R4 Variations'!G311),+'R4 Variations'!G311*LU_Escalation,0)</f>
        <v>0</v>
      </c>
      <c r="H311" s="491">
        <f ca="1">IF(ISNUMBER('R4 Variations'!H311),+'R4 Variations'!H311*LU_Escalation,0)</f>
        <v>0</v>
      </c>
      <c r="I311" s="491">
        <f ca="1">IF(ISNUMBER('R4 Variations'!I311),+'R4 Variations'!I311*LU_Escalation,0)</f>
        <v>0</v>
      </c>
      <c r="J311" s="491">
        <f ca="1">IF(ISNUMBER('R4 Variations'!J311),+'R4 Variations'!J311*LU_Escalation,0)</f>
        <v>0</v>
      </c>
      <c r="K311" s="491">
        <f ca="1">IF(ISNUMBER('R4 Variations'!K311),+'R4 Variations'!K311*LU_Escalation,0)</f>
        <v>0</v>
      </c>
      <c r="L311" s="515" t="str">
        <f ca="1">+'R4 Variations'!L311</f>
        <v/>
      </c>
      <c r="M311" s="450" t="str">
        <f ca="1">+'R4 Variations'!M311</f>
        <v/>
      </c>
      <c r="N311" s="450" t="str">
        <f ca="1">+'R4 Variations'!N311</f>
        <v/>
      </c>
    </row>
    <row r="312" spans="1:14">
      <c r="A312" s="5"/>
      <c r="B312" s="249"/>
      <c r="C312" s="384" t="str">
        <f ca="1">+'R4 Variations'!C312</f>
        <v/>
      </c>
      <c r="D312" s="491">
        <f ca="1">IF(ISNUMBER('R4 Variations'!D312),+'R4 Variations'!D312*LU_Escalation,0)</f>
        <v>0</v>
      </c>
      <c r="E312" s="850">
        <f ca="1">IF(ISNUMBER('R4 Variations'!E312),+'R4 Variations'!E312*LU_Escalation,0)</f>
        <v>0</v>
      </c>
      <c r="F312" s="491">
        <f ca="1">IF(ISNUMBER('R4 Variations'!F312),+'R4 Variations'!F312*LU_Escalation,0)</f>
        <v>0</v>
      </c>
      <c r="G312" s="491">
        <f ca="1">IF(ISNUMBER('R4 Variations'!G312),+'R4 Variations'!G312*LU_Escalation,0)</f>
        <v>0</v>
      </c>
      <c r="H312" s="491">
        <f ca="1">IF(ISNUMBER('R4 Variations'!H312),+'R4 Variations'!H312*LU_Escalation,0)</f>
        <v>0</v>
      </c>
      <c r="I312" s="491">
        <f ca="1">IF(ISNUMBER('R4 Variations'!I312),+'R4 Variations'!I312*LU_Escalation,0)</f>
        <v>0</v>
      </c>
      <c r="J312" s="491">
        <f ca="1">IF(ISNUMBER('R4 Variations'!J312),+'R4 Variations'!J312*LU_Escalation,0)</f>
        <v>0</v>
      </c>
      <c r="K312" s="491">
        <f ca="1">IF(ISNUMBER('R4 Variations'!K312),+'R4 Variations'!K312*LU_Escalation,0)</f>
        <v>0</v>
      </c>
      <c r="L312" s="515" t="str">
        <f ca="1">+'R4 Variations'!L312</f>
        <v/>
      </c>
      <c r="M312" s="450" t="str">
        <f ca="1">+'R4 Variations'!M312</f>
        <v/>
      </c>
      <c r="N312" s="450" t="str">
        <f ca="1">+'R4 Variations'!N312</f>
        <v/>
      </c>
    </row>
    <row r="313" spans="1:14">
      <c r="A313" s="5"/>
      <c r="B313" s="249"/>
      <c r="C313" s="12"/>
      <c r="D313" s="491"/>
      <c r="E313" s="508"/>
      <c r="F313" s="491"/>
      <c r="G313" s="492"/>
      <c r="H313" s="492"/>
      <c r="I313" s="492"/>
      <c r="J313" s="492"/>
      <c r="K313" s="508"/>
      <c r="L313" s="515"/>
      <c r="M313" s="450"/>
      <c r="N313" s="450"/>
    </row>
    <row r="314" spans="1:14">
      <c r="A314" s="5"/>
      <c r="B314" s="249" t="str">
        <f ca="1">+'I-4 History'!B237</f>
        <v>A-2</v>
      </c>
      <c r="C314" s="14" t="str">
        <f ca="1">+'I-4 History'!C237</f>
        <v xml:space="preserve">Strategic Planning  </v>
      </c>
      <c r="D314" s="491"/>
      <c r="E314" s="508"/>
      <c r="F314" s="491"/>
      <c r="G314" s="492"/>
      <c r="H314" s="492"/>
      <c r="I314" s="492"/>
      <c r="J314" s="492"/>
      <c r="K314" s="508"/>
      <c r="L314" s="515"/>
      <c r="M314" s="450"/>
      <c r="N314" s="450"/>
    </row>
    <row r="315" spans="1:14">
      <c r="A315" s="5"/>
      <c r="B315" s="249"/>
      <c r="C315" s="384" t="str">
        <f ca="1">+'R4 Variations'!C315</f>
        <v>Step Change</v>
      </c>
      <c r="D315" s="491">
        <f ca="1">IF(ISNUMBER('R4 Variations'!D315),+'R4 Variations'!D315*LU_Escalation,0)</f>
        <v>0</v>
      </c>
      <c r="E315" s="850">
        <f ca="1">IF(ISNUMBER('R4 Variations'!E315),+'R4 Variations'!E315*LU_Escalation,0)</f>
        <v>0</v>
      </c>
      <c r="F315" s="491">
        <f ca="1">IF(ISNUMBER('R4 Variations'!F315),+'R4 Variations'!F315*LU_Escalation,0)</f>
        <v>0</v>
      </c>
      <c r="G315" s="491">
        <f ca="1">IF(ISNUMBER('R4 Variations'!G315),+'R4 Variations'!G315*LU_Escalation,0)</f>
        <v>0</v>
      </c>
      <c r="H315" s="491">
        <f ca="1">IF(ISNUMBER('R4 Variations'!H315),+'R4 Variations'!H315*LU_Escalation,0)</f>
        <v>0</v>
      </c>
      <c r="I315" s="491">
        <f ca="1">IF(ISNUMBER('R4 Variations'!I315),+'R4 Variations'!I315*LU_Escalation,0)</f>
        <v>0</v>
      </c>
      <c r="J315" s="491">
        <f ca="1">IF(ISNUMBER('R4 Variations'!J315),+'R4 Variations'!J315*LU_Escalation,0)</f>
        <v>0</v>
      </c>
      <c r="K315" s="491">
        <f ca="1">IF(ISNUMBER('R4 Variations'!K315),+'R4 Variations'!K315*LU_Escalation,0)</f>
        <v>0</v>
      </c>
      <c r="L315" s="515" t="str">
        <f ca="1">+'R4 Variations'!L315</f>
        <v>Proposal Step Change</v>
      </c>
      <c r="M315" s="450" t="str">
        <f ca="1">+'R4 Variations'!M315</f>
        <v>Refer Opex Workings</v>
      </c>
      <c r="N315" s="450" t="str">
        <f ca="1">+'R4 Variations'!N315</f>
        <v>Proposal, October 2014</v>
      </c>
    </row>
    <row r="316" spans="1:14">
      <c r="A316" s="5"/>
      <c r="B316" s="249"/>
      <c r="C316" s="384" t="str">
        <f ca="1">+'R4 Variations'!C316</f>
        <v/>
      </c>
      <c r="D316" s="491">
        <f ca="1">IF(ISNUMBER('R4 Variations'!D316),+'R4 Variations'!D316*LU_Escalation,0)</f>
        <v>0</v>
      </c>
      <c r="E316" s="850">
        <f ca="1">IF(ISNUMBER('R4 Variations'!E316),+'R4 Variations'!E316*LU_Escalation,0)</f>
        <v>0</v>
      </c>
      <c r="F316" s="491">
        <f ca="1">IF(ISNUMBER('R4 Variations'!F316),+'R4 Variations'!F316*LU_Escalation,0)</f>
        <v>0</v>
      </c>
      <c r="G316" s="491">
        <f ca="1">IF(ISNUMBER('R4 Variations'!G316),+'R4 Variations'!G316*LU_Escalation,0)</f>
        <v>0</v>
      </c>
      <c r="H316" s="491">
        <f ca="1">IF(ISNUMBER('R4 Variations'!H316),+'R4 Variations'!H316*LU_Escalation,0)</f>
        <v>0</v>
      </c>
      <c r="I316" s="491">
        <f ca="1">IF(ISNUMBER('R4 Variations'!I316),+'R4 Variations'!I316*LU_Escalation,0)</f>
        <v>0</v>
      </c>
      <c r="J316" s="491">
        <f ca="1">IF(ISNUMBER('R4 Variations'!J316),+'R4 Variations'!J316*LU_Escalation,0)</f>
        <v>0</v>
      </c>
      <c r="K316" s="491">
        <f ca="1">IF(ISNUMBER('R4 Variations'!K316),+'R4 Variations'!K316*LU_Escalation,0)</f>
        <v>0</v>
      </c>
      <c r="L316" s="515" t="str">
        <f ca="1">+'R4 Variations'!L316</f>
        <v/>
      </c>
      <c r="M316" s="450" t="str">
        <f ca="1">+'R4 Variations'!M316</f>
        <v/>
      </c>
      <c r="N316" s="450" t="str">
        <f ca="1">+'R4 Variations'!N316</f>
        <v/>
      </c>
    </row>
    <row r="317" spans="1:14">
      <c r="A317" s="5"/>
      <c r="B317" s="249"/>
      <c r="C317" s="384" t="str">
        <f ca="1">+'R4 Variations'!C317</f>
        <v/>
      </c>
      <c r="D317" s="491">
        <f ca="1">IF(ISNUMBER('R4 Variations'!D317),+'R4 Variations'!D317*LU_Escalation,0)</f>
        <v>0</v>
      </c>
      <c r="E317" s="850">
        <f ca="1">IF(ISNUMBER('R4 Variations'!E317),+'R4 Variations'!E317*LU_Escalation,0)</f>
        <v>0</v>
      </c>
      <c r="F317" s="491">
        <f ca="1">IF(ISNUMBER('R4 Variations'!F317),+'R4 Variations'!F317*LU_Escalation,0)</f>
        <v>0</v>
      </c>
      <c r="G317" s="491">
        <f ca="1">IF(ISNUMBER('R4 Variations'!G317),+'R4 Variations'!G317*LU_Escalation,0)</f>
        <v>0</v>
      </c>
      <c r="H317" s="491">
        <f ca="1">IF(ISNUMBER('R4 Variations'!H317),+'R4 Variations'!H317*LU_Escalation,0)</f>
        <v>0</v>
      </c>
      <c r="I317" s="491">
        <f ca="1">IF(ISNUMBER('R4 Variations'!I317),+'R4 Variations'!I317*LU_Escalation,0)</f>
        <v>0</v>
      </c>
      <c r="J317" s="491">
        <f ca="1">IF(ISNUMBER('R4 Variations'!J317),+'R4 Variations'!J317*LU_Escalation,0)</f>
        <v>0</v>
      </c>
      <c r="K317" s="491">
        <f ca="1">IF(ISNUMBER('R4 Variations'!K317),+'R4 Variations'!K317*LU_Escalation,0)</f>
        <v>0</v>
      </c>
      <c r="L317" s="515" t="str">
        <f ca="1">+'R4 Variations'!L317</f>
        <v/>
      </c>
      <c r="M317" s="450" t="str">
        <f ca="1">+'R4 Variations'!M317</f>
        <v/>
      </c>
      <c r="N317" s="450" t="str">
        <f ca="1">+'R4 Variations'!N317</f>
        <v/>
      </c>
    </row>
    <row r="318" spans="1:14">
      <c r="A318" s="5"/>
      <c r="B318" s="249"/>
      <c r="C318" s="384" t="str">
        <f ca="1">+'R4 Variations'!C318</f>
        <v/>
      </c>
      <c r="D318" s="491">
        <f ca="1">IF(ISNUMBER('R4 Variations'!D318),+'R4 Variations'!D318*LU_Escalation,0)</f>
        <v>0</v>
      </c>
      <c r="E318" s="850">
        <f ca="1">IF(ISNUMBER('R4 Variations'!E318),+'R4 Variations'!E318*LU_Escalation,0)</f>
        <v>0</v>
      </c>
      <c r="F318" s="491">
        <f ca="1">IF(ISNUMBER('R4 Variations'!F318),+'R4 Variations'!F318*LU_Escalation,0)</f>
        <v>0</v>
      </c>
      <c r="G318" s="491">
        <f ca="1">IF(ISNUMBER('R4 Variations'!G318),+'R4 Variations'!G318*LU_Escalation,0)</f>
        <v>0</v>
      </c>
      <c r="H318" s="491">
        <f ca="1">IF(ISNUMBER('R4 Variations'!H318),+'R4 Variations'!H318*LU_Escalation,0)</f>
        <v>0</v>
      </c>
      <c r="I318" s="491">
        <f ca="1">IF(ISNUMBER('R4 Variations'!I318),+'R4 Variations'!I318*LU_Escalation,0)</f>
        <v>0</v>
      </c>
      <c r="J318" s="491">
        <f ca="1">IF(ISNUMBER('R4 Variations'!J318),+'R4 Variations'!J318*LU_Escalation,0)</f>
        <v>0</v>
      </c>
      <c r="K318" s="491">
        <f ca="1">IF(ISNUMBER('R4 Variations'!K318),+'R4 Variations'!K318*LU_Escalation,0)</f>
        <v>0</v>
      </c>
      <c r="L318" s="515" t="str">
        <f ca="1">+'R4 Variations'!L318</f>
        <v/>
      </c>
      <c r="M318" s="450" t="str">
        <f ca="1">+'R4 Variations'!M318</f>
        <v/>
      </c>
      <c r="N318" s="450" t="str">
        <f ca="1">+'R4 Variations'!N318</f>
        <v/>
      </c>
    </row>
    <row r="319" spans="1:14">
      <c r="A319" s="5"/>
      <c r="B319" s="249"/>
      <c r="C319" s="384" t="str">
        <f ca="1">+'R4 Variations'!C319</f>
        <v/>
      </c>
      <c r="D319" s="491">
        <f ca="1">IF(ISNUMBER('R4 Variations'!D319),+'R4 Variations'!D319*LU_Escalation,0)</f>
        <v>0</v>
      </c>
      <c r="E319" s="850">
        <f ca="1">IF(ISNUMBER('R4 Variations'!E319),+'R4 Variations'!E319*LU_Escalation,0)</f>
        <v>0</v>
      </c>
      <c r="F319" s="491">
        <f ca="1">IF(ISNUMBER('R4 Variations'!F319),+'R4 Variations'!F319*LU_Escalation,0)</f>
        <v>0</v>
      </c>
      <c r="G319" s="491">
        <f ca="1">IF(ISNUMBER('R4 Variations'!G319),+'R4 Variations'!G319*LU_Escalation,0)</f>
        <v>0</v>
      </c>
      <c r="H319" s="491">
        <f ca="1">IF(ISNUMBER('R4 Variations'!H319),+'R4 Variations'!H319*LU_Escalation,0)</f>
        <v>0</v>
      </c>
      <c r="I319" s="491">
        <f ca="1">IF(ISNUMBER('R4 Variations'!I319),+'R4 Variations'!I319*LU_Escalation,0)</f>
        <v>0</v>
      </c>
      <c r="J319" s="491">
        <f ca="1">IF(ISNUMBER('R4 Variations'!J319),+'R4 Variations'!J319*LU_Escalation,0)</f>
        <v>0</v>
      </c>
      <c r="K319" s="491">
        <f ca="1">IF(ISNUMBER('R4 Variations'!K319),+'R4 Variations'!K319*LU_Escalation,0)</f>
        <v>0</v>
      </c>
      <c r="L319" s="515" t="str">
        <f ca="1">+'R4 Variations'!L319</f>
        <v/>
      </c>
      <c r="M319" s="450" t="str">
        <f ca="1">+'R4 Variations'!M319</f>
        <v/>
      </c>
      <c r="N319" s="450" t="str">
        <f ca="1">+'R4 Variations'!N319</f>
        <v/>
      </c>
    </row>
    <row r="320" spans="1:14">
      <c r="A320" s="5"/>
      <c r="B320" s="249"/>
      <c r="C320" s="384" t="str">
        <f ca="1">+'R4 Variations'!C320</f>
        <v/>
      </c>
      <c r="D320" s="491">
        <f ca="1">IF(ISNUMBER('R4 Variations'!D320),+'R4 Variations'!D320*LU_Escalation,0)</f>
        <v>0</v>
      </c>
      <c r="E320" s="850">
        <f ca="1">IF(ISNUMBER('R4 Variations'!E320),+'R4 Variations'!E320*LU_Escalation,0)</f>
        <v>0</v>
      </c>
      <c r="F320" s="491">
        <f ca="1">IF(ISNUMBER('R4 Variations'!F320),+'R4 Variations'!F320*LU_Escalation,0)</f>
        <v>0</v>
      </c>
      <c r="G320" s="491">
        <f ca="1">IF(ISNUMBER('R4 Variations'!G320),+'R4 Variations'!G320*LU_Escalation,0)</f>
        <v>0</v>
      </c>
      <c r="H320" s="491">
        <f ca="1">IF(ISNUMBER('R4 Variations'!H320),+'R4 Variations'!H320*LU_Escalation,0)</f>
        <v>0</v>
      </c>
      <c r="I320" s="491">
        <f ca="1">IF(ISNUMBER('R4 Variations'!I320),+'R4 Variations'!I320*LU_Escalation,0)</f>
        <v>0</v>
      </c>
      <c r="J320" s="491">
        <f ca="1">IF(ISNUMBER('R4 Variations'!J320),+'R4 Variations'!J320*LU_Escalation,0)</f>
        <v>0</v>
      </c>
      <c r="K320" s="491">
        <f ca="1">IF(ISNUMBER('R4 Variations'!K320),+'R4 Variations'!K320*LU_Escalation,0)</f>
        <v>0</v>
      </c>
      <c r="L320" s="515" t="str">
        <f ca="1">+'R4 Variations'!L320</f>
        <v/>
      </c>
      <c r="M320" s="450" t="str">
        <f ca="1">+'R4 Variations'!M320</f>
        <v/>
      </c>
      <c r="N320" s="450" t="str">
        <f ca="1">+'R4 Variations'!N320</f>
        <v/>
      </c>
    </row>
    <row r="321" spans="1:14">
      <c r="A321" s="5"/>
      <c r="B321" s="249"/>
      <c r="C321" s="384" t="str">
        <f ca="1">+'R4 Variations'!C321</f>
        <v/>
      </c>
      <c r="D321" s="491">
        <f ca="1">IF(ISNUMBER('R4 Variations'!D321),+'R4 Variations'!D321*LU_Escalation,0)</f>
        <v>0</v>
      </c>
      <c r="E321" s="850">
        <f ca="1">IF(ISNUMBER('R4 Variations'!E321),+'R4 Variations'!E321*LU_Escalation,0)</f>
        <v>0</v>
      </c>
      <c r="F321" s="491">
        <f ca="1">IF(ISNUMBER('R4 Variations'!F321),+'R4 Variations'!F321*LU_Escalation,0)</f>
        <v>0</v>
      </c>
      <c r="G321" s="491">
        <f ca="1">IF(ISNUMBER('R4 Variations'!G321),+'R4 Variations'!G321*LU_Escalation,0)</f>
        <v>0</v>
      </c>
      <c r="H321" s="491">
        <f ca="1">IF(ISNUMBER('R4 Variations'!H321),+'R4 Variations'!H321*LU_Escalation,0)</f>
        <v>0</v>
      </c>
      <c r="I321" s="491">
        <f ca="1">IF(ISNUMBER('R4 Variations'!I321),+'R4 Variations'!I321*LU_Escalation,0)</f>
        <v>0</v>
      </c>
      <c r="J321" s="491">
        <f ca="1">IF(ISNUMBER('R4 Variations'!J321),+'R4 Variations'!J321*LU_Escalation,0)</f>
        <v>0</v>
      </c>
      <c r="K321" s="491">
        <f ca="1">IF(ISNUMBER('R4 Variations'!K321),+'R4 Variations'!K321*LU_Escalation,0)</f>
        <v>0</v>
      </c>
      <c r="L321" s="515" t="str">
        <f ca="1">+'R4 Variations'!L321</f>
        <v/>
      </c>
      <c r="M321" s="450" t="str">
        <f ca="1">+'R4 Variations'!M321</f>
        <v/>
      </c>
      <c r="N321" s="450" t="str">
        <f ca="1">+'R4 Variations'!N321</f>
        <v/>
      </c>
    </row>
    <row r="322" spans="1:14">
      <c r="A322" s="5"/>
      <c r="B322" s="249"/>
      <c r="C322" s="384" t="str">
        <f ca="1">+'R4 Variations'!C322</f>
        <v/>
      </c>
      <c r="D322" s="491">
        <f ca="1">IF(ISNUMBER('R4 Variations'!D322),+'R4 Variations'!D322*LU_Escalation,0)</f>
        <v>0</v>
      </c>
      <c r="E322" s="850">
        <f ca="1">IF(ISNUMBER('R4 Variations'!E322),+'R4 Variations'!E322*LU_Escalation,0)</f>
        <v>0</v>
      </c>
      <c r="F322" s="491">
        <f ca="1">IF(ISNUMBER('R4 Variations'!F322),+'R4 Variations'!F322*LU_Escalation,0)</f>
        <v>0</v>
      </c>
      <c r="G322" s="491">
        <f ca="1">IF(ISNUMBER('R4 Variations'!G322),+'R4 Variations'!G322*LU_Escalation,0)</f>
        <v>0</v>
      </c>
      <c r="H322" s="491">
        <f ca="1">IF(ISNUMBER('R4 Variations'!H322),+'R4 Variations'!H322*LU_Escalation,0)</f>
        <v>0</v>
      </c>
      <c r="I322" s="491">
        <f ca="1">IF(ISNUMBER('R4 Variations'!I322),+'R4 Variations'!I322*LU_Escalation,0)</f>
        <v>0</v>
      </c>
      <c r="J322" s="491">
        <f ca="1">IF(ISNUMBER('R4 Variations'!J322),+'R4 Variations'!J322*LU_Escalation,0)</f>
        <v>0</v>
      </c>
      <c r="K322" s="491">
        <f ca="1">IF(ISNUMBER('R4 Variations'!K322),+'R4 Variations'!K322*LU_Escalation,0)</f>
        <v>0</v>
      </c>
      <c r="L322" s="515" t="str">
        <f ca="1">+'R4 Variations'!L322</f>
        <v/>
      </c>
      <c r="M322" s="450" t="str">
        <f ca="1">+'R4 Variations'!M322</f>
        <v/>
      </c>
      <c r="N322" s="450" t="str">
        <f ca="1">+'R4 Variations'!N322</f>
        <v/>
      </c>
    </row>
    <row r="323" spans="1:14">
      <c r="A323" s="5"/>
      <c r="B323" s="249"/>
      <c r="C323" s="384" t="str">
        <f ca="1">+'R4 Variations'!C323</f>
        <v/>
      </c>
      <c r="D323" s="491">
        <f ca="1">IF(ISNUMBER('R4 Variations'!D323),+'R4 Variations'!D323*LU_Escalation,0)</f>
        <v>0</v>
      </c>
      <c r="E323" s="850">
        <f ca="1">IF(ISNUMBER('R4 Variations'!E323),+'R4 Variations'!E323*LU_Escalation,0)</f>
        <v>0</v>
      </c>
      <c r="F323" s="491">
        <f ca="1">IF(ISNUMBER('R4 Variations'!F323),+'R4 Variations'!F323*LU_Escalation,0)</f>
        <v>0</v>
      </c>
      <c r="G323" s="491">
        <f ca="1">IF(ISNUMBER('R4 Variations'!G323),+'R4 Variations'!G323*LU_Escalation,0)</f>
        <v>0</v>
      </c>
      <c r="H323" s="491">
        <f ca="1">IF(ISNUMBER('R4 Variations'!H323),+'R4 Variations'!H323*LU_Escalation,0)</f>
        <v>0</v>
      </c>
      <c r="I323" s="491">
        <f ca="1">IF(ISNUMBER('R4 Variations'!I323),+'R4 Variations'!I323*LU_Escalation,0)</f>
        <v>0</v>
      </c>
      <c r="J323" s="491">
        <f ca="1">IF(ISNUMBER('R4 Variations'!J323),+'R4 Variations'!J323*LU_Escalation,0)</f>
        <v>0</v>
      </c>
      <c r="K323" s="491">
        <f ca="1">IF(ISNUMBER('R4 Variations'!K323),+'R4 Variations'!K323*LU_Escalation,0)</f>
        <v>0</v>
      </c>
      <c r="L323" s="515" t="str">
        <f ca="1">+'R4 Variations'!L323</f>
        <v/>
      </c>
      <c r="M323" s="450" t="str">
        <f ca="1">+'R4 Variations'!M323</f>
        <v/>
      </c>
      <c r="N323" s="450" t="str">
        <f ca="1">+'R4 Variations'!N323</f>
        <v/>
      </c>
    </row>
    <row r="324" spans="1:14">
      <c r="A324" s="5"/>
      <c r="B324" s="249"/>
      <c r="C324" s="384" t="str">
        <f ca="1">+'R4 Variations'!C324</f>
        <v/>
      </c>
      <c r="D324" s="491">
        <f ca="1">IF(ISNUMBER('R4 Variations'!D324),+'R4 Variations'!D324*LU_Escalation,0)</f>
        <v>0</v>
      </c>
      <c r="E324" s="850">
        <f ca="1">IF(ISNUMBER('R4 Variations'!E324),+'R4 Variations'!E324*LU_Escalation,0)</f>
        <v>0</v>
      </c>
      <c r="F324" s="491">
        <f ca="1">IF(ISNUMBER('R4 Variations'!F324),+'R4 Variations'!F324*LU_Escalation,0)</f>
        <v>0</v>
      </c>
      <c r="G324" s="491">
        <f ca="1">IF(ISNUMBER('R4 Variations'!G324),+'R4 Variations'!G324*LU_Escalation,0)</f>
        <v>0</v>
      </c>
      <c r="H324" s="491">
        <f ca="1">IF(ISNUMBER('R4 Variations'!H324),+'R4 Variations'!H324*LU_Escalation,0)</f>
        <v>0</v>
      </c>
      <c r="I324" s="491">
        <f ca="1">IF(ISNUMBER('R4 Variations'!I324),+'R4 Variations'!I324*LU_Escalation,0)</f>
        <v>0</v>
      </c>
      <c r="J324" s="491">
        <f ca="1">IF(ISNUMBER('R4 Variations'!J324),+'R4 Variations'!J324*LU_Escalation,0)</f>
        <v>0</v>
      </c>
      <c r="K324" s="491">
        <f ca="1">IF(ISNUMBER('R4 Variations'!K324),+'R4 Variations'!K324*LU_Escalation,0)</f>
        <v>0</v>
      </c>
      <c r="L324" s="515" t="str">
        <f ca="1">+'R4 Variations'!L324</f>
        <v/>
      </c>
      <c r="M324" s="450" t="str">
        <f ca="1">+'R4 Variations'!M324</f>
        <v/>
      </c>
      <c r="N324" s="450" t="str">
        <f ca="1">+'R4 Variations'!N324</f>
        <v/>
      </c>
    </row>
    <row r="325" spans="1:14">
      <c r="A325" s="5"/>
      <c r="B325" s="249"/>
      <c r="C325" s="12"/>
      <c r="D325" s="491"/>
      <c r="E325" s="508"/>
      <c r="F325" s="491"/>
      <c r="G325" s="492"/>
      <c r="H325" s="492"/>
      <c r="I325" s="492"/>
      <c r="J325" s="492"/>
      <c r="K325" s="508"/>
      <c r="L325" s="515"/>
      <c r="M325" s="450"/>
      <c r="N325" s="450"/>
    </row>
    <row r="326" spans="1:14">
      <c r="A326" s="5"/>
      <c r="B326" s="249" t="str">
        <f ca="1">+'I-4 History'!B246</f>
        <v>A-3</v>
      </c>
      <c r="C326" s="14" t="str">
        <f ca="1">+'I-4 History'!C246</f>
        <v>Communications</v>
      </c>
      <c r="D326" s="491"/>
      <c r="E326" s="508"/>
      <c r="F326" s="491"/>
      <c r="G326" s="492"/>
      <c r="H326" s="492"/>
      <c r="I326" s="492"/>
      <c r="J326" s="492"/>
      <c r="K326" s="508"/>
      <c r="L326" s="515"/>
      <c r="M326" s="450"/>
      <c r="N326" s="450"/>
    </row>
    <row r="327" spans="1:14">
      <c r="A327" s="5"/>
      <c r="B327" s="249"/>
      <c r="C327" s="384" t="str">
        <f ca="1">+'R4 Variations'!C327</f>
        <v>Step Change</v>
      </c>
      <c r="D327" s="491">
        <f ca="1">IF(ISNUMBER('R4 Variations'!D327),+'R4 Variations'!D327*LU_Escalation,0)</f>
        <v>0</v>
      </c>
      <c r="E327" s="850">
        <f ca="1">IF(ISNUMBER('R4 Variations'!E327),+'R4 Variations'!E327*LU_Escalation,0)</f>
        <v>0</v>
      </c>
      <c r="F327" s="491">
        <f ca="1">IF(ISNUMBER('R4 Variations'!F327),+'R4 Variations'!F327*LU_Escalation,0)</f>
        <v>0</v>
      </c>
      <c r="G327" s="491">
        <f ca="1">IF(ISNUMBER('R4 Variations'!G327),+'R4 Variations'!G327*LU_Escalation,0)</f>
        <v>2.9792120769230772</v>
      </c>
      <c r="H327" s="491">
        <f ca="1">IF(ISNUMBER('R4 Variations'!H327),+'R4 Variations'!H327*LU_Escalation,0)</f>
        <v>2.0850349615384616</v>
      </c>
      <c r="I327" s="491">
        <f ca="1">IF(ISNUMBER('R4 Variations'!I327),+'R4 Variations'!I327*LU_Escalation,0)</f>
        <v>2.0075051538461541</v>
      </c>
      <c r="J327" s="491">
        <f ca="1">IF(ISNUMBER('R4 Variations'!J327),+'R4 Variations'!J327*LU_Escalation,0)</f>
        <v>1.7914554230769233</v>
      </c>
      <c r="K327" s="491">
        <f ca="1">IF(ISNUMBER('R4 Variations'!K327),+'R4 Variations'!K327*LU_Escalation,0)</f>
        <v>2.0333484230769234</v>
      </c>
      <c r="L327" s="515" t="str">
        <f ca="1">+'R4 Variations'!L327</f>
        <v>Proposal Step Change</v>
      </c>
      <c r="M327" s="450" t="str">
        <f ca="1">+'R4 Variations'!M327</f>
        <v>Refer Opex Workings</v>
      </c>
      <c r="N327" s="450" t="str">
        <f ca="1">+'R4 Variations'!N327</f>
        <v>Proposal, October 2014</v>
      </c>
    </row>
    <row r="328" spans="1:14">
      <c r="A328" s="5"/>
      <c r="B328" s="249"/>
      <c r="C328" s="384" t="str">
        <f ca="1">+'R4 Variations'!C328</f>
        <v/>
      </c>
      <c r="D328" s="491">
        <f ca="1">IF(ISNUMBER('R4 Variations'!D328),+'R4 Variations'!D328*LU_Escalation,0)</f>
        <v>0</v>
      </c>
      <c r="E328" s="850">
        <f ca="1">IF(ISNUMBER('R4 Variations'!E328),+'R4 Variations'!E328*LU_Escalation,0)</f>
        <v>0</v>
      </c>
      <c r="F328" s="491">
        <f ca="1">IF(ISNUMBER('R4 Variations'!F328),+'R4 Variations'!F328*LU_Escalation,0)</f>
        <v>0</v>
      </c>
      <c r="G328" s="491">
        <f ca="1">IF(ISNUMBER('R4 Variations'!G328),+'R4 Variations'!G328*LU_Escalation,0)</f>
        <v>0</v>
      </c>
      <c r="H328" s="491">
        <f ca="1">IF(ISNUMBER('R4 Variations'!H328),+'R4 Variations'!H328*LU_Escalation,0)</f>
        <v>0</v>
      </c>
      <c r="I328" s="491">
        <f ca="1">IF(ISNUMBER('R4 Variations'!I328),+'R4 Variations'!I328*LU_Escalation,0)</f>
        <v>0</v>
      </c>
      <c r="J328" s="491">
        <f ca="1">IF(ISNUMBER('R4 Variations'!J328),+'R4 Variations'!J328*LU_Escalation,0)</f>
        <v>0</v>
      </c>
      <c r="K328" s="491">
        <f ca="1">IF(ISNUMBER('R4 Variations'!K328),+'R4 Variations'!K328*LU_Escalation,0)</f>
        <v>0</v>
      </c>
      <c r="L328" s="515" t="str">
        <f ca="1">+'R4 Variations'!L328</f>
        <v/>
      </c>
      <c r="M328" s="450" t="str">
        <f ca="1">+'R4 Variations'!M328</f>
        <v/>
      </c>
      <c r="N328" s="450" t="str">
        <f ca="1">+'R4 Variations'!N328</f>
        <v/>
      </c>
    </row>
    <row r="329" spans="1:14">
      <c r="A329" s="5"/>
      <c r="B329" s="249"/>
      <c r="C329" s="384" t="str">
        <f ca="1">+'R4 Variations'!C329</f>
        <v/>
      </c>
      <c r="D329" s="491">
        <f ca="1">IF(ISNUMBER('R4 Variations'!D329),+'R4 Variations'!D329*LU_Escalation,0)</f>
        <v>0</v>
      </c>
      <c r="E329" s="850">
        <f ca="1">IF(ISNUMBER('R4 Variations'!E329),+'R4 Variations'!E329*LU_Escalation,0)</f>
        <v>0</v>
      </c>
      <c r="F329" s="491">
        <f ca="1">IF(ISNUMBER('R4 Variations'!F329),+'R4 Variations'!F329*LU_Escalation,0)</f>
        <v>0</v>
      </c>
      <c r="G329" s="491">
        <f ca="1">IF(ISNUMBER('R4 Variations'!G329),+'R4 Variations'!G329*LU_Escalation,0)</f>
        <v>0</v>
      </c>
      <c r="H329" s="491">
        <f ca="1">IF(ISNUMBER('R4 Variations'!H329),+'R4 Variations'!H329*LU_Escalation,0)</f>
        <v>0</v>
      </c>
      <c r="I329" s="491">
        <f ca="1">IF(ISNUMBER('R4 Variations'!I329),+'R4 Variations'!I329*LU_Escalation,0)</f>
        <v>0</v>
      </c>
      <c r="J329" s="491">
        <f ca="1">IF(ISNUMBER('R4 Variations'!J329),+'R4 Variations'!J329*LU_Escalation,0)</f>
        <v>0</v>
      </c>
      <c r="K329" s="491">
        <f ca="1">IF(ISNUMBER('R4 Variations'!K329),+'R4 Variations'!K329*LU_Escalation,0)</f>
        <v>0</v>
      </c>
      <c r="L329" s="515" t="str">
        <f ca="1">+'R4 Variations'!L329</f>
        <v/>
      </c>
      <c r="M329" s="450" t="str">
        <f ca="1">+'R4 Variations'!M329</f>
        <v/>
      </c>
      <c r="N329" s="450" t="str">
        <f ca="1">+'R4 Variations'!N329</f>
        <v/>
      </c>
    </row>
    <row r="330" spans="1:14">
      <c r="A330" s="5"/>
      <c r="B330" s="249"/>
      <c r="C330" s="384" t="str">
        <f ca="1">+'R4 Variations'!C330</f>
        <v/>
      </c>
      <c r="D330" s="491">
        <f ca="1">IF(ISNUMBER('R4 Variations'!D330),+'R4 Variations'!D330*LU_Escalation,0)</f>
        <v>0</v>
      </c>
      <c r="E330" s="850">
        <f ca="1">IF(ISNUMBER('R4 Variations'!E330),+'R4 Variations'!E330*LU_Escalation,0)</f>
        <v>0</v>
      </c>
      <c r="F330" s="491">
        <f ca="1">IF(ISNUMBER('R4 Variations'!F330),+'R4 Variations'!F330*LU_Escalation,0)</f>
        <v>0</v>
      </c>
      <c r="G330" s="491">
        <f ca="1">IF(ISNUMBER('R4 Variations'!G330),+'R4 Variations'!G330*LU_Escalation,0)</f>
        <v>0</v>
      </c>
      <c r="H330" s="491">
        <f ca="1">IF(ISNUMBER('R4 Variations'!H330),+'R4 Variations'!H330*LU_Escalation,0)</f>
        <v>0</v>
      </c>
      <c r="I330" s="491">
        <f ca="1">IF(ISNUMBER('R4 Variations'!I330),+'R4 Variations'!I330*LU_Escalation,0)</f>
        <v>0</v>
      </c>
      <c r="J330" s="491">
        <f ca="1">IF(ISNUMBER('R4 Variations'!J330),+'R4 Variations'!J330*LU_Escalation,0)</f>
        <v>0</v>
      </c>
      <c r="K330" s="491">
        <f ca="1">IF(ISNUMBER('R4 Variations'!K330),+'R4 Variations'!K330*LU_Escalation,0)</f>
        <v>0</v>
      </c>
      <c r="L330" s="515" t="str">
        <f ca="1">+'R4 Variations'!L330</f>
        <v/>
      </c>
      <c r="M330" s="450" t="str">
        <f ca="1">+'R4 Variations'!M330</f>
        <v/>
      </c>
      <c r="N330" s="450" t="str">
        <f ca="1">+'R4 Variations'!N330</f>
        <v/>
      </c>
    </row>
    <row r="331" spans="1:14">
      <c r="A331" s="5"/>
      <c r="B331" s="249"/>
      <c r="C331" s="384" t="str">
        <f ca="1">+'R4 Variations'!C331</f>
        <v/>
      </c>
      <c r="D331" s="491">
        <f ca="1">IF(ISNUMBER('R4 Variations'!D331),+'R4 Variations'!D331*LU_Escalation,0)</f>
        <v>0</v>
      </c>
      <c r="E331" s="850">
        <f ca="1">IF(ISNUMBER('R4 Variations'!E331),+'R4 Variations'!E331*LU_Escalation,0)</f>
        <v>0</v>
      </c>
      <c r="F331" s="491">
        <f ca="1">IF(ISNUMBER('R4 Variations'!F331),+'R4 Variations'!F331*LU_Escalation,0)</f>
        <v>0</v>
      </c>
      <c r="G331" s="491">
        <f ca="1">IF(ISNUMBER('R4 Variations'!G331),+'R4 Variations'!G331*LU_Escalation,0)</f>
        <v>0</v>
      </c>
      <c r="H331" s="491">
        <f ca="1">IF(ISNUMBER('R4 Variations'!H331),+'R4 Variations'!H331*LU_Escalation,0)</f>
        <v>0</v>
      </c>
      <c r="I331" s="491">
        <f ca="1">IF(ISNUMBER('R4 Variations'!I331),+'R4 Variations'!I331*LU_Escalation,0)</f>
        <v>0</v>
      </c>
      <c r="J331" s="491">
        <f ca="1">IF(ISNUMBER('R4 Variations'!J331),+'R4 Variations'!J331*LU_Escalation,0)</f>
        <v>0</v>
      </c>
      <c r="K331" s="491">
        <f ca="1">IF(ISNUMBER('R4 Variations'!K331),+'R4 Variations'!K331*LU_Escalation,0)</f>
        <v>0</v>
      </c>
      <c r="L331" s="515" t="str">
        <f ca="1">+'R4 Variations'!L331</f>
        <v/>
      </c>
      <c r="M331" s="450" t="str">
        <f ca="1">+'R4 Variations'!M331</f>
        <v/>
      </c>
      <c r="N331" s="450" t="str">
        <f ca="1">+'R4 Variations'!N331</f>
        <v/>
      </c>
    </row>
    <row r="332" spans="1:14">
      <c r="A332" s="5"/>
      <c r="B332" s="249"/>
      <c r="C332" s="384" t="str">
        <f ca="1">+'R4 Variations'!C332</f>
        <v/>
      </c>
      <c r="D332" s="491">
        <f ca="1">IF(ISNUMBER('R4 Variations'!D332),+'R4 Variations'!D332*LU_Escalation,0)</f>
        <v>0</v>
      </c>
      <c r="E332" s="850">
        <f ca="1">IF(ISNUMBER('R4 Variations'!E332),+'R4 Variations'!E332*LU_Escalation,0)</f>
        <v>0</v>
      </c>
      <c r="F332" s="491">
        <f ca="1">IF(ISNUMBER('R4 Variations'!F332),+'R4 Variations'!F332*LU_Escalation,0)</f>
        <v>0</v>
      </c>
      <c r="G332" s="491">
        <f ca="1">IF(ISNUMBER('R4 Variations'!G332),+'R4 Variations'!G332*LU_Escalation,0)</f>
        <v>0</v>
      </c>
      <c r="H332" s="491">
        <f ca="1">IF(ISNUMBER('R4 Variations'!H332),+'R4 Variations'!H332*LU_Escalation,0)</f>
        <v>0</v>
      </c>
      <c r="I332" s="491">
        <f ca="1">IF(ISNUMBER('R4 Variations'!I332),+'R4 Variations'!I332*LU_Escalation,0)</f>
        <v>0</v>
      </c>
      <c r="J332" s="491">
        <f ca="1">IF(ISNUMBER('R4 Variations'!J332),+'R4 Variations'!J332*LU_Escalation,0)</f>
        <v>0</v>
      </c>
      <c r="K332" s="491">
        <f ca="1">IF(ISNUMBER('R4 Variations'!K332),+'R4 Variations'!K332*LU_Escalation,0)</f>
        <v>0</v>
      </c>
      <c r="L332" s="515" t="str">
        <f ca="1">+'R4 Variations'!L332</f>
        <v/>
      </c>
      <c r="M332" s="450" t="str">
        <f ca="1">+'R4 Variations'!M332</f>
        <v/>
      </c>
      <c r="N332" s="450" t="str">
        <f ca="1">+'R4 Variations'!N332</f>
        <v/>
      </c>
    </row>
    <row r="333" spans="1:14">
      <c r="A333" s="5"/>
      <c r="B333" s="249"/>
      <c r="C333" s="384" t="str">
        <f ca="1">+'R4 Variations'!C333</f>
        <v/>
      </c>
      <c r="D333" s="491">
        <f ca="1">IF(ISNUMBER('R4 Variations'!D333),+'R4 Variations'!D333*LU_Escalation,0)</f>
        <v>0</v>
      </c>
      <c r="E333" s="850">
        <f ca="1">IF(ISNUMBER('R4 Variations'!E333),+'R4 Variations'!E333*LU_Escalation,0)</f>
        <v>0</v>
      </c>
      <c r="F333" s="491">
        <f ca="1">IF(ISNUMBER('R4 Variations'!F333),+'R4 Variations'!F333*LU_Escalation,0)</f>
        <v>0</v>
      </c>
      <c r="G333" s="491">
        <f ca="1">IF(ISNUMBER('R4 Variations'!G333),+'R4 Variations'!G333*LU_Escalation,0)</f>
        <v>0</v>
      </c>
      <c r="H333" s="491">
        <f ca="1">IF(ISNUMBER('R4 Variations'!H333),+'R4 Variations'!H333*LU_Escalation,0)</f>
        <v>0</v>
      </c>
      <c r="I333" s="491">
        <f ca="1">IF(ISNUMBER('R4 Variations'!I333),+'R4 Variations'!I333*LU_Escalation,0)</f>
        <v>0</v>
      </c>
      <c r="J333" s="491">
        <f ca="1">IF(ISNUMBER('R4 Variations'!J333),+'R4 Variations'!J333*LU_Escalation,0)</f>
        <v>0</v>
      </c>
      <c r="K333" s="491">
        <f ca="1">IF(ISNUMBER('R4 Variations'!K333),+'R4 Variations'!K333*LU_Escalation,0)</f>
        <v>0</v>
      </c>
      <c r="L333" s="515" t="str">
        <f ca="1">+'R4 Variations'!L333</f>
        <v/>
      </c>
      <c r="M333" s="450" t="str">
        <f ca="1">+'R4 Variations'!M333</f>
        <v/>
      </c>
      <c r="N333" s="450" t="str">
        <f ca="1">+'R4 Variations'!N333</f>
        <v/>
      </c>
    </row>
    <row r="334" spans="1:14">
      <c r="A334" s="5"/>
      <c r="B334" s="249"/>
      <c r="C334" s="384" t="str">
        <f ca="1">+'R4 Variations'!C334</f>
        <v/>
      </c>
      <c r="D334" s="491">
        <f ca="1">IF(ISNUMBER('R4 Variations'!D334),+'R4 Variations'!D334*LU_Escalation,0)</f>
        <v>0</v>
      </c>
      <c r="E334" s="850">
        <f ca="1">IF(ISNUMBER('R4 Variations'!E334),+'R4 Variations'!E334*LU_Escalation,0)</f>
        <v>0</v>
      </c>
      <c r="F334" s="491">
        <f ca="1">IF(ISNUMBER('R4 Variations'!F334),+'R4 Variations'!F334*LU_Escalation,0)</f>
        <v>0</v>
      </c>
      <c r="G334" s="491">
        <f ca="1">IF(ISNUMBER('R4 Variations'!G334),+'R4 Variations'!G334*LU_Escalation,0)</f>
        <v>0</v>
      </c>
      <c r="H334" s="491">
        <f ca="1">IF(ISNUMBER('R4 Variations'!H334),+'R4 Variations'!H334*LU_Escalation,0)</f>
        <v>0</v>
      </c>
      <c r="I334" s="491">
        <f ca="1">IF(ISNUMBER('R4 Variations'!I334),+'R4 Variations'!I334*LU_Escalation,0)</f>
        <v>0</v>
      </c>
      <c r="J334" s="491">
        <f ca="1">IF(ISNUMBER('R4 Variations'!J334),+'R4 Variations'!J334*LU_Escalation,0)</f>
        <v>0</v>
      </c>
      <c r="K334" s="491">
        <f ca="1">IF(ISNUMBER('R4 Variations'!K334),+'R4 Variations'!K334*LU_Escalation,0)</f>
        <v>0</v>
      </c>
      <c r="L334" s="515" t="str">
        <f ca="1">+'R4 Variations'!L334</f>
        <v/>
      </c>
      <c r="M334" s="450" t="str">
        <f ca="1">+'R4 Variations'!M334</f>
        <v/>
      </c>
      <c r="N334" s="450" t="str">
        <f ca="1">+'R4 Variations'!N334</f>
        <v/>
      </c>
    </row>
    <row r="335" spans="1:14">
      <c r="A335" s="5"/>
      <c r="B335" s="249"/>
      <c r="C335" s="384" t="str">
        <f ca="1">+'R4 Variations'!C335</f>
        <v/>
      </c>
      <c r="D335" s="491">
        <f ca="1">IF(ISNUMBER('R4 Variations'!D335),+'R4 Variations'!D335*LU_Escalation,0)</f>
        <v>0</v>
      </c>
      <c r="E335" s="850">
        <f ca="1">IF(ISNUMBER('R4 Variations'!E335),+'R4 Variations'!E335*LU_Escalation,0)</f>
        <v>0</v>
      </c>
      <c r="F335" s="491">
        <f ca="1">IF(ISNUMBER('R4 Variations'!F335),+'R4 Variations'!F335*LU_Escalation,0)</f>
        <v>0</v>
      </c>
      <c r="G335" s="491">
        <f ca="1">IF(ISNUMBER('R4 Variations'!G335),+'R4 Variations'!G335*LU_Escalation,0)</f>
        <v>0</v>
      </c>
      <c r="H335" s="491">
        <f ca="1">IF(ISNUMBER('R4 Variations'!H335),+'R4 Variations'!H335*LU_Escalation,0)</f>
        <v>0</v>
      </c>
      <c r="I335" s="491">
        <f ca="1">IF(ISNUMBER('R4 Variations'!I335),+'R4 Variations'!I335*LU_Escalation,0)</f>
        <v>0</v>
      </c>
      <c r="J335" s="491">
        <f ca="1">IF(ISNUMBER('R4 Variations'!J335),+'R4 Variations'!J335*LU_Escalation,0)</f>
        <v>0</v>
      </c>
      <c r="K335" s="491">
        <f ca="1">IF(ISNUMBER('R4 Variations'!K335),+'R4 Variations'!K335*LU_Escalation,0)</f>
        <v>0</v>
      </c>
      <c r="L335" s="515" t="str">
        <f ca="1">+'R4 Variations'!L335</f>
        <v/>
      </c>
      <c r="M335" s="450" t="str">
        <f ca="1">+'R4 Variations'!M335</f>
        <v/>
      </c>
      <c r="N335" s="450" t="str">
        <f ca="1">+'R4 Variations'!N335</f>
        <v/>
      </c>
    </row>
    <row r="336" spans="1:14">
      <c r="A336" s="5"/>
      <c r="B336" s="249"/>
      <c r="C336" s="384" t="str">
        <f ca="1">+'R4 Variations'!C336</f>
        <v/>
      </c>
      <c r="D336" s="491">
        <f ca="1">IF(ISNUMBER('R4 Variations'!D336),+'R4 Variations'!D336*LU_Escalation,0)</f>
        <v>0</v>
      </c>
      <c r="E336" s="850">
        <f ca="1">IF(ISNUMBER('R4 Variations'!E336),+'R4 Variations'!E336*LU_Escalation,0)</f>
        <v>0</v>
      </c>
      <c r="F336" s="491">
        <f ca="1">IF(ISNUMBER('R4 Variations'!F336),+'R4 Variations'!F336*LU_Escalation,0)</f>
        <v>0</v>
      </c>
      <c r="G336" s="491">
        <f ca="1">IF(ISNUMBER('R4 Variations'!G336),+'R4 Variations'!G336*LU_Escalation,0)</f>
        <v>0</v>
      </c>
      <c r="H336" s="491">
        <f ca="1">IF(ISNUMBER('R4 Variations'!H336),+'R4 Variations'!H336*LU_Escalation,0)</f>
        <v>0</v>
      </c>
      <c r="I336" s="491">
        <f ca="1">IF(ISNUMBER('R4 Variations'!I336),+'R4 Variations'!I336*LU_Escalation,0)</f>
        <v>0</v>
      </c>
      <c r="J336" s="491">
        <f ca="1">IF(ISNUMBER('R4 Variations'!J336),+'R4 Variations'!J336*LU_Escalation,0)</f>
        <v>0</v>
      </c>
      <c r="K336" s="491">
        <f ca="1">IF(ISNUMBER('R4 Variations'!K336),+'R4 Variations'!K336*LU_Escalation,0)</f>
        <v>0</v>
      </c>
      <c r="L336" s="515" t="str">
        <f ca="1">+'R4 Variations'!L336</f>
        <v/>
      </c>
      <c r="M336" s="450" t="str">
        <f ca="1">+'R4 Variations'!M336</f>
        <v/>
      </c>
      <c r="N336" s="450" t="str">
        <f ca="1">+'R4 Variations'!N336</f>
        <v/>
      </c>
    </row>
    <row r="337" spans="1:14">
      <c r="A337" s="5"/>
      <c r="B337" s="249"/>
      <c r="C337" s="12"/>
      <c r="D337" s="491"/>
      <c r="E337" s="508"/>
      <c r="F337" s="491"/>
      <c r="G337" s="492"/>
      <c r="H337" s="492"/>
      <c r="I337" s="492"/>
      <c r="J337" s="492"/>
      <c r="K337" s="508"/>
      <c r="L337" s="515"/>
      <c r="M337" s="450"/>
      <c r="N337" s="450"/>
    </row>
    <row r="338" spans="1:14">
      <c r="A338" s="5"/>
      <c r="B338" s="249" t="str">
        <f ca="1">+'I-4 History'!B255</f>
        <v>A-4</v>
      </c>
      <c r="C338" s="14" t="str">
        <f ca="1">+'I-4 History'!C255</f>
        <v>Audit Services</v>
      </c>
      <c r="D338" s="491"/>
      <c r="E338" s="508"/>
      <c r="F338" s="491"/>
      <c r="G338" s="492"/>
      <c r="H338" s="492"/>
      <c r="I338" s="492"/>
      <c r="J338" s="492"/>
      <c r="K338" s="508"/>
      <c r="L338" s="515"/>
      <c r="M338" s="450"/>
      <c r="N338" s="450"/>
    </row>
    <row r="339" spans="1:14">
      <c r="A339" s="5"/>
      <c r="B339" s="249"/>
      <c r="C339" s="384" t="str">
        <f ca="1">+'R4 Variations'!C339</f>
        <v>Step Change</v>
      </c>
      <c r="D339" s="491">
        <f ca="1">IF(ISNUMBER('R4 Variations'!D339),+'R4 Variations'!D339*LU_Escalation,0)</f>
        <v>0</v>
      </c>
      <c r="E339" s="850">
        <f ca="1">IF(ISNUMBER('R4 Variations'!E339),+'R4 Variations'!E339*LU_Escalation,0)</f>
        <v>0</v>
      </c>
      <c r="F339" s="491">
        <f ca="1">IF(ISNUMBER('R4 Variations'!F339),+'R4 Variations'!F339*LU_Escalation,0)</f>
        <v>0</v>
      </c>
      <c r="G339" s="491">
        <f ca="1">IF(ISNUMBER('R4 Variations'!G339),+'R4 Variations'!G339*LU_Escalation,0)</f>
        <v>0.21191480769230769</v>
      </c>
      <c r="H339" s="491">
        <f ca="1">IF(ISNUMBER('R4 Variations'!H339),+'R4 Variations'!H339*LU_Escalation,0)</f>
        <v>0.21191480769230769</v>
      </c>
      <c r="I339" s="491">
        <f ca="1">IF(ISNUMBER('R4 Variations'!I339),+'R4 Variations'!I339*LU_Escalation,0)</f>
        <v>0.21191480769230769</v>
      </c>
      <c r="J339" s="491">
        <f ca="1">IF(ISNUMBER('R4 Variations'!J339),+'R4 Variations'!J339*LU_Escalation,0)</f>
        <v>0.21191480769230769</v>
      </c>
      <c r="K339" s="491">
        <f ca="1">IF(ISNUMBER('R4 Variations'!K339),+'R4 Variations'!K339*LU_Escalation,0)</f>
        <v>0.21191480769230769</v>
      </c>
      <c r="L339" s="515" t="str">
        <f ca="1">+'R4 Variations'!L339</f>
        <v>Proposal Step Change</v>
      </c>
      <c r="M339" s="450" t="str">
        <f ca="1">+'R4 Variations'!M339</f>
        <v>Refer Opex Workings</v>
      </c>
      <c r="N339" s="450" t="str">
        <f ca="1">+'R4 Variations'!N339</f>
        <v>Proposal, October 2014</v>
      </c>
    </row>
    <row r="340" spans="1:14">
      <c r="A340" s="5"/>
      <c r="B340" s="249"/>
      <c r="C340" s="384" t="str">
        <f ca="1">+'R4 Variations'!C340</f>
        <v/>
      </c>
      <c r="D340" s="491">
        <f ca="1">IF(ISNUMBER('R4 Variations'!D340),+'R4 Variations'!D340*LU_Escalation,0)</f>
        <v>0</v>
      </c>
      <c r="E340" s="850">
        <f ca="1">IF(ISNUMBER('R4 Variations'!E340),+'R4 Variations'!E340*LU_Escalation,0)</f>
        <v>0</v>
      </c>
      <c r="F340" s="491">
        <f ca="1">IF(ISNUMBER('R4 Variations'!F340),+'R4 Variations'!F340*LU_Escalation,0)</f>
        <v>0</v>
      </c>
      <c r="G340" s="491">
        <f ca="1">IF(ISNUMBER('R4 Variations'!G340),+'R4 Variations'!G340*LU_Escalation,0)</f>
        <v>0</v>
      </c>
      <c r="H340" s="491">
        <f ca="1">IF(ISNUMBER('R4 Variations'!H340),+'R4 Variations'!H340*LU_Escalation,0)</f>
        <v>0</v>
      </c>
      <c r="I340" s="491">
        <f ca="1">IF(ISNUMBER('R4 Variations'!I340),+'R4 Variations'!I340*LU_Escalation,0)</f>
        <v>0</v>
      </c>
      <c r="J340" s="491">
        <f ca="1">IF(ISNUMBER('R4 Variations'!J340),+'R4 Variations'!J340*LU_Escalation,0)</f>
        <v>0</v>
      </c>
      <c r="K340" s="491">
        <f ca="1">IF(ISNUMBER('R4 Variations'!K340),+'R4 Variations'!K340*LU_Escalation,0)</f>
        <v>0</v>
      </c>
      <c r="L340" s="515" t="str">
        <f ca="1">+'R4 Variations'!L340</f>
        <v/>
      </c>
      <c r="M340" s="450" t="str">
        <f ca="1">+'R4 Variations'!M340</f>
        <v/>
      </c>
      <c r="N340" s="450" t="str">
        <f ca="1">+'R4 Variations'!N340</f>
        <v/>
      </c>
    </row>
    <row r="341" spans="1:14">
      <c r="A341" s="5"/>
      <c r="B341" s="249"/>
      <c r="C341" s="384" t="str">
        <f ca="1">+'R4 Variations'!C341</f>
        <v/>
      </c>
      <c r="D341" s="491">
        <f ca="1">IF(ISNUMBER('R4 Variations'!D341),+'R4 Variations'!D341*LU_Escalation,0)</f>
        <v>0</v>
      </c>
      <c r="E341" s="850">
        <f ca="1">IF(ISNUMBER('R4 Variations'!E341),+'R4 Variations'!E341*LU_Escalation,0)</f>
        <v>0</v>
      </c>
      <c r="F341" s="491">
        <f ca="1">IF(ISNUMBER('R4 Variations'!F341),+'R4 Variations'!F341*LU_Escalation,0)</f>
        <v>0</v>
      </c>
      <c r="G341" s="491">
        <f ca="1">IF(ISNUMBER('R4 Variations'!G341),+'R4 Variations'!G341*LU_Escalation,0)</f>
        <v>0</v>
      </c>
      <c r="H341" s="491">
        <f ca="1">IF(ISNUMBER('R4 Variations'!H341),+'R4 Variations'!H341*LU_Escalation,0)</f>
        <v>0</v>
      </c>
      <c r="I341" s="491">
        <f ca="1">IF(ISNUMBER('R4 Variations'!I341),+'R4 Variations'!I341*LU_Escalation,0)</f>
        <v>0</v>
      </c>
      <c r="J341" s="491">
        <f ca="1">IF(ISNUMBER('R4 Variations'!J341),+'R4 Variations'!J341*LU_Escalation,0)</f>
        <v>0</v>
      </c>
      <c r="K341" s="491">
        <f ca="1">IF(ISNUMBER('R4 Variations'!K341),+'R4 Variations'!K341*LU_Escalation,0)</f>
        <v>0</v>
      </c>
      <c r="L341" s="515" t="str">
        <f ca="1">+'R4 Variations'!L341</f>
        <v/>
      </c>
      <c r="M341" s="450" t="str">
        <f ca="1">+'R4 Variations'!M341</f>
        <v/>
      </c>
      <c r="N341" s="450" t="str">
        <f ca="1">+'R4 Variations'!N341</f>
        <v/>
      </c>
    </row>
    <row r="342" spans="1:14">
      <c r="A342" s="5"/>
      <c r="B342" s="249"/>
      <c r="C342" s="384" t="str">
        <f ca="1">+'R4 Variations'!C342</f>
        <v/>
      </c>
      <c r="D342" s="491">
        <f ca="1">IF(ISNUMBER('R4 Variations'!D342),+'R4 Variations'!D342*LU_Escalation,0)</f>
        <v>0</v>
      </c>
      <c r="E342" s="850">
        <f ca="1">IF(ISNUMBER('R4 Variations'!E342),+'R4 Variations'!E342*LU_Escalation,0)</f>
        <v>0</v>
      </c>
      <c r="F342" s="491">
        <f ca="1">IF(ISNUMBER('R4 Variations'!F342),+'R4 Variations'!F342*LU_Escalation,0)</f>
        <v>0</v>
      </c>
      <c r="G342" s="491">
        <f ca="1">IF(ISNUMBER('R4 Variations'!G342),+'R4 Variations'!G342*LU_Escalation,0)</f>
        <v>0</v>
      </c>
      <c r="H342" s="491">
        <f ca="1">IF(ISNUMBER('R4 Variations'!H342),+'R4 Variations'!H342*LU_Escalation,0)</f>
        <v>0</v>
      </c>
      <c r="I342" s="491">
        <f ca="1">IF(ISNUMBER('R4 Variations'!I342),+'R4 Variations'!I342*LU_Escalation,0)</f>
        <v>0</v>
      </c>
      <c r="J342" s="491">
        <f ca="1">IF(ISNUMBER('R4 Variations'!J342),+'R4 Variations'!J342*LU_Escalation,0)</f>
        <v>0</v>
      </c>
      <c r="K342" s="491">
        <f ca="1">IF(ISNUMBER('R4 Variations'!K342),+'R4 Variations'!K342*LU_Escalation,0)</f>
        <v>0</v>
      </c>
      <c r="L342" s="515" t="str">
        <f ca="1">+'R4 Variations'!L342</f>
        <v/>
      </c>
      <c r="M342" s="450" t="str">
        <f ca="1">+'R4 Variations'!M342</f>
        <v/>
      </c>
      <c r="N342" s="450" t="str">
        <f ca="1">+'R4 Variations'!N342</f>
        <v/>
      </c>
    </row>
    <row r="343" spans="1:14">
      <c r="A343" s="5"/>
      <c r="B343" s="249"/>
      <c r="C343" s="384" t="str">
        <f ca="1">+'R4 Variations'!C343</f>
        <v/>
      </c>
      <c r="D343" s="491">
        <f ca="1">IF(ISNUMBER('R4 Variations'!D343),+'R4 Variations'!D343*LU_Escalation,0)</f>
        <v>0</v>
      </c>
      <c r="E343" s="850">
        <f ca="1">IF(ISNUMBER('R4 Variations'!E343),+'R4 Variations'!E343*LU_Escalation,0)</f>
        <v>0</v>
      </c>
      <c r="F343" s="491">
        <f ca="1">IF(ISNUMBER('R4 Variations'!F343),+'R4 Variations'!F343*LU_Escalation,0)</f>
        <v>0</v>
      </c>
      <c r="G343" s="491">
        <f ca="1">IF(ISNUMBER('R4 Variations'!G343),+'R4 Variations'!G343*LU_Escalation,0)</f>
        <v>0</v>
      </c>
      <c r="H343" s="491">
        <f ca="1">IF(ISNUMBER('R4 Variations'!H343),+'R4 Variations'!H343*LU_Escalation,0)</f>
        <v>0</v>
      </c>
      <c r="I343" s="491">
        <f ca="1">IF(ISNUMBER('R4 Variations'!I343),+'R4 Variations'!I343*LU_Escalation,0)</f>
        <v>0</v>
      </c>
      <c r="J343" s="491">
        <f ca="1">IF(ISNUMBER('R4 Variations'!J343),+'R4 Variations'!J343*LU_Escalation,0)</f>
        <v>0</v>
      </c>
      <c r="K343" s="491">
        <f ca="1">IF(ISNUMBER('R4 Variations'!K343),+'R4 Variations'!K343*LU_Escalation,0)</f>
        <v>0</v>
      </c>
      <c r="L343" s="515" t="str">
        <f ca="1">+'R4 Variations'!L343</f>
        <v/>
      </c>
      <c r="M343" s="450" t="str">
        <f ca="1">+'R4 Variations'!M343</f>
        <v/>
      </c>
      <c r="N343" s="450" t="str">
        <f ca="1">+'R4 Variations'!N343</f>
        <v/>
      </c>
    </row>
    <row r="344" spans="1:14">
      <c r="A344" s="5"/>
      <c r="B344" s="249"/>
      <c r="C344" s="384" t="str">
        <f ca="1">+'R4 Variations'!C344</f>
        <v/>
      </c>
      <c r="D344" s="491">
        <f ca="1">IF(ISNUMBER('R4 Variations'!D344),+'R4 Variations'!D344*LU_Escalation,0)</f>
        <v>0</v>
      </c>
      <c r="E344" s="850">
        <f ca="1">IF(ISNUMBER('R4 Variations'!E344),+'R4 Variations'!E344*LU_Escalation,0)</f>
        <v>0</v>
      </c>
      <c r="F344" s="491">
        <f ca="1">IF(ISNUMBER('R4 Variations'!F344),+'R4 Variations'!F344*LU_Escalation,0)</f>
        <v>0</v>
      </c>
      <c r="G344" s="491">
        <f ca="1">IF(ISNUMBER('R4 Variations'!G344),+'R4 Variations'!G344*LU_Escalation,0)</f>
        <v>0</v>
      </c>
      <c r="H344" s="491">
        <f ca="1">IF(ISNUMBER('R4 Variations'!H344),+'R4 Variations'!H344*LU_Escalation,0)</f>
        <v>0</v>
      </c>
      <c r="I344" s="491">
        <f ca="1">IF(ISNUMBER('R4 Variations'!I344),+'R4 Variations'!I344*LU_Escalation,0)</f>
        <v>0</v>
      </c>
      <c r="J344" s="491">
        <f ca="1">IF(ISNUMBER('R4 Variations'!J344),+'R4 Variations'!J344*LU_Escalation,0)</f>
        <v>0</v>
      </c>
      <c r="K344" s="491">
        <f ca="1">IF(ISNUMBER('R4 Variations'!K344),+'R4 Variations'!K344*LU_Escalation,0)</f>
        <v>0</v>
      </c>
      <c r="L344" s="515" t="str">
        <f ca="1">+'R4 Variations'!L344</f>
        <v/>
      </c>
      <c r="M344" s="450" t="str">
        <f ca="1">+'R4 Variations'!M344</f>
        <v/>
      </c>
      <c r="N344" s="450" t="str">
        <f ca="1">+'R4 Variations'!N344</f>
        <v/>
      </c>
    </row>
    <row r="345" spans="1:14">
      <c r="A345" s="5"/>
      <c r="B345" s="249"/>
      <c r="C345" s="384" t="str">
        <f ca="1">+'R4 Variations'!C345</f>
        <v/>
      </c>
      <c r="D345" s="491">
        <f ca="1">IF(ISNUMBER('R4 Variations'!D345),+'R4 Variations'!D345*LU_Escalation,0)</f>
        <v>0</v>
      </c>
      <c r="E345" s="850">
        <f ca="1">IF(ISNUMBER('R4 Variations'!E345),+'R4 Variations'!E345*LU_Escalation,0)</f>
        <v>0</v>
      </c>
      <c r="F345" s="491">
        <f ca="1">IF(ISNUMBER('R4 Variations'!F345),+'R4 Variations'!F345*LU_Escalation,0)</f>
        <v>0</v>
      </c>
      <c r="G345" s="491">
        <f ca="1">IF(ISNUMBER('R4 Variations'!G345),+'R4 Variations'!G345*LU_Escalation,0)</f>
        <v>0</v>
      </c>
      <c r="H345" s="491">
        <f ca="1">IF(ISNUMBER('R4 Variations'!H345),+'R4 Variations'!H345*LU_Escalation,0)</f>
        <v>0</v>
      </c>
      <c r="I345" s="491">
        <f ca="1">IF(ISNUMBER('R4 Variations'!I345),+'R4 Variations'!I345*LU_Escalation,0)</f>
        <v>0</v>
      </c>
      <c r="J345" s="491">
        <f ca="1">IF(ISNUMBER('R4 Variations'!J345),+'R4 Variations'!J345*LU_Escalation,0)</f>
        <v>0</v>
      </c>
      <c r="K345" s="491">
        <f ca="1">IF(ISNUMBER('R4 Variations'!K345),+'R4 Variations'!K345*LU_Escalation,0)</f>
        <v>0</v>
      </c>
      <c r="L345" s="515" t="str">
        <f ca="1">+'R4 Variations'!L345</f>
        <v/>
      </c>
      <c r="M345" s="450" t="str">
        <f ca="1">+'R4 Variations'!M345</f>
        <v/>
      </c>
      <c r="N345" s="450" t="str">
        <f ca="1">+'R4 Variations'!N345</f>
        <v/>
      </c>
    </row>
    <row r="346" spans="1:14">
      <c r="A346" s="5"/>
      <c r="B346" s="249"/>
      <c r="C346" s="384" t="str">
        <f ca="1">+'R4 Variations'!C346</f>
        <v/>
      </c>
      <c r="D346" s="491">
        <f ca="1">IF(ISNUMBER('R4 Variations'!D346),+'R4 Variations'!D346*LU_Escalation,0)</f>
        <v>0</v>
      </c>
      <c r="E346" s="850">
        <f ca="1">IF(ISNUMBER('R4 Variations'!E346),+'R4 Variations'!E346*LU_Escalation,0)</f>
        <v>0</v>
      </c>
      <c r="F346" s="491">
        <f ca="1">IF(ISNUMBER('R4 Variations'!F346),+'R4 Variations'!F346*LU_Escalation,0)</f>
        <v>0</v>
      </c>
      <c r="G346" s="491">
        <f ca="1">IF(ISNUMBER('R4 Variations'!G346),+'R4 Variations'!G346*LU_Escalation,0)</f>
        <v>0</v>
      </c>
      <c r="H346" s="491">
        <f ca="1">IF(ISNUMBER('R4 Variations'!H346),+'R4 Variations'!H346*LU_Escalation,0)</f>
        <v>0</v>
      </c>
      <c r="I346" s="491">
        <f ca="1">IF(ISNUMBER('R4 Variations'!I346),+'R4 Variations'!I346*LU_Escalation,0)</f>
        <v>0</v>
      </c>
      <c r="J346" s="491">
        <f ca="1">IF(ISNUMBER('R4 Variations'!J346),+'R4 Variations'!J346*LU_Escalation,0)</f>
        <v>0</v>
      </c>
      <c r="K346" s="491">
        <f ca="1">IF(ISNUMBER('R4 Variations'!K346),+'R4 Variations'!K346*LU_Escalation,0)</f>
        <v>0</v>
      </c>
      <c r="L346" s="515" t="str">
        <f ca="1">+'R4 Variations'!L346</f>
        <v/>
      </c>
      <c r="M346" s="450" t="str">
        <f ca="1">+'R4 Variations'!M346</f>
        <v/>
      </c>
      <c r="N346" s="450" t="str">
        <f ca="1">+'R4 Variations'!N346</f>
        <v/>
      </c>
    </row>
    <row r="347" spans="1:14">
      <c r="A347" s="5"/>
      <c r="B347" s="249"/>
      <c r="C347" s="384" t="str">
        <f ca="1">+'R4 Variations'!C347</f>
        <v/>
      </c>
      <c r="D347" s="491">
        <f ca="1">IF(ISNUMBER('R4 Variations'!D347),+'R4 Variations'!D347*LU_Escalation,0)</f>
        <v>0</v>
      </c>
      <c r="E347" s="850">
        <f ca="1">IF(ISNUMBER('R4 Variations'!E347),+'R4 Variations'!E347*LU_Escalation,0)</f>
        <v>0</v>
      </c>
      <c r="F347" s="491">
        <f ca="1">IF(ISNUMBER('R4 Variations'!F347),+'R4 Variations'!F347*LU_Escalation,0)</f>
        <v>0</v>
      </c>
      <c r="G347" s="491">
        <f ca="1">IF(ISNUMBER('R4 Variations'!G347),+'R4 Variations'!G347*LU_Escalation,0)</f>
        <v>0</v>
      </c>
      <c r="H347" s="491">
        <f ca="1">IF(ISNUMBER('R4 Variations'!H347),+'R4 Variations'!H347*LU_Escalation,0)</f>
        <v>0</v>
      </c>
      <c r="I347" s="491">
        <f ca="1">IF(ISNUMBER('R4 Variations'!I347),+'R4 Variations'!I347*LU_Escalation,0)</f>
        <v>0</v>
      </c>
      <c r="J347" s="491">
        <f ca="1">IF(ISNUMBER('R4 Variations'!J347),+'R4 Variations'!J347*LU_Escalation,0)</f>
        <v>0</v>
      </c>
      <c r="K347" s="491">
        <f ca="1">IF(ISNUMBER('R4 Variations'!K347),+'R4 Variations'!K347*LU_Escalation,0)</f>
        <v>0</v>
      </c>
      <c r="L347" s="515" t="str">
        <f ca="1">+'R4 Variations'!L347</f>
        <v/>
      </c>
      <c r="M347" s="450" t="str">
        <f ca="1">+'R4 Variations'!M347</f>
        <v/>
      </c>
      <c r="N347" s="450" t="str">
        <f ca="1">+'R4 Variations'!N347</f>
        <v/>
      </c>
    </row>
    <row r="348" spans="1:14">
      <c r="A348" s="5"/>
      <c r="B348" s="249"/>
      <c r="C348" s="384" t="str">
        <f ca="1">+'R4 Variations'!C348</f>
        <v/>
      </c>
      <c r="D348" s="491">
        <f ca="1">IF(ISNUMBER('R4 Variations'!D348),+'R4 Variations'!D348*LU_Escalation,0)</f>
        <v>0</v>
      </c>
      <c r="E348" s="850">
        <f ca="1">IF(ISNUMBER('R4 Variations'!E348),+'R4 Variations'!E348*LU_Escalation,0)</f>
        <v>0</v>
      </c>
      <c r="F348" s="491">
        <f ca="1">IF(ISNUMBER('R4 Variations'!F348),+'R4 Variations'!F348*LU_Escalation,0)</f>
        <v>0</v>
      </c>
      <c r="G348" s="491">
        <f ca="1">IF(ISNUMBER('R4 Variations'!G348),+'R4 Variations'!G348*LU_Escalation,0)</f>
        <v>0</v>
      </c>
      <c r="H348" s="491">
        <f ca="1">IF(ISNUMBER('R4 Variations'!H348),+'R4 Variations'!H348*LU_Escalation,0)</f>
        <v>0</v>
      </c>
      <c r="I348" s="491">
        <f ca="1">IF(ISNUMBER('R4 Variations'!I348),+'R4 Variations'!I348*LU_Escalation,0)</f>
        <v>0</v>
      </c>
      <c r="J348" s="491">
        <f ca="1">IF(ISNUMBER('R4 Variations'!J348),+'R4 Variations'!J348*LU_Escalation,0)</f>
        <v>0</v>
      </c>
      <c r="K348" s="491">
        <f ca="1">IF(ISNUMBER('R4 Variations'!K348),+'R4 Variations'!K348*LU_Escalation,0)</f>
        <v>0</v>
      </c>
      <c r="L348" s="515" t="str">
        <f ca="1">+'R4 Variations'!L348</f>
        <v/>
      </c>
      <c r="M348" s="450" t="str">
        <f ca="1">+'R4 Variations'!M348</f>
        <v/>
      </c>
      <c r="N348" s="450" t="str">
        <f ca="1">+'R4 Variations'!N348</f>
        <v/>
      </c>
    </row>
    <row r="349" spans="1:14" ht="17.25" customHeight="1" thickBot="1">
      <c r="A349" s="5"/>
      <c r="B349" s="250"/>
      <c r="C349" s="269" t="str">
        <f>CONCATENATE("Total ", +C301)</f>
        <v>Total Office of the CEO</v>
      </c>
      <c r="D349" s="491">
        <f t="shared" ref="D349:K349" ca="1" si="3">SUBTOTAL(9,D303:D347)</f>
        <v>0</v>
      </c>
      <c r="E349" s="508">
        <f t="shared" ca="1" si="3"/>
        <v>0</v>
      </c>
      <c r="F349" s="491">
        <f t="shared" ca="1" si="3"/>
        <v>0</v>
      </c>
      <c r="G349" s="492">
        <f t="shared" ca="1" si="3"/>
        <v>3.1911268846153851</v>
      </c>
      <c r="H349" s="492">
        <f t="shared" ca="1" si="3"/>
        <v>2.2969497692307694</v>
      </c>
      <c r="I349" s="492">
        <f t="shared" ca="1" si="3"/>
        <v>2.219419961538462</v>
      </c>
      <c r="J349" s="492">
        <f t="shared" ca="1" si="3"/>
        <v>2.0033702307692312</v>
      </c>
      <c r="K349" s="508">
        <f t="shared" ca="1" si="3"/>
        <v>2.2452632307692313</v>
      </c>
      <c r="L349" s="515"/>
      <c r="M349" s="450"/>
      <c r="N349" s="450"/>
    </row>
    <row r="350" spans="1:14" ht="18">
      <c r="B350" s="251"/>
      <c r="C350" s="254" t="str">
        <f>+'I-3 Allocated'!A9</f>
        <v>Regulation and Company Secretary</v>
      </c>
      <c r="D350" s="332"/>
      <c r="E350" s="499"/>
      <c r="F350" s="332"/>
      <c r="G350" s="332"/>
      <c r="H350" s="332"/>
      <c r="I350" s="332"/>
      <c r="J350" s="332"/>
      <c r="K350" s="499"/>
      <c r="L350" s="515"/>
      <c r="M350" s="450"/>
      <c r="N350" s="450"/>
    </row>
    <row r="351" spans="1:14" ht="25.5">
      <c r="A351" s="5"/>
      <c r="B351" s="249" t="str">
        <f ca="1">+'I-4 History'!B264</f>
        <v>A-5</v>
      </c>
      <c r="C351" s="14" t="str">
        <f ca="1">+'I-4 History'!C264</f>
        <v>General Manager Regulation &amp; Company Secretary</v>
      </c>
      <c r="D351" s="491"/>
      <c r="E351" s="508"/>
      <c r="F351" s="491"/>
      <c r="G351" s="492"/>
      <c r="H351" s="492"/>
      <c r="I351" s="492"/>
      <c r="J351" s="492"/>
      <c r="K351" s="508"/>
      <c r="L351" s="515"/>
      <c r="M351" s="450"/>
      <c r="N351" s="450"/>
    </row>
    <row r="352" spans="1:14">
      <c r="A352" s="5"/>
      <c r="B352" s="249"/>
      <c r="C352" s="384" t="str">
        <f ca="1">+'R4 Variations'!C352</f>
        <v>Step Change</v>
      </c>
      <c r="D352" s="491">
        <f ca="1">IF(ISNUMBER('R4 Variations'!D352),+'R4 Variations'!D352*LU_Escalation,0)</f>
        <v>0</v>
      </c>
      <c r="E352" s="850">
        <f ca="1">IF(ISNUMBER('R4 Variations'!E352),+'R4 Variations'!E352*LU_Escalation,0)</f>
        <v>0</v>
      </c>
      <c r="F352" s="491">
        <f ca="1">IF(ISNUMBER('R4 Variations'!F352),+'R4 Variations'!F352*LU_Escalation,0)</f>
        <v>0</v>
      </c>
      <c r="G352" s="491">
        <f ca="1">IF(ISNUMBER('R4 Variations'!G352),+'R4 Variations'!G352*LU_Escalation,0)</f>
        <v>0</v>
      </c>
      <c r="H352" s="491">
        <f ca="1">IF(ISNUMBER('R4 Variations'!H352),+'R4 Variations'!H352*LU_Escalation,0)</f>
        <v>0</v>
      </c>
      <c r="I352" s="491">
        <f ca="1">IF(ISNUMBER('R4 Variations'!I352),+'R4 Variations'!I352*LU_Escalation,0)</f>
        <v>0</v>
      </c>
      <c r="J352" s="491">
        <f ca="1">IF(ISNUMBER('R4 Variations'!J352),+'R4 Variations'!J352*LU_Escalation,0)</f>
        <v>0</v>
      </c>
      <c r="K352" s="491">
        <f ca="1">IF(ISNUMBER('R4 Variations'!K352),+'R4 Variations'!K352*LU_Escalation,0)</f>
        <v>0</v>
      </c>
      <c r="L352" s="515" t="str">
        <f ca="1">+'R4 Variations'!L352</f>
        <v>Proposal Step Change</v>
      </c>
      <c r="M352" s="450" t="str">
        <f ca="1">+'R4 Variations'!M352</f>
        <v>Refer Opex Workings</v>
      </c>
      <c r="N352" s="450" t="str">
        <f ca="1">+'R4 Variations'!N352</f>
        <v>Proposal, October 2014</v>
      </c>
    </row>
    <row r="353" spans="1:14">
      <c r="A353" s="5"/>
      <c r="B353" s="249"/>
      <c r="C353" s="384" t="str">
        <f ca="1">+'R4 Variations'!C353</f>
        <v/>
      </c>
      <c r="D353" s="491">
        <f ca="1">IF(ISNUMBER('R4 Variations'!D353),+'R4 Variations'!D353*LU_Escalation,0)</f>
        <v>0</v>
      </c>
      <c r="E353" s="850">
        <f ca="1">IF(ISNUMBER('R4 Variations'!E353),+'R4 Variations'!E353*LU_Escalation,0)</f>
        <v>0</v>
      </c>
      <c r="F353" s="491">
        <f ca="1">IF(ISNUMBER('R4 Variations'!F353),+'R4 Variations'!F353*LU_Escalation,0)</f>
        <v>0</v>
      </c>
      <c r="G353" s="491">
        <f ca="1">IF(ISNUMBER('R4 Variations'!G353),+'R4 Variations'!G353*LU_Escalation,0)</f>
        <v>0</v>
      </c>
      <c r="H353" s="491">
        <f ca="1">IF(ISNUMBER('R4 Variations'!H353),+'R4 Variations'!H353*LU_Escalation,0)</f>
        <v>0</v>
      </c>
      <c r="I353" s="491">
        <f ca="1">IF(ISNUMBER('R4 Variations'!I353),+'R4 Variations'!I353*LU_Escalation,0)</f>
        <v>0</v>
      </c>
      <c r="J353" s="491">
        <f ca="1">IF(ISNUMBER('R4 Variations'!J353),+'R4 Variations'!J353*LU_Escalation,0)</f>
        <v>0</v>
      </c>
      <c r="K353" s="491">
        <f ca="1">IF(ISNUMBER('R4 Variations'!K353),+'R4 Variations'!K353*LU_Escalation,0)</f>
        <v>0</v>
      </c>
      <c r="L353" s="515" t="str">
        <f ca="1">+'R4 Variations'!L353</f>
        <v/>
      </c>
      <c r="M353" s="450" t="str">
        <f ca="1">+'R4 Variations'!M353</f>
        <v/>
      </c>
      <c r="N353" s="450" t="str">
        <f ca="1">+'R4 Variations'!N353</f>
        <v/>
      </c>
    </row>
    <row r="354" spans="1:14">
      <c r="A354" s="5"/>
      <c r="B354" s="249"/>
      <c r="C354" s="384" t="str">
        <f ca="1">+'R4 Variations'!C354</f>
        <v/>
      </c>
      <c r="D354" s="491">
        <f ca="1">IF(ISNUMBER('R4 Variations'!D354),+'R4 Variations'!D354*LU_Escalation,0)</f>
        <v>0</v>
      </c>
      <c r="E354" s="850">
        <f ca="1">IF(ISNUMBER('R4 Variations'!E354),+'R4 Variations'!E354*LU_Escalation,0)</f>
        <v>0</v>
      </c>
      <c r="F354" s="491">
        <f ca="1">IF(ISNUMBER('R4 Variations'!F354),+'R4 Variations'!F354*LU_Escalation,0)</f>
        <v>0</v>
      </c>
      <c r="G354" s="491">
        <f ca="1">IF(ISNUMBER('R4 Variations'!G354),+'R4 Variations'!G354*LU_Escalation,0)</f>
        <v>0</v>
      </c>
      <c r="H354" s="491">
        <f ca="1">IF(ISNUMBER('R4 Variations'!H354),+'R4 Variations'!H354*LU_Escalation,0)</f>
        <v>0</v>
      </c>
      <c r="I354" s="491">
        <f ca="1">IF(ISNUMBER('R4 Variations'!I354),+'R4 Variations'!I354*LU_Escalation,0)</f>
        <v>0</v>
      </c>
      <c r="J354" s="491">
        <f ca="1">IF(ISNUMBER('R4 Variations'!J354),+'R4 Variations'!J354*LU_Escalation,0)</f>
        <v>0</v>
      </c>
      <c r="K354" s="491">
        <f ca="1">IF(ISNUMBER('R4 Variations'!K354),+'R4 Variations'!K354*LU_Escalation,0)</f>
        <v>0</v>
      </c>
      <c r="L354" s="515" t="str">
        <f ca="1">+'R4 Variations'!L354</f>
        <v/>
      </c>
      <c r="M354" s="450" t="str">
        <f ca="1">+'R4 Variations'!M354</f>
        <v/>
      </c>
      <c r="N354" s="450" t="str">
        <f ca="1">+'R4 Variations'!N354</f>
        <v/>
      </c>
    </row>
    <row r="355" spans="1:14">
      <c r="A355" s="5"/>
      <c r="B355" s="249"/>
      <c r="C355" s="384" t="str">
        <f ca="1">+'R4 Variations'!C355</f>
        <v/>
      </c>
      <c r="D355" s="491">
        <f ca="1">IF(ISNUMBER('R4 Variations'!D355),+'R4 Variations'!D355*LU_Escalation,0)</f>
        <v>0</v>
      </c>
      <c r="E355" s="850">
        <f ca="1">IF(ISNUMBER('R4 Variations'!E355),+'R4 Variations'!E355*LU_Escalation,0)</f>
        <v>0</v>
      </c>
      <c r="F355" s="491">
        <f ca="1">IF(ISNUMBER('R4 Variations'!F355),+'R4 Variations'!F355*LU_Escalation,0)</f>
        <v>0</v>
      </c>
      <c r="G355" s="491">
        <f ca="1">IF(ISNUMBER('R4 Variations'!G355),+'R4 Variations'!G355*LU_Escalation,0)</f>
        <v>0</v>
      </c>
      <c r="H355" s="491">
        <f ca="1">IF(ISNUMBER('R4 Variations'!H355),+'R4 Variations'!H355*LU_Escalation,0)</f>
        <v>0</v>
      </c>
      <c r="I355" s="491">
        <f ca="1">IF(ISNUMBER('R4 Variations'!I355),+'R4 Variations'!I355*LU_Escalation,0)</f>
        <v>0</v>
      </c>
      <c r="J355" s="491">
        <f ca="1">IF(ISNUMBER('R4 Variations'!J355),+'R4 Variations'!J355*LU_Escalation,0)</f>
        <v>0</v>
      </c>
      <c r="K355" s="491">
        <f ca="1">IF(ISNUMBER('R4 Variations'!K355),+'R4 Variations'!K355*LU_Escalation,0)</f>
        <v>0</v>
      </c>
      <c r="L355" s="515" t="str">
        <f ca="1">+'R4 Variations'!L355</f>
        <v/>
      </c>
      <c r="M355" s="450" t="str">
        <f ca="1">+'R4 Variations'!M355</f>
        <v/>
      </c>
      <c r="N355" s="450" t="str">
        <f ca="1">+'R4 Variations'!N355</f>
        <v/>
      </c>
    </row>
    <row r="356" spans="1:14">
      <c r="A356" s="5"/>
      <c r="B356" s="249"/>
      <c r="C356" s="384" t="str">
        <f ca="1">+'R4 Variations'!C356</f>
        <v/>
      </c>
      <c r="D356" s="491">
        <f ca="1">IF(ISNUMBER('R4 Variations'!D356),+'R4 Variations'!D356*LU_Escalation,0)</f>
        <v>0</v>
      </c>
      <c r="E356" s="850">
        <f ca="1">IF(ISNUMBER('R4 Variations'!E356),+'R4 Variations'!E356*LU_Escalation,0)</f>
        <v>0</v>
      </c>
      <c r="F356" s="491">
        <f ca="1">IF(ISNUMBER('R4 Variations'!F356),+'R4 Variations'!F356*LU_Escalation,0)</f>
        <v>0</v>
      </c>
      <c r="G356" s="491">
        <f ca="1">IF(ISNUMBER('R4 Variations'!G356),+'R4 Variations'!G356*LU_Escalation,0)</f>
        <v>0</v>
      </c>
      <c r="H356" s="491">
        <f ca="1">IF(ISNUMBER('R4 Variations'!H356),+'R4 Variations'!H356*LU_Escalation,0)</f>
        <v>0</v>
      </c>
      <c r="I356" s="491">
        <f ca="1">IF(ISNUMBER('R4 Variations'!I356),+'R4 Variations'!I356*LU_Escalation,0)</f>
        <v>0</v>
      </c>
      <c r="J356" s="491">
        <f ca="1">IF(ISNUMBER('R4 Variations'!J356),+'R4 Variations'!J356*LU_Escalation,0)</f>
        <v>0</v>
      </c>
      <c r="K356" s="491">
        <f ca="1">IF(ISNUMBER('R4 Variations'!K356),+'R4 Variations'!K356*LU_Escalation,0)</f>
        <v>0</v>
      </c>
      <c r="L356" s="515" t="str">
        <f ca="1">+'R4 Variations'!L356</f>
        <v/>
      </c>
      <c r="M356" s="450" t="str">
        <f ca="1">+'R4 Variations'!M356</f>
        <v/>
      </c>
      <c r="N356" s="450" t="str">
        <f ca="1">+'R4 Variations'!N356</f>
        <v/>
      </c>
    </row>
    <row r="357" spans="1:14">
      <c r="A357" s="5"/>
      <c r="B357" s="249"/>
      <c r="C357" s="384" t="str">
        <f ca="1">+'R4 Variations'!C357</f>
        <v/>
      </c>
      <c r="D357" s="491">
        <f ca="1">IF(ISNUMBER('R4 Variations'!D357),+'R4 Variations'!D357*LU_Escalation,0)</f>
        <v>0</v>
      </c>
      <c r="E357" s="850">
        <f ca="1">IF(ISNUMBER('R4 Variations'!E357),+'R4 Variations'!E357*LU_Escalation,0)</f>
        <v>0</v>
      </c>
      <c r="F357" s="491">
        <f ca="1">IF(ISNUMBER('R4 Variations'!F357),+'R4 Variations'!F357*LU_Escalation,0)</f>
        <v>0</v>
      </c>
      <c r="G357" s="491">
        <f ca="1">IF(ISNUMBER('R4 Variations'!G357),+'R4 Variations'!G357*LU_Escalation,0)</f>
        <v>0</v>
      </c>
      <c r="H357" s="491">
        <f ca="1">IF(ISNUMBER('R4 Variations'!H357),+'R4 Variations'!H357*LU_Escalation,0)</f>
        <v>0</v>
      </c>
      <c r="I357" s="491">
        <f ca="1">IF(ISNUMBER('R4 Variations'!I357),+'R4 Variations'!I357*LU_Escalation,0)</f>
        <v>0</v>
      </c>
      <c r="J357" s="491">
        <f ca="1">IF(ISNUMBER('R4 Variations'!J357),+'R4 Variations'!J357*LU_Escalation,0)</f>
        <v>0</v>
      </c>
      <c r="K357" s="491">
        <f ca="1">IF(ISNUMBER('R4 Variations'!K357),+'R4 Variations'!K357*LU_Escalation,0)</f>
        <v>0</v>
      </c>
      <c r="L357" s="515" t="str">
        <f ca="1">+'R4 Variations'!L357</f>
        <v/>
      </c>
      <c r="M357" s="450" t="str">
        <f ca="1">+'R4 Variations'!M357</f>
        <v/>
      </c>
      <c r="N357" s="450" t="str">
        <f ca="1">+'R4 Variations'!N357</f>
        <v/>
      </c>
    </row>
    <row r="358" spans="1:14">
      <c r="A358" s="5"/>
      <c r="B358" s="249"/>
      <c r="C358" s="384" t="str">
        <f ca="1">+'R4 Variations'!C358</f>
        <v/>
      </c>
      <c r="D358" s="491">
        <f ca="1">IF(ISNUMBER('R4 Variations'!D358),+'R4 Variations'!D358*LU_Escalation,0)</f>
        <v>0</v>
      </c>
      <c r="E358" s="850">
        <f ca="1">IF(ISNUMBER('R4 Variations'!E358),+'R4 Variations'!E358*LU_Escalation,0)</f>
        <v>0</v>
      </c>
      <c r="F358" s="491">
        <f ca="1">IF(ISNUMBER('R4 Variations'!F358),+'R4 Variations'!F358*LU_Escalation,0)</f>
        <v>0</v>
      </c>
      <c r="G358" s="491">
        <f ca="1">IF(ISNUMBER('R4 Variations'!G358),+'R4 Variations'!G358*LU_Escalation,0)</f>
        <v>0</v>
      </c>
      <c r="H358" s="491">
        <f ca="1">IF(ISNUMBER('R4 Variations'!H358),+'R4 Variations'!H358*LU_Escalation,0)</f>
        <v>0</v>
      </c>
      <c r="I358" s="491">
        <f ca="1">IF(ISNUMBER('R4 Variations'!I358),+'R4 Variations'!I358*LU_Escalation,0)</f>
        <v>0</v>
      </c>
      <c r="J358" s="491">
        <f ca="1">IF(ISNUMBER('R4 Variations'!J358),+'R4 Variations'!J358*LU_Escalation,0)</f>
        <v>0</v>
      </c>
      <c r="K358" s="491">
        <f ca="1">IF(ISNUMBER('R4 Variations'!K358),+'R4 Variations'!K358*LU_Escalation,0)</f>
        <v>0</v>
      </c>
      <c r="L358" s="515" t="str">
        <f ca="1">+'R4 Variations'!L358</f>
        <v/>
      </c>
      <c r="M358" s="450" t="str">
        <f ca="1">+'R4 Variations'!M358</f>
        <v/>
      </c>
      <c r="N358" s="450" t="str">
        <f ca="1">+'R4 Variations'!N358</f>
        <v/>
      </c>
    </row>
    <row r="359" spans="1:14">
      <c r="A359" s="5"/>
      <c r="B359" s="249"/>
      <c r="C359" s="384" t="str">
        <f ca="1">+'R4 Variations'!C359</f>
        <v/>
      </c>
      <c r="D359" s="491">
        <f ca="1">IF(ISNUMBER('R4 Variations'!D359),+'R4 Variations'!D359*LU_Escalation,0)</f>
        <v>0</v>
      </c>
      <c r="E359" s="850">
        <f ca="1">IF(ISNUMBER('R4 Variations'!E359),+'R4 Variations'!E359*LU_Escalation,0)</f>
        <v>0</v>
      </c>
      <c r="F359" s="491">
        <f ca="1">IF(ISNUMBER('R4 Variations'!F359),+'R4 Variations'!F359*LU_Escalation,0)</f>
        <v>0</v>
      </c>
      <c r="G359" s="491">
        <f ca="1">IF(ISNUMBER('R4 Variations'!G359),+'R4 Variations'!G359*LU_Escalation,0)</f>
        <v>0</v>
      </c>
      <c r="H359" s="491">
        <f ca="1">IF(ISNUMBER('R4 Variations'!H359),+'R4 Variations'!H359*LU_Escalation,0)</f>
        <v>0</v>
      </c>
      <c r="I359" s="491">
        <f ca="1">IF(ISNUMBER('R4 Variations'!I359),+'R4 Variations'!I359*LU_Escalation,0)</f>
        <v>0</v>
      </c>
      <c r="J359" s="491">
        <f ca="1">IF(ISNUMBER('R4 Variations'!J359),+'R4 Variations'!J359*LU_Escalation,0)</f>
        <v>0</v>
      </c>
      <c r="K359" s="491">
        <f ca="1">IF(ISNUMBER('R4 Variations'!K359),+'R4 Variations'!K359*LU_Escalation,0)</f>
        <v>0</v>
      </c>
      <c r="L359" s="515" t="str">
        <f ca="1">+'R4 Variations'!L359</f>
        <v/>
      </c>
      <c r="M359" s="450" t="str">
        <f ca="1">+'R4 Variations'!M359</f>
        <v/>
      </c>
      <c r="N359" s="450" t="str">
        <f ca="1">+'R4 Variations'!N359</f>
        <v/>
      </c>
    </row>
    <row r="360" spans="1:14">
      <c r="A360" s="5"/>
      <c r="B360" s="249"/>
      <c r="C360" s="384" t="str">
        <f ca="1">+'R4 Variations'!C360</f>
        <v/>
      </c>
      <c r="D360" s="491">
        <f ca="1">IF(ISNUMBER('R4 Variations'!D360),+'R4 Variations'!D360*LU_Escalation,0)</f>
        <v>0</v>
      </c>
      <c r="E360" s="850">
        <f ca="1">IF(ISNUMBER('R4 Variations'!E360),+'R4 Variations'!E360*LU_Escalation,0)</f>
        <v>0</v>
      </c>
      <c r="F360" s="491">
        <f ca="1">IF(ISNUMBER('R4 Variations'!F360),+'R4 Variations'!F360*LU_Escalation,0)</f>
        <v>0</v>
      </c>
      <c r="G360" s="491">
        <f ca="1">IF(ISNUMBER('R4 Variations'!G360),+'R4 Variations'!G360*LU_Escalation,0)</f>
        <v>0</v>
      </c>
      <c r="H360" s="491">
        <f ca="1">IF(ISNUMBER('R4 Variations'!H360),+'R4 Variations'!H360*LU_Escalation,0)</f>
        <v>0</v>
      </c>
      <c r="I360" s="491">
        <f ca="1">IF(ISNUMBER('R4 Variations'!I360),+'R4 Variations'!I360*LU_Escalation,0)</f>
        <v>0</v>
      </c>
      <c r="J360" s="491">
        <f ca="1">IF(ISNUMBER('R4 Variations'!J360),+'R4 Variations'!J360*LU_Escalation,0)</f>
        <v>0</v>
      </c>
      <c r="K360" s="491">
        <f ca="1">IF(ISNUMBER('R4 Variations'!K360),+'R4 Variations'!K360*LU_Escalation,0)</f>
        <v>0</v>
      </c>
      <c r="L360" s="515" t="str">
        <f ca="1">+'R4 Variations'!L360</f>
        <v/>
      </c>
      <c r="M360" s="450" t="str">
        <f ca="1">+'R4 Variations'!M360</f>
        <v/>
      </c>
      <c r="N360" s="450" t="str">
        <f ca="1">+'R4 Variations'!N360</f>
        <v/>
      </c>
    </row>
    <row r="361" spans="1:14">
      <c r="A361" s="5"/>
      <c r="B361" s="249"/>
      <c r="C361" s="384" t="str">
        <f ca="1">+'R4 Variations'!C361</f>
        <v/>
      </c>
      <c r="D361" s="491">
        <f ca="1">IF(ISNUMBER('R4 Variations'!D361),+'R4 Variations'!D361*LU_Escalation,0)</f>
        <v>0</v>
      </c>
      <c r="E361" s="850">
        <f ca="1">IF(ISNUMBER('R4 Variations'!E361),+'R4 Variations'!E361*LU_Escalation,0)</f>
        <v>0</v>
      </c>
      <c r="F361" s="491">
        <f ca="1">IF(ISNUMBER('R4 Variations'!F361),+'R4 Variations'!F361*LU_Escalation,0)</f>
        <v>0</v>
      </c>
      <c r="G361" s="491">
        <f ca="1">IF(ISNUMBER('R4 Variations'!G361),+'R4 Variations'!G361*LU_Escalation,0)</f>
        <v>0</v>
      </c>
      <c r="H361" s="491">
        <f ca="1">IF(ISNUMBER('R4 Variations'!H361),+'R4 Variations'!H361*LU_Escalation,0)</f>
        <v>0</v>
      </c>
      <c r="I361" s="491">
        <f ca="1">IF(ISNUMBER('R4 Variations'!I361),+'R4 Variations'!I361*LU_Escalation,0)</f>
        <v>0</v>
      </c>
      <c r="J361" s="491">
        <f ca="1">IF(ISNUMBER('R4 Variations'!J361),+'R4 Variations'!J361*LU_Escalation,0)</f>
        <v>0</v>
      </c>
      <c r="K361" s="491">
        <f ca="1">IF(ISNUMBER('R4 Variations'!K361),+'R4 Variations'!K361*LU_Escalation,0)</f>
        <v>0</v>
      </c>
      <c r="L361" s="515" t="str">
        <f ca="1">+'R4 Variations'!L361</f>
        <v/>
      </c>
      <c r="M361" s="450" t="str">
        <f ca="1">+'R4 Variations'!M361</f>
        <v/>
      </c>
      <c r="N361" s="450" t="str">
        <f ca="1">+'R4 Variations'!N361</f>
        <v/>
      </c>
    </row>
    <row r="362" spans="1:14">
      <c r="A362" s="5"/>
      <c r="B362" s="249"/>
      <c r="C362" s="14"/>
      <c r="D362" s="491"/>
      <c r="E362" s="508"/>
      <c r="F362" s="491"/>
      <c r="G362" s="492"/>
      <c r="H362" s="492"/>
      <c r="I362" s="492"/>
      <c r="J362" s="492"/>
      <c r="K362" s="508"/>
      <c r="L362" s="515"/>
      <c r="M362" s="450"/>
      <c r="N362" s="450"/>
    </row>
    <row r="363" spans="1:14">
      <c r="A363" s="5"/>
      <c r="B363" s="249" t="str">
        <f ca="1">+'I-4 History'!B273</f>
        <v>A-6</v>
      </c>
      <c r="C363" s="14" t="str">
        <f ca="1">+'I-4 History'!C273</f>
        <v>Regulation</v>
      </c>
      <c r="D363" s="491"/>
      <c r="E363" s="508"/>
      <c r="F363" s="491"/>
      <c r="G363" s="492"/>
      <c r="H363" s="492"/>
      <c r="I363" s="492"/>
      <c r="J363" s="492"/>
      <c r="K363" s="508"/>
      <c r="L363" s="515"/>
      <c r="M363" s="450"/>
      <c r="N363" s="450"/>
    </row>
    <row r="364" spans="1:14">
      <c r="A364" s="5"/>
      <c r="B364" s="249"/>
      <c r="C364" s="384" t="str">
        <f ca="1">+'R4 Variations'!C364</f>
        <v>Step Change</v>
      </c>
      <c r="D364" s="491">
        <f ca="1">IF(ISNUMBER('R4 Variations'!D364),+'R4 Variations'!D364*LU_Escalation,0)</f>
        <v>0</v>
      </c>
      <c r="E364" s="850">
        <f ca="1">IF(ISNUMBER('R4 Variations'!E364),+'R4 Variations'!E364*LU_Escalation,0)</f>
        <v>0</v>
      </c>
      <c r="F364" s="491">
        <f ca="1">IF(ISNUMBER('R4 Variations'!F364),+'R4 Variations'!F364*LU_Escalation,0)</f>
        <v>0</v>
      </c>
      <c r="G364" s="491">
        <f ca="1">IF(ISNUMBER('R4 Variations'!G364),+'R4 Variations'!G364*LU_Escalation,0)</f>
        <v>0</v>
      </c>
      <c r="H364" s="491">
        <f ca="1">IF(ISNUMBER('R4 Variations'!H364),+'R4 Variations'!H364*LU_Escalation,0)</f>
        <v>0</v>
      </c>
      <c r="I364" s="491">
        <f ca="1">IF(ISNUMBER('R4 Variations'!I364),+'R4 Variations'!I364*LU_Escalation,0)</f>
        <v>1.1712169615384618</v>
      </c>
      <c r="J364" s="491">
        <f ca="1">IF(ISNUMBER('R4 Variations'!J364),+'R4 Variations'!J364*LU_Escalation,0)</f>
        <v>1.1712169615384618</v>
      </c>
      <c r="K364" s="491">
        <f ca="1">IF(ISNUMBER('R4 Variations'!K364),+'R4 Variations'!K364*LU_Escalation,0)</f>
        <v>1.1712169615384618</v>
      </c>
      <c r="L364" s="515" t="str">
        <f ca="1">+'R4 Variations'!L364</f>
        <v>Proposal Step Change</v>
      </c>
      <c r="M364" s="450" t="str">
        <f ca="1">+'R4 Variations'!M364</f>
        <v>Refer Opex Workings</v>
      </c>
      <c r="N364" s="450" t="str">
        <f ca="1">+'R4 Variations'!N364</f>
        <v>Proposal, October 2014</v>
      </c>
    </row>
    <row r="365" spans="1:14">
      <c r="A365" s="5"/>
      <c r="B365" s="249"/>
      <c r="C365" s="384" t="str">
        <f ca="1">+'R4 Variations'!C365</f>
        <v/>
      </c>
      <c r="D365" s="491">
        <f ca="1">IF(ISNUMBER('R4 Variations'!D365),+'R4 Variations'!D365*LU_Escalation,0)</f>
        <v>0</v>
      </c>
      <c r="E365" s="850">
        <f ca="1">IF(ISNUMBER('R4 Variations'!E365),+'R4 Variations'!E365*LU_Escalation,0)</f>
        <v>0</v>
      </c>
      <c r="F365" s="491">
        <f ca="1">IF(ISNUMBER('R4 Variations'!F365),+'R4 Variations'!F365*LU_Escalation,0)</f>
        <v>0</v>
      </c>
      <c r="G365" s="491">
        <f ca="1">IF(ISNUMBER('R4 Variations'!G365),+'R4 Variations'!G365*LU_Escalation,0)</f>
        <v>0</v>
      </c>
      <c r="H365" s="491">
        <f ca="1">IF(ISNUMBER('R4 Variations'!H365),+'R4 Variations'!H365*LU_Escalation,0)</f>
        <v>0</v>
      </c>
      <c r="I365" s="491">
        <f ca="1">IF(ISNUMBER('R4 Variations'!I365),+'R4 Variations'!I365*LU_Escalation,0)</f>
        <v>0</v>
      </c>
      <c r="J365" s="491">
        <f ca="1">IF(ISNUMBER('R4 Variations'!J365),+'R4 Variations'!J365*LU_Escalation,0)</f>
        <v>0</v>
      </c>
      <c r="K365" s="491">
        <f ca="1">IF(ISNUMBER('R4 Variations'!K365),+'R4 Variations'!K365*LU_Escalation,0)</f>
        <v>0</v>
      </c>
      <c r="L365" s="515" t="str">
        <f ca="1">+'R4 Variations'!L365</f>
        <v/>
      </c>
      <c r="M365" s="450" t="str">
        <f ca="1">+'R4 Variations'!M365</f>
        <v/>
      </c>
      <c r="N365" s="450" t="str">
        <f ca="1">+'R4 Variations'!N365</f>
        <v/>
      </c>
    </row>
    <row r="366" spans="1:14">
      <c r="A366" s="5"/>
      <c r="B366" s="249"/>
      <c r="C366" s="384" t="str">
        <f ca="1">+'R4 Variations'!C366</f>
        <v/>
      </c>
      <c r="D366" s="491">
        <f ca="1">IF(ISNUMBER('R4 Variations'!D366),+'R4 Variations'!D366*LU_Escalation,0)</f>
        <v>0</v>
      </c>
      <c r="E366" s="850">
        <f ca="1">IF(ISNUMBER('R4 Variations'!E366),+'R4 Variations'!E366*LU_Escalation,0)</f>
        <v>0</v>
      </c>
      <c r="F366" s="491">
        <f ca="1">IF(ISNUMBER('R4 Variations'!F366),+'R4 Variations'!F366*LU_Escalation,0)</f>
        <v>0</v>
      </c>
      <c r="G366" s="491">
        <f ca="1">IF(ISNUMBER('R4 Variations'!G366),+'R4 Variations'!G366*LU_Escalation,0)</f>
        <v>0</v>
      </c>
      <c r="H366" s="491">
        <f ca="1">IF(ISNUMBER('R4 Variations'!H366),+'R4 Variations'!H366*LU_Escalation,0)</f>
        <v>0</v>
      </c>
      <c r="I366" s="491">
        <f ca="1">IF(ISNUMBER('R4 Variations'!I366),+'R4 Variations'!I366*LU_Escalation,0)</f>
        <v>0</v>
      </c>
      <c r="J366" s="491">
        <f ca="1">IF(ISNUMBER('R4 Variations'!J366),+'R4 Variations'!J366*LU_Escalation,0)</f>
        <v>0</v>
      </c>
      <c r="K366" s="491">
        <f ca="1">IF(ISNUMBER('R4 Variations'!K366),+'R4 Variations'!K366*LU_Escalation,0)</f>
        <v>0</v>
      </c>
      <c r="L366" s="515" t="str">
        <f ca="1">+'R4 Variations'!L366</f>
        <v/>
      </c>
      <c r="M366" s="450" t="str">
        <f ca="1">+'R4 Variations'!M366</f>
        <v/>
      </c>
      <c r="N366" s="450" t="str">
        <f ca="1">+'R4 Variations'!N366</f>
        <v/>
      </c>
    </row>
    <row r="367" spans="1:14">
      <c r="A367" s="5"/>
      <c r="B367" s="249"/>
      <c r="C367" s="384" t="str">
        <f ca="1">+'R4 Variations'!C367</f>
        <v/>
      </c>
      <c r="D367" s="491">
        <f ca="1">IF(ISNUMBER('R4 Variations'!D367),+'R4 Variations'!D367*LU_Escalation,0)</f>
        <v>0</v>
      </c>
      <c r="E367" s="850">
        <f ca="1">IF(ISNUMBER('R4 Variations'!E367),+'R4 Variations'!E367*LU_Escalation,0)</f>
        <v>0</v>
      </c>
      <c r="F367" s="491">
        <f ca="1">IF(ISNUMBER('R4 Variations'!F367),+'R4 Variations'!F367*LU_Escalation,0)</f>
        <v>0</v>
      </c>
      <c r="G367" s="491">
        <f ca="1">IF(ISNUMBER('R4 Variations'!G367),+'R4 Variations'!G367*LU_Escalation,0)</f>
        <v>0</v>
      </c>
      <c r="H367" s="491">
        <f ca="1">IF(ISNUMBER('R4 Variations'!H367),+'R4 Variations'!H367*LU_Escalation,0)</f>
        <v>0</v>
      </c>
      <c r="I367" s="491">
        <f ca="1">IF(ISNUMBER('R4 Variations'!I367),+'R4 Variations'!I367*LU_Escalation,0)</f>
        <v>0</v>
      </c>
      <c r="J367" s="491">
        <f ca="1">IF(ISNUMBER('R4 Variations'!J367),+'R4 Variations'!J367*LU_Escalation,0)</f>
        <v>0</v>
      </c>
      <c r="K367" s="491">
        <f ca="1">IF(ISNUMBER('R4 Variations'!K367),+'R4 Variations'!K367*LU_Escalation,0)</f>
        <v>0</v>
      </c>
      <c r="L367" s="515" t="str">
        <f ca="1">+'R4 Variations'!L367</f>
        <v/>
      </c>
      <c r="M367" s="450" t="str">
        <f ca="1">+'R4 Variations'!M367</f>
        <v/>
      </c>
      <c r="N367" s="450" t="str">
        <f ca="1">+'R4 Variations'!N367</f>
        <v/>
      </c>
    </row>
    <row r="368" spans="1:14">
      <c r="A368" s="5"/>
      <c r="B368" s="249"/>
      <c r="C368" s="384" t="str">
        <f ca="1">+'R4 Variations'!C368</f>
        <v/>
      </c>
      <c r="D368" s="491">
        <f ca="1">IF(ISNUMBER('R4 Variations'!D368),+'R4 Variations'!D368*LU_Escalation,0)</f>
        <v>0</v>
      </c>
      <c r="E368" s="850">
        <f ca="1">IF(ISNUMBER('R4 Variations'!E368),+'R4 Variations'!E368*LU_Escalation,0)</f>
        <v>0</v>
      </c>
      <c r="F368" s="491">
        <f ca="1">IF(ISNUMBER('R4 Variations'!F368),+'R4 Variations'!F368*LU_Escalation,0)</f>
        <v>0</v>
      </c>
      <c r="G368" s="491">
        <f ca="1">IF(ISNUMBER('R4 Variations'!G368),+'R4 Variations'!G368*LU_Escalation,0)</f>
        <v>0</v>
      </c>
      <c r="H368" s="491">
        <f ca="1">IF(ISNUMBER('R4 Variations'!H368),+'R4 Variations'!H368*LU_Escalation,0)</f>
        <v>0</v>
      </c>
      <c r="I368" s="491">
        <f ca="1">IF(ISNUMBER('R4 Variations'!I368),+'R4 Variations'!I368*LU_Escalation,0)</f>
        <v>0</v>
      </c>
      <c r="J368" s="491">
        <f ca="1">IF(ISNUMBER('R4 Variations'!J368),+'R4 Variations'!J368*LU_Escalation,0)</f>
        <v>0</v>
      </c>
      <c r="K368" s="491">
        <f ca="1">IF(ISNUMBER('R4 Variations'!K368),+'R4 Variations'!K368*LU_Escalation,0)</f>
        <v>0</v>
      </c>
      <c r="L368" s="515" t="str">
        <f ca="1">+'R4 Variations'!L368</f>
        <v/>
      </c>
      <c r="M368" s="450" t="str">
        <f ca="1">+'R4 Variations'!M368</f>
        <v/>
      </c>
      <c r="N368" s="450" t="str">
        <f ca="1">+'R4 Variations'!N368</f>
        <v/>
      </c>
    </row>
    <row r="369" spans="1:14">
      <c r="A369" s="5"/>
      <c r="B369" s="249"/>
      <c r="C369" s="384" t="str">
        <f ca="1">+'R4 Variations'!C369</f>
        <v/>
      </c>
      <c r="D369" s="491">
        <f ca="1">IF(ISNUMBER('R4 Variations'!D369),+'R4 Variations'!D369*LU_Escalation,0)</f>
        <v>0</v>
      </c>
      <c r="E369" s="850">
        <f ca="1">IF(ISNUMBER('R4 Variations'!E369),+'R4 Variations'!E369*LU_Escalation,0)</f>
        <v>0</v>
      </c>
      <c r="F369" s="491">
        <f ca="1">IF(ISNUMBER('R4 Variations'!F369),+'R4 Variations'!F369*LU_Escalation,0)</f>
        <v>0</v>
      </c>
      <c r="G369" s="491">
        <f ca="1">IF(ISNUMBER('R4 Variations'!G369),+'R4 Variations'!G369*LU_Escalation,0)</f>
        <v>0</v>
      </c>
      <c r="H369" s="491">
        <f ca="1">IF(ISNUMBER('R4 Variations'!H369),+'R4 Variations'!H369*LU_Escalation,0)</f>
        <v>0</v>
      </c>
      <c r="I369" s="491">
        <f ca="1">IF(ISNUMBER('R4 Variations'!I369),+'R4 Variations'!I369*LU_Escalation,0)</f>
        <v>0</v>
      </c>
      <c r="J369" s="491">
        <f ca="1">IF(ISNUMBER('R4 Variations'!J369),+'R4 Variations'!J369*LU_Escalation,0)</f>
        <v>0</v>
      </c>
      <c r="K369" s="491">
        <f ca="1">IF(ISNUMBER('R4 Variations'!K369),+'R4 Variations'!K369*LU_Escalation,0)</f>
        <v>0</v>
      </c>
      <c r="L369" s="515" t="str">
        <f ca="1">+'R4 Variations'!L369</f>
        <v/>
      </c>
      <c r="M369" s="450" t="str">
        <f ca="1">+'R4 Variations'!M369</f>
        <v/>
      </c>
      <c r="N369" s="450" t="str">
        <f ca="1">+'R4 Variations'!N369</f>
        <v/>
      </c>
    </row>
    <row r="370" spans="1:14">
      <c r="A370" s="5"/>
      <c r="B370" s="249"/>
      <c r="C370" s="384" t="str">
        <f ca="1">+'R4 Variations'!C370</f>
        <v/>
      </c>
      <c r="D370" s="491">
        <f ca="1">IF(ISNUMBER('R4 Variations'!D370),+'R4 Variations'!D370*LU_Escalation,0)</f>
        <v>0</v>
      </c>
      <c r="E370" s="850">
        <f ca="1">IF(ISNUMBER('R4 Variations'!E370),+'R4 Variations'!E370*LU_Escalation,0)</f>
        <v>0</v>
      </c>
      <c r="F370" s="491">
        <f ca="1">IF(ISNUMBER('R4 Variations'!F370),+'R4 Variations'!F370*LU_Escalation,0)</f>
        <v>0</v>
      </c>
      <c r="G370" s="491">
        <f ca="1">IF(ISNUMBER('R4 Variations'!G370),+'R4 Variations'!G370*LU_Escalation,0)</f>
        <v>0</v>
      </c>
      <c r="H370" s="491">
        <f ca="1">IF(ISNUMBER('R4 Variations'!H370),+'R4 Variations'!H370*LU_Escalation,0)</f>
        <v>0</v>
      </c>
      <c r="I370" s="491">
        <f ca="1">IF(ISNUMBER('R4 Variations'!I370),+'R4 Variations'!I370*LU_Escalation,0)</f>
        <v>0</v>
      </c>
      <c r="J370" s="491">
        <f ca="1">IF(ISNUMBER('R4 Variations'!J370),+'R4 Variations'!J370*LU_Escalation,0)</f>
        <v>0</v>
      </c>
      <c r="K370" s="491">
        <f ca="1">IF(ISNUMBER('R4 Variations'!K370),+'R4 Variations'!K370*LU_Escalation,0)</f>
        <v>0</v>
      </c>
      <c r="L370" s="515" t="str">
        <f ca="1">+'R4 Variations'!L370</f>
        <v/>
      </c>
      <c r="M370" s="450" t="str">
        <f ca="1">+'R4 Variations'!M370</f>
        <v/>
      </c>
      <c r="N370" s="450" t="str">
        <f ca="1">+'R4 Variations'!N370</f>
        <v/>
      </c>
    </row>
    <row r="371" spans="1:14">
      <c r="A371" s="5"/>
      <c r="B371" s="249"/>
      <c r="C371" s="384" t="str">
        <f ca="1">+'R4 Variations'!C371</f>
        <v/>
      </c>
      <c r="D371" s="491">
        <f ca="1">IF(ISNUMBER('R4 Variations'!D371),+'R4 Variations'!D371*LU_Escalation,0)</f>
        <v>0</v>
      </c>
      <c r="E371" s="850">
        <f ca="1">IF(ISNUMBER('R4 Variations'!E371),+'R4 Variations'!E371*LU_Escalation,0)</f>
        <v>0</v>
      </c>
      <c r="F371" s="491">
        <f ca="1">IF(ISNUMBER('R4 Variations'!F371),+'R4 Variations'!F371*LU_Escalation,0)</f>
        <v>0</v>
      </c>
      <c r="G371" s="491">
        <f ca="1">IF(ISNUMBER('R4 Variations'!G371),+'R4 Variations'!G371*LU_Escalation,0)</f>
        <v>0</v>
      </c>
      <c r="H371" s="491">
        <f ca="1">IF(ISNUMBER('R4 Variations'!H371),+'R4 Variations'!H371*LU_Escalation,0)</f>
        <v>0</v>
      </c>
      <c r="I371" s="491">
        <f ca="1">IF(ISNUMBER('R4 Variations'!I371),+'R4 Variations'!I371*LU_Escalation,0)</f>
        <v>0</v>
      </c>
      <c r="J371" s="491">
        <f ca="1">IF(ISNUMBER('R4 Variations'!J371),+'R4 Variations'!J371*LU_Escalation,0)</f>
        <v>0</v>
      </c>
      <c r="K371" s="491">
        <f ca="1">IF(ISNUMBER('R4 Variations'!K371),+'R4 Variations'!K371*LU_Escalation,0)</f>
        <v>0</v>
      </c>
      <c r="L371" s="515" t="str">
        <f ca="1">+'R4 Variations'!L371</f>
        <v/>
      </c>
      <c r="M371" s="450" t="str">
        <f ca="1">+'R4 Variations'!M371</f>
        <v/>
      </c>
      <c r="N371" s="450" t="str">
        <f ca="1">+'R4 Variations'!N371</f>
        <v/>
      </c>
    </row>
    <row r="372" spans="1:14">
      <c r="A372" s="5"/>
      <c r="B372" s="249"/>
      <c r="C372" s="384" t="str">
        <f ca="1">+'R4 Variations'!C372</f>
        <v/>
      </c>
      <c r="D372" s="491">
        <f ca="1">IF(ISNUMBER('R4 Variations'!D372),+'R4 Variations'!D372*LU_Escalation,0)</f>
        <v>0</v>
      </c>
      <c r="E372" s="850">
        <f ca="1">IF(ISNUMBER('R4 Variations'!E372),+'R4 Variations'!E372*LU_Escalation,0)</f>
        <v>0</v>
      </c>
      <c r="F372" s="491">
        <f ca="1">IF(ISNUMBER('R4 Variations'!F372),+'R4 Variations'!F372*LU_Escalation,0)</f>
        <v>0</v>
      </c>
      <c r="G372" s="491">
        <f ca="1">IF(ISNUMBER('R4 Variations'!G372),+'R4 Variations'!G372*LU_Escalation,0)</f>
        <v>0</v>
      </c>
      <c r="H372" s="491">
        <f ca="1">IF(ISNUMBER('R4 Variations'!H372),+'R4 Variations'!H372*LU_Escalation,0)</f>
        <v>0</v>
      </c>
      <c r="I372" s="491">
        <f ca="1">IF(ISNUMBER('R4 Variations'!I372),+'R4 Variations'!I372*LU_Escalation,0)</f>
        <v>0</v>
      </c>
      <c r="J372" s="491">
        <f ca="1">IF(ISNUMBER('R4 Variations'!J372),+'R4 Variations'!J372*LU_Escalation,0)</f>
        <v>0</v>
      </c>
      <c r="K372" s="491">
        <f ca="1">IF(ISNUMBER('R4 Variations'!K372),+'R4 Variations'!K372*LU_Escalation,0)</f>
        <v>0</v>
      </c>
      <c r="L372" s="515" t="str">
        <f ca="1">+'R4 Variations'!L372</f>
        <v/>
      </c>
      <c r="M372" s="450" t="str">
        <f ca="1">+'R4 Variations'!M372</f>
        <v/>
      </c>
      <c r="N372" s="450" t="str">
        <f ca="1">+'R4 Variations'!N372</f>
        <v/>
      </c>
    </row>
    <row r="373" spans="1:14">
      <c r="A373" s="5"/>
      <c r="B373" s="249"/>
      <c r="C373" s="384" t="str">
        <f ca="1">+'R4 Variations'!C373</f>
        <v/>
      </c>
      <c r="D373" s="491">
        <f ca="1">IF(ISNUMBER('R4 Variations'!D373),+'R4 Variations'!D373*LU_Escalation,0)</f>
        <v>0</v>
      </c>
      <c r="E373" s="850">
        <f ca="1">IF(ISNUMBER('R4 Variations'!E373),+'R4 Variations'!E373*LU_Escalation,0)</f>
        <v>0</v>
      </c>
      <c r="F373" s="491">
        <f ca="1">IF(ISNUMBER('R4 Variations'!F373),+'R4 Variations'!F373*LU_Escalation,0)</f>
        <v>0</v>
      </c>
      <c r="G373" s="491">
        <f ca="1">IF(ISNUMBER('R4 Variations'!G373),+'R4 Variations'!G373*LU_Escalation,0)</f>
        <v>0</v>
      </c>
      <c r="H373" s="491">
        <f ca="1">IF(ISNUMBER('R4 Variations'!H373),+'R4 Variations'!H373*LU_Escalation,0)</f>
        <v>0</v>
      </c>
      <c r="I373" s="491">
        <f ca="1">IF(ISNUMBER('R4 Variations'!I373),+'R4 Variations'!I373*LU_Escalation,0)</f>
        <v>0</v>
      </c>
      <c r="J373" s="491">
        <f ca="1">IF(ISNUMBER('R4 Variations'!J373),+'R4 Variations'!J373*LU_Escalation,0)</f>
        <v>0</v>
      </c>
      <c r="K373" s="491">
        <f ca="1">IF(ISNUMBER('R4 Variations'!K373),+'R4 Variations'!K373*LU_Escalation,0)</f>
        <v>0</v>
      </c>
      <c r="L373" s="515" t="str">
        <f ca="1">+'R4 Variations'!L373</f>
        <v/>
      </c>
      <c r="M373" s="450" t="str">
        <f ca="1">+'R4 Variations'!M373</f>
        <v/>
      </c>
      <c r="N373" s="450" t="str">
        <f ca="1">+'R4 Variations'!N373</f>
        <v/>
      </c>
    </row>
    <row r="374" spans="1:14" ht="17.25" customHeight="1" thickBot="1">
      <c r="A374" s="5"/>
      <c r="B374" s="250"/>
      <c r="C374" s="269" t="str">
        <f>CONCATENATE("Total ", +C350)</f>
        <v>Total Regulation and Company Secretary</v>
      </c>
      <c r="D374" s="315">
        <f t="shared" ref="D374:K374" ca="1" si="4">SUBTOTAL(9,D351:D372)</f>
        <v>0</v>
      </c>
      <c r="E374" s="500">
        <f t="shared" ca="1" si="4"/>
        <v>0</v>
      </c>
      <c r="F374" s="314">
        <f t="shared" ca="1" si="4"/>
        <v>0</v>
      </c>
      <c r="G374" s="315">
        <f t="shared" ca="1" si="4"/>
        <v>0</v>
      </c>
      <c r="H374" s="315">
        <f t="shared" ca="1" si="4"/>
        <v>0</v>
      </c>
      <c r="I374" s="315">
        <f t="shared" ca="1" si="4"/>
        <v>1.1712169615384618</v>
      </c>
      <c r="J374" s="315">
        <f t="shared" ca="1" si="4"/>
        <v>1.1712169615384618</v>
      </c>
      <c r="K374" s="500">
        <f t="shared" ca="1" si="4"/>
        <v>1.1712169615384618</v>
      </c>
      <c r="L374" s="515"/>
      <c r="M374" s="450"/>
      <c r="N374" s="450"/>
    </row>
    <row r="375" spans="1:14" ht="18">
      <c r="B375" s="251"/>
      <c r="C375" s="255" t="str">
        <f>+'I-3 Allocated'!A11</f>
        <v>Finance</v>
      </c>
      <c r="D375" s="332"/>
      <c r="E375" s="499"/>
      <c r="F375" s="332"/>
      <c r="G375" s="332"/>
      <c r="H375" s="332"/>
      <c r="I375" s="332"/>
      <c r="J375" s="332"/>
      <c r="K375" s="499"/>
      <c r="L375" s="515"/>
      <c r="M375" s="450"/>
      <c r="N375" s="450"/>
    </row>
    <row r="376" spans="1:14">
      <c r="A376" s="5"/>
      <c r="B376" s="249" t="str">
        <f ca="1">+'I-4 History'!B282</f>
        <v>A-7</v>
      </c>
      <c r="C376" s="14" t="str">
        <f ca="1">+'I-4 History'!C282</f>
        <v>CFO</v>
      </c>
      <c r="D376" s="491"/>
      <c r="E376" s="508"/>
      <c r="F376" s="491"/>
      <c r="G376" s="492"/>
      <c r="H376" s="492"/>
      <c r="I376" s="492"/>
      <c r="J376" s="492"/>
      <c r="K376" s="508"/>
      <c r="L376" s="515"/>
      <c r="M376" s="450"/>
      <c r="N376" s="450"/>
    </row>
    <row r="377" spans="1:14">
      <c r="A377" s="5"/>
      <c r="B377" s="249"/>
      <c r="C377" s="384" t="str">
        <f ca="1">+'R4 Variations'!C377</f>
        <v>Step Change</v>
      </c>
      <c r="D377" s="491">
        <f ca="1">IF(ISNUMBER('R4 Variations'!D377),+'R4 Variations'!D377*LU_Escalation,0)</f>
        <v>0</v>
      </c>
      <c r="E377" s="850">
        <f ca="1">IF(ISNUMBER('R4 Variations'!E377),+'R4 Variations'!E377*LU_Escalation,0)</f>
        <v>0</v>
      </c>
      <c r="F377" s="491">
        <f ca="1">IF(ISNUMBER('R4 Variations'!F377),+'R4 Variations'!F377*LU_Escalation,0)</f>
        <v>0</v>
      </c>
      <c r="G377" s="491">
        <f ca="1">IF(ISNUMBER('R4 Variations'!G377),+'R4 Variations'!G377*LU_Escalation,0)</f>
        <v>0</v>
      </c>
      <c r="H377" s="491">
        <f ca="1">IF(ISNUMBER('R4 Variations'!H377),+'R4 Variations'!H377*LU_Escalation,0)</f>
        <v>0</v>
      </c>
      <c r="I377" s="491">
        <f ca="1">IF(ISNUMBER('R4 Variations'!I377),+'R4 Variations'!I377*LU_Escalation,0)</f>
        <v>0</v>
      </c>
      <c r="J377" s="491">
        <f ca="1">IF(ISNUMBER('R4 Variations'!J377),+'R4 Variations'!J377*LU_Escalation,0)</f>
        <v>0</v>
      </c>
      <c r="K377" s="491">
        <f ca="1">IF(ISNUMBER('R4 Variations'!K377),+'R4 Variations'!K377*LU_Escalation,0)</f>
        <v>0</v>
      </c>
      <c r="L377" s="515" t="str">
        <f ca="1">+'R4 Variations'!L377</f>
        <v>Proposal Step Change</v>
      </c>
      <c r="M377" s="450" t="str">
        <f ca="1">+'R4 Variations'!M377</f>
        <v>Refer Opex Workings</v>
      </c>
      <c r="N377" s="450" t="str">
        <f ca="1">+'R4 Variations'!N377</f>
        <v>Proposal, October 2014</v>
      </c>
    </row>
    <row r="378" spans="1:14">
      <c r="A378" s="5"/>
      <c r="B378" s="249"/>
      <c r="C378" s="384" t="str">
        <f ca="1">+'R4 Variations'!C378</f>
        <v/>
      </c>
      <c r="D378" s="491">
        <f ca="1">IF(ISNUMBER('R4 Variations'!D378),+'R4 Variations'!D378*LU_Escalation,0)</f>
        <v>0</v>
      </c>
      <c r="E378" s="850">
        <f ca="1">IF(ISNUMBER('R4 Variations'!E378),+'R4 Variations'!E378*LU_Escalation,0)</f>
        <v>0</v>
      </c>
      <c r="F378" s="491">
        <f ca="1">IF(ISNUMBER('R4 Variations'!F378),+'R4 Variations'!F378*LU_Escalation,0)</f>
        <v>0</v>
      </c>
      <c r="G378" s="491">
        <f ca="1">IF(ISNUMBER('R4 Variations'!G378),+'R4 Variations'!G378*LU_Escalation,0)</f>
        <v>0</v>
      </c>
      <c r="H378" s="491">
        <f ca="1">IF(ISNUMBER('R4 Variations'!H378),+'R4 Variations'!H378*LU_Escalation,0)</f>
        <v>0</v>
      </c>
      <c r="I378" s="491">
        <f ca="1">IF(ISNUMBER('R4 Variations'!I378),+'R4 Variations'!I378*LU_Escalation,0)</f>
        <v>0</v>
      </c>
      <c r="J378" s="491">
        <f ca="1">IF(ISNUMBER('R4 Variations'!J378),+'R4 Variations'!J378*LU_Escalation,0)</f>
        <v>0</v>
      </c>
      <c r="K378" s="491">
        <f ca="1">IF(ISNUMBER('R4 Variations'!K378),+'R4 Variations'!K378*LU_Escalation,0)</f>
        <v>0</v>
      </c>
      <c r="L378" s="515" t="str">
        <f ca="1">+'R4 Variations'!L378</f>
        <v/>
      </c>
      <c r="M378" s="450" t="str">
        <f ca="1">+'R4 Variations'!M378</f>
        <v/>
      </c>
      <c r="N378" s="450" t="str">
        <f ca="1">+'R4 Variations'!N378</f>
        <v/>
      </c>
    </row>
    <row r="379" spans="1:14">
      <c r="A379" s="5"/>
      <c r="B379" s="249"/>
      <c r="C379" s="384" t="str">
        <f ca="1">+'R4 Variations'!C379</f>
        <v/>
      </c>
      <c r="D379" s="491">
        <f ca="1">IF(ISNUMBER('R4 Variations'!D379),+'R4 Variations'!D379*LU_Escalation,0)</f>
        <v>0</v>
      </c>
      <c r="E379" s="850">
        <f ca="1">IF(ISNUMBER('R4 Variations'!E379),+'R4 Variations'!E379*LU_Escalation,0)</f>
        <v>0</v>
      </c>
      <c r="F379" s="491">
        <f ca="1">IF(ISNUMBER('R4 Variations'!F379),+'R4 Variations'!F379*LU_Escalation,0)</f>
        <v>0</v>
      </c>
      <c r="G379" s="491">
        <f ca="1">IF(ISNUMBER('R4 Variations'!G379),+'R4 Variations'!G379*LU_Escalation,0)</f>
        <v>0</v>
      </c>
      <c r="H379" s="491">
        <f ca="1">IF(ISNUMBER('R4 Variations'!H379),+'R4 Variations'!H379*LU_Escalation,0)</f>
        <v>0</v>
      </c>
      <c r="I379" s="491">
        <f ca="1">IF(ISNUMBER('R4 Variations'!I379),+'R4 Variations'!I379*LU_Escalation,0)</f>
        <v>0</v>
      </c>
      <c r="J379" s="491">
        <f ca="1">IF(ISNUMBER('R4 Variations'!J379),+'R4 Variations'!J379*LU_Escalation,0)</f>
        <v>0</v>
      </c>
      <c r="K379" s="491">
        <f ca="1">IF(ISNUMBER('R4 Variations'!K379),+'R4 Variations'!K379*LU_Escalation,0)</f>
        <v>0</v>
      </c>
      <c r="L379" s="515" t="str">
        <f ca="1">+'R4 Variations'!L379</f>
        <v/>
      </c>
      <c r="M379" s="450" t="str">
        <f ca="1">+'R4 Variations'!M379</f>
        <v/>
      </c>
      <c r="N379" s="450" t="str">
        <f ca="1">+'R4 Variations'!N379</f>
        <v/>
      </c>
    </row>
    <row r="380" spans="1:14">
      <c r="A380" s="5"/>
      <c r="B380" s="249"/>
      <c r="C380" s="384" t="str">
        <f ca="1">+'R4 Variations'!C380</f>
        <v/>
      </c>
      <c r="D380" s="491">
        <f ca="1">IF(ISNUMBER('R4 Variations'!D380),+'R4 Variations'!D380*LU_Escalation,0)</f>
        <v>0</v>
      </c>
      <c r="E380" s="850">
        <f ca="1">IF(ISNUMBER('R4 Variations'!E380),+'R4 Variations'!E380*LU_Escalation,0)</f>
        <v>0</v>
      </c>
      <c r="F380" s="491">
        <f ca="1">IF(ISNUMBER('R4 Variations'!F380),+'R4 Variations'!F380*LU_Escalation,0)</f>
        <v>0</v>
      </c>
      <c r="G380" s="491">
        <f ca="1">IF(ISNUMBER('R4 Variations'!G380),+'R4 Variations'!G380*LU_Escalation,0)</f>
        <v>0</v>
      </c>
      <c r="H380" s="491">
        <f ca="1">IF(ISNUMBER('R4 Variations'!H380),+'R4 Variations'!H380*LU_Escalation,0)</f>
        <v>0</v>
      </c>
      <c r="I380" s="491">
        <f ca="1">IF(ISNUMBER('R4 Variations'!I380),+'R4 Variations'!I380*LU_Escalation,0)</f>
        <v>0</v>
      </c>
      <c r="J380" s="491">
        <f ca="1">IF(ISNUMBER('R4 Variations'!J380),+'R4 Variations'!J380*LU_Escalation,0)</f>
        <v>0</v>
      </c>
      <c r="K380" s="491">
        <f ca="1">IF(ISNUMBER('R4 Variations'!K380),+'R4 Variations'!K380*LU_Escalation,0)</f>
        <v>0</v>
      </c>
      <c r="L380" s="515" t="str">
        <f ca="1">+'R4 Variations'!L380</f>
        <v/>
      </c>
      <c r="M380" s="450" t="str">
        <f ca="1">+'R4 Variations'!M380</f>
        <v/>
      </c>
      <c r="N380" s="450" t="str">
        <f ca="1">+'R4 Variations'!N380</f>
        <v/>
      </c>
    </row>
    <row r="381" spans="1:14">
      <c r="A381" s="5"/>
      <c r="B381" s="249"/>
      <c r="C381" s="384" t="str">
        <f ca="1">+'R4 Variations'!C381</f>
        <v/>
      </c>
      <c r="D381" s="491">
        <f ca="1">IF(ISNUMBER('R4 Variations'!D381),+'R4 Variations'!D381*LU_Escalation,0)</f>
        <v>0</v>
      </c>
      <c r="E381" s="850">
        <f ca="1">IF(ISNUMBER('R4 Variations'!E381),+'R4 Variations'!E381*LU_Escalation,0)</f>
        <v>0</v>
      </c>
      <c r="F381" s="491">
        <f ca="1">IF(ISNUMBER('R4 Variations'!F381),+'R4 Variations'!F381*LU_Escalation,0)</f>
        <v>0</v>
      </c>
      <c r="G381" s="491">
        <f ca="1">IF(ISNUMBER('R4 Variations'!G381),+'R4 Variations'!G381*LU_Escalation,0)</f>
        <v>0</v>
      </c>
      <c r="H381" s="491">
        <f ca="1">IF(ISNUMBER('R4 Variations'!H381),+'R4 Variations'!H381*LU_Escalation,0)</f>
        <v>0</v>
      </c>
      <c r="I381" s="491">
        <f ca="1">IF(ISNUMBER('R4 Variations'!I381),+'R4 Variations'!I381*LU_Escalation,0)</f>
        <v>0</v>
      </c>
      <c r="J381" s="491">
        <f ca="1">IF(ISNUMBER('R4 Variations'!J381),+'R4 Variations'!J381*LU_Escalation,0)</f>
        <v>0</v>
      </c>
      <c r="K381" s="491">
        <f ca="1">IF(ISNUMBER('R4 Variations'!K381),+'R4 Variations'!K381*LU_Escalation,0)</f>
        <v>0</v>
      </c>
      <c r="L381" s="515" t="str">
        <f ca="1">+'R4 Variations'!L381</f>
        <v/>
      </c>
      <c r="M381" s="450" t="str">
        <f ca="1">+'R4 Variations'!M381</f>
        <v/>
      </c>
      <c r="N381" s="450" t="str">
        <f ca="1">+'R4 Variations'!N381</f>
        <v/>
      </c>
    </row>
    <row r="382" spans="1:14">
      <c r="A382" s="5"/>
      <c r="B382" s="249"/>
      <c r="C382" s="384" t="str">
        <f ca="1">+'R4 Variations'!C382</f>
        <v/>
      </c>
      <c r="D382" s="491">
        <f ca="1">IF(ISNUMBER('R4 Variations'!D382),+'R4 Variations'!D382*LU_Escalation,0)</f>
        <v>0</v>
      </c>
      <c r="E382" s="850">
        <f ca="1">IF(ISNUMBER('R4 Variations'!E382),+'R4 Variations'!E382*LU_Escalation,0)</f>
        <v>0</v>
      </c>
      <c r="F382" s="491">
        <f ca="1">IF(ISNUMBER('R4 Variations'!F382),+'R4 Variations'!F382*LU_Escalation,0)</f>
        <v>0</v>
      </c>
      <c r="G382" s="491">
        <f ca="1">IF(ISNUMBER('R4 Variations'!G382),+'R4 Variations'!G382*LU_Escalation,0)</f>
        <v>0</v>
      </c>
      <c r="H382" s="491">
        <f ca="1">IF(ISNUMBER('R4 Variations'!H382),+'R4 Variations'!H382*LU_Escalation,0)</f>
        <v>0</v>
      </c>
      <c r="I382" s="491">
        <f ca="1">IF(ISNUMBER('R4 Variations'!I382),+'R4 Variations'!I382*LU_Escalation,0)</f>
        <v>0</v>
      </c>
      <c r="J382" s="491">
        <f ca="1">IF(ISNUMBER('R4 Variations'!J382),+'R4 Variations'!J382*LU_Escalation,0)</f>
        <v>0</v>
      </c>
      <c r="K382" s="491">
        <f ca="1">IF(ISNUMBER('R4 Variations'!K382),+'R4 Variations'!K382*LU_Escalation,0)</f>
        <v>0</v>
      </c>
      <c r="L382" s="515" t="str">
        <f ca="1">+'R4 Variations'!L382</f>
        <v/>
      </c>
      <c r="M382" s="450" t="str">
        <f ca="1">+'R4 Variations'!M382</f>
        <v/>
      </c>
      <c r="N382" s="450" t="str">
        <f ca="1">+'R4 Variations'!N382</f>
        <v/>
      </c>
    </row>
    <row r="383" spans="1:14">
      <c r="A383" s="5"/>
      <c r="B383" s="249"/>
      <c r="C383" s="384" t="str">
        <f ca="1">+'R4 Variations'!C383</f>
        <v/>
      </c>
      <c r="D383" s="491">
        <f ca="1">IF(ISNUMBER('R4 Variations'!D383),+'R4 Variations'!D383*LU_Escalation,0)</f>
        <v>0</v>
      </c>
      <c r="E383" s="850">
        <f ca="1">IF(ISNUMBER('R4 Variations'!E383),+'R4 Variations'!E383*LU_Escalation,0)</f>
        <v>0</v>
      </c>
      <c r="F383" s="491">
        <f ca="1">IF(ISNUMBER('R4 Variations'!F383),+'R4 Variations'!F383*LU_Escalation,0)</f>
        <v>0</v>
      </c>
      <c r="G383" s="491">
        <f ca="1">IF(ISNUMBER('R4 Variations'!G383),+'R4 Variations'!G383*LU_Escalation,0)</f>
        <v>0</v>
      </c>
      <c r="H383" s="491">
        <f ca="1">IF(ISNUMBER('R4 Variations'!H383),+'R4 Variations'!H383*LU_Escalation,0)</f>
        <v>0</v>
      </c>
      <c r="I383" s="491">
        <f ca="1">IF(ISNUMBER('R4 Variations'!I383),+'R4 Variations'!I383*LU_Escalation,0)</f>
        <v>0</v>
      </c>
      <c r="J383" s="491">
        <f ca="1">IF(ISNUMBER('R4 Variations'!J383),+'R4 Variations'!J383*LU_Escalation,0)</f>
        <v>0</v>
      </c>
      <c r="K383" s="491">
        <f ca="1">IF(ISNUMBER('R4 Variations'!K383),+'R4 Variations'!K383*LU_Escalation,0)</f>
        <v>0</v>
      </c>
      <c r="L383" s="515" t="str">
        <f ca="1">+'R4 Variations'!L383</f>
        <v/>
      </c>
      <c r="M383" s="450" t="str">
        <f ca="1">+'R4 Variations'!M383</f>
        <v/>
      </c>
      <c r="N383" s="450" t="str">
        <f ca="1">+'R4 Variations'!N383</f>
        <v/>
      </c>
    </row>
    <row r="384" spans="1:14">
      <c r="A384" s="5"/>
      <c r="B384" s="249"/>
      <c r="C384" s="384" t="str">
        <f ca="1">+'R4 Variations'!C384</f>
        <v/>
      </c>
      <c r="D384" s="491">
        <f ca="1">IF(ISNUMBER('R4 Variations'!D384),+'R4 Variations'!D384*LU_Escalation,0)</f>
        <v>0</v>
      </c>
      <c r="E384" s="850">
        <f ca="1">IF(ISNUMBER('R4 Variations'!E384),+'R4 Variations'!E384*LU_Escalation,0)</f>
        <v>0</v>
      </c>
      <c r="F384" s="491">
        <f ca="1">IF(ISNUMBER('R4 Variations'!F384),+'R4 Variations'!F384*LU_Escalation,0)</f>
        <v>0</v>
      </c>
      <c r="G384" s="491">
        <f ca="1">IF(ISNUMBER('R4 Variations'!G384),+'R4 Variations'!G384*LU_Escalation,0)</f>
        <v>0</v>
      </c>
      <c r="H384" s="491">
        <f ca="1">IF(ISNUMBER('R4 Variations'!H384),+'R4 Variations'!H384*LU_Escalation,0)</f>
        <v>0</v>
      </c>
      <c r="I384" s="491">
        <f ca="1">IF(ISNUMBER('R4 Variations'!I384),+'R4 Variations'!I384*LU_Escalation,0)</f>
        <v>0</v>
      </c>
      <c r="J384" s="491">
        <f ca="1">IF(ISNUMBER('R4 Variations'!J384),+'R4 Variations'!J384*LU_Escalation,0)</f>
        <v>0</v>
      </c>
      <c r="K384" s="491">
        <f ca="1">IF(ISNUMBER('R4 Variations'!K384),+'R4 Variations'!K384*LU_Escalation,0)</f>
        <v>0</v>
      </c>
      <c r="L384" s="515" t="str">
        <f ca="1">+'R4 Variations'!L384</f>
        <v/>
      </c>
      <c r="M384" s="450" t="str">
        <f ca="1">+'R4 Variations'!M384</f>
        <v/>
      </c>
      <c r="N384" s="450" t="str">
        <f ca="1">+'R4 Variations'!N384</f>
        <v/>
      </c>
    </row>
    <row r="385" spans="1:14">
      <c r="A385" s="5"/>
      <c r="B385" s="249"/>
      <c r="C385" s="384" t="str">
        <f ca="1">+'R4 Variations'!C385</f>
        <v/>
      </c>
      <c r="D385" s="491">
        <f ca="1">IF(ISNUMBER('R4 Variations'!D385),+'R4 Variations'!D385*LU_Escalation,0)</f>
        <v>0</v>
      </c>
      <c r="E385" s="850">
        <f ca="1">IF(ISNUMBER('R4 Variations'!E385),+'R4 Variations'!E385*LU_Escalation,0)</f>
        <v>0</v>
      </c>
      <c r="F385" s="491">
        <f ca="1">IF(ISNUMBER('R4 Variations'!F385),+'R4 Variations'!F385*LU_Escalation,0)</f>
        <v>0</v>
      </c>
      <c r="G385" s="491">
        <f ca="1">IF(ISNUMBER('R4 Variations'!G385),+'R4 Variations'!G385*LU_Escalation,0)</f>
        <v>0</v>
      </c>
      <c r="H385" s="491">
        <f ca="1">IF(ISNUMBER('R4 Variations'!H385),+'R4 Variations'!H385*LU_Escalation,0)</f>
        <v>0</v>
      </c>
      <c r="I385" s="491">
        <f ca="1">IF(ISNUMBER('R4 Variations'!I385),+'R4 Variations'!I385*LU_Escalation,0)</f>
        <v>0</v>
      </c>
      <c r="J385" s="491">
        <f ca="1">IF(ISNUMBER('R4 Variations'!J385),+'R4 Variations'!J385*LU_Escalation,0)</f>
        <v>0</v>
      </c>
      <c r="K385" s="491">
        <f ca="1">IF(ISNUMBER('R4 Variations'!K385),+'R4 Variations'!K385*LU_Escalation,0)</f>
        <v>0</v>
      </c>
      <c r="L385" s="515" t="str">
        <f ca="1">+'R4 Variations'!L385</f>
        <v/>
      </c>
      <c r="M385" s="450" t="str">
        <f ca="1">+'R4 Variations'!M385</f>
        <v/>
      </c>
      <c r="N385" s="450" t="str">
        <f ca="1">+'R4 Variations'!N385</f>
        <v/>
      </c>
    </row>
    <row r="386" spans="1:14">
      <c r="A386" s="5"/>
      <c r="B386" s="249"/>
      <c r="C386" s="384" t="str">
        <f ca="1">+'R4 Variations'!C386</f>
        <v/>
      </c>
      <c r="D386" s="491">
        <f ca="1">IF(ISNUMBER('R4 Variations'!D386),+'R4 Variations'!D386*LU_Escalation,0)</f>
        <v>0</v>
      </c>
      <c r="E386" s="850">
        <f ca="1">IF(ISNUMBER('R4 Variations'!E386),+'R4 Variations'!E386*LU_Escalation,0)</f>
        <v>0</v>
      </c>
      <c r="F386" s="491">
        <f ca="1">IF(ISNUMBER('R4 Variations'!F386),+'R4 Variations'!F386*LU_Escalation,0)</f>
        <v>0</v>
      </c>
      <c r="G386" s="491">
        <f ca="1">IF(ISNUMBER('R4 Variations'!G386),+'R4 Variations'!G386*LU_Escalation,0)</f>
        <v>0</v>
      </c>
      <c r="H386" s="491">
        <f ca="1">IF(ISNUMBER('R4 Variations'!H386),+'R4 Variations'!H386*LU_Escalation,0)</f>
        <v>0</v>
      </c>
      <c r="I386" s="491">
        <f ca="1">IF(ISNUMBER('R4 Variations'!I386),+'R4 Variations'!I386*LU_Escalation,0)</f>
        <v>0</v>
      </c>
      <c r="J386" s="491">
        <f ca="1">IF(ISNUMBER('R4 Variations'!J386),+'R4 Variations'!J386*LU_Escalation,0)</f>
        <v>0</v>
      </c>
      <c r="K386" s="491">
        <f ca="1">IF(ISNUMBER('R4 Variations'!K386),+'R4 Variations'!K386*LU_Escalation,0)</f>
        <v>0</v>
      </c>
      <c r="L386" s="515" t="str">
        <f ca="1">+'R4 Variations'!L386</f>
        <v/>
      </c>
      <c r="M386" s="450" t="str">
        <f ca="1">+'R4 Variations'!M386</f>
        <v/>
      </c>
      <c r="N386" s="450" t="str">
        <f ca="1">+'R4 Variations'!N386</f>
        <v/>
      </c>
    </row>
    <row r="387" spans="1:14">
      <c r="A387" s="5"/>
      <c r="B387" s="249"/>
      <c r="C387" s="12"/>
      <c r="D387" s="491"/>
      <c r="E387" s="508"/>
      <c r="F387" s="491"/>
      <c r="G387" s="492"/>
      <c r="H387" s="492"/>
      <c r="I387" s="492"/>
      <c r="J387" s="492"/>
      <c r="K387" s="508"/>
      <c r="L387" s="515"/>
      <c r="M387" s="450"/>
      <c r="N387" s="450"/>
    </row>
    <row r="388" spans="1:14">
      <c r="A388" s="5"/>
      <c r="B388" s="249" t="str">
        <f ca="1">+'I-4 History'!B291</f>
        <v>A-8</v>
      </c>
      <c r="C388" s="14" t="str">
        <f ca="1">+'I-4 History'!C291</f>
        <v>Accounts Receivable – Asset Damage</v>
      </c>
      <c r="D388" s="491"/>
      <c r="E388" s="508"/>
      <c r="F388" s="491"/>
      <c r="G388" s="492"/>
      <c r="H388" s="492"/>
      <c r="I388" s="492"/>
      <c r="J388" s="492"/>
      <c r="K388" s="508"/>
      <c r="L388" s="515"/>
      <c r="M388" s="450"/>
      <c r="N388" s="450"/>
    </row>
    <row r="389" spans="1:14">
      <c r="A389" s="5"/>
      <c r="B389" s="249"/>
      <c r="C389" s="384" t="str">
        <f ca="1">+'R4 Variations'!C389</f>
        <v>Step Change</v>
      </c>
      <c r="D389" s="491">
        <f ca="1">IF(ISNUMBER('R4 Variations'!D389),+'R4 Variations'!D389*LU_Escalation,0)</f>
        <v>0</v>
      </c>
      <c r="E389" s="850">
        <f ca="1">IF(ISNUMBER('R4 Variations'!E389),+'R4 Variations'!E389*LU_Escalation,0)</f>
        <v>0</v>
      </c>
      <c r="F389" s="491">
        <f ca="1">IF(ISNUMBER('R4 Variations'!F389),+'R4 Variations'!F389*LU_Escalation,0)</f>
        <v>0</v>
      </c>
      <c r="G389" s="491">
        <f ca="1">IF(ISNUMBER('R4 Variations'!G389),+'R4 Variations'!G389*LU_Escalation,0)</f>
        <v>0</v>
      </c>
      <c r="H389" s="491">
        <f ca="1">IF(ISNUMBER('R4 Variations'!H389),+'R4 Variations'!H389*LU_Escalation,0)</f>
        <v>0</v>
      </c>
      <c r="I389" s="491">
        <f ca="1">IF(ISNUMBER('R4 Variations'!I389),+'R4 Variations'!I389*LU_Escalation,0)</f>
        <v>0</v>
      </c>
      <c r="J389" s="491">
        <f ca="1">IF(ISNUMBER('R4 Variations'!J389),+'R4 Variations'!J389*LU_Escalation,0)</f>
        <v>0</v>
      </c>
      <c r="K389" s="491">
        <f ca="1">IF(ISNUMBER('R4 Variations'!K389),+'R4 Variations'!K389*LU_Escalation,0)</f>
        <v>0</v>
      </c>
      <c r="L389" s="515" t="str">
        <f ca="1">+'R4 Variations'!L389</f>
        <v>Proposal Step Change</v>
      </c>
      <c r="M389" s="450" t="str">
        <f ca="1">+'R4 Variations'!M389</f>
        <v>Refer Opex Workings</v>
      </c>
      <c r="N389" s="450" t="str">
        <f ca="1">+'R4 Variations'!N389</f>
        <v>Proposal, October 2014</v>
      </c>
    </row>
    <row r="390" spans="1:14">
      <c r="A390" s="5"/>
      <c r="B390" s="249"/>
      <c r="C390" s="384" t="str">
        <f ca="1">+'R4 Variations'!C390</f>
        <v/>
      </c>
      <c r="D390" s="491">
        <f ca="1">IF(ISNUMBER('R4 Variations'!D390),+'R4 Variations'!D390*LU_Escalation,0)</f>
        <v>0</v>
      </c>
      <c r="E390" s="850">
        <f ca="1">IF(ISNUMBER('R4 Variations'!E390),+'R4 Variations'!E390*LU_Escalation,0)</f>
        <v>0</v>
      </c>
      <c r="F390" s="491">
        <f ca="1">IF(ISNUMBER('R4 Variations'!F390),+'R4 Variations'!F390*LU_Escalation,0)</f>
        <v>0</v>
      </c>
      <c r="G390" s="491">
        <f ca="1">IF(ISNUMBER('R4 Variations'!G390),+'R4 Variations'!G390*LU_Escalation,0)</f>
        <v>0</v>
      </c>
      <c r="H390" s="491">
        <f ca="1">IF(ISNUMBER('R4 Variations'!H390),+'R4 Variations'!H390*LU_Escalation,0)</f>
        <v>0</v>
      </c>
      <c r="I390" s="491">
        <f ca="1">IF(ISNUMBER('R4 Variations'!I390),+'R4 Variations'!I390*LU_Escalation,0)</f>
        <v>0</v>
      </c>
      <c r="J390" s="491">
        <f ca="1">IF(ISNUMBER('R4 Variations'!J390),+'R4 Variations'!J390*LU_Escalation,0)</f>
        <v>0</v>
      </c>
      <c r="K390" s="491">
        <f ca="1">IF(ISNUMBER('R4 Variations'!K390),+'R4 Variations'!K390*LU_Escalation,0)</f>
        <v>0</v>
      </c>
      <c r="L390" s="515" t="str">
        <f ca="1">+'R4 Variations'!L390</f>
        <v/>
      </c>
      <c r="M390" s="450" t="str">
        <f ca="1">+'R4 Variations'!M390</f>
        <v/>
      </c>
      <c r="N390" s="450" t="str">
        <f ca="1">+'R4 Variations'!N390</f>
        <v/>
      </c>
    </row>
    <row r="391" spans="1:14">
      <c r="A391" s="5"/>
      <c r="B391" s="249"/>
      <c r="C391" s="384" t="str">
        <f ca="1">+'R4 Variations'!C391</f>
        <v/>
      </c>
      <c r="D391" s="491">
        <f ca="1">IF(ISNUMBER('R4 Variations'!D391),+'R4 Variations'!D391*LU_Escalation,0)</f>
        <v>0</v>
      </c>
      <c r="E391" s="850">
        <f ca="1">IF(ISNUMBER('R4 Variations'!E391),+'R4 Variations'!E391*LU_Escalation,0)</f>
        <v>0</v>
      </c>
      <c r="F391" s="491">
        <f ca="1">IF(ISNUMBER('R4 Variations'!F391),+'R4 Variations'!F391*LU_Escalation,0)</f>
        <v>0</v>
      </c>
      <c r="G391" s="491">
        <f ca="1">IF(ISNUMBER('R4 Variations'!G391),+'R4 Variations'!G391*LU_Escalation,0)</f>
        <v>0</v>
      </c>
      <c r="H391" s="491">
        <f ca="1">IF(ISNUMBER('R4 Variations'!H391),+'R4 Variations'!H391*LU_Escalation,0)</f>
        <v>0</v>
      </c>
      <c r="I391" s="491">
        <f ca="1">IF(ISNUMBER('R4 Variations'!I391),+'R4 Variations'!I391*LU_Escalation,0)</f>
        <v>0</v>
      </c>
      <c r="J391" s="491">
        <f ca="1">IF(ISNUMBER('R4 Variations'!J391),+'R4 Variations'!J391*LU_Escalation,0)</f>
        <v>0</v>
      </c>
      <c r="K391" s="491">
        <f ca="1">IF(ISNUMBER('R4 Variations'!K391),+'R4 Variations'!K391*LU_Escalation,0)</f>
        <v>0</v>
      </c>
      <c r="L391" s="515" t="str">
        <f ca="1">+'R4 Variations'!L391</f>
        <v/>
      </c>
      <c r="M391" s="450" t="str">
        <f ca="1">+'R4 Variations'!M391</f>
        <v/>
      </c>
      <c r="N391" s="450" t="str">
        <f ca="1">+'R4 Variations'!N391</f>
        <v/>
      </c>
    </row>
    <row r="392" spans="1:14">
      <c r="A392" s="5"/>
      <c r="B392" s="249"/>
      <c r="C392" s="384" t="str">
        <f ca="1">+'R4 Variations'!C392</f>
        <v/>
      </c>
      <c r="D392" s="491">
        <f ca="1">IF(ISNUMBER('R4 Variations'!D392),+'R4 Variations'!D392*LU_Escalation,0)</f>
        <v>0</v>
      </c>
      <c r="E392" s="850">
        <f ca="1">IF(ISNUMBER('R4 Variations'!E392),+'R4 Variations'!E392*LU_Escalation,0)</f>
        <v>0</v>
      </c>
      <c r="F392" s="491">
        <f ca="1">IF(ISNUMBER('R4 Variations'!F392),+'R4 Variations'!F392*LU_Escalation,0)</f>
        <v>0</v>
      </c>
      <c r="G392" s="491">
        <f ca="1">IF(ISNUMBER('R4 Variations'!G392),+'R4 Variations'!G392*LU_Escalation,0)</f>
        <v>0</v>
      </c>
      <c r="H392" s="491">
        <f ca="1">IF(ISNUMBER('R4 Variations'!H392),+'R4 Variations'!H392*LU_Escalation,0)</f>
        <v>0</v>
      </c>
      <c r="I392" s="491">
        <f ca="1">IF(ISNUMBER('R4 Variations'!I392),+'R4 Variations'!I392*LU_Escalation,0)</f>
        <v>0</v>
      </c>
      <c r="J392" s="491">
        <f ca="1">IF(ISNUMBER('R4 Variations'!J392),+'R4 Variations'!J392*LU_Escalation,0)</f>
        <v>0</v>
      </c>
      <c r="K392" s="491">
        <f ca="1">IF(ISNUMBER('R4 Variations'!K392),+'R4 Variations'!K392*LU_Escalation,0)</f>
        <v>0</v>
      </c>
      <c r="L392" s="515" t="str">
        <f ca="1">+'R4 Variations'!L392</f>
        <v/>
      </c>
      <c r="M392" s="450" t="str">
        <f ca="1">+'R4 Variations'!M392</f>
        <v/>
      </c>
      <c r="N392" s="450" t="str">
        <f ca="1">+'R4 Variations'!N392</f>
        <v/>
      </c>
    </row>
    <row r="393" spans="1:14">
      <c r="A393" s="5"/>
      <c r="B393" s="249"/>
      <c r="C393" s="384" t="str">
        <f ca="1">+'R4 Variations'!C393</f>
        <v/>
      </c>
      <c r="D393" s="491">
        <f ca="1">IF(ISNUMBER('R4 Variations'!D393),+'R4 Variations'!D393*LU_Escalation,0)</f>
        <v>0</v>
      </c>
      <c r="E393" s="850">
        <f ca="1">IF(ISNUMBER('R4 Variations'!E393),+'R4 Variations'!E393*LU_Escalation,0)</f>
        <v>0</v>
      </c>
      <c r="F393" s="491">
        <f ca="1">IF(ISNUMBER('R4 Variations'!F393),+'R4 Variations'!F393*LU_Escalation,0)</f>
        <v>0</v>
      </c>
      <c r="G393" s="491">
        <f ca="1">IF(ISNUMBER('R4 Variations'!G393),+'R4 Variations'!G393*LU_Escalation,0)</f>
        <v>0</v>
      </c>
      <c r="H393" s="491">
        <f ca="1">IF(ISNUMBER('R4 Variations'!H393),+'R4 Variations'!H393*LU_Escalation,0)</f>
        <v>0</v>
      </c>
      <c r="I393" s="491">
        <f ca="1">IF(ISNUMBER('R4 Variations'!I393),+'R4 Variations'!I393*LU_Escalation,0)</f>
        <v>0</v>
      </c>
      <c r="J393" s="491">
        <f ca="1">IF(ISNUMBER('R4 Variations'!J393),+'R4 Variations'!J393*LU_Escalation,0)</f>
        <v>0</v>
      </c>
      <c r="K393" s="491">
        <f ca="1">IF(ISNUMBER('R4 Variations'!K393),+'R4 Variations'!K393*LU_Escalation,0)</f>
        <v>0</v>
      </c>
      <c r="L393" s="515" t="str">
        <f ca="1">+'R4 Variations'!L393</f>
        <v/>
      </c>
      <c r="M393" s="450" t="str">
        <f ca="1">+'R4 Variations'!M393</f>
        <v/>
      </c>
      <c r="N393" s="450" t="str">
        <f ca="1">+'R4 Variations'!N393</f>
        <v/>
      </c>
    </row>
    <row r="394" spans="1:14">
      <c r="A394" s="5"/>
      <c r="B394" s="249"/>
      <c r="C394" s="384" t="str">
        <f ca="1">+'R4 Variations'!C394</f>
        <v/>
      </c>
      <c r="D394" s="491">
        <f ca="1">IF(ISNUMBER('R4 Variations'!D394),+'R4 Variations'!D394*LU_Escalation,0)</f>
        <v>0</v>
      </c>
      <c r="E394" s="850">
        <f ca="1">IF(ISNUMBER('R4 Variations'!E394),+'R4 Variations'!E394*LU_Escalation,0)</f>
        <v>0</v>
      </c>
      <c r="F394" s="491">
        <f ca="1">IF(ISNUMBER('R4 Variations'!F394),+'R4 Variations'!F394*LU_Escalation,0)</f>
        <v>0</v>
      </c>
      <c r="G394" s="491">
        <f ca="1">IF(ISNUMBER('R4 Variations'!G394),+'R4 Variations'!G394*LU_Escalation,0)</f>
        <v>0</v>
      </c>
      <c r="H394" s="491">
        <f ca="1">IF(ISNUMBER('R4 Variations'!H394),+'R4 Variations'!H394*LU_Escalation,0)</f>
        <v>0</v>
      </c>
      <c r="I394" s="491">
        <f ca="1">IF(ISNUMBER('R4 Variations'!I394),+'R4 Variations'!I394*LU_Escalation,0)</f>
        <v>0</v>
      </c>
      <c r="J394" s="491">
        <f ca="1">IF(ISNUMBER('R4 Variations'!J394),+'R4 Variations'!J394*LU_Escalation,0)</f>
        <v>0</v>
      </c>
      <c r="K394" s="491">
        <f ca="1">IF(ISNUMBER('R4 Variations'!K394),+'R4 Variations'!K394*LU_Escalation,0)</f>
        <v>0</v>
      </c>
      <c r="L394" s="515" t="str">
        <f ca="1">+'R4 Variations'!L394</f>
        <v/>
      </c>
      <c r="M394" s="450" t="str">
        <f ca="1">+'R4 Variations'!M394</f>
        <v/>
      </c>
      <c r="N394" s="450" t="str">
        <f ca="1">+'R4 Variations'!N394</f>
        <v/>
      </c>
    </row>
    <row r="395" spans="1:14">
      <c r="A395" s="5"/>
      <c r="B395" s="249"/>
      <c r="C395" s="384" t="str">
        <f ca="1">+'R4 Variations'!C395</f>
        <v/>
      </c>
      <c r="D395" s="491">
        <f ca="1">IF(ISNUMBER('R4 Variations'!D395),+'R4 Variations'!D395*LU_Escalation,0)</f>
        <v>0</v>
      </c>
      <c r="E395" s="850">
        <f ca="1">IF(ISNUMBER('R4 Variations'!E395),+'R4 Variations'!E395*LU_Escalation,0)</f>
        <v>0</v>
      </c>
      <c r="F395" s="491">
        <f ca="1">IF(ISNUMBER('R4 Variations'!F395),+'R4 Variations'!F395*LU_Escalation,0)</f>
        <v>0</v>
      </c>
      <c r="G395" s="491">
        <f ca="1">IF(ISNUMBER('R4 Variations'!G395),+'R4 Variations'!G395*LU_Escalation,0)</f>
        <v>0</v>
      </c>
      <c r="H395" s="491">
        <f ca="1">IF(ISNUMBER('R4 Variations'!H395),+'R4 Variations'!H395*LU_Escalation,0)</f>
        <v>0</v>
      </c>
      <c r="I395" s="491">
        <f ca="1">IF(ISNUMBER('R4 Variations'!I395),+'R4 Variations'!I395*LU_Escalation,0)</f>
        <v>0</v>
      </c>
      <c r="J395" s="491">
        <f ca="1">IF(ISNUMBER('R4 Variations'!J395),+'R4 Variations'!J395*LU_Escalation,0)</f>
        <v>0</v>
      </c>
      <c r="K395" s="491">
        <f ca="1">IF(ISNUMBER('R4 Variations'!K395),+'R4 Variations'!K395*LU_Escalation,0)</f>
        <v>0</v>
      </c>
      <c r="L395" s="515" t="str">
        <f ca="1">+'R4 Variations'!L395</f>
        <v/>
      </c>
      <c r="M395" s="450" t="str">
        <f ca="1">+'R4 Variations'!M395</f>
        <v/>
      </c>
      <c r="N395" s="450" t="str">
        <f ca="1">+'R4 Variations'!N395</f>
        <v/>
      </c>
    </row>
    <row r="396" spans="1:14">
      <c r="A396" s="5"/>
      <c r="B396" s="249"/>
      <c r="C396" s="384" t="str">
        <f ca="1">+'R4 Variations'!C396</f>
        <v/>
      </c>
      <c r="D396" s="491">
        <f ca="1">IF(ISNUMBER('R4 Variations'!D396),+'R4 Variations'!D396*LU_Escalation,0)</f>
        <v>0</v>
      </c>
      <c r="E396" s="850">
        <f ca="1">IF(ISNUMBER('R4 Variations'!E396),+'R4 Variations'!E396*LU_Escalation,0)</f>
        <v>0</v>
      </c>
      <c r="F396" s="491">
        <f ca="1">IF(ISNUMBER('R4 Variations'!F396),+'R4 Variations'!F396*LU_Escalation,0)</f>
        <v>0</v>
      </c>
      <c r="G396" s="491">
        <f ca="1">IF(ISNUMBER('R4 Variations'!G396),+'R4 Variations'!G396*LU_Escalation,0)</f>
        <v>0</v>
      </c>
      <c r="H396" s="491">
        <f ca="1">IF(ISNUMBER('R4 Variations'!H396),+'R4 Variations'!H396*LU_Escalation,0)</f>
        <v>0</v>
      </c>
      <c r="I396" s="491">
        <f ca="1">IF(ISNUMBER('R4 Variations'!I396),+'R4 Variations'!I396*LU_Escalation,0)</f>
        <v>0</v>
      </c>
      <c r="J396" s="491">
        <f ca="1">IF(ISNUMBER('R4 Variations'!J396),+'R4 Variations'!J396*LU_Escalation,0)</f>
        <v>0</v>
      </c>
      <c r="K396" s="491">
        <f ca="1">IF(ISNUMBER('R4 Variations'!K396),+'R4 Variations'!K396*LU_Escalation,0)</f>
        <v>0</v>
      </c>
      <c r="L396" s="515" t="str">
        <f ca="1">+'R4 Variations'!L396</f>
        <v/>
      </c>
      <c r="M396" s="450" t="str">
        <f ca="1">+'R4 Variations'!M396</f>
        <v/>
      </c>
      <c r="N396" s="450" t="str">
        <f ca="1">+'R4 Variations'!N396</f>
        <v/>
      </c>
    </row>
    <row r="397" spans="1:14">
      <c r="A397" s="5"/>
      <c r="B397" s="249"/>
      <c r="C397" s="384" t="str">
        <f ca="1">+'R4 Variations'!C397</f>
        <v/>
      </c>
      <c r="D397" s="491">
        <f ca="1">IF(ISNUMBER('R4 Variations'!D397),+'R4 Variations'!D397*LU_Escalation,0)</f>
        <v>0</v>
      </c>
      <c r="E397" s="850">
        <f ca="1">IF(ISNUMBER('R4 Variations'!E397),+'R4 Variations'!E397*LU_Escalation,0)</f>
        <v>0</v>
      </c>
      <c r="F397" s="491">
        <f ca="1">IF(ISNUMBER('R4 Variations'!F397),+'R4 Variations'!F397*LU_Escalation,0)</f>
        <v>0</v>
      </c>
      <c r="G397" s="491">
        <f ca="1">IF(ISNUMBER('R4 Variations'!G397),+'R4 Variations'!G397*LU_Escalation,0)</f>
        <v>0</v>
      </c>
      <c r="H397" s="491">
        <f ca="1">IF(ISNUMBER('R4 Variations'!H397),+'R4 Variations'!H397*LU_Escalation,0)</f>
        <v>0</v>
      </c>
      <c r="I397" s="491">
        <f ca="1">IF(ISNUMBER('R4 Variations'!I397),+'R4 Variations'!I397*LU_Escalation,0)</f>
        <v>0</v>
      </c>
      <c r="J397" s="491">
        <f ca="1">IF(ISNUMBER('R4 Variations'!J397),+'R4 Variations'!J397*LU_Escalation,0)</f>
        <v>0</v>
      </c>
      <c r="K397" s="491">
        <f ca="1">IF(ISNUMBER('R4 Variations'!K397),+'R4 Variations'!K397*LU_Escalation,0)</f>
        <v>0</v>
      </c>
      <c r="L397" s="515" t="str">
        <f ca="1">+'R4 Variations'!L397</f>
        <v/>
      </c>
      <c r="M397" s="450" t="str">
        <f ca="1">+'R4 Variations'!M397</f>
        <v/>
      </c>
      <c r="N397" s="450" t="str">
        <f ca="1">+'R4 Variations'!N397</f>
        <v/>
      </c>
    </row>
    <row r="398" spans="1:14">
      <c r="A398" s="5"/>
      <c r="B398" s="249"/>
      <c r="C398" s="384" t="str">
        <f ca="1">+'R4 Variations'!C398</f>
        <v/>
      </c>
      <c r="D398" s="491">
        <f ca="1">IF(ISNUMBER('R4 Variations'!D398),+'R4 Variations'!D398*LU_Escalation,0)</f>
        <v>0</v>
      </c>
      <c r="E398" s="850">
        <f ca="1">IF(ISNUMBER('R4 Variations'!E398),+'R4 Variations'!E398*LU_Escalation,0)</f>
        <v>0</v>
      </c>
      <c r="F398" s="491">
        <f ca="1">IF(ISNUMBER('R4 Variations'!F398),+'R4 Variations'!F398*LU_Escalation,0)</f>
        <v>0</v>
      </c>
      <c r="G398" s="491">
        <f ca="1">IF(ISNUMBER('R4 Variations'!G398),+'R4 Variations'!G398*LU_Escalation,0)</f>
        <v>0</v>
      </c>
      <c r="H398" s="491">
        <f ca="1">IF(ISNUMBER('R4 Variations'!H398),+'R4 Variations'!H398*LU_Escalation,0)</f>
        <v>0</v>
      </c>
      <c r="I398" s="491">
        <f ca="1">IF(ISNUMBER('R4 Variations'!I398),+'R4 Variations'!I398*LU_Escalation,0)</f>
        <v>0</v>
      </c>
      <c r="J398" s="491">
        <f ca="1">IF(ISNUMBER('R4 Variations'!J398),+'R4 Variations'!J398*LU_Escalation,0)</f>
        <v>0</v>
      </c>
      <c r="K398" s="491">
        <f ca="1">IF(ISNUMBER('R4 Variations'!K398),+'R4 Variations'!K398*LU_Escalation,0)</f>
        <v>0</v>
      </c>
      <c r="L398" s="515" t="str">
        <f ca="1">+'R4 Variations'!L398</f>
        <v/>
      </c>
      <c r="M398" s="450" t="str">
        <f ca="1">+'R4 Variations'!M398</f>
        <v/>
      </c>
      <c r="N398" s="450" t="str">
        <f ca="1">+'R4 Variations'!N398</f>
        <v/>
      </c>
    </row>
    <row r="399" spans="1:14">
      <c r="A399" s="5"/>
      <c r="B399" s="249"/>
      <c r="C399" s="12"/>
      <c r="D399" s="491"/>
      <c r="E399" s="508"/>
      <c r="F399" s="491"/>
      <c r="G399" s="492"/>
      <c r="H399" s="492"/>
      <c r="I399" s="492"/>
      <c r="J399" s="492"/>
      <c r="K399" s="508"/>
      <c r="L399" s="515"/>
      <c r="M399" s="450"/>
      <c r="N399" s="450"/>
    </row>
    <row r="400" spans="1:14">
      <c r="A400" s="5"/>
      <c r="B400" s="249" t="str">
        <f ca="1">+'I-4 History'!B300</f>
        <v>A-9</v>
      </c>
      <c r="C400" s="14" t="str">
        <f ca="1">+'I-4 History'!C300</f>
        <v>Taxation – Specific Allocation</v>
      </c>
      <c r="D400" s="491"/>
      <c r="E400" s="508"/>
      <c r="F400" s="491"/>
      <c r="G400" s="492"/>
      <c r="H400" s="492"/>
      <c r="I400" s="492"/>
      <c r="J400" s="492"/>
      <c r="K400" s="508"/>
      <c r="L400" s="515"/>
      <c r="M400" s="450"/>
      <c r="N400" s="450"/>
    </row>
    <row r="401" spans="1:14">
      <c r="A401" s="5"/>
      <c r="B401" s="249"/>
      <c r="C401" s="384" t="str">
        <f ca="1">+'R4 Variations'!C401</f>
        <v>Step Change</v>
      </c>
      <c r="D401" s="491">
        <f ca="1">IF(ISNUMBER('R4 Variations'!D401),+'R4 Variations'!D401*LU_Escalation,0)</f>
        <v>0</v>
      </c>
      <c r="E401" s="850">
        <f ca="1">IF(ISNUMBER('R4 Variations'!E401),+'R4 Variations'!E401*LU_Escalation,0)</f>
        <v>0</v>
      </c>
      <c r="F401" s="491">
        <f ca="1">IF(ISNUMBER('R4 Variations'!F401),+'R4 Variations'!F401*LU_Escalation,0)</f>
        <v>0</v>
      </c>
      <c r="G401" s="491">
        <f ca="1">IF(ISNUMBER('R4 Variations'!G401),+'R4 Variations'!G401*LU_Escalation,0)</f>
        <v>0</v>
      </c>
      <c r="H401" s="491">
        <f ca="1">IF(ISNUMBER('R4 Variations'!H401),+'R4 Variations'!H401*LU_Escalation,0)</f>
        <v>0</v>
      </c>
      <c r="I401" s="491">
        <f ca="1">IF(ISNUMBER('R4 Variations'!I401),+'R4 Variations'!I401*LU_Escalation,0)</f>
        <v>0</v>
      </c>
      <c r="J401" s="491">
        <f ca="1">IF(ISNUMBER('R4 Variations'!J401),+'R4 Variations'!J401*LU_Escalation,0)</f>
        <v>0</v>
      </c>
      <c r="K401" s="491">
        <f ca="1">IF(ISNUMBER('R4 Variations'!K401),+'R4 Variations'!K401*LU_Escalation,0)</f>
        <v>0</v>
      </c>
      <c r="L401" s="515" t="str">
        <f ca="1">+'R4 Variations'!L401</f>
        <v>Proposal Step Change</v>
      </c>
      <c r="M401" s="450" t="str">
        <f ca="1">+'R4 Variations'!M401</f>
        <v>Refer Opex Workings</v>
      </c>
      <c r="N401" s="450" t="str">
        <f ca="1">+'R4 Variations'!N401</f>
        <v>Proposal, October 2014</v>
      </c>
    </row>
    <row r="402" spans="1:14">
      <c r="A402" s="5"/>
      <c r="B402" s="249"/>
      <c r="C402" s="384" t="str">
        <f ca="1">+'R4 Variations'!C402</f>
        <v/>
      </c>
      <c r="D402" s="491">
        <f ca="1">IF(ISNUMBER('R4 Variations'!D402),+'R4 Variations'!D402*LU_Escalation,0)</f>
        <v>0</v>
      </c>
      <c r="E402" s="850">
        <f ca="1">IF(ISNUMBER('R4 Variations'!E402),+'R4 Variations'!E402*LU_Escalation,0)</f>
        <v>0</v>
      </c>
      <c r="F402" s="491">
        <f ca="1">IF(ISNUMBER('R4 Variations'!F402),+'R4 Variations'!F402*LU_Escalation,0)</f>
        <v>0</v>
      </c>
      <c r="G402" s="491">
        <f ca="1">IF(ISNUMBER('R4 Variations'!G402),+'R4 Variations'!G402*LU_Escalation,0)</f>
        <v>0</v>
      </c>
      <c r="H402" s="491">
        <f ca="1">IF(ISNUMBER('R4 Variations'!H402),+'R4 Variations'!H402*LU_Escalation,0)</f>
        <v>0</v>
      </c>
      <c r="I402" s="491">
        <f ca="1">IF(ISNUMBER('R4 Variations'!I402),+'R4 Variations'!I402*LU_Escalation,0)</f>
        <v>0</v>
      </c>
      <c r="J402" s="491">
        <f ca="1">IF(ISNUMBER('R4 Variations'!J402),+'R4 Variations'!J402*LU_Escalation,0)</f>
        <v>0</v>
      </c>
      <c r="K402" s="491">
        <f ca="1">IF(ISNUMBER('R4 Variations'!K402),+'R4 Variations'!K402*LU_Escalation,0)</f>
        <v>0</v>
      </c>
      <c r="L402" s="515" t="str">
        <f ca="1">+'R4 Variations'!L402</f>
        <v/>
      </c>
      <c r="M402" s="450" t="str">
        <f ca="1">+'R4 Variations'!M402</f>
        <v/>
      </c>
      <c r="N402" s="450" t="str">
        <f ca="1">+'R4 Variations'!N402</f>
        <v/>
      </c>
    </row>
    <row r="403" spans="1:14">
      <c r="A403" s="5"/>
      <c r="B403" s="249"/>
      <c r="C403" s="384" t="str">
        <f ca="1">+'R4 Variations'!C403</f>
        <v/>
      </c>
      <c r="D403" s="491">
        <f ca="1">IF(ISNUMBER('R4 Variations'!D403),+'R4 Variations'!D403*LU_Escalation,0)</f>
        <v>0</v>
      </c>
      <c r="E403" s="850">
        <f ca="1">IF(ISNUMBER('R4 Variations'!E403),+'R4 Variations'!E403*LU_Escalation,0)</f>
        <v>0</v>
      </c>
      <c r="F403" s="491">
        <f ca="1">IF(ISNUMBER('R4 Variations'!F403),+'R4 Variations'!F403*LU_Escalation,0)</f>
        <v>0</v>
      </c>
      <c r="G403" s="491">
        <f ca="1">IF(ISNUMBER('R4 Variations'!G403),+'R4 Variations'!G403*LU_Escalation,0)</f>
        <v>0</v>
      </c>
      <c r="H403" s="491">
        <f ca="1">IF(ISNUMBER('R4 Variations'!H403),+'R4 Variations'!H403*LU_Escalation,0)</f>
        <v>0</v>
      </c>
      <c r="I403" s="491">
        <f ca="1">IF(ISNUMBER('R4 Variations'!I403),+'R4 Variations'!I403*LU_Escalation,0)</f>
        <v>0</v>
      </c>
      <c r="J403" s="491">
        <f ca="1">IF(ISNUMBER('R4 Variations'!J403),+'R4 Variations'!J403*LU_Escalation,0)</f>
        <v>0</v>
      </c>
      <c r="K403" s="491">
        <f ca="1">IF(ISNUMBER('R4 Variations'!K403),+'R4 Variations'!K403*LU_Escalation,0)</f>
        <v>0</v>
      </c>
      <c r="L403" s="515" t="str">
        <f ca="1">+'R4 Variations'!L403</f>
        <v/>
      </c>
      <c r="M403" s="450" t="str">
        <f ca="1">+'R4 Variations'!M403</f>
        <v/>
      </c>
      <c r="N403" s="450" t="str">
        <f ca="1">+'R4 Variations'!N403</f>
        <v/>
      </c>
    </row>
    <row r="404" spans="1:14">
      <c r="A404" s="5"/>
      <c r="B404" s="249"/>
      <c r="C404" s="384" t="str">
        <f ca="1">+'R4 Variations'!C404</f>
        <v/>
      </c>
      <c r="D404" s="491">
        <f ca="1">IF(ISNUMBER('R4 Variations'!D404),+'R4 Variations'!D404*LU_Escalation,0)</f>
        <v>0</v>
      </c>
      <c r="E404" s="850">
        <f ca="1">IF(ISNUMBER('R4 Variations'!E404),+'R4 Variations'!E404*LU_Escalation,0)</f>
        <v>0</v>
      </c>
      <c r="F404" s="491">
        <f ca="1">IF(ISNUMBER('R4 Variations'!F404),+'R4 Variations'!F404*LU_Escalation,0)</f>
        <v>0</v>
      </c>
      <c r="G404" s="491">
        <f ca="1">IF(ISNUMBER('R4 Variations'!G404),+'R4 Variations'!G404*LU_Escalation,0)</f>
        <v>0</v>
      </c>
      <c r="H404" s="491">
        <f ca="1">IF(ISNUMBER('R4 Variations'!H404),+'R4 Variations'!H404*LU_Escalation,0)</f>
        <v>0</v>
      </c>
      <c r="I404" s="491">
        <f ca="1">IF(ISNUMBER('R4 Variations'!I404),+'R4 Variations'!I404*LU_Escalation,0)</f>
        <v>0</v>
      </c>
      <c r="J404" s="491">
        <f ca="1">IF(ISNUMBER('R4 Variations'!J404),+'R4 Variations'!J404*LU_Escalation,0)</f>
        <v>0</v>
      </c>
      <c r="K404" s="491">
        <f ca="1">IF(ISNUMBER('R4 Variations'!K404),+'R4 Variations'!K404*LU_Escalation,0)</f>
        <v>0</v>
      </c>
      <c r="L404" s="515" t="str">
        <f ca="1">+'R4 Variations'!L404</f>
        <v/>
      </c>
      <c r="M404" s="450" t="str">
        <f ca="1">+'R4 Variations'!M404</f>
        <v/>
      </c>
      <c r="N404" s="450" t="str">
        <f ca="1">+'R4 Variations'!N404</f>
        <v/>
      </c>
    </row>
    <row r="405" spans="1:14">
      <c r="A405" s="5"/>
      <c r="B405" s="249"/>
      <c r="C405" s="384" t="str">
        <f ca="1">+'R4 Variations'!C405</f>
        <v/>
      </c>
      <c r="D405" s="491">
        <f ca="1">IF(ISNUMBER('R4 Variations'!D405),+'R4 Variations'!D405*LU_Escalation,0)</f>
        <v>0</v>
      </c>
      <c r="E405" s="850">
        <f ca="1">IF(ISNUMBER('R4 Variations'!E405),+'R4 Variations'!E405*LU_Escalation,0)</f>
        <v>0</v>
      </c>
      <c r="F405" s="491">
        <f ca="1">IF(ISNUMBER('R4 Variations'!F405),+'R4 Variations'!F405*LU_Escalation,0)</f>
        <v>0</v>
      </c>
      <c r="G405" s="491">
        <f ca="1">IF(ISNUMBER('R4 Variations'!G405),+'R4 Variations'!G405*LU_Escalation,0)</f>
        <v>0</v>
      </c>
      <c r="H405" s="491">
        <f ca="1">IF(ISNUMBER('R4 Variations'!H405),+'R4 Variations'!H405*LU_Escalation,0)</f>
        <v>0</v>
      </c>
      <c r="I405" s="491">
        <f ca="1">IF(ISNUMBER('R4 Variations'!I405),+'R4 Variations'!I405*LU_Escalation,0)</f>
        <v>0</v>
      </c>
      <c r="J405" s="491">
        <f ca="1">IF(ISNUMBER('R4 Variations'!J405),+'R4 Variations'!J405*LU_Escalation,0)</f>
        <v>0</v>
      </c>
      <c r="K405" s="491">
        <f ca="1">IF(ISNUMBER('R4 Variations'!K405),+'R4 Variations'!K405*LU_Escalation,0)</f>
        <v>0</v>
      </c>
      <c r="L405" s="515" t="str">
        <f ca="1">+'R4 Variations'!L405</f>
        <v/>
      </c>
      <c r="M405" s="450" t="str">
        <f ca="1">+'R4 Variations'!M405</f>
        <v/>
      </c>
      <c r="N405" s="450" t="str">
        <f ca="1">+'R4 Variations'!N405</f>
        <v/>
      </c>
    </row>
    <row r="406" spans="1:14">
      <c r="A406" s="5"/>
      <c r="B406" s="249"/>
      <c r="C406" s="384" t="str">
        <f ca="1">+'R4 Variations'!C406</f>
        <v/>
      </c>
      <c r="D406" s="491">
        <f ca="1">IF(ISNUMBER('R4 Variations'!D406),+'R4 Variations'!D406*LU_Escalation,0)</f>
        <v>0</v>
      </c>
      <c r="E406" s="850">
        <f ca="1">IF(ISNUMBER('R4 Variations'!E406),+'R4 Variations'!E406*LU_Escalation,0)</f>
        <v>0</v>
      </c>
      <c r="F406" s="491">
        <f ca="1">IF(ISNUMBER('R4 Variations'!F406),+'R4 Variations'!F406*LU_Escalation,0)</f>
        <v>0</v>
      </c>
      <c r="G406" s="491">
        <f ca="1">IF(ISNUMBER('R4 Variations'!G406),+'R4 Variations'!G406*LU_Escalation,0)</f>
        <v>0</v>
      </c>
      <c r="H406" s="491">
        <f ca="1">IF(ISNUMBER('R4 Variations'!H406),+'R4 Variations'!H406*LU_Escalation,0)</f>
        <v>0</v>
      </c>
      <c r="I406" s="491">
        <f ca="1">IF(ISNUMBER('R4 Variations'!I406),+'R4 Variations'!I406*LU_Escalation,0)</f>
        <v>0</v>
      </c>
      <c r="J406" s="491">
        <f ca="1">IF(ISNUMBER('R4 Variations'!J406),+'R4 Variations'!J406*LU_Escalation,0)</f>
        <v>0</v>
      </c>
      <c r="K406" s="491">
        <f ca="1">IF(ISNUMBER('R4 Variations'!K406),+'R4 Variations'!K406*LU_Escalation,0)</f>
        <v>0</v>
      </c>
      <c r="L406" s="515" t="str">
        <f ca="1">+'R4 Variations'!L406</f>
        <v/>
      </c>
      <c r="M406" s="450" t="str">
        <f ca="1">+'R4 Variations'!M406</f>
        <v/>
      </c>
      <c r="N406" s="450" t="str">
        <f ca="1">+'R4 Variations'!N406</f>
        <v/>
      </c>
    </row>
    <row r="407" spans="1:14">
      <c r="A407" s="5"/>
      <c r="B407" s="249"/>
      <c r="C407" s="384" t="str">
        <f ca="1">+'R4 Variations'!C407</f>
        <v/>
      </c>
      <c r="D407" s="491">
        <f ca="1">IF(ISNUMBER('R4 Variations'!D407),+'R4 Variations'!D407*LU_Escalation,0)</f>
        <v>0</v>
      </c>
      <c r="E407" s="850">
        <f ca="1">IF(ISNUMBER('R4 Variations'!E407),+'R4 Variations'!E407*LU_Escalation,0)</f>
        <v>0</v>
      </c>
      <c r="F407" s="491">
        <f ca="1">IF(ISNUMBER('R4 Variations'!F407),+'R4 Variations'!F407*LU_Escalation,0)</f>
        <v>0</v>
      </c>
      <c r="G407" s="491">
        <f ca="1">IF(ISNUMBER('R4 Variations'!G407),+'R4 Variations'!G407*LU_Escalation,0)</f>
        <v>0</v>
      </c>
      <c r="H407" s="491">
        <f ca="1">IF(ISNUMBER('R4 Variations'!H407),+'R4 Variations'!H407*LU_Escalation,0)</f>
        <v>0</v>
      </c>
      <c r="I407" s="491">
        <f ca="1">IF(ISNUMBER('R4 Variations'!I407),+'R4 Variations'!I407*LU_Escalation,0)</f>
        <v>0</v>
      </c>
      <c r="J407" s="491">
        <f ca="1">IF(ISNUMBER('R4 Variations'!J407),+'R4 Variations'!J407*LU_Escalation,0)</f>
        <v>0</v>
      </c>
      <c r="K407" s="491">
        <f ca="1">IF(ISNUMBER('R4 Variations'!K407),+'R4 Variations'!K407*LU_Escalation,0)</f>
        <v>0</v>
      </c>
      <c r="L407" s="515" t="str">
        <f ca="1">+'R4 Variations'!L407</f>
        <v/>
      </c>
      <c r="M407" s="450" t="str">
        <f ca="1">+'R4 Variations'!M407</f>
        <v/>
      </c>
      <c r="N407" s="450" t="str">
        <f ca="1">+'R4 Variations'!N407</f>
        <v/>
      </c>
    </row>
    <row r="408" spans="1:14">
      <c r="A408" s="5"/>
      <c r="B408" s="249"/>
      <c r="C408" s="384" t="str">
        <f ca="1">+'R4 Variations'!C408</f>
        <v/>
      </c>
      <c r="D408" s="491">
        <f ca="1">IF(ISNUMBER('R4 Variations'!D408),+'R4 Variations'!D408*LU_Escalation,0)</f>
        <v>0</v>
      </c>
      <c r="E408" s="850">
        <f ca="1">IF(ISNUMBER('R4 Variations'!E408),+'R4 Variations'!E408*LU_Escalation,0)</f>
        <v>0</v>
      </c>
      <c r="F408" s="491">
        <f ca="1">IF(ISNUMBER('R4 Variations'!F408),+'R4 Variations'!F408*LU_Escalation,0)</f>
        <v>0</v>
      </c>
      <c r="G408" s="491">
        <f ca="1">IF(ISNUMBER('R4 Variations'!G408),+'R4 Variations'!G408*LU_Escalation,0)</f>
        <v>0</v>
      </c>
      <c r="H408" s="491">
        <f ca="1">IF(ISNUMBER('R4 Variations'!H408),+'R4 Variations'!H408*LU_Escalation,0)</f>
        <v>0</v>
      </c>
      <c r="I408" s="491">
        <f ca="1">IF(ISNUMBER('R4 Variations'!I408),+'R4 Variations'!I408*LU_Escalation,0)</f>
        <v>0</v>
      </c>
      <c r="J408" s="491">
        <f ca="1">IF(ISNUMBER('R4 Variations'!J408),+'R4 Variations'!J408*LU_Escalation,0)</f>
        <v>0</v>
      </c>
      <c r="K408" s="491">
        <f ca="1">IF(ISNUMBER('R4 Variations'!K408),+'R4 Variations'!K408*LU_Escalation,0)</f>
        <v>0</v>
      </c>
      <c r="L408" s="515" t="str">
        <f ca="1">+'R4 Variations'!L408</f>
        <v/>
      </c>
      <c r="M408" s="450" t="str">
        <f ca="1">+'R4 Variations'!M408</f>
        <v/>
      </c>
      <c r="N408" s="450" t="str">
        <f ca="1">+'R4 Variations'!N408</f>
        <v/>
      </c>
    </row>
    <row r="409" spans="1:14">
      <c r="A409" s="5"/>
      <c r="B409" s="249"/>
      <c r="C409" s="384" t="str">
        <f ca="1">+'R4 Variations'!C409</f>
        <v/>
      </c>
      <c r="D409" s="491">
        <f ca="1">IF(ISNUMBER('R4 Variations'!D409),+'R4 Variations'!D409*LU_Escalation,0)</f>
        <v>0</v>
      </c>
      <c r="E409" s="850">
        <f ca="1">IF(ISNUMBER('R4 Variations'!E409),+'R4 Variations'!E409*LU_Escalation,0)</f>
        <v>0</v>
      </c>
      <c r="F409" s="491">
        <f ca="1">IF(ISNUMBER('R4 Variations'!F409),+'R4 Variations'!F409*LU_Escalation,0)</f>
        <v>0</v>
      </c>
      <c r="G409" s="491">
        <f ca="1">IF(ISNUMBER('R4 Variations'!G409),+'R4 Variations'!G409*LU_Escalation,0)</f>
        <v>0</v>
      </c>
      <c r="H409" s="491">
        <f ca="1">IF(ISNUMBER('R4 Variations'!H409),+'R4 Variations'!H409*LU_Escalation,0)</f>
        <v>0</v>
      </c>
      <c r="I409" s="491">
        <f ca="1">IF(ISNUMBER('R4 Variations'!I409),+'R4 Variations'!I409*LU_Escalation,0)</f>
        <v>0</v>
      </c>
      <c r="J409" s="491">
        <f ca="1">IF(ISNUMBER('R4 Variations'!J409),+'R4 Variations'!J409*LU_Escalation,0)</f>
        <v>0</v>
      </c>
      <c r="K409" s="491">
        <f ca="1">IF(ISNUMBER('R4 Variations'!K409),+'R4 Variations'!K409*LU_Escalation,0)</f>
        <v>0</v>
      </c>
      <c r="L409" s="515" t="str">
        <f ca="1">+'R4 Variations'!L409</f>
        <v/>
      </c>
      <c r="M409" s="450" t="str">
        <f ca="1">+'R4 Variations'!M409</f>
        <v/>
      </c>
      <c r="N409" s="450" t="str">
        <f ca="1">+'R4 Variations'!N409</f>
        <v/>
      </c>
    </row>
    <row r="410" spans="1:14">
      <c r="A410" s="5"/>
      <c r="B410" s="249"/>
      <c r="C410" s="384" t="str">
        <f ca="1">+'R4 Variations'!C410</f>
        <v/>
      </c>
      <c r="D410" s="491">
        <f ca="1">IF(ISNUMBER('R4 Variations'!D410),+'R4 Variations'!D410*LU_Escalation,0)</f>
        <v>0</v>
      </c>
      <c r="E410" s="850">
        <f ca="1">IF(ISNUMBER('R4 Variations'!E410),+'R4 Variations'!E410*LU_Escalation,0)</f>
        <v>0</v>
      </c>
      <c r="F410" s="491">
        <f ca="1">IF(ISNUMBER('R4 Variations'!F410),+'R4 Variations'!F410*LU_Escalation,0)</f>
        <v>0</v>
      </c>
      <c r="G410" s="491">
        <f ca="1">IF(ISNUMBER('R4 Variations'!G410),+'R4 Variations'!G410*LU_Escalation,0)</f>
        <v>0</v>
      </c>
      <c r="H410" s="491">
        <f ca="1">IF(ISNUMBER('R4 Variations'!H410),+'R4 Variations'!H410*LU_Escalation,0)</f>
        <v>0</v>
      </c>
      <c r="I410" s="491">
        <f ca="1">IF(ISNUMBER('R4 Variations'!I410),+'R4 Variations'!I410*LU_Escalation,0)</f>
        <v>0</v>
      </c>
      <c r="J410" s="491">
        <f ca="1">IF(ISNUMBER('R4 Variations'!J410),+'R4 Variations'!J410*LU_Escalation,0)</f>
        <v>0</v>
      </c>
      <c r="K410" s="491">
        <f ca="1">IF(ISNUMBER('R4 Variations'!K410),+'R4 Variations'!K410*LU_Escalation,0)</f>
        <v>0</v>
      </c>
      <c r="L410" s="515" t="str">
        <f ca="1">+'R4 Variations'!L410</f>
        <v/>
      </c>
      <c r="M410" s="450" t="str">
        <f ca="1">+'R4 Variations'!M410</f>
        <v/>
      </c>
      <c r="N410" s="450" t="str">
        <f ca="1">+'R4 Variations'!N410</f>
        <v/>
      </c>
    </row>
    <row r="411" spans="1:14">
      <c r="A411" s="5"/>
      <c r="B411" s="249"/>
      <c r="C411" s="12"/>
      <c r="D411" s="491"/>
      <c r="E411" s="508"/>
      <c r="F411" s="491"/>
      <c r="G411" s="492"/>
      <c r="H411" s="492"/>
      <c r="I411" s="492"/>
      <c r="J411" s="492"/>
      <c r="K411" s="508"/>
      <c r="L411" s="515"/>
      <c r="M411" s="450"/>
      <c r="N411" s="450"/>
    </row>
    <row r="412" spans="1:14">
      <c r="A412" s="5"/>
      <c r="B412" s="249" t="str">
        <f ca="1">+'I-4 History'!B309</f>
        <v>A-10</v>
      </c>
      <c r="C412" s="14" t="str">
        <f ca="1">+'I-4 History'!C309</f>
        <v>Corporate Finance</v>
      </c>
      <c r="D412" s="491"/>
      <c r="E412" s="508"/>
      <c r="F412" s="491"/>
      <c r="G412" s="492"/>
      <c r="H412" s="492"/>
      <c r="I412" s="492"/>
      <c r="J412" s="492"/>
      <c r="K412" s="508"/>
      <c r="L412" s="515"/>
      <c r="M412" s="450"/>
      <c r="N412" s="450"/>
    </row>
    <row r="413" spans="1:14">
      <c r="A413" s="5"/>
      <c r="B413" s="249"/>
      <c r="C413" s="384" t="str">
        <f ca="1">+'R4 Variations'!C413</f>
        <v>Step Change</v>
      </c>
      <c r="D413" s="491">
        <f ca="1">IF(ISNUMBER('R4 Variations'!D413),+'R4 Variations'!D413*LU_Escalation,0)</f>
        <v>0</v>
      </c>
      <c r="E413" s="850">
        <f ca="1">IF(ISNUMBER('R4 Variations'!E413),+'R4 Variations'!E413*LU_Escalation,0)</f>
        <v>0</v>
      </c>
      <c r="F413" s="491">
        <f ca="1">IF(ISNUMBER('R4 Variations'!F413),+'R4 Variations'!F413*LU_Escalation,0)</f>
        <v>0</v>
      </c>
      <c r="G413" s="491">
        <f ca="1">IF(ISNUMBER('R4 Variations'!G413),+'R4 Variations'!G413*LU_Escalation,0)</f>
        <v>0</v>
      </c>
      <c r="H413" s="491">
        <f ca="1">IF(ISNUMBER('R4 Variations'!H413),+'R4 Variations'!H413*LU_Escalation,0)</f>
        <v>0</v>
      </c>
      <c r="I413" s="491">
        <f ca="1">IF(ISNUMBER('R4 Variations'!I413),+'R4 Variations'!I413*LU_Escalation,0)</f>
        <v>0</v>
      </c>
      <c r="J413" s="491">
        <f ca="1">IF(ISNUMBER('R4 Variations'!J413),+'R4 Variations'!J413*LU_Escalation,0)</f>
        <v>0</v>
      </c>
      <c r="K413" s="491">
        <f ca="1">IF(ISNUMBER('R4 Variations'!K413),+'R4 Variations'!K413*LU_Escalation,0)</f>
        <v>0</v>
      </c>
      <c r="L413" s="515" t="str">
        <f ca="1">+'R4 Variations'!L413</f>
        <v>Proposal Step Change</v>
      </c>
      <c r="M413" s="450" t="str">
        <f ca="1">+'R4 Variations'!M413</f>
        <v>Refer Opex Workings</v>
      </c>
      <c r="N413" s="450" t="str">
        <f ca="1">+'R4 Variations'!N413</f>
        <v>Proposal, October 2014</v>
      </c>
    </row>
    <row r="414" spans="1:14">
      <c r="A414" s="5"/>
      <c r="B414" s="249"/>
      <c r="C414" s="384" t="str">
        <f ca="1">+'R4 Variations'!C414</f>
        <v/>
      </c>
      <c r="D414" s="491">
        <f ca="1">IF(ISNUMBER('R4 Variations'!D414),+'R4 Variations'!D414*LU_Escalation,0)</f>
        <v>0</v>
      </c>
      <c r="E414" s="850">
        <f ca="1">IF(ISNUMBER('R4 Variations'!E414),+'R4 Variations'!E414*LU_Escalation,0)</f>
        <v>0</v>
      </c>
      <c r="F414" s="491">
        <f ca="1">IF(ISNUMBER('R4 Variations'!F414),+'R4 Variations'!F414*LU_Escalation,0)</f>
        <v>0</v>
      </c>
      <c r="G414" s="491">
        <f ca="1">IF(ISNUMBER('R4 Variations'!G414),+'R4 Variations'!G414*LU_Escalation,0)</f>
        <v>0</v>
      </c>
      <c r="H414" s="491">
        <f ca="1">IF(ISNUMBER('R4 Variations'!H414),+'R4 Variations'!H414*LU_Escalation,0)</f>
        <v>0</v>
      </c>
      <c r="I414" s="491">
        <f ca="1">IF(ISNUMBER('R4 Variations'!I414),+'R4 Variations'!I414*LU_Escalation,0)</f>
        <v>0</v>
      </c>
      <c r="J414" s="491">
        <f ca="1">IF(ISNUMBER('R4 Variations'!J414),+'R4 Variations'!J414*LU_Escalation,0)</f>
        <v>0</v>
      </c>
      <c r="K414" s="491">
        <f ca="1">IF(ISNUMBER('R4 Variations'!K414),+'R4 Variations'!K414*LU_Escalation,0)</f>
        <v>0</v>
      </c>
      <c r="L414" s="515" t="str">
        <f ca="1">+'R4 Variations'!L414</f>
        <v/>
      </c>
      <c r="M414" s="450" t="str">
        <f ca="1">+'R4 Variations'!M414</f>
        <v/>
      </c>
      <c r="N414" s="450" t="str">
        <f ca="1">+'R4 Variations'!N414</f>
        <v/>
      </c>
    </row>
    <row r="415" spans="1:14">
      <c r="A415" s="5"/>
      <c r="B415" s="249"/>
      <c r="C415" s="384" t="str">
        <f ca="1">+'R4 Variations'!C415</f>
        <v/>
      </c>
      <c r="D415" s="491">
        <f ca="1">IF(ISNUMBER('R4 Variations'!D415),+'R4 Variations'!D415*LU_Escalation,0)</f>
        <v>0</v>
      </c>
      <c r="E415" s="850">
        <f ca="1">IF(ISNUMBER('R4 Variations'!E415),+'R4 Variations'!E415*LU_Escalation,0)</f>
        <v>0</v>
      </c>
      <c r="F415" s="491">
        <f ca="1">IF(ISNUMBER('R4 Variations'!F415),+'R4 Variations'!F415*LU_Escalation,0)</f>
        <v>0</v>
      </c>
      <c r="G415" s="491">
        <f ca="1">IF(ISNUMBER('R4 Variations'!G415),+'R4 Variations'!G415*LU_Escalation,0)</f>
        <v>0</v>
      </c>
      <c r="H415" s="491">
        <f ca="1">IF(ISNUMBER('R4 Variations'!H415),+'R4 Variations'!H415*LU_Escalation,0)</f>
        <v>0</v>
      </c>
      <c r="I415" s="491">
        <f ca="1">IF(ISNUMBER('R4 Variations'!I415),+'R4 Variations'!I415*LU_Escalation,0)</f>
        <v>0</v>
      </c>
      <c r="J415" s="491">
        <f ca="1">IF(ISNUMBER('R4 Variations'!J415),+'R4 Variations'!J415*LU_Escalation,0)</f>
        <v>0</v>
      </c>
      <c r="K415" s="491">
        <f ca="1">IF(ISNUMBER('R4 Variations'!K415),+'R4 Variations'!K415*LU_Escalation,0)</f>
        <v>0</v>
      </c>
      <c r="L415" s="515" t="str">
        <f ca="1">+'R4 Variations'!L415</f>
        <v/>
      </c>
      <c r="M415" s="450" t="str">
        <f ca="1">+'R4 Variations'!M415</f>
        <v/>
      </c>
      <c r="N415" s="450" t="str">
        <f ca="1">+'R4 Variations'!N415</f>
        <v/>
      </c>
    </row>
    <row r="416" spans="1:14">
      <c r="A416" s="5"/>
      <c r="B416" s="249"/>
      <c r="C416" s="384" t="str">
        <f ca="1">+'R4 Variations'!C416</f>
        <v/>
      </c>
      <c r="D416" s="491">
        <f ca="1">IF(ISNUMBER('R4 Variations'!D416),+'R4 Variations'!D416*LU_Escalation,0)</f>
        <v>0</v>
      </c>
      <c r="E416" s="850">
        <f ca="1">IF(ISNUMBER('R4 Variations'!E416),+'R4 Variations'!E416*LU_Escalation,0)</f>
        <v>0</v>
      </c>
      <c r="F416" s="491">
        <f ca="1">IF(ISNUMBER('R4 Variations'!F416),+'R4 Variations'!F416*LU_Escalation,0)</f>
        <v>0</v>
      </c>
      <c r="G416" s="491">
        <f ca="1">IF(ISNUMBER('R4 Variations'!G416),+'R4 Variations'!G416*LU_Escalation,0)</f>
        <v>0</v>
      </c>
      <c r="H416" s="491">
        <f ca="1">IF(ISNUMBER('R4 Variations'!H416),+'R4 Variations'!H416*LU_Escalation,0)</f>
        <v>0</v>
      </c>
      <c r="I416" s="491">
        <f ca="1">IF(ISNUMBER('R4 Variations'!I416),+'R4 Variations'!I416*LU_Escalation,0)</f>
        <v>0</v>
      </c>
      <c r="J416" s="491">
        <f ca="1">IF(ISNUMBER('R4 Variations'!J416),+'R4 Variations'!J416*LU_Escalation,0)</f>
        <v>0</v>
      </c>
      <c r="K416" s="491">
        <f ca="1">IF(ISNUMBER('R4 Variations'!K416),+'R4 Variations'!K416*LU_Escalation,0)</f>
        <v>0</v>
      </c>
      <c r="L416" s="515" t="str">
        <f ca="1">+'R4 Variations'!L416</f>
        <v/>
      </c>
      <c r="M416" s="450" t="str">
        <f ca="1">+'R4 Variations'!M416</f>
        <v/>
      </c>
      <c r="N416" s="450" t="str">
        <f ca="1">+'R4 Variations'!N416</f>
        <v/>
      </c>
    </row>
    <row r="417" spans="1:14">
      <c r="A417" s="5"/>
      <c r="B417" s="249"/>
      <c r="C417" s="384" t="str">
        <f ca="1">+'R4 Variations'!C417</f>
        <v/>
      </c>
      <c r="D417" s="491">
        <f ca="1">IF(ISNUMBER('R4 Variations'!D417),+'R4 Variations'!D417*LU_Escalation,0)</f>
        <v>0</v>
      </c>
      <c r="E417" s="850">
        <f ca="1">IF(ISNUMBER('R4 Variations'!E417),+'R4 Variations'!E417*LU_Escalation,0)</f>
        <v>0</v>
      </c>
      <c r="F417" s="491">
        <f ca="1">IF(ISNUMBER('R4 Variations'!F417),+'R4 Variations'!F417*LU_Escalation,0)</f>
        <v>0</v>
      </c>
      <c r="G417" s="491">
        <f ca="1">IF(ISNUMBER('R4 Variations'!G417),+'R4 Variations'!G417*LU_Escalation,0)</f>
        <v>0</v>
      </c>
      <c r="H417" s="491">
        <f ca="1">IF(ISNUMBER('R4 Variations'!H417),+'R4 Variations'!H417*LU_Escalation,0)</f>
        <v>0</v>
      </c>
      <c r="I417" s="491">
        <f ca="1">IF(ISNUMBER('R4 Variations'!I417),+'R4 Variations'!I417*LU_Escalation,0)</f>
        <v>0</v>
      </c>
      <c r="J417" s="491">
        <f ca="1">IF(ISNUMBER('R4 Variations'!J417),+'R4 Variations'!J417*LU_Escalation,0)</f>
        <v>0</v>
      </c>
      <c r="K417" s="491">
        <f ca="1">IF(ISNUMBER('R4 Variations'!K417),+'R4 Variations'!K417*LU_Escalation,0)</f>
        <v>0</v>
      </c>
      <c r="L417" s="515" t="str">
        <f ca="1">+'R4 Variations'!L417</f>
        <v/>
      </c>
      <c r="M417" s="450" t="str">
        <f ca="1">+'R4 Variations'!M417</f>
        <v/>
      </c>
      <c r="N417" s="450" t="str">
        <f ca="1">+'R4 Variations'!N417</f>
        <v/>
      </c>
    </row>
    <row r="418" spans="1:14">
      <c r="B418" s="249"/>
      <c r="C418" s="384" t="str">
        <f ca="1">+'R4 Variations'!C418</f>
        <v/>
      </c>
      <c r="D418" s="491">
        <f ca="1">IF(ISNUMBER('R4 Variations'!D418),+'R4 Variations'!D418*LU_Escalation,0)</f>
        <v>0</v>
      </c>
      <c r="E418" s="850">
        <f ca="1">IF(ISNUMBER('R4 Variations'!E418),+'R4 Variations'!E418*LU_Escalation,0)</f>
        <v>0</v>
      </c>
      <c r="F418" s="491">
        <f ca="1">IF(ISNUMBER('R4 Variations'!F418),+'R4 Variations'!F418*LU_Escalation,0)</f>
        <v>0</v>
      </c>
      <c r="G418" s="491">
        <f ca="1">IF(ISNUMBER('R4 Variations'!G418),+'R4 Variations'!G418*LU_Escalation,0)</f>
        <v>0</v>
      </c>
      <c r="H418" s="491">
        <f ca="1">IF(ISNUMBER('R4 Variations'!H418),+'R4 Variations'!H418*LU_Escalation,0)</f>
        <v>0</v>
      </c>
      <c r="I418" s="491">
        <f ca="1">IF(ISNUMBER('R4 Variations'!I418),+'R4 Variations'!I418*LU_Escalation,0)</f>
        <v>0</v>
      </c>
      <c r="J418" s="491">
        <f ca="1">IF(ISNUMBER('R4 Variations'!J418),+'R4 Variations'!J418*LU_Escalation,0)</f>
        <v>0</v>
      </c>
      <c r="K418" s="491">
        <f ca="1">IF(ISNUMBER('R4 Variations'!K418),+'R4 Variations'!K418*LU_Escalation,0)</f>
        <v>0</v>
      </c>
      <c r="L418" s="515" t="str">
        <f ca="1">+'R4 Variations'!L418</f>
        <v/>
      </c>
      <c r="M418" s="450" t="str">
        <f ca="1">+'R4 Variations'!M418</f>
        <v/>
      </c>
      <c r="N418" s="450" t="str">
        <f ca="1">+'R4 Variations'!N418</f>
        <v/>
      </c>
    </row>
    <row r="419" spans="1:14">
      <c r="B419" s="249"/>
      <c r="C419" s="384" t="str">
        <f ca="1">+'R4 Variations'!C419</f>
        <v/>
      </c>
      <c r="D419" s="491">
        <f ca="1">IF(ISNUMBER('R4 Variations'!D419),+'R4 Variations'!D419*LU_Escalation,0)</f>
        <v>0</v>
      </c>
      <c r="E419" s="850">
        <f ca="1">IF(ISNUMBER('R4 Variations'!E419),+'R4 Variations'!E419*LU_Escalation,0)</f>
        <v>0</v>
      </c>
      <c r="F419" s="491">
        <f ca="1">IF(ISNUMBER('R4 Variations'!F419),+'R4 Variations'!F419*LU_Escalation,0)</f>
        <v>0</v>
      </c>
      <c r="G419" s="491">
        <f ca="1">IF(ISNUMBER('R4 Variations'!G419),+'R4 Variations'!G419*LU_Escalation,0)</f>
        <v>0</v>
      </c>
      <c r="H419" s="491">
        <f ca="1">IF(ISNUMBER('R4 Variations'!H419),+'R4 Variations'!H419*LU_Escalation,0)</f>
        <v>0</v>
      </c>
      <c r="I419" s="491">
        <f ca="1">IF(ISNUMBER('R4 Variations'!I419),+'R4 Variations'!I419*LU_Escalation,0)</f>
        <v>0</v>
      </c>
      <c r="J419" s="491">
        <f ca="1">IF(ISNUMBER('R4 Variations'!J419),+'R4 Variations'!J419*LU_Escalation,0)</f>
        <v>0</v>
      </c>
      <c r="K419" s="491">
        <f ca="1">IF(ISNUMBER('R4 Variations'!K419),+'R4 Variations'!K419*LU_Escalation,0)</f>
        <v>0</v>
      </c>
      <c r="L419" s="515" t="str">
        <f ca="1">+'R4 Variations'!L419</f>
        <v/>
      </c>
      <c r="M419" s="450" t="str">
        <f ca="1">+'R4 Variations'!M419</f>
        <v/>
      </c>
      <c r="N419" s="450" t="str">
        <f ca="1">+'R4 Variations'!N419</f>
        <v/>
      </c>
    </row>
    <row r="420" spans="1:14">
      <c r="B420" s="249"/>
      <c r="C420" s="384" t="str">
        <f ca="1">+'R4 Variations'!C420</f>
        <v/>
      </c>
      <c r="D420" s="491">
        <f ca="1">IF(ISNUMBER('R4 Variations'!D420),+'R4 Variations'!D420*LU_Escalation,0)</f>
        <v>0</v>
      </c>
      <c r="E420" s="850">
        <f ca="1">IF(ISNUMBER('R4 Variations'!E420),+'R4 Variations'!E420*LU_Escalation,0)</f>
        <v>0</v>
      </c>
      <c r="F420" s="491">
        <f ca="1">IF(ISNUMBER('R4 Variations'!F420),+'R4 Variations'!F420*LU_Escalation,0)</f>
        <v>0</v>
      </c>
      <c r="G420" s="491">
        <f ca="1">IF(ISNUMBER('R4 Variations'!G420),+'R4 Variations'!G420*LU_Escalation,0)</f>
        <v>0</v>
      </c>
      <c r="H420" s="491">
        <f ca="1">IF(ISNUMBER('R4 Variations'!H420),+'R4 Variations'!H420*LU_Escalation,0)</f>
        <v>0</v>
      </c>
      <c r="I420" s="491">
        <f ca="1">IF(ISNUMBER('R4 Variations'!I420),+'R4 Variations'!I420*LU_Escalation,0)</f>
        <v>0</v>
      </c>
      <c r="J420" s="491">
        <f ca="1">IF(ISNUMBER('R4 Variations'!J420),+'R4 Variations'!J420*LU_Escalation,0)</f>
        <v>0</v>
      </c>
      <c r="K420" s="491">
        <f ca="1">IF(ISNUMBER('R4 Variations'!K420),+'R4 Variations'!K420*LU_Escalation,0)</f>
        <v>0</v>
      </c>
      <c r="L420" s="515" t="str">
        <f ca="1">+'R4 Variations'!L420</f>
        <v/>
      </c>
      <c r="M420" s="450" t="str">
        <f ca="1">+'R4 Variations'!M420</f>
        <v/>
      </c>
      <c r="N420" s="450" t="str">
        <f ca="1">+'R4 Variations'!N420</f>
        <v/>
      </c>
    </row>
    <row r="421" spans="1:14">
      <c r="B421" s="249"/>
      <c r="C421" s="384" t="str">
        <f ca="1">+'R4 Variations'!C421</f>
        <v/>
      </c>
      <c r="D421" s="491">
        <f ca="1">IF(ISNUMBER('R4 Variations'!D421),+'R4 Variations'!D421*LU_Escalation,0)</f>
        <v>0</v>
      </c>
      <c r="E421" s="850">
        <f ca="1">IF(ISNUMBER('R4 Variations'!E421),+'R4 Variations'!E421*LU_Escalation,0)</f>
        <v>0</v>
      </c>
      <c r="F421" s="491">
        <f ca="1">IF(ISNUMBER('R4 Variations'!F421),+'R4 Variations'!F421*LU_Escalation,0)</f>
        <v>0</v>
      </c>
      <c r="G421" s="491">
        <f ca="1">IF(ISNUMBER('R4 Variations'!G421),+'R4 Variations'!G421*LU_Escalation,0)</f>
        <v>0</v>
      </c>
      <c r="H421" s="491">
        <f ca="1">IF(ISNUMBER('R4 Variations'!H421),+'R4 Variations'!H421*LU_Escalation,0)</f>
        <v>0</v>
      </c>
      <c r="I421" s="491">
        <f ca="1">IF(ISNUMBER('R4 Variations'!I421),+'R4 Variations'!I421*LU_Escalation,0)</f>
        <v>0</v>
      </c>
      <c r="J421" s="491">
        <f ca="1">IF(ISNUMBER('R4 Variations'!J421),+'R4 Variations'!J421*LU_Escalation,0)</f>
        <v>0</v>
      </c>
      <c r="K421" s="491">
        <f ca="1">IF(ISNUMBER('R4 Variations'!K421),+'R4 Variations'!K421*LU_Escalation,0)</f>
        <v>0</v>
      </c>
      <c r="L421" s="515" t="str">
        <f ca="1">+'R4 Variations'!L421</f>
        <v/>
      </c>
      <c r="M421" s="450" t="str">
        <f ca="1">+'R4 Variations'!M421</f>
        <v/>
      </c>
      <c r="N421" s="450" t="str">
        <f ca="1">+'R4 Variations'!N421</f>
        <v/>
      </c>
    </row>
    <row r="422" spans="1:14">
      <c r="B422" s="249"/>
      <c r="C422" s="384" t="str">
        <f ca="1">+'R4 Variations'!C422</f>
        <v/>
      </c>
      <c r="D422" s="491">
        <f ca="1">IF(ISNUMBER('R4 Variations'!D422),+'R4 Variations'!D422*LU_Escalation,0)</f>
        <v>0</v>
      </c>
      <c r="E422" s="850">
        <f ca="1">IF(ISNUMBER('R4 Variations'!E422),+'R4 Variations'!E422*LU_Escalation,0)</f>
        <v>0</v>
      </c>
      <c r="F422" s="491">
        <f ca="1">IF(ISNUMBER('R4 Variations'!F422),+'R4 Variations'!F422*LU_Escalation,0)</f>
        <v>0</v>
      </c>
      <c r="G422" s="491">
        <f ca="1">IF(ISNUMBER('R4 Variations'!G422),+'R4 Variations'!G422*LU_Escalation,0)</f>
        <v>0</v>
      </c>
      <c r="H422" s="491">
        <f ca="1">IF(ISNUMBER('R4 Variations'!H422),+'R4 Variations'!H422*LU_Escalation,0)</f>
        <v>0</v>
      </c>
      <c r="I422" s="491">
        <f ca="1">IF(ISNUMBER('R4 Variations'!I422),+'R4 Variations'!I422*LU_Escalation,0)</f>
        <v>0</v>
      </c>
      <c r="J422" s="491">
        <f ca="1">IF(ISNUMBER('R4 Variations'!J422),+'R4 Variations'!J422*LU_Escalation,0)</f>
        <v>0</v>
      </c>
      <c r="K422" s="491">
        <f ca="1">IF(ISNUMBER('R4 Variations'!K422),+'R4 Variations'!K422*LU_Escalation,0)</f>
        <v>0</v>
      </c>
      <c r="L422" s="515" t="str">
        <f ca="1">+'R4 Variations'!L422</f>
        <v/>
      </c>
      <c r="M422" s="450" t="str">
        <f ca="1">+'R4 Variations'!M422</f>
        <v/>
      </c>
      <c r="N422" s="450" t="str">
        <f ca="1">+'R4 Variations'!N422</f>
        <v/>
      </c>
    </row>
    <row r="423" spans="1:14">
      <c r="B423" s="249"/>
      <c r="C423" s="15"/>
      <c r="D423" s="491"/>
      <c r="E423" s="508"/>
      <c r="F423" s="491"/>
      <c r="G423" s="492"/>
      <c r="H423" s="492"/>
      <c r="I423" s="492"/>
      <c r="J423" s="492"/>
      <c r="K423" s="508"/>
      <c r="L423" s="515"/>
      <c r="M423" s="450"/>
      <c r="N423" s="450"/>
    </row>
    <row r="424" spans="1:14">
      <c r="A424" s="5"/>
      <c r="B424" s="249" t="str">
        <f ca="1">+'I-4 History'!B318</f>
        <v>A-11</v>
      </c>
      <c r="C424" s="14" t="str">
        <f ca="1">+'I-4 History'!C318</f>
        <v>Operational Finance</v>
      </c>
      <c r="D424" s="491"/>
      <c r="E424" s="508"/>
      <c r="F424" s="491"/>
      <c r="G424" s="492"/>
      <c r="H424" s="492"/>
      <c r="I424" s="492"/>
      <c r="J424" s="492"/>
      <c r="K424" s="508"/>
      <c r="L424" s="515"/>
      <c r="M424" s="450"/>
      <c r="N424" s="450"/>
    </row>
    <row r="425" spans="1:14">
      <c r="A425" s="5"/>
      <c r="B425" s="249"/>
      <c r="C425" s="384" t="str">
        <f ca="1">+'R4 Variations'!C425</f>
        <v>Step Change</v>
      </c>
      <c r="D425" s="491">
        <f ca="1">IF(ISNUMBER('R4 Variations'!D425),+'R4 Variations'!D425*LU_Escalation,0)</f>
        <v>0</v>
      </c>
      <c r="E425" s="850">
        <f ca="1">IF(ISNUMBER('R4 Variations'!E425),+'R4 Variations'!E425*LU_Escalation,0)</f>
        <v>0</v>
      </c>
      <c r="F425" s="491">
        <f ca="1">IF(ISNUMBER('R4 Variations'!F425),+'R4 Variations'!F425*LU_Escalation,0)</f>
        <v>0</v>
      </c>
      <c r="G425" s="491">
        <f ca="1">IF(ISNUMBER('R4 Variations'!G425),+'R4 Variations'!G425*LU_Escalation,0)</f>
        <v>0</v>
      </c>
      <c r="H425" s="491">
        <f ca="1">IF(ISNUMBER('R4 Variations'!H425),+'R4 Variations'!H425*LU_Escalation,0)</f>
        <v>0</v>
      </c>
      <c r="I425" s="491">
        <f ca="1">IF(ISNUMBER('R4 Variations'!I425),+'R4 Variations'!I425*LU_Escalation,0)</f>
        <v>0</v>
      </c>
      <c r="J425" s="491">
        <f ca="1">IF(ISNUMBER('R4 Variations'!J425),+'R4 Variations'!J425*LU_Escalation,0)</f>
        <v>0</v>
      </c>
      <c r="K425" s="491">
        <f ca="1">IF(ISNUMBER('R4 Variations'!K425),+'R4 Variations'!K425*LU_Escalation,0)</f>
        <v>0</v>
      </c>
      <c r="L425" s="515" t="str">
        <f ca="1">+'R4 Variations'!L425</f>
        <v>Proposal Step Change</v>
      </c>
      <c r="M425" s="450" t="str">
        <f ca="1">+'R4 Variations'!M425</f>
        <v>Refer Opex Workings</v>
      </c>
      <c r="N425" s="450" t="str">
        <f ca="1">+'R4 Variations'!N425</f>
        <v>Proposal, October 2014</v>
      </c>
    </row>
    <row r="426" spans="1:14">
      <c r="A426" s="5"/>
      <c r="B426" s="249"/>
      <c r="C426" s="384" t="str">
        <f ca="1">+'R4 Variations'!C426</f>
        <v/>
      </c>
      <c r="D426" s="491">
        <f ca="1">IF(ISNUMBER('R4 Variations'!D426),+'R4 Variations'!D426*LU_Escalation,0)</f>
        <v>0</v>
      </c>
      <c r="E426" s="850">
        <f ca="1">IF(ISNUMBER('R4 Variations'!E426),+'R4 Variations'!E426*LU_Escalation,0)</f>
        <v>0</v>
      </c>
      <c r="F426" s="491">
        <f ca="1">IF(ISNUMBER('R4 Variations'!F426),+'R4 Variations'!F426*LU_Escalation,0)</f>
        <v>0</v>
      </c>
      <c r="G426" s="491">
        <f ca="1">IF(ISNUMBER('R4 Variations'!G426),+'R4 Variations'!G426*LU_Escalation,0)</f>
        <v>0</v>
      </c>
      <c r="H426" s="491">
        <f ca="1">IF(ISNUMBER('R4 Variations'!H426),+'R4 Variations'!H426*LU_Escalation,0)</f>
        <v>0</v>
      </c>
      <c r="I426" s="491">
        <f ca="1">IF(ISNUMBER('R4 Variations'!I426),+'R4 Variations'!I426*LU_Escalation,0)</f>
        <v>0</v>
      </c>
      <c r="J426" s="491">
        <f ca="1">IF(ISNUMBER('R4 Variations'!J426),+'R4 Variations'!J426*LU_Escalation,0)</f>
        <v>0</v>
      </c>
      <c r="K426" s="491">
        <f ca="1">IF(ISNUMBER('R4 Variations'!K426),+'R4 Variations'!K426*LU_Escalation,0)</f>
        <v>0</v>
      </c>
      <c r="L426" s="515" t="str">
        <f ca="1">+'R4 Variations'!L426</f>
        <v/>
      </c>
      <c r="M426" s="450" t="str">
        <f ca="1">+'R4 Variations'!M426</f>
        <v/>
      </c>
      <c r="N426" s="450" t="str">
        <f ca="1">+'R4 Variations'!N426</f>
        <v/>
      </c>
    </row>
    <row r="427" spans="1:14">
      <c r="A427" s="5"/>
      <c r="B427" s="249"/>
      <c r="C427" s="384" t="str">
        <f ca="1">+'R4 Variations'!C427</f>
        <v/>
      </c>
      <c r="D427" s="491">
        <f ca="1">IF(ISNUMBER('R4 Variations'!D427),+'R4 Variations'!D427*LU_Escalation,0)</f>
        <v>0</v>
      </c>
      <c r="E427" s="850">
        <f ca="1">IF(ISNUMBER('R4 Variations'!E427),+'R4 Variations'!E427*LU_Escalation,0)</f>
        <v>0</v>
      </c>
      <c r="F427" s="491">
        <f ca="1">IF(ISNUMBER('R4 Variations'!F427),+'R4 Variations'!F427*LU_Escalation,0)</f>
        <v>0</v>
      </c>
      <c r="G427" s="491">
        <f ca="1">IF(ISNUMBER('R4 Variations'!G427),+'R4 Variations'!G427*LU_Escalation,0)</f>
        <v>0</v>
      </c>
      <c r="H427" s="491">
        <f ca="1">IF(ISNUMBER('R4 Variations'!H427),+'R4 Variations'!H427*LU_Escalation,0)</f>
        <v>0</v>
      </c>
      <c r="I427" s="491">
        <f ca="1">IF(ISNUMBER('R4 Variations'!I427),+'R4 Variations'!I427*LU_Escalation,0)</f>
        <v>0</v>
      </c>
      <c r="J427" s="491">
        <f ca="1">IF(ISNUMBER('R4 Variations'!J427),+'R4 Variations'!J427*LU_Escalation,0)</f>
        <v>0</v>
      </c>
      <c r="K427" s="491">
        <f ca="1">IF(ISNUMBER('R4 Variations'!K427),+'R4 Variations'!K427*LU_Escalation,0)</f>
        <v>0</v>
      </c>
      <c r="L427" s="515" t="str">
        <f ca="1">+'R4 Variations'!L427</f>
        <v/>
      </c>
      <c r="M427" s="450" t="str">
        <f ca="1">+'R4 Variations'!M427</f>
        <v/>
      </c>
      <c r="N427" s="450" t="str">
        <f ca="1">+'R4 Variations'!N427</f>
        <v/>
      </c>
    </row>
    <row r="428" spans="1:14">
      <c r="A428" s="5"/>
      <c r="B428" s="249"/>
      <c r="C428" s="384" t="str">
        <f ca="1">+'R4 Variations'!C428</f>
        <v/>
      </c>
      <c r="D428" s="491">
        <f ca="1">IF(ISNUMBER('R4 Variations'!D428),+'R4 Variations'!D428*LU_Escalation,0)</f>
        <v>0</v>
      </c>
      <c r="E428" s="850">
        <f ca="1">IF(ISNUMBER('R4 Variations'!E428),+'R4 Variations'!E428*LU_Escalation,0)</f>
        <v>0</v>
      </c>
      <c r="F428" s="491">
        <f ca="1">IF(ISNUMBER('R4 Variations'!F428),+'R4 Variations'!F428*LU_Escalation,0)</f>
        <v>0</v>
      </c>
      <c r="G428" s="491">
        <f ca="1">IF(ISNUMBER('R4 Variations'!G428),+'R4 Variations'!G428*LU_Escalation,0)</f>
        <v>0</v>
      </c>
      <c r="H428" s="491">
        <f ca="1">IF(ISNUMBER('R4 Variations'!H428),+'R4 Variations'!H428*LU_Escalation,0)</f>
        <v>0</v>
      </c>
      <c r="I428" s="491">
        <f ca="1">IF(ISNUMBER('R4 Variations'!I428),+'R4 Variations'!I428*LU_Escalation,0)</f>
        <v>0</v>
      </c>
      <c r="J428" s="491">
        <f ca="1">IF(ISNUMBER('R4 Variations'!J428),+'R4 Variations'!J428*LU_Escalation,0)</f>
        <v>0</v>
      </c>
      <c r="K428" s="491">
        <f ca="1">IF(ISNUMBER('R4 Variations'!K428),+'R4 Variations'!K428*LU_Escalation,0)</f>
        <v>0</v>
      </c>
      <c r="L428" s="515" t="str">
        <f ca="1">+'R4 Variations'!L428</f>
        <v/>
      </c>
      <c r="M428" s="450" t="str">
        <f ca="1">+'R4 Variations'!M428</f>
        <v/>
      </c>
      <c r="N428" s="450" t="str">
        <f ca="1">+'R4 Variations'!N428</f>
        <v/>
      </c>
    </row>
    <row r="429" spans="1:14">
      <c r="A429" s="5"/>
      <c r="B429" s="249"/>
      <c r="C429" s="384" t="str">
        <f ca="1">+'R4 Variations'!C429</f>
        <v/>
      </c>
      <c r="D429" s="491">
        <f ca="1">IF(ISNUMBER('R4 Variations'!D429),+'R4 Variations'!D429*LU_Escalation,0)</f>
        <v>0</v>
      </c>
      <c r="E429" s="850">
        <f ca="1">IF(ISNUMBER('R4 Variations'!E429),+'R4 Variations'!E429*LU_Escalation,0)</f>
        <v>0</v>
      </c>
      <c r="F429" s="491">
        <f ca="1">IF(ISNUMBER('R4 Variations'!F429),+'R4 Variations'!F429*LU_Escalation,0)</f>
        <v>0</v>
      </c>
      <c r="G429" s="491">
        <f ca="1">IF(ISNUMBER('R4 Variations'!G429),+'R4 Variations'!G429*LU_Escalation,0)</f>
        <v>0</v>
      </c>
      <c r="H429" s="491">
        <f ca="1">IF(ISNUMBER('R4 Variations'!H429),+'R4 Variations'!H429*LU_Escalation,0)</f>
        <v>0</v>
      </c>
      <c r="I429" s="491">
        <f ca="1">IF(ISNUMBER('R4 Variations'!I429),+'R4 Variations'!I429*LU_Escalation,0)</f>
        <v>0</v>
      </c>
      <c r="J429" s="491">
        <f ca="1">IF(ISNUMBER('R4 Variations'!J429),+'R4 Variations'!J429*LU_Escalation,0)</f>
        <v>0</v>
      </c>
      <c r="K429" s="491">
        <f ca="1">IF(ISNUMBER('R4 Variations'!K429),+'R4 Variations'!K429*LU_Escalation,0)</f>
        <v>0</v>
      </c>
      <c r="L429" s="515" t="str">
        <f ca="1">+'R4 Variations'!L429</f>
        <v/>
      </c>
      <c r="M429" s="450" t="str">
        <f ca="1">+'R4 Variations'!M429</f>
        <v/>
      </c>
      <c r="N429" s="450" t="str">
        <f ca="1">+'R4 Variations'!N429</f>
        <v/>
      </c>
    </row>
    <row r="430" spans="1:14">
      <c r="A430" s="5"/>
      <c r="B430" s="249"/>
      <c r="C430" s="384" t="str">
        <f ca="1">+'R4 Variations'!C430</f>
        <v/>
      </c>
      <c r="D430" s="491">
        <f ca="1">IF(ISNUMBER('R4 Variations'!D430),+'R4 Variations'!D430*LU_Escalation,0)</f>
        <v>0</v>
      </c>
      <c r="E430" s="850">
        <f ca="1">IF(ISNUMBER('R4 Variations'!E430),+'R4 Variations'!E430*LU_Escalation,0)</f>
        <v>0</v>
      </c>
      <c r="F430" s="491">
        <f ca="1">IF(ISNUMBER('R4 Variations'!F430),+'R4 Variations'!F430*LU_Escalation,0)</f>
        <v>0</v>
      </c>
      <c r="G430" s="491">
        <f ca="1">IF(ISNUMBER('R4 Variations'!G430),+'R4 Variations'!G430*LU_Escalation,0)</f>
        <v>0</v>
      </c>
      <c r="H430" s="491">
        <f ca="1">IF(ISNUMBER('R4 Variations'!H430),+'R4 Variations'!H430*LU_Escalation,0)</f>
        <v>0</v>
      </c>
      <c r="I430" s="491">
        <f ca="1">IF(ISNUMBER('R4 Variations'!I430),+'R4 Variations'!I430*LU_Escalation,0)</f>
        <v>0</v>
      </c>
      <c r="J430" s="491">
        <f ca="1">IF(ISNUMBER('R4 Variations'!J430),+'R4 Variations'!J430*LU_Escalation,0)</f>
        <v>0</v>
      </c>
      <c r="K430" s="491">
        <f ca="1">IF(ISNUMBER('R4 Variations'!K430),+'R4 Variations'!K430*LU_Escalation,0)</f>
        <v>0</v>
      </c>
      <c r="L430" s="515" t="str">
        <f ca="1">+'R4 Variations'!L430</f>
        <v/>
      </c>
      <c r="M430" s="450" t="str">
        <f ca="1">+'R4 Variations'!M430</f>
        <v/>
      </c>
      <c r="N430" s="450" t="str">
        <f ca="1">+'R4 Variations'!N430</f>
        <v/>
      </c>
    </row>
    <row r="431" spans="1:14">
      <c r="A431" s="5"/>
      <c r="B431" s="249"/>
      <c r="C431" s="384" t="str">
        <f ca="1">+'R4 Variations'!C431</f>
        <v/>
      </c>
      <c r="D431" s="491">
        <f ca="1">IF(ISNUMBER('R4 Variations'!D431),+'R4 Variations'!D431*LU_Escalation,0)</f>
        <v>0</v>
      </c>
      <c r="E431" s="850">
        <f ca="1">IF(ISNUMBER('R4 Variations'!E431),+'R4 Variations'!E431*LU_Escalation,0)</f>
        <v>0</v>
      </c>
      <c r="F431" s="491">
        <f ca="1">IF(ISNUMBER('R4 Variations'!F431),+'R4 Variations'!F431*LU_Escalation,0)</f>
        <v>0</v>
      </c>
      <c r="G431" s="491">
        <f ca="1">IF(ISNUMBER('R4 Variations'!G431),+'R4 Variations'!G431*LU_Escalation,0)</f>
        <v>0</v>
      </c>
      <c r="H431" s="491">
        <f ca="1">IF(ISNUMBER('R4 Variations'!H431),+'R4 Variations'!H431*LU_Escalation,0)</f>
        <v>0</v>
      </c>
      <c r="I431" s="491">
        <f ca="1">IF(ISNUMBER('R4 Variations'!I431),+'R4 Variations'!I431*LU_Escalation,0)</f>
        <v>0</v>
      </c>
      <c r="J431" s="491">
        <f ca="1">IF(ISNUMBER('R4 Variations'!J431),+'R4 Variations'!J431*LU_Escalation,0)</f>
        <v>0</v>
      </c>
      <c r="K431" s="491">
        <f ca="1">IF(ISNUMBER('R4 Variations'!K431),+'R4 Variations'!K431*LU_Escalation,0)</f>
        <v>0</v>
      </c>
      <c r="L431" s="515" t="str">
        <f ca="1">+'R4 Variations'!L431</f>
        <v/>
      </c>
      <c r="M431" s="450" t="str">
        <f ca="1">+'R4 Variations'!M431</f>
        <v/>
      </c>
      <c r="N431" s="450" t="str">
        <f ca="1">+'R4 Variations'!N431</f>
        <v/>
      </c>
    </row>
    <row r="432" spans="1:14">
      <c r="A432" s="5"/>
      <c r="B432" s="249"/>
      <c r="C432" s="384" t="str">
        <f ca="1">+'R4 Variations'!C432</f>
        <v/>
      </c>
      <c r="D432" s="491">
        <f ca="1">IF(ISNUMBER('R4 Variations'!D432),+'R4 Variations'!D432*LU_Escalation,0)</f>
        <v>0</v>
      </c>
      <c r="E432" s="850">
        <f ca="1">IF(ISNUMBER('R4 Variations'!E432),+'R4 Variations'!E432*LU_Escalation,0)</f>
        <v>0</v>
      </c>
      <c r="F432" s="491">
        <f ca="1">IF(ISNUMBER('R4 Variations'!F432),+'R4 Variations'!F432*LU_Escalation,0)</f>
        <v>0</v>
      </c>
      <c r="G432" s="491">
        <f ca="1">IF(ISNUMBER('R4 Variations'!G432),+'R4 Variations'!G432*LU_Escalation,0)</f>
        <v>0</v>
      </c>
      <c r="H432" s="491">
        <f ca="1">IF(ISNUMBER('R4 Variations'!H432),+'R4 Variations'!H432*LU_Escalation,0)</f>
        <v>0</v>
      </c>
      <c r="I432" s="491">
        <f ca="1">IF(ISNUMBER('R4 Variations'!I432),+'R4 Variations'!I432*LU_Escalation,0)</f>
        <v>0</v>
      </c>
      <c r="J432" s="491">
        <f ca="1">IF(ISNUMBER('R4 Variations'!J432),+'R4 Variations'!J432*LU_Escalation,0)</f>
        <v>0</v>
      </c>
      <c r="K432" s="491">
        <f ca="1">IF(ISNUMBER('R4 Variations'!K432),+'R4 Variations'!K432*LU_Escalation,0)</f>
        <v>0</v>
      </c>
      <c r="L432" s="515" t="str">
        <f ca="1">+'R4 Variations'!L432</f>
        <v/>
      </c>
      <c r="M432" s="450" t="str">
        <f ca="1">+'R4 Variations'!M432</f>
        <v/>
      </c>
      <c r="N432" s="450" t="str">
        <f ca="1">+'R4 Variations'!N432</f>
        <v/>
      </c>
    </row>
    <row r="433" spans="1:14">
      <c r="A433" s="5"/>
      <c r="B433" s="249"/>
      <c r="C433" s="384" t="str">
        <f ca="1">+'R4 Variations'!C433</f>
        <v/>
      </c>
      <c r="D433" s="491">
        <f ca="1">IF(ISNUMBER('R4 Variations'!D433),+'R4 Variations'!D433*LU_Escalation,0)</f>
        <v>0</v>
      </c>
      <c r="E433" s="850">
        <f ca="1">IF(ISNUMBER('R4 Variations'!E433),+'R4 Variations'!E433*LU_Escalation,0)</f>
        <v>0</v>
      </c>
      <c r="F433" s="491">
        <f ca="1">IF(ISNUMBER('R4 Variations'!F433),+'R4 Variations'!F433*LU_Escalation,0)</f>
        <v>0</v>
      </c>
      <c r="G433" s="491">
        <f ca="1">IF(ISNUMBER('R4 Variations'!G433),+'R4 Variations'!G433*LU_Escalation,0)</f>
        <v>0</v>
      </c>
      <c r="H433" s="491">
        <f ca="1">IF(ISNUMBER('R4 Variations'!H433),+'R4 Variations'!H433*LU_Escalation,0)</f>
        <v>0</v>
      </c>
      <c r="I433" s="491">
        <f ca="1">IF(ISNUMBER('R4 Variations'!I433),+'R4 Variations'!I433*LU_Escalation,0)</f>
        <v>0</v>
      </c>
      <c r="J433" s="491">
        <f ca="1">IF(ISNUMBER('R4 Variations'!J433),+'R4 Variations'!J433*LU_Escalation,0)</f>
        <v>0</v>
      </c>
      <c r="K433" s="491">
        <f ca="1">IF(ISNUMBER('R4 Variations'!K433),+'R4 Variations'!K433*LU_Escalation,0)</f>
        <v>0</v>
      </c>
      <c r="L433" s="515" t="str">
        <f ca="1">+'R4 Variations'!L433</f>
        <v/>
      </c>
      <c r="M433" s="450" t="str">
        <f ca="1">+'R4 Variations'!M433</f>
        <v/>
      </c>
      <c r="N433" s="450" t="str">
        <f ca="1">+'R4 Variations'!N433</f>
        <v/>
      </c>
    </row>
    <row r="434" spans="1:14">
      <c r="A434" s="5"/>
      <c r="B434" s="249"/>
      <c r="C434" s="384" t="str">
        <f ca="1">+'R4 Variations'!C434</f>
        <v/>
      </c>
      <c r="D434" s="491">
        <f ca="1">IF(ISNUMBER('R4 Variations'!D434),+'R4 Variations'!D434*LU_Escalation,0)</f>
        <v>0</v>
      </c>
      <c r="E434" s="850">
        <f ca="1">IF(ISNUMBER('R4 Variations'!E434),+'R4 Variations'!E434*LU_Escalation,0)</f>
        <v>0</v>
      </c>
      <c r="F434" s="491">
        <f ca="1">IF(ISNUMBER('R4 Variations'!F434),+'R4 Variations'!F434*LU_Escalation,0)</f>
        <v>0</v>
      </c>
      <c r="G434" s="491">
        <f ca="1">IF(ISNUMBER('R4 Variations'!G434),+'R4 Variations'!G434*LU_Escalation,0)</f>
        <v>0</v>
      </c>
      <c r="H434" s="491">
        <f ca="1">IF(ISNUMBER('R4 Variations'!H434),+'R4 Variations'!H434*LU_Escalation,0)</f>
        <v>0</v>
      </c>
      <c r="I434" s="491">
        <f ca="1">IF(ISNUMBER('R4 Variations'!I434),+'R4 Variations'!I434*LU_Escalation,0)</f>
        <v>0</v>
      </c>
      <c r="J434" s="491">
        <f ca="1">IF(ISNUMBER('R4 Variations'!J434),+'R4 Variations'!J434*LU_Escalation,0)</f>
        <v>0</v>
      </c>
      <c r="K434" s="491">
        <f ca="1">IF(ISNUMBER('R4 Variations'!K434),+'R4 Variations'!K434*LU_Escalation,0)</f>
        <v>0</v>
      </c>
      <c r="L434" s="515" t="str">
        <f ca="1">+'R4 Variations'!L434</f>
        <v/>
      </c>
      <c r="M434" s="450" t="str">
        <f ca="1">+'R4 Variations'!M434</f>
        <v/>
      </c>
      <c r="N434" s="450" t="str">
        <f ca="1">+'R4 Variations'!N434</f>
        <v/>
      </c>
    </row>
    <row r="435" spans="1:14">
      <c r="A435" s="5"/>
      <c r="B435" s="249"/>
      <c r="C435" s="12"/>
      <c r="D435" s="491"/>
      <c r="E435" s="508"/>
      <c r="F435" s="491"/>
      <c r="G435" s="492"/>
      <c r="H435" s="492"/>
      <c r="I435" s="492"/>
      <c r="J435" s="492"/>
      <c r="K435" s="508"/>
      <c r="L435" s="515"/>
      <c r="M435" s="450"/>
      <c r="N435" s="450"/>
    </row>
    <row r="436" spans="1:14">
      <c r="A436" s="5"/>
      <c r="B436" s="249" t="str">
        <f ca="1">+'I-4 History'!B327</f>
        <v>A-12</v>
      </c>
      <c r="C436" s="14" t="str">
        <f ca="1">+'I-4 History'!C327</f>
        <v>Regulatory Finance</v>
      </c>
      <c r="D436" s="491"/>
      <c r="E436" s="508"/>
      <c r="F436" s="491"/>
      <c r="G436" s="492"/>
      <c r="H436" s="492"/>
      <c r="I436" s="492"/>
      <c r="J436" s="492"/>
      <c r="K436" s="508"/>
      <c r="L436" s="515"/>
      <c r="M436" s="450"/>
      <c r="N436" s="450"/>
    </row>
    <row r="437" spans="1:14">
      <c r="A437" s="5"/>
      <c r="B437" s="249"/>
      <c r="C437" s="384" t="str">
        <f ca="1">+'R4 Variations'!C437</f>
        <v>Step Change</v>
      </c>
      <c r="D437" s="491">
        <f ca="1">IF(ISNUMBER('R4 Variations'!D437),+'R4 Variations'!D437*LU_Escalation,0)</f>
        <v>0</v>
      </c>
      <c r="E437" s="850">
        <f ca="1">IF(ISNUMBER('R4 Variations'!E437),+'R4 Variations'!E437*LU_Escalation,0)</f>
        <v>0</v>
      </c>
      <c r="F437" s="491">
        <f ca="1">IF(ISNUMBER('R4 Variations'!F437),+'R4 Variations'!F437*LU_Escalation,0)</f>
        <v>0</v>
      </c>
      <c r="G437" s="491">
        <f ca="1">IF(ISNUMBER('R4 Variations'!G437),+'R4 Variations'!G437*LU_Escalation,0)</f>
        <v>0</v>
      </c>
      <c r="H437" s="491">
        <f ca="1">IF(ISNUMBER('R4 Variations'!H437),+'R4 Variations'!H437*LU_Escalation,0)</f>
        <v>0</v>
      </c>
      <c r="I437" s="491">
        <f ca="1">IF(ISNUMBER('R4 Variations'!I437),+'R4 Variations'!I437*LU_Escalation,0)</f>
        <v>0</v>
      </c>
      <c r="J437" s="491">
        <f ca="1">IF(ISNUMBER('R4 Variations'!J437),+'R4 Variations'!J437*LU_Escalation,0)</f>
        <v>0</v>
      </c>
      <c r="K437" s="491">
        <f ca="1">IF(ISNUMBER('R4 Variations'!K437),+'R4 Variations'!K437*LU_Escalation,0)</f>
        <v>0</v>
      </c>
      <c r="L437" s="515" t="str">
        <f ca="1">+'R4 Variations'!L437</f>
        <v>Proposal Step Change</v>
      </c>
      <c r="M437" s="450" t="str">
        <f ca="1">+'R4 Variations'!M437</f>
        <v>Refer Opex Workings</v>
      </c>
      <c r="N437" s="450" t="str">
        <f ca="1">+'R4 Variations'!N437</f>
        <v>Proposal, October 2014</v>
      </c>
    </row>
    <row r="438" spans="1:14">
      <c r="A438" s="5"/>
      <c r="B438" s="249"/>
      <c r="C438" s="384" t="str">
        <f ca="1">+'R4 Variations'!C438</f>
        <v/>
      </c>
      <c r="D438" s="491">
        <f ca="1">IF(ISNUMBER('R4 Variations'!D438),+'R4 Variations'!D438*LU_Escalation,0)</f>
        <v>0</v>
      </c>
      <c r="E438" s="850">
        <f ca="1">IF(ISNUMBER('R4 Variations'!E438),+'R4 Variations'!E438*LU_Escalation,0)</f>
        <v>0</v>
      </c>
      <c r="F438" s="491">
        <f ca="1">IF(ISNUMBER('R4 Variations'!F438),+'R4 Variations'!F438*LU_Escalation,0)</f>
        <v>0</v>
      </c>
      <c r="G438" s="491">
        <f ca="1">IF(ISNUMBER('R4 Variations'!G438),+'R4 Variations'!G438*LU_Escalation,0)</f>
        <v>0</v>
      </c>
      <c r="H438" s="491">
        <f ca="1">IF(ISNUMBER('R4 Variations'!H438),+'R4 Variations'!H438*LU_Escalation,0)</f>
        <v>0</v>
      </c>
      <c r="I438" s="491">
        <f ca="1">IF(ISNUMBER('R4 Variations'!I438),+'R4 Variations'!I438*LU_Escalation,0)</f>
        <v>0</v>
      </c>
      <c r="J438" s="491">
        <f ca="1">IF(ISNUMBER('R4 Variations'!J438),+'R4 Variations'!J438*LU_Escalation,0)</f>
        <v>0</v>
      </c>
      <c r="K438" s="491">
        <f ca="1">IF(ISNUMBER('R4 Variations'!K438),+'R4 Variations'!K438*LU_Escalation,0)</f>
        <v>0</v>
      </c>
      <c r="L438" s="515" t="str">
        <f ca="1">+'R4 Variations'!L438</f>
        <v/>
      </c>
      <c r="M438" s="450" t="str">
        <f ca="1">+'R4 Variations'!M438</f>
        <v/>
      </c>
      <c r="N438" s="450" t="str">
        <f ca="1">+'R4 Variations'!N438</f>
        <v/>
      </c>
    </row>
    <row r="439" spans="1:14">
      <c r="A439" s="5"/>
      <c r="B439" s="249"/>
      <c r="C439" s="384" t="str">
        <f ca="1">+'R4 Variations'!C439</f>
        <v/>
      </c>
      <c r="D439" s="491">
        <f ca="1">IF(ISNUMBER('R4 Variations'!D439),+'R4 Variations'!D439*LU_Escalation,0)</f>
        <v>0</v>
      </c>
      <c r="E439" s="850">
        <f ca="1">IF(ISNUMBER('R4 Variations'!E439),+'R4 Variations'!E439*LU_Escalation,0)</f>
        <v>0</v>
      </c>
      <c r="F439" s="491">
        <f ca="1">IF(ISNUMBER('R4 Variations'!F439),+'R4 Variations'!F439*LU_Escalation,0)</f>
        <v>0</v>
      </c>
      <c r="G439" s="491">
        <f ca="1">IF(ISNUMBER('R4 Variations'!G439),+'R4 Variations'!G439*LU_Escalation,0)</f>
        <v>0</v>
      </c>
      <c r="H439" s="491">
        <f ca="1">IF(ISNUMBER('R4 Variations'!H439),+'R4 Variations'!H439*LU_Escalation,0)</f>
        <v>0</v>
      </c>
      <c r="I439" s="491">
        <f ca="1">IF(ISNUMBER('R4 Variations'!I439),+'R4 Variations'!I439*LU_Escalation,0)</f>
        <v>0</v>
      </c>
      <c r="J439" s="491">
        <f ca="1">IF(ISNUMBER('R4 Variations'!J439),+'R4 Variations'!J439*LU_Escalation,0)</f>
        <v>0</v>
      </c>
      <c r="K439" s="491">
        <f ca="1">IF(ISNUMBER('R4 Variations'!K439),+'R4 Variations'!K439*LU_Escalation,0)</f>
        <v>0</v>
      </c>
      <c r="L439" s="515" t="str">
        <f ca="1">+'R4 Variations'!L439</f>
        <v/>
      </c>
      <c r="M439" s="450" t="str">
        <f ca="1">+'R4 Variations'!M439</f>
        <v/>
      </c>
      <c r="N439" s="450" t="str">
        <f ca="1">+'R4 Variations'!N439</f>
        <v/>
      </c>
    </row>
    <row r="440" spans="1:14">
      <c r="A440" s="5"/>
      <c r="B440" s="249"/>
      <c r="C440" s="384" t="str">
        <f ca="1">+'R4 Variations'!C440</f>
        <v/>
      </c>
      <c r="D440" s="491">
        <f ca="1">IF(ISNUMBER('R4 Variations'!D440),+'R4 Variations'!D440*LU_Escalation,0)</f>
        <v>0</v>
      </c>
      <c r="E440" s="850">
        <f ca="1">IF(ISNUMBER('R4 Variations'!E440),+'R4 Variations'!E440*LU_Escalation,0)</f>
        <v>0</v>
      </c>
      <c r="F440" s="491">
        <f ca="1">IF(ISNUMBER('R4 Variations'!F440),+'R4 Variations'!F440*LU_Escalation,0)</f>
        <v>0</v>
      </c>
      <c r="G440" s="491">
        <f ca="1">IF(ISNUMBER('R4 Variations'!G440),+'R4 Variations'!G440*LU_Escalation,0)</f>
        <v>0</v>
      </c>
      <c r="H440" s="491">
        <f ca="1">IF(ISNUMBER('R4 Variations'!H440),+'R4 Variations'!H440*LU_Escalation,0)</f>
        <v>0</v>
      </c>
      <c r="I440" s="491">
        <f ca="1">IF(ISNUMBER('R4 Variations'!I440),+'R4 Variations'!I440*LU_Escalation,0)</f>
        <v>0</v>
      </c>
      <c r="J440" s="491">
        <f ca="1">IF(ISNUMBER('R4 Variations'!J440),+'R4 Variations'!J440*LU_Escalation,0)</f>
        <v>0</v>
      </c>
      <c r="K440" s="491">
        <f ca="1">IF(ISNUMBER('R4 Variations'!K440),+'R4 Variations'!K440*LU_Escalation,0)</f>
        <v>0</v>
      </c>
      <c r="L440" s="515" t="str">
        <f ca="1">+'R4 Variations'!L440</f>
        <v/>
      </c>
      <c r="M440" s="450" t="str">
        <f ca="1">+'R4 Variations'!M440</f>
        <v/>
      </c>
      <c r="N440" s="450" t="str">
        <f ca="1">+'R4 Variations'!N440</f>
        <v/>
      </c>
    </row>
    <row r="441" spans="1:14">
      <c r="A441" s="5"/>
      <c r="B441" s="249"/>
      <c r="C441" s="384" t="str">
        <f ca="1">+'R4 Variations'!C441</f>
        <v/>
      </c>
      <c r="D441" s="491">
        <f ca="1">IF(ISNUMBER('R4 Variations'!D441),+'R4 Variations'!D441*LU_Escalation,0)</f>
        <v>0</v>
      </c>
      <c r="E441" s="850">
        <f ca="1">IF(ISNUMBER('R4 Variations'!E441),+'R4 Variations'!E441*LU_Escalation,0)</f>
        <v>0</v>
      </c>
      <c r="F441" s="491">
        <f ca="1">IF(ISNUMBER('R4 Variations'!F441),+'R4 Variations'!F441*LU_Escalation,0)</f>
        <v>0</v>
      </c>
      <c r="G441" s="491">
        <f ca="1">IF(ISNUMBER('R4 Variations'!G441),+'R4 Variations'!G441*LU_Escalation,0)</f>
        <v>0</v>
      </c>
      <c r="H441" s="491">
        <f ca="1">IF(ISNUMBER('R4 Variations'!H441),+'R4 Variations'!H441*LU_Escalation,0)</f>
        <v>0</v>
      </c>
      <c r="I441" s="491">
        <f ca="1">IF(ISNUMBER('R4 Variations'!I441),+'R4 Variations'!I441*LU_Escalation,0)</f>
        <v>0</v>
      </c>
      <c r="J441" s="491">
        <f ca="1">IF(ISNUMBER('R4 Variations'!J441),+'R4 Variations'!J441*LU_Escalation,0)</f>
        <v>0</v>
      </c>
      <c r="K441" s="491">
        <f ca="1">IF(ISNUMBER('R4 Variations'!K441),+'R4 Variations'!K441*LU_Escalation,0)</f>
        <v>0</v>
      </c>
      <c r="L441" s="515" t="str">
        <f ca="1">+'R4 Variations'!L441</f>
        <v/>
      </c>
      <c r="M441" s="450" t="str">
        <f ca="1">+'R4 Variations'!M441</f>
        <v/>
      </c>
      <c r="N441" s="450" t="str">
        <f ca="1">+'R4 Variations'!N441</f>
        <v/>
      </c>
    </row>
    <row r="442" spans="1:14">
      <c r="A442" s="5"/>
      <c r="B442" s="249"/>
      <c r="C442" s="384" t="str">
        <f ca="1">+'R4 Variations'!C442</f>
        <v/>
      </c>
      <c r="D442" s="491">
        <f ca="1">IF(ISNUMBER('R4 Variations'!D442),+'R4 Variations'!D442*LU_Escalation,0)</f>
        <v>0</v>
      </c>
      <c r="E442" s="850">
        <f ca="1">IF(ISNUMBER('R4 Variations'!E442),+'R4 Variations'!E442*LU_Escalation,0)</f>
        <v>0</v>
      </c>
      <c r="F442" s="491">
        <f ca="1">IF(ISNUMBER('R4 Variations'!F442),+'R4 Variations'!F442*LU_Escalation,0)</f>
        <v>0</v>
      </c>
      <c r="G442" s="491">
        <f ca="1">IF(ISNUMBER('R4 Variations'!G442),+'R4 Variations'!G442*LU_Escalation,0)</f>
        <v>0</v>
      </c>
      <c r="H442" s="491">
        <f ca="1">IF(ISNUMBER('R4 Variations'!H442),+'R4 Variations'!H442*LU_Escalation,0)</f>
        <v>0</v>
      </c>
      <c r="I442" s="491">
        <f ca="1">IF(ISNUMBER('R4 Variations'!I442),+'R4 Variations'!I442*LU_Escalation,0)</f>
        <v>0</v>
      </c>
      <c r="J442" s="491">
        <f ca="1">IF(ISNUMBER('R4 Variations'!J442),+'R4 Variations'!J442*LU_Escalation,0)</f>
        <v>0</v>
      </c>
      <c r="K442" s="491">
        <f ca="1">IF(ISNUMBER('R4 Variations'!K442),+'R4 Variations'!K442*LU_Escalation,0)</f>
        <v>0</v>
      </c>
      <c r="L442" s="515" t="str">
        <f ca="1">+'R4 Variations'!L442</f>
        <v/>
      </c>
      <c r="M442" s="450" t="str">
        <f ca="1">+'R4 Variations'!M442</f>
        <v/>
      </c>
      <c r="N442" s="450" t="str">
        <f ca="1">+'R4 Variations'!N442</f>
        <v/>
      </c>
    </row>
    <row r="443" spans="1:14">
      <c r="A443" s="5"/>
      <c r="B443" s="249"/>
      <c r="C443" s="384" t="str">
        <f ca="1">+'R4 Variations'!C443</f>
        <v/>
      </c>
      <c r="D443" s="491">
        <f ca="1">IF(ISNUMBER('R4 Variations'!D443),+'R4 Variations'!D443*LU_Escalation,0)</f>
        <v>0</v>
      </c>
      <c r="E443" s="850">
        <f ca="1">IF(ISNUMBER('R4 Variations'!E443),+'R4 Variations'!E443*LU_Escalation,0)</f>
        <v>0</v>
      </c>
      <c r="F443" s="491">
        <f ca="1">IF(ISNUMBER('R4 Variations'!F443),+'R4 Variations'!F443*LU_Escalation,0)</f>
        <v>0</v>
      </c>
      <c r="G443" s="491">
        <f ca="1">IF(ISNUMBER('R4 Variations'!G443),+'R4 Variations'!G443*LU_Escalation,0)</f>
        <v>0</v>
      </c>
      <c r="H443" s="491">
        <f ca="1">IF(ISNUMBER('R4 Variations'!H443),+'R4 Variations'!H443*LU_Escalation,0)</f>
        <v>0</v>
      </c>
      <c r="I443" s="491">
        <f ca="1">IF(ISNUMBER('R4 Variations'!I443),+'R4 Variations'!I443*LU_Escalation,0)</f>
        <v>0</v>
      </c>
      <c r="J443" s="491">
        <f ca="1">IF(ISNUMBER('R4 Variations'!J443),+'R4 Variations'!J443*LU_Escalation,0)</f>
        <v>0</v>
      </c>
      <c r="K443" s="491">
        <f ca="1">IF(ISNUMBER('R4 Variations'!K443),+'R4 Variations'!K443*LU_Escalation,0)</f>
        <v>0</v>
      </c>
      <c r="L443" s="515" t="str">
        <f ca="1">+'R4 Variations'!L443</f>
        <v/>
      </c>
      <c r="M443" s="450" t="str">
        <f ca="1">+'R4 Variations'!M443</f>
        <v/>
      </c>
      <c r="N443" s="450" t="str">
        <f ca="1">+'R4 Variations'!N443</f>
        <v/>
      </c>
    </row>
    <row r="444" spans="1:14">
      <c r="A444" s="5"/>
      <c r="B444" s="249"/>
      <c r="C444" s="384" t="str">
        <f ca="1">+'R4 Variations'!C444</f>
        <v/>
      </c>
      <c r="D444" s="491">
        <f ca="1">IF(ISNUMBER('R4 Variations'!D444),+'R4 Variations'!D444*LU_Escalation,0)</f>
        <v>0</v>
      </c>
      <c r="E444" s="850">
        <f ca="1">IF(ISNUMBER('R4 Variations'!E444),+'R4 Variations'!E444*LU_Escalation,0)</f>
        <v>0</v>
      </c>
      <c r="F444" s="491">
        <f ca="1">IF(ISNUMBER('R4 Variations'!F444),+'R4 Variations'!F444*LU_Escalation,0)</f>
        <v>0</v>
      </c>
      <c r="G444" s="491">
        <f ca="1">IF(ISNUMBER('R4 Variations'!G444),+'R4 Variations'!G444*LU_Escalation,0)</f>
        <v>0</v>
      </c>
      <c r="H444" s="491">
        <f ca="1">IF(ISNUMBER('R4 Variations'!H444),+'R4 Variations'!H444*LU_Escalation,0)</f>
        <v>0</v>
      </c>
      <c r="I444" s="491">
        <f ca="1">IF(ISNUMBER('R4 Variations'!I444),+'R4 Variations'!I444*LU_Escalation,0)</f>
        <v>0</v>
      </c>
      <c r="J444" s="491">
        <f ca="1">IF(ISNUMBER('R4 Variations'!J444),+'R4 Variations'!J444*LU_Escalation,0)</f>
        <v>0</v>
      </c>
      <c r="K444" s="491">
        <f ca="1">IF(ISNUMBER('R4 Variations'!K444),+'R4 Variations'!K444*LU_Escalation,0)</f>
        <v>0</v>
      </c>
      <c r="L444" s="515" t="str">
        <f ca="1">+'R4 Variations'!L444</f>
        <v/>
      </c>
      <c r="M444" s="450" t="str">
        <f ca="1">+'R4 Variations'!M444</f>
        <v/>
      </c>
      <c r="N444" s="450" t="str">
        <f ca="1">+'R4 Variations'!N444</f>
        <v/>
      </c>
    </row>
    <row r="445" spans="1:14">
      <c r="A445" s="5"/>
      <c r="B445" s="249"/>
      <c r="C445" s="384" t="str">
        <f ca="1">+'R4 Variations'!C445</f>
        <v/>
      </c>
      <c r="D445" s="491">
        <f ca="1">IF(ISNUMBER('R4 Variations'!D445),+'R4 Variations'!D445*LU_Escalation,0)</f>
        <v>0</v>
      </c>
      <c r="E445" s="850">
        <f ca="1">IF(ISNUMBER('R4 Variations'!E445),+'R4 Variations'!E445*LU_Escalation,0)</f>
        <v>0</v>
      </c>
      <c r="F445" s="491">
        <f ca="1">IF(ISNUMBER('R4 Variations'!F445),+'R4 Variations'!F445*LU_Escalation,0)</f>
        <v>0</v>
      </c>
      <c r="G445" s="491">
        <f ca="1">IF(ISNUMBER('R4 Variations'!G445),+'R4 Variations'!G445*LU_Escalation,0)</f>
        <v>0</v>
      </c>
      <c r="H445" s="491">
        <f ca="1">IF(ISNUMBER('R4 Variations'!H445),+'R4 Variations'!H445*LU_Escalation,0)</f>
        <v>0</v>
      </c>
      <c r="I445" s="491">
        <f ca="1">IF(ISNUMBER('R4 Variations'!I445),+'R4 Variations'!I445*LU_Escalation,0)</f>
        <v>0</v>
      </c>
      <c r="J445" s="491">
        <f ca="1">IF(ISNUMBER('R4 Variations'!J445),+'R4 Variations'!J445*LU_Escalation,0)</f>
        <v>0</v>
      </c>
      <c r="K445" s="491">
        <f ca="1">IF(ISNUMBER('R4 Variations'!K445),+'R4 Variations'!K445*LU_Escalation,0)</f>
        <v>0</v>
      </c>
      <c r="L445" s="515" t="str">
        <f ca="1">+'R4 Variations'!L445</f>
        <v/>
      </c>
      <c r="M445" s="450" t="str">
        <f ca="1">+'R4 Variations'!M445</f>
        <v/>
      </c>
      <c r="N445" s="450" t="str">
        <f ca="1">+'R4 Variations'!N445</f>
        <v/>
      </c>
    </row>
    <row r="446" spans="1:14">
      <c r="A446" s="5"/>
      <c r="B446" s="249"/>
      <c r="C446" s="384" t="str">
        <f ca="1">+'R4 Variations'!C446</f>
        <v/>
      </c>
      <c r="D446" s="491">
        <f ca="1">IF(ISNUMBER('R4 Variations'!D446),+'R4 Variations'!D446*LU_Escalation,0)</f>
        <v>0</v>
      </c>
      <c r="E446" s="850">
        <f ca="1">IF(ISNUMBER('R4 Variations'!E446),+'R4 Variations'!E446*LU_Escalation,0)</f>
        <v>0</v>
      </c>
      <c r="F446" s="491">
        <f ca="1">IF(ISNUMBER('R4 Variations'!F446),+'R4 Variations'!F446*LU_Escalation,0)</f>
        <v>0</v>
      </c>
      <c r="G446" s="491">
        <f ca="1">IF(ISNUMBER('R4 Variations'!G446),+'R4 Variations'!G446*LU_Escalation,0)</f>
        <v>0</v>
      </c>
      <c r="H446" s="491">
        <f ca="1">IF(ISNUMBER('R4 Variations'!H446),+'R4 Variations'!H446*LU_Escalation,0)</f>
        <v>0</v>
      </c>
      <c r="I446" s="491">
        <f ca="1">IF(ISNUMBER('R4 Variations'!I446),+'R4 Variations'!I446*LU_Escalation,0)</f>
        <v>0</v>
      </c>
      <c r="J446" s="491">
        <f ca="1">IF(ISNUMBER('R4 Variations'!J446),+'R4 Variations'!J446*LU_Escalation,0)</f>
        <v>0</v>
      </c>
      <c r="K446" s="491">
        <f ca="1">IF(ISNUMBER('R4 Variations'!K446),+'R4 Variations'!K446*LU_Escalation,0)</f>
        <v>0</v>
      </c>
      <c r="L446" s="515" t="str">
        <f ca="1">+'R4 Variations'!L446</f>
        <v/>
      </c>
      <c r="M446" s="450" t="str">
        <f ca="1">+'R4 Variations'!M446</f>
        <v/>
      </c>
      <c r="N446" s="450" t="str">
        <f ca="1">+'R4 Variations'!N446</f>
        <v/>
      </c>
    </row>
    <row r="447" spans="1:14">
      <c r="A447" s="5"/>
      <c r="B447" s="249"/>
      <c r="C447" s="12"/>
      <c r="D447" s="491"/>
      <c r="E447" s="508"/>
      <c r="F447" s="491"/>
      <c r="G447" s="492"/>
      <c r="H447" s="492"/>
      <c r="I447" s="492"/>
      <c r="J447" s="492"/>
      <c r="K447" s="508"/>
      <c r="L447" s="515"/>
      <c r="M447" s="450"/>
      <c r="N447" s="450"/>
    </row>
    <row r="448" spans="1:14">
      <c r="A448" s="5"/>
      <c r="B448" s="249" t="str">
        <f ca="1">+'I-4 History'!B336</f>
        <v>A-13</v>
      </c>
      <c r="C448" s="14" t="str">
        <f ca="1">+'I-4 History'!C336</f>
        <v>Accounts Payable</v>
      </c>
      <c r="D448" s="491"/>
      <c r="E448" s="508"/>
      <c r="F448" s="491"/>
      <c r="G448" s="492"/>
      <c r="H448" s="492"/>
      <c r="I448" s="492"/>
      <c r="J448" s="492"/>
      <c r="K448" s="508"/>
      <c r="L448" s="515"/>
      <c r="M448" s="450"/>
      <c r="N448" s="450"/>
    </row>
    <row r="449" spans="1:14">
      <c r="A449" s="5"/>
      <c r="B449" s="249"/>
      <c r="C449" s="384" t="str">
        <f ca="1">+'R4 Variations'!C449</f>
        <v>Step Change</v>
      </c>
      <c r="D449" s="491">
        <f ca="1">IF(ISNUMBER('R4 Variations'!D449),+'R4 Variations'!D449*LU_Escalation,0)</f>
        <v>0</v>
      </c>
      <c r="E449" s="850">
        <f ca="1">IF(ISNUMBER('R4 Variations'!E449),+'R4 Variations'!E449*LU_Escalation,0)</f>
        <v>0</v>
      </c>
      <c r="F449" s="491">
        <f ca="1">IF(ISNUMBER('R4 Variations'!F449),+'R4 Variations'!F449*LU_Escalation,0)</f>
        <v>0</v>
      </c>
      <c r="G449" s="491">
        <f ca="1">IF(ISNUMBER('R4 Variations'!G449),+'R4 Variations'!G449*LU_Escalation,0)</f>
        <v>0</v>
      </c>
      <c r="H449" s="491">
        <f ca="1">IF(ISNUMBER('R4 Variations'!H449),+'R4 Variations'!H449*LU_Escalation,0)</f>
        <v>0</v>
      </c>
      <c r="I449" s="491">
        <f ca="1">IF(ISNUMBER('R4 Variations'!I449),+'R4 Variations'!I449*LU_Escalation,0)</f>
        <v>0</v>
      </c>
      <c r="J449" s="491">
        <f ca="1">IF(ISNUMBER('R4 Variations'!J449),+'R4 Variations'!J449*LU_Escalation,0)</f>
        <v>0</v>
      </c>
      <c r="K449" s="491">
        <f ca="1">IF(ISNUMBER('R4 Variations'!K449),+'R4 Variations'!K449*LU_Escalation,0)</f>
        <v>0</v>
      </c>
      <c r="L449" s="515" t="str">
        <f ca="1">+'R4 Variations'!L449</f>
        <v>Proposal Step Change</v>
      </c>
      <c r="M449" s="450" t="str">
        <f ca="1">+'R4 Variations'!M449</f>
        <v>Refer Opex Workings</v>
      </c>
      <c r="N449" s="450" t="str">
        <f ca="1">+'R4 Variations'!N449</f>
        <v>Proposal, October 2014</v>
      </c>
    </row>
    <row r="450" spans="1:14">
      <c r="A450" s="5"/>
      <c r="B450" s="249"/>
      <c r="C450" s="384" t="str">
        <f ca="1">+'R4 Variations'!C450</f>
        <v/>
      </c>
      <c r="D450" s="491">
        <f ca="1">IF(ISNUMBER('R4 Variations'!D450),+'R4 Variations'!D450*LU_Escalation,0)</f>
        <v>0</v>
      </c>
      <c r="E450" s="850">
        <f ca="1">IF(ISNUMBER('R4 Variations'!E450),+'R4 Variations'!E450*LU_Escalation,0)</f>
        <v>0</v>
      </c>
      <c r="F450" s="491">
        <f ca="1">IF(ISNUMBER('R4 Variations'!F450),+'R4 Variations'!F450*LU_Escalation,0)</f>
        <v>0</v>
      </c>
      <c r="G450" s="491">
        <f ca="1">IF(ISNUMBER('R4 Variations'!G450),+'R4 Variations'!G450*LU_Escalation,0)</f>
        <v>0</v>
      </c>
      <c r="H450" s="491">
        <f ca="1">IF(ISNUMBER('R4 Variations'!H450),+'R4 Variations'!H450*LU_Escalation,0)</f>
        <v>0</v>
      </c>
      <c r="I450" s="491">
        <f ca="1">IF(ISNUMBER('R4 Variations'!I450),+'R4 Variations'!I450*LU_Escalation,0)</f>
        <v>0</v>
      </c>
      <c r="J450" s="491">
        <f ca="1">IF(ISNUMBER('R4 Variations'!J450),+'R4 Variations'!J450*LU_Escalation,0)</f>
        <v>0</v>
      </c>
      <c r="K450" s="491">
        <f ca="1">IF(ISNUMBER('R4 Variations'!K450),+'R4 Variations'!K450*LU_Escalation,0)</f>
        <v>0</v>
      </c>
      <c r="L450" s="515" t="str">
        <f ca="1">+'R4 Variations'!L450</f>
        <v/>
      </c>
      <c r="M450" s="450" t="str">
        <f ca="1">+'R4 Variations'!M450</f>
        <v/>
      </c>
      <c r="N450" s="450" t="str">
        <f ca="1">+'R4 Variations'!N450</f>
        <v/>
      </c>
    </row>
    <row r="451" spans="1:14">
      <c r="A451" s="5"/>
      <c r="B451" s="249"/>
      <c r="C451" s="384" t="str">
        <f ca="1">+'R4 Variations'!C451</f>
        <v/>
      </c>
      <c r="D451" s="491">
        <f ca="1">IF(ISNUMBER('R4 Variations'!D451),+'R4 Variations'!D451*LU_Escalation,0)</f>
        <v>0</v>
      </c>
      <c r="E451" s="850">
        <f ca="1">IF(ISNUMBER('R4 Variations'!E451),+'R4 Variations'!E451*LU_Escalation,0)</f>
        <v>0</v>
      </c>
      <c r="F451" s="491">
        <f ca="1">IF(ISNUMBER('R4 Variations'!F451),+'R4 Variations'!F451*LU_Escalation,0)</f>
        <v>0</v>
      </c>
      <c r="G451" s="491">
        <f ca="1">IF(ISNUMBER('R4 Variations'!G451),+'R4 Variations'!G451*LU_Escalation,0)</f>
        <v>0</v>
      </c>
      <c r="H451" s="491">
        <f ca="1">IF(ISNUMBER('R4 Variations'!H451),+'R4 Variations'!H451*LU_Escalation,0)</f>
        <v>0</v>
      </c>
      <c r="I451" s="491">
        <f ca="1">IF(ISNUMBER('R4 Variations'!I451),+'R4 Variations'!I451*LU_Escalation,0)</f>
        <v>0</v>
      </c>
      <c r="J451" s="491">
        <f ca="1">IF(ISNUMBER('R4 Variations'!J451),+'R4 Variations'!J451*LU_Escalation,0)</f>
        <v>0</v>
      </c>
      <c r="K451" s="491">
        <f ca="1">IF(ISNUMBER('R4 Variations'!K451),+'R4 Variations'!K451*LU_Escalation,0)</f>
        <v>0</v>
      </c>
      <c r="L451" s="515" t="str">
        <f ca="1">+'R4 Variations'!L451</f>
        <v/>
      </c>
      <c r="M451" s="450" t="str">
        <f ca="1">+'R4 Variations'!M451</f>
        <v/>
      </c>
      <c r="N451" s="450" t="str">
        <f ca="1">+'R4 Variations'!N451</f>
        <v/>
      </c>
    </row>
    <row r="452" spans="1:14">
      <c r="A452" s="5"/>
      <c r="B452" s="249"/>
      <c r="C452" s="384" t="str">
        <f ca="1">+'R4 Variations'!C452</f>
        <v/>
      </c>
      <c r="D452" s="491">
        <f ca="1">IF(ISNUMBER('R4 Variations'!D452),+'R4 Variations'!D452*LU_Escalation,0)</f>
        <v>0</v>
      </c>
      <c r="E452" s="850">
        <f ca="1">IF(ISNUMBER('R4 Variations'!E452),+'R4 Variations'!E452*LU_Escalation,0)</f>
        <v>0</v>
      </c>
      <c r="F452" s="491">
        <f ca="1">IF(ISNUMBER('R4 Variations'!F452),+'R4 Variations'!F452*LU_Escalation,0)</f>
        <v>0</v>
      </c>
      <c r="G452" s="491">
        <f ca="1">IF(ISNUMBER('R4 Variations'!G452),+'R4 Variations'!G452*LU_Escalation,0)</f>
        <v>0</v>
      </c>
      <c r="H452" s="491">
        <f ca="1">IF(ISNUMBER('R4 Variations'!H452),+'R4 Variations'!H452*LU_Escalation,0)</f>
        <v>0</v>
      </c>
      <c r="I452" s="491">
        <f ca="1">IF(ISNUMBER('R4 Variations'!I452),+'R4 Variations'!I452*LU_Escalation,0)</f>
        <v>0</v>
      </c>
      <c r="J452" s="491">
        <f ca="1">IF(ISNUMBER('R4 Variations'!J452),+'R4 Variations'!J452*LU_Escalation,0)</f>
        <v>0</v>
      </c>
      <c r="K452" s="491">
        <f ca="1">IF(ISNUMBER('R4 Variations'!K452),+'R4 Variations'!K452*LU_Escalation,0)</f>
        <v>0</v>
      </c>
      <c r="L452" s="515" t="str">
        <f ca="1">+'R4 Variations'!L452</f>
        <v/>
      </c>
      <c r="M452" s="450" t="str">
        <f ca="1">+'R4 Variations'!M452</f>
        <v/>
      </c>
      <c r="N452" s="450" t="str">
        <f ca="1">+'R4 Variations'!N452</f>
        <v/>
      </c>
    </row>
    <row r="453" spans="1:14">
      <c r="A453" s="5"/>
      <c r="B453" s="249"/>
      <c r="C453" s="384" t="str">
        <f ca="1">+'R4 Variations'!C453</f>
        <v/>
      </c>
      <c r="D453" s="491">
        <f ca="1">IF(ISNUMBER('R4 Variations'!D453),+'R4 Variations'!D453*LU_Escalation,0)</f>
        <v>0</v>
      </c>
      <c r="E453" s="850">
        <f ca="1">IF(ISNUMBER('R4 Variations'!E453),+'R4 Variations'!E453*LU_Escalation,0)</f>
        <v>0</v>
      </c>
      <c r="F453" s="491">
        <f ca="1">IF(ISNUMBER('R4 Variations'!F453),+'R4 Variations'!F453*LU_Escalation,0)</f>
        <v>0</v>
      </c>
      <c r="G453" s="491">
        <f ca="1">IF(ISNUMBER('R4 Variations'!G453),+'R4 Variations'!G453*LU_Escalation,0)</f>
        <v>0</v>
      </c>
      <c r="H453" s="491">
        <f ca="1">IF(ISNUMBER('R4 Variations'!H453),+'R4 Variations'!H453*LU_Escalation,0)</f>
        <v>0</v>
      </c>
      <c r="I453" s="491">
        <f ca="1">IF(ISNUMBER('R4 Variations'!I453),+'R4 Variations'!I453*LU_Escalation,0)</f>
        <v>0</v>
      </c>
      <c r="J453" s="491">
        <f ca="1">IF(ISNUMBER('R4 Variations'!J453),+'R4 Variations'!J453*LU_Escalation,0)</f>
        <v>0</v>
      </c>
      <c r="K453" s="491">
        <f ca="1">IF(ISNUMBER('R4 Variations'!K453),+'R4 Variations'!K453*LU_Escalation,0)</f>
        <v>0</v>
      </c>
      <c r="L453" s="515" t="str">
        <f ca="1">+'R4 Variations'!L453</f>
        <v/>
      </c>
      <c r="M453" s="450" t="str">
        <f ca="1">+'R4 Variations'!M453</f>
        <v/>
      </c>
      <c r="N453" s="450" t="str">
        <f ca="1">+'R4 Variations'!N453</f>
        <v/>
      </c>
    </row>
    <row r="454" spans="1:14">
      <c r="B454" s="249"/>
      <c r="C454" s="384" t="str">
        <f ca="1">+'R4 Variations'!C454</f>
        <v/>
      </c>
      <c r="D454" s="491">
        <f ca="1">IF(ISNUMBER('R4 Variations'!D454),+'R4 Variations'!D454*LU_Escalation,0)</f>
        <v>0</v>
      </c>
      <c r="E454" s="850">
        <f ca="1">IF(ISNUMBER('R4 Variations'!E454),+'R4 Variations'!E454*LU_Escalation,0)</f>
        <v>0</v>
      </c>
      <c r="F454" s="491">
        <f ca="1">IF(ISNUMBER('R4 Variations'!F454),+'R4 Variations'!F454*LU_Escalation,0)</f>
        <v>0</v>
      </c>
      <c r="G454" s="491">
        <f ca="1">IF(ISNUMBER('R4 Variations'!G454),+'R4 Variations'!G454*LU_Escalation,0)</f>
        <v>0</v>
      </c>
      <c r="H454" s="491">
        <f ca="1">IF(ISNUMBER('R4 Variations'!H454),+'R4 Variations'!H454*LU_Escalation,0)</f>
        <v>0</v>
      </c>
      <c r="I454" s="491">
        <f ca="1">IF(ISNUMBER('R4 Variations'!I454),+'R4 Variations'!I454*LU_Escalation,0)</f>
        <v>0</v>
      </c>
      <c r="J454" s="491">
        <f ca="1">IF(ISNUMBER('R4 Variations'!J454),+'R4 Variations'!J454*LU_Escalation,0)</f>
        <v>0</v>
      </c>
      <c r="K454" s="491">
        <f ca="1">IF(ISNUMBER('R4 Variations'!K454),+'R4 Variations'!K454*LU_Escalation,0)</f>
        <v>0</v>
      </c>
      <c r="L454" s="515" t="str">
        <f ca="1">+'R4 Variations'!L454</f>
        <v/>
      </c>
      <c r="M454" s="450" t="str">
        <f ca="1">+'R4 Variations'!M454</f>
        <v/>
      </c>
      <c r="N454" s="450" t="str">
        <f ca="1">+'R4 Variations'!N454</f>
        <v/>
      </c>
    </row>
    <row r="455" spans="1:14">
      <c r="B455" s="249"/>
      <c r="C455" s="384" t="str">
        <f ca="1">+'R4 Variations'!C455</f>
        <v/>
      </c>
      <c r="D455" s="491">
        <f ca="1">IF(ISNUMBER('R4 Variations'!D455),+'R4 Variations'!D455*LU_Escalation,0)</f>
        <v>0</v>
      </c>
      <c r="E455" s="850">
        <f ca="1">IF(ISNUMBER('R4 Variations'!E455),+'R4 Variations'!E455*LU_Escalation,0)</f>
        <v>0</v>
      </c>
      <c r="F455" s="491">
        <f ca="1">IF(ISNUMBER('R4 Variations'!F455),+'R4 Variations'!F455*LU_Escalation,0)</f>
        <v>0</v>
      </c>
      <c r="G455" s="491">
        <f ca="1">IF(ISNUMBER('R4 Variations'!G455),+'R4 Variations'!G455*LU_Escalation,0)</f>
        <v>0</v>
      </c>
      <c r="H455" s="491">
        <f ca="1">IF(ISNUMBER('R4 Variations'!H455),+'R4 Variations'!H455*LU_Escalation,0)</f>
        <v>0</v>
      </c>
      <c r="I455" s="491">
        <f ca="1">IF(ISNUMBER('R4 Variations'!I455),+'R4 Variations'!I455*LU_Escalation,0)</f>
        <v>0</v>
      </c>
      <c r="J455" s="491">
        <f ca="1">IF(ISNUMBER('R4 Variations'!J455),+'R4 Variations'!J455*LU_Escalation,0)</f>
        <v>0</v>
      </c>
      <c r="K455" s="491">
        <f ca="1">IF(ISNUMBER('R4 Variations'!K455),+'R4 Variations'!K455*LU_Escalation,0)</f>
        <v>0</v>
      </c>
      <c r="L455" s="515" t="str">
        <f ca="1">+'R4 Variations'!L455</f>
        <v/>
      </c>
      <c r="M455" s="450" t="str">
        <f ca="1">+'R4 Variations'!M455</f>
        <v/>
      </c>
      <c r="N455" s="450" t="str">
        <f ca="1">+'R4 Variations'!N455</f>
        <v/>
      </c>
    </row>
    <row r="456" spans="1:14">
      <c r="B456" s="249"/>
      <c r="C456" s="384" t="str">
        <f ca="1">+'R4 Variations'!C456</f>
        <v/>
      </c>
      <c r="D456" s="491">
        <f ca="1">IF(ISNUMBER('R4 Variations'!D456),+'R4 Variations'!D456*LU_Escalation,0)</f>
        <v>0</v>
      </c>
      <c r="E456" s="850">
        <f ca="1">IF(ISNUMBER('R4 Variations'!E456),+'R4 Variations'!E456*LU_Escalation,0)</f>
        <v>0</v>
      </c>
      <c r="F456" s="491">
        <f ca="1">IF(ISNUMBER('R4 Variations'!F456),+'R4 Variations'!F456*LU_Escalation,0)</f>
        <v>0</v>
      </c>
      <c r="G456" s="491">
        <f ca="1">IF(ISNUMBER('R4 Variations'!G456),+'R4 Variations'!G456*LU_Escalation,0)</f>
        <v>0</v>
      </c>
      <c r="H456" s="491">
        <f ca="1">IF(ISNUMBER('R4 Variations'!H456),+'R4 Variations'!H456*LU_Escalation,0)</f>
        <v>0</v>
      </c>
      <c r="I456" s="491">
        <f ca="1">IF(ISNUMBER('R4 Variations'!I456),+'R4 Variations'!I456*LU_Escalation,0)</f>
        <v>0</v>
      </c>
      <c r="J456" s="491">
        <f ca="1">IF(ISNUMBER('R4 Variations'!J456),+'R4 Variations'!J456*LU_Escalation,0)</f>
        <v>0</v>
      </c>
      <c r="K456" s="491">
        <f ca="1">IF(ISNUMBER('R4 Variations'!K456),+'R4 Variations'!K456*LU_Escalation,0)</f>
        <v>0</v>
      </c>
      <c r="L456" s="515" t="str">
        <f ca="1">+'R4 Variations'!L456</f>
        <v/>
      </c>
      <c r="M456" s="450" t="str">
        <f ca="1">+'R4 Variations'!M456</f>
        <v/>
      </c>
      <c r="N456" s="450" t="str">
        <f ca="1">+'R4 Variations'!N456</f>
        <v/>
      </c>
    </row>
    <row r="457" spans="1:14">
      <c r="B457" s="249"/>
      <c r="C457" s="384" t="str">
        <f ca="1">+'R4 Variations'!C457</f>
        <v/>
      </c>
      <c r="D457" s="491">
        <f ca="1">IF(ISNUMBER('R4 Variations'!D457),+'R4 Variations'!D457*LU_Escalation,0)</f>
        <v>0</v>
      </c>
      <c r="E457" s="850">
        <f ca="1">IF(ISNUMBER('R4 Variations'!E457),+'R4 Variations'!E457*LU_Escalation,0)</f>
        <v>0</v>
      </c>
      <c r="F457" s="491">
        <f ca="1">IF(ISNUMBER('R4 Variations'!F457),+'R4 Variations'!F457*LU_Escalation,0)</f>
        <v>0</v>
      </c>
      <c r="G457" s="491">
        <f ca="1">IF(ISNUMBER('R4 Variations'!G457),+'R4 Variations'!G457*LU_Escalation,0)</f>
        <v>0</v>
      </c>
      <c r="H457" s="491">
        <f ca="1">IF(ISNUMBER('R4 Variations'!H457),+'R4 Variations'!H457*LU_Escalation,0)</f>
        <v>0</v>
      </c>
      <c r="I457" s="491">
        <f ca="1">IF(ISNUMBER('R4 Variations'!I457),+'R4 Variations'!I457*LU_Escalation,0)</f>
        <v>0</v>
      </c>
      <c r="J457" s="491">
        <f ca="1">IF(ISNUMBER('R4 Variations'!J457),+'R4 Variations'!J457*LU_Escalation,0)</f>
        <v>0</v>
      </c>
      <c r="K457" s="491">
        <f ca="1">IF(ISNUMBER('R4 Variations'!K457),+'R4 Variations'!K457*LU_Escalation,0)</f>
        <v>0</v>
      </c>
      <c r="L457" s="515" t="str">
        <f ca="1">+'R4 Variations'!L457</f>
        <v/>
      </c>
      <c r="M457" s="450" t="str">
        <f ca="1">+'R4 Variations'!M457</f>
        <v/>
      </c>
      <c r="N457" s="450" t="str">
        <f ca="1">+'R4 Variations'!N457</f>
        <v/>
      </c>
    </row>
    <row r="458" spans="1:14">
      <c r="B458" s="249"/>
      <c r="C458" s="384" t="str">
        <f ca="1">+'R4 Variations'!C458</f>
        <v/>
      </c>
      <c r="D458" s="491">
        <f ca="1">IF(ISNUMBER('R4 Variations'!D458),+'R4 Variations'!D458*LU_Escalation,0)</f>
        <v>0</v>
      </c>
      <c r="E458" s="850">
        <f ca="1">IF(ISNUMBER('R4 Variations'!E458),+'R4 Variations'!E458*LU_Escalation,0)</f>
        <v>0</v>
      </c>
      <c r="F458" s="491">
        <f ca="1">IF(ISNUMBER('R4 Variations'!F458),+'R4 Variations'!F458*LU_Escalation,0)</f>
        <v>0</v>
      </c>
      <c r="G458" s="491">
        <f ca="1">IF(ISNUMBER('R4 Variations'!G458),+'R4 Variations'!G458*LU_Escalation,0)</f>
        <v>0</v>
      </c>
      <c r="H458" s="491">
        <f ca="1">IF(ISNUMBER('R4 Variations'!H458),+'R4 Variations'!H458*LU_Escalation,0)</f>
        <v>0</v>
      </c>
      <c r="I458" s="491">
        <f ca="1">IF(ISNUMBER('R4 Variations'!I458),+'R4 Variations'!I458*LU_Escalation,0)</f>
        <v>0</v>
      </c>
      <c r="J458" s="491">
        <f ca="1">IF(ISNUMBER('R4 Variations'!J458),+'R4 Variations'!J458*LU_Escalation,0)</f>
        <v>0</v>
      </c>
      <c r="K458" s="491">
        <f ca="1">IF(ISNUMBER('R4 Variations'!K458),+'R4 Variations'!K458*LU_Escalation,0)</f>
        <v>0</v>
      </c>
      <c r="L458" s="515" t="str">
        <f ca="1">+'R4 Variations'!L458</f>
        <v/>
      </c>
      <c r="M458" s="450" t="str">
        <f ca="1">+'R4 Variations'!M458</f>
        <v/>
      </c>
      <c r="N458" s="450" t="str">
        <f ca="1">+'R4 Variations'!N458</f>
        <v/>
      </c>
    </row>
    <row r="459" spans="1:14">
      <c r="B459" s="249"/>
      <c r="C459" s="12"/>
      <c r="D459" s="491"/>
      <c r="E459" s="508"/>
      <c r="F459" s="491"/>
      <c r="G459" s="492"/>
      <c r="H459" s="492"/>
      <c r="I459" s="492"/>
      <c r="J459" s="492"/>
      <c r="K459" s="508"/>
      <c r="L459" s="515"/>
      <c r="M459" s="450"/>
      <c r="N459" s="450"/>
    </row>
    <row r="460" spans="1:14">
      <c r="A460" s="5"/>
      <c r="B460" s="249" t="str">
        <f ca="1">+'I-4 History'!B345</f>
        <v>A-14</v>
      </c>
      <c r="C460" s="14" t="str">
        <f ca="1">+'I-4 History'!C345</f>
        <v>Payroll</v>
      </c>
      <c r="D460" s="491"/>
      <c r="E460" s="508"/>
      <c r="F460" s="491"/>
      <c r="G460" s="492"/>
      <c r="H460" s="492"/>
      <c r="I460" s="492"/>
      <c r="J460" s="492"/>
      <c r="K460" s="508"/>
      <c r="L460" s="515"/>
      <c r="M460" s="450"/>
      <c r="N460" s="450"/>
    </row>
    <row r="461" spans="1:14">
      <c r="A461" s="5"/>
      <c r="B461" s="249"/>
      <c r="C461" s="384" t="str">
        <f ca="1">+'R4 Variations'!C461</f>
        <v>Step Change</v>
      </c>
      <c r="D461" s="491">
        <f ca="1">IF(ISNUMBER('R4 Variations'!D461),+'R4 Variations'!D461*LU_Escalation,0)</f>
        <v>0</v>
      </c>
      <c r="E461" s="850">
        <f ca="1">IF(ISNUMBER('R4 Variations'!E461),+'R4 Variations'!E461*LU_Escalation,0)</f>
        <v>0</v>
      </c>
      <c r="F461" s="491">
        <f ca="1">IF(ISNUMBER('R4 Variations'!F461),+'R4 Variations'!F461*LU_Escalation,0)</f>
        <v>0</v>
      </c>
      <c r="G461" s="491">
        <f ca="1">IF(ISNUMBER('R4 Variations'!G461),+'R4 Variations'!G461*LU_Escalation,0)</f>
        <v>0</v>
      </c>
      <c r="H461" s="491">
        <f ca="1">IF(ISNUMBER('R4 Variations'!H461),+'R4 Variations'!H461*LU_Escalation,0)</f>
        <v>0</v>
      </c>
      <c r="I461" s="491">
        <f ca="1">IF(ISNUMBER('R4 Variations'!I461),+'R4 Variations'!I461*LU_Escalation,0)</f>
        <v>0</v>
      </c>
      <c r="J461" s="491">
        <f ca="1">IF(ISNUMBER('R4 Variations'!J461),+'R4 Variations'!J461*LU_Escalation,0)</f>
        <v>0</v>
      </c>
      <c r="K461" s="491">
        <f ca="1">IF(ISNUMBER('R4 Variations'!K461),+'R4 Variations'!K461*LU_Escalation,0)</f>
        <v>0</v>
      </c>
      <c r="L461" s="515" t="str">
        <f ca="1">+'R4 Variations'!L461</f>
        <v>Proposal Step Change</v>
      </c>
      <c r="M461" s="450" t="str">
        <f ca="1">+'R4 Variations'!M461</f>
        <v>Refer Opex Workings</v>
      </c>
      <c r="N461" s="450" t="str">
        <f ca="1">+'R4 Variations'!N461</f>
        <v>Proposal, October 2014</v>
      </c>
    </row>
    <row r="462" spans="1:14">
      <c r="A462" s="5"/>
      <c r="B462" s="249"/>
      <c r="C462" s="384" t="str">
        <f ca="1">+'R4 Variations'!C462</f>
        <v/>
      </c>
      <c r="D462" s="491">
        <f ca="1">IF(ISNUMBER('R4 Variations'!D462),+'R4 Variations'!D462*LU_Escalation,0)</f>
        <v>0</v>
      </c>
      <c r="E462" s="850">
        <f ca="1">IF(ISNUMBER('R4 Variations'!E462),+'R4 Variations'!E462*LU_Escalation,0)</f>
        <v>0</v>
      </c>
      <c r="F462" s="491">
        <f ca="1">IF(ISNUMBER('R4 Variations'!F462),+'R4 Variations'!F462*LU_Escalation,0)</f>
        <v>0</v>
      </c>
      <c r="G462" s="491">
        <f ca="1">IF(ISNUMBER('R4 Variations'!G462),+'R4 Variations'!G462*LU_Escalation,0)</f>
        <v>0</v>
      </c>
      <c r="H462" s="491">
        <f ca="1">IF(ISNUMBER('R4 Variations'!H462),+'R4 Variations'!H462*LU_Escalation,0)</f>
        <v>0</v>
      </c>
      <c r="I462" s="491">
        <f ca="1">IF(ISNUMBER('R4 Variations'!I462),+'R4 Variations'!I462*LU_Escalation,0)</f>
        <v>0</v>
      </c>
      <c r="J462" s="491">
        <f ca="1">IF(ISNUMBER('R4 Variations'!J462),+'R4 Variations'!J462*LU_Escalation,0)</f>
        <v>0</v>
      </c>
      <c r="K462" s="491">
        <f ca="1">IF(ISNUMBER('R4 Variations'!K462),+'R4 Variations'!K462*LU_Escalation,0)</f>
        <v>0</v>
      </c>
      <c r="L462" s="515" t="str">
        <f ca="1">+'R4 Variations'!L462</f>
        <v/>
      </c>
      <c r="M462" s="450" t="str">
        <f ca="1">+'R4 Variations'!M462</f>
        <v/>
      </c>
      <c r="N462" s="450" t="str">
        <f ca="1">+'R4 Variations'!N462</f>
        <v/>
      </c>
    </row>
    <row r="463" spans="1:14">
      <c r="A463" s="5"/>
      <c r="B463" s="249"/>
      <c r="C463" s="384" t="str">
        <f ca="1">+'R4 Variations'!C463</f>
        <v/>
      </c>
      <c r="D463" s="491">
        <f ca="1">IF(ISNUMBER('R4 Variations'!D463),+'R4 Variations'!D463*LU_Escalation,0)</f>
        <v>0</v>
      </c>
      <c r="E463" s="850">
        <f ca="1">IF(ISNUMBER('R4 Variations'!E463),+'R4 Variations'!E463*LU_Escalation,0)</f>
        <v>0</v>
      </c>
      <c r="F463" s="491">
        <f ca="1">IF(ISNUMBER('R4 Variations'!F463),+'R4 Variations'!F463*LU_Escalation,0)</f>
        <v>0</v>
      </c>
      <c r="G463" s="491">
        <f ca="1">IF(ISNUMBER('R4 Variations'!G463),+'R4 Variations'!G463*LU_Escalation,0)</f>
        <v>0</v>
      </c>
      <c r="H463" s="491">
        <f ca="1">IF(ISNUMBER('R4 Variations'!H463),+'R4 Variations'!H463*LU_Escalation,0)</f>
        <v>0</v>
      </c>
      <c r="I463" s="491">
        <f ca="1">IF(ISNUMBER('R4 Variations'!I463),+'R4 Variations'!I463*LU_Escalation,0)</f>
        <v>0</v>
      </c>
      <c r="J463" s="491">
        <f ca="1">IF(ISNUMBER('R4 Variations'!J463),+'R4 Variations'!J463*LU_Escalation,0)</f>
        <v>0</v>
      </c>
      <c r="K463" s="491">
        <f ca="1">IF(ISNUMBER('R4 Variations'!K463),+'R4 Variations'!K463*LU_Escalation,0)</f>
        <v>0</v>
      </c>
      <c r="L463" s="515" t="str">
        <f ca="1">+'R4 Variations'!L463</f>
        <v/>
      </c>
      <c r="M463" s="450" t="str">
        <f ca="1">+'R4 Variations'!M463</f>
        <v/>
      </c>
      <c r="N463" s="450" t="str">
        <f ca="1">+'R4 Variations'!N463</f>
        <v/>
      </c>
    </row>
    <row r="464" spans="1:14">
      <c r="A464" s="5"/>
      <c r="B464" s="249"/>
      <c r="C464" s="384" t="str">
        <f ca="1">+'R4 Variations'!C464</f>
        <v/>
      </c>
      <c r="D464" s="491">
        <f ca="1">IF(ISNUMBER('R4 Variations'!D464),+'R4 Variations'!D464*LU_Escalation,0)</f>
        <v>0</v>
      </c>
      <c r="E464" s="850">
        <f ca="1">IF(ISNUMBER('R4 Variations'!E464),+'R4 Variations'!E464*LU_Escalation,0)</f>
        <v>0</v>
      </c>
      <c r="F464" s="491">
        <f ca="1">IF(ISNUMBER('R4 Variations'!F464),+'R4 Variations'!F464*LU_Escalation,0)</f>
        <v>0</v>
      </c>
      <c r="G464" s="491">
        <f ca="1">IF(ISNUMBER('R4 Variations'!G464),+'R4 Variations'!G464*LU_Escalation,0)</f>
        <v>0</v>
      </c>
      <c r="H464" s="491">
        <f ca="1">IF(ISNUMBER('R4 Variations'!H464),+'R4 Variations'!H464*LU_Escalation,0)</f>
        <v>0</v>
      </c>
      <c r="I464" s="491">
        <f ca="1">IF(ISNUMBER('R4 Variations'!I464),+'R4 Variations'!I464*LU_Escalation,0)</f>
        <v>0</v>
      </c>
      <c r="J464" s="491">
        <f ca="1">IF(ISNUMBER('R4 Variations'!J464),+'R4 Variations'!J464*LU_Escalation,0)</f>
        <v>0</v>
      </c>
      <c r="K464" s="491">
        <f ca="1">IF(ISNUMBER('R4 Variations'!K464),+'R4 Variations'!K464*LU_Escalation,0)</f>
        <v>0</v>
      </c>
      <c r="L464" s="515" t="str">
        <f ca="1">+'R4 Variations'!L464</f>
        <v/>
      </c>
      <c r="M464" s="450" t="str">
        <f ca="1">+'R4 Variations'!M464</f>
        <v/>
      </c>
      <c r="N464" s="450" t="str">
        <f ca="1">+'R4 Variations'!N464</f>
        <v/>
      </c>
    </row>
    <row r="465" spans="1:14">
      <c r="A465" s="5"/>
      <c r="B465" s="249"/>
      <c r="C465" s="384" t="str">
        <f ca="1">+'R4 Variations'!C465</f>
        <v/>
      </c>
      <c r="D465" s="491">
        <f ca="1">IF(ISNUMBER('R4 Variations'!D465),+'R4 Variations'!D465*LU_Escalation,0)</f>
        <v>0</v>
      </c>
      <c r="E465" s="850">
        <f ca="1">IF(ISNUMBER('R4 Variations'!E465),+'R4 Variations'!E465*LU_Escalation,0)</f>
        <v>0</v>
      </c>
      <c r="F465" s="491">
        <f ca="1">IF(ISNUMBER('R4 Variations'!F465),+'R4 Variations'!F465*LU_Escalation,0)</f>
        <v>0</v>
      </c>
      <c r="G465" s="491">
        <f ca="1">IF(ISNUMBER('R4 Variations'!G465),+'R4 Variations'!G465*LU_Escalation,0)</f>
        <v>0</v>
      </c>
      <c r="H465" s="491">
        <f ca="1">IF(ISNUMBER('R4 Variations'!H465),+'R4 Variations'!H465*LU_Escalation,0)</f>
        <v>0</v>
      </c>
      <c r="I465" s="491">
        <f ca="1">IF(ISNUMBER('R4 Variations'!I465),+'R4 Variations'!I465*LU_Escalation,0)</f>
        <v>0</v>
      </c>
      <c r="J465" s="491">
        <f ca="1">IF(ISNUMBER('R4 Variations'!J465),+'R4 Variations'!J465*LU_Escalation,0)</f>
        <v>0</v>
      </c>
      <c r="K465" s="491">
        <f ca="1">IF(ISNUMBER('R4 Variations'!K465),+'R4 Variations'!K465*LU_Escalation,0)</f>
        <v>0</v>
      </c>
      <c r="L465" s="515" t="str">
        <f ca="1">+'R4 Variations'!L465</f>
        <v/>
      </c>
      <c r="M465" s="450" t="str">
        <f ca="1">+'R4 Variations'!M465</f>
        <v/>
      </c>
      <c r="N465" s="450" t="str">
        <f ca="1">+'R4 Variations'!N465</f>
        <v/>
      </c>
    </row>
    <row r="466" spans="1:14">
      <c r="A466" s="5"/>
      <c r="B466" s="249"/>
      <c r="C466" s="384" t="str">
        <f ca="1">+'R4 Variations'!C466</f>
        <v/>
      </c>
      <c r="D466" s="491">
        <f ca="1">IF(ISNUMBER('R4 Variations'!D466),+'R4 Variations'!D466*LU_Escalation,0)</f>
        <v>0</v>
      </c>
      <c r="E466" s="850">
        <f ca="1">IF(ISNUMBER('R4 Variations'!E466),+'R4 Variations'!E466*LU_Escalation,0)</f>
        <v>0</v>
      </c>
      <c r="F466" s="491">
        <f ca="1">IF(ISNUMBER('R4 Variations'!F466),+'R4 Variations'!F466*LU_Escalation,0)</f>
        <v>0</v>
      </c>
      <c r="G466" s="491">
        <f ca="1">IF(ISNUMBER('R4 Variations'!G466),+'R4 Variations'!G466*LU_Escalation,0)</f>
        <v>0</v>
      </c>
      <c r="H466" s="491">
        <f ca="1">IF(ISNUMBER('R4 Variations'!H466),+'R4 Variations'!H466*LU_Escalation,0)</f>
        <v>0</v>
      </c>
      <c r="I466" s="491">
        <f ca="1">IF(ISNUMBER('R4 Variations'!I466),+'R4 Variations'!I466*LU_Escalation,0)</f>
        <v>0</v>
      </c>
      <c r="J466" s="491">
        <f ca="1">IF(ISNUMBER('R4 Variations'!J466),+'R4 Variations'!J466*LU_Escalation,0)</f>
        <v>0</v>
      </c>
      <c r="K466" s="491">
        <f ca="1">IF(ISNUMBER('R4 Variations'!K466),+'R4 Variations'!K466*LU_Escalation,0)</f>
        <v>0</v>
      </c>
      <c r="L466" s="515" t="str">
        <f ca="1">+'R4 Variations'!L466</f>
        <v/>
      </c>
      <c r="M466" s="450" t="str">
        <f ca="1">+'R4 Variations'!M466</f>
        <v/>
      </c>
      <c r="N466" s="450" t="str">
        <f ca="1">+'R4 Variations'!N466</f>
        <v/>
      </c>
    </row>
    <row r="467" spans="1:14">
      <c r="A467" s="5"/>
      <c r="B467" s="249"/>
      <c r="C467" s="384" t="str">
        <f ca="1">+'R4 Variations'!C467</f>
        <v/>
      </c>
      <c r="D467" s="491">
        <f ca="1">IF(ISNUMBER('R4 Variations'!D467),+'R4 Variations'!D467*LU_Escalation,0)</f>
        <v>0</v>
      </c>
      <c r="E467" s="850">
        <f ca="1">IF(ISNUMBER('R4 Variations'!E467),+'R4 Variations'!E467*LU_Escalation,0)</f>
        <v>0</v>
      </c>
      <c r="F467" s="491">
        <f ca="1">IF(ISNUMBER('R4 Variations'!F467),+'R4 Variations'!F467*LU_Escalation,0)</f>
        <v>0</v>
      </c>
      <c r="G467" s="491">
        <f ca="1">IF(ISNUMBER('R4 Variations'!G467),+'R4 Variations'!G467*LU_Escalation,0)</f>
        <v>0</v>
      </c>
      <c r="H467" s="491">
        <f ca="1">IF(ISNUMBER('R4 Variations'!H467),+'R4 Variations'!H467*LU_Escalation,0)</f>
        <v>0</v>
      </c>
      <c r="I467" s="491">
        <f ca="1">IF(ISNUMBER('R4 Variations'!I467),+'R4 Variations'!I467*LU_Escalation,0)</f>
        <v>0</v>
      </c>
      <c r="J467" s="491">
        <f ca="1">IF(ISNUMBER('R4 Variations'!J467),+'R4 Variations'!J467*LU_Escalation,0)</f>
        <v>0</v>
      </c>
      <c r="K467" s="491">
        <f ca="1">IF(ISNUMBER('R4 Variations'!K467),+'R4 Variations'!K467*LU_Escalation,0)</f>
        <v>0</v>
      </c>
      <c r="L467" s="515" t="str">
        <f ca="1">+'R4 Variations'!L467</f>
        <v/>
      </c>
      <c r="M467" s="450" t="str">
        <f ca="1">+'R4 Variations'!M467</f>
        <v/>
      </c>
      <c r="N467" s="450" t="str">
        <f ca="1">+'R4 Variations'!N467</f>
        <v/>
      </c>
    </row>
    <row r="468" spans="1:14">
      <c r="A468" s="5"/>
      <c r="B468" s="249"/>
      <c r="C468" s="384" t="str">
        <f ca="1">+'R4 Variations'!C468</f>
        <v/>
      </c>
      <c r="D468" s="491">
        <f ca="1">IF(ISNUMBER('R4 Variations'!D468),+'R4 Variations'!D468*LU_Escalation,0)</f>
        <v>0</v>
      </c>
      <c r="E468" s="850">
        <f ca="1">IF(ISNUMBER('R4 Variations'!E468),+'R4 Variations'!E468*LU_Escalation,0)</f>
        <v>0</v>
      </c>
      <c r="F468" s="491">
        <f ca="1">IF(ISNUMBER('R4 Variations'!F468),+'R4 Variations'!F468*LU_Escalation,0)</f>
        <v>0</v>
      </c>
      <c r="G468" s="491">
        <f ca="1">IF(ISNUMBER('R4 Variations'!G468),+'R4 Variations'!G468*LU_Escalation,0)</f>
        <v>0</v>
      </c>
      <c r="H468" s="491">
        <f ca="1">IF(ISNUMBER('R4 Variations'!H468),+'R4 Variations'!H468*LU_Escalation,0)</f>
        <v>0</v>
      </c>
      <c r="I468" s="491">
        <f ca="1">IF(ISNUMBER('R4 Variations'!I468),+'R4 Variations'!I468*LU_Escalation,0)</f>
        <v>0</v>
      </c>
      <c r="J468" s="491">
        <f ca="1">IF(ISNUMBER('R4 Variations'!J468),+'R4 Variations'!J468*LU_Escalation,0)</f>
        <v>0</v>
      </c>
      <c r="K468" s="491">
        <f ca="1">IF(ISNUMBER('R4 Variations'!K468),+'R4 Variations'!K468*LU_Escalation,0)</f>
        <v>0</v>
      </c>
      <c r="L468" s="515" t="str">
        <f ca="1">+'R4 Variations'!L468</f>
        <v/>
      </c>
      <c r="M468" s="450" t="str">
        <f ca="1">+'R4 Variations'!M468</f>
        <v/>
      </c>
      <c r="N468" s="450" t="str">
        <f ca="1">+'R4 Variations'!N468</f>
        <v/>
      </c>
    </row>
    <row r="469" spans="1:14">
      <c r="A469" s="5"/>
      <c r="B469" s="249"/>
      <c r="C469" s="384" t="str">
        <f ca="1">+'R4 Variations'!C469</f>
        <v/>
      </c>
      <c r="D469" s="491">
        <f ca="1">IF(ISNUMBER('R4 Variations'!D469),+'R4 Variations'!D469*LU_Escalation,0)</f>
        <v>0</v>
      </c>
      <c r="E469" s="850">
        <f ca="1">IF(ISNUMBER('R4 Variations'!E469),+'R4 Variations'!E469*LU_Escalation,0)</f>
        <v>0</v>
      </c>
      <c r="F469" s="491">
        <f ca="1">IF(ISNUMBER('R4 Variations'!F469),+'R4 Variations'!F469*LU_Escalation,0)</f>
        <v>0</v>
      </c>
      <c r="G469" s="491">
        <f ca="1">IF(ISNUMBER('R4 Variations'!G469),+'R4 Variations'!G469*LU_Escalation,0)</f>
        <v>0</v>
      </c>
      <c r="H469" s="491">
        <f ca="1">IF(ISNUMBER('R4 Variations'!H469),+'R4 Variations'!H469*LU_Escalation,0)</f>
        <v>0</v>
      </c>
      <c r="I469" s="491">
        <f ca="1">IF(ISNUMBER('R4 Variations'!I469),+'R4 Variations'!I469*LU_Escalation,0)</f>
        <v>0</v>
      </c>
      <c r="J469" s="491">
        <f ca="1">IF(ISNUMBER('R4 Variations'!J469),+'R4 Variations'!J469*LU_Escalation,0)</f>
        <v>0</v>
      </c>
      <c r="K469" s="491">
        <f ca="1">IF(ISNUMBER('R4 Variations'!K469),+'R4 Variations'!K469*LU_Escalation,0)</f>
        <v>0</v>
      </c>
      <c r="L469" s="515" t="str">
        <f ca="1">+'R4 Variations'!L469</f>
        <v/>
      </c>
      <c r="M469" s="450" t="str">
        <f ca="1">+'R4 Variations'!M469</f>
        <v/>
      </c>
      <c r="N469" s="450" t="str">
        <f ca="1">+'R4 Variations'!N469</f>
        <v/>
      </c>
    </row>
    <row r="470" spans="1:14">
      <c r="A470" s="5"/>
      <c r="B470" s="249"/>
      <c r="C470" s="384" t="str">
        <f ca="1">+'R4 Variations'!C470</f>
        <v/>
      </c>
      <c r="D470" s="491">
        <f ca="1">IF(ISNUMBER('R4 Variations'!D470),+'R4 Variations'!D470*LU_Escalation,0)</f>
        <v>0</v>
      </c>
      <c r="E470" s="850">
        <f ca="1">IF(ISNUMBER('R4 Variations'!E470),+'R4 Variations'!E470*LU_Escalation,0)</f>
        <v>0</v>
      </c>
      <c r="F470" s="491">
        <f ca="1">IF(ISNUMBER('R4 Variations'!F470),+'R4 Variations'!F470*LU_Escalation,0)</f>
        <v>0</v>
      </c>
      <c r="G470" s="491">
        <f ca="1">IF(ISNUMBER('R4 Variations'!G470),+'R4 Variations'!G470*LU_Escalation,0)</f>
        <v>0</v>
      </c>
      <c r="H470" s="491">
        <f ca="1">IF(ISNUMBER('R4 Variations'!H470),+'R4 Variations'!H470*LU_Escalation,0)</f>
        <v>0</v>
      </c>
      <c r="I470" s="491">
        <f ca="1">IF(ISNUMBER('R4 Variations'!I470),+'R4 Variations'!I470*LU_Escalation,0)</f>
        <v>0</v>
      </c>
      <c r="J470" s="491">
        <f ca="1">IF(ISNUMBER('R4 Variations'!J470),+'R4 Variations'!J470*LU_Escalation,0)</f>
        <v>0</v>
      </c>
      <c r="K470" s="491">
        <f ca="1">IF(ISNUMBER('R4 Variations'!K470),+'R4 Variations'!K470*LU_Escalation,0)</f>
        <v>0</v>
      </c>
      <c r="L470" s="515" t="str">
        <f ca="1">+'R4 Variations'!L470</f>
        <v/>
      </c>
      <c r="M470" s="450" t="str">
        <f ca="1">+'R4 Variations'!M470</f>
        <v/>
      </c>
      <c r="N470" s="450" t="str">
        <f ca="1">+'R4 Variations'!N470</f>
        <v/>
      </c>
    </row>
    <row r="471" spans="1:14">
      <c r="A471" s="5"/>
      <c r="B471" s="249"/>
      <c r="C471" s="12"/>
      <c r="D471" s="491"/>
      <c r="E471" s="508"/>
      <c r="F471" s="491"/>
      <c r="G471" s="492"/>
      <c r="H471" s="492"/>
      <c r="I471" s="492"/>
      <c r="J471" s="492"/>
      <c r="K471" s="508"/>
      <c r="L471" s="515"/>
      <c r="M471" s="450"/>
      <c r="N471" s="450"/>
    </row>
    <row r="472" spans="1:14">
      <c r="A472" s="5"/>
      <c r="B472" s="249" t="str">
        <f ca="1">+'I-4 History'!B354</f>
        <v>A-15</v>
      </c>
      <c r="C472" s="14" t="str">
        <f ca="1">+'I-4 History'!C354</f>
        <v>Purchasing and Contracts</v>
      </c>
      <c r="D472" s="491"/>
      <c r="E472" s="508"/>
      <c r="F472" s="491"/>
      <c r="G472" s="492"/>
      <c r="H472" s="492"/>
      <c r="I472" s="492"/>
      <c r="J472" s="492"/>
      <c r="K472" s="508"/>
      <c r="L472" s="515"/>
      <c r="M472" s="450"/>
      <c r="N472" s="450"/>
    </row>
    <row r="473" spans="1:14">
      <c r="A473" s="5"/>
      <c r="B473" s="249"/>
      <c r="C473" s="384" t="str">
        <f ca="1">+'R4 Variations'!C473</f>
        <v>Step Change</v>
      </c>
      <c r="D473" s="491">
        <f ca="1">IF(ISNUMBER('R4 Variations'!D473),+'R4 Variations'!D473*LU_Escalation,0)</f>
        <v>0</v>
      </c>
      <c r="E473" s="850">
        <f ca="1">IF(ISNUMBER('R4 Variations'!E473),+'R4 Variations'!E473*LU_Escalation,0)</f>
        <v>0</v>
      </c>
      <c r="F473" s="491">
        <f ca="1">IF(ISNUMBER('R4 Variations'!F473),+'R4 Variations'!F473*LU_Escalation,0)</f>
        <v>0</v>
      </c>
      <c r="G473" s="491">
        <f ca="1">IF(ISNUMBER('R4 Variations'!G473),+'R4 Variations'!G473*LU_Escalation,0)</f>
        <v>0</v>
      </c>
      <c r="H473" s="491">
        <f ca="1">IF(ISNUMBER('R4 Variations'!H473),+'R4 Variations'!H473*LU_Escalation,0)</f>
        <v>0</v>
      </c>
      <c r="I473" s="491">
        <f ca="1">IF(ISNUMBER('R4 Variations'!I473),+'R4 Variations'!I473*LU_Escalation,0)</f>
        <v>0</v>
      </c>
      <c r="J473" s="491">
        <f ca="1">IF(ISNUMBER('R4 Variations'!J473),+'R4 Variations'!J473*LU_Escalation,0)</f>
        <v>0</v>
      </c>
      <c r="K473" s="491">
        <f ca="1">IF(ISNUMBER('R4 Variations'!K473),+'R4 Variations'!K473*LU_Escalation,0)</f>
        <v>0</v>
      </c>
      <c r="L473" s="515" t="str">
        <f ca="1">+'R4 Variations'!L473</f>
        <v>Proposal Step Change</v>
      </c>
      <c r="M473" s="450" t="str">
        <f ca="1">+'R4 Variations'!M473</f>
        <v>Refer Opex Workings</v>
      </c>
      <c r="N473" s="450" t="str">
        <f ca="1">+'R4 Variations'!N473</f>
        <v>Proposal, October 2014</v>
      </c>
    </row>
    <row r="474" spans="1:14">
      <c r="A474" s="5"/>
      <c r="B474" s="249"/>
      <c r="C474" s="384" t="str">
        <f ca="1">+'R4 Variations'!C474</f>
        <v/>
      </c>
      <c r="D474" s="491">
        <f ca="1">IF(ISNUMBER('R4 Variations'!D474),+'R4 Variations'!D474*LU_Escalation,0)</f>
        <v>0</v>
      </c>
      <c r="E474" s="850">
        <f ca="1">IF(ISNUMBER('R4 Variations'!E474),+'R4 Variations'!E474*LU_Escalation,0)</f>
        <v>0</v>
      </c>
      <c r="F474" s="491">
        <f ca="1">IF(ISNUMBER('R4 Variations'!F474),+'R4 Variations'!F474*LU_Escalation,0)</f>
        <v>0</v>
      </c>
      <c r="G474" s="491">
        <f ca="1">IF(ISNUMBER('R4 Variations'!G474),+'R4 Variations'!G474*LU_Escalation,0)</f>
        <v>0</v>
      </c>
      <c r="H474" s="491">
        <f ca="1">IF(ISNUMBER('R4 Variations'!H474),+'R4 Variations'!H474*LU_Escalation,0)</f>
        <v>0</v>
      </c>
      <c r="I474" s="491">
        <f ca="1">IF(ISNUMBER('R4 Variations'!I474),+'R4 Variations'!I474*LU_Escalation,0)</f>
        <v>0</v>
      </c>
      <c r="J474" s="491">
        <f ca="1">IF(ISNUMBER('R4 Variations'!J474),+'R4 Variations'!J474*LU_Escalation,0)</f>
        <v>0</v>
      </c>
      <c r="K474" s="491">
        <f ca="1">IF(ISNUMBER('R4 Variations'!K474),+'R4 Variations'!K474*LU_Escalation,0)</f>
        <v>0</v>
      </c>
      <c r="L474" s="515" t="str">
        <f ca="1">+'R4 Variations'!L474</f>
        <v/>
      </c>
      <c r="M474" s="450" t="str">
        <f ca="1">+'R4 Variations'!M474</f>
        <v/>
      </c>
      <c r="N474" s="450" t="str">
        <f ca="1">+'R4 Variations'!N474</f>
        <v/>
      </c>
    </row>
    <row r="475" spans="1:14">
      <c r="A475" s="5"/>
      <c r="B475" s="249"/>
      <c r="C475" s="384" t="str">
        <f ca="1">+'R4 Variations'!C475</f>
        <v/>
      </c>
      <c r="D475" s="491">
        <f ca="1">IF(ISNUMBER('R4 Variations'!D475),+'R4 Variations'!D475*LU_Escalation,0)</f>
        <v>0</v>
      </c>
      <c r="E475" s="850">
        <f ca="1">IF(ISNUMBER('R4 Variations'!E475),+'R4 Variations'!E475*LU_Escalation,0)</f>
        <v>0</v>
      </c>
      <c r="F475" s="491">
        <f ca="1">IF(ISNUMBER('R4 Variations'!F475),+'R4 Variations'!F475*LU_Escalation,0)</f>
        <v>0</v>
      </c>
      <c r="G475" s="491">
        <f ca="1">IF(ISNUMBER('R4 Variations'!G475),+'R4 Variations'!G475*LU_Escalation,0)</f>
        <v>0</v>
      </c>
      <c r="H475" s="491">
        <f ca="1">IF(ISNUMBER('R4 Variations'!H475),+'R4 Variations'!H475*LU_Escalation,0)</f>
        <v>0</v>
      </c>
      <c r="I475" s="491">
        <f ca="1">IF(ISNUMBER('R4 Variations'!I475),+'R4 Variations'!I475*LU_Escalation,0)</f>
        <v>0</v>
      </c>
      <c r="J475" s="491">
        <f ca="1">IF(ISNUMBER('R4 Variations'!J475),+'R4 Variations'!J475*LU_Escalation,0)</f>
        <v>0</v>
      </c>
      <c r="K475" s="491">
        <f ca="1">IF(ISNUMBER('R4 Variations'!K475),+'R4 Variations'!K475*LU_Escalation,0)</f>
        <v>0</v>
      </c>
      <c r="L475" s="515" t="str">
        <f ca="1">+'R4 Variations'!L475</f>
        <v/>
      </c>
      <c r="M475" s="450" t="str">
        <f ca="1">+'R4 Variations'!M475</f>
        <v/>
      </c>
      <c r="N475" s="450" t="str">
        <f ca="1">+'R4 Variations'!N475</f>
        <v/>
      </c>
    </row>
    <row r="476" spans="1:14">
      <c r="A476" s="5"/>
      <c r="B476" s="249"/>
      <c r="C476" s="384" t="str">
        <f ca="1">+'R4 Variations'!C476</f>
        <v/>
      </c>
      <c r="D476" s="491">
        <f ca="1">IF(ISNUMBER('R4 Variations'!D476),+'R4 Variations'!D476*LU_Escalation,0)</f>
        <v>0</v>
      </c>
      <c r="E476" s="850">
        <f ca="1">IF(ISNUMBER('R4 Variations'!E476),+'R4 Variations'!E476*LU_Escalation,0)</f>
        <v>0</v>
      </c>
      <c r="F476" s="491">
        <f ca="1">IF(ISNUMBER('R4 Variations'!F476),+'R4 Variations'!F476*LU_Escalation,0)</f>
        <v>0</v>
      </c>
      <c r="G476" s="491">
        <f ca="1">IF(ISNUMBER('R4 Variations'!G476),+'R4 Variations'!G476*LU_Escalation,0)</f>
        <v>0</v>
      </c>
      <c r="H476" s="491">
        <f ca="1">IF(ISNUMBER('R4 Variations'!H476),+'R4 Variations'!H476*LU_Escalation,0)</f>
        <v>0</v>
      </c>
      <c r="I476" s="491">
        <f ca="1">IF(ISNUMBER('R4 Variations'!I476),+'R4 Variations'!I476*LU_Escalation,0)</f>
        <v>0</v>
      </c>
      <c r="J476" s="491">
        <f ca="1">IF(ISNUMBER('R4 Variations'!J476),+'R4 Variations'!J476*LU_Escalation,0)</f>
        <v>0</v>
      </c>
      <c r="K476" s="491">
        <f ca="1">IF(ISNUMBER('R4 Variations'!K476),+'R4 Variations'!K476*LU_Escalation,0)</f>
        <v>0</v>
      </c>
      <c r="L476" s="515" t="str">
        <f ca="1">+'R4 Variations'!L476</f>
        <v/>
      </c>
      <c r="M476" s="450" t="str">
        <f ca="1">+'R4 Variations'!M476</f>
        <v/>
      </c>
      <c r="N476" s="450" t="str">
        <f ca="1">+'R4 Variations'!N476</f>
        <v/>
      </c>
    </row>
    <row r="477" spans="1:14">
      <c r="A477" s="5"/>
      <c r="B477" s="249"/>
      <c r="C477" s="384" t="str">
        <f ca="1">+'R4 Variations'!C477</f>
        <v/>
      </c>
      <c r="D477" s="491">
        <f ca="1">IF(ISNUMBER('R4 Variations'!D477),+'R4 Variations'!D477*LU_Escalation,0)</f>
        <v>0</v>
      </c>
      <c r="E477" s="850">
        <f ca="1">IF(ISNUMBER('R4 Variations'!E477),+'R4 Variations'!E477*LU_Escalation,0)</f>
        <v>0</v>
      </c>
      <c r="F477" s="491">
        <f ca="1">IF(ISNUMBER('R4 Variations'!F477),+'R4 Variations'!F477*LU_Escalation,0)</f>
        <v>0</v>
      </c>
      <c r="G477" s="491">
        <f ca="1">IF(ISNUMBER('R4 Variations'!G477),+'R4 Variations'!G477*LU_Escalation,0)</f>
        <v>0</v>
      </c>
      <c r="H477" s="491">
        <f ca="1">IF(ISNUMBER('R4 Variations'!H477),+'R4 Variations'!H477*LU_Escalation,0)</f>
        <v>0</v>
      </c>
      <c r="I477" s="491">
        <f ca="1">IF(ISNUMBER('R4 Variations'!I477),+'R4 Variations'!I477*LU_Escalation,0)</f>
        <v>0</v>
      </c>
      <c r="J477" s="491">
        <f ca="1">IF(ISNUMBER('R4 Variations'!J477),+'R4 Variations'!J477*LU_Escalation,0)</f>
        <v>0</v>
      </c>
      <c r="K477" s="491">
        <f ca="1">IF(ISNUMBER('R4 Variations'!K477),+'R4 Variations'!K477*LU_Escalation,0)</f>
        <v>0</v>
      </c>
      <c r="L477" s="515" t="str">
        <f ca="1">+'R4 Variations'!L477</f>
        <v/>
      </c>
      <c r="M477" s="450" t="str">
        <f ca="1">+'R4 Variations'!M477</f>
        <v/>
      </c>
      <c r="N477" s="450" t="str">
        <f ca="1">+'R4 Variations'!N477</f>
        <v/>
      </c>
    </row>
    <row r="478" spans="1:14">
      <c r="A478" s="5"/>
      <c r="B478" s="249"/>
      <c r="C478" s="384" t="str">
        <f ca="1">+'R4 Variations'!C478</f>
        <v/>
      </c>
      <c r="D478" s="491">
        <f ca="1">IF(ISNUMBER('R4 Variations'!D478),+'R4 Variations'!D478*LU_Escalation,0)</f>
        <v>0</v>
      </c>
      <c r="E478" s="850">
        <f ca="1">IF(ISNUMBER('R4 Variations'!E478),+'R4 Variations'!E478*LU_Escalation,0)</f>
        <v>0</v>
      </c>
      <c r="F478" s="491">
        <f ca="1">IF(ISNUMBER('R4 Variations'!F478),+'R4 Variations'!F478*LU_Escalation,0)</f>
        <v>0</v>
      </c>
      <c r="G478" s="491">
        <f ca="1">IF(ISNUMBER('R4 Variations'!G478),+'R4 Variations'!G478*LU_Escalation,0)</f>
        <v>0</v>
      </c>
      <c r="H478" s="491">
        <f ca="1">IF(ISNUMBER('R4 Variations'!H478),+'R4 Variations'!H478*LU_Escalation,0)</f>
        <v>0</v>
      </c>
      <c r="I478" s="491">
        <f ca="1">IF(ISNUMBER('R4 Variations'!I478),+'R4 Variations'!I478*LU_Escalation,0)</f>
        <v>0</v>
      </c>
      <c r="J478" s="491">
        <f ca="1">IF(ISNUMBER('R4 Variations'!J478),+'R4 Variations'!J478*LU_Escalation,0)</f>
        <v>0</v>
      </c>
      <c r="K478" s="491">
        <f ca="1">IF(ISNUMBER('R4 Variations'!K478),+'R4 Variations'!K478*LU_Escalation,0)</f>
        <v>0</v>
      </c>
      <c r="L478" s="515" t="str">
        <f ca="1">+'R4 Variations'!L478</f>
        <v/>
      </c>
      <c r="M478" s="450" t="str">
        <f ca="1">+'R4 Variations'!M478</f>
        <v/>
      </c>
      <c r="N478" s="450" t="str">
        <f ca="1">+'R4 Variations'!N478</f>
        <v/>
      </c>
    </row>
    <row r="479" spans="1:14">
      <c r="A479" s="5"/>
      <c r="B479" s="249"/>
      <c r="C479" s="384" t="str">
        <f ca="1">+'R4 Variations'!C479</f>
        <v/>
      </c>
      <c r="D479" s="491">
        <f ca="1">IF(ISNUMBER('R4 Variations'!D479),+'R4 Variations'!D479*LU_Escalation,0)</f>
        <v>0</v>
      </c>
      <c r="E479" s="850">
        <f ca="1">IF(ISNUMBER('R4 Variations'!E479),+'R4 Variations'!E479*LU_Escalation,0)</f>
        <v>0</v>
      </c>
      <c r="F479" s="491">
        <f ca="1">IF(ISNUMBER('R4 Variations'!F479),+'R4 Variations'!F479*LU_Escalation,0)</f>
        <v>0</v>
      </c>
      <c r="G479" s="491">
        <f ca="1">IF(ISNUMBER('R4 Variations'!G479),+'R4 Variations'!G479*LU_Escalation,0)</f>
        <v>0</v>
      </c>
      <c r="H479" s="491">
        <f ca="1">IF(ISNUMBER('R4 Variations'!H479),+'R4 Variations'!H479*LU_Escalation,0)</f>
        <v>0</v>
      </c>
      <c r="I479" s="491">
        <f ca="1">IF(ISNUMBER('R4 Variations'!I479),+'R4 Variations'!I479*LU_Escalation,0)</f>
        <v>0</v>
      </c>
      <c r="J479" s="491">
        <f ca="1">IF(ISNUMBER('R4 Variations'!J479),+'R4 Variations'!J479*LU_Escalation,0)</f>
        <v>0</v>
      </c>
      <c r="K479" s="491">
        <f ca="1">IF(ISNUMBER('R4 Variations'!K479),+'R4 Variations'!K479*LU_Escalation,0)</f>
        <v>0</v>
      </c>
      <c r="L479" s="515" t="str">
        <f ca="1">+'R4 Variations'!L479</f>
        <v/>
      </c>
      <c r="M479" s="450" t="str">
        <f ca="1">+'R4 Variations'!M479</f>
        <v/>
      </c>
      <c r="N479" s="450" t="str">
        <f ca="1">+'R4 Variations'!N479</f>
        <v/>
      </c>
    </row>
    <row r="480" spans="1:14">
      <c r="A480" s="5"/>
      <c r="B480" s="249"/>
      <c r="C480" s="384" t="str">
        <f ca="1">+'R4 Variations'!C480</f>
        <v/>
      </c>
      <c r="D480" s="491">
        <f ca="1">IF(ISNUMBER('R4 Variations'!D480),+'R4 Variations'!D480*LU_Escalation,0)</f>
        <v>0</v>
      </c>
      <c r="E480" s="850">
        <f ca="1">IF(ISNUMBER('R4 Variations'!E480),+'R4 Variations'!E480*LU_Escalation,0)</f>
        <v>0</v>
      </c>
      <c r="F480" s="491">
        <f ca="1">IF(ISNUMBER('R4 Variations'!F480),+'R4 Variations'!F480*LU_Escalation,0)</f>
        <v>0</v>
      </c>
      <c r="G480" s="491">
        <f ca="1">IF(ISNUMBER('R4 Variations'!G480),+'R4 Variations'!G480*LU_Escalation,0)</f>
        <v>0</v>
      </c>
      <c r="H480" s="491">
        <f ca="1">IF(ISNUMBER('R4 Variations'!H480),+'R4 Variations'!H480*LU_Escalation,0)</f>
        <v>0</v>
      </c>
      <c r="I480" s="491">
        <f ca="1">IF(ISNUMBER('R4 Variations'!I480),+'R4 Variations'!I480*LU_Escalation,0)</f>
        <v>0</v>
      </c>
      <c r="J480" s="491">
        <f ca="1">IF(ISNUMBER('R4 Variations'!J480),+'R4 Variations'!J480*LU_Escalation,0)</f>
        <v>0</v>
      </c>
      <c r="K480" s="491">
        <f ca="1">IF(ISNUMBER('R4 Variations'!K480),+'R4 Variations'!K480*LU_Escalation,0)</f>
        <v>0</v>
      </c>
      <c r="L480" s="515" t="str">
        <f ca="1">+'R4 Variations'!L480</f>
        <v/>
      </c>
      <c r="M480" s="450" t="str">
        <f ca="1">+'R4 Variations'!M480</f>
        <v/>
      </c>
      <c r="N480" s="450" t="str">
        <f ca="1">+'R4 Variations'!N480</f>
        <v/>
      </c>
    </row>
    <row r="481" spans="1:14">
      <c r="A481" s="5"/>
      <c r="B481" s="249"/>
      <c r="C481" s="384" t="str">
        <f ca="1">+'R4 Variations'!C481</f>
        <v/>
      </c>
      <c r="D481" s="491">
        <f ca="1">IF(ISNUMBER('R4 Variations'!D481),+'R4 Variations'!D481*LU_Escalation,0)</f>
        <v>0</v>
      </c>
      <c r="E481" s="850">
        <f ca="1">IF(ISNUMBER('R4 Variations'!E481),+'R4 Variations'!E481*LU_Escalation,0)</f>
        <v>0</v>
      </c>
      <c r="F481" s="491">
        <f ca="1">IF(ISNUMBER('R4 Variations'!F481),+'R4 Variations'!F481*LU_Escalation,0)</f>
        <v>0</v>
      </c>
      <c r="G481" s="491">
        <f ca="1">IF(ISNUMBER('R4 Variations'!G481),+'R4 Variations'!G481*LU_Escalation,0)</f>
        <v>0</v>
      </c>
      <c r="H481" s="491">
        <f ca="1">IF(ISNUMBER('R4 Variations'!H481),+'R4 Variations'!H481*LU_Escalation,0)</f>
        <v>0</v>
      </c>
      <c r="I481" s="491">
        <f ca="1">IF(ISNUMBER('R4 Variations'!I481),+'R4 Variations'!I481*LU_Escalation,0)</f>
        <v>0</v>
      </c>
      <c r="J481" s="491">
        <f ca="1">IF(ISNUMBER('R4 Variations'!J481),+'R4 Variations'!J481*LU_Escalation,0)</f>
        <v>0</v>
      </c>
      <c r="K481" s="491">
        <f ca="1">IF(ISNUMBER('R4 Variations'!K481),+'R4 Variations'!K481*LU_Escalation,0)</f>
        <v>0</v>
      </c>
      <c r="L481" s="515" t="str">
        <f ca="1">+'R4 Variations'!L481</f>
        <v/>
      </c>
      <c r="M481" s="450" t="str">
        <f ca="1">+'R4 Variations'!M481</f>
        <v/>
      </c>
      <c r="N481" s="450" t="str">
        <f ca="1">+'R4 Variations'!N481</f>
        <v/>
      </c>
    </row>
    <row r="482" spans="1:14">
      <c r="A482" s="5"/>
      <c r="B482" s="249"/>
      <c r="C482" s="384" t="str">
        <f ca="1">+'R4 Variations'!C482</f>
        <v/>
      </c>
      <c r="D482" s="491">
        <f ca="1">IF(ISNUMBER('R4 Variations'!D482),+'R4 Variations'!D482*LU_Escalation,0)</f>
        <v>0</v>
      </c>
      <c r="E482" s="850">
        <f ca="1">IF(ISNUMBER('R4 Variations'!E482),+'R4 Variations'!E482*LU_Escalation,0)</f>
        <v>0</v>
      </c>
      <c r="F482" s="491">
        <f ca="1">IF(ISNUMBER('R4 Variations'!F482),+'R4 Variations'!F482*LU_Escalation,0)</f>
        <v>0</v>
      </c>
      <c r="G482" s="491">
        <f ca="1">IF(ISNUMBER('R4 Variations'!G482),+'R4 Variations'!G482*LU_Escalation,0)</f>
        <v>0</v>
      </c>
      <c r="H482" s="491">
        <f ca="1">IF(ISNUMBER('R4 Variations'!H482),+'R4 Variations'!H482*LU_Escalation,0)</f>
        <v>0</v>
      </c>
      <c r="I482" s="491">
        <f ca="1">IF(ISNUMBER('R4 Variations'!I482),+'R4 Variations'!I482*LU_Escalation,0)</f>
        <v>0</v>
      </c>
      <c r="J482" s="491">
        <f ca="1">IF(ISNUMBER('R4 Variations'!J482),+'R4 Variations'!J482*LU_Escalation,0)</f>
        <v>0</v>
      </c>
      <c r="K482" s="491">
        <f ca="1">IF(ISNUMBER('R4 Variations'!K482),+'R4 Variations'!K482*LU_Escalation,0)</f>
        <v>0</v>
      </c>
      <c r="L482" s="515" t="str">
        <f ca="1">+'R4 Variations'!L482</f>
        <v/>
      </c>
      <c r="M482" s="450" t="str">
        <f ca="1">+'R4 Variations'!M482</f>
        <v/>
      </c>
      <c r="N482" s="450" t="str">
        <f ca="1">+'R4 Variations'!N482</f>
        <v/>
      </c>
    </row>
    <row r="483" spans="1:14">
      <c r="A483" s="5"/>
      <c r="B483" s="249" t="str">
        <f ca="1">+'I-4 History'!B363</f>
        <v>A-16</v>
      </c>
      <c r="C483" s="14" t="str">
        <f ca="1">+'I-4 History'!C363</f>
        <v>Finance - Adjustments</v>
      </c>
      <c r="D483" s="491"/>
      <c r="E483" s="508"/>
      <c r="F483" s="491"/>
      <c r="G483" s="492"/>
      <c r="H483" s="492"/>
      <c r="I483" s="492"/>
      <c r="J483" s="492"/>
      <c r="K483" s="508"/>
      <c r="L483" s="515"/>
      <c r="M483" s="450"/>
      <c r="N483" s="450"/>
    </row>
    <row r="484" spans="1:14">
      <c r="A484" s="5"/>
      <c r="B484" s="249"/>
      <c r="C484" s="384" t="str">
        <f ca="1">+'R4 Variations'!C484</f>
        <v>Step Change</v>
      </c>
      <c r="D484" s="491">
        <f ca="1">IF(ISNUMBER('R4 Variations'!D484),+'R4 Variations'!D484*LU_Escalation,0)</f>
        <v>0</v>
      </c>
      <c r="E484" s="850">
        <f ca="1">IF(ISNUMBER('R4 Variations'!E484),+'R4 Variations'!E484*LU_Escalation,0)</f>
        <v>0</v>
      </c>
      <c r="F484" s="491">
        <f ca="1">IF(ISNUMBER('R4 Variations'!F484),+'R4 Variations'!F484*LU_Escalation,0)</f>
        <v>0</v>
      </c>
      <c r="G484" s="491">
        <f ca="1">IF(ISNUMBER('R4 Variations'!G484),+'R4 Variations'!G484*LU_Escalation,0)</f>
        <v>0</v>
      </c>
      <c r="H484" s="491">
        <f ca="1">IF(ISNUMBER('R4 Variations'!H484),+'R4 Variations'!H484*LU_Escalation,0)</f>
        <v>0</v>
      </c>
      <c r="I484" s="491">
        <f ca="1">IF(ISNUMBER('R4 Variations'!I484),+'R4 Variations'!I484*LU_Escalation,0)</f>
        <v>0</v>
      </c>
      <c r="J484" s="491">
        <f ca="1">IF(ISNUMBER('R4 Variations'!J484),+'R4 Variations'!J484*LU_Escalation,0)</f>
        <v>0</v>
      </c>
      <c r="K484" s="491">
        <f ca="1">IF(ISNUMBER('R4 Variations'!K484),+'R4 Variations'!K484*LU_Escalation,0)</f>
        <v>0</v>
      </c>
      <c r="L484" s="515" t="str">
        <f ca="1">+'R4 Variations'!L484</f>
        <v>Proposal Step Change</v>
      </c>
      <c r="M484" s="450" t="str">
        <f ca="1">+'R4 Variations'!M484</f>
        <v>Refer Opex Workings</v>
      </c>
      <c r="N484" s="450" t="str">
        <f ca="1">+'R4 Variations'!N484</f>
        <v>Proposal, October 2014</v>
      </c>
    </row>
    <row r="485" spans="1:14">
      <c r="A485" s="5"/>
      <c r="B485" s="249"/>
      <c r="C485" s="384" t="str">
        <f ca="1">+'R4 Variations'!C485</f>
        <v/>
      </c>
      <c r="D485" s="491">
        <f ca="1">IF(ISNUMBER('R4 Variations'!D485),+'R4 Variations'!D485*LU_Escalation,0)</f>
        <v>0</v>
      </c>
      <c r="E485" s="850">
        <f ca="1">IF(ISNUMBER('R4 Variations'!E485),+'R4 Variations'!E485*LU_Escalation,0)</f>
        <v>0</v>
      </c>
      <c r="F485" s="491">
        <f ca="1">IF(ISNUMBER('R4 Variations'!F485),+'R4 Variations'!F485*LU_Escalation,0)</f>
        <v>0</v>
      </c>
      <c r="G485" s="491">
        <f ca="1">IF(ISNUMBER('R4 Variations'!G485),+'R4 Variations'!G485*LU_Escalation,0)</f>
        <v>0</v>
      </c>
      <c r="H485" s="491">
        <f ca="1">IF(ISNUMBER('R4 Variations'!H485),+'R4 Variations'!H485*LU_Escalation,0)</f>
        <v>0</v>
      </c>
      <c r="I485" s="491">
        <f ca="1">IF(ISNUMBER('R4 Variations'!I485),+'R4 Variations'!I485*LU_Escalation,0)</f>
        <v>0</v>
      </c>
      <c r="J485" s="491">
        <f ca="1">IF(ISNUMBER('R4 Variations'!J485),+'R4 Variations'!J485*LU_Escalation,0)</f>
        <v>0</v>
      </c>
      <c r="K485" s="491">
        <f ca="1">IF(ISNUMBER('R4 Variations'!K485),+'R4 Variations'!K485*LU_Escalation,0)</f>
        <v>0</v>
      </c>
      <c r="L485" s="515" t="str">
        <f ca="1">+'R4 Variations'!L485</f>
        <v/>
      </c>
      <c r="M485" s="450" t="str">
        <f ca="1">+'R4 Variations'!M485</f>
        <v/>
      </c>
      <c r="N485" s="450" t="str">
        <f ca="1">+'R4 Variations'!N485</f>
        <v/>
      </c>
    </row>
    <row r="486" spans="1:14">
      <c r="A486" s="5"/>
      <c r="B486" s="249"/>
      <c r="C486" s="384" t="str">
        <f ca="1">+'R4 Variations'!C486</f>
        <v/>
      </c>
      <c r="D486" s="491">
        <f ca="1">IF(ISNUMBER('R4 Variations'!D486),+'R4 Variations'!D486*LU_Escalation,0)</f>
        <v>0</v>
      </c>
      <c r="E486" s="850">
        <f ca="1">IF(ISNUMBER('R4 Variations'!E486),+'R4 Variations'!E486*LU_Escalation,0)</f>
        <v>0</v>
      </c>
      <c r="F486" s="491">
        <f ca="1">IF(ISNUMBER('R4 Variations'!F486),+'R4 Variations'!F486*LU_Escalation,0)</f>
        <v>0</v>
      </c>
      <c r="G486" s="491">
        <f ca="1">IF(ISNUMBER('R4 Variations'!G486),+'R4 Variations'!G486*LU_Escalation,0)</f>
        <v>0</v>
      </c>
      <c r="H486" s="491">
        <f ca="1">IF(ISNUMBER('R4 Variations'!H486),+'R4 Variations'!H486*LU_Escalation,0)</f>
        <v>0</v>
      </c>
      <c r="I486" s="491">
        <f ca="1">IF(ISNUMBER('R4 Variations'!I486),+'R4 Variations'!I486*LU_Escalation,0)</f>
        <v>0</v>
      </c>
      <c r="J486" s="491">
        <f ca="1">IF(ISNUMBER('R4 Variations'!J486),+'R4 Variations'!J486*LU_Escalation,0)</f>
        <v>0</v>
      </c>
      <c r="K486" s="491">
        <f ca="1">IF(ISNUMBER('R4 Variations'!K486),+'R4 Variations'!K486*LU_Escalation,0)</f>
        <v>0</v>
      </c>
      <c r="L486" s="515" t="str">
        <f ca="1">+'R4 Variations'!L486</f>
        <v/>
      </c>
      <c r="M486" s="450" t="str">
        <f ca="1">+'R4 Variations'!M486</f>
        <v/>
      </c>
      <c r="N486" s="450" t="str">
        <f ca="1">+'R4 Variations'!N486</f>
        <v/>
      </c>
    </row>
    <row r="487" spans="1:14">
      <c r="A487" s="5"/>
      <c r="B487" s="249"/>
      <c r="C487" s="384" t="str">
        <f ca="1">+'R4 Variations'!C487</f>
        <v/>
      </c>
      <c r="D487" s="491">
        <f ca="1">IF(ISNUMBER('R4 Variations'!D487),+'R4 Variations'!D487*LU_Escalation,0)</f>
        <v>0</v>
      </c>
      <c r="E487" s="850">
        <f ca="1">IF(ISNUMBER('R4 Variations'!E487),+'R4 Variations'!E487*LU_Escalation,0)</f>
        <v>0</v>
      </c>
      <c r="F487" s="491">
        <f ca="1">IF(ISNUMBER('R4 Variations'!F487),+'R4 Variations'!F487*LU_Escalation,0)</f>
        <v>0</v>
      </c>
      <c r="G487" s="491">
        <f ca="1">IF(ISNUMBER('R4 Variations'!G487),+'R4 Variations'!G487*LU_Escalation,0)</f>
        <v>0</v>
      </c>
      <c r="H487" s="491">
        <f ca="1">IF(ISNUMBER('R4 Variations'!H487),+'R4 Variations'!H487*LU_Escalation,0)</f>
        <v>0</v>
      </c>
      <c r="I487" s="491">
        <f ca="1">IF(ISNUMBER('R4 Variations'!I487),+'R4 Variations'!I487*LU_Escalation,0)</f>
        <v>0</v>
      </c>
      <c r="J487" s="491">
        <f ca="1">IF(ISNUMBER('R4 Variations'!J487),+'R4 Variations'!J487*LU_Escalation,0)</f>
        <v>0</v>
      </c>
      <c r="K487" s="491">
        <f ca="1">IF(ISNUMBER('R4 Variations'!K487),+'R4 Variations'!K487*LU_Escalation,0)</f>
        <v>0</v>
      </c>
      <c r="L487" s="515" t="str">
        <f ca="1">+'R4 Variations'!L487</f>
        <v/>
      </c>
      <c r="M487" s="450" t="str">
        <f ca="1">+'R4 Variations'!M487</f>
        <v/>
      </c>
      <c r="N487" s="450" t="str">
        <f ca="1">+'R4 Variations'!N487</f>
        <v/>
      </c>
    </row>
    <row r="488" spans="1:14">
      <c r="A488" s="5"/>
      <c r="B488" s="249"/>
      <c r="C488" s="384" t="str">
        <f ca="1">+'R4 Variations'!C488</f>
        <v/>
      </c>
      <c r="D488" s="491">
        <f ca="1">IF(ISNUMBER('R4 Variations'!D488),+'R4 Variations'!D488*LU_Escalation,0)</f>
        <v>0</v>
      </c>
      <c r="E488" s="850">
        <f ca="1">IF(ISNUMBER('R4 Variations'!E488),+'R4 Variations'!E488*LU_Escalation,0)</f>
        <v>0</v>
      </c>
      <c r="F488" s="491">
        <f ca="1">IF(ISNUMBER('R4 Variations'!F488),+'R4 Variations'!F488*LU_Escalation,0)</f>
        <v>0</v>
      </c>
      <c r="G488" s="491">
        <f ca="1">IF(ISNUMBER('R4 Variations'!G488),+'R4 Variations'!G488*LU_Escalation,0)</f>
        <v>0</v>
      </c>
      <c r="H488" s="491">
        <f ca="1">IF(ISNUMBER('R4 Variations'!H488),+'R4 Variations'!H488*LU_Escalation,0)</f>
        <v>0</v>
      </c>
      <c r="I488" s="491">
        <f ca="1">IF(ISNUMBER('R4 Variations'!I488),+'R4 Variations'!I488*LU_Escalation,0)</f>
        <v>0</v>
      </c>
      <c r="J488" s="491">
        <f ca="1">IF(ISNUMBER('R4 Variations'!J488),+'R4 Variations'!J488*LU_Escalation,0)</f>
        <v>0</v>
      </c>
      <c r="K488" s="491">
        <f ca="1">IF(ISNUMBER('R4 Variations'!K488),+'R4 Variations'!K488*LU_Escalation,0)</f>
        <v>0</v>
      </c>
      <c r="L488" s="515" t="str">
        <f ca="1">+'R4 Variations'!L488</f>
        <v/>
      </c>
      <c r="M488" s="450" t="str">
        <f ca="1">+'R4 Variations'!M488</f>
        <v/>
      </c>
      <c r="N488" s="450" t="str">
        <f ca="1">+'R4 Variations'!N488</f>
        <v/>
      </c>
    </row>
    <row r="489" spans="1:14">
      <c r="B489" s="249"/>
      <c r="C489" s="384" t="str">
        <f ca="1">+'R4 Variations'!C489</f>
        <v/>
      </c>
      <c r="D489" s="491">
        <f ca="1">IF(ISNUMBER('R4 Variations'!D489),+'R4 Variations'!D489*LU_Escalation,0)</f>
        <v>0</v>
      </c>
      <c r="E489" s="850">
        <f ca="1">IF(ISNUMBER('R4 Variations'!E489),+'R4 Variations'!E489*LU_Escalation,0)</f>
        <v>0</v>
      </c>
      <c r="F489" s="491">
        <f ca="1">IF(ISNUMBER('R4 Variations'!F489),+'R4 Variations'!F489*LU_Escalation,0)</f>
        <v>0</v>
      </c>
      <c r="G489" s="491">
        <f ca="1">IF(ISNUMBER('R4 Variations'!G489),+'R4 Variations'!G489*LU_Escalation,0)</f>
        <v>0</v>
      </c>
      <c r="H489" s="491">
        <f ca="1">IF(ISNUMBER('R4 Variations'!H489),+'R4 Variations'!H489*LU_Escalation,0)</f>
        <v>0</v>
      </c>
      <c r="I489" s="491">
        <f ca="1">IF(ISNUMBER('R4 Variations'!I489),+'R4 Variations'!I489*LU_Escalation,0)</f>
        <v>0</v>
      </c>
      <c r="J489" s="491">
        <f ca="1">IF(ISNUMBER('R4 Variations'!J489),+'R4 Variations'!J489*LU_Escalation,0)</f>
        <v>0</v>
      </c>
      <c r="K489" s="491">
        <f ca="1">IF(ISNUMBER('R4 Variations'!K489),+'R4 Variations'!K489*LU_Escalation,0)</f>
        <v>0</v>
      </c>
      <c r="L489" s="515" t="str">
        <f ca="1">+'R4 Variations'!L489</f>
        <v/>
      </c>
      <c r="M489" s="450" t="str">
        <f ca="1">+'R4 Variations'!M489</f>
        <v/>
      </c>
      <c r="N489" s="450" t="str">
        <f ca="1">+'R4 Variations'!N489</f>
        <v/>
      </c>
    </row>
    <row r="490" spans="1:14">
      <c r="B490" s="249"/>
      <c r="C490" s="384" t="str">
        <f ca="1">+'R4 Variations'!C490</f>
        <v/>
      </c>
      <c r="D490" s="491">
        <f ca="1">IF(ISNUMBER('R4 Variations'!D490),+'R4 Variations'!D490*LU_Escalation,0)</f>
        <v>0</v>
      </c>
      <c r="E490" s="850">
        <f ca="1">IF(ISNUMBER('R4 Variations'!E490),+'R4 Variations'!E490*LU_Escalation,0)</f>
        <v>0</v>
      </c>
      <c r="F490" s="491">
        <f ca="1">IF(ISNUMBER('R4 Variations'!F490),+'R4 Variations'!F490*LU_Escalation,0)</f>
        <v>0</v>
      </c>
      <c r="G490" s="491">
        <f ca="1">IF(ISNUMBER('R4 Variations'!G490),+'R4 Variations'!G490*LU_Escalation,0)</f>
        <v>0</v>
      </c>
      <c r="H490" s="491">
        <f ca="1">IF(ISNUMBER('R4 Variations'!H490),+'R4 Variations'!H490*LU_Escalation,0)</f>
        <v>0</v>
      </c>
      <c r="I490" s="491">
        <f ca="1">IF(ISNUMBER('R4 Variations'!I490),+'R4 Variations'!I490*LU_Escalation,0)</f>
        <v>0</v>
      </c>
      <c r="J490" s="491">
        <f ca="1">IF(ISNUMBER('R4 Variations'!J490),+'R4 Variations'!J490*LU_Escalation,0)</f>
        <v>0</v>
      </c>
      <c r="K490" s="491">
        <f ca="1">IF(ISNUMBER('R4 Variations'!K490),+'R4 Variations'!K490*LU_Escalation,0)</f>
        <v>0</v>
      </c>
      <c r="L490" s="515" t="str">
        <f ca="1">+'R4 Variations'!L490</f>
        <v/>
      </c>
      <c r="M490" s="450" t="str">
        <f ca="1">+'R4 Variations'!M490</f>
        <v/>
      </c>
      <c r="N490" s="450" t="str">
        <f ca="1">+'R4 Variations'!N490</f>
        <v/>
      </c>
    </row>
    <row r="491" spans="1:14">
      <c r="B491" s="249"/>
      <c r="C491" s="384" t="str">
        <f ca="1">+'R4 Variations'!C491</f>
        <v/>
      </c>
      <c r="D491" s="491">
        <f ca="1">IF(ISNUMBER('R4 Variations'!D491),+'R4 Variations'!D491*LU_Escalation,0)</f>
        <v>0</v>
      </c>
      <c r="E491" s="850">
        <f ca="1">IF(ISNUMBER('R4 Variations'!E491),+'R4 Variations'!E491*LU_Escalation,0)</f>
        <v>0</v>
      </c>
      <c r="F491" s="491">
        <f ca="1">IF(ISNUMBER('R4 Variations'!F491),+'R4 Variations'!F491*LU_Escalation,0)</f>
        <v>0</v>
      </c>
      <c r="G491" s="491">
        <f ca="1">IF(ISNUMBER('R4 Variations'!G491),+'R4 Variations'!G491*LU_Escalation,0)</f>
        <v>0</v>
      </c>
      <c r="H491" s="491">
        <f ca="1">IF(ISNUMBER('R4 Variations'!H491),+'R4 Variations'!H491*LU_Escalation,0)</f>
        <v>0</v>
      </c>
      <c r="I491" s="491">
        <f ca="1">IF(ISNUMBER('R4 Variations'!I491),+'R4 Variations'!I491*LU_Escalation,0)</f>
        <v>0</v>
      </c>
      <c r="J491" s="491">
        <f ca="1">IF(ISNUMBER('R4 Variations'!J491),+'R4 Variations'!J491*LU_Escalation,0)</f>
        <v>0</v>
      </c>
      <c r="K491" s="491">
        <f ca="1">IF(ISNUMBER('R4 Variations'!K491),+'R4 Variations'!K491*LU_Escalation,0)</f>
        <v>0</v>
      </c>
      <c r="L491" s="515" t="str">
        <f ca="1">+'R4 Variations'!L491</f>
        <v/>
      </c>
      <c r="M491" s="450" t="str">
        <f ca="1">+'R4 Variations'!M491</f>
        <v/>
      </c>
      <c r="N491" s="450" t="str">
        <f ca="1">+'R4 Variations'!N491</f>
        <v/>
      </c>
    </row>
    <row r="492" spans="1:14">
      <c r="B492" s="249"/>
      <c r="C492" s="384" t="str">
        <f ca="1">+'R4 Variations'!C492</f>
        <v/>
      </c>
      <c r="D492" s="491">
        <f ca="1">IF(ISNUMBER('R4 Variations'!D492),+'R4 Variations'!D492*LU_Escalation,0)</f>
        <v>0</v>
      </c>
      <c r="E492" s="850">
        <f ca="1">IF(ISNUMBER('R4 Variations'!E492),+'R4 Variations'!E492*LU_Escalation,0)</f>
        <v>0</v>
      </c>
      <c r="F492" s="491">
        <f ca="1">IF(ISNUMBER('R4 Variations'!F492),+'R4 Variations'!F492*LU_Escalation,0)</f>
        <v>0</v>
      </c>
      <c r="G492" s="491">
        <f ca="1">IF(ISNUMBER('R4 Variations'!G492),+'R4 Variations'!G492*LU_Escalation,0)</f>
        <v>0</v>
      </c>
      <c r="H492" s="491">
        <f ca="1">IF(ISNUMBER('R4 Variations'!H492),+'R4 Variations'!H492*LU_Escalation,0)</f>
        <v>0</v>
      </c>
      <c r="I492" s="491">
        <f ca="1">IF(ISNUMBER('R4 Variations'!I492),+'R4 Variations'!I492*LU_Escalation,0)</f>
        <v>0</v>
      </c>
      <c r="J492" s="491">
        <f ca="1">IF(ISNUMBER('R4 Variations'!J492),+'R4 Variations'!J492*LU_Escalation,0)</f>
        <v>0</v>
      </c>
      <c r="K492" s="491">
        <f ca="1">IF(ISNUMBER('R4 Variations'!K492),+'R4 Variations'!K492*LU_Escalation,0)</f>
        <v>0</v>
      </c>
      <c r="L492" s="515" t="str">
        <f ca="1">+'R4 Variations'!L492</f>
        <v/>
      </c>
      <c r="M492" s="450" t="str">
        <f ca="1">+'R4 Variations'!M492</f>
        <v/>
      </c>
      <c r="N492" s="450" t="str">
        <f ca="1">+'R4 Variations'!N492</f>
        <v/>
      </c>
    </row>
    <row r="493" spans="1:14">
      <c r="B493" s="249"/>
      <c r="C493" s="384" t="str">
        <f ca="1">+'R4 Variations'!C493</f>
        <v/>
      </c>
      <c r="D493" s="491">
        <f ca="1">IF(ISNUMBER('R4 Variations'!D493),+'R4 Variations'!D493*LU_Escalation,0)</f>
        <v>0</v>
      </c>
      <c r="E493" s="850">
        <f ca="1">IF(ISNUMBER('R4 Variations'!E493),+'R4 Variations'!E493*LU_Escalation,0)</f>
        <v>0</v>
      </c>
      <c r="F493" s="491">
        <f ca="1">IF(ISNUMBER('R4 Variations'!F493),+'R4 Variations'!F493*LU_Escalation,0)</f>
        <v>0</v>
      </c>
      <c r="G493" s="491">
        <f ca="1">IF(ISNUMBER('R4 Variations'!G493),+'R4 Variations'!G493*LU_Escalation,0)</f>
        <v>0</v>
      </c>
      <c r="H493" s="491">
        <f ca="1">IF(ISNUMBER('R4 Variations'!H493),+'R4 Variations'!H493*LU_Escalation,0)</f>
        <v>0</v>
      </c>
      <c r="I493" s="491">
        <f ca="1">IF(ISNUMBER('R4 Variations'!I493),+'R4 Variations'!I493*LU_Escalation,0)</f>
        <v>0</v>
      </c>
      <c r="J493" s="491">
        <f ca="1">IF(ISNUMBER('R4 Variations'!J493),+'R4 Variations'!J493*LU_Escalation,0)</f>
        <v>0</v>
      </c>
      <c r="K493" s="491">
        <f ca="1">IF(ISNUMBER('R4 Variations'!K493),+'R4 Variations'!K493*LU_Escalation,0)</f>
        <v>0</v>
      </c>
      <c r="L493" s="515" t="str">
        <f ca="1">+'R4 Variations'!L493</f>
        <v/>
      </c>
      <c r="M493" s="450" t="str">
        <f ca="1">+'R4 Variations'!M493</f>
        <v/>
      </c>
      <c r="N493" s="450" t="str">
        <f ca="1">+'R4 Variations'!N493</f>
        <v/>
      </c>
    </row>
    <row r="494" spans="1:14">
      <c r="B494" s="249"/>
      <c r="C494" s="12"/>
      <c r="D494" s="491"/>
      <c r="E494" s="508"/>
      <c r="F494" s="491"/>
      <c r="G494" s="492"/>
      <c r="H494" s="492"/>
      <c r="I494" s="492"/>
      <c r="J494" s="492"/>
      <c r="K494" s="508"/>
      <c r="L494" s="515"/>
      <c r="M494" s="450"/>
      <c r="N494" s="450"/>
    </row>
    <row r="495" spans="1:14" ht="17.25" customHeight="1" thickBot="1">
      <c r="A495" s="5"/>
      <c r="B495" s="250"/>
      <c r="C495" s="269" t="str">
        <f>CONCATENATE("Total ",+C375)</f>
        <v>Total Finance</v>
      </c>
      <c r="D495" s="315">
        <f t="shared" ref="D495:K495" ca="1" si="5">SUBTOTAL(9,D376:D494)</f>
        <v>0</v>
      </c>
      <c r="E495" s="500">
        <f t="shared" ca="1" si="5"/>
        <v>0</v>
      </c>
      <c r="F495" s="314">
        <f t="shared" ca="1" si="5"/>
        <v>0</v>
      </c>
      <c r="G495" s="315">
        <f t="shared" ca="1" si="5"/>
        <v>0</v>
      </c>
      <c r="H495" s="315">
        <f t="shared" ca="1" si="5"/>
        <v>0</v>
      </c>
      <c r="I495" s="315">
        <f t="shared" ca="1" si="5"/>
        <v>0</v>
      </c>
      <c r="J495" s="315">
        <f t="shared" ca="1" si="5"/>
        <v>0</v>
      </c>
      <c r="K495" s="500">
        <f t="shared" ca="1" si="5"/>
        <v>0</v>
      </c>
      <c r="L495" s="515"/>
      <c r="M495" s="450"/>
      <c r="N495" s="450"/>
    </row>
    <row r="496" spans="1:14" ht="18">
      <c r="B496" s="251"/>
      <c r="C496" s="255" t="str">
        <f>+'I-3 Allocated'!A21</f>
        <v>Corporate Services</v>
      </c>
      <c r="D496" s="332"/>
      <c r="E496" s="499"/>
      <c r="F496" s="332"/>
      <c r="G496" s="332"/>
      <c r="H496" s="332"/>
      <c r="I496" s="332"/>
      <c r="J496" s="332"/>
      <c r="K496" s="499"/>
      <c r="L496" s="515"/>
      <c r="M496" s="450"/>
      <c r="N496" s="450"/>
    </row>
    <row r="497" spans="1:14">
      <c r="A497" s="5"/>
      <c r="B497" s="249" t="str">
        <f ca="1">+'I-4 History'!B372</f>
        <v>A-17</v>
      </c>
      <c r="C497" s="14" t="str">
        <f ca="1">+'I-4 History'!C372</f>
        <v>General Manager Corporate Services</v>
      </c>
      <c r="D497" s="491"/>
      <c r="E497" s="508"/>
      <c r="F497" s="491"/>
      <c r="G497" s="492"/>
      <c r="H497" s="492"/>
      <c r="I497" s="492"/>
      <c r="J497" s="492"/>
      <c r="K497" s="508"/>
      <c r="L497" s="515"/>
      <c r="M497" s="450"/>
      <c r="N497" s="450"/>
    </row>
    <row r="498" spans="1:14">
      <c r="A498" s="5"/>
      <c r="B498" s="249"/>
      <c r="C498" s="384" t="str">
        <f ca="1">+'R4 Variations'!C498</f>
        <v>Step Change</v>
      </c>
      <c r="D498" s="491">
        <f ca="1">IF(ISNUMBER('R4 Variations'!D498),+'R4 Variations'!D498*LU_Escalation,0)</f>
        <v>0</v>
      </c>
      <c r="E498" s="850">
        <f ca="1">IF(ISNUMBER('R4 Variations'!E498),+'R4 Variations'!E498*LU_Escalation,0)</f>
        <v>0</v>
      </c>
      <c r="F498" s="491">
        <f ca="1">IF(ISNUMBER('R4 Variations'!F498),+'R4 Variations'!F498*LU_Escalation,0)</f>
        <v>0</v>
      </c>
      <c r="G498" s="491">
        <f ca="1">IF(ISNUMBER('R4 Variations'!G498),+'R4 Variations'!G498*LU_Escalation,0)</f>
        <v>0</v>
      </c>
      <c r="H498" s="491">
        <f ca="1">IF(ISNUMBER('R4 Variations'!H498),+'R4 Variations'!H498*LU_Escalation,0)</f>
        <v>0</v>
      </c>
      <c r="I498" s="491">
        <f ca="1">IF(ISNUMBER('R4 Variations'!I498),+'R4 Variations'!I498*LU_Escalation,0)</f>
        <v>0</v>
      </c>
      <c r="J498" s="491">
        <f ca="1">IF(ISNUMBER('R4 Variations'!J498),+'R4 Variations'!J498*LU_Escalation,0)</f>
        <v>0</v>
      </c>
      <c r="K498" s="491">
        <f ca="1">IF(ISNUMBER('R4 Variations'!K498),+'R4 Variations'!K498*LU_Escalation,0)</f>
        <v>0</v>
      </c>
      <c r="L498" s="515" t="str">
        <f ca="1">+'R4 Variations'!L498</f>
        <v>Proposal Step Change</v>
      </c>
      <c r="M498" s="450" t="str">
        <f ca="1">+'R4 Variations'!M498</f>
        <v>Refer Opex Workings</v>
      </c>
      <c r="N498" s="450" t="str">
        <f ca="1">+'R4 Variations'!N498</f>
        <v>Proposal, October 2014</v>
      </c>
    </row>
    <row r="499" spans="1:14">
      <c r="A499" s="5"/>
      <c r="B499" s="249"/>
      <c r="C499" s="384" t="str">
        <f ca="1">+'R4 Variations'!C499</f>
        <v/>
      </c>
      <c r="D499" s="491">
        <f ca="1">IF(ISNUMBER('R4 Variations'!D499),+'R4 Variations'!D499*LU_Escalation,0)</f>
        <v>0</v>
      </c>
      <c r="E499" s="850">
        <f ca="1">IF(ISNUMBER('R4 Variations'!E499),+'R4 Variations'!E499*LU_Escalation,0)</f>
        <v>0</v>
      </c>
      <c r="F499" s="491">
        <f ca="1">IF(ISNUMBER('R4 Variations'!F499),+'R4 Variations'!F499*LU_Escalation,0)</f>
        <v>0</v>
      </c>
      <c r="G499" s="491">
        <f ca="1">IF(ISNUMBER('R4 Variations'!G499),+'R4 Variations'!G499*LU_Escalation,0)</f>
        <v>0</v>
      </c>
      <c r="H499" s="491">
        <f ca="1">IF(ISNUMBER('R4 Variations'!H499),+'R4 Variations'!H499*LU_Escalation,0)</f>
        <v>0</v>
      </c>
      <c r="I499" s="491">
        <f ca="1">IF(ISNUMBER('R4 Variations'!I499),+'R4 Variations'!I499*LU_Escalation,0)</f>
        <v>0</v>
      </c>
      <c r="J499" s="491">
        <f ca="1">IF(ISNUMBER('R4 Variations'!J499),+'R4 Variations'!J499*LU_Escalation,0)</f>
        <v>0</v>
      </c>
      <c r="K499" s="491">
        <f ca="1">IF(ISNUMBER('R4 Variations'!K499),+'R4 Variations'!K499*LU_Escalation,0)</f>
        <v>0</v>
      </c>
      <c r="L499" s="515" t="str">
        <f ca="1">+'R4 Variations'!L499</f>
        <v/>
      </c>
      <c r="M499" s="450" t="str">
        <f ca="1">+'R4 Variations'!M499</f>
        <v/>
      </c>
      <c r="N499" s="450" t="str">
        <f ca="1">+'R4 Variations'!N499</f>
        <v/>
      </c>
    </row>
    <row r="500" spans="1:14">
      <c r="A500" s="5"/>
      <c r="B500" s="249"/>
      <c r="C500" s="384" t="str">
        <f ca="1">+'R4 Variations'!C500</f>
        <v/>
      </c>
      <c r="D500" s="491">
        <f ca="1">IF(ISNUMBER('R4 Variations'!D500),+'R4 Variations'!D500*LU_Escalation,0)</f>
        <v>0</v>
      </c>
      <c r="E500" s="850">
        <f ca="1">IF(ISNUMBER('R4 Variations'!E500),+'R4 Variations'!E500*LU_Escalation,0)</f>
        <v>0</v>
      </c>
      <c r="F500" s="491">
        <f ca="1">IF(ISNUMBER('R4 Variations'!F500),+'R4 Variations'!F500*LU_Escalation,0)</f>
        <v>0</v>
      </c>
      <c r="G500" s="491">
        <f ca="1">IF(ISNUMBER('R4 Variations'!G500),+'R4 Variations'!G500*LU_Escalation,0)</f>
        <v>0</v>
      </c>
      <c r="H500" s="491">
        <f ca="1">IF(ISNUMBER('R4 Variations'!H500),+'R4 Variations'!H500*LU_Escalation,0)</f>
        <v>0</v>
      </c>
      <c r="I500" s="491">
        <f ca="1">IF(ISNUMBER('R4 Variations'!I500),+'R4 Variations'!I500*LU_Escalation,0)</f>
        <v>0</v>
      </c>
      <c r="J500" s="491">
        <f ca="1">IF(ISNUMBER('R4 Variations'!J500),+'R4 Variations'!J500*LU_Escalation,0)</f>
        <v>0</v>
      </c>
      <c r="K500" s="491">
        <f ca="1">IF(ISNUMBER('R4 Variations'!K500),+'R4 Variations'!K500*LU_Escalation,0)</f>
        <v>0</v>
      </c>
      <c r="L500" s="515" t="str">
        <f ca="1">+'R4 Variations'!L500</f>
        <v/>
      </c>
      <c r="M500" s="450" t="str">
        <f ca="1">+'R4 Variations'!M500</f>
        <v/>
      </c>
      <c r="N500" s="450" t="str">
        <f ca="1">+'R4 Variations'!N500</f>
        <v/>
      </c>
    </row>
    <row r="501" spans="1:14">
      <c r="A501" s="5"/>
      <c r="B501" s="249"/>
      <c r="C501" s="384" t="str">
        <f ca="1">+'R4 Variations'!C501</f>
        <v/>
      </c>
      <c r="D501" s="491">
        <f ca="1">IF(ISNUMBER('R4 Variations'!D501),+'R4 Variations'!D501*LU_Escalation,0)</f>
        <v>0</v>
      </c>
      <c r="E501" s="850">
        <f ca="1">IF(ISNUMBER('R4 Variations'!E501),+'R4 Variations'!E501*LU_Escalation,0)</f>
        <v>0</v>
      </c>
      <c r="F501" s="491">
        <f ca="1">IF(ISNUMBER('R4 Variations'!F501),+'R4 Variations'!F501*LU_Escalation,0)</f>
        <v>0</v>
      </c>
      <c r="G501" s="491">
        <f ca="1">IF(ISNUMBER('R4 Variations'!G501),+'R4 Variations'!G501*LU_Escalation,0)</f>
        <v>0</v>
      </c>
      <c r="H501" s="491">
        <f ca="1">IF(ISNUMBER('R4 Variations'!H501),+'R4 Variations'!H501*LU_Escalation,0)</f>
        <v>0</v>
      </c>
      <c r="I501" s="491">
        <f ca="1">IF(ISNUMBER('R4 Variations'!I501),+'R4 Variations'!I501*LU_Escalation,0)</f>
        <v>0</v>
      </c>
      <c r="J501" s="491">
        <f ca="1">IF(ISNUMBER('R4 Variations'!J501),+'R4 Variations'!J501*LU_Escalation,0)</f>
        <v>0</v>
      </c>
      <c r="K501" s="491">
        <f ca="1">IF(ISNUMBER('R4 Variations'!K501),+'R4 Variations'!K501*LU_Escalation,0)</f>
        <v>0</v>
      </c>
      <c r="L501" s="515" t="str">
        <f ca="1">+'R4 Variations'!L501</f>
        <v/>
      </c>
      <c r="M501" s="450" t="str">
        <f ca="1">+'R4 Variations'!M501</f>
        <v/>
      </c>
      <c r="N501" s="450" t="str">
        <f ca="1">+'R4 Variations'!N501</f>
        <v/>
      </c>
    </row>
    <row r="502" spans="1:14">
      <c r="A502" s="5"/>
      <c r="B502" s="249"/>
      <c r="C502" s="384" t="str">
        <f ca="1">+'R4 Variations'!C502</f>
        <v/>
      </c>
      <c r="D502" s="491">
        <f ca="1">IF(ISNUMBER('R4 Variations'!D502),+'R4 Variations'!D502*LU_Escalation,0)</f>
        <v>0</v>
      </c>
      <c r="E502" s="850">
        <f ca="1">IF(ISNUMBER('R4 Variations'!E502),+'R4 Variations'!E502*LU_Escalation,0)</f>
        <v>0</v>
      </c>
      <c r="F502" s="491">
        <f ca="1">IF(ISNUMBER('R4 Variations'!F502),+'R4 Variations'!F502*LU_Escalation,0)</f>
        <v>0</v>
      </c>
      <c r="G502" s="491">
        <f ca="1">IF(ISNUMBER('R4 Variations'!G502),+'R4 Variations'!G502*LU_Escalation,0)</f>
        <v>0</v>
      </c>
      <c r="H502" s="491">
        <f ca="1">IF(ISNUMBER('R4 Variations'!H502),+'R4 Variations'!H502*LU_Escalation,0)</f>
        <v>0</v>
      </c>
      <c r="I502" s="491">
        <f ca="1">IF(ISNUMBER('R4 Variations'!I502),+'R4 Variations'!I502*LU_Escalation,0)</f>
        <v>0</v>
      </c>
      <c r="J502" s="491">
        <f ca="1">IF(ISNUMBER('R4 Variations'!J502),+'R4 Variations'!J502*LU_Escalation,0)</f>
        <v>0</v>
      </c>
      <c r="K502" s="491">
        <f ca="1">IF(ISNUMBER('R4 Variations'!K502),+'R4 Variations'!K502*LU_Escalation,0)</f>
        <v>0</v>
      </c>
      <c r="L502" s="515" t="str">
        <f ca="1">+'R4 Variations'!L502</f>
        <v/>
      </c>
      <c r="M502" s="450" t="str">
        <f ca="1">+'R4 Variations'!M502</f>
        <v/>
      </c>
      <c r="N502" s="450" t="str">
        <f ca="1">+'R4 Variations'!N502</f>
        <v/>
      </c>
    </row>
    <row r="503" spans="1:14">
      <c r="A503" s="5"/>
      <c r="B503" s="249"/>
      <c r="C503" s="384" t="str">
        <f ca="1">+'R4 Variations'!C503</f>
        <v/>
      </c>
      <c r="D503" s="491">
        <f ca="1">IF(ISNUMBER('R4 Variations'!D503),+'R4 Variations'!D503*LU_Escalation,0)</f>
        <v>0</v>
      </c>
      <c r="E503" s="850">
        <f ca="1">IF(ISNUMBER('R4 Variations'!E503),+'R4 Variations'!E503*LU_Escalation,0)</f>
        <v>0</v>
      </c>
      <c r="F503" s="491">
        <f ca="1">IF(ISNUMBER('R4 Variations'!F503),+'R4 Variations'!F503*LU_Escalation,0)</f>
        <v>0</v>
      </c>
      <c r="G503" s="491">
        <f ca="1">IF(ISNUMBER('R4 Variations'!G503),+'R4 Variations'!G503*LU_Escalation,0)</f>
        <v>0</v>
      </c>
      <c r="H503" s="491">
        <f ca="1">IF(ISNUMBER('R4 Variations'!H503),+'R4 Variations'!H503*LU_Escalation,0)</f>
        <v>0</v>
      </c>
      <c r="I503" s="491">
        <f ca="1">IF(ISNUMBER('R4 Variations'!I503),+'R4 Variations'!I503*LU_Escalation,0)</f>
        <v>0</v>
      </c>
      <c r="J503" s="491">
        <f ca="1">IF(ISNUMBER('R4 Variations'!J503),+'R4 Variations'!J503*LU_Escalation,0)</f>
        <v>0</v>
      </c>
      <c r="K503" s="491">
        <f ca="1">IF(ISNUMBER('R4 Variations'!K503),+'R4 Variations'!K503*LU_Escalation,0)</f>
        <v>0</v>
      </c>
      <c r="L503" s="515" t="str">
        <f ca="1">+'R4 Variations'!L503</f>
        <v/>
      </c>
      <c r="M503" s="450" t="str">
        <f ca="1">+'R4 Variations'!M503</f>
        <v/>
      </c>
      <c r="N503" s="450" t="str">
        <f ca="1">+'R4 Variations'!N503</f>
        <v/>
      </c>
    </row>
    <row r="504" spans="1:14">
      <c r="A504" s="5"/>
      <c r="B504" s="249"/>
      <c r="C504" s="384" t="str">
        <f ca="1">+'R4 Variations'!C504</f>
        <v/>
      </c>
      <c r="D504" s="491">
        <f ca="1">IF(ISNUMBER('R4 Variations'!D504),+'R4 Variations'!D504*LU_Escalation,0)</f>
        <v>0</v>
      </c>
      <c r="E504" s="850">
        <f ca="1">IF(ISNUMBER('R4 Variations'!E504),+'R4 Variations'!E504*LU_Escalation,0)</f>
        <v>0</v>
      </c>
      <c r="F504" s="491">
        <f ca="1">IF(ISNUMBER('R4 Variations'!F504),+'R4 Variations'!F504*LU_Escalation,0)</f>
        <v>0</v>
      </c>
      <c r="G504" s="491">
        <f ca="1">IF(ISNUMBER('R4 Variations'!G504),+'R4 Variations'!G504*LU_Escalation,0)</f>
        <v>0</v>
      </c>
      <c r="H504" s="491">
        <f ca="1">IF(ISNUMBER('R4 Variations'!H504),+'R4 Variations'!H504*LU_Escalation,0)</f>
        <v>0</v>
      </c>
      <c r="I504" s="491">
        <f ca="1">IF(ISNUMBER('R4 Variations'!I504),+'R4 Variations'!I504*LU_Escalation,0)</f>
        <v>0</v>
      </c>
      <c r="J504" s="491">
        <f ca="1">IF(ISNUMBER('R4 Variations'!J504),+'R4 Variations'!J504*LU_Escalation,0)</f>
        <v>0</v>
      </c>
      <c r="K504" s="491">
        <f ca="1">IF(ISNUMBER('R4 Variations'!K504),+'R4 Variations'!K504*LU_Escalation,0)</f>
        <v>0</v>
      </c>
      <c r="L504" s="515" t="str">
        <f ca="1">+'R4 Variations'!L504</f>
        <v/>
      </c>
      <c r="M504" s="450" t="str">
        <f ca="1">+'R4 Variations'!M504</f>
        <v/>
      </c>
      <c r="N504" s="450" t="str">
        <f ca="1">+'R4 Variations'!N504</f>
        <v/>
      </c>
    </row>
    <row r="505" spans="1:14">
      <c r="A505" s="5"/>
      <c r="B505" s="249"/>
      <c r="C505" s="384" t="str">
        <f ca="1">+'R4 Variations'!C505</f>
        <v/>
      </c>
      <c r="D505" s="491">
        <f ca="1">IF(ISNUMBER('R4 Variations'!D505),+'R4 Variations'!D505*LU_Escalation,0)</f>
        <v>0</v>
      </c>
      <c r="E505" s="850">
        <f ca="1">IF(ISNUMBER('R4 Variations'!E505),+'R4 Variations'!E505*LU_Escalation,0)</f>
        <v>0</v>
      </c>
      <c r="F505" s="491">
        <f ca="1">IF(ISNUMBER('R4 Variations'!F505),+'R4 Variations'!F505*LU_Escalation,0)</f>
        <v>0</v>
      </c>
      <c r="G505" s="491">
        <f ca="1">IF(ISNUMBER('R4 Variations'!G505),+'R4 Variations'!G505*LU_Escalation,0)</f>
        <v>0</v>
      </c>
      <c r="H505" s="491">
        <f ca="1">IF(ISNUMBER('R4 Variations'!H505),+'R4 Variations'!H505*LU_Escalation,0)</f>
        <v>0</v>
      </c>
      <c r="I505" s="491">
        <f ca="1">IF(ISNUMBER('R4 Variations'!I505),+'R4 Variations'!I505*LU_Escalation,0)</f>
        <v>0</v>
      </c>
      <c r="J505" s="491">
        <f ca="1">IF(ISNUMBER('R4 Variations'!J505),+'R4 Variations'!J505*LU_Escalation,0)</f>
        <v>0</v>
      </c>
      <c r="K505" s="491">
        <f ca="1">IF(ISNUMBER('R4 Variations'!K505),+'R4 Variations'!K505*LU_Escalation,0)</f>
        <v>0</v>
      </c>
      <c r="L505" s="515" t="str">
        <f ca="1">+'R4 Variations'!L505</f>
        <v/>
      </c>
      <c r="M505" s="450" t="str">
        <f ca="1">+'R4 Variations'!M505</f>
        <v/>
      </c>
      <c r="N505" s="450" t="str">
        <f ca="1">+'R4 Variations'!N505</f>
        <v/>
      </c>
    </row>
    <row r="506" spans="1:14">
      <c r="A506" s="5"/>
      <c r="B506" s="249"/>
      <c r="C506" s="384" t="str">
        <f ca="1">+'R4 Variations'!C506</f>
        <v/>
      </c>
      <c r="D506" s="491">
        <f ca="1">IF(ISNUMBER('R4 Variations'!D506),+'R4 Variations'!D506*LU_Escalation,0)</f>
        <v>0</v>
      </c>
      <c r="E506" s="850">
        <f ca="1">IF(ISNUMBER('R4 Variations'!E506),+'R4 Variations'!E506*LU_Escalation,0)</f>
        <v>0</v>
      </c>
      <c r="F506" s="491">
        <f ca="1">IF(ISNUMBER('R4 Variations'!F506),+'R4 Variations'!F506*LU_Escalation,0)</f>
        <v>0</v>
      </c>
      <c r="G506" s="491">
        <f ca="1">IF(ISNUMBER('R4 Variations'!G506),+'R4 Variations'!G506*LU_Escalation,0)</f>
        <v>0</v>
      </c>
      <c r="H506" s="491">
        <f ca="1">IF(ISNUMBER('R4 Variations'!H506),+'R4 Variations'!H506*LU_Escalation,0)</f>
        <v>0</v>
      </c>
      <c r="I506" s="491">
        <f ca="1">IF(ISNUMBER('R4 Variations'!I506),+'R4 Variations'!I506*LU_Escalation,0)</f>
        <v>0</v>
      </c>
      <c r="J506" s="491">
        <f ca="1">IF(ISNUMBER('R4 Variations'!J506),+'R4 Variations'!J506*LU_Escalation,0)</f>
        <v>0</v>
      </c>
      <c r="K506" s="491">
        <f ca="1">IF(ISNUMBER('R4 Variations'!K506),+'R4 Variations'!K506*LU_Escalation,0)</f>
        <v>0</v>
      </c>
      <c r="L506" s="515" t="str">
        <f ca="1">+'R4 Variations'!L506</f>
        <v/>
      </c>
      <c r="M506" s="450" t="str">
        <f ca="1">+'R4 Variations'!M506</f>
        <v/>
      </c>
      <c r="N506" s="450" t="str">
        <f ca="1">+'R4 Variations'!N506</f>
        <v/>
      </c>
    </row>
    <row r="507" spans="1:14">
      <c r="A507" s="5"/>
      <c r="B507" s="249"/>
      <c r="C507" s="384" t="str">
        <f ca="1">+'R4 Variations'!C507</f>
        <v/>
      </c>
      <c r="D507" s="491">
        <f ca="1">IF(ISNUMBER('R4 Variations'!D507),+'R4 Variations'!D507*LU_Escalation,0)</f>
        <v>0</v>
      </c>
      <c r="E507" s="850">
        <f ca="1">IF(ISNUMBER('R4 Variations'!E507),+'R4 Variations'!E507*LU_Escalation,0)</f>
        <v>0</v>
      </c>
      <c r="F507" s="491">
        <f ca="1">IF(ISNUMBER('R4 Variations'!F507),+'R4 Variations'!F507*LU_Escalation,0)</f>
        <v>0</v>
      </c>
      <c r="G507" s="491">
        <f ca="1">IF(ISNUMBER('R4 Variations'!G507),+'R4 Variations'!G507*LU_Escalation,0)</f>
        <v>0</v>
      </c>
      <c r="H507" s="491">
        <f ca="1">IF(ISNUMBER('R4 Variations'!H507),+'R4 Variations'!H507*LU_Escalation,0)</f>
        <v>0</v>
      </c>
      <c r="I507" s="491">
        <f ca="1">IF(ISNUMBER('R4 Variations'!I507),+'R4 Variations'!I507*LU_Escalation,0)</f>
        <v>0</v>
      </c>
      <c r="J507" s="491">
        <f ca="1">IF(ISNUMBER('R4 Variations'!J507),+'R4 Variations'!J507*LU_Escalation,0)</f>
        <v>0</v>
      </c>
      <c r="K507" s="491">
        <f ca="1">IF(ISNUMBER('R4 Variations'!K507),+'R4 Variations'!K507*LU_Escalation,0)</f>
        <v>0</v>
      </c>
      <c r="L507" s="515" t="str">
        <f ca="1">+'R4 Variations'!L507</f>
        <v/>
      </c>
      <c r="M507" s="450" t="str">
        <f ca="1">+'R4 Variations'!M507</f>
        <v/>
      </c>
      <c r="N507" s="450" t="str">
        <f ca="1">+'R4 Variations'!N507</f>
        <v/>
      </c>
    </row>
    <row r="508" spans="1:14">
      <c r="A508" s="5"/>
      <c r="B508" s="249"/>
      <c r="C508" s="384"/>
      <c r="D508" s="491"/>
      <c r="E508" s="508"/>
      <c r="F508" s="491"/>
      <c r="G508" s="492"/>
      <c r="H508" s="492"/>
      <c r="I508" s="492"/>
      <c r="J508" s="492"/>
      <c r="K508" s="508"/>
      <c r="L508" s="515"/>
      <c r="M508" s="450"/>
      <c r="N508" s="450"/>
    </row>
    <row r="509" spans="1:14">
      <c r="A509" s="5"/>
      <c r="B509" s="249" t="str">
        <f ca="1">+'I-4 History'!B381</f>
        <v>A-18</v>
      </c>
      <c r="C509" s="14" t="str">
        <f ca="1">+'I-4 History'!C381</f>
        <v>Employee Relations</v>
      </c>
      <c r="D509" s="491"/>
      <c r="E509" s="508"/>
      <c r="F509" s="491"/>
      <c r="G509" s="492"/>
      <c r="H509" s="492"/>
      <c r="I509" s="492"/>
      <c r="J509" s="492"/>
      <c r="K509" s="508"/>
      <c r="L509" s="515"/>
      <c r="M509" s="450"/>
      <c r="N509" s="450"/>
    </row>
    <row r="510" spans="1:14">
      <c r="A510" s="5"/>
      <c r="B510" s="249"/>
      <c r="C510" s="384" t="str">
        <f ca="1">+'R4 Variations'!C510</f>
        <v>Step Change</v>
      </c>
      <c r="D510" s="491">
        <f ca="1">IF(ISNUMBER('R4 Variations'!D510),+'R4 Variations'!D510*LU_Escalation,0)</f>
        <v>0</v>
      </c>
      <c r="E510" s="850">
        <f ca="1">IF(ISNUMBER('R4 Variations'!E510),+'R4 Variations'!E510*LU_Escalation,0)</f>
        <v>0</v>
      </c>
      <c r="F510" s="491">
        <f ca="1">IF(ISNUMBER('R4 Variations'!F510),+'R4 Variations'!F510*LU_Escalation,0)</f>
        <v>0</v>
      </c>
      <c r="G510" s="491">
        <f ca="1">IF(ISNUMBER('R4 Variations'!G510),+'R4 Variations'!G510*LU_Escalation,0)</f>
        <v>0</v>
      </c>
      <c r="H510" s="491">
        <f ca="1">IF(ISNUMBER('R4 Variations'!H510),+'R4 Variations'!H510*LU_Escalation,0)</f>
        <v>0</v>
      </c>
      <c r="I510" s="491">
        <f ca="1">IF(ISNUMBER('R4 Variations'!I510),+'R4 Variations'!I510*LU_Escalation,0)</f>
        <v>0</v>
      </c>
      <c r="J510" s="491">
        <f ca="1">IF(ISNUMBER('R4 Variations'!J510),+'R4 Variations'!J510*LU_Escalation,0)</f>
        <v>0</v>
      </c>
      <c r="K510" s="491">
        <f ca="1">IF(ISNUMBER('R4 Variations'!K510),+'R4 Variations'!K510*LU_Escalation,0)</f>
        <v>0</v>
      </c>
      <c r="L510" s="515" t="str">
        <f ca="1">+'R4 Variations'!L510</f>
        <v>Proposal Step Change</v>
      </c>
      <c r="M510" s="450" t="str">
        <f ca="1">+'R4 Variations'!M510</f>
        <v>Refer Opex Workings</v>
      </c>
      <c r="N510" s="450" t="str">
        <f ca="1">+'R4 Variations'!N510</f>
        <v>Proposal, October 2014</v>
      </c>
    </row>
    <row r="511" spans="1:14">
      <c r="A511" s="5"/>
      <c r="B511" s="249"/>
      <c r="C511" s="384" t="str">
        <f ca="1">+'R4 Variations'!C511</f>
        <v/>
      </c>
      <c r="D511" s="491">
        <f ca="1">IF(ISNUMBER('R4 Variations'!D511),+'R4 Variations'!D511*LU_Escalation,0)</f>
        <v>0</v>
      </c>
      <c r="E511" s="850">
        <f ca="1">IF(ISNUMBER('R4 Variations'!E511),+'R4 Variations'!E511*LU_Escalation,0)</f>
        <v>0</v>
      </c>
      <c r="F511" s="491">
        <f ca="1">IF(ISNUMBER('R4 Variations'!F511),+'R4 Variations'!F511*LU_Escalation,0)</f>
        <v>0</v>
      </c>
      <c r="G511" s="491">
        <f ca="1">IF(ISNUMBER('R4 Variations'!G511),+'R4 Variations'!G511*LU_Escalation,0)</f>
        <v>0</v>
      </c>
      <c r="H511" s="491">
        <f ca="1">IF(ISNUMBER('R4 Variations'!H511),+'R4 Variations'!H511*LU_Escalation,0)</f>
        <v>0</v>
      </c>
      <c r="I511" s="491">
        <f ca="1">IF(ISNUMBER('R4 Variations'!I511),+'R4 Variations'!I511*LU_Escalation,0)</f>
        <v>0</v>
      </c>
      <c r="J511" s="491">
        <f ca="1">IF(ISNUMBER('R4 Variations'!J511),+'R4 Variations'!J511*LU_Escalation,0)</f>
        <v>0</v>
      </c>
      <c r="K511" s="491">
        <f ca="1">IF(ISNUMBER('R4 Variations'!K511),+'R4 Variations'!K511*LU_Escalation,0)</f>
        <v>0</v>
      </c>
      <c r="L511" s="515" t="str">
        <f ca="1">+'R4 Variations'!L511</f>
        <v/>
      </c>
      <c r="M511" s="450" t="str">
        <f ca="1">+'R4 Variations'!M511</f>
        <v/>
      </c>
      <c r="N511" s="450" t="str">
        <f ca="1">+'R4 Variations'!N511</f>
        <v/>
      </c>
    </row>
    <row r="512" spans="1:14">
      <c r="A512" s="5"/>
      <c r="B512" s="249"/>
      <c r="C512" s="384" t="str">
        <f ca="1">+'R4 Variations'!C512</f>
        <v/>
      </c>
      <c r="D512" s="491">
        <f ca="1">IF(ISNUMBER('R4 Variations'!D512),+'R4 Variations'!D512*LU_Escalation,0)</f>
        <v>0</v>
      </c>
      <c r="E512" s="850">
        <f ca="1">IF(ISNUMBER('R4 Variations'!E512),+'R4 Variations'!E512*LU_Escalation,0)</f>
        <v>0</v>
      </c>
      <c r="F512" s="491">
        <f ca="1">IF(ISNUMBER('R4 Variations'!F512),+'R4 Variations'!F512*LU_Escalation,0)</f>
        <v>0</v>
      </c>
      <c r="G512" s="491">
        <f ca="1">IF(ISNUMBER('R4 Variations'!G512),+'R4 Variations'!G512*LU_Escalation,0)</f>
        <v>0</v>
      </c>
      <c r="H512" s="491">
        <f ca="1">IF(ISNUMBER('R4 Variations'!H512),+'R4 Variations'!H512*LU_Escalation,0)</f>
        <v>0</v>
      </c>
      <c r="I512" s="491">
        <f ca="1">IF(ISNUMBER('R4 Variations'!I512),+'R4 Variations'!I512*LU_Escalation,0)</f>
        <v>0</v>
      </c>
      <c r="J512" s="491">
        <f ca="1">IF(ISNUMBER('R4 Variations'!J512),+'R4 Variations'!J512*LU_Escalation,0)</f>
        <v>0</v>
      </c>
      <c r="K512" s="491">
        <f ca="1">IF(ISNUMBER('R4 Variations'!K512),+'R4 Variations'!K512*LU_Escalation,0)</f>
        <v>0</v>
      </c>
      <c r="L512" s="515" t="str">
        <f ca="1">+'R4 Variations'!L512</f>
        <v/>
      </c>
      <c r="M512" s="450" t="str">
        <f ca="1">+'R4 Variations'!M512</f>
        <v/>
      </c>
      <c r="N512" s="450" t="str">
        <f ca="1">+'R4 Variations'!N512</f>
        <v/>
      </c>
    </row>
    <row r="513" spans="1:14">
      <c r="A513" s="5"/>
      <c r="B513" s="249"/>
      <c r="C513" s="384" t="str">
        <f ca="1">+'R4 Variations'!C513</f>
        <v/>
      </c>
      <c r="D513" s="491">
        <f ca="1">IF(ISNUMBER('R4 Variations'!D513),+'R4 Variations'!D513*LU_Escalation,0)</f>
        <v>0</v>
      </c>
      <c r="E513" s="850">
        <f ca="1">IF(ISNUMBER('R4 Variations'!E513),+'R4 Variations'!E513*LU_Escalation,0)</f>
        <v>0</v>
      </c>
      <c r="F513" s="491">
        <f ca="1">IF(ISNUMBER('R4 Variations'!F513),+'R4 Variations'!F513*LU_Escalation,0)</f>
        <v>0</v>
      </c>
      <c r="G513" s="491">
        <f ca="1">IF(ISNUMBER('R4 Variations'!G513),+'R4 Variations'!G513*LU_Escalation,0)</f>
        <v>0</v>
      </c>
      <c r="H513" s="491">
        <f ca="1">IF(ISNUMBER('R4 Variations'!H513),+'R4 Variations'!H513*LU_Escalation,0)</f>
        <v>0</v>
      </c>
      <c r="I513" s="491">
        <f ca="1">IF(ISNUMBER('R4 Variations'!I513),+'R4 Variations'!I513*LU_Escalation,0)</f>
        <v>0</v>
      </c>
      <c r="J513" s="491">
        <f ca="1">IF(ISNUMBER('R4 Variations'!J513),+'R4 Variations'!J513*LU_Escalation,0)</f>
        <v>0</v>
      </c>
      <c r="K513" s="491">
        <f ca="1">IF(ISNUMBER('R4 Variations'!K513),+'R4 Variations'!K513*LU_Escalation,0)</f>
        <v>0</v>
      </c>
      <c r="L513" s="515" t="str">
        <f ca="1">+'R4 Variations'!L513</f>
        <v/>
      </c>
      <c r="M513" s="450" t="str">
        <f ca="1">+'R4 Variations'!M513</f>
        <v/>
      </c>
      <c r="N513" s="450" t="str">
        <f ca="1">+'R4 Variations'!N513</f>
        <v/>
      </c>
    </row>
    <row r="514" spans="1:14">
      <c r="A514" s="5"/>
      <c r="B514" s="249"/>
      <c r="C514" s="384" t="str">
        <f ca="1">+'R4 Variations'!C514</f>
        <v/>
      </c>
      <c r="D514" s="491">
        <f ca="1">IF(ISNUMBER('R4 Variations'!D514),+'R4 Variations'!D514*LU_Escalation,0)</f>
        <v>0</v>
      </c>
      <c r="E514" s="850">
        <f ca="1">IF(ISNUMBER('R4 Variations'!E514),+'R4 Variations'!E514*LU_Escalation,0)</f>
        <v>0</v>
      </c>
      <c r="F514" s="491">
        <f ca="1">IF(ISNUMBER('R4 Variations'!F514),+'R4 Variations'!F514*LU_Escalation,0)</f>
        <v>0</v>
      </c>
      <c r="G514" s="491">
        <f ca="1">IF(ISNUMBER('R4 Variations'!G514),+'R4 Variations'!G514*LU_Escalation,0)</f>
        <v>0</v>
      </c>
      <c r="H514" s="491">
        <f ca="1">IF(ISNUMBER('R4 Variations'!H514),+'R4 Variations'!H514*LU_Escalation,0)</f>
        <v>0</v>
      </c>
      <c r="I514" s="491">
        <f ca="1">IF(ISNUMBER('R4 Variations'!I514),+'R4 Variations'!I514*LU_Escalation,0)</f>
        <v>0</v>
      </c>
      <c r="J514" s="491">
        <f ca="1">IF(ISNUMBER('R4 Variations'!J514),+'R4 Variations'!J514*LU_Escalation,0)</f>
        <v>0</v>
      </c>
      <c r="K514" s="491">
        <f ca="1">IF(ISNUMBER('R4 Variations'!K514),+'R4 Variations'!K514*LU_Escalation,0)</f>
        <v>0</v>
      </c>
      <c r="L514" s="515" t="str">
        <f ca="1">+'R4 Variations'!L514</f>
        <v/>
      </c>
      <c r="M514" s="450" t="str">
        <f ca="1">+'R4 Variations'!M514</f>
        <v/>
      </c>
      <c r="N514" s="450" t="str">
        <f ca="1">+'R4 Variations'!N514</f>
        <v/>
      </c>
    </row>
    <row r="515" spans="1:14">
      <c r="A515" s="5"/>
      <c r="B515" s="249"/>
      <c r="C515" s="384" t="str">
        <f ca="1">+'R4 Variations'!C515</f>
        <v/>
      </c>
      <c r="D515" s="491">
        <f ca="1">IF(ISNUMBER('R4 Variations'!D515),+'R4 Variations'!D515*LU_Escalation,0)</f>
        <v>0</v>
      </c>
      <c r="E515" s="850">
        <f ca="1">IF(ISNUMBER('R4 Variations'!E515),+'R4 Variations'!E515*LU_Escalation,0)</f>
        <v>0</v>
      </c>
      <c r="F515" s="491">
        <f ca="1">IF(ISNUMBER('R4 Variations'!F515),+'R4 Variations'!F515*LU_Escalation,0)</f>
        <v>0</v>
      </c>
      <c r="G515" s="491">
        <f ca="1">IF(ISNUMBER('R4 Variations'!G515),+'R4 Variations'!G515*LU_Escalation,0)</f>
        <v>0</v>
      </c>
      <c r="H515" s="491">
        <f ca="1">IF(ISNUMBER('R4 Variations'!H515),+'R4 Variations'!H515*LU_Escalation,0)</f>
        <v>0</v>
      </c>
      <c r="I515" s="491">
        <f ca="1">IF(ISNUMBER('R4 Variations'!I515),+'R4 Variations'!I515*LU_Escalation,0)</f>
        <v>0</v>
      </c>
      <c r="J515" s="491">
        <f ca="1">IF(ISNUMBER('R4 Variations'!J515),+'R4 Variations'!J515*LU_Escalation,0)</f>
        <v>0</v>
      </c>
      <c r="K515" s="491">
        <f ca="1">IF(ISNUMBER('R4 Variations'!K515),+'R4 Variations'!K515*LU_Escalation,0)</f>
        <v>0</v>
      </c>
      <c r="L515" s="515" t="str">
        <f ca="1">+'R4 Variations'!L515</f>
        <v/>
      </c>
      <c r="M515" s="450" t="str">
        <f ca="1">+'R4 Variations'!M515</f>
        <v/>
      </c>
      <c r="N515" s="450" t="str">
        <f ca="1">+'R4 Variations'!N515</f>
        <v/>
      </c>
    </row>
    <row r="516" spans="1:14">
      <c r="A516" s="5"/>
      <c r="B516" s="249"/>
      <c r="C516" s="384" t="str">
        <f ca="1">+'R4 Variations'!C516</f>
        <v/>
      </c>
      <c r="D516" s="491">
        <f ca="1">IF(ISNUMBER('R4 Variations'!D516),+'R4 Variations'!D516*LU_Escalation,0)</f>
        <v>0</v>
      </c>
      <c r="E516" s="850">
        <f ca="1">IF(ISNUMBER('R4 Variations'!E516),+'R4 Variations'!E516*LU_Escalation,0)</f>
        <v>0</v>
      </c>
      <c r="F516" s="491">
        <f ca="1">IF(ISNUMBER('R4 Variations'!F516),+'R4 Variations'!F516*LU_Escalation,0)</f>
        <v>0</v>
      </c>
      <c r="G516" s="491">
        <f ca="1">IF(ISNUMBER('R4 Variations'!G516),+'R4 Variations'!G516*LU_Escalation,0)</f>
        <v>0</v>
      </c>
      <c r="H516" s="491">
        <f ca="1">IF(ISNUMBER('R4 Variations'!H516),+'R4 Variations'!H516*LU_Escalation,0)</f>
        <v>0</v>
      </c>
      <c r="I516" s="491">
        <f ca="1">IF(ISNUMBER('R4 Variations'!I516),+'R4 Variations'!I516*LU_Escalation,0)</f>
        <v>0</v>
      </c>
      <c r="J516" s="491">
        <f ca="1">IF(ISNUMBER('R4 Variations'!J516),+'R4 Variations'!J516*LU_Escalation,0)</f>
        <v>0</v>
      </c>
      <c r="K516" s="491">
        <f ca="1">IF(ISNUMBER('R4 Variations'!K516),+'R4 Variations'!K516*LU_Escalation,0)</f>
        <v>0</v>
      </c>
      <c r="L516" s="515" t="str">
        <f ca="1">+'R4 Variations'!L516</f>
        <v/>
      </c>
      <c r="M516" s="450" t="str">
        <f ca="1">+'R4 Variations'!M516</f>
        <v/>
      </c>
      <c r="N516" s="450" t="str">
        <f ca="1">+'R4 Variations'!N516</f>
        <v/>
      </c>
    </row>
    <row r="517" spans="1:14">
      <c r="A517" s="5"/>
      <c r="B517" s="249"/>
      <c r="C517" s="384" t="str">
        <f ca="1">+'R4 Variations'!C517</f>
        <v/>
      </c>
      <c r="D517" s="491">
        <f ca="1">IF(ISNUMBER('R4 Variations'!D517),+'R4 Variations'!D517*LU_Escalation,0)</f>
        <v>0</v>
      </c>
      <c r="E517" s="850">
        <f ca="1">IF(ISNUMBER('R4 Variations'!E517),+'R4 Variations'!E517*LU_Escalation,0)</f>
        <v>0</v>
      </c>
      <c r="F517" s="491">
        <f ca="1">IF(ISNUMBER('R4 Variations'!F517),+'R4 Variations'!F517*LU_Escalation,0)</f>
        <v>0</v>
      </c>
      <c r="G517" s="491">
        <f ca="1">IF(ISNUMBER('R4 Variations'!G517),+'R4 Variations'!G517*LU_Escalation,0)</f>
        <v>0</v>
      </c>
      <c r="H517" s="491">
        <f ca="1">IF(ISNUMBER('R4 Variations'!H517),+'R4 Variations'!H517*LU_Escalation,0)</f>
        <v>0</v>
      </c>
      <c r="I517" s="491">
        <f ca="1">IF(ISNUMBER('R4 Variations'!I517),+'R4 Variations'!I517*LU_Escalation,0)</f>
        <v>0</v>
      </c>
      <c r="J517" s="491">
        <f ca="1">IF(ISNUMBER('R4 Variations'!J517),+'R4 Variations'!J517*LU_Escalation,0)</f>
        <v>0</v>
      </c>
      <c r="K517" s="491">
        <f ca="1">IF(ISNUMBER('R4 Variations'!K517),+'R4 Variations'!K517*LU_Escalation,0)</f>
        <v>0</v>
      </c>
      <c r="L517" s="515" t="str">
        <f ca="1">+'R4 Variations'!L517</f>
        <v/>
      </c>
      <c r="M517" s="450" t="str">
        <f ca="1">+'R4 Variations'!M517</f>
        <v/>
      </c>
      <c r="N517" s="450" t="str">
        <f ca="1">+'R4 Variations'!N517</f>
        <v/>
      </c>
    </row>
    <row r="518" spans="1:14">
      <c r="A518" s="5"/>
      <c r="B518" s="249"/>
      <c r="C518" s="384" t="str">
        <f ca="1">+'R4 Variations'!C518</f>
        <v/>
      </c>
      <c r="D518" s="491">
        <f ca="1">IF(ISNUMBER('R4 Variations'!D518),+'R4 Variations'!D518*LU_Escalation,0)</f>
        <v>0</v>
      </c>
      <c r="E518" s="850">
        <f ca="1">IF(ISNUMBER('R4 Variations'!E518),+'R4 Variations'!E518*LU_Escalation,0)</f>
        <v>0</v>
      </c>
      <c r="F518" s="491">
        <f ca="1">IF(ISNUMBER('R4 Variations'!F518),+'R4 Variations'!F518*LU_Escalation,0)</f>
        <v>0</v>
      </c>
      <c r="G518" s="491">
        <f ca="1">IF(ISNUMBER('R4 Variations'!G518),+'R4 Variations'!G518*LU_Escalation,0)</f>
        <v>0</v>
      </c>
      <c r="H518" s="491">
        <f ca="1">IF(ISNUMBER('R4 Variations'!H518),+'R4 Variations'!H518*LU_Escalation,0)</f>
        <v>0</v>
      </c>
      <c r="I518" s="491">
        <f ca="1">IF(ISNUMBER('R4 Variations'!I518),+'R4 Variations'!I518*LU_Escalation,0)</f>
        <v>0</v>
      </c>
      <c r="J518" s="491">
        <f ca="1">IF(ISNUMBER('R4 Variations'!J518),+'R4 Variations'!J518*LU_Escalation,0)</f>
        <v>0</v>
      </c>
      <c r="K518" s="491">
        <f ca="1">IF(ISNUMBER('R4 Variations'!K518),+'R4 Variations'!K518*LU_Escalation,0)</f>
        <v>0</v>
      </c>
      <c r="L518" s="515" t="str">
        <f ca="1">+'R4 Variations'!L518</f>
        <v/>
      </c>
      <c r="M518" s="450" t="str">
        <f ca="1">+'R4 Variations'!M518</f>
        <v/>
      </c>
      <c r="N518" s="450" t="str">
        <f ca="1">+'R4 Variations'!N518</f>
        <v/>
      </c>
    </row>
    <row r="519" spans="1:14">
      <c r="A519" s="5"/>
      <c r="B519" s="249"/>
      <c r="C519" s="384" t="str">
        <f ca="1">+'R4 Variations'!C519</f>
        <v/>
      </c>
      <c r="D519" s="491">
        <f ca="1">IF(ISNUMBER('R4 Variations'!D519),+'R4 Variations'!D519*LU_Escalation,0)</f>
        <v>0</v>
      </c>
      <c r="E519" s="850">
        <f ca="1">IF(ISNUMBER('R4 Variations'!E519),+'R4 Variations'!E519*LU_Escalation,0)</f>
        <v>0</v>
      </c>
      <c r="F519" s="491">
        <f ca="1">IF(ISNUMBER('R4 Variations'!F519),+'R4 Variations'!F519*LU_Escalation,0)</f>
        <v>0</v>
      </c>
      <c r="G519" s="491">
        <f ca="1">IF(ISNUMBER('R4 Variations'!G519),+'R4 Variations'!G519*LU_Escalation,0)</f>
        <v>0</v>
      </c>
      <c r="H519" s="491">
        <f ca="1">IF(ISNUMBER('R4 Variations'!H519),+'R4 Variations'!H519*LU_Escalation,0)</f>
        <v>0</v>
      </c>
      <c r="I519" s="491">
        <f ca="1">IF(ISNUMBER('R4 Variations'!I519),+'R4 Variations'!I519*LU_Escalation,0)</f>
        <v>0</v>
      </c>
      <c r="J519" s="491">
        <f ca="1">IF(ISNUMBER('R4 Variations'!J519),+'R4 Variations'!J519*LU_Escalation,0)</f>
        <v>0</v>
      </c>
      <c r="K519" s="491">
        <f ca="1">IF(ISNUMBER('R4 Variations'!K519),+'R4 Variations'!K519*LU_Escalation,0)</f>
        <v>0</v>
      </c>
      <c r="L519" s="515" t="str">
        <f ca="1">+'R4 Variations'!L519</f>
        <v/>
      </c>
      <c r="M519" s="450" t="str">
        <f ca="1">+'R4 Variations'!M519</f>
        <v/>
      </c>
      <c r="N519" s="450" t="str">
        <f ca="1">+'R4 Variations'!N519</f>
        <v/>
      </c>
    </row>
    <row r="520" spans="1:14">
      <c r="A520" s="5"/>
      <c r="B520" s="249"/>
      <c r="C520" s="12"/>
      <c r="D520" s="491"/>
      <c r="E520" s="508"/>
      <c r="F520" s="491"/>
      <c r="G520" s="492"/>
      <c r="H520" s="492"/>
      <c r="I520" s="492"/>
      <c r="J520" s="492"/>
      <c r="K520" s="508"/>
      <c r="L520" s="515"/>
      <c r="M520" s="450"/>
      <c r="N520" s="450"/>
    </row>
    <row r="521" spans="1:14">
      <c r="A521" s="5"/>
      <c r="B521" s="249" t="str">
        <f ca="1">+'I-4 History'!B390</f>
        <v>A-19</v>
      </c>
      <c r="C521" s="14" t="str">
        <f ca="1">+'I-4 History'!C390</f>
        <v>Workforce Development</v>
      </c>
      <c r="D521" s="491"/>
      <c r="E521" s="508"/>
      <c r="F521" s="491"/>
      <c r="G521" s="492"/>
      <c r="H521" s="492"/>
      <c r="I521" s="492"/>
      <c r="J521" s="492"/>
      <c r="K521" s="508"/>
      <c r="L521" s="515"/>
      <c r="M521" s="450"/>
      <c r="N521" s="450"/>
    </row>
    <row r="522" spans="1:14">
      <c r="A522" s="5"/>
      <c r="B522" s="249"/>
      <c r="C522" s="384" t="str">
        <f ca="1">+'R4 Variations'!C522</f>
        <v>Step Change</v>
      </c>
      <c r="D522" s="491">
        <f ca="1">IF(ISNUMBER('R4 Variations'!D522),+'R4 Variations'!D522*LU_Escalation,0)</f>
        <v>0</v>
      </c>
      <c r="E522" s="850">
        <f ca="1">IF(ISNUMBER('R4 Variations'!E522),+'R4 Variations'!E522*LU_Escalation,0)</f>
        <v>0</v>
      </c>
      <c r="F522" s="491">
        <f ca="1">IF(ISNUMBER('R4 Variations'!F522),+'R4 Variations'!F522*LU_Escalation,0)</f>
        <v>0</v>
      </c>
      <c r="G522" s="491">
        <f ca="1">IF(ISNUMBER('R4 Variations'!G522),+'R4 Variations'!G522*LU_Escalation,0)</f>
        <v>0</v>
      </c>
      <c r="H522" s="491">
        <f ca="1">IF(ISNUMBER('R4 Variations'!H522),+'R4 Variations'!H522*LU_Escalation,0)</f>
        <v>0</v>
      </c>
      <c r="I522" s="491">
        <f ca="1">IF(ISNUMBER('R4 Variations'!I522),+'R4 Variations'!I522*LU_Escalation,0)</f>
        <v>0</v>
      </c>
      <c r="J522" s="491">
        <f ca="1">IF(ISNUMBER('R4 Variations'!J522),+'R4 Variations'!J522*LU_Escalation,0)</f>
        <v>0</v>
      </c>
      <c r="K522" s="491">
        <f ca="1">IF(ISNUMBER('R4 Variations'!K522),+'R4 Variations'!K522*LU_Escalation,0)</f>
        <v>0</v>
      </c>
      <c r="L522" s="515" t="str">
        <f ca="1">+'R4 Variations'!L522</f>
        <v>Proposal Step Change</v>
      </c>
      <c r="M522" s="450" t="str">
        <f ca="1">+'R4 Variations'!M522</f>
        <v>Refer Opex Workings</v>
      </c>
      <c r="N522" s="450" t="str">
        <f ca="1">+'R4 Variations'!N522</f>
        <v>Proposal, October 2014</v>
      </c>
    </row>
    <row r="523" spans="1:14">
      <c r="A523" s="5"/>
      <c r="B523" s="249"/>
      <c r="C523" s="384" t="str">
        <f ca="1">+'R4 Variations'!C523</f>
        <v/>
      </c>
      <c r="D523" s="491">
        <f ca="1">IF(ISNUMBER('R4 Variations'!D523),+'R4 Variations'!D523*LU_Escalation,0)</f>
        <v>0</v>
      </c>
      <c r="E523" s="850">
        <f ca="1">IF(ISNUMBER('R4 Variations'!E523),+'R4 Variations'!E523*LU_Escalation,0)</f>
        <v>0</v>
      </c>
      <c r="F523" s="491">
        <f ca="1">IF(ISNUMBER('R4 Variations'!F523),+'R4 Variations'!F523*LU_Escalation,0)</f>
        <v>0</v>
      </c>
      <c r="G523" s="491">
        <f ca="1">IF(ISNUMBER('R4 Variations'!G523),+'R4 Variations'!G523*LU_Escalation,0)</f>
        <v>0</v>
      </c>
      <c r="H523" s="491">
        <f ca="1">IF(ISNUMBER('R4 Variations'!H523),+'R4 Variations'!H523*LU_Escalation,0)</f>
        <v>0</v>
      </c>
      <c r="I523" s="491">
        <f ca="1">IF(ISNUMBER('R4 Variations'!I523),+'R4 Variations'!I523*LU_Escalation,0)</f>
        <v>0</v>
      </c>
      <c r="J523" s="491">
        <f ca="1">IF(ISNUMBER('R4 Variations'!J523),+'R4 Variations'!J523*LU_Escalation,0)</f>
        <v>0</v>
      </c>
      <c r="K523" s="491">
        <f ca="1">IF(ISNUMBER('R4 Variations'!K523),+'R4 Variations'!K523*LU_Escalation,0)</f>
        <v>0</v>
      </c>
      <c r="L523" s="515" t="str">
        <f ca="1">+'R4 Variations'!L523</f>
        <v/>
      </c>
      <c r="M523" s="450" t="str">
        <f ca="1">+'R4 Variations'!M523</f>
        <v/>
      </c>
      <c r="N523" s="450" t="str">
        <f ca="1">+'R4 Variations'!N523</f>
        <v/>
      </c>
    </row>
    <row r="524" spans="1:14">
      <c r="A524" s="5"/>
      <c r="B524" s="249"/>
      <c r="C524" s="384" t="str">
        <f ca="1">+'R4 Variations'!C524</f>
        <v/>
      </c>
      <c r="D524" s="491">
        <f ca="1">IF(ISNUMBER('R4 Variations'!D524),+'R4 Variations'!D524*LU_Escalation,0)</f>
        <v>0</v>
      </c>
      <c r="E524" s="850">
        <f ca="1">IF(ISNUMBER('R4 Variations'!E524),+'R4 Variations'!E524*LU_Escalation,0)</f>
        <v>0</v>
      </c>
      <c r="F524" s="491">
        <f ca="1">IF(ISNUMBER('R4 Variations'!F524),+'R4 Variations'!F524*LU_Escalation,0)</f>
        <v>0</v>
      </c>
      <c r="G524" s="491">
        <f ca="1">IF(ISNUMBER('R4 Variations'!G524),+'R4 Variations'!G524*LU_Escalation,0)</f>
        <v>0</v>
      </c>
      <c r="H524" s="491">
        <f ca="1">IF(ISNUMBER('R4 Variations'!H524),+'R4 Variations'!H524*LU_Escalation,0)</f>
        <v>0</v>
      </c>
      <c r="I524" s="491">
        <f ca="1">IF(ISNUMBER('R4 Variations'!I524),+'R4 Variations'!I524*LU_Escalation,0)</f>
        <v>0</v>
      </c>
      <c r="J524" s="491">
        <f ca="1">IF(ISNUMBER('R4 Variations'!J524),+'R4 Variations'!J524*LU_Escalation,0)</f>
        <v>0</v>
      </c>
      <c r="K524" s="491">
        <f ca="1">IF(ISNUMBER('R4 Variations'!K524),+'R4 Variations'!K524*LU_Escalation,0)</f>
        <v>0</v>
      </c>
      <c r="L524" s="515" t="str">
        <f ca="1">+'R4 Variations'!L524</f>
        <v/>
      </c>
      <c r="M524" s="450" t="str">
        <f ca="1">+'R4 Variations'!M524</f>
        <v/>
      </c>
      <c r="N524" s="450" t="str">
        <f ca="1">+'R4 Variations'!N524</f>
        <v/>
      </c>
    </row>
    <row r="525" spans="1:14">
      <c r="A525" s="5"/>
      <c r="B525" s="249"/>
      <c r="C525" s="384" t="str">
        <f ca="1">+'R4 Variations'!C525</f>
        <v/>
      </c>
      <c r="D525" s="491">
        <f ca="1">IF(ISNUMBER('R4 Variations'!D525),+'R4 Variations'!D525*LU_Escalation,0)</f>
        <v>0</v>
      </c>
      <c r="E525" s="850">
        <f ca="1">IF(ISNUMBER('R4 Variations'!E525),+'R4 Variations'!E525*LU_Escalation,0)</f>
        <v>0</v>
      </c>
      <c r="F525" s="491">
        <f ca="1">IF(ISNUMBER('R4 Variations'!F525),+'R4 Variations'!F525*LU_Escalation,0)</f>
        <v>0</v>
      </c>
      <c r="G525" s="491">
        <f ca="1">IF(ISNUMBER('R4 Variations'!G525),+'R4 Variations'!G525*LU_Escalation,0)</f>
        <v>0</v>
      </c>
      <c r="H525" s="491">
        <f ca="1">IF(ISNUMBER('R4 Variations'!H525),+'R4 Variations'!H525*LU_Escalation,0)</f>
        <v>0</v>
      </c>
      <c r="I525" s="491">
        <f ca="1">IF(ISNUMBER('R4 Variations'!I525),+'R4 Variations'!I525*LU_Escalation,0)</f>
        <v>0</v>
      </c>
      <c r="J525" s="491">
        <f ca="1">IF(ISNUMBER('R4 Variations'!J525),+'R4 Variations'!J525*LU_Escalation,0)</f>
        <v>0</v>
      </c>
      <c r="K525" s="491">
        <f ca="1">IF(ISNUMBER('R4 Variations'!K525),+'R4 Variations'!K525*LU_Escalation,0)</f>
        <v>0</v>
      </c>
      <c r="L525" s="515" t="str">
        <f ca="1">+'R4 Variations'!L525</f>
        <v/>
      </c>
      <c r="M525" s="450" t="str">
        <f ca="1">+'R4 Variations'!M525</f>
        <v/>
      </c>
      <c r="N525" s="450" t="str">
        <f ca="1">+'R4 Variations'!N525</f>
        <v/>
      </c>
    </row>
    <row r="526" spans="1:14">
      <c r="A526" s="5"/>
      <c r="B526" s="249"/>
      <c r="C526" s="384" t="str">
        <f ca="1">+'R4 Variations'!C526</f>
        <v/>
      </c>
      <c r="D526" s="491">
        <f ca="1">IF(ISNUMBER('R4 Variations'!D526),+'R4 Variations'!D526*LU_Escalation,0)</f>
        <v>0</v>
      </c>
      <c r="E526" s="850">
        <f ca="1">IF(ISNUMBER('R4 Variations'!E526),+'R4 Variations'!E526*LU_Escalation,0)</f>
        <v>0</v>
      </c>
      <c r="F526" s="491">
        <f ca="1">IF(ISNUMBER('R4 Variations'!F526),+'R4 Variations'!F526*LU_Escalation,0)</f>
        <v>0</v>
      </c>
      <c r="G526" s="491">
        <f ca="1">IF(ISNUMBER('R4 Variations'!G526),+'R4 Variations'!G526*LU_Escalation,0)</f>
        <v>0</v>
      </c>
      <c r="H526" s="491">
        <f ca="1">IF(ISNUMBER('R4 Variations'!H526),+'R4 Variations'!H526*LU_Escalation,0)</f>
        <v>0</v>
      </c>
      <c r="I526" s="491">
        <f ca="1">IF(ISNUMBER('R4 Variations'!I526),+'R4 Variations'!I526*LU_Escalation,0)</f>
        <v>0</v>
      </c>
      <c r="J526" s="491">
        <f ca="1">IF(ISNUMBER('R4 Variations'!J526),+'R4 Variations'!J526*LU_Escalation,0)</f>
        <v>0</v>
      </c>
      <c r="K526" s="491">
        <f ca="1">IF(ISNUMBER('R4 Variations'!K526),+'R4 Variations'!K526*LU_Escalation,0)</f>
        <v>0</v>
      </c>
      <c r="L526" s="515" t="str">
        <f ca="1">+'R4 Variations'!L526</f>
        <v/>
      </c>
      <c r="M526" s="450" t="str">
        <f ca="1">+'R4 Variations'!M526</f>
        <v/>
      </c>
      <c r="N526" s="450" t="str">
        <f ca="1">+'R4 Variations'!N526</f>
        <v/>
      </c>
    </row>
    <row r="527" spans="1:14">
      <c r="B527" s="249"/>
      <c r="C527" s="384" t="str">
        <f ca="1">+'R4 Variations'!C527</f>
        <v/>
      </c>
      <c r="D527" s="491">
        <f ca="1">IF(ISNUMBER('R4 Variations'!D527),+'R4 Variations'!D527*LU_Escalation,0)</f>
        <v>0</v>
      </c>
      <c r="E527" s="850">
        <f ca="1">IF(ISNUMBER('R4 Variations'!E527),+'R4 Variations'!E527*LU_Escalation,0)</f>
        <v>0</v>
      </c>
      <c r="F527" s="491">
        <f ca="1">IF(ISNUMBER('R4 Variations'!F527),+'R4 Variations'!F527*LU_Escalation,0)</f>
        <v>0</v>
      </c>
      <c r="G527" s="491">
        <f ca="1">IF(ISNUMBER('R4 Variations'!G527),+'R4 Variations'!G527*LU_Escalation,0)</f>
        <v>0</v>
      </c>
      <c r="H527" s="491">
        <f ca="1">IF(ISNUMBER('R4 Variations'!H527),+'R4 Variations'!H527*LU_Escalation,0)</f>
        <v>0</v>
      </c>
      <c r="I527" s="491">
        <f ca="1">IF(ISNUMBER('R4 Variations'!I527),+'R4 Variations'!I527*LU_Escalation,0)</f>
        <v>0</v>
      </c>
      <c r="J527" s="491">
        <f ca="1">IF(ISNUMBER('R4 Variations'!J527),+'R4 Variations'!J527*LU_Escalation,0)</f>
        <v>0</v>
      </c>
      <c r="K527" s="491">
        <f ca="1">IF(ISNUMBER('R4 Variations'!K527),+'R4 Variations'!K527*LU_Escalation,0)</f>
        <v>0</v>
      </c>
      <c r="L527" s="515" t="str">
        <f ca="1">+'R4 Variations'!L527</f>
        <v/>
      </c>
      <c r="M527" s="450" t="str">
        <f ca="1">+'R4 Variations'!M527</f>
        <v/>
      </c>
      <c r="N527" s="450" t="str">
        <f ca="1">+'R4 Variations'!N527</f>
        <v/>
      </c>
    </row>
    <row r="528" spans="1:14">
      <c r="B528" s="249"/>
      <c r="C528" s="384" t="str">
        <f ca="1">+'R4 Variations'!C528</f>
        <v/>
      </c>
      <c r="D528" s="491">
        <f ca="1">IF(ISNUMBER('R4 Variations'!D528),+'R4 Variations'!D528*LU_Escalation,0)</f>
        <v>0</v>
      </c>
      <c r="E528" s="850">
        <f ca="1">IF(ISNUMBER('R4 Variations'!E528),+'R4 Variations'!E528*LU_Escalation,0)</f>
        <v>0</v>
      </c>
      <c r="F528" s="491">
        <f ca="1">IF(ISNUMBER('R4 Variations'!F528),+'R4 Variations'!F528*LU_Escalation,0)</f>
        <v>0</v>
      </c>
      <c r="G528" s="491">
        <f ca="1">IF(ISNUMBER('R4 Variations'!G528),+'R4 Variations'!G528*LU_Escalation,0)</f>
        <v>0</v>
      </c>
      <c r="H528" s="491">
        <f ca="1">IF(ISNUMBER('R4 Variations'!H528),+'R4 Variations'!H528*LU_Escalation,0)</f>
        <v>0</v>
      </c>
      <c r="I528" s="491">
        <f ca="1">IF(ISNUMBER('R4 Variations'!I528),+'R4 Variations'!I528*LU_Escalation,0)</f>
        <v>0</v>
      </c>
      <c r="J528" s="491">
        <f ca="1">IF(ISNUMBER('R4 Variations'!J528),+'R4 Variations'!J528*LU_Escalation,0)</f>
        <v>0</v>
      </c>
      <c r="K528" s="491">
        <f ca="1">IF(ISNUMBER('R4 Variations'!K528),+'R4 Variations'!K528*LU_Escalation,0)</f>
        <v>0</v>
      </c>
      <c r="L528" s="515" t="str">
        <f ca="1">+'R4 Variations'!L528</f>
        <v/>
      </c>
      <c r="M528" s="450" t="str">
        <f ca="1">+'R4 Variations'!M528</f>
        <v/>
      </c>
      <c r="N528" s="450" t="str">
        <f ca="1">+'R4 Variations'!N528</f>
        <v/>
      </c>
    </row>
    <row r="529" spans="1:14">
      <c r="B529" s="249"/>
      <c r="C529" s="384" t="str">
        <f ca="1">+'R4 Variations'!C529</f>
        <v/>
      </c>
      <c r="D529" s="491">
        <f ca="1">IF(ISNUMBER('R4 Variations'!D529),+'R4 Variations'!D529*LU_Escalation,0)</f>
        <v>0</v>
      </c>
      <c r="E529" s="850">
        <f ca="1">IF(ISNUMBER('R4 Variations'!E529),+'R4 Variations'!E529*LU_Escalation,0)</f>
        <v>0</v>
      </c>
      <c r="F529" s="491">
        <f ca="1">IF(ISNUMBER('R4 Variations'!F529),+'R4 Variations'!F529*LU_Escalation,0)</f>
        <v>0</v>
      </c>
      <c r="G529" s="491">
        <f ca="1">IF(ISNUMBER('R4 Variations'!G529),+'R4 Variations'!G529*LU_Escalation,0)</f>
        <v>0</v>
      </c>
      <c r="H529" s="491">
        <f ca="1">IF(ISNUMBER('R4 Variations'!H529),+'R4 Variations'!H529*LU_Escalation,0)</f>
        <v>0</v>
      </c>
      <c r="I529" s="491">
        <f ca="1">IF(ISNUMBER('R4 Variations'!I529),+'R4 Variations'!I529*LU_Escalation,0)</f>
        <v>0</v>
      </c>
      <c r="J529" s="491">
        <f ca="1">IF(ISNUMBER('R4 Variations'!J529),+'R4 Variations'!J529*LU_Escalation,0)</f>
        <v>0</v>
      </c>
      <c r="K529" s="491">
        <f ca="1">IF(ISNUMBER('R4 Variations'!K529),+'R4 Variations'!K529*LU_Escalation,0)</f>
        <v>0</v>
      </c>
      <c r="L529" s="515" t="str">
        <f ca="1">+'R4 Variations'!L529</f>
        <v/>
      </c>
      <c r="M529" s="450" t="str">
        <f ca="1">+'R4 Variations'!M529</f>
        <v/>
      </c>
      <c r="N529" s="450" t="str">
        <f ca="1">+'R4 Variations'!N529</f>
        <v/>
      </c>
    </row>
    <row r="530" spans="1:14">
      <c r="B530" s="249"/>
      <c r="C530" s="384" t="str">
        <f ca="1">+'R4 Variations'!C530</f>
        <v/>
      </c>
      <c r="D530" s="491">
        <f ca="1">IF(ISNUMBER('R4 Variations'!D530),+'R4 Variations'!D530*LU_Escalation,0)</f>
        <v>0</v>
      </c>
      <c r="E530" s="850">
        <f ca="1">IF(ISNUMBER('R4 Variations'!E530),+'R4 Variations'!E530*LU_Escalation,0)</f>
        <v>0</v>
      </c>
      <c r="F530" s="491">
        <f ca="1">IF(ISNUMBER('R4 Variations'!F530),+'R4 Variations'!F530*LU_Escalation,0)</f>
        <v>0</v>
      </c>
      <c r="G530" s="491">
        <f ca="1">IF(ISNUMBER('R4 Variations'!G530),+'R4 Variations'!G530*LU_Escalation,0)</f>
        <v>0</v>
      </c>
      <c r="H530" s="491">
        <f ca="1">IF(ISNUMBER('R4 Variations'!H530),+'R4 Variations'!H530*LU_Escalation,0)</f>
        <v>0</v>
      </c>
      <c r="I530" s="491">
        <f ca="1">IF(ISNUMBER('R4 Variations'!I530),+'R4 Variations'!I530*LU_Escalation,0)</f>
        <v>0</v>
      </c>
      <c r="J530" s="491">
        <f ca="1">IF(ISNUMBER('R4 Variations'!J530),+'R4 Variations'!J530*LU_Escalation,0)</f>
        <v>0</v>
      </c>
      <c r="K530" s="491">
        <f ca="1">IF(ISNUMBER('R4 Variations'!K530),+'R4 Variations'!K530*LU_Escalation,0)</f>
        <v>0</v>
      </c>
      <c r="L530" s="515" t="str">
        <f ca="1">+'R4 Variations'!L530</f>
        <v/>
      </c>
      <c r="M530" s="450" t="str">
        <f ca="1">+'R4 Variations'!M530</f>
        <v/>
      </c>
      <c r="N530" s="450" t="str">
        <f ca="1">+'R4 Variations'!N530</f>
        <v/>
      </c>
    </row>
    <row r="531" spans="1:14">
      <c r="B531" s="249"/>
      <c r="C531" s="384" t="str">
        <f ca="1">+'R4 Variations'!C531</f>
        <v/>
      </c>
      <c r="D531" s="491">
        <f ca="1">IF(ISNUMBER('R4 Variations'!D531),+'R4 Variations'!D531*LU_Escalation,0)</f>
        <v>0</v>
      </c>
      <c r="E531" s="850">
        <f ca="1">IF(ISNUMBER('R4 Variations'!E531),+'R4 Variations'!E531*LU_Escalation,0)</f>
        <v>0</v>
      </c>
      <c r="F531" s="491">
        <f ca="1">IF(ISNUMBER('R4 Variations'!F531),+'R4 Variations'!F531*LU_Escalation,0)</f>
        <v>0</v>
      </c>
      <c r="G531" s="491">
        <f ca="1">IF(ISNUMBER('R4 Variations'!G531),+'R4 Variations'!G531*LU_Escalation,0)</f>
        <v>0</v>
      </c>
      <c r="H531" s="491">
        <f ca="1">IF(ISNUMBER('R4 Variations'!H531),+'R4 Variations'!H531*LU_Escalation,0)</f>
        <v>0</v>
      </c>
      <c r="I531" s="491">
        <f ca="1">IF(ISNUMBER('R4 Variations'!I531),+'R4 Variations'!I531*LU_Escalation,0)</f>
        <v>0</v>
      </c>
      <c r="J531" s="491">
        <f ca="1">IF(ISNUMBER('R4 Variations'!J531),+'R4 Variations'!J531*LU_Escalation,0)</f>
        <v>0</v>
      </c>
      <c r="K531" s="491">
        <f ca="1">IF(ISNUMBER('R4 Variations'!K531),+'R4 Variations'!K531*LU_Escalation,0)</f>
        <v>0</v>
      </c>
      <c r="L531" s="515" t="str">
        <f ca="1">+'R4 Variations'!L531</f>
        <v/>
      </c>
      <c r="M531" s="450" t="str">
        <f ca="1">+'R4 Variations'!M531</f>
        <v/>
      </c>
      <c r="N531" s="450" t="str">
        <f ca="1">+'R4 Variations'!N531</f>
        <v/>
      </c>
    </row>
    <row r="532" spans="1:14">
      <c r="B532" s="249"/>
      <c r="C532" s="12"/>
      <c r="D532" s="491"/>
      <c r="E532" s="508"/>
      <c r="F532" s="491"/>
      <c r="G532" s="492"/>
      <c r="H532" s="492"/>
      <c r="I532" s="492"/>
      <c r="J532" s="492"/>
      <c r="K532" s="508"/>
      <c r="L532" s="515"/>
      <c r="M532" s="450"/>
      <c r="N532" s="450"/>
    </row>
    <row r="533" spans="1:14">
      <c r="A533" s="5"/>
      <c r="B533" s="249" t="str">
        <f ca="1">+'I-4 History'!B399</f>
        <v>A-20</v>
      </c>
      <c r="C533" s="14" t="str">
        <f ca="1">+'I-4 History'!C399</f>
        <v>Training Centre</v>
      </c>
      <c r="D533" s="491"/>
      <c r="E533" s="508"/>
      <c r="F533" s="491"/>
      <c r="G533" s="492"/>
      <c r="H533" s="492"/>
      <c r="I533" s="492"/>
      <c r="J533" s="492"/>
      <c r="K533" s="508"/>
      <c r="L533" s="515"/>
      <c r="M533" s="450"/>
      <c r="N533" s="450"/>
    </row>
    <row r="534" spans="1:14">
      <c r="A534" s="5"/>
      <c r="B534" s="249"/>
      <c r="C534" s="384" t="str">
        <f ca="1">+'R4 Variations'!C534</f>
        <v>Step Change</v>
      </c>
      <c r="D534" s="491">
        <f ca="1">IF(ISNUMBER('R4 Variations'!D534),+'R4 Variations'!D534*LU_Escalation,0)</f>
        <v>0</v>
      </c>
      <c r="E534" s="850">
        <f ca="1">IF(ISNUMBER('R4 Variations'!E534),+'R4 Variations'!E534*LU_Escalation,0)</f>
        <v>0</v>
      </c>
      <c r="F534" s="491">
        <f ca="1">IF(ISNUMBER('R4 Variations'!F534),+'R4 Variations'!F534*LU_Escalation,0)</f>
        <v>0</v>
      </c>
      <c r="G534" s="491">
        <f ca="1">IF(ISNUMBER('R4 Variations'!G534),+'R4 Variations'!G534*LU_Escalation,0)</f>
        <v>0</v>
      </c>
      <c r="H534" s="491">
        <f ca="1">IF(ISNUMBER('R4 Variations'!H534),+'R4 Variations'!H534*LU_Escalation,0)</f>
        <v>0</v>
      </c>
      <c r="I534" s="491">
        <f ca="1">IF(ISNUMBER('R4 Variations'!I534),+'R4 Variations'!I534*LU_Escalation,0)</f>
        <v>0</v>
      </c>
      <c r="J534" s="491">
        <f ca="1">IF(ISNUMBER('R4 Variations'!J534),+'R4 Variations'!J534*LU_Escalation,0)</f>
        <v>0</v>
      </c>
      <c r="K534" s="491">
        <f ca="1">IF(ISNUMBER('R4 Variations'!K534),+'R4 Variations'!K534*LU_Escalation,0)</f>
        <v>0</v>
      </c>
      <c r="L534" s="515" t="str">
        <f ca="1">+'R4 Variations'!L534</f>
        <v>Proposal Step Change</v>
      </c>
      <c r="M534" s="450" t="str">
        <f ca="1">+'R4 Variations'!M534</f>
        <v>Refer Opex Workings</v>
      </c>
      <c r="N534" s="450" t="str">
        <f ca="1">+'R4 Variations'!N534</f>
        <v>Proposal, October 2014</v>
      </c>
    </row>
    <row r="535" spans="1:14">
      <c r="A535" s="5"/>
      <c r="B535" s="249"/>
      <c r="C535" s="384" t="str">
        <f ca="1">+'R4 Variations'!C535</f>
        <v/>
      </c>
      <c r="D535" s="491">
        <f ca="1">IF(ISNUMBER('R4 Variations'!D535),+'R4 Variations'!D535*LU_Escalation,0)</f>
        <v>0</v>
      </c>
      <c r="E535" s="850">
        <f ca="1">IF(ISNUMBER('R4 Variations'!E535),+'R4 Variations'!E535*LU_Escalation,0)</f>
        <v>0</v>
      </c>
      <c r="F535" s="491">
        <f ca="1">IF(ISNUMBER('R4 Variations'!F535),+'R4 Variations'!F535*LU_Escalation,0)</f>
        <v>0</v>
      </c>
      <c r="G535" s="491">
        <f ca="1">IF(ISNUMBER('R4 Variations'!G535),+'R4 Variations'!G535*LU_Escalation,0)</f>
        <v>0</v>
      </c>
      <c r="H535" s="491">
        <f ca="1">IF(ISNUMBER('R4 Variations'!H535),+'R4 Variations'!H535*LU_Escalation,0)</f>
        <v>0</v>
      </c>
      <c r="I535" s="491">
        <f ca="1">IF(ISNUMBER('R4 Variations'!I535),+'R4 Variations'!I535*LU_Escalation,0)</f>
        <v>0</v>
      </c>
      <c r="J535" s="491">
        <f ca="1">IF(ISNUMBER('R4 Variations'!J535),+'R4 Variations'!J535*LU_Escalation,0)</f>
        <v>0</v>
      </c>
      <c r="K535" s="491">
        <f ca="1">IF(ISNUMBER('R4 Variations'!K535),+'R4 Variations'!K535*LU_Escalation,0)</f>
        <v>0</v>
      </c>
      <c r="L535" s="515" t="str">
        <f ca="1">+'R4 Variations'!L535</f>
        <v/>
      </c>
      <c r="M535" s="450" t="str">
        <f ca="1">+'R4 Variations'!M535</f>
        <v/>
      </c>
      <c r="N535" s="450" t="str">
        <f ca="1">+'R4 Variations'!N535</f>
        <v/>
      </c>
    </row>
    <row r="536" spans="1:14">
      <c r="A536" s="5"/>
      <c r="B536" s="249"/>
      <c r="C536" s="384" t="str">
        <f ca="1">+'R4 Variations'!C536</f>
        <v/>
      </c>
      <c r="D536" s="491">
        <f ca="1">IF(ISNUMBER('R4 Variations'!D536),+'R4 Variations'!D536*LU_Escalation,0)</f>
        <v>0</v>
      </c>
      <c r="E536" s="850">
        <f ca="1">IF(ISNUMBER('R4 Variations'!E536),+'R4 Variations'!E536*LU_Escalation,0)</f>
        <v>0</v>
      </c>
      <c r="F536" s="491">
        <f ca="1">IF(ISNUMBER('R4 Variations'!F536),+'R4 Variations'!F536*LU_Escalation,0)</f>
        <v>0</v>
      </c>
      <c r="G536" s="491">
        <f ca="1">IF(ISNUMBER('R4 Variations'!G536),+'R4 Variations'!G536*LU_Escalation,0)</f>
        <v>0</v>
      </c>
      <c r="H536" s="491">
        <f ca="1">IF(ISNUMBER('R4 Variations'!H536),+'R4 Variations'!H536*LU_Escalation,0)</f>
        <v>0</v>
      </c>
      <c r="I536" s="491">
        <f ca="1">IF(ISNUMBER('R4 Variations'!I536),+'R4 Variations'!I536*LU_Escalation,0)</f>
        <v>0</v>
      </c>
      <c r="J536" s="491">
        <f ca="1">IF(ISNUMBER('R4 Variations'!J536),+'R4 Variations'!J536*LU_Escalation,0)</f>
        <v>0</v>
      </c>
      <c r="K536" s="491">
        <f ca="1">IF(ISNUMBER('R4 Variations'!K536),+'R4 Variations'!K536*LU_Escalation,0)</f>
        <v>0</v>
      </c>
      <c r="L536" s="515" t="str">
        <f ca="1">+'R4 Variations'!L536</f>
        <v/>
      </c>
      <c r="M536" s="450" t="str">
        <f ca="1">+'R4 Variations'!M536</f>
        <v/>
      </c>
      <c r="N536" s="450" t="str">
        <f ca="1">+'R4 Variations'!N536</f>
        <v/>
      </c>
    </row>
    <row r="537" spans="1:14">
      <c r="A537" s="5"/>
      <c r="B537" s="249"/>
      <c r="C537" s="384" t="str">
        <f ca="1">+'R4 Variations'!C537</f>
        <v/>
      </c>
      <c r="D537" s="491">
        <f ca="1">IF(ISNUMBER('R4 Variations'!D537),+'R4 Variations'!D537*LU_Escalation,0)</f>
        <v>0</v>
      </c>
      <c r="E537" s="850">
        <f ca="1">IF(ISNUMBER('R4 Variations'!E537),+'R4 Variations'!E537*LU_Escalation,0)</f>
        <v>0</v>
      </c>
      <c r="F537" s="491">
        <f ca="1">IF(ISNUMBER('R4 Variations'!F537),+'R4 Variations'!F537*LU_Escalation,0)</f>
        <v>0</v>
      </c>
      <c r="G537" s="491">
        <f ca="1">IF(ISNUMBER('R4 Variations'!G537),+'R4 Variations'!G537*LU_Escalation,0)</f>
        <v>0</v>
      </c>
      <c r="H537" s="491">
        <f ca="1">IF(ISNUMBER('R4 Variations'!H537),+'R4 Variations'!H537*LU_Escalation,0)</f>
        <v>0</v>
      </c>
      <c r="I537" s="491">
        <f ca="1">IF(ISNUMBER('R4 Variations'!I537),+'R4 Variations'!I537*LU_Escalation,0)</f>
        <v>0</v>
      </c>
      <c r="J537" s="491">
        <f ca="1">IF(ISNUMBER('R4 Variations'!J537),+'R4 Variations'!J537*LU_Escalation,0)</f>
        <v>0</v>
      </c>
      <c r="K537" s="491">
        <f ca="1">IF(ISNUMBER('R4 Variations'!K537),+'R4 Variations'!K537*LU_Escalation,0)</f>
        <v>0</v>
      </c>
      <c r="L537" s="515" t="str">
        <f ca="1">+'R4 Variations'!L537</f>
        <v/>
      </c>
      <c r="M537" s="450" t="str">
        <f ca="1">+'R4 Variations'!M537</f>
        <v/>
      </c>
      <c r="N537" s="450" t="str">
        <f ca="1">+'R4 Variations'!N537</f>
        <v/>
      </c>
    </row>
    <row r="538" spans="1:14">
      <c r="A538" s="5"/>
      <c r="B538" s="249"/>
      <c r="C538" s="384" t="str">
        <f ca="1">+'R4 Variations'!C538</f>
        <v/>
      </c>
      <c r="D538" s="491">
        <f ca="1">IF(ISNUMBER('R4 Variations'!D538),+'R4 Variations'!D538*LU_Escalation,0)</f>
        <v>0</v>
      </c>
      <c r="E538" s="850">
        <f ca="1">IF(ISNUMBER('R4 Variations'!E538),+'R4 Variations'!E538*LU_Escalation,0)</f>
        <v>0</v>
      </c>
      <c r="F538" s="491">
        <f ca="1">IF(ISNUMBER('R4 Variations'!F538),+'R4 Variations'!F538*LU_Escalation,0)</f>
        <v>0</v>
      </c>
      <c r="G538" s="491">
        <f ca="1">IF(ISNUMBER('R4 Variations'!G538),+'R4 Variations'!G538*LU_Escalation,0)</f>
        <v>0</v>
      </c>
      <c r="H538" s="491">
        <f ca="1">IF(ISNUMBER('R4 Variations'!H538),+'R4 Variations'!H538*LU_Escalation,0)</f>
        <v>0</v>
      </c>
      <c r="I538" s="491">
        <f ca="1">IF(ISNUMBER('R4 Variations'!I538),+'R4 Variations'!I538*LU_Escalation,0)</f>
        <v>0</v>
      </c>
      <c r="J538" s="491">
        <f ca="1">IF(ISNUMBER('R4 Variations'!J538),+'R4 Variations'!J538*LU_Escalation,0)</f>
        <v>0</v>
      </c>
      <c r="K538" s="491">
        <f ca="1">IF(ISNUMBER('R4 Variations'!K538),+'R4 Variations'!K538*LU_Escalation,0)</f>
        <v>0</v>
      </c>
      <c r="L538" s="515" t="str">
        <f ca="1">+'R4 Variations'!L538</f>
        <v/>
      </c>
      <c r="M538" s="450" t="str">
        <f ca="1">+'R4 Variations'!M538</f>
        <v/>
      </c>
      <c r="N538" s="450" t="str">
        <f ca="1">+'R4 Variations'!N538</f>
        <v/>
      </c>
    </row>
    <row r="539" spans="1:14">
      <c r="A539" s="5"/>
      <c r="B539" s="249"/>
      <c r="C539" s="384" t="str">
        <f ca="1">+'R4 Variations'!C539</f>
        <v/>
      </c>
      <c r="D539" s="491">
        <f ca="1">IF(ISNUMBER('R4 Variations'!D539),+'R4 Variations'!D539*LU_Escalation,0)</f>
        <v>0</v>
      </c>
      <c r="E539" s="850">
        <f ca="1">IF(ISNUMBER('R4 Variations'!E539),+'R4 Variations'!E539*LU_Escalation,0)</f>
        <v>0</v>
      </c>
      <c r="F539" s="491">
        <f ca="1">IF(ISNUMBER('R4 Variations'!F539),+'R4 Variations'!F539*LU_Escalation,0)</f>
        <v>0</v>
      </c>
      <c r="G539" s="491">
        <f ca="1">IF(ISNUMBER('R4 Variations'!G539),+'R4 Variations'!G539*LU_Escalation,0)</f>
        <v>0</v>
      </c>
      <c r="H539" s="491">
        <f ca="1">IF(ISNUMBER('R4 Variations'!H539),+'R4 Variations'!H539*LU_Escalation,0)</f>
        <v>0</v>
      </c>
      <c r="I539" s="491">
        <f ca="1">IF(ISNUMBER('R4 Variations'!I539),+'R4 Variations'!I539*LU_Escalation,0)</f>
        <v>0</v>
      </c>
      <c r="J539" s="491">
        <f ca="1">IF(ISNUMBER('R4 Variations'!J539),+'R4 Variations'!J539*LU_Escalation,0)</f>
        <v>0</v>
      </c>
      <c r="K539" s="491">
        <f ca="1">IF(ISNUMBER('R4 Variations'!K539),+'R4 Variations'!K539*LU_Escalation,0)</f>
        <v>0</v>
      </c>
      <c r="L539" s="515" t="str">
        <f ca="1">+'R4 Variations'!L539</f>
        <v/>
      </c>
      <c r="M539" s="450" t="str">
        <f ca="1">+'R4 Variations'!M539</f>
        <v/>
      </c>
      <c r="N539" s="450" t="str">
        <f ca="1">+'R4 Variations'!N539</f>
        <v/>
      </c>
    </row>
    <row r="540" spans="1:14">
      <c r="A540" s="5"/>
      <c r="B540" s="249"/>
      <c r="C540" s="384" t="str">
        <f ca="1">+'R4 Variations'!C540</f>
        <v/>
      </c>
      <c r="D540" s="491">
        <f ca="1">IF(ISNUMBER('R4 Variations'!D540),+'R4 Variations'!D540*LU_Escalation,0)</f>
        <v>0</v>
      </c>
      <c r="E540" s="850">
        <f ca="1">IF(ISNUMBER('R4 Variations'!E540),+'R4 Variations'!E540*LU_Escalation,0)</f>
        <v>0</v>
      </c>
      <c r="F540" s="491">
        <f ca="1">IF(ISNUMBER('R4 Variations'!F540),+'R4 Variations'!F540*LU_Escalation,0)</f>
        <v>0</v>
      </c>
      <c r="G540" s="491">
        <f ca="1">IF(ISNUMBER('R4 Variations'!G540),+'R4 Variations'!G540*LU_Escalation,0)</f>
        <v>0</v>
      </c>
      <c r="H540" s="491">
        <f ca="1">IF(ISNUMBER('R4 Variations'!H540),+'R4 Variations'!H540*LU_Escalation,0)</f>
        <v>0</v>
      </c>
      <c r="I540" s="491">
        <f ca="1">IF(ISNUMBER('R4 Variations'!I540),+'R4 Variations'!I540*LU_Escalation,0)</f>
        <v>0</v>
      </c>
      <c r="J540" s="491">
        <f ca="1">IF(ISNUMBER('R4 Variations'!J540),+'R4 Variations'!J540*LU_Escalation,0)</f>
        <v>0</v>
      </c>
      <c r="K540" s="491">
        <f ca="1">IF(ISNUMBER('R4 Variations'!K540),+'R4 Variations'!K540*LU_Escalation,0)</f>
        <v>0</v>
      </c>
      <c r="L540" s="515" t="str">
        <f ca="1">+'R4 Variations'!L540</f>
        <v/>
      </c>
      <c r="M540" s="450" t="str">
        <f ca="1">+'R4 Variations'!M540</f>
        <v/>
      </c>
      <c r="N540" s="450" t="str">
        <f ca="1">+'R4 Variations'!N540</f>
        <v/>
      </c>
    </row>
    <row r="541" spans="1:14">
      <c r="A541" s="5"/>
      <c r="B541" s="249"/>
      <c r="C541" s="384" t="str">
        <f ca="1">+'R4 Variations'!C541</f>
        <v/>
      </c>
      <c r="D541" s="491">
        <f ca="1">IF(ISNUMBER('R4 Variations'!D541),+'R4 Variations'!D541*LU_Escalation,0)</f>
        <v>0</v>
      </c>
      <c r="E541" s="850">
        <f ca="1">IF(ISNUMBER('R4 Variations'!E541),+'R4 Variations'!E541*LU_Escalation,0)</f>
        <v>0</v>
      </c>
      <c r="F541" s="491">
        <f ca="1">IF(ISNUMBER('R4 Variations'!F541),+'R4 Variations'!F541*LU_Escalation,0)</f>
        <v>0</v>
      </c>
      <c r="G541" s="491">
        <f ca="1">IF(ISNUMBER('R4 Variations'!G541),+'R4 Variations'!G541*LU_Escalation,0)</f>
        <v>0</v>
      </c>
      <c r="H541" s="491">
        <f ca="1">IF(ISNUMBER('R4 Variations'!H541),+'R4 Variations'!H541*LU_Escalation,0)</f>
        <v>0</v>
      </c>
      <c r="I541" s="491">
        <f ca="1">IF(ISNUMBER('R4 Variations'!I541),+'R4 Variations'!I541*LU_Escalation,0)</f>
        <v>0</v>
      </c>
      <c r="J541" s="491">
        <f ca="1">IF(ISNUMBER('R4 Variations'!J541),+'R4 Variations'!J541*LU_Escalation,0)</f>
        <v>0</v>
      </c>
      <c r="K541" s="491">
        <f ca="1">IF(ISNUMBER('R4 Variations'!K541),+'R4 Variations'!K541*LU_Escalation,0)</f>
        <v>0</v>
      </c>
      <c r="L541" s="515" t="str">
        <f ca="1">+'R4 Variations'!L541</f>
        <v/>
      </c>
      <c r="M541" s="450" t="str">
        <f ca="1">+'R4 Variations'!M541</f>
        <v/>
      </c>
      <c r="N541" s="450" t="str">
        <f ca="1">+'R4 Variations'!N541</f>
        <v/>
      </c>
    </row>
    <row r="542" spans="1:14">
      <c r="A542" s="5"/>
      <c r="B542" s="249"/>
      <c r="C542" s="384" t="str">
        <f ca="1">+'R4 Variations'!C542</f>
        <v/>
      </c>
      <c r="D542" s="491">
        <f ca="1">IF(ISNUMBER('R4 Variations'!D542),+'R4 Variations'!D542*LU_Escalation,0)</f>
        <v>0</v>
      </c>
      <c r="E542" s="850">
        <f ca="1">IF(ISNUMBER('R4 Variations'!E542),+'R4 Variations'!E542*LU_Escalation,0)</f>
        <v>0</v>
      </c>
      <c r="F542" s="491">
        <f ca="1">IF(ISNUMBER('R4 Variations'!F542),+'R4 Variations'!F542*LU_Escalation,0)</f>
        <v>0</v>
      </c>
      <c r="G542" s="491">
        <f ca="1">IF(ISNUMBER('R4 Variations'!G542),+'R4 Variations'!G542*LU_Escalation,0)</f>
        <v>0</v>
      </c>
      <c r="H542" s="491">
        <f ca="1">IF(ISNUMBER('R4 Variations'!H542),+'R4 Variations'!H542*LU_Escalation,0)</f>
        <v>0</v>
      </c>
      <c r="I542" s="491">
        <f ca="1">IF(ISNUMBER('R4 Variations'!I542),+'R4 Variations'!I542*LU_Escalation,0)</f>
        <v>0</v>
      </c>
      <c r="J542" s="491">
        <f ca="1">IF(ISNUMBER('R4 Variations'!J542),+'R4 Variations'!J542*LU_Escalation,0)</f>
        <v>0</v>
      </c>
      <c r="K542" s="491">
        <f ca="1">IF(ISNUMBER('R4 Variations'!K542),+'R4 Variations'!K542*LU_Escalation,0)</f>
        <v>0</v>
      </c>
      <c r="L542" s="515" t="str">
        <f ca="1">+'R4 Variations'!L542</f>
        <v/>
      </c>
      <c r="M542" s="450" t="str">
        <f ca="1">+'R4 Variations'!M542</f>
        <v/>
      </c>
      <c r="N542" s="450" t="str">
        <f ca="1">+'R4 Variations'!N542</f>
        <v/>
      </c>
    </row>
    <row r="543" spans="1:14">
      <c r="A543" s="5"/>
      <c r="B543" s="249"/>
      <c r="C543" s="384" t="str">
        <f ca="1">+'R4 Variations'!C543</f>
        <v/>
      </c>
      <c r="D543" s="491">
        <f ca="1">IF(ISNUMBER('R4 Variations'!D543),+'R4 Variations'!D543*LU_Escalation,0)</f>
        <v>0</v>
      </c>
      <c r="E543" s="850">
        <f ca="1">IF(ISNUMBER('R4 Variations'!E543),+'R4 Variations'!E543*LU_Escalation,0)</f>
        <v>0</v>
      </c>
      <c r="F543" s="491">
        <f ca="1">IF(ISNUMBER('R4 Variations'!F543),+'R4 Variations'!F543*LU_Escalation,0)</f>
        <v>0</v>
      </c>
      <c r="G543" s="491">
        <f ca="1">IF(ISNUMBER('R4 Variations'!G543),+'R4 Variations'!G543*LU_Escalation,0)</f>
        <v>0</v>
      </c>
      <c r="H543" s="491">
        <f ca="1">IF(ISNUMBER('R4 Variations'!H543),+'R4 Variations'!H543*LU_Escalation,0)</f>
        <v>0</v>
      </c>
      <c r="I543" s="491">
        <f ca="1">IF(ISNUMBER('R4 Variations'!I543),+'R4 Variations'!I543*LU_Escalation,0)</f>
        <v>0</v>
      </c>
      <c r="J543" s="491">
        <f ca="1">IF(ISNUMBER('R4 Variations'!J543),+'R4 Variations'!J543*LU_Escalation,0)</f>
        <v>0</v>
      </c>
      <c r="K543" s="491">
        <f ca="1">IF(ISNUMBER('R4 Variations'!K543),+'R4 Variations'!K543*LU_Escalation,0)</f>
        <v>0</v>
      </c>
      <c r="L543" s="515" t="str">
        <f ca="1">+'R4 Variations'!L543</f>
        <v/>
      </c>
      <c r="M543" s="450" t="str">
        <f ca="1">+'R4 Variations'!M543</f>
        <v/>
      </c>
      <c r="N543" s="450" t="str">
        <f ca="1">+'R4 Variations'!N543</f>
        <v/>
      </c>
    </row>
    <row r="544" spans="1:14">
      <c r="A544" s="5"/>
      <c r="B544" s="249"/>
      <c r="C544" s="12"/>
      <c r="D544" s="491"/>
      <c r="E544" s="508"/>
      <c r="F544" s="491"/>
      <c r="G544" s="492"/>
      <c r="H544" s="492"/>
      <c r="I544" s="492"/>
      <c r="J544" s="492"/>
      <c r="K544" s="508"/>
      <c r="L544" s="515"/>
      <c r="M544" s="450"/>
      <c r="N544" s="450"/>
    </row>
    <row r="545" spans="1:14">
      <c r="A545" s="5"/>
      <c r="B545" s="249" t="str">
        <f ca="1">+'I-4 History'!B408</f>
        <v>A-21</v>
      </c>
      <c r="C545" s="14" t="str">
        <f ca="1">+'I-4 History'!C408</f>
        <v>Apprentice Training</v>
      </c>
      <c r="D545" s="491"/>
      <c r="E545" s="508"/>
      <c r="F545" s="491"/>
      <c r="G545" s="492"/>
      <c r="H545" s="492"/>
      <c r="I545" s="492"/>
      <c r="J545" s="492"/>
      <c r="K545" s="508"/>
      <c r="L545" s="515"/>
      <c r="M545" s="450"/>
      <c r="N545" s="450"/>
    </row>
    <row r="546" spans="1:14">
      <c r="A546" s="5"/>
      <c r="B546" s="249"/>
      <c r="C546" s="384" t="str">
        <f ca="1">+'R4 Variations'!C546</f>
        <v>Step Change</v>
      </c>
      <c r="D546" s="491">
        <f ca="1">IF(ISNUMBER('R4 Variations'!D546),+'R4 Variations'!D546*LU_Escalation,0)</f>
        <v>0</v>
      </c>
      <c r="E546" s="850">
        <f ca="1">IF(ISNUMBER('R4 Variations'!E546),+'R4 Variations'!E546*LU_Escalation,0)</f>
        <v>0</v>
      </c>
      <c r="F546" s="491">
        <f ca="1">IF(ISNUMBER('R4 Variations'!F546),+'R4 Variations'!F546*LU_Escalation,0)</f>
        <v>0</v>
      </c>
      <c r="G546" s="491">
        <f ca="1">IF(ISNUMBER('R4 Variations'!G546),+'R4 Variations'!G546*LU_Escalation,0)</f>
        <v>0</v>
      </c>
      <c r="H546" s="491">
        <f ca="1">IF(ISNUMBER('R4 Variations'!H546),+'R4 Variations'!H546*LU_Escalation,0)</f>
        <v>0</v>
      </c>
      <c r="I546" s="491">
        <f ca="1">IF(ISNUMBER('R4 Variations'!I546),+'R4 Variations'!I546*LU_Escalation,0)</f>
        <v>0</v>
      </c>
      <c r="J546" s="491">
        <f ca="1">IF(ISNUMBER('R4 Variations'!J546),+'R4 Variations'!J546*LU_Escalation,0)</f>
        <v>0</v>
      </c>
      <c r="K546" s="491">
        <f ca="1">IF(ISNUMBER('R4 Variations'!K546),+'R4 Variations'!K546*LU_Escalation,0)</f>
        <v>0</v>
      </c>
      <c r="L546" s="515" t="str">
        <f ca="1">+'R4 Variations'!L546</f>
        <v>Proposal Step Change</v>
      </c>
      <c r="M546" s="450" t="str">
        <f ca="1">+'R4 Variations'!M546</f>
        <v>Refer Opex Workings</v>
      </c>
      <c r="N546" s="450" t="str">
        <f ca="1">+'R4 Variations'!N546</f>
        <v>Proposal, October 2014</v>
      </c>
    </row>
    <row r="547" spans="1:14">
      <c r="A547" s="5"/>
      <c r="B547" s="249"/>
      <c r="C547" s="384" t="str">
        <f ca="1">+'R4 Variations'!C547</f>
        <v/>
      </c>
      <c r="D547" s="491">
        <f ca="1">IF(ISNUMBER('R4 Variations'!D547),+'R4 Variations'!D547*LU_Escalation,0)</f>
        <v>0</v>
      </c>
      <c r="E547" s="850">
        <f ca="1">IF(ISNUMBER('R4 Variations'!E547),+'R4 Variations'!E547*LU_Escalation,0)</f>
        <v>0</v>
      </c>
      <c r="F547" s="491">
        <f ca="1">IF(ISNUMBER('R4 Variations'!F547),+'R4 Variations'!F547*LU_Escalation,0)</f>
        <v>0</v>
      </c>
      <c r="G547" s="491">
        <f ca="1">IF(ISNUMBER('R4 Variations'!G547),+'R4 Variations'!G547*LU_Escalation,0)</f>
        <v>0</v>
      </c>
      <c r="H547" s="491">
        <f ca="1">IF(ISNUMBER('R4 Variations'!H547),+'R4 Variations'!H547*LU_Escalation,0)</f>
        <v>0</v>
      </c>
      <c r="I547" s="491">
        <f ca="1">IF(ISNUMBER('R4 Variations'!I547),+'R4 Variations'!I547*LU_Escalation,0)</f>
        <v>0</v>
      </c>
      <c r="J547" s="491">
        <f ca="1">IF(ISNUMBER('R4 Variations'!J547),+'R4 Variations'!J547*LU_Escalation,0)</f>
        <v>0</v>
      </c>
      <c r="K547" s="491">
        <f ca="1">IF(ISNUMBER('R4 Variations'!K547),+'R4 Variations'!K547*LU_Escalation,0)</f>
        <v>0</v>
      </c>
      <c r="L547" s="515" t="str">
        <f ca="1">+'R4 Variations'!L547</f>
        <v/>
      </c>
      <c r="M547" s="450" t="str">
        <f ca="1">+'R4 Variations'!M547</f>
        <v/>
      </c>
      <c r="N547" s="450" t="str">
        <f ca="1">+'R4 Variations'!N547</f>
        <v/>
      </c>
    </row>
    <row r="548" spans="1:14">
      <c r="A548" s="5"/>
      <c r="B548" s="249"/>
      <c r="C548" s="384" t="str">
        <f ca="1">+'R4 Variations'!C548</f>
        <v/>
      </c>
      <c r="D548" s="491">
        <f ca="1">IF(ISNUMBER('R4 Variations'!D548),+'R4 Variations'!D548*LU_Escalation,0)</f>
        <v>0</v>
      </c>
      <c r="E548" s="850">
        <f ca="1">IF(ISNUMBER('R4 Variations'!E548),+'R4 Variations'!E548*LU_Escalation,0)</f>
        <v>0</v>
      </c>
      <c r="F548" s="491">
        <f ca="1">IF(ISNUMBER('R4 Variations'!F548),+'R4 Variations'!F548*LU_Escalation,0)</f>
        <v>0</v>
      </c>
      <c r="G548" s="491">
        <f ca="1">IF(ISNUMBER('R4 Variations'!G548),+'R4 Variations'!G548*LU_Escalation,0)</f>
        <v>0</v>
      </c>
      <c r="H548" s="491">
        <f ca="1">IF(ISNUMBER('R4 Variations'!H548),+'R4 Variations'!H548*LU_Escalation,0)</f>
        <v>0</v>
      </c>
      <c r="I548" s="491">
        <f ca="1">IF(ISNUMBER('R4 Variations'!I548),+'R4 Variations'!I548*LU_Escalation,0)</f>
        <v>0</v>
      </c>
      <c r="J548" s="491">
        <f ca="1">IF(ISNUMBER('R4 Variations'!J548),+'R4 Variations'!J548*LU_Escalation,0)</f>
        <v>0</v>
      </c>
      <c r="K548" s="491">
        <f ca="1">IF(ISNUMBER('R4 Variations'!K548),+'R4 Variations'!K548*LU_Escalation,0)</f>
        <v>0</v>
      </c>
      <c r="L548" s="515" t="str">
        <f ca="1">+'R4 Variations'!L548</f>
        <v/>
      </c>
      <c r="M548" s="450" t="str">
        <f ca="1">+'R4 Variations'!M548</f>
        <v/>
      </c>
      <c r="N548" s="450" t="str">
        <f ca="1">+'R4 Variations'!N548</f>
        <v/>
      </c>
    </row>
    <row r="549" spans="1:14">
      <c r="A549" s="5"/>
      <c r="B549" s="249"/>
      <c r="C549" s="384" t="str">
        <f ca="1">+'R4 Variations'!C549</f>
        <v/>
      </c>
      <c r="D549" s="491">
        <f ca="1">IF(ISNUMBER('R4 Variations'!D549),+'R4 Variations'!D549*LU_Escalation,0)</f>
        <v>0</v>
      </c>
      <c r="E549" s="850">
        <f ca="1">IF(ISNUMBER('R4 Variations'!E549),+'R4 Variations'!E549*LU_Escalation,0)</f>
        <v>0</v>
      </c>
      <c r="F549" s="491">
        <f ca="1">IF(ISNUMBER('R4 Variations'!F549),+'R4 Variations'!F549*LU_Escalation,0)</f>
        <v>0</v>
      </c>
      <c r="G549" s="491">
        <f ca="1">IF(ISNUMBER('R4 Variations'!G549),+'R4 Variations'!G549*LU_Escalation,0)</f>
        <v>0</v>
      </c>
      <c r="H549" s="491">
        <f ca="1">IF(ISNUMBER('R4 Variations'!H549),+'R4 Variations'!H549*LU_Escalation,0)</f>
        <v>0</v>
      </c>
      <c r="I549" s="491">
        <f ca="1">IF(ISNUMBER('R4 Variations'!I549),+'R4 Variations'!I549*LU_Escalation,0)</f>
        <v>0</v>
      </c>
      <c r="J549" s="491">
        <f ca="1">IF(ISNUMBER('R4 Variations'!J549),+'R4 Variations'!J549*LU_Escalation,0)</f>
        <v>0</v>
      </c>
      <c r="K549" s="491">
        <f ca="1">IF(ISNUMBER('R4 Variations'!K549),+'R4 Variations'!K549*LU_Escalation,0)</f>
        <v>0</v>
      </c>
      <c r="L549" s="515" t="str">
        <f ca="1">+'R4 Variations'!L549</f>
        <v/>
      </c>
      <c r="M549" s="450" t="str">
        <f ca="1">+'R4 Variations'!M549</f>
        <v/>
      </c>
      <c r="N549" s="450" t="str">
        <f ca="1">+'R4 Variations'!N549</f>
        <v/>
      </c>
    </row>
    <row r="550" spans="1:14">
      <c r="A550" s="5"/>
      <c r="B550" s="249"/>
      <c r="C550" s="384" t="str">
        <f ca="1">+'R4 Variations'!C550</f>
        <v/>
      </c>
      <c r="D550" s="491">
        <f ca="1">IF(ISNUMBER('R4 Variations'!D550),+'R4 Variations'!D550*LU_Escalation,0)</f>
        <v>0</v>
      </c>
      <c r="E550" s="850">
        <f ca="1">IF(ISNUMBER('R4 Variations'!E550),+'R4 Variations'!E550*LU_Escalation,0)</f>
        <v>0</v>
      </c>
      <c r="F550" s="491">
        <f ca="1">IF(ISNUMBER('R4 Variations'!F550),+'R4 Variations'!F550*LU_Escalation,0)</f>
        <v>0</v>
      </c>
      <c r="G550" s="491">
        <f ca="1">IF(ISNUMBER('R4 Variations'!G550),+'R4 Variations'!G550*LU_Escalation,0)</f>
        <v>0</v>
      </c>
      <c r="H550" s="491">
        <f ca="1">IF(ISNUMBER('R4 Variations'!H550),+'R4 Variations'!H550*LU_Escalation,0)</f>
        <v>0</v>
      </c>
      <c r="I550" s="491">
        <f ca="1">IF(ISNUMBER('R4 Variations'!I550),+'R4 Variations'!I550*LU_Escalation,0)</f>
        <v>0</v>
      </c>
      <c r="J550" s="491">
        <f ca="1">IF(ISNUMBER('R4 Variations'!J550),+'R4 Variations'!J550*LU_Escalation,0)</f>
        <v>0</v>
      </c>
      <c r="K550" s="491">
        <f ca="1">IF(ISNUMBER('R4 Variations'!K550),+'R4 Variations'!K550*LU_Escalation,0)</f>
        <v>0</v>
      </c>
      <c r="L550" s="515" t="str">
        <f ca="1">+'R4 Variations'!L550</f>
        <v/>
      </c>
      <c r="M550" s="450" t="str">
        <f ca="1">+'R4 Variations'!M550</f>
        <v/>
      </c>
      <c r="N550" s="450" t="str">
        <f ca="1">+'R4 Variations'!N550</f>
        <v/>
      </c>
    </row>
    <row r="551" spans="1:14">
      <c r="B551" s="249"/>
      <c r="C551" s="384" t="str">
        <f ca="1">+'R4 Variations'!C551</f>
        <v/>
      </c>
      <c r="D551" s="491">
        <f ca="1">IF(ISNUMBER('R4 Variations'!D551),+'R4 Variations'!D551*LU_Escalation,0)</f>
        <v>0</v>
      </c>
      <c r="E551" s="850">
        <f ca="1">IF(ISNUMBER('R4 Variations'!E551),+'R4 Variations'!E551*LU_Escalation,0)</f>
        <v>0</v>
      </c>
      <c r="F551" s="491">
        <f ca="1">IF(ISNUMBER('R4 Variations'!F551),+'R4 Variations'!F551*LU_Escalation,0)</f>
        <v>0</v>
      </c>
      <c r="G551" s="491">
        <f ca="1">IF(ISNUMBER('R4 Variations'!G551),+'R4 Variations'!G551*LU_Escalation,0)</f>
        <v>0</v>
      </c>
      <c r="H551" s="491">
        <f ca="1">IF(ISNUMBER('R4 Variations'!H551),+'R4 Variations'!H551*LU_Escalation,0)</f>
        <v>0</v>
      </c>
      <c r="I551" s="491">
        <f ca="1">IF(ISNUMBER('R4 Variations'!I551),+'R4 Variations'!I551*LU_Escalation,0)</f>
        <v>0</v>
      </c>
      <c r="J551" s="491">
        <f ca="1">IF(ISNUMBER('R4 Variations'!J551),+'R4 Variations'!J551*LU_Escalation,0)</f>
        <v>0</v>
      </c>
      <c r="K551" s="491">
        <f ca="1">IF(ISNUMBER('R4 Variations'!K551),+'R4 Variations'!K551*LU_Escalation,0)</f>
        <v>0</v>
      </c>
      <c r="L551" s="515" t="str">
        <f ca="1">+'R4 Variations'!L551</f>
        <v/>
      </c>
      <c r="M551" s="450" t="str">
        <f ca="1">+'R4 Variations'!M551</f>
        <v/>
      </c>
      <c r="N551" s="450" t="str">
        <f ca="1">+'R4 Variations'!N551</f>
        <v/>
      </c>
    </row>
    <row r="552" spans="1:14">
      <c r="B552" s="249"/>
      <c r="C552" s="384" t="str">
        <f ca="1">+'R4 Variations'!C552</f>
        <v/>
      </c>
      <c r="D552" s="491">
        <f ca="1">IF(ISNUMBER('R4 Variations'!D552),+'R4 Variations'!D552*LU_Escalation,0)</f>
        <v>0</v>
      </c>
      <c r="E552" s="850">
        <f ca="1">IF(ISNUMBER('R4 Variations'!E552),+'R4 Variations'!E552*LU_Escalation,0)</f>
        <v>0</v>
      </c>
      <c r="F552" s="491">
        <f ca="1">IF(ISNUMBER('R4 Variations'!F552),+'R4 Variations'!F552*LU_Escalation,0)</f>
        <v>0</v>
      </c>
      <c r="G552" s="491">
        <f ca="1">IF(ISNUMBER('R4 Variations'!G552),+'R4 Variations'!G552*LU_Escalation,0)</f>
        <v>0</v>
      </c>
      <c r="H552" s="491">
        <f ca="1">IF(ISNUMBER('R4 Variations'!H552),+'R4 Variations'!H552*LU_Escalation,0)</f>
        <v>0</v>
      </c>
      <c r="I552" s="491">
        <f ca="1">IF(ISNUMBER('R4 Variations'!I552),+'R4 Variations'!I552*LU_Escalation,0)</f>
        <v>0</v>
      </c>
      <c r="J552" s="491">
        <f ca="1">IF(ISNUMBER('R4 Variations'!J552),+'R4 Variations'!J552*LU_Escalation,0)</f>
        <v>0</v>
      </c>
      <c r="K552" s="491">
        <f ca="1">IF(ISNUMBER('R4 Variations'!K552),+'R4 Variations'!K552*LU_Escalation,0)</f>
        <v>0</v>
      </c>
      <c r="L552" s="515" t="str">
        <f ca="1">+'R4 Variations'!L552</f>
        <v/>
      </c>
      <c r="M552" s="450" t="str">
        <f ca="1">+'R4 Variations'!M552</f>
        <v/>
      </c>
      <c r="N552" s="450" t="str">
        <f ca="1">+'R4 Variations'!N552</f>
        <v/>
      </c>
    </row>
    <row r="553" spans="1:14">
      <c r="B553" s="249"/>
      <c r="C553" s="384" t="str">
        <f ca="1">+'R4 Variations'!C553</f>
        <v/>
      </c>
      <c r="D553" s="491">
        <f ca="1">IF(ISNUMBER('R4 Variations'!D553),+'R4 Variations'!D553*LU_Escalation,0)</f>
        <v>0</v>
      </c>
      <c r="E553" s="850">
        <f ca="1">IF(ISNUMBER('R4 Variations'!E553),+'R4 Variations'!E553*LU_Escalation,0)</f>
        <v>0</v>
      </c>
      <c r="F553" s="491">
        <f ca="1">IF(ISNUMBER('R4 Variations'!F553),+'R4 Variations'!F553*LU_Escalation,0)</f>
        <v>0</v>
      </c>
      <c r="G553" s="491">
        <f ca="1">IF(ISNUMBER('R4 Variations'!G553),+'R4 Variations'!G553*LU_Escalation,0)</f>
        <v>0</v>
      </c>
      <c r="H553" s="491">
        <f ca="1">IF(ISNUMBER('R4 Variations'!H553),+'R4 Variations'!H553*LU_Escalation,0)</f>
        <v>0</v>
      </c>
      <c r="I553" s="491">
        <f ca="1">IF(ISNUMBER('R4 Variations'!I553),+'R4 Variations'!I553*LU_Escalation,0)</f>
        <v>0</v>
      </c>
      <c r="J553" s="491">
        <f ca="1">IF(ISNUMBER('R4 Variations'!J553),+'R4 Variations'!J553*LU_Escalation,0)</f>
        <v>0</v>
      </c>
      <c r="K553" s="491">
        <f ca="1">IF(ISNUMBER('R4 Variations'!K553),+'R4 Variations'!K553*LU_Escalation,0)</f>
        <v>0</v>
      </c>
      <c r="L553" s="515" t="str">
        <f ca="1">+'R4 Variations'!L553</f>
        <v/>
      </c>
      <c r="M553" s="450" t="str">
        <f ca="1">+'R4 Variations'!M553</f>
        <v/>
      </c>
      <c r="N553" s="450" t="str">
        <f ca="1">+'R4 Variations'!N553</f>
        <v/>
      </c>
    </row>
    <row r="554" spans="1:14">
      <c r="B554" s="249"/>
      <c r="C554" s="384" t="str">
        <f ca="1">+'R4 Variations'!C554</f>
        <v/>
      </c>
      <c r="D554" s="491">
        <f ca="1">IF(ISNUMBER('R4 Variations'!D554),+'R4 Variations'!D554*LU_Escalation,0)</f>
        <v>0</v>
      </c>
      <c r="E554" s="850">
        <f ca="1">IF(ISNUMBER('R4 Variations'!E554),+'R4 Variations'!E554*LU_Escalation,0)</f>
        <v>0</v>
      </c>
      <c r="F554" s="491">
        <f ca="1">IF(ISNUMBER('R4 Variations'!F554),+'R4 Variations'!F554*LU_Escalation,0)</f>
        <v>0</v>
      </c>
      <c r="G554" s="491">
        <f ca="1">IF(ISNUMBER('R4 Variations'!G554),+'R4 Variations'!G554*LU_Escalation,0)</f>
        <v>0</v>
      </c>
      <c r="H554" s="491">
        <f ca="1">IF(ISNUMBER('R4 Variations'!H554),+'R4 Variations'!H554*LU_Escalation,0)</f>
        <v>0</v>
      </c>
      <c r="I554" s="491">
        <f ca="1">IF(ISNUMBER('R4 Variations'!I554),+'R4 Variations'!I554*LU_Escalation,0)</f>
        <v>0</v>
      </c>
      <c r="J554" s="491">
        <f ca="1">IF(ISNUMBER('R4 Variations'!J554),+'R4 Variations'!J554*LU_Escalation,0)</f>
        <v>0</v>
      </c>
      <c r="K554" s="491">
        <f ca="1">IF(ISNUMBER('R4 Variations'!K554),+'R4 Variations'!K554*LU_Escalation,0)</f>
        <v>0</v>
      </c>
      <c r="L554" s="515" t="str">
        <f ca="1">+'R4 Variations'!L554</f>
        <v/>
      </c>
      <c r="M554" s="450" t="str">
        <f ca="1">+'R4 Variations'!M554</f>
        <v/>
      </c>
      <c r="N554" s="450" t="str">
        <f ca="1">+'R4 Variations'!N554</f>
        <v/>
      </c>
    </row>
    <row r="555" spans="1:14">
      <c r="B555" s="249"/>
      <c r="C555" s="384" t="str">
        <f ca="1">+'R4 Variations'!C555</f>
        <v/>
      </c>
      <c r="D555" s="491">
        <f ca="1">IF(ISNUMBER('R4 Variations'!D555),+'R4 Variations'!D555*LU_Escalation,0)</f>
        <v>0</v>
      </c>
      <c r="E555" s="850">
        <f ca="1">IF(ISNUMBER('R4 Variations'!E555),+'R4 Variations'!E555*LU_Escalation,0)</f>
        <v>0</v>
      </c>
      <c r="F555" s="491">
        <f ca="1">IF(ISNUMBER('R4 Variations'!F555),+'R4 Variations'!F555*LU_Escalation,0)</f>
        <v>0</v>
      </c>
      <c r="G555" s="491">
        <f ca="1">IF(ISNUMBER('R4 Variations'!G555),+'R4 Variations'!G555*LU_Escalation,0)</f>
        <v>0</v>
      </c>
      <c r="H555" s="491">
        <f ca="1">IF(ISNUMBER('R4 Variations'!H555),+'R4 Variations'!H555*LU_Escalation,0)</f>
        <v>0</v>
      </c>
      <c r="I555" s="491">
        <f ca="1">IF(ISNUMBER('R4 Variations'!I555),+'R4 Variations'!I555*LU_Escalation,0)</f>
        <v>0</v>
      </c>
      <c r="J555" s="491">
        <f ca="1">IF(ISNUMBER('R4 Variations'!J555),+'R4 Variations'!J555*LU_Escalation,0)</f>
        <v>0</v>
      </c>
      <c r="K555" s="491">
        <f ca="1">IF(ISNUMBER('R4 Variations'!K555),+'R4 Variations'!K555*LU_Escalation,0)</f>
        <v>0</v>
      </c>
      <c r="L555" s="515" t="str">
        <f ca="1">+'R4 Variations'!L555</f>
        <v/>
      </c>
      <c r="M555" s="450" t="str">
        <f ca="1">+'R4 Variations'!M555</f>
        <v/>
      </c>
      <c r="N555" s="450" t="str">
        <f ca="1">+'R4 Variations'!N555</f>
        <v/>
      </c>
    </row>
    <row r="556" spans="1:14">
      <c r="B556" s="249"/>
      <c r="C556" s="15"/>
      <c r="D556" s="491"/>
      <c r="E556" s="508"/>
      <c r="F556" s="491"/>
      <c r="G556" s="492"/>
      <c r="H556" s="492"/>
      <c r="I556" s="492"/>
      <c r="J556" s="492"/>
      <c r="K556" s="508"/>
      <c r="L556" s="515"/>
      <c r="M556" s="450"/>
      <c r="N556" s="450"/>
    </row>
    <row r="557" spans="1:14">
      <c r="A557" s="5"/>
      <c r="B557" s="249" t="str">
        <f ca="1">+'I-4 History'!B417</f>
        <v>A-22</v>
      </c>
      <c r="C557" s="14" t="str">
        <f ca="1">+'I-4 History'!C417</f>
        <v>Training Centre Management</v>
      </c>
      <c r="D557" s="491"/>
      <c r="E557" s="508"/>
      <c r="F557" s="491"/>
      <c r="G557" s="492"/>
      <c r="H557" s="492"/>
      <c r="I557" s="492"/>
      <c r="J557" s="492"/>
      <c r="K557" s="508"/>
      <c r="L557" s="515"/>
      <c r="M557" s="450"/>
      <c r="N557" s="450"/>
    </row>
    <row r="558" spans="1:14">
      <c r="A558" s="5"/>
      <c r="B558" s="249"/>
      <c r="C558" s="384" t="str">
        <f ca="1">+'R4 Variations'!C558</f>
        <v>Step Change</v>
      </c>
      <c r="D558" s="491">
        <f ca="1">IF(ISNUMBER('R4 Variations'!D558),+'R4 Variations'!D558*LU_Escalation,0)</f>
        <v>0</v>
      </c>
      <c r="E558" s="850">
        <f ca="1">IF(ISNUMBER('R4 Variations'!E558),+'R4 Variations'!E558*LU_Escalation,0)</f>
        <v>0</v>
      </c>
      <c r="F558" s="491">
        <f ca="1">IF(ISNUMBER('R4 Variations'!F558),+'R4 Variations'!F558*LU_Escalation,0)</f>
        <v>0</v>
      </c>
      <c r="G558" s="491">
        <f ca="1">IF(ISNUMBER('R4 Variations'!G558),+'R4 Variations'!G558*LU_Escalation,0)</f>
        <v>0</v>
      </c>
      <c r="H558" s="491">
        <f ca="1">IF(ISNUMBER('R4 Variations'!H558),+'R4 Variations'!H558*LU_Escalation,0)</f>
        <v>0</v>
      </c>
      <c r="I558" s="491">
        <f ca="1">IF(ISNUMBER('R4 Variations'!I558),+'R4 Variations'!I558*LU_Escalation,0)</f>
        <v>0</v>
      </c>
      <c r="J558" s="491">
        <f ca="1">IF(ISNUMBER('R4 Variations'!J558),+'R4 Variations'!J558*LU_Escalation,0)</f>
        <v>0</v>
      </c>
      <c r="K558" s="491">
        <f ca="1">IF(ISNUMBER('R4 Variations'!K558),+'R4 Variations'!K558*LU_Escalation,0)</f>
        <v>0</v>
      </c>
      <c r="L558" s="515" t="str">
        <f ca="1">+'R4 Variations'!L558</f>
        <v>Proposal Step Change</v>
      </c>
      <c r="M558" s="450" t="str">
        <f ca="1">+'R4 Variations'!M558</f>
        <v>Refer Opex Workings</v>
      </c>
      <c r="N558" s="450" t="str">
        <f ca="1">+'R4 Variations'!N558</f>
        <v>Proposal, October 2014</v>
      </c>
    </row>
    <row r="559" spans="1:14">
      <c r="A559" s="5"/>
      <c r="B559" s="249"/>
      <c r="C559" s="384" t="str">
        <f ca="1">+'R4 Variations'!C559</f>
        <v/>
      </c>
      <c r="D559" s="491">
        <f ca="1">IF(ISNUMBER('R4 Variations'!D559),+'R4 Variations'!D559*LU_Escalation,0)</f>
        <v>0</v>
      </c>
      <c r="E559" s="850">
        <f ca="1">IF(ISNUMBER('R4 Variations'!E559),+'R4 Variations'!E559*LU_Escalation,0)</f>
        <v>0</v>
      </c>
      <c r="F559" s="491">
        <f ca="1">IF(ISNUMBER('R4 Variations'!F559),+'R4 Variations'!F559*LU_Escalation,0)</f>
        <v>0</v>
      </c>
      <c r="G559" s="491">
        <f ca="1">IF(ISNUMBER('R4 Variations'!G559),+'R4 Variations'!G559*LU_Escalation,0)</f>
        <v>0</v>
      </c>
      <c r="H559" s="491">
        <f ca="1">IF(ISNUMBER('R4 Variations'!H559),+'R4 Variations'!H559*LU_Escalation,0)</f>
        <v>0</v>
      </c>
      <c r="I559" s="491">
        <f ca="1">IF(ISNUMBER('R4 Variations'!I559),+'R4 Variations'!I559*LU_Escalation,0)</f>
        <v>0</v>
      </c>
      <c r="J559" s="491">
        <f ca="1">IF(ISNUMBER('R4 Variations'!J559),+'R4 Variations'!J559*LU_Escalation,0)</f>
        <v>0</v>
      </c>
      <c r="K559" s="491">
        <f ca="1">IF(ISNUMBER('R4 Variations'!K559),+'R4 Variations'!K559*LU_Escalation,0)</f>
        <v>0</v>
      </c>
      <c r="L559" s="515" t="str">
        <f ca="1">+'R4 Variations'!L559</f>
        <v/>
      </c>
      <c r="M559" s="450" t="str">
        <f ca="1">+'R4 Variations'!M559</f>
        <v/>
      </c>
      <c r="N559" s="450" t="str">
        <f ca="1">+'R4 Variations'!N559</f>
        <v/>
      </c>
    </row>
    <row r="560" spans="1:14">
      <c r="A560" s="5"/>
      <c r="B560" s="249"/>
      <c r="C560" s="384" t="str">
        <f ca="1">+'R4 Variations'!C560</f>
        <v/>
      </c>
      <c r="D560" s="491">
        <f ca="1">IF(ISNUMBER('R4 Variations'!D560),+'R4 Variations'!D560*LU_Escalation,0)</f>
        <v>0</v>
      </c>
      <c r="E560" s="850">
        <f ca="1">IF(ISNUMBER('R4 Variations'!E560),+'R4 Variations'!E560*LU_Escalation,0)</f>
        <v>0</v>
      </c>
      <c r="F560" s="491">
        <f ca="1">IF(ISNUMBER('R4 Variations'!F560),+'R4 Variations'!F560*LU_Escalation,0)</f>
        <v>0</v>
      </c>
      <c r="G560" s="491">
        <f ca="1">IF(ISNUMBER('R4 Variations'!G560),+'R4 Variations'!G560*LU_Escalation,0)</f>
        <v>0</v>
      </c>
      <c r="H560" s="491">
        <f ca="1">IF(ISNUMBER('R4 Variations'!H560),+'R4 Variations'!H560*LU_Escalation,0)</f>
        <v>0</v>
      </c>
      <c r="I560" s="491">
        <f ca="1">IF(ISNUMBER('R4 Variations'!I560),+'R4 Variations'!I560*LU_Escalation,0)</f>
        <v>0</v>
      </c>
      <c r="J560" s="491">
        <f ca="1">IF(ISNUMBER('R4 Variations'!J560),+'R4 Variations'!J560*LU_Escalation,0)</f>
        <v>0</v>
      </c>
      <c r="K560" s="491">
        <f ca="1">IF(ISNUMBER('R4 Variations'!K560),+'R4 Variations'!K560*LU_Escalation,0)</f>
        <v>0</v>
      </c>
      <c r="L560" s="515" t="str">
        <f ca="1">+'R4 Variations'!L560</f>
        <v/>
      </c>
      <c r="M560" s="450" t="str">
        <f ca="1">+'R4 Variations'!M560</f>
        <v/>
      </c>
      <c r="N560" s="450" t="str">
        <f ca="1">+'R4 Variations'!N560</f>
        <v/>
      </c>
    </row>
    <row r="561" spans="1:14">
      <c r="A561" s="5"/>
      <c r="B561" s="249"/>
      <c r="C561" s="384" t="str">
        <f ca="1">+'R4 Variations'!C561</f>
        <v/>
      </c>
      <c r="D561" s="491">
        <f ca="1">IF(ISNUMBER('R4 Variations'!D561),+'R4 Variations'!D561*LU_Escalation,0)</f>
        <v>0</v>
      </c>
      <c r="E561" s="850">
        <f ca="1">IF(ISNUMBER('R4 Variations'!E561),+'R4 Variations'!E561*LU_Escalation,0)</f>
        <v>0</v>
      </c>
      <c r="F561" s="491">
        <f ca="1">IF(ISNUMBER('R4 Variations'!F561),+'R4 Variations'!F561*LU_Escalation,0)</f>
        <v>0</v>
      </c>
      <c r="G561" s="491">
        <f ca="1">IF(ISNUMBER('R4 Variations'!G561),+'R4 Variations'!G561*LU_Escalation,0)</f>
        <v>0</v>
      </c>
      <c r="H561" s="491">
        <f ca="1">IF(ISNUMBER('R4 Variations'!H561),+'R4 Variations'!H561*LU_Escalation,0)</f>
        <v>0</v>
      </c>
      <c r="I561" s="491">
        <f ca="1">IF(ISNUMBER('R4 Variations'!I561),+'R4 Variations'!I561*LU_Escalation,0)</f>
        <v>0</v>
      </c>
      <c r="J561" s="491">
        <f ca="1">IF(ISNUMBER('R4 Variations'!J561),+'R4 Variations'!J561*LU_Escalation,0)</f>
        <v>0</v>
      </c>
      <c r="K561" s="491">
        <f ca="1">IF(ISNUMBER('R4 Variations'!K561),+'R4 Variations'!K561*LU_Escalation,0)</f>
        <v>0</v>
      </c>
      <c r="L561" s="515" t="str">
        <f ca="1">+'R4 Variations'!L561</f>
        <v/>
      </c>
      <c r="M561" s="450" t="str">
        <f ca="1">+'R4 Variations'!M561</f>
        <v/>
      </c>
      <c r="N561" s="450" t="str">
        <f ca="1">+'R4 Variations'!N561</f>
        <v/>
      </c>
    </row>
    <row r="562" spans="1:14">
      <c r="A562" s="5"/>
      <c r="B562" s="249"/>
      <c r="C562" s="384" t="str">
        <f ca="1">+'R4 Variations'!C562</f>
        <v/>
      </c>
      <c r="D562" s="491">
        <f ca="1">IF(ISNUMBER('R4 Variations'!D562),+'R4 Variations'!D562*LU_Escalation,0)</f>
        <v>0</v>
      </c>
      <c r="E562" s="850">
        <f ca="1">IF(ISNUMBER('R4 Variations'!E562),+'R4 Variations'!E562*LU_Escalation,0)</f>
        <v>0</v>
      </c>
      <c r="F562" s="491">
        <f ca="1">IF(ISNUMBER('R4 Variations'!F562),+'R4 Variations'!F562*LU_Escalation,0)</f>
        <v>0</v>
      </c>
      <c r="G562" s="491">
        <f ca="1">IF(ISNUMBER('R4 Variations'!G562),+'R4 Variations'!G562*LU_Escalation,0)</f>
        <v>0</v>
      </c>
      <c r="H562" s="491">
        <f ca="1">IF(ISNUMBER('R4 Variations'!H562),+'R4 Variations'!H562*LU_Escalation,0)</f>
        <v>0</v>
      </c>
      <c r="I562" s="491">
        <f ca="1">IF(ISNUMBER('R4 Variations'!I562),+'R4 Variations'!I562*LU_Escalation,0)</f>
        <v>0</v>
      </c>
      <c r="J562" s="491">
        <f ca="1">IF(ISNUMBER('R4 Variations'!J562),+'R4 Variations'!J562*LU_Escalation,0)</f>
        <v>0</v>
      </c>
      <c r="K562" s="491">
        <f ca="1">IF(ISNUMBER('R4 Variations'!K562),+'R4 Variations'!K562*LU_Escalation,0)</f>
        <v>0</v>
      </c>
      <c r="L562" s="515" t="str">
        <f ca="1">+'R4 Variations'!L562</f>
        <v/>
      </c>
      <c r="M562" s="450" t="str">
        <f ca="1">+'R4 Variations'!M562</f>
        <v/>
      </c>
      <c r="N562" s="450" t="str">
        <f ca="1">+'R4 Variations'!N562</f>
        <v/>
      </c>
    </row>
    <row r="563" spans="1:14">
      <c r="A563" s="5"/>
      <c r="B563" s="249"/>
      <c r="C563" s="384" t="str">
        <f ca="1">+'R4 Variations'!C563</f>
        <v/>
      </c>
      <c r="D563" s="491">
        <f ca="1">IF(ISNUMBER('R4 Variations'!D563),+'R4 Variations'!D563*LU_Escalation,0)</f>
        <v>0</v>
      </c>
      <c r="E563" s="850">
        <f ca="1">IF(ISNUMBER('R4 Variations'!E563),+'R4 Variations'!E563*LU_Escalation,0)</f>
        <v>0</v>
      </c>
      <c r="F563" s="491">
        <f ca="1">IF(ISNUMBER('R4 Variations'!F563),+'R4 Variations'!F563*LU_Escalation,0)</f>
        <v>0</v>
      </c>
      <c r="G563" s="491">
        <f ca="1">IF(ISNUMBER('R4 Variations'!G563),+'R4 Variations'!G563*LU_Escalation,0)</f>
        <v>0</v>
      </c>
      <c r="H563" s="491">
        <f ca="1">IF(ISNUMBER('R4 Variations'!H563),+'R4 Variations'!H563*LU_Escalation,0)</f>
        <v>0</v>
      </c>
      <c r="I563" s="491">
        <f ca="1">IF(ISNUMBER('R4 Variations'!I563),+'R4 Variations'!I563*LU_Escalation,0)</f>
        <v>0</v>
      </c>
      <c r="J563" s="491">
        <f ca="1">IF(ISNUMBER('R4 Variations'!J563),+'R4 Variations'!J563*LU_Escalation,0)</f>
        <v>0</v>
      </c>
      <c r="K563" s="491">
        <f ca="1">IF(ISNUMBER('R4 Variations'!K563),+'R4 Variations'!K563*LU_Escalation,0)</f>
        <v>0</v>
      </c>
      <c r="L563" s="515" t="str">
        <f ca="1">+'R4 Variations'!L563</f>
        <v/>
      </c>
      <c r="M563" s="450" t="str">
        <f ca="1">+'R4 Variations'!M563</f>
        <v/>
      </c>
      <c r="N563" s="450" t="str">
        <f ca="1">+'R4 Variations'!N563</f>
        <v/>
      </c>
    </row>
    <row r="564" spans="1:14">
      <c r="A564" s="5"/>
      <c r="B564" s="249"/>
      <c r="C564" s="384" t="str">
        <f ca="1">+'R4 Variations'!C564</f>
        <v/>
      </c>
      <c r="D564" s="491">
        <f ca="1">IF(ISNUMBER('R4 Variations'!D564),+'R4 Variations'!D564*LU_Escalation,0)</f>
        <v>0</v>
      </c>
      <c r="E564" s="850">
        <f ca="1">IF(ISNUMBER('R4 Variations'!E564),+'R4 Variations'!E564*LU_Escalation,0)</f>
        <v>0</v>
      </c>
      <c r="F564" s="491">
        <f ca="1">IF(ISNUMBER('R4 Variations'!F564),+'R4 Variations'!F564*LU_Escalation,0)</f>
        <v>0</v>
      </c>
      <c r="G564" s="491">
        <f ca="1">IF(ISNUMBER('R4 Variations'!G564),+'R4 Variations'!G564*LU_Escalation,0)</f>
        <v>0</v>
      </c>
      <c r="H564" s="491">
        <f ca="1">IF(ISNUMBER('R4 Variations'!H564),+'R4 Variations'!H564*LU_Escalation,0)</f>
        <v>0</v>
      </c>
      <c r="I564" s="491">
        <f ca="1">IF(ISNUMBER('R4 Variations'!I564),+'R4 Variations'!I564*LU_Escalation,0)</f>
        <v>0</v>
      </c>
      <c r="J564" s="491">
        <f ca="1">IF(ISNUMBER('R4 Variations'!J564),+'R4 Variations'!J564*LU_Escalation,0)</f>
        <v>0</v>
      </c>
      <c r="K564" s="491">
        <f ca="1">IF(ISNUMBER('R4 Variations'!K564),+'R4 Variations'!K564*LU_Escalation,0)</f>
        <v>0</v>
      </c>
      <c r="L564" s="515" t="str">
        <f ca="1">+'R4 Variations'!L564</f>
        <v/>
      </c>
      <c r="M564" s="450" t="str">
        <f ca="1">+'R4 Variations'!M564</f>
        <v/>
      </c>
      <c r="N564" s="450" t="str">
        <f ca="1">+'R4 Variations'!N564</f>
        <v/>
      </c>
    </row>
    <row r="565" spans="1:14">
      <c r="A565" s="5"/>
      <c r="B565" s="249"/>
      <c r="C565" s="384" t="str">
        <f ca="1">+'R4 Variations'!C565</f>
        <v/>
      </c>
      <c r="D565" s="491">
        <f ca="1">IF(ISNUMBER('R4 Variations'!D565),+'R4 Variations'!D565*LU_Escalation,0)</f>
        <v>0</v>
      </c>
      <c r="E565" s="850">
        <f ca="1">IF(ISNUMBER('R4 Variations'!E565),+'R4 Variations'!E565*LU_Escalation,0)</f>
        <v>0</v>
      </c>
      <c r="F565" s="491">
        <f ca="1">IF(ISNUMBER('R4 Variations'!F565),+'R4 Variations'!F565*LU_Escalation,0)</f>
        <v>0</v>
      </c>
      <c r="G565" s="491">
        <f ca="1">IF(ISNUMBER('R4 Variations'!G565),+'R4 Variations'!G565*LU_Escalation,0)</f>
        <v>0</v>
      </c>
      <c r="H565" s="491">
        <f ca="1">IF(ISNUMBER('R4 Variations'!H565),+'R4 Variations'!H565*LU_Escalation,0)</f>
        <v>0</v>
      </c>
      <c r="I565" s="491">
        <f ca="1">IF(ISNUMBER('R4 Variations'!I565),+'R4 Variations'!I565*LU_Escalation,0)</f>
        <v>0</v>
      </c>
      <c r="J565" s="491">
        <f ca="1">IF(ISNUMBER('R4 Variations'!J565),+'R4 Variations'!J565*LU_Escalation,0)</f>
        <v>0</v>
      </c>
      <c r="K565" s="491">
        <f ca="1">IF(ISNUMBER('R4 Variations'!K565),+'R4 Variations'!K565*LU_Escalation,0)</f>
        <v>0</v>
      </c>
      <c r="L565" s="515" t="str">
        <f ca="1">+'R4 Variations'!L565</f>
        <v/>
      </c>
      <c r="M565" s="450" t="str">
        <f ca="1">+'R4 Variations'!M565</f>
        <v/>
      </c>
      <c r="N565" s="450" t="str">
        <f ca="1">+'R4 Variations'!N565</f>
        <v/>
      </c>
    </row>
    <row r="566" spans="1:14">
      <c r="A566" s="5"/>
      <c r="B566" s="249"/>
      <c r="C566" s="384" t="str">
        <f ca="1">+'R4 Variations'!C566</f>
        <v/>
      </c>
      <c r="D566" s="491">
        <f ca="1">IF(ISNUMBER('R4 Variations'!D566),+'R4 Variations'!D566*LU_Escalation,0)</f>
        <v>0</v>
      </c>
      <c r="E566" s="850">
        <f ca="1">IF(ISNUMBER('R4 Variations'!E566),+'R4 Variations'!E566*LU_Escalation,0)</f>
        <v>0</v>
      </c>
      <c r="F566" s="491">
        <f ca="1">IF(ISNUMBER('R4 Variations'!F566),+'R4 Variations'!F566*LU_Escalation,0)</f>
        <v>0</v>
      </c>
      <c r="G566" s="491">
        <f ca="1">IF(ISNUMBER('R4 Variations'!G566),+'R4 Variations'!G566*LU_Escalation,0)</f>
        <v>0</v>
      </c>
      <c r="H566" s="491">
        <f ca="1">IF(ISNUMBER('R4 Variations'!H566),+'R4 Variations'!H566*LU_Escalation,0)</f>
        <v>0</v>
      </c>
      <c r="I566" s="491">
        <f ca="1">IF(ISNUMBER('R4 Variations'!I566),+'R4 Variations'!I566*LU_Escalation,0)</f>
        <v>0</v>
      </c>
      <c r="J566" s="491">
        <f ca="1">IF(ISNUMBER('R4 Variations'!J566),+'R4 Variations'!J566*LU_Escalation,0)</f>
        <v>0</v>
      </c>
      <c r="K566" s="491">
        <f ca="1">IF(ISNUMBER('R4 Variations'!K566),+'R4 Variations'!K566*LU_Escalation,0)</f>
        <v>0</v>
      </c>
      <c r="L566" s="515" t="str">
        <f ca="1">+'R4 Variations'!L566</f>
        <v/>
      </c>
      <c r="M566" s="450" t="str">
        <f ca="1">+'R4 Variations'!M566</f>
        <v/>
      </c>
      <c r="N566" s="450" t="str">
        <f ca="1">+'R4 Variations'!N566</f>
        <v/>
      </c>
    </row>
    <row r="567" spans="1:14">
      <c r="A567" s="5"/>
      <c r="B567" s="249"/>
      <c r="C567" s="384" t="str">
        <f ca="1">+'R4 Variations'!C567</f>
        <v/>
      </c>
      <c r="D567" s="491">
        <f ca="1">IF(ISNUMBER('R4 Variations'!D567),+'R4 Variations'!D567*LU_Escalation,0)</f>
        <v>0</v>
      </c>
      <c r="E567" s="850">
        <f ca="1">IF(ISNUMBER('R4 Variations'!E567),+'R4 Variations'!E567*LU_Escalation,0)</f>
        <v>0</v>
      </c>
      <c r="F567" s="491">
        <f ca="1">IF(ISNUMBER('R4 Variations'!F567),+'R4 Variations'!F567*LU_Escalation,0)</f>
        <v>0</v>
      </c>
      <c r="G567" s="491">
        <f ca="1">IF(ISNUMBER('R4 Variations'!G567),+'R4 Variations'!G567*LU_Escalation,0)</f>
        <v>0</v>
      </c>
      <c r="H567" s="491">
        <f ca="1">IF(ISNUMBER('R4 Variations'!H567),+'R4 Variations'!H567*LU_Escalation,0)</f>
        <v>0</v>
      </c>
      <c r="I567" s="491">
        <f ca="1">IF(ISNUMBER('R4 Variations'!I567),+'R4 Variations'!I567*LU_Escalation,0)</f>
        <v>0</v>
      </c>
      <c r="J567" s="491">
        <f ca="1">IF(ISNUMBER('R4 Variations'!J567),+'R4 Variations'!J567*LU_Escalation,0)</f>
        <v>0</v>
      </c>
      <c r="K567" s="491">
        <f ca="1">IF(ISNUMBER('R4 Variations'!K567),+'R4 Variations'!K567*LU_Escalation,0)</f>
        <v>0</v>
      </c>
      <c r="L567" s="515" t="str">
        <f ca="1">+'R4 Variations'!L567</f>
        <v/>
      </c>
      <c r="M567" s="450" t="str">
        <f ca="1">+'R4 Variations'!M567</f>
        <v/>
      </c>
      <c r="N567" s="450" t="str">
        <f ca="1">+'R4 Variations'!N567</f>
        <v/>
      </c>
    </row>
    <row r="568" spans="1:14">
      <c r="A568" s="5"/>
      <c r="B568" s="249"/>
      <c r="C568" s="12"/>
      <c r="D568" s="491"/>
      <c r="E568" s="508"/>
      <c r="F568" s="491"/>
      <c r="G568" s="492"/>
      <c r="H568" s="492"/>
      <c r="I568" s="492"/>
      <c r="J568" s="492"/>
      <c r="K568" s="508"/>
      <c r="L568" s="515"/>
      <c r="M568" s="450"/>
      <c r="N568" s="450"/>
    </row>
    <row r="569" spans="1:14">
      <c r="A569" s="5"/>
      <c r="B569" s="249" t="str">
        <f ca="1">+'I-4 History'!B426</f>
        <v>A-23</v>
      </c>
      <c r="C569" s="14" t="str">
        <f ca="1">+'I-4 History'!C426</f>
        <v>Information Technology</v>
      </c>
      <c r="D569" s="491"/>
      <c r="E569" s="508"/>
      <c r="F569" s="491"/>
      <c r="G569" s="492"/>
      <c r="H569" s="492"/>
      <c r="I569" s="492"/>
      <c r="J569" s="492"/>
      <c r="K569" s="508"/>
      <c r="L569" s="515"/>
      <c r="M569" s="450"/>
      <c r="N569" s="450"/>
    </row>
    <row r="570" spans="1:14">
      <c r="A570" s="5"/>
      <c r="B570" s="249"/>
      <c r="C570" s="384" t="str">
        <f ca="1">+'R4 Variations'!C570</f>
        <v>Step Change</v>
      </c>
      <c r="D570" s="491">
        <f ca="1">IF(ISNUMBER('R4 Variations'!D570),+'R4 Variations'!D570*LU_Escalation,0)</f>
        <v>0</v>
      </c>
      <c r="E570" s="850">
        <f ca="1">IF(ISNUMBER('R4 Variations'!E570),+'R4 Variations'!E570*LU_Escalation,0)</f>
        <v>0</v>
      </c>
      <c r="F570" s="491">
        <f ca="1">IF(ISNUMBER('R4 Variations'!F570),+'R4 Variations'!F570*LU_Escalation,0)</f>
        <v>1.8740000000000001</v>
      </c>
      <c r="G570" s="491">
        <f ca="1">IF(ISNUMBER('R4 Variations'!G570),+'R4 Variations'!G570*LU_Escalation,0)</f>
        <v>2.7983091923076926</v>
      </c>
      <c r="H570" s="491">
        <f ca="1">IF(ISNUMBER('R4 Variations'!H570),+'R4 Variations'!H570*LU_Escalation,0)</f>
        <v>3.1539125769230774</v>
      </c>
      <c r="I570" s="491">
        <f ca="1">IF(ISNUMBER('R4 Variations'!I570),+'R4 Variations'!I570*LU_Escalation,0)</f>
        <v>4.3582089230769236</v>
      </c>
      <c r="J570" s="491">
        <f ca="1">IF(ISNUMBER('R4 Variations'!J570),+'R4 Variations'!J570*LU_Escalation,0)</f>
        <v>4.5132685384615385</v>
      </c>
      <c r="K570" s="491">
        <f ca="1">IF(ISNUMBER('R4 Variations'!K570),+'R4 Variations'!K570*LU_Escalation,0)</f>
        <v>4.5701237307692315</v>
      </c>
      <c r="L570" s="515" t="str">
        <f ca="1">+'R4 Variations'!L570</f>
        <v>Proposal Step Change</v>
      </c>
      <c r="M570" s="450" t="str">
        <f ca="1">+'R4 Variations'!M570</f>
        <v>Refer Opex Workings</v>
      </c>
      <c r="N570" s="450" t="str">
        <f ca="1">+'R4 Variations'!N570</f>
        <v>Proposal, October 2014</v>
      </c>
    </row>
    <row r="571" spans="1:14">
      <c r="A571" s="5"/>
      <c r="B571" s="249"/>
      <c r="C571" s="384" t="str">
        <f ca="1">+'R4 Variations'!C571</f>
        <v/>
      </c>
      <c r="D571" s="491">
        <f ca="1">IF(ISNUMBER('R4 Variations'!D571),+'R4 Variations'!D571*LU_Escalation,0)</f>
        <v>0</v>
      </c>
      <c r="E571" s="850">
        <f ca="1">IF(ISNUMBER('R4 Variations'!E571),+'R4 Variations'!E571*LU_Escalation,0)</f>
        <v>0</v>
      </c>
      <c r="F571" s="491">
        <f ca="1">IF(ISNUMBER('R4 Variations'!F571),+'R4 Variations'!F571*LU_Escalation,0)</f>
        <v>0</v>
      </c>
      <c r="G571" s="491">
        <f ca="1">IF(ISNUMBER('R4 Variations'!G571),+'R4 Variations'!G571*LU_Escalation,0)</f>
        <v>0</v>
      </c>
      <c r="H571" s="491">
        <f ca="1">IF(ISNUMBER('R4 Variations'!H571),+'R4 Variations'!H571*LU_Escalation,0)</f>
        <v>0</v>
      </c>
      <c r="I571" s="491">
        <f ca="1">IF(ISNUMBER('R4 Variations'!I571),+'R4 Variations'!I571*LU_Escalation,0)</f>
        <v>0</v>
      </c>
      <c r="J571" s="491">
        <f ca="1">IF(ISNUMBER('R4 Variations'!J571),+'R4 Variations'!J571*LU_Escalation,0)</f>
        <v>0</v>
      </c>
      <c r="K571" s="491">
        <f ca="1">IF(ISNUMBER('R4 Variations'!K571),+'R4 Variations'!K571*LU_Escalation,0)</f>
        <v>0</v>
      </c>
      <c r="L571" s="515" t="str">
        <f ca="1">+'R4 Variations'!L571</f>
        <v/>
      </c>
      <c r="M571" s="450" t="str">
        <f ca="1">+'R4 Variations'!M571</f>
        <v/>
      </c>
      <c r="N571" s="450" t="str">
        <f ca="1">+'R4 Variations'!N571</f>
        <v/>
      </c>
    </row>
    <row r="572" spans="1:14">
      <c r="A572" s="5"/>
      <c r="B572" s="249"/>
      <c r="C572" s="384" t="str">
        <f ca="1">+'R4 Variations'!C572</f>
        <v/>
      </c>
      <c r="D572" s="491">
        <f ca="1">IF(ISNUMBER('R4 Variations'!D572),+'R4 Variations'!D572*LU_Escalation,0)</f>
        <v>0</v>
      </c>
      <c r="E572" s="850">
        <f ca="1">IF(ISNUMBER('R4 Variations'!E572),+'R4 Variations'!E572*LU_Escalation,0)</f>
        <v>0</v>
      </c>
      <c r="F572" s="491">
        <f ca="1">IF(ISNUMBER('R4 Variations'!F572),+'R4 Variations'!F572*LU_Escalation,0)</f>
        <v>0</v>
      </c>
      <c r="G572" s="491">
        <f ca="1">IF(ISNUMBER('R4 Variations'!G572),+'R4 Variations'!G572*LU_Escalation,0)</f>
        <v>0</v>
      </c>
      <c r="H572" s="491">
        <f ca="1">IF(ISNUMBER('R4 Variations'!H572),+'R4 Variations'!H572*LU_Escalation,0)</f>
        <v>0</v>
      </c>
      <c r="I572" s="491">
        <f ca="1">IF(ISNUMBER('R4 Variations'!I572),+'R4 Variations'!I572*LU_Escalation,0)</f>
        <v>0</v>
      </c>
      <c r="J572" s="491">
        <f ca="1">IF(ISNUMBER('R4 Variations'!J572),+'R4 Variations'!J572*LU_Escalation,0)</f>
        <v>0</v>
      </c>
      <c r="K572" s="491">
        <f ca="1">IF(ISNUMBER('R4 Variations'!K572),+'R4 Variations'!K572*LU_Escalation,0)</f>
        <v>0</v>
      </c>
      <c r="L572" s="515" t="str">
        <f ca="1">+'R4 Variations'!L572</f>
        <v/>
      </c>
      <c r="M572" s="450" t="str">
        <f ca="1">+'R4 Variations'!M572</f>
        <v/>
      </c>
      <c r="N572" s="450" t="str">
        <f ca="1">+'R4 Variations'!N572</f>
        <v/>
      </c>
    </row>
    <row r="573" spans="1:14">
      <c r="A573" s="5"/>
      <c r="B573" s="249"/>
      <c r="C573" s="384" t="str">
        <f ca="1">+'R4 Variations'!C573</f>
        <v/>
      </c>
      <c r="D573" s="491">
        <f ca="1">IF(ISNUMBER('R4 Variations'!D573),+'R4 Variations'!D573*LU_Escalation,0)</f>
        <v>0</v>
      </c>
      <c r="E573" s="850">
        <f ca="1">IF(ISNUMBER('R4 Variations'!E573),+'R4 Variations'!E573*LU_Escalation,0)</f>
        <v>0</v>
      </c>
      <c r="F573" s="491">
        <f ca="1">IF(ISNUMBER('R4 Variations'!F573),+'R4 Variations'!F573*LU_Escalation,0)</f>
        <v>0</v>
      </c>
      <c r="G573" s="491">
        <f ca="1">IF(ISNUMBER('R4 Variations'!G573),+'R4 Variations'!G573*LU_Escalation,0)</f>
        <v>0</v>
      </c>
      <c r="H573" s="491">
        <f ca="1">IF(ISNUMBER('R4 Variations'!H573),+'R4 Variations'!H573*LU_Escalation,0)</f>
        <v>0</v>
      </c>
      <c r="I573" s="491">
        <f ca="1">IF(ISNUMBER('R4 Variations'!I573),+'R4 Variations'!I573*LU_Escalation,0)</f>
        <v>0</v>
      </c>
      <c r="J573" s="491">
        <f ca="1">IF(ISNUMBER('R4 Variations'!J573),+'R4 Variations'!J573*LU_Escalation,0)</f>
        <v>0</v>
      </c>
      <c r="K573" s="491">
        <f ca="1">IF(ISNUMBER('R4 Variations'!K573),+'R4 Variations'!K573*LU_Escalation,0)</f>
        <v>0</v>
      </c>
      <c r="L573" s="515" t="str">
        <f ca="1">+'R4 Variations'!L573</f>
        <v/>
      </c>
      <c r="M573" s="450" t="str">
        <f ca="1">+'R4 Variations'!M573</f>
        <v/>
      </c>
      <c r="N573" s="450" t="str">
        <f ca="1">+'R4 Variations'!N573</f>
        <v/>
      </c>
    </row>
    <row r="574" spans="1:14">
      <c r="A574" s="5"/>
      <c r="B574" s="249"/>
      <c r="C574" s="384" t="str">
        <f ca="1">+'R4 Variations'!C574</f>
        <v/>
      </c>
      <c r="D574" s="491">
        <f ca="1">IF(ISNUMBER('R4 Variations'!D574),+'R4 Variations'!D574*LU_Escalation,0)</f>
        <v>0</v>
      </c>
      <c r="E574" s="850">
        <f ca="1">IF(ISNUMBER('R4 Variations'!E574),+'R4 Variations'!E574*LU_Escalation,0)</f>
        <v>0</v>
      </c>
      <c r="F574" s="491">
        <f ca="1">IF(ISNUMBER('R4 Variations'!F574),+'R4 Variations'!F574*LU_Escalation,0)</f>
        <v>0</v>
      </c>
      <c r="G574" s="491">
        <f ca="1">IF(ISNUMBER('R4 Variations'!G574),+'R4 Variations'!G574*LU_Escalation,0)</f>
        <v>0</v>
      </c>
      <c r="H574" s="491">
        <f ca="1">IF(ISNUMBER('R4 Variations'!H574),+'R4 Variations'!H574*LU_Escalation,0)</f>
        <v>0</v>
      </c>
      <c r="I574" s="491">
        <f ca="1">IF(ISNUMBER('R4 Variations'!I574),+'R4 Variations'!I574*LU_Escalation,0)</f>
        <v>0</v>
      </c>
      <c r="J574" s="491">
        <f ca="1">IF(ISNUMBER('R4 Variations'!J574),+'R4 Variations'!J574*LU_Escalation,0)</f>
        <v>0</v>
      </c>
      <c r="K574" s="491">
        <f ca="1">IF(ISNUMBER('R4 Variations'!K574),+'R4 Variations'!K574*LU_Escalation,0)</f>
        <v>0</v>
      </c>
      <c r="L574" s="515" t="str">
        <f ca="1">+'R4 Variations'!L574</f>
        <v/>
      </c>
      <c r="M574" s="450" t="str">
        <f ca="1">+'R4 Variations'!M574</f>
        <v/>
      </c>
      <c r="N574" s="450" t="str">
        <f ca="1">+'R4 Variations'!N574</f>
        <v/>
      </c>
    </row>
    <row r="575" spans="1:14">
      <c r="A575" s="5"/>
      <c r="B575" s="249"/>
      <c r="C575" s="384" t="str">
        <f ca="1">+'R4 Variations'!C575</f>
        <v/>
      </c>
      <c r="D575" s="491">
        <f ca="1">IF(ISNUMBER('R4 Variations'!D575),+'R4 Variations'!D575*LU_Escalation,0)</f>
        <v>0</v>
      </c>
      <c r="E575" s="850">
        <f ca="1">IF(ISNUMBER('R4 Variations'!E575),+'R4 Variations'!E575*LU_Escalation,0)</f>
        <v>0</v>
      </c>
      <c r="F575" s="491">
        <f ca="1">IF(ISNUMBER('R4 Variations'!F575),+'R4 Variations'!F575*LU_Escalation,0)</f>
        <v>0</v>
      </c>
      <c r="G575" s="491">
        <f ca="1">IF(ISNUMBER('R4 Variations'!G575),+'R4 Variations'!G575*LU_Escalation,0)</f>
        <v>0</v>
      </c>
      <c r="H575" s="491">
        <f ca="1">IF(ISNUMBER('R4 Variations'!H575),+'R4 Variations'!H575*LU_Escalation,0)</f>
        <v>0</v>
      </c>
      <c r="I575" s="491">
        <f ca="1">IF(ISNUMBER('R4 Variations'!I575),+'R4 Variations'!I575*LU_Escalation,0)</f>
        <v>0</v>
      </c>
      <c r="J575" s="491">
        <f ca="1">IF(ISNUMBER('R4 Variations'!J575),+'R4 Variations'!J575*LU_Escalation,0)</f>
        <v>0</v>
      </c>
      <c r="K575" s="491">
        <f ca="1">IF(ISNUMBER('R4 Variations'!K575),+'R4 Variations'!K575*LU_Escalation,0)</f>
        <v>0</v>
      </c>
      <c r="L575" s="515" t="str">
        <f ca="1">+'R4 Variations'!L575</f>
        <v/>
      </c>
      <c r="M575" s="450" t="str">
        <f ca="1">+'R4 Variations'!M575</f>
        <v/>
      </c>
      <c r="N575" s="450" t="str">
        <f ca="1">+'R4 Variations'!N575</f>
        <v/>
      </c>
    </row>
    <row r="576" spans="1:14">
      <c r="A576" s="5"/>
      <c r="B576" s="249"/>
      <c r="C576" s="384" t="str">
        <f ca="1">+'R4 Variations'!C576</f>
        <v/>
      </c>
      <c r="D576" s="491">
        <f ca="1">IF(ISNUMBER('R4 Variations'!D576),+'R4 Variations'!D576*LU_Escalation,0)</f>
        <v>0</v>
      </c>
      <c r="E576" s="850">
        <f ca="1">IF(ISNUMBER('R4 Variations'!E576),+'R4 Variations'!E576*LU_Escalation,0)</f>
        <v>0</v>
      </c>
      <c r="F576" s="491">
        <f ca="1">IF(ISNUMBER('R4 Variations'!F576),+'R4 Variations'!F576*LU_Escalation,0)</f>
        <v>0</v>
      </c>
      <c r="G576" s="491">
        <f ca="1">IF(ISNUMBER('R4 Variations'!G576),+'R4 Variations'!G576*LU_Escalation,0)</f>
        <v>0</v>
      </c>
      <c r="H576" s="491">
        <f ca="1">IF(ISNUMBER('R4 Variations'!H576),+'R4 Variations'!H576*LU_Escalation,0)</f>
        <v>0</v>
      </c>
      <c r="I576" s="491">
        <f ca="1">IF(ISNUMBER('R4 Variations'!I576),+'R4 Variations'!I576*LU_Escalation,0)</f>
        <v>0</v>
      </c>
      <c r="J576" s="491">
        <f ca="1">IF(ISNUMBER('R4 Variations'!J576),+'R4 Variations'!J576*LU_Escalation,0)</f>
        <v>0</v>
      </c>
      <c r="K576" s="491">
        <f ca="1">IF(ISNUMBER('R4 Variations'!K576),+'R4 Variations'!K576*LU_Escalation,0)</f>
        <v>0</v>
      </c>
      <c r="L576" s="515" t="str">
        <f ca="1">+'R4 Variations'!L576</f>
        <v/>
      </c>
      <c r="M576" s="450" t="str">
        <f ca="1">+'R4 Variations'!M576</f>
        <v/>
      </c>
      <c r="N576" s="450" t="str">
        <f ca="1">+'R4 Variations'!N576</f>
        <v/>
      </c>
    </row>
    <row r="577" spans="1:14">
      <c r="A577" s="5"/>
      <c r="B577" s="249"/>
      <c r="C577" s="384" t="str">
        <f ca="1">+'R4 Variations'!C577</f>
        <v/>
      </c>
      <c r="D577" s="491">
        <f ca="1">IF(ISNUMBER('R4 Variations'!D577),+'R4 Variations'!D577*LU_Escalation,0)</f>
        <v>0</v>
      </c>
      <c r="E577" s="850">
        <f ca="1">IF(ISNUMBER('R4 Variations'!E577),+'R4 Variations'!E577*LU_Escalation,0)</f>
        <v>0</v>
      </c>
      <c r="F577" s="491">
        <f ca="1">IF(ISNUMBER('R4 Variations'!F577),+'R4 Variations'!F577*LU_Escalation,0)</f>
        <v>0</v>
      </c>
      <c r="G577" s="491">
        <f ca="1">IF(ISNUMBER('R4 Variations'!G577),+'R4 Variations'!G577*LU_Escalation,0)</f>
        <v>0</v>
      </c>
      <c r="H577" s="491">
        <f ca="1">IF(ISNUMBER('R4 Variations'!H577),+'R4 Variations'!H577*LU_Escalation,0)</f>
        <v>0</v>
      </c>
      <c r="I577" s="491">
        <f ca="1">IF(ISNUMBER('R4 Variations'!I577),+'R4 Variations'!I577*LU_Escalation,0)</f>
        <v>0</v>
      </c>
      <c r="J577" s="491">
        <f ca="1">IF(ISNUMBER('R4 Variations'!J577),+'R4 Variations'!J577*LU_Escalation,0)</f>
        <v>0</v>
      </c>
      <c r="K577" s="491">
        <f ca="1">IF(ISNUMBER('R4 Variations'!K577),+'R4 Variations'!K577*LU_Escalation,0)</f>
        <v>0</v>
      </c>
      <c r="L577" s="515" t="str">
        <f ca="1">+'R4 Variations'!L577</f>
        <v/>
      </c>
      <c r="M577" s="450" t="str">
        <f ca="1">+'R4 Variations'!M577</f>
        <v/>
      </c>
      <c r="N577" s="450" t="str">
        <f ca="1">+'R4 Variations'!N577</f>
        <v/>
      </c>
    </row>
    <row r="578" spans="1:14">
      <c r="A578" s="5"/>
      <c r="B578" s="249"/>
      <c r="C578" s="384" t="str">
        <f ca="1">+'R4 Variations'!C578</f>
        <v/>
      </c>
      <c r="D578" s="491">
        <f ca="1">IF(ISNUMBER('R4 Variations'!D578),+'R4 Variations'!D578*LU_Escalation,0)</f>
        <v>0</v>
      </c>
      <c r="E578" s="850">
        <f ca="1">IF(ISNUMBER('R4 Variations'!E578),+'R4 Variations'!E578*LU_Escalation,0)</f>
        <v>0</v>
      </c>
      <c r="F578" s="491">
        <f ca="1">IF(ISNUMBER('R4 Variations'!F578),+'R4 Variations'!F578*LU_Escalation,0)</f>
        <v>0</v>
      </c>
      <c r="G578" s="491">
        <f ca="1">IF(ISNUMBER('R4 Variations'!G578),+'R4 Variations'!G578*LU_Escalation,0)</f>
        <v>0</v>
      </c>
      <c r="H578" s="491">
        <f ca="1">IF(ISNUMBER('R4 Variations'!H578),+'R4 Variations'!H578*LU_Escalation,0)</f>
        <v>0</v>
      </c>
      <c r="I578" s="491">
        <f ca="1">IF(ISNUMBER('R4 Variations'!I578),+'R4 Variations'!I578*LU_Escalation,0)</f>
        <v>0</v>
      </c>
      <c r="J578" s="491">
        <f ca="1">IF(ISNUMBER('R4 Variations'!J578),+'R4 Variations'!J578*LU_Escalation,0)</f>
        <v>0</v>
      </c>
      <c r="K578" s="491">
        <f ca="1">IF(ISNUMBER('R4 Variations'!K578),+'R4 Variations'!K578*LU_Escalation,0)</f>
        <v>0</v>
      </c>
      <c r="L578" s="515" t="str">
        <f ca="1">+'R4 Variations'!L578</f>
        <v/>
      </c>
      <c r="M578" s="450" t="str">
        <f ca="1">+'R4 Variations'!M578</f>
        <v/>
      </c>
      <c r="N578" s="450" t="str">
        <f ca="1">+'R4 Variations'!N578</f>
        <v/>
      </c>
    </row>
    <row r="579" spans="1:14">
      <c r="A579" s="5"/>
      <c r="B579" s="249"/>
      <c r="C579" s="384" t="str">
        <f ca="1">+'R4 Variations'!C579</f>
        <v/>
      </c>
      <c r="D579" s="491">
        <f ca="1">IF(ISNUMBER('R4 Variations'!D579),+'R4 Variations'!D579*LU_Escalation,0)</f>
        <v>0</v>
      </c>
      <c r="E579" s="850">
        <f ca="1">IF(ISNUMBER('R4 Variations'!E579),+'R4 Variations'!E579*LU_Escalation,0)</f>
        <v>0</v>
      </c>
      <c r="F579" s="491">
        <f ca="1">IF(ISNUMBER('R4 Variations'!F579),+'R4 Variations'!F579*LU_Escalation,0)</f>
        <v>0</v>
      </c>
      <c r="G579" s="491">
        <f ca="1">IF(ISNUMBER('R4 Variations'!G579),+'R4 Variations'!G579*LU_Escalation,0)</f>
        <v>0</v>
      </c>
      <c r="H579" s="491">
        <f ca="1">IF(ISNUMBER('R4 Variations'!H579),+'R4 Variations'!H579*LU_Escalation,0)</f>
        <v>0</v>
      </c>
      <c r="I579" s="491">
        <f ca="1">IF(ISNUMBER('R4 Variations'!I579),+'R4 Variations'!I579*LU_Escalation,0)</f>
        <v>0</v>
      </c>
      <c r="J579" s="491">
        <f ca="1">IF(ISNUMBER('R4 Variations'!J579),+'R4 Variations'!J579*LU_Escalation,0)</f>
        <v>0</v>
      </c>
      <c r="K579" s="491">
        <f ca="1">IF(ISNUMBER('R4 Variations'!K579),+'R4 Variations'!K579*LU_Escalation,0)</f>
        <v>0</v>
      </c>
      <c r="L579" s="515" t="str">
        <f ca="1">+'R4 Variations'!L579</f>
        <v/>
      </c>
      <c r="M579" s="450" t="str">
        <f ca="1">+'R4 Variations'!M579</f>
        <v/>
      </c>
      <c r="N579" s="450" t="str">
        <f ca="1">+'R4 Variations'!N579</f>
        <v/>
      </c>
    </row>
    <row r="580" spans="1:14">
      <c r="A580" s="5"/>
      <c r="B580" s="249"/>
      <c r="C580" s="12"/>
      <c r="D580" s="491"/>
      <c r="E580" s="508"/>
      <c r="F580" s="491"/>
      <c r="G580" s="492"/>
      <c r="H580" s="492"/>
      <c r="I580" s="492"/>
      <c r="J580" s="492"/>
      <c r="K580" s="508"/>
      <c r="L580" s="515"/>
      <c r="M580" s="450"/>
      <c r="N580" s="450"/>
    </row>
    <row r="581" spans="1:14">
      <c r="A581" s="5"/>
      <c r="B581" s="249" t="str">
        <f ca="1">+'I-4 History'!B435</f>
        <v>A-24</v>
      </c>
      <c r="C581" s="14" t="str">
        <f ca="1">+'I-4 History'!C435</f>
        <v>Property – Offices and Depots</v>
      </c>
      <c r="D581" s="491"/>
      <c r="E581" s="508"/>
      <c r="F581" s="491"/>
      <c r="G581" s="492"/>
      <c r="H581" s="492"/>
      <c r="I581" s="492"/>
      <c r="J581" s="492"/>
      <c r="K581" s="508"/>
      <c r="L581" s="515"/>
      <c r="M581" s="450"/>
      <c r="N581" s="450"/>
    </row>
    <row r="582" spans="1:14">
      <c r="A582" s="5"/>
      <c r="B582" s="249"/>
      <c r="C582" s="384" t="str">
        <f ca="1">+'R4 Variations'!C582</f>
        <v>Step Change</v>
      </c>
      <c r="D582" s="491">
        <f ca="1">IF(ISNUMBER('R4 Variations'!D582),+'R4 Variations'!D582*LU_Escalation,0)</f>
        <v>0</v>
      </c>
      <c r="E582" s="850">
        <f ca="1">IF(ISNUMBER('R4 Variations'!E582),+'R4 Variations'!E582*LU_Escalation,0)</f>
        <v>0</v>
      </c>
      <c r="F582" s="491">
        <f ca="1">IF(ISNUMBER('R4 Variations'!F582),+'R4 Variations'!F582*LU_Escalation,0)</f>
        <v>0</v>
      </c>
      <c r="G582" s="491">
        <f ca="1">IF(ISNUMBER('R4 Variations'!G582),+'R4 Variations'!G582*LU_Escalation,0)</f>
        <v>0</v>
      </c>
      <c r="H582" s="491">
        <f ca="1">IF(ISNUMBER('R4 Variations'!H582),+'R4 Variations'!H582*LU_Escalation,0)</f>
        <v>0</v>
      </c>
      <c r="I582" s="491">
        <f ca="1">IF(ISNUMBER('R4 Variations'!I582),+'R4 Variations'!I582*LU_Escalation,0)</f>
        <v>0</v>
      </c>
      <c r="J582" s="491">
        <f ca="1">IF(ISNUMBER('R4 Variations'!J582),+'R4 Variations'!J582*LU_Escalation,0)</f>
        <v>0</v>
      </c>
      <c r="K582" s="491">
        <f ca="1">IF(ISNUMBER('R4 Variations'!K582),+'R4 Variations'!K582*LU_Escalation,0)</f>
        <v>0</v>
      </c>
      <c r="L582" s="515" t="str">
        <f ca="1">+'R4 Variations'!L582</f>
        <v>Proposal Step Change</v>
      </c>
      <c r="M582" s="450" t="str">
        <f ca="1">+'R4 Variations'!M582</f>
        <v>Refer Opex Workings</v>
      </c>
      <c r="N582" s="450" t="str">
        <f ca="1">+'R4 Variations'!N582</f>
        <v>Proposal, October 2014</v>
      </c>
    </row>
    <row r="583" spans="1:14">
      <c r="A583" s="5"/>
      <c r="B583" s="249"/>
      <c r="C583" s="384" t="str">
        <f ca="1">+'R4 Variations'!C583</f>
        <v/>
      </c>
      <c r="D583" s="491">
        <f ca="1">IF(ISNUMBER('R4 Variations'!D583),+'R4 Variations'!D583*LU_Escalation,0)</f>
        <v>0</v>
      </c>
      <c r="E583" s="850">
        <f ca="1">IF(ISNUMBER('R4 Variations'!E583),+'R4 Variations'!E583*LU_Escalation,0)</f>
        <v>0</v>
      </c>
      <c r="F583" s="491">
        <f ca="1">IF(ISNUMBER('R4 Variations'!F583),+'R4 Variations'!F583*LU_Escalation,0)</f>
        <v>0</v>
      </c>
      <c r="G583" s="491">
        <f ca="1">IF(ISNUMBER('R4 Variations'!G583),+'R4 Variations'!G583*LU_Escalation,0)</f>
        <v>0</v>
      </c>
      <c r="H583" s="491">
        <f ca="1">IF(ISNUMBER('R4 Variations'!H583),+'R4 Variations'!H583*LU_Escalation,0)</f>
        <v>0</v>
      </c>
      <c r="I583" s="491">
        <f ca="1">IF(ISNUMBER('R4 Variations'!I583),+'R4 Variations'!I583*LU_Escalation,0)</f>
        <v>0</v>
      </c>
      <c r="J583" s="491">
        <f ca="1">IF(ISNUMBER('R4 Variations'!J583),+'R4 Variations'!J583*LU_Escalation,0)</f>
        <v>0</v>
      </c>
      <c r="K583" s="491">
        <f ca="1">IF(ISNUMBER('R4 Variations'!K583),+'R4 Variations'!K583*LU_Escalation,0)</f>
        <v>0</v>
      </c>
      <c r="L583" s="515" t="str">
        <f ca="1">+'R4 Variations'!L583</f>
        <v/>
      </c>
      <c r="M583" s="450" t="str">
        <f ca="1">+'R4 Variations'!M583</f>
        <v/>
      </c>
      <c r="N583" s="450" t="str">
        <f ca="1">+'R4 Variations'!N583</f>
        <v/>
      </c>
    </row>
    <row r="584" spans="1:14">
      <c r="A584" s="5"/>
      <c r="B584" s="249"/>
      <c r="C584" s="384" t="str">
        <f ca="1">+'R4 Variations'!C584</f>
        <v/>
      </c>
      <c r="D584" s="491">
        <f ca="1">IF(ISNUMBER('R4 Variations'!D584),+'R4 Variations'!D584*LU_Escalation,0)</f>
        <v>0</v>
      </c>
      <c r="E584" s="850">
        <f ca="1">IF(ISNUMBER('R4 Variations'!E584),+'R4 Variations'!E584*LU_Escalation,0)</f>
        <v>0</v>
      </c>
      <c r="F584" s="491">
        <f ca="1">IF(ISNUMBER('R4 Variations'!F584),+'R4 Variations'!F584*LU_Escalation,0)</f>
        <v>0</v>
      </c>
      <c r="G584" s="491">
        <f ca="1">IF(ISNUMBER('R4 Variations'!G584),+'R4 Variations'!G584*LU_Escalation,0)</f>
        <v>0</v>
      </c>
      <c r="H584" s="491">
        <f ca="1">IF(ISNUMBER('R4 Variations'!H584),+'R4 Variations'!H584*LU_Escalation,0)</f>
        <v>0</v>
      </c>
      <c r="I584" s="491">
        <f ca="1">IF(ISNUMBER('R4 Variations'!I584),+'R4 Variations'!I584*LU_Escalation,0)</f>
        <v>0</v>
      </c>
      <c r="J584" s="491">
        <f ca="1">IF(ISNUMBER('R4 Variations'!J584),+'R4 Variations'!J584*LU_Escalation,0)</f>
        <v>0</v>
      </c>
      <c r="K584" s="491">
        <f ca="1">IF(ISNUMBER('R4 Variations'!K584),+'R4 Variations'!K584*LU_Escalation,0)</f>
        <v>0</v>
      </c>
      <c r="L584" s="515" t="str">
        <f ca="1">+'R4 Variations'!L584</f>
        <v/>
      </c>
      <c r="M584" s="450" t="str">
        <f ca="1">+'R4 Variations'!M584</f>
        <v/>
      </c>
      <c r="N584" s="450" t="str">
        <f ca="1">+'R4 Variations'!N584</f>
        <v/>
      </c>
    </row>
    <row r="585" spans="1:14">
      <c r="A585" s="5"/>
      <c r="B585" s="249"/>
      <c r="C585" s="384" t="str">
        <f ca="1">+'R4 Variations'!C585</f>
        <v/>
      </c>
      <c r="D585" s="491">
        <f ca="1">IF(ISNUMBER('R4 Variations'!D585),+'R4 Variations'!D585*LU_Escalation,0)</f>
        <v>0</v>
      </c>
      <c r="E585" s="850">
        <f ca="1">IF(ISNUMBER('R4 Variations'!E585),+'R4 Variations'!E585*LU_Escalation,0)</f>
        <v>0</v>
      </c>
      <c r="F585" s="491">
        <f ca="1">IF(ISNUMBER('R4 Variations'!F585),+'R4 Variations'!F585*LU_Escalation,0)</f>
        <v>0</v>
      </c>
      <c r="G585" s="491">
        <f ca="1">IF(ISNUMBER('R4 Variations'!G585),+'R4 Variations'!G585*LU_Escalation,0)</f>
        <v>0</v>
      </c>
      <c r="H585" s="491">
        <f ca="1">IF(ISNUMBER('R4 Variations'!H585),+'R4 Variations'!H585*LU_Escalation,0)</f>
        <v>0</v>
      </c>
      <c r="I585" s="491">
        <f ca="1">IF(ISNUMBER('R4 Variations'!I585),+'R4 Variations'!I585*LU_Escalation,0)</f>
        <v>0</v>
      </c>
      <c r="J585" s="491">
        <f ca="1">IF(ISNUMBER('R4 Variations'!J585),+'R4 Variations'!J585*LU_Escalation,0)</f>
        <v>0</v>
      </c>
      <c r="K585" s="491">
        <f ca="1">IF(ISNUMBER('R4 Variations'!K585),+'R4 Variations'!K585*LU_Escalation,0)</f>
        <v>0</v>
      </c>
      <c r="L585" s="515" t="str">
        <f ca="1">+'R4 Variations'!L585</f>
        <v/>
      </c>
      <c r="M585" s="450" t="str">
        <f ca="1">+'R4 Variations'!M585</f>
        <v/>
      </c>
      <c r="N585" s="450" t="str">
        <f ca="1">+'R4 Variations'!N585</f>
        <v/>
      </c>
    </row>
    <row r="586" spans="1:14">
      <c r="A586" s="5"/>
      <c r="B586" s="249"/>
      <c r="C586" s="384" t="str">
        <f ca="1">+'R4 Variations'!C586</f>
        <v/>
      </c>
      <c r="D586" s="491">
        <f ca="1">IF(ISNUMBER('R4 Variations'!D586),+'R4 Variations'!D586*LU_Escalation,0)</f>
        <v>0</v>
      </c>
      <c r="E586" s="850">
        <f ca="1">IF(ISNUMBER('R4 Variations'!E586),+'R4 Variations'!E586*LU_Escalation,0)</f>
        <v>0</v>
      </c>
      <c r="F586" s="491">
        <f ca="1">IF(ISNUMBER('R4 Variations'!F586),+'R4 Variations'!F586*LU_Escalation,0)</f>
        <v>0</v>
      </c>
      <c r="G586" s="491">
        <f ca="1">IF(ISNUMBER('R4 Variations'!G586),+'R4 Variations'!G586*LU_Escalation,0)</f>
        <v>0</v>
      </c>
      <c r="H586" s="491">
        <f ca="1">IF(ISNUMBER('R4 Variations'!H586),+'R4 Variations'!H586*LU_Escalation,0)</f>
        <v>0</v>
      </c>
      <c r="I586" s="491">
        <f ca="1">IF(ISNUMBER('R4 Variations'!I586),+'R4 Variations'!I586*LU_Escalation,0)</f>
        <v>0</v>
      </c>
      <c r="J586" s="491">
        <f ca="1">IF(ISNUMBER('R4 Variations'!J586),+'R4 Variations'!J586*LU_Escalation,0)</f>
        <v>0</v>
      </c>
      <c r="K586" s="491">
        <f ca="1">IF(ISNUMBER('R4 Variations'!K586),+'R4 Variations'!K586*LU_Escalation,0)</f>
        <v>0</v>
      </c>
      <c r="L586" s="515" t="str">
        <f ca="1">+'R4 Variations'!L586</f>
        <v/>
      </c>
      <c r="M586" s="450" t="str">
        <f ca="1">+'R4 Variations'!M586</f>
        <v/>
      </c>
      <c r="N586" s="450" t="str">
        <f ca="1">+'R4 Variations'!N586</f>
        <v/>
      </c>
    </row>
    <row r="587" spans="1:14">
      <c r="B587" s="249"/>
      <c r="C587" s="384" t="str">
        <f ca="1">+'R4 Variations'!C587</f>
        <v/>
      </c>
      <c r="D587" s="491">
        <f ca="1">IF(ISNUMBER('R4 Variations'!D587),+'R4 Variations'!D587*LU_Escalation,0)</f>
        <v>0</v>
      </c>
      <c r="E587" s="850">
        <f ca="1">IF(ISNUMBER('R4 Variations'!E587),+'R4 Variations'!E587*LU_Escalation,0)</f>
        <v>0</v>
      </c>
      <c r="F587" s="491">
        <f ca="1">IF(ISNUMBER('R4 Variations'!F587),+'R4 Variations'!F587*LU_Escalation,0)</f>
        <v>0</v>
      </c>
      <c r="G587" s="491">
        <f ca="1">IF(ISNUMBER('R4 Variations'!G587),+'R4 Variations'!G587*LU_Escalation,0)</f>
        <v>0</v>
      </c>
      <c r="H587" s="491">
        <f ca="1">IF(ISNUMBER('R4 Variations'!H587),+'R4 Variations'!H587*LU_Escalation,0)</f>
        <v>0</v>
      </c>
      <c r="I587" s="491">
        <f ca="1">IF(ISNUMBER('R4 Variations'!I587),+'R4 Variations'!I587*LU_Escalation,0)</f>
        <v>0</v>
      </c>
      <c r="J587" s="491">
        <f ca="1">IF(ISNUMBER('R4 Variations'!J587),+'R4 Variations'!J587*LU_Escalation,0)</f>
        <v>0</v>
      </c>
      <c r="K587" s="491">
        <f ca="1">IF(ISNUMBER('R4 Variations'!K587),+'R4 Variations'!K587*LU_Escalation,0)</f>
        <v>0</v>
      </c>
      <c r="L587" s="515" t="str">
        <f ca="1">+'R4 Variations'!L587</f>
        <v/>
      </c>
      <c r="M587" s="450" t="str">
        <f ca="1">+'R4 Variations'!M587</f>
        <v/>
      </c>
      <c r="N587" s="450" t="str">
        <f ca="1">+'R4 Variations'!N587</f>
        <v/>
      </c>
    </row>
    <row r="588" spans="1:14">
      <c r="B588" s="249"/>
      <c r="C588" s="384" t="str">
        <f ca="1">+'R4 Variations'!C588</f>
        <v/>
      </c>
      <c r="D588" s="491">
        <f ca="1">IF(ISNUMBER('R4 Variations'!D588),+'R4 Variations'!D588*LU_Escalation,0)</f>
        <v>0</v>
      </c>
      <c r="E588" s="850">
        <f ca="1">IF(ISNUMBER('R4 Variations'!E588),+'R4 Variations'!E588*LU_Escalation,0)</f>
        <v>0</v>
      </c>
      <c r="F588" s="491">
        <f ca="1">IF(ISNUMBER('R4 Variations'!F588),+'R4 Variations'!F588*LU_Escalation,0)</f>
        <v>0</v>
      </c>
      <c r="G588" s="491">
        <f ca="1">IF(ISNUMBER('R4 Variations'!G588),+'R4 Variations'!G588*LU_Escalation,0)</f>
        <v>0</v>
      </c>
      <c r="H588" s="491">
        <f ca="1">IF(ISNUMBER('R4 Variations'!H588),+'R4 Variations'!H588*LU_Escalation,0)</f>
        <v>0</v>
      </c>
      <c r="I588" s="491">
        <f ca="1">IF(ISNUMBER('R4 Variations'!I588),+'R4 Variations'!I588*LU_Escalation,0)</f>
        <v>0</v>
      </c>
      <c r="J588" s="491">
        <f ca="1">IF(ISNUMBER('R4 Variations'!J588),+'R4 Variations'!J588*LU_Escalation,0)</f>
        <v>0</v>
      </c>
      <c r="K588" s="491">
        <f ca="1">IF(ISNUMBER('R4 Variations'!K588),+'R4 Variations'!K588*LU_Escalation,0)</f>
        <v>0</v>
      </c>
      <c r="L588" s="515" t="str">
        <f ca="1">+'R4 Variations'!L588</f>
        <v/>
      </c>
      <c r="M588" s="450" t="str">
        <f ca="1">+'R4 Variations'!M588</f>
        <v/>
      </c>
      <c r="N588" s="450" t="str">
        <f ca="1">+'R4 Variations'!N588</f>
        <v/>
      </c>
    </row>
    <row r="589" spans="1:14">
      <c r="B589" s="249"/>
      <c r="C589" s="384" t="str">
        <f ca="1">+'R4 Variations'!C589</f>
        <v/>
      </c>
      <c r="D589" s="491">
        <f ca="1">IF(ISNUMBER('R4 Variations'!D589),+'R4 Variations'!D589*LU_Escalation,0)</f>
        <v>0</v>
      </c>
      <c r="E589" s="850">
        <f ca="1">IF(ISNUMBER('R4 Variations'!E589),+'R4 Variations'!E589*LU_Escalation,0)</f>
        <v>0</v>
      </c>
      <c r="F589" s="491">
        <f ca="1">IF(ISNUMBER('R4 Variations'!F589),+'R4 Variations'!F589*LU_Escalation,0)</f>
        <v>0</v>
      </c>
      <c r="G589" s="491">
        <f ca="1">IF(ISNUMBER('R4 Variations'!G589),+'R4 Variations'!G589*LU_Escalation,0)</f>
        <v>0</v>
      </c>
      <c r="H589" s="491">
        <f ca="1">IF(ISNUMBER('R4 Variations'!H589),+'R4 Variations'!H589*LU_Escalation,0)</f>
        <v>0</v>
      </c>
      <c r="I589" s="491">
        <f ca="1">IF(ISNUMBER('R4 Variations'!I589),+'R4 Variations'!I589*LU_Escalation,0)</f>
        <v>0</v>
      </c>
      <c r="J589" s="491">
        <f ca="1">IF(ISNUMBER('R4 Variations'!J589),+'R4 Variations'!J589*LU_Escalation,0)</f>
        <v>0</v>
      </c>
      <c r="K589" s="491">
        <f ca="1">IF(ISNUMBER('R4 Variations'!K589),+'R4 Variations'!K589*LU_Escalation,0)</f>
        <v>0</v>
      </c>
      <c r="L589" s="515" t="str">
        <f ca="1">+'R4 Variations'!L589</f>
        <v/>
      </c>
      <c r="M589" s="450" t="str">
        <f ca="1">+'R4 Variations'!M589</f>
        <v/>
      </c>
      <c r="N589" s="450" t="str">
        <f ca="1">+'R4 Variations'!N589</f>
        <v/>
      </c>
    </row>
    <row r="590" spans="1:14">
      <c r="B590" s="249"/>
      <c r="C590" s="384" t="str">
        <f ca="1">+'R4 Variations'!C590</f>
        <v/>
      </c>
      <c r="D590" s="491">
        <f ca="1">IF(ISNUMBER('R4 Variations'!D590),+'R4 Variations'!D590*LU_Escalation,0)</f>
        <v>0</v>
      </c>
      <c r="E590" s="850">
        <f ca="1">IF(ISNUMBER('R4 Variations'!E590),+'R4 Variations'!E590*LU_Escalation,0)</f>
        <v>0</v>
      </c>
      <c r="F590" s="491">
        <f ca="1">IF(ISNUMBER('R4 Variations'!F590),+'R4 Variations'!F590*LU_Escalation,0)</f>
        <v>0</v>
      </c>
      <c r="G590" s="491">
        <f ca="1">IF(ISNUMBER('R4 Variations'!G590),+'R4 Variations'!G590*LU_Escalation,0)</f>
        <v>0</v>
      </c>
      <c r="H590" s="491">
        <f ca="1">IF(ISNUMBER('R4 Variations'!H590),+'R4 Variations'!H590*LU_Escalation,0)</f>
        <v>0</v>
      </c>
      <c r="I590" s="491">
        <f ca="1">IF(ISNUMBER('R4 Variations'!I590),+'R4 Variations'!I590*LU_Escalation,0)</f>
        <v>0</v>
      </c>
      <c r="J590" s="491">
        <f ca="1">IF(ISNUMBER('R4 Variations'!J590),+'R4 Variations'!J590*LU_Escalation,0)</f>
        <v>0</v>
      </c>
      <c r="K590" s="491">
        <f ca="1">IF(ISNUMBER('R4 Variations'!K590),+'R4 Variations'!K590*LU_Escalation,0)</f>
        <v>0</v>
      </c>
      <c r="L590" s="515" t="str">
        <f ca="1">+'R4 Variations'!L590</f>
        <v/>
      </c>
      <c r="M590" s="450" t="str">
        <f ca="1">+'R4 Variations'!M590</f>
        <v/>
      </c>
      <c r="N590" s="450" t="str">
        <f ca="1">+'R4 Variations'!N590</f>
        <v/>
      </c>
    </row>
    <row r="591" spans="1:14">
      <c r="B591" s="249"/>
      <c r="C591" s="384" t="str">
        <f ca="1">+'R4 Variations'!C591</f>
        <v/>
      </c>
      <c r="D591" s="491">
        <f ca="1">IF(ISNUMBER('R4 Variations'!D591),+'R4 Variations'!D591*LU_Escalation,0)</f>
        <v>0</v>
      </c>
      <c r="E591" s="850">
        <f ca="1">IF(ISNUMBER('R4 Variations'!E591),+'R4 Variations'!E591*LU_Escalation,0)</f>
        <v>0</v>
      </c>
      <c r="F591" s="491">
        <f ca="1">IF(ISNUMBER('R4 Variations'!F591),+'R4 Variations'!F591*LU_Escalation,0)</f>
        <v>0</v>
      </c>
      <c r="G591" s="491">
        <f ca="1">IF(ISNUMBER('R4 Variations'!G591),+'R4 Variations'!G591*LU_Escalation,0)</f>
        <v>0</v>
      </c>
      <c r="H591" s="491">
        <f ca="1">IF(ISNUMBER('R4 Variations'!H591),+'R4 Variations'!H591*LU_Escalation,0)</f>
        <v>0</v>
      </c>
      <c r="I591" s="491">
        <f ca="1">IF(ISNUMBER('R4 Variations'!I591),+'R4 Variations'!I591*LU_Escalation,0)</f>
        <v>0</v>
      </c>
      <c r="J591" s="491">
        <f ca="1">IF(ISNUMBER('R4 Variations'!J591),+'R4 Variations'!J591*LU_Escalation,0)</f>
        <v>0</v>
      </c>
      <c r="K591" s="491">
        <f ca="1">IF(ISNUMBER('R4 Variations'!K591),+'R4 Variations'!K591*LU_Escalation,0)</f>
        <v>0</v>
      </c>
      <c r="L591" s="515" t="str">
        <f ca="1">+'R4 Variations'!L591</f>
        <v/>
      </c>
      <c r="M591" s="450" t="str">
        <f ca="1">+'R4 Variations'!M591</f>
        <v/>
      </c>
      <c r="N591" s="450" t="str">
        <f ca="1">+'R4 Variations'!N591</f>
        <v/>
      </c>
    </row>
    <row r="592" spans="1:14">
      <c r="B592" s="249"/>
      <c r="C592" s="12"/>
      <c r="D592" s="491"/>
      <c r="E592" s="508"/>
      <c r="F592" s="491"/>
      <c r="G592" s="492"/>
      <c r="H592" s="492"/>
      <c r="I592" s="492"/>
      <c r="J592" s="492"/>
      <c r="K592" s="508"/>
      <c r="L592" s="515"/>
      <c r="M592" s="450"/>
      <c r="N592" s="450"/>
    </row>
    <row r="593" spans="1:14">
      <c r="A593" s="5"/>
      <c r="B593" s="249" t="str">
        <f ca="1">+'I-4 History'!B444</f>
        <v>A-25</v>
      </c>
      <c r="C593" s="14" t="str">
        <f ca="1">+'I-4 History'!C444</f>
        <v>Property – DLC Land Tax</v>
      </c>
      <c r="D593" s="491"/>
      <c r="E593" s="508"/>
      <c r="F593" s="491"/>
      <c r="G593" s="492"/>
      <c r="H593" s="492"/>
      <c r="I593" s="492"/>
      <c r="J593" s="492"/>
      <c r="K593" s="508"/>
      <c r="L593" s="515"/>
      <c r="M593" s="450"/>
      <c r="N593" s="450"/>
    </row>
    <row r="594" spans="1:14">
      <c r="A594" s="5"/>
      <c r="B594" s="249"/>
      <c r="C594" s="384" t="str">
        <f ca="1">+'R4 Variations'!C594</f>
        <v>Step Change</v>
      </c>
      <c r="D594" s="491">
        <f ca="1">IF(ISNUMBER('R4 Variations'!D594),+'R4 Variations'!D594*LU_Escalation,0)</f>
        <v>0</v>
      </c>
      <c r="E594" s="850">
        <f ca="1">IF(ISNUMBER('R4 Variations'!E594),+'R4 Variations'!E594*LU_Escalation,0)</f>
        <v>0</v>
      </c>
      <c r="F594" s="491">
        <f ca="1">IF(ISNUMBER('R4 Variations'!F594),+'R4 Variations'!F594*LU_Escalation,0)</f>
        <v>0</v>
      </c>
      <c r="G594" s="491">
        <f ca="1">IF(ISNUMBER('R4 Variations'!G594),+'R4 Variations'!G594*LU_Escalation,0)</f>
        <v>0</v>
      </c>
      <c r="H594" s="491">
        <f ca="1">IF(ISNUMBER('R4 Variations'!H594),+'R4 Variations'!H594*LU_Escalation,0)</f>
        <v>0</v>
      </c>
      <c r="I594" s="491">
        <f ca="1">IF(ISNUMBER('R4 Variations'!I594),+'R4 Variations'!I594*LU_Escalation,0)</f>
        <v>0</v>
      </c>
      <c r="J594" s="491">
        <f ca="1">IF(ISNUMBER('R4 Variations'!J594),+'R4 Variations'!J594*LU_Escalation,0)</f>
        <v>0</v>
      </c>
      <c r="K594" s="491">
        <f ca="1">IF(ISNUMBER('R4 Variations'!K594),+'R4 Variations'!K594*LU_Escalation,0)</f>
        <v>0</v>
      </c>
      <c r="L594" s="515" t="str">
        <f ca="1">+'R4 Variations'!L594</f>
        <v>Proposal Step Change</v>
      </c>
      <c r="M594" s="450" t="str">
        <f ca="1">+'R4 Variations'!M594</f>
        <v>Refer Opex Workings</v>
      </c>
      <c r="N594" s="450" t="str">
        <f ca="1">+'R4 Variations'!N594</f>
        <v>Proposal, October 2014</v>
      </c>
    </row>
    <row r="595" spans="1:14">
      <c r="A595" s="5"/>
      <c r="B595" s="249"/>
      <c r="C595" s="384" t="str">
        <f ca="1">+'R4 Variations'!C595</f>
        <v/>
      </c>
      <c r="D595" s="491">
        <f ca="1">IF(ISNUMBER('R4 Variations'!D595),+'R4 Variations'!D595*LU_Escalation,0)</f>
        <v>0</v>
      </c>
      <c r="E595" s="850">
        <f ca="1">IF(ISNUMBER('R4 Variations'!E595),+'R4 Variations'!E595*LU_Escalation,0)</f>
        <v>0</v>
      </c>
      <c r="F595" s="491">
        <f ca="1">IF(ISNUMBER('R4 Variations'!F595),+'R4 Variations'!F595*LU_Escalation,0)</f>
        <v>0</v>
      </c>
      <c r="G595" s="491">
        <f ca="1">IF(ISNUMBER('R4 Variations'!G595),+'R4 Variations'!G595*LU_Escalation,0)</f>
        <v>0</v>
      </c>
      <c r="H595" s="491">
        <f ca="1">IF(ISNUMBER('R4 Variations'!H595),+'R4 Variations'!H595*LU_Escalation,0)</f>
        <v>0</v>
      </c>
      <c r="I595" s="491">
        <f ca="1">IF(ISNUMBER('R4 Variations'!I595),+'R4 Variations'!I595*LU_Escalation,0)</f>
        <v>0</v>
      </c>
      <c r="J595" s="491">
        <f ca="1">IF(ISNUMBER('R4 Variations'!J595),+'R4 Variations'!J595*LU_Escalation,0)</f>
        <v>0</v>
      </c>
      <c r="K595" s="491">
        <f ca="1">IF(ISNUMBER('R4 Variations'!K595),+'R4 Variations'!K595*LU_Escalation,0)</f>
        <v>0</v>
      </c>
      <c r="L595" s="515" t="str">
        <f ca="1">+'R4 Variations'!L595</f>
        <v/>
      </c>
      <c r="M595" s="450" t="str">
        <f ca="1">+'R4 Variations'!M595</f>
        <v/>
      </c>
      <c r="N595" s="450" t="str">
        <f ca="1">+'R4 Variations'!N595</f>
        <v/>
      </c>
    </row>
    <row r="596" spans="1:14">
      <c r="A596" s="5"/>
      <c r="B596" s="249"/>
      <c r="C596" s="384" t="str">
        <f ca="1">+'R4 Variations'!C596</f>
        <v/>
      </c>
      <c r="D596" s="491">
        <f ca="1">IF(ISNUMBER('R4 Variations'!D596),+'R4 Variations'!D596*LU_Escalation,0)</f>
        <v>0</v>
      </c>
      <c r="E596" s="850">
        <f ca="1">IF(ISNUMBER('R4 Variations'!E596),+'R4 Variations'!E596*LU_Escalation,0)</f>
        <v>0</v>
      </c>
      <c r="F596" s="491">
        <f ca="1">IF(ISNUMBER('R4 Variations'!F596),+'R4 Variations'!F596*LU_Escalation,0)</f>
        <v>0</v>
      </c>
      <c r="G596" s="491">
        <f ca="1">IF(ISNUMBER('R4 Variations'!G596),+'R4 Variations'!G596*LU_Escalation,0)</f>
        <v>0</v>
      </c>
      <c r="H596" s="491">
        <f ca="1">IF(ISNUMBER('R4 Variations'!H596),+'R4 Variations'!H596*LU_Escalation,0)</f>
        <v>0</v>
      </c>
      <c r="I596" s="491">
        <f ca="1">IF(ISNUMBER('R4 Variations'!I596),+'R4 Variations'!I596*LU_Escalation,0)</f>
        <v>0</v>
      </c>
      <c r="J596" s="491">
        <f ca="1">IF(ISNUMBER('R4 Variations'!J596),+'R4 Variations'!J596*LU_Escalation,0)</f>
        <v>0</v>
      </c>
      <c r="K596" s="491">
        <f ca="1">IF(ISNUMBER('R4 Variations'!K596),+'R4 Variations'!K596*LU_Escalation,0)</f>
        <v>0</v>
      </c>
      <c r="L596" s="515" t="str">
        <f ca="1">+'R4 Variations'!L596</f>
        <v/>
      </c>
      <c r="M596" s="450" t="str">
        <f ca="1">+'R4 Variations'!M596</f>
        <v/>
      </c>
      <c r="N596" s="450" t="str">
        <f ca="1">+'R4 Variations'!N596</f>
        <v/>
      </c>
    </row>
    <row r="597" spans="1:14">
      <c r="A597" s="5"/>
      <c r="B597" s="249"/>
      <c r="C597" s="384" t="str">
        <f ca="1">+'R4 Variations'!C597</f>
        <v/>
      </c>
      <c r="D597" s="491">
        <f ca="1">IF(ISNUMBER('R4 Variations'!D597),+'R4 Variations'!D597*LU_Escalation,0)</f>
        <v>0</v>
      </c>
      <c r="E597" s="850">
        <f ca="1">IF(ISNUMBER('R4 Variations'!E597),+'R4 Variations'!E597*LU_Escalation,0)</f>
        <v>0</v>
      </c>
      <c r="F597" s="491">
        <f ca="1">IF(ISNUMBER('R4 Variations'!F597),+'R4 Variations'!F597*LU_Escalation,0)</f>
        <v>0</v>
      </c>
      <c r="G597" s="491">
        <f ca="1">IF(ISNUMBER('R4 Variations'!G597),+'R4 Variations'!G597*LU_Escalation,0)</f>
        <v>0</v>
      </c>
      <c r="H597" s="491">
        <f ca="1">IF(ISNUMBER('R4 Variations'!H597),+'R4 Variations'!H597*LU_Escalation,0)</f>
        <v>0</v>
      </c>
      <c r="I597" s="491">
        <f ca="1">IF(ISNUMBER('R4 Variations'!I597),+'R4 Variations'!I597*LU_Escalation,0)</f>
        <v>0</v>
      </c>
      <c r="J597" s="491">
        <f ca="1">IF(ISNUMBER('R4 Variations'!J597),+'R4 Variations'!J597*LU_Escalation,0)</f>
        <v>0</v>
      </c>
      <c r="K597" s="491">
        <f ca="1">IF(ISNUMBER('R4 Variations'!K597),+'R4 Variations'!K597*LU_Escalation,0)</f>
        <v>0</v>
      </c>
      <c r="L597" s="515" t="str">
        <f ca="1">+'R4 Variations'!L597</f>
        <v/>
      </c>
      <c r="M597" s="450" t="str">
        <f ca="1">+'R4 Variations'!M597</f>
        <v/>
      </c>
      <c r="N597" s="450" t="str">
        <f ca="1">+'R4 Variations'!N597</f>
        <v/>
      </c>
    </row>
    <row r="598" spans="1:14">
      <c r="A598" s="5"/>
      <c r="B598" s="249"/>
      <c r="C598" s="384" t="str">
        <f ca="1">+'R4 Variations'!C598</f>
        <v/>
      </c>
      <c r="D598" s="491">
        <f ca="1">IF(ISNUMBER('R4 Variations'!D598),+'R4 Variations'!D598*LU_Escalation,0)</f>
        <v>0</v>
      </c>
      <c r="E598" s="850">
        <f ca="1">IF(ISNUMBER('R4 Variations'!E598),+'R4 Variations'!E598*LU_Escalation,0)</f>
        <v>0</v>
      </c>
      <c r="F598" s="491">
        <f ca="1">IF(ISNUMBER('R4 Variations'!F598),+'R4 Variations'!F598*LU_Escalation,0)</f>
        <v>0</v>
      </c>
      <c r="G598" s="491">
        <f ca="1">IF(ISNUMBER('R4 Variations'!G598),+'R4 Variations'!G598*LU_Escalation,0)</f>
        <v>0</v>
      </c>
      <c r="H598" s="491">
        <f ca="1">IF(ISNUMBER('R4 Variations'!H598),+'R4 Variations'!H598*LU_Escalation,0)</f>
        <v>0</v>
      </c>
      <c r="I598" s="491">
        <f ca="1">IF(ISNUMBER('R4 Variations'!I598),+'R4 Variations'!I598*LU_Escalation,0)</f>
        <v>0</v>
      </c>
      <c r="J598" s="491">
        <f ca="1">IF(ISNUMBER('R4 Variations'!J598),+'R4 Variations'!J598*LU_Escalation,0)</f>
        <v>0</v>
      </c>
      <c r="K598" s="491">
        <f ca="1">IF(ISNUMBER('R4 Variations'!K598),+'R4 Variations'!K598*LU_Escalation,0)</f>
        <v>0</v>
      </c>
      <c r="L598" s="515" t="str">
        <f ca="1">+'R4 Variations'!L598</f>
        <v/>
      </c>
      <c r="M598" s="450" t="str">
        <f ca="1">+'R4 Variations'!M598</f>
        <v/>
      </c>
      <c r="N598" s="450" t="str">
        <f ca="1">+'R4 Variations'!N598</f>
        <v/>
      </c>
    </row>
    <row r="599" spans="1:14">
      <c r="A599" s="5"/>
      <c r="B599" s="249"/>
      <c r="C599" s="384" t="str">
        <f ca="1">+'R4 Variations'!C599</f>
        <v/>
      </c>
      <c r="D599" s="491">
        <f ca="1">IF(ISNUMBER('R4 Variations'!D599),+'R4 Variations'!D599*LU_Escalation,0)</f>
        <v>0</v>
      </c>
      <c r="E599" s="850">
        <f ca="1">IF(ISNUMBER('R4 Variations'!E599),+'R4 Variations'!E599*LU_Escalation,0)</f>
        <v>0</v>
      </c>
      <c r="F599" s="491">
        <f ca="1">IF(ISNUMBER('R4 Variations'!F599),+'R4 Variations'!F599*LU_Escalation,0)</f>
        <v>0</v>
      </c>
      <c r="G599" s="491">
        <f ca="1">IF(ISNUMBER('R4 Variations'!G599),+'R4 Variations'!G599*LU_Escalation,0)</f>
        <v>0</v>
      </c>
      <c r="H599" s="491">
        <f ca="1">IF(ISNUMBER('R4 Variations'!H599),+'R4 Variations'!H599*LU_Escalation,0)</f>
        <v>0</v>
      </c>
      <c r="I599" s="491">
        <f ca="1">IF(ISNUMBER('R4 Variations'!I599),+'R4 Variations'!I599*LU_Escalation,0)</f>
        <v>0</v>
      </c>
      <c r="J599" s="491">
        <f ca="1">IF(ISNUMBER('R4 Variations'!J599),+'R4 Variations'!J599*LU_Escalation,0)</f>
        <v>0</v>
      </c>
      <c r="K599" s="491">
        <f ca="1">IF(ISNUMBER('R4 Variations'!K599),+'R4 Variations'!K599*LU_Escalation,0)</f>
        <v>0</v>
      </c>
      <c r="L599" s="515" t="str">
        <f ca="1">+'R4 Variations'!L599</f>
        <v/>
      </c>
      <c r="M599" s="450" t="str">
        <f ca="1">+'R4 Variations'!M599</f>
        <v/>
      </c>
      <c r="N599" s="450" t="str">
        <f ca="1">+'R4 Variations'!N599</f>
        <v/>
      </c>
    </row>
    <row r="600" spans="1:14">
      <c r="A600" s="5"/>
      <c r="B600" s="249"/>
      <c r="C600" s="384" t="str">
        <f ca="1">+'R4 Variations'!C600</f>
        <v/>
      </c>
      <c r="D600" s="491">
        <f ca="1">IF(ISNUMBER('R4 Variations'!D600),+'R4 Variations'!D600*LU_Escalation,0)</f>
        <v>0</v>
      </c>
      <c r="E600" s="850">
        <f ca="1">IF(ISNUMBER('R4 Variations'!E600),+'R4 Variations'!E600*LU_Escalation,0)</f>
        <v>0</v>
      </c>
      <c r="F600" s="491">
        <f ca="1">IF(ISNUMBER('R4 Variations'!F600),+'R4 Variations'!F600*LU_Escalation,0)</f>
        <v>0</v>
      </c>
      <c r="G600" s="491">
        <f ca="1">IF(ISNUMBER('R4 Variations'!G600),+'R4 Variations'!G600*LU_Escalation,0)</f>
        <v>0</v>
      </c>
      <c r="H600" s="491">
        <f ca="1">IF(ISNUMBER('R4 Variations'!H600),+'R4 Variations'!H600*LU_Escalation,0)</f>
        <v>0</v>
      </c>
      <c r="I600" s="491">
        <f ca="1">IF(ISNUMBER('R4 Variations'!I600),+'R4 Variations'!I600*LU_Escalation,0)</f>
        <v>0</v>
      </c>
      <c r="J600" s="491">
        <f ca="1">IF(ISNUMBER('R4 Variations'!J600),+'R4 Variations'!J600*LU_Escalation,0)</f>
        <v>0</v>
      </c>
      <c r="K600" s="491">
        <f ca="1">IF(ISNUMBER('R4 Variations'!K600),+'R4 Variations'!K600*LU_Escalation,0)</f>
        <v>0</v>
      </c>
      <c r="L600" s="515" t="str">
        <f ca="1">+'R4 Variations'!L600</f>
        <v/>
      </c>
      <c r="M600" s="450" t="str">
        <f ca="1">+'R4 Variations'!M600</f>
        <v/>
      </c>
      <c r="N600" s="450" t="str">
        <f ca="1">+'R4 Variations'!N600</f>
        <v/>
      </c>
    </row>
    <row r="601" spans="1:14">
      <c r="A601" s="5"/>
      <c r="B601" s="249"/>
      <c r="C601" s="384" t="str">
        <f ca="1">+'R4 Variations'!C601</f>
        <v/>
      </c>
      <c r="D601" s="491">
        <f ca="1">IF(ISNUMBER('R4 Variations'!D601),+'R4 Variations'!D601*LU_Escalation,0)</f>
        <v>0</v>
      </c>
      <c r="E601" s="850">
        <f ca="1">IF(ISNUMBER('R4 Variations'!E601),+'R4 Variations'!E601*LU_Escalation,0)</f>
        <v>0</v>
      </c>
      <c r="F601" s="491">
        <f ca="1">IF(ISNUMBER('R4 Variations'!F601),+'R4 Variations'!F601*LU_Escalation,0)</f>
        <v>0</v>
      </c>
      <c r="G601" s="491">
        <f ca="1">IF(ISNUMBER('R4 Variations'!G601),+'R4 Variations'!G601*LU_Escalation,0)</f>
        <v>0</v>
      </c>
      <c r="H601" s="491">
        <f ca="1">IF(ISNUMBER('R4 Variations'!H601),+'R4 Variations'!H601*LU_Escalation,0)</f>
        <v>0</v>
      </c>
      <c r="I601" s="491">
        <f ca="1">IF(ISNUMBER('R4 Variations'!I601),+'R4 Variations'!I601*LU_Escalation,0)</f>
        <v>0</v>
      </c>
      <c r="J601" s="491">
        <f ca="1">IF(ISNUMBER('R4 Variations'!J601),+'R4 Variations'!J601*LU_Escalation,0)</f>
        <v>0</v>
      </c>
      <c r="K601" s="491">
        <f ca="1">IF(ISNUMBER('R4 Variations'!K601),+'R4 Variations'!K601*LU_Escalation,0)</f>
        <v>0</v>
      </c>
      <c r="L601" s="515" t="str">
        <f ca="1">+'R4 Variations'!L601</f>
        <v/>
      </c>
      <c r="M601" s="450" t="str">
        <f ca="1">+'R4 Variations'!M601</f>
        <v/>
      </c>
      <c r="N601" s="450" t="str">
        <f ca="1">+'R4 Variations'!N601</f>
        <v/>
      </c>
    </row>
    <row r="602" spans="1:14">
      <c r="A602" s="5"/>
      <c r="B602" s="249"/>
      <c r="C602" s="384" t="str">
        <f ca="1">+'R4 Variations'!C602</f>
        <v/>
      </c>
      <c r="D602" s="491">
        <f ca="1">IF(ISNUMBER('R4 Variations'!D602),+'R4 Variations'!D602*LU_Escalation,0)</f>
        <v>0</v>
      </c>
      <c r="E602" s="850">
        <f ca="1">IF(ISNUMBER('R4 Variations'!E602),+'R4 Variations'!E602*LU_Escalation,0)</f>
        <v>0</v>
      </c>
      <c r="F602" s="491">
        <f ca="1">IF(ISNUMBER('R4 Variations'!F602),+'R4 Variations'!F602*LU_Escalation,0)</f>
        <v>0</v>
      </c>
      <c r="G602" s="491">
        <f ca="1">IF(ISNUMBER('R4 Variations'!G602),+'R4 Variations'!G602*LU_Escalation,0)</f>
        <v>0</v>
      </c>
      <c r="H602" s="491">
        <f ca="1">IF(ISNUMBER('R4 Variations'!H602),+'R4 Variations'!H602*LU_Escalation,0)</f>
        <v>0</v>
      </c>
      <c r="I602" s="491">
        <f ca="1">IF(ISNUMBER('R4 Variations'!I602),+'R4 Variations'!I602*LU_Escalation,0)</f>
        <v>0</v>
      </c>
      <c r="J602" s="491">
        <f ca="1">IF(ISNUMBER('R4 Variations'!J602),+'R4 Variations'!J602*LU_Escalation,0)</f>
        <v>0</v>
      </c>
      <c r="K602" s="491">
        <f ca="1">IF(ISNUMBER('R4 Variations'!K602),+'R4 Variations'!K602*LU_Escalation,0)</f>
        <v>0</v>
      </c>
      <c r="L602" s="515" t="str">
        <f ca="1">+'R4 Variations'!L602</f>
        <v/>
      </c>
      <c r="M602" s="450" t="str">
        <f ca="1">+'R4 Variations'!M602</f>
        <v/>
      </c>
      <c r="N602" s="450" t="str">
        <f ca="1">+'R4 Variations'!N602</f>
        <v/>
      </c>
    </row>
    <row r="603" spans="1:14">
      <c r="A603" s="5"/>
      <c r="B603" s="249"/>
      <c r="C603" s="384" t="str">
        <f ca="1">+'R4 Variations'!C603</f>
        <v/>
      </c>
      <c r="D603" s="491">
        <f ca="1">IF(ISNUMBER('R4 Variations'!D603),+'R4 Variations'!D603*LU_Escalation,0)</f>
        <v>0</v>
      </c>
      <c r="E603" s="850">
        <f ca="1">IF(ISNUMBER('R4 Variations'!E603),+'R4 Variations'!E603*LU_Escalation,0)</f>
        <v>0</v>
      </c>
      <c r="F603" s="491">
        <f ca="1">IF(ISNUMBER('R4 Variations'!F603),+'R4 Variations'!F603*LU_Escalation,0)</f>
        <v>0</v>
      </c>
      <c r="G603" s="491">
        <f ca="1">IF(ISNUMBER('R4 Variations'!G603),+'R4 Variations'!G603*LU_Escalation,0)</f>
        <v>0</v>
      </c>
      <c r="H603" s="491">
        <f ca="1">IF(ISNUMBER('R4 Variations'!H603),+'R4 Variations'!H603*LU_Escalation,0)</f>
        <v>0</v>
      </c>
      <c r="I603" s="491">
        <f ca="1">IF(ISNUMBER('R4 Variations'!I603),+'R4 Variations'!I603*LU_Escalation,0)</f>
        <v>0</v>
      </c>
      <c r="J603" s="491">
        <f ca="1">IF(ISNUMBER('R4 Variations'!J603),+'R4 Variations'!J603*LU_Escalation,0)</f>
        <v>0</v>
      </c>
      <c r="K603" s="491">
        <f ca="1">IF(ISNUMBER('R4 Variations'!K603),+'R4 Variations'!K603*LU_Escalation,0)</f>
        <v>0</v>
      </c>
      <c r="L603" s="515" t="str">
        <f ca="1">+'R4 Variations'!L603</f>
        <v/>
      </c>
      <c r="M603" s="450" t="str">
        <f ca="1">+'R4 Variations'!M603</f>
        <v/>
      </c>
      <c r="N603" s="450" t="str">
        <f ca="1">+'R4 Variations'!N603</f>
        <v/>
      </c>
    </row>
    <row r="604" spans="1:14">
      <c r="A604" s="5"/>
      <c r="B604" s="249"/>
      <c r="C604" s="12"/>
      <c r="D604" s="491"/>
      <c r="E604" s="508"/>
      <c r="F604" s="491"/>
      <c r="G604" s="492"/>
      <c r="H604" s="492"/>
      <c r="I604" s="492"/>
      <c r="J604" s="492"/>
      <c r="K604" s="508"/>
      <c r="L604" s="515"/>
      <c r="M604" s="450"/>
      <c r="N604" s="450"/>
    </row>
    <row r="605" spans="1:14">
      <c r="A605" s="5"/>
      <c r="B605" s="249" t="str">
        <f ca="1">+'I-4 History'!B453</f>
        <v>A-26</v>
      </c>
      <c r="C605" s="14" t="str">
        <f ca="1">+'I-4 History'!C453</f>
        <v>OHS</v>
      </c>
      <c r="D605" s="491"/>
      <c r="E605" s="508"/>
      <c r="F605" s="491"/>
      <c r="G605" s="492"/>
      <c r="H605" s="492"/>
      <c r="I605" s="492"/>
      <c r="J605" s="492"/>
      <c r="K605" s="508"/>
      <c r="L605" s="515"/>
      <c r="M605" s="450"/>
      <c r="N605" s="450"/>
    </row>
    <row r="606" spans="1:14">
      <c r="A606" s="5"/>
      <c r="B606" s="249"/>
      <c r="C606" s="384" t="str">
        <f ca="1">+'R4 Variations'!C606</f>
        <v>Step Change</v>
      </c>
      <c r="D606" s="491">
        <f ca="1">IF(ISNUMBER('R4 Variations'!D606),+'R4 Variations'!D606*LU_Escalation,0)</f>
        <v>0</v>
      </c>
      <c r="E606" s="850">
        <f ca="1">IF(ISNUMBER('R4 Variations'!E606),+'R4 Variations'!E606*LU_Escalation,0)</f>
        <v>0</v>
      </c>
      <c r="F606" s="491">
        <f ca="1">IF(ISNUMBER('R4 Variations'!F606),+'R4 Variations'!F606*LU_Escalation,0)</f>
        <v>0.21199999999999997</v>
      </c>
      <c r="G606" s="491">
        <f ca="1">IF(ISNUMBER('R4 Variations'!G606),+'R4 Variations'!G606*LU_Escalation,0)</f>
        <v>0.90968307692307704</v>
      </c>
      <c r="H606" s="491">
        <f ca="1">IF(ISNUMBER('R4 Variations'!H606),+'R4 Variations'!H606*LU_Escalation,0)</f>
        <v>1.1153955</v>
      </c>
      <c r="I606" s="491">
        <f ca="1">IF(ISNUMBER('R4 Variations'!I606),+'R4 Variations'!I606*LU_Escalation,0)</f>
        <v>1.3118043461538462</v>
      </c>
      <c r="J606" s="491">
        <f ca="1">IF(ISNUMBER('R4 Variations'!J606),+'R4 Variations'!J606*LU_Escalation,0)</f>
        <v>1.4089750384615387</v>
      </c>
      <c r="K606" s="491">
        <f ca="1">IF(ISNUMBER('R4 Variations'!K606),+'R4 Variations'!K606*LU_Escalation,0)</f>
        <v>1.4089750384615387</v>
      </c>
      <c r="L606" s="515" t="str">
        <f ca="1">+'R4 Variations'!L606</f>
        <v>Proposal Step Change</v>
      </c>
      <c r="M606" s="450" t="str">
        <f ca="1">+'R4 Variations'!M606</f>
        <v>Refer Opex Workings</v>
      </c>
      <c r="N606" s="450" t="str">
        <f ca="1">+'R4 Variations'!N606</f>
        <v>Proposal, October 2014</v>
      </c>
    </row>
    <row r="607" spans="1:14">
      <c r="A607" s="5"/>
      <c r="B607" s="249"/>
      <c r="C607" s="384" t="str">
        <f ca="1">+'R4 Variations'!C607</f>
        <v/>
      </c>
      <c r="D607" s="491">
        <f ca="1">IF(ISNUMBER('R4 Variations'!D607),+'R4 Variations'!D607*LU_Escalation,0)</f>
        <v>0</v>
      </c>
      <c r="E607" s="850">
        <f ca="1">IF(ISNUMBER('R4 Variations'!E607),+'R4 Variations'!E607*LU_Escalation,0)</f>
        <v>0</v>
      </c>
      <c r="F607" s="491">
        <f ca="1">IF(ISNUMBER('R4 Variations'!F607),+'R4 Variations'!F607*LU_Escalation,0)</f>
        <v>0</v>
      </c>
      <c r="G607" s="491">
        <f ca="1">IF(ISNUMBER('R4 Variations'!G607),+'R4 Variations'!G607*LU_Escalation,0)</f>
        <v>0</v>
      </c>
      <c r="H607" s="491">
        <f ca="1">IF(ISNUMBER('R4 Variations'!H607),+'R4 Variations'!H607*LU_Escalation,0)</f>
        <v>0</v>
      </c>
      <c r="I607" s="491">
        <f ca="1">IF(ISNUMBER('R4 Variations'!I607),+'R4 Variations'!I607*LU_Escalation,0)</f>
        <v>0</v>
      </c>
      <c r="J607" s="491">
        <f ca="1">IF(ISNUMBER('R4 Variations'!J607),+'R4 Variations'!J607*LU_Escalation,0)</f>
        <v>0</v>
      </c>
      <c r="K607" s="491">
        <f ca="1">IF(ISNUMBER('R4 Variations'!K607),+'R4 Variations'!K607*LU_Escalation,0)</f>
        <v>0</v>
      </c>
      <c r="L607" s="515" t="str">
        <f ca="1">+'R4 Variations'!L607</f>
        <v/>
      </c>
      <c r="M607" s="450" t="str">
        <f ca="1">+'R4 Variations'!M607</f>
        <v/>
      </c>
      <c r="N607" s="450" t="str">
        <f ca="1">+'R4 Variations'!N607</f>
        <v/>
      </c>
    </row>
    <row r="608" spans="1:14">
      <c r="A608" s="5"/>
      <c r="B608" s="249"/>
      <c r="C608" s="384" t="str">
        <f ca="1">+'R4 Variations'!C608</f>
        <v/>
      </c>
      <c r="D608" s="491">
        <f ca="1">IF(ISNUMBER('R4 Variations'!D608),+'R4 Variations'!D608*LU_Escalation,0)</f>
        <v>0</v>
      </c>
      <c r="E608" s="850">
        <f ca="1">IF(ISNUMBER('R4 Variations'!E608),+'R4 Variations'!E608*LU_Escalation,0)</f>
        <v>0</v>
      </c>
      <c r="F608" s="491">
        <f ca="1">IF(ISNUMBER('R4 Variations'!F608),+'R4 Variations'!F608*LU_Escalation,0)</f>
        <v>0</v>
      </c>
      <c r="G608" s="491">
        <f ca="1">IF(ISNUMBER('R4 Variations'!G608),+'R4 Variations'!G608*LU_Escalation,0)</f>
        <v>0</v>
      </c>
      <c r="H608" s="491">
        <f ca="1">IF(ISNUMBER('R4 Variations'!H608),+'R4 Variations'!H608*LU_Escalation,0)</f>
        <v>0</v>
      </c>
      <c r="I608" s="491">
        <f ca="1">IF(ISNUMBER('R4 Variations'!I608),+'R4 Variations'!I608*LU_Escalation,0)</f>
        <v>0</v>
      </c>
      <c r="J608" s="491">
        <f ca="1">IF(ISNUMBER('R4 Variations'!J608),+'R4 Variations'!J608*LU_Escalation,0)</f>
        <v>0</v>
      </c>
      <c r="K608" s="491">
        <f ca="1">IF(ISNUMBER('R4 Variations'!K608),+'R4 Variations'!K608*LU_Escalation,0)</f>
        <v>0</v>
      </c>
      <c r="L608" s="515" t="str">
        <f ca="1">+'R4 Variations'!L608</f>
        <v/>
      </c>
      <c r="M608" s="450" t="str">
        <f ca="1">+'R4 Variations'!M608</f>
        <v/>
      </c>
      <c r="N608" s="450" t="str">
        <f ca="1">+'R4 Variations'!N608</f>
        <v/>
      </c>
    </row>
    <row r="609" spans="1:14">
      <c r="A609" s="5"/>
      <c r="B609" s="249"/>
      <c r="C609" s="384" t="str">
        <f ca="1">+'R4 Variations'!C609</f>
        <v/>
      </c>
      <c r="D609" s="491">
        <f ca="1">IF(ISNUMBER('R4 Variations'!D609),+'R4 Variations'!D609*LU_Escalation,0)</f>
        <v>0</v>
      </c>
      <c r="E609" s="850">
        <f ca="1">IF(ISNUMBER('R4 Variations'!E609),+'R4 Variations'!E609*LU_Escalation,0)</f>
        <v>0</v>
      </c>
      <c r="F609" s="491">
        <f ca="1">IF(ISNUMBER('R4 Variations'!F609),+'R4 Variations'!F609*LU_Escalation,0)</f>
        <v>0</v>
      </c>
      <c r="G609" s="491">
        <f ca="1">IF(ISNUMBER('R4 Variations'!G609),+'R4 Variations'!G609*LU_Escalation,0)</f>
        <v>0</v>
      </c>
      <c r="H609" s="491">
        <f ca="1">IF(ISNUMBER('R4 Variations'!H609),+'R4 Variations'!H609*LU_Escalation,0)</f>
        <v>0</v>
      </c>
      <c r="I609" s="491">
        <f ca="1">IF(ISNUMBER('R4 Variations'!I609),+'R4 Variations'!I609*LU_Escalation,0)</f>
        <v>0</v>
      </c>
      <c r="J609" s="491">
        <f ca="1">IF(ISNUMBER('R4 Variations'!J609),+'R4 Variations'!J609*LU_Escalation,0)</f>
        <v>0</v>
      </c>
      <c r="K609" s="491">
        <f ca="1">IF(ISNUMBER('R4 Variations'!K609),+'R4 Variations'!K609*LU_Escalation,0)</f>
        <v>0</v>
      </c>
      <c r="L609" s="515" t="str">
        <f ca="1">+'R4 Variations'!L609</f>
        <v/>
      </c>
      <c r="M609" s="450" t="str">
        <f ca="1">+'R4 Variations'!M609</f>
        <v/>
      </c>
      <c r="N609" s="450" t="str">
        <f ca="1">+'R4 Variations'!N609</f>
        <v/>
      </c>
    </row>
    <row r="610" spans="1:14">
      <c r="A610" s="5"/>
      <c r="B610" s="249"/>
      <c r="C610" s="384" t="str">
        <f ca="1">+'R4 Variations'!C610</f>
        <v/>
      </c>
      <c r="D610" s="491">
        <f ca="1">IF(ISNUMBER('R4 Variations'!D610),+'R4 Variations'!D610*LU_Escalation,0)</f>
        <v>0</v>
      </c>
      <c r="E610" s="850">
        <f ca="1">IF(ISNUMBER('R4 Variations'!E610),+'R4 Variations'!E610*LU_Escalation,0)</f>
        <v>0</v>
      </c>
      <c r="F610" s="491">
        <f ca="1">IF(ISNUMBER('R4 Variations'!F610),+'R4 Variations'!F610*LU_Escalation,0)</f>
        <v>0</v>
      </c>
      <c r="G610" s="491">
        <f ca="1">IF(ISNUMBER('R4 Variations'!G610),+'R4 Variations'!G610*LU_Escalation,0)</f>
        <v>0</v>
      </c>
      <c r="H610" s="491">
        <f ca="1">IF(ISNUMBER('R4 Variations'!H610),+'R4 Variations'!H610*LU_Escalation,0)</f>
        <v>0</v>
      </c>
      <c r="I610" s="491">
        <f ca="1">IF(ISNUMBER('R4 Variations'!I610),+'R4 Variations'!I610*LU_Escalation,0)</f>
        <v>0</v>
      </c>
      <c r="J610" s="491">
        <f ca="1">IF(ISNUMBER('R4 Variations'!J610),+'R4 Variations'!J610*LU_Escalation,0)</f>
        <v>0</v>
      </c>
      <c r="K610" s="491">
        <f ca="1">IF(ISNUMBER('R4 Variations'!K610),+'R4 Variations'!K610*LU_Escalation,0)</f>
        <v>0</v>
      </c>
      <c r="L610" s="515" t="str">
        <f ca="1">+'R4 Variations'!L610</f>
        <v/>
      </c>
      <c r="M610" s="450" t="str">
        <f ca="1">+'R4 Variations'!M610</f>
        <v/>
      </c>
      <c r="N610" s="450" t="str">
        <f ca="1">+'R4 Variations'!N610</f>
        <v/>
      </c>
    </row>
    <row r="611" spans="1:14">
      <c r="B611" s="249"/>
      <c r="C611" s="384" t="str">
        <f ca="1">+'R4 Variations'!C611</f>
        <v/>
      </c>
      <c r="D611" s="491">
        <f ca="1">IF(ISNUMBER('R4 Variations'!D611),+'R4 Variations'!D611*LU_Escalation,0)</f>
        <v>0</v>
      </c>
      <c r="E611" s="850">
        <f ca="1">IF(ISNUMBER('R4 Variations'!E611),+'R4 Variations'!E611*LU_Escalation,0)</f>
        <v>0</v>
      </c>
      <c r="F611" s="491">
        <f ca="1">IF(ISNUMBER('R4 Variations'!F611),+'R4 Variations'!F611*LU_Escalation,0)</f>
        <v>0</v>
      </c>
      <c r="G611" s="491">
        <f ca="1">IF(ISNUMBER('R4 Variations'!G611),+'R4 Variations'!G611*LU_Escalation,0)</f>
        <v>0</v>
      </c>
      <c r="H611" s="491">
        <f ca="1">IF(ISNUMBER('R4 Variations'!H611),+'R4 Variations'!H611*LU_Escalation,0)</f>
        <v>0</v>
      </c>
      <c r="I611" s="491">
        <f ca="1">IF(ISNUMBER('R4 Variations'!I611),+'R4 Variations'!I611*LU_Escalation,0)</f>
        <v>0</v>
      </c>
      <c r="J611" s="491">
        <f ca="1">IF(ISNUMBER('R4 Variations'!J611),+'R4 Variations'!J611*LU_Escalation,0)</f>
        <v>0</v>
      </c>
      <c r="K611" s="491">
        <f ca="1">IF(ISNUMBER('R4 Variations'!K611),+'R4 Variations'!K611*LU_Escalation,0)</f>
        <v>0</v>
      </c>
      <c r="L611" s="515" t="str">
        <f ca="1">+'R4 Variations'!L611</f>
        <v/>
      </c>
      <c r="M611" s="450" t="str">
        <f ca="1">+'R4 Variations'!M611</f>
        <v/>
      </c>
      <c r="N611" s="450" t="str">
        <f ca="1">+'R4 Variations'!N611</f>
        <v/>
      </c>
    </row>
    <row r="612" spans="1:14">
      <c r="B612" s="249"/>
      <c r="C612" s="384" t="str">
        <f ca="1">+'R4 Variations'!C612</f>
        <v/>
      </c>
      <c r="D612" s="491">
        <f ca="1">IF(ISNUMBER('R4 Variations'!D612),+'R4 Variations'!D612*LU_Escalation,0)</f>
        <v>0</v>
      </c>
      <c r="E612" s="850">
        <f ca="1">IF(ISNUMBER('R4 Variations'!E612),+'R4 Variations'!E612*LU_Escalation,0)</f>
        <v>0</v>
      </c>
      <c r="F612" s="491">
        <f ca="1">IF(ISNUMBER('R4 Variations'!F612),+'R4 Variations'!F612*LU_Escalation,0)</f>
        <v>0</v>
      </c>
      <c r="G612" s="491">
        <f ca="1">IF(ISNUMBER('R4 Variations'!G612),+'R4 Variations'!G612*LU_Escalation,0)</f>
        <v>0</v>
      </c>
      <c r="H612" s="491">
        <f ca="1">IF(ISNUMBER('R4 Variations'!H612),+'R4 Variations'!H612*LU_Escalation,0)</f>
        <v>0</v>
      </c>
      <c r="I612" s="491">
        <f ca="1">IF(ISNUMBER('R4 Variations'!I612),+'R4 Variations'!I612*LU_Escalation,0)</f>
        <v>0</v>
      </c>
      <c r="J612" s="491">
        <f ca="1">IF(ISNUMBER('R4 Variations'!J612),+'R4 Variations'!J612*LU_Escalation,0)</f>
        <v>0</v>
      </c>
      <c r="K612" s="491">
        <f ca="1">IF(ISNUMBER('R4 Variations'!K612),+'R4 Variations'!K612*LU_Escalation,0)</f>
        <v>0</v>
      </c>
      <c r="L612" s="515" t="str">
        <f ca="1">+'R4 Variations'!L612</f>
        <v/>
      </c>
      <c r="M612" s="450" t="str">
        <f ca="1">+'R4 Variations'!M612</f>
        <v/>
      </c>
      <c r="N612" s="450" t="str">
        <f ca="1">+'R4 Variations'!N612</f>
        <v/>
      </c>
    </row>
    <row r="613" spans="1:14">
      <c r="B613" s="249"/>
      <c r="C613" s="384" t="str">
        <f ca="1">+'R4 Variations'!C613</f>
        <v/>
      </c>
      <c r="D613" s="491">
        <f ca="1">IF(ISNUMBER('R4 Variations'!D613),+'R4 Variations'!D613*LU_Escalation,0)</f>
        <v>0</v>
      </c>
      <c r="E613" s="850">
        <f ca="1">IF(ISNUMBER('R4 Variations'!E613),+'R4 Variations'!E613*LU_Escalation,0)</f>
        <v>0</v>
      </c>
      <c r="F613" s="491">
        <f ca="1">IF(ISNUMBER('R4 Variations'!F613),+'R4 Variations'!F613*LU_Escalation,0)</f>
        <v>0</v>
      </c>
      <c r="G613" s="491">
        <f ca="1">IF(ISNUMBER('R4 Variations'!G613),+'R4 Variations'!G613*LU_Escalation,0)</f>
        <v>0</v>
      </c>
      <c r="H613" s="491">
        <f ca="1">IF(ISNUMBER('R4 Variations'!H613),+'R4 Variations'!H613*LU_Escalation,0)</f>
        <v>0</v>
      </c>
      <c r="I613" s="491">
        <f ca="1">IF(ISNUMBER('R4 Variations'!I613),+'R4 Variations'!I613*LU_Escalation,0)</f>
        <v>0</v>
      </c>
      <c r="J613" s="491">
        <f ca="1">IF(ISNUMBER('R4 Variations'!J613),+'R4 Variations'!J613*LU_Escalation,0)</f>
        <v>0</v>
      </c>
      <c r="K613" s="491">
        <f ca="1">IF(ISNUMBER('R4 Variations'!K613),+'R4 Variations'!K613*LU_Escalation,0)</f>
        <v>0</v>
      </c>
      <c r="L613" s="515" t="str">
        <f ca="1">+'R4 Variations'!L613</f>
        <v/>
      </c>
      <c r="M613" s="450" t="str">
        <f ca="1">+'R4 Variations'!M613</f>
        <v/>
      </c>
      <c r="N613" s="450" t="str">
        <f ca="1">+'R4 Variations'!N613</f>
        <v/>
      </c>
    </row>
    <row r="614" spans="1:14">
      <c r="B614" s="249"/>
      <c r="C614" s="384" t="str">
        <f ca="1">+'R4 Variations'!C614</f>
        <v/>
      </c>
      <c r="D614" s="491">
        <f ca="1">IF(ISNUMBER('R4 Variations'!D614),+'R4 Variations'!D614*LU_Escalation,0)</f>
        <v>0</v>
      </c>
      <c r="E614" s="850">
        <f ca="1">IF(ISNUMBER('R4 Variations'!E614),+'R4 Variations'!E614*LU_Escalation,0)</f>
        <v>0</v>
      </c>
      <c r="F614" s="491">
        <f ca="1">IF(ISNUMBER('R4 Variations'!F614),+'R4 Variations'!F614*LU_Escalation,0)</f>
        <v>0</v>
      </c>
      <c r="G614" s="491">
        <f ca="1">IF(ISNUMBER('R4 Variations'!G614),+'R4 Variations'!G614*LU_Escalation,0)</f>
        <v>0</v>
      </c>
      <c r="H614" s="491">
        <f ca="1">IF(ISNUMBER('R4 Variations'!H614),+'R4 Variations'!H614*LU_Escalation,0)</f>
        <v>0</v>
      </c>
      <c r="I614" s="491">
        <f ca="1">IF(ISNUMBER('R4 Variations'!I614),+'R4 Variations'!I614*LU_Escalation,0)</f>
        <v>0</v>
      </c>
      <c r="J614" s="491">
        <f ca="1">IF(ISNUMBER('R4 Variations'!J614),+'R4 Variations'!J614*LU_Escalation,0)</f>
        <v>0</v>
      </c>
      <c r="K614" s="491">
        <f ca="1">IF(ISNUMBER('R4 Variations'!K614),+'R4 Variations'!K614*LU_Escalation,0)</f>
        <v>0</v>
      </c>
      <c r="L614" s="515" t="str">
        <f ca="1">+'R4 Variations'!L614</f>
        <v/>
      </c>
      <c r="M614" s="450" t="str">
        <f ca="1">+'R4 Variations'!M614</f>
        <v/>
      </c>
      <c r="N614" s="450" t="str">
        <f ca="1">+'R4 Variations'!N614</f>
        <v/>
      </c>
    </row>
    <row r="615" spans="1:14">
      <c r="B615" s="249"/>
      <c r="C615" s="384" t="str">
        <f ca="1">+'R4 Variations'!C615</f>
        <v/>
      </c>
      <c r="D615" s="491">
        <f ca="1">IF(ISNUMBER('R4 Variations'!D615),+'R4 Variations'!D615*LU_Escalation,0)</f>
        <v>0</v>
      </c>
      <c r="E615" s="850">
        <f ca="1">IF(ISNUMBER('R4 Variations'!E615),+'R4 Variations'!E615*LU_Escalation,0)</f>
        <v>0</v>
      </c>
      <c r="F615" s="491">
        <f ca="1">IF(ISNUMBER('R4 Variations'!F615),+'R4 Variations'!F615*LU_Escalation,0)</f>
        <v>0</v>
      </c>
      <c r="G615" s="491">
        <f ca="1">IF(ISNUMBER('R4 Variations'!G615),+'R4 Variations'!G615*LU_Escalation,0)</f>
        <v>0</v>
      </c>
      <c r="H615" s="491">
        <f ca="1">IF(ISNUMBER('R4 Variations'!H615),+'R4 Variations'!H615*LU_Escalation,0)</f>
        <v>0</v>
      </c>
      <c r="I615" s="491">
        <f ca="1">IF(ISNUMBER('R4 Variations'!I615),+'R4 Variations'!I615*LU_Escalation,0)</f>
        <v>0</v>
      </c>
      <c r="J615" s="491">
        <f ca="1">IF(ISNUMBER('R4 Variations'!J615),+'R4 Variations'!J615*LU_Escalation,0)</f>
        <v>0</v>
      </c>
      <c r="K615" s="491">
        <f ca="1">IF(ISNUMBER('R4 Variations'!K615),+'R4 Variations'!K615*LU_Escalation,0)</f>
        <v>0</v>
      </c>
      <c r="L615" s="515" t="str">
        <f ca="1">+'R4 Variations'!L615</f>
        <v/>
      </c>
      <c r="M615" s="450" t="str">
        <f ca="1">+'R4 Variations'!M615</f>
        <v/>
      </c>
      <c r="N615" s="450" t="str">
        <f ca="1">+'R4 Variations'!N615</f>
        <v/>
      </c>
    </row>
    <row r="616" spans="1:14">
      <c r="B616" s="249"/>
      <c r="C616" s="13"/>
      <c r="D616" s="491"/>
      <c r="E616" s="508"/>
      <c r="F616" s="491"/>
      <c r="G616" s="492"/>
      <c r="H616" s="492"/>
      <c r="I616" s="492"/>
      <c r="J616" s="492"/>
      <c r="K616" s="508"/>
      <c r="L616" s="515"/>
      <c r="M616" s="450"/>
      <c r="N616" s="450"/>
    </row>
    <row r="617" spans="1:14">
      <c r="A617" s="5"/>
      <c r="B617" s="249" t="str">
        <f ca="1">+'I-4 History'!B462</f>
        <v>A-27</v>
      </c>
      <c r="C617" s="14" t="str">
        <f ca="1">+'I-4 History'!C462</f>
        <v>Environment</v>
      </c>
      <c r="D617" s="491"/>
      <c r="E617" s="508"/>
      <c r="F617" s="491"/>
      <c r="G617" s="492"/>
      <c r="H617" s="492"/>
      <c r="I617" s="492"/>
      <c r="J617" s="492"/>
      <c r="K617" s="508"/>
      <c r="L617" s="515"/>
      <c r="M617" s="450"/>
      <c r="N617" s="450"/>
    </row>
    <row r="618" spans="1:14">
      <c r="A618" s="5"/>
      <c r="B618" s="249"/>
      <c r="C618" s="384" t="str">
        <f ca="1">+'R4 Variations'!C618</f>
        <v>Step Change</v>
      </c>
      <c r="D618" s="491">
        <f ca="1">IF(ISNUMBER('R4 Variations'!D618),+'R4 Variations'!D618*LU_Escalation,0)</f>
        <v>0</v>
      </c>
      <c r="E618" s="850">
        <f ca="1">IF(ISNUMBER('R4 Variations'!E618),+'R4 Variations'!E618*LU_Escalation,0)</f>
        <v>0</v>
      </c>
      <c r="F618" s="491">
        <f ca="1">IF(ISNUMBER('R4 Variations'!F618),+'R4 Variations'!F618*LU_Escalation,0)</f>
        <v>0</v>
      </c>
      <c r="G618" s="491">
        <f ca="1">IF(ISNUMBER('R4 Variations'!G618),+'R4 Variations'!G618*LU_Escalation,0)</f>
        <v>0</v>
      </c>
      <c r="H618" s="491">
        <f ca="1">IF(ISNUMBER('R4 Variations'!H618),+'R4 Variations'!H618*LU_Escalation,0)</f>
        <v>0</v>
      </c>
      <c r="I618" s="491">
        <f ca="1">IF(ISNUMBER('R4 Variations'!I618),+'R4 Variations'!I618*LU_Escalation,0)</f>
        <v>0</v>
      </c>
      <c r="J618" s="491">
        <f ca="1">IF(ISNUMBER('R4 Variations'!J618),+'R4 Variations'!J618*LU_Escalation,0)</f>
        <v>0</v>
      </c>
      <c r="K618" s="491">
        <f ca="1">IF(ISNUMBER('R4 Variations'!K618),+'R4 Variations'!K618*LU_Escalation,0)</f>
        <v>0</v>
      </c>
      <c r="L618" s="515" t="str">
        <f ca="1">+'R4 Variations'!L618</f>
        <v>Proposal Step Change</v>
      </c>
      <c r="M618" s="450" t="str">
        <f ca="1">+'R4 Variations'!M618</f>
        <v>Refer Opex Workings</v>
      </c>
      <c r="N618" s="450" t="str">
        <f ca="1">+'R4 Variations'!N618</f>
        <v>Proposal, October 2014</v>
      </c>
    </row>
    <row r="619" spans="1:14">
      <c r="A619" s="5"/>
      <c r="B619" s="249"/>
      <c r="C619" s="384" t="str">
        <f ca="1">+'R4 Variations'!C619</f>
        <v/>
      </c>
      <c r="D619" s="491">
        <f ca="1">IF(ISNUMBER('R4 Variations'!D619),+'R4 Variations'!D619*LU_Escalation,0)</f>
        <v>0</v>
      </c>
      <c r="E619" s="850">
        <f ca="1">IF(ISNUMBER('R4 Variations'!E619),+'R4 Variations'!E619*LU_Escalation,0)</f>
        <v>0</v>
      </c>
      <c r="F619" s="491">
        <f ca="1">IF(ISNUMBER('R4 Variations'!F619),+'R4 Variations'!F619*LU_Escalation,0)</f>
        <v>0</v>
      </c>
      <c r="G619" s="491">
        <f ca="1">IF(ISNUMBER('R4 Variations'!G619),+'R4 Variations'!G619*LU_Escalation,0)</f>
        <v>0</v>
      </c>
      <c r="H619" s="491">
        <f ca="1">IF(ISNUMBER('R4 Variations'!H619),+'R4 Variations'!H619*LU_Escalation,0)</f>
        <v>0</v>
      </c>
      <c r="I619" s="491">
        <f ca="1">IF(ISNUMBER('R4 Variations'!I619),+'R4 Variations'!I619*LU_Escalation,0)</f>
        <v>0</v>
      </c>
      <c r="J619" s="491">
        <f ca="1">IF(ISNUMBER('R4 Variations'!J619),+'R4 Variations'!J619*LU_Escalation,0)</f>
        <v>0</v>
      </c>
      <c r="K619" s="491">
        <f ca="1">IF(ISNUMBER('R4 Variations'!K619),+'R4 Variations'!K619*LU_Escalation,0)</f>
        <v>0</v>
      </c>
      <c r="L619" s="515" t="str">
        <f ca="1">+'R4 Variations'!L619</f>
        <v/>
      </c>
      <c r="M619" s="450" t="str">
        <f ca="1">+'R4 Variations'!M619</f>
        <v/>
      </c>
      <c r="N619" s="450" t="str">
        <f ca="1">+'R4 Variations'!N619</f>
        <v/>
      </c>
    </row>
    <row r="620" spans="1:14">
      <c r="A620" s="5"/>
      <c r="B620" s="249"/>
      <c r="C620" s="384" t="str">
        <f ca="1">+'R4 Variations'!C620</f>
        <v/>
      </c>
      <c r="D620" s="491">
        <f ca="1">IF(ISNUMBER('R4 Variations'!D620),+'R4 Variations'!D620*LU_Escalation,0)</f>
        <v>0</v>
      </c>
      <c r="E620" s="850">
        <f ca="1">IF(ISNUMBER('R4 Variations'!E620),+'R4 Variations'!E620*LU_Escalation,0)</f>
        <v>0</v>
      </c>
      <c r="F620" s="491">
        <f ca="1">IF(ISNUMBER('R4 Variations'!F620),+'R4 Variations'!F620*LU_Escalation,0)</f>
        <v>0</v>
      </c>
      <c r="G620" s="491">
        <f ca="1">IF(ISNUMBER('R4 Variations'!G620),+'R4 Variations'!G620*LU_Escalation,0)</f>
        <v>0</v>
      </c>
      <c r="H620" s="491">
        <f ca="1">IF(ISNUMBER('R4 Variations'!H620),+'R4 Variations'!H620*LU_Escalation,0)</f>
        <v>0</v>
      </c>
      <c r="I620" s="491">
        <f ca="1">IF(ISNUMBER('R4 Variations'!I620),+'R4 Variations'!I620*LU_Escalation,0)</f>
        <v>0</v>
      </c>
      <c r="J620" s="491">
        <f ca="1">IF(ISNUMBER('R4 Variations'!J620),+'R4 Variations'!J620*LU_Escalation,0)</f>
        <v>0</v>
      </c>
      <c r="K620" s="491">
        <f ca="1">IF(ISNUMBER('R4 Variations'!K620),+'R4 Variations'!K620*LU_Escalation,0)</f>
        <v>0</v>
      </c>
      <c r="L620" s="515" t="str">
        <f ca="1">+'R4 Variations'!L620</f>
        <v/>
      </c>
      <c r="M620" s="450" t="str">
        <f ca="1">+'R4 Variations'!M620</f>
        <v/>
      </c>
      <c r="N620" s="450" t="str">
        <f ca="1">+'R4 Variations'!N620</f>
        <v/>
      </c>
    </row>
    <row r="621" spans="1:14">
      <c r="A621" s="5"/>
      <c r="B621" s="249"/>
      <c r="C621" s="384" t="str">
        <f ca="1">+'R4 Variations'!C621</f>
        <v/>
      </c>
      <c r="D621" s="491">
        <f ca="1">IF(ISNUMBER('R4 Variations'!D621),+'R4 Variations'!D621*LU_Escalation,0)</f>
        <v>0</v>
      </c>
      <c r="E621" s="850">
        <f ca="1">IF(ISNUMBER('R4 Variations'!E621),+'R4 Variations'!E621*LU_Escalation,0)</f>
        <v>0</v>
      </c>
      <c r="F621" s="491">
        <f ca="1">IF(ISNUMBER('R4 Variations'!F621),+'R4 Variations'!F621*LU_Escalation,0)</f>
        <v>0</v>
      </c>
      <c r="G621" s="491">
        <f ca="1">IF(ISNUMBER('R4 Variations'!G621),+'R4 Variations'!G621*LU_Escalation,0)</f>
        <v>0</v>
      </c>
      <c r="H621" s="491">
        <f ca="1">IF(ISNUMBER('R4 Variations'!H621),+'R4 Variations'!H621*LU_Escalation,0)</f>
        <v>0</v>
      </c>
      <c r="I621" s="491">
        <f ca="1">IF(ISNUMBER('R4 Variations'!I621),+'R4 Variations'!I621*LU_Escalation,0)</f>
        <v>0</v>
      </c>
      <c r="J621" s="491">
        <f ca="1">IF(ISNUMBER('R4 Variations'!J621),+'R4 Variations'!J621*LU_Escalation,0)</f>
        <v>0</v>
      </c>
      <c r="K621" s="491">
        <f ca="1">IF(ISNUMBER('R4 Variations'!K621),+'R4 Variations'!K621*LU_Escalation,0)</f>
        <v>0</v>
      </c>
      <c r="L621" s="515" t="str">
        <f ca="1">+'R4 Variations'!L621</f>
        <v/>
      </c>
      <c r="M621" s="450" t="str">
        <f ca="1">+'R4 Variations'!M621</f>
        <v/>
      </c>
      <c r="N621" s="450" t="str">
        <f ca="1">+'R4 Variations'!N621</f>
        <v/>
      </c>
    </row>
    <row r="622" spans="1:14">
      <c r="A622" s="5"/>
      <c r="B622" s="249"/>
      <c r="C622" s="384" t="str">
        <f ca="1">+'R4 Variations'!C622</f>
        <v/>
      </c>
      <c r="D622" s="491">
        <f ca="1">IF(ISNUMBER('R4 Variations'!D622),+'R4 Variations'!D622*LU_Escalation,0)</f>
        <v>0</v>
      </c>
      <c r="E622" s="850">
        <f ca="1">IF(ISNUMBER('R4 Variations'!E622),+'R4 Variations'!E622*LU_Escalation,0)</f>
        <v>0</v>
      </c>
      <c r="F622" s="491">
        <f ca="1">IF(ISNUMBER('R4 Variations'!F622),+'R4 Variations'!F622*LU_Escalation,0)</f>
        <v>0</v>
      </c>
      <c r="G622" s="491">
        <f ca="1">IF(ISNUMBER('R4 Variations'!G622),+'R4 Variations'!G622*LU_Escalation,0)</f>
        <v>0</v>
      </c>
      <c r="H622" s="491">
        <f ca="1">IF(ISNUMBER('R4 Variations'!H622),+'R4 Variations'!H622*LU_Escalation,0)</f>
        <v>0</v>
      </c>
      <c r="I622" s="491">
        <f ca="1">IF(ISNUMBER('R4 Variations'!I622),+'R4 Variations'!I622*LU_Escalation,0)</f>
        <v>0</v>
      </c>
      <c r="J622" s="491">
        <f ca="1">IF(ISNUMBER('R4 Variations'!J622),+'R4 Variations'!J622*LU_Escalation,0)</f>
        <v>0</v>
      </c>
      <c r="K622" s="491">
        <f ca="1">IF(ISNUMBER('R4 Variations'!K622),+'R4 Variations'!K622*LU_Escalation,0)</f>
        <v>0</v>
      </c>
      <c r="L622" s="515" t="str">
        <f ca="1">+'R4 Variations'!L622</f>
        <v/>
      </c>
      <c r="M622" s="450" t="str">
        <f ca="1">+'R4 Variations'!M622</f>
        <v/>
      </c>
      <c r="N622" s="450" t="str">
        <f ca="1">+'R4 Variations'!N622</f>
        <v/>
      </c>
    </row>
    <row r="623" spans="1:14">
      <c r="A623" s="5"/>
      <c r="B623" s="249"/>
      <c r="C623" s="384" t="str">
        <f ca="1">+'R4 Variations'!C623</f>
        <v/>
      </c>
      <c r="D623" s="491">
        <f ca="1">IF(ISNUMBER('R4 Variations'!D623),+'R4 Variations'!D623*LU_Escalation,0)</f>
        <v>0</v>
      </c>
      <c r="E623" s="850">
        <f ca="1">IF(ISNUMBER('R4 Variations'!E623),+'R4 Variations'!E623*LU_Escalation,0)</f>
        <v>0</v>
      </c>
      <c r="F623" s="491">
        <f ca="1">IF(ISNUMBER('R4 Variations'!F623),+'R4 Variations'!F623*LU_Escalation,0)</f>
        <v>0</v>
      </c>
      <c r="G623" s="491">
        <f ca="1">IF(ISNUMBER('R4 Variations'!G623),+'R4 Variations'!G623*LU_Escalation,0)</f>
        <v>0</v>
      </c>
      <c r="H623" s="491">
        <f ca="1">IF(ISNUMBER('R4 Variations'!H623),+'R4 Variations'!H623*LU_Escalation,0)</f>
        <v>0</v>
      </c>
      <c r="I623" s="491">
        <f ca="1">IF(ISNUMBER('R4 Variations'!I623),+'R4 Variations'!I623*LU_Escalation,0)</f>
        <v>0</v>
      </c>
      <c r="J623" s="491">
        <f ca="1">IF(ISNUMBER('R4 Variations'!J623),+'R4 Variations'!J623*LU_Escalation,0)</f>
        <v>0</v>
      </c>
      <c r="K623" s="491">
        <f ca="1">IF(ISNUMBER('R4 Variations'!K623),+'R4 Variations'!K623*LU_Escalation,0)</f>
        <v>0</v>
      </c>
      <c r="L623" s="515" t="str">
        <f ca="1">+'R4 Variations'!L623</f>
        <v/>
      </c>
      <c r="M623" s="450" t="str">
        <f ca="1">+'R4 Variations'!M623</f>
        <v/>
      </c>
      <c r="N623" s="450" t="str">
        <f ca="1">+'R4 Variations'!N623</f>
        <v/>
      </c>
    </row>
    <row r="624" spans="1:14">
      <c r="A624" s="5"/>
      <c r="B624" s="249"/>
      <c r="C624" s="384" t="str">
        <f ca="1">+'R4 Variations'!C624</f>
        <v/>
      </c>
      <c r="D624" s="491">
        <f ca="1">IF(ISNUMBER('R4 Variations'!D624),+'R4 Variations'!D624*LU_Escalation,0)</f>
        <v>0</v>
      </c>
      <c r="E624" s="850">
        <f ca="1">IF(ISNUMBER('R4 Variations'!E624),+'R4 Variations'!E624*LU_Escalation,0)</f>
        <v>0</v>
      </c>
      <c r="F624" s="491">
        <f ca="1">IF(ISNUMBER('R4 Variations'!F624),+'R4 Variations'!F624*LU_Escalation,0)</f>
        <v>0</v>
      </c>
      <c r="G624" s="491">
        <f ca="1">IF(ISNUMBER('R4 Variations'!G624),+'R4 Variations'!G624*LU_Escalation,0)</f>
        <v>0</v>
      </c>
      <c r="H624" s="491">
        <f ca="1">IF(ISNUMBER('R4 Variations'!H624),+'R4 Variations'!H624*LU_Escalation,0)</f>
        <v>0</v>
      </c>
      <c r="I624" s="491">
        <f ca="1">IF(ISNUMBER('R4 Variations'!I624),+'R4 Variations'!I624*LU_Escalation,0)</f>
        <v>0</v>
      </c>
      <c r="J624" s="491">
        <f ca="1">IF(ISNUMBER('R4 Variations'!J624),+'R4 Variations'!J624*LU_Escalation,0)</f>
        <v>0</v>
      </c>
      <c r="K624" s="491">
        <f ca="1">IF(ISNUMBER('R4 Variations'!K624),+'R4 Variations'!K624*LU_Escalation,0)</f>
        <v>0</v>
      </c>
      <c r="L624" s="515" t="str">
        <f ca="1">+'R4 Variations'!L624</f>
        <v/>
      </c>
      <c r="M624" s="450" t="str">
        <f ca="1">+'R4 Variations'!M624</f>
        <v/>
      </c>
      <c r="N624" s="450" t="str">
        <f ca="1">+'R4 Variations'!N624</f>
        <v/>
      </c>
    </row>
    <row r="625" spans="1:14">
      <c r="A625" s="5"/>
      <c r="B625" s="249"/>
      <c r="C625" s="384" t="str">
        <f ca="1">+'R4 Variations'!C625</f>
        <v/>
      </c>
      <c r="D625" s="491">
        <f ca="1">IF(ISNUMBER('R4 Variations'!D625),+'R4 Variations'!D625*LU_Escalation,0)</f>
        <v>0</v>
      </c>
      <c r="E625" s="850">
        <f ca="1">IF(ISNUMBER('R4 Variations'!E625),+'R4 Variations'!E625*LU_Escalation,0)</f>
        <v>0</v>
      </c>
      <c r="F625" s="491">
        <f ca="1">IF(ISNUMBER('R4 Variations'!F625),+'R4 Variations'!F625*LU_Escalation,0)</f>
        <v>0</v>
      </c>
      <c r="G625" s="491">
        <f ca="1">IF(ISNUMBER('R4 Variations'!G625),+'R4 Variations'!G625*LU_Escalation,0)</f>
        <v>0</v>
      </c>
      <c r="H625" s="491">
        <f ca="1">IF(ISNUMBER('R4 Variations'!H625),+'R4 Variations'!H625*LU_Escalation,0)</f>
        <v>0</v>
      </c>
      <c r="I625" s="491">
        <f ca="1">IF(ISNUMBER('R4 Variations'!I625),+'R4 Variations'!I625*LU_Escalation,0)</f>
        <v>0</v>
      </c>
      <c r="J625" s="491">
        <f ca="1">IF(ISNUMBER('R4 Variations'!J625),+'R4 Variations'!J625*LU_Escalation,0)</f>
        <v>0</v>
      </c>
      <c r="K625" s="491">
        <f ca="1">IF(ISNUMBER('R4 Variations'!K625),+'R4 Variations'!K625*LU_Escalation,0)</f>
        <v>0</v>
      </c>
      <c r="L625" s="515" t="str">
        <f ca="1">+'R4 Variations'!L625</f>
        <v/>
      </c>
      <c r="M625" s="450" t="str">
        <f ca="1">+'R4 Variations'!M625</f>
        <v/>
      </c>
      <c r="N625" s="450" t="str">
        <f ca="1">+'R4 Variations'!N625</f>
        <v/>
      </c>
    </row>
    <row r="626" spans="1:14">
      <c r="A626" s="5"/>
      <c r="B626" s="249"/>
      <c r="C626" s="384" t="str">
        <f ca="1">+'R4 Variations'!C626</f>
        <v/>
      </c>
      <c r="D626" s="491">
        <f ca="1">IF(ISNUMBER('R4 Variations'!D626),+'R4 Variations'!D626*LU_Escalation,0)</f>
        <v>0</v>
      </c>
      <c r="E626" s="850">
        <f ca="1">IF(ISNUMBER('R4 Variations'!E626),+'R4 Variations'!E626*LU_Escalation,0)</f>
        <v>0</v>
      </c>
      <c r="F626" s="491">
        <f ca="1">IF(ISNUMBER('R4 Variations'!F626),+'R4 Variations'!F626*LU_Escalation,0)</f>
        <v>0</v>
      </c>
      <c r="G626" s="491">
        <f ca="1">IF(ISNUMBER('R4 Variations'!G626),+'R4 Variations'!G626*LU_Escalation,0)</f>
        <v>0</v>
      </c>
      <c r="H626" s="491">
        <f ca="1">IF(ISNUMBER('R4 Variations'!H626),+'R4 Variations'!H626*LU_Escalation,0)</f>
        <v>0</v>
      </c>
      <c r="I626" s="491">
        <f ca="1">IF(ISNUMBER('R4 Variations'!I626),+'R4 Variations'!I626*LU_Escalation,0)</f>
        <v>0</v>
      </c>
      <c r="J626" s="491">
        <f ca="1">IF(ISNUMBER('R4 Variations'!J626),+'R4 Variations'!J626*LU_Escalation,0)</f>
        <v>0</v>
      </c>
      <c r="K626" s="491">
        <f ca="1">IF(ISNUMBER('R4 Variations'!K626),+'R4 Variations'!K626*LU_Escalation,0)</f>
        <v>0</v>
      </c>
      <c r="L626" s="515" t="str">
        <f ca="1">+'R4 Variations'!L626</f>
        <v/>
      </c>
      <c r="M626" s="450" t="str">
        <f ca="1">+'R4 Variations'!M626</f>
        <v/>
      </c>
      <c r="N626" s="450" t="str">
        <f ca="1">+'R4 Variations'!N626</f>
        <v/>
      </c>
    </row>
    <row r="627" spans="1:14">
      <c r="A627" s="5"/>
      <c r="B627" s="249"/>
      <c r="C627" s="384" t="str">
        <f ca="1">+'R4 Variations'!C627</f>
        <v/>
      </c>
      <c r="D627" s="491">
        <f ca="1">IF(ISNUMBER('R4 Variations'!D627),+'R4 Variations'!D627*LU_Escalation,0)</f>
        <v>0</v>
      </c>
      <c r="E627" s="850">
        <f ca="1">IF(ISNUMBER('R4 Variations'!E627),+'R4 Variations'!E627*LU_Escalation,0)</f>
        <v>0</v>
      </c>
      <c r="F627" s="491">
        <f ca="1">IF(ISNUMBER('R4 Variations'!F627),+'R4 Variations'!F627*LU_Escalation,0)</f>
        <v>0</v>
      </c>
      <c r="G627" s="491">
        <f ca="1">IF(ISNUMBER('R4 Variations'!G627),+'R4 Variations'!G627*LU_Escalation,0)</f>
        <v>0</v>
      </c>
      <c r="H627" s="491">
        <f ca="1">IF(ISNUMBER('R4 Variations'!H627),+'R4 Variations'!H627*LU_Escalation,0)</f>
        <v>0</v>
      </c>
      <c r="I627" s="491">
        <f ca="1">IF(ISNUMBER('R4 Variations'!I627),+'R4 Variations'!I627*LU_Escalation,0)</f>
        <v>0</v>
      </c>
      <c r="J627" s="491">
        <f ca="1">IF(ISNUMBER('R4 Variations'!J627),+'R4 Variations'!J627*LU_Escalation,0)</f>
        <v>0</v>
      </c>
      <c r="K627" s="491">
        <f ca="1">IF(ISNUMBER('R4 Variations'!K627),+'R4 Variations'!K627*LU_Escalation,0)</f>
        <v>0</v>
      </c>
      <c r="L627" s="515" t="str">
        <f ca="1">+'R4 Variations'!L627</f>
        <v/>
      </c>
      <c r="M627" s="450" t="str">
        <f ca="1">+'R4 Variations'!M627</f>
        <v/>
      </c>
      <c r="N627" s="450" t="str">
        <f ca="1">+'R4 Variations'!N627</f>
        <v/>
      </c>
    </row>
    <row r="628" spans="1:14">
      <c r="A628" s="5"/>
      <c r="B628" s="249"/>
      <c r="C628" s="12"/>
      <c r="D628" s="491"/>
      <c r="E628" s="508"/>
      <c r="F628" s="491"/>
      <c r="G628" s="492"/>
      <c r="H628" s="492"/>
      <c r="I628" s="492"/>
      <c r="J628" s="492"/>
      <c r="K628" s="508"/>
      <c r="L628" s="515"/>
      <c r="M628" s="450"/>
      <c r="N628" s="450"/>
    </row>
    <row r="629" spans="1:14">
      <c r="A629" s="5"/>
      <c r="B629" s="249" t="str">
        <f ca="1">+'I-4 History'!B471</f>
        <v>A-28</v>
      </c>
      <c r="C629" s="262" t="str">
        <f ca="1">+'I-4 History'!C471</f>
        <v xml:space="preserve">Printing </v>
      </c>
      <c r="D629" s="491"/>
      <c r="E629" s="508"/>
      <c r="F629" s="491"/>
      <c r="G629" s="492"/>
      <c r="H629" s="492"/>
      <c r="I629" s="492"/>
      <c r="J629" s="492"/>
      <c r="K629" s="508"/>
      <c r="L629" s="515"/>
      <c r="M629" s="450"/>
      <c r="N629" s="450"/>
    </row>
    <row r="630" spans="1:14">
      <c r="A630" s="5"/>
      <c r="B630" s="249"/>
      <c r="C630" s="384" t="str">
        <f ca="1">+'R4 Variations'!C630</f>
        <v>Step Change</v>
      </c>
      <c r="D630" s="491">
        <f ca="1">IF(ISNUMBER('R4 Variations'!D630),+'R4 Variations'!D630*LU_Escalation,0)</f>
        <v>0</v>
      </c>
      <c r="E630" s="850">
        <f ca="1">IF(ISNUMBER('R4 Variations'!E630),+'R4 Variations'!E630*LU_Escalation,0)</f>
        <v>0</v>
      </c>
      <c r="F630" s="491">
        <f ca="1">IF(ISNUMBER('R4 Variations'!F630),+'R4 Variations'!F630*LU_Escalation,0)</f>
        <v>0</v>
      </c>
      <c r="G630" s="491">
        <f ca="1">IF(ISNUMBER('R4 Variations'!G630),+'R4 Variations'!G630*LU_Escalation,0)</f>
        <v>0</v>
      </c>
      <c r="H630" s="491">
        <f ca="1">IF(ISNUMBER('R4 Variations'!H630),+'R4 Variations'!H630*LU_Escalation,0)</f>
        <v>0</v>
      </c>
      <c r="I630" s="491">
        <f ca="1">IF(ISNUMBER('R4 Variations'!I630),+'R4 Variations'!I630*LU_Escalation,0)</f>
        <v>0</v>
      </c>
      <c r="J630" s="491">
        <f ca="1">IF(ISNUMBER('R4 Variations'!J630),+'R4 Variations'!J630*LU_Escalation,0)</f>
        <v>0</v>
      </c>
      <c r="K630" s="491">
        <f ca="1">IF(ISNUMBER('R4 Variations'!K630),+'R4 Variations'!K630*LU_Escalation,0)</f>
        <v>0</v>
      </c>
      <c r="L630" s="515" t="str">
        <f ca="1">+'R4 Variations'!L630</f>
        <v>Proposal Step Change</v>
      </c>
      <c r="M630" s="450" t="str">
        <f ca="1">+'R4 Variations'!M630</f>
        <v>Refer Opex Workings</v>
      </c>
      <c r="N630" s="450" t="str">
        <f ca="1">+'R4 Variations'!N630</f>
        <v>Proposal, October 2014</v>
      </c>
    </row>
    <row r="631" spans="1:14">
      <c r="A631" s="5"/>
      <c r="B631" s="249"/>
      <c r="C631" s="384" t="str">
        <f ca="1">+'R4 Variations'!C631</f>
        <v/>
      </c>
      <c r="D631" s="491">
        <f ca="1">IF(ISNUMBER('R4 Variations'!D631),+'R4 Variations'!D631*LU_Escalation,0)</f>
        <v>0</v>
      </c>
      <c r="E631" s="850">
        <f ca="1">IF(ISNUMBER('R4 Variations'!E631),+'R4 Variations'!E631*LU_Escalation,0)</f>
        <v>0</v>
      </c>
      <c r="F631" s="491">
        <f ca="1">IF(ISNUMBER('R4 Variations'!F631),+'R4 Variations'!F631*LU_Escalation,0)</f>
        <v>0</v>
      </c>
      <c r="G631" s="491">
        <f ca="1">IF(ISNUMBER('R4 Variations'!G631),+'R4 Variations'!G631*LU_Escalation,0)</f>
        <v>0</v>
      </c>
      <c r="H631" s="491">
        <f ca="1">IF(ISNUMBER('R4 Variations'!H631),+'R4 Variations'!H631*LU_Escalation,0)</f>
        <v>0</v>
      </c>
      <c r="I631" s="491">
        <f ca="1">IF(ISNUMBER('R4 Variations'!I631),+'R4 Variations'!I631*LU_Escalation,0)</f>
        <v>0</v>
      </c>
      <c r="J631" s="491">
        <f ca="1">IF(ISNUMBER('R4 Variations'!J631),+'R4 Variations'!J631*LU_Escalation,0)</f>
        <v>0</v>
      </c>
      <c r="K631" s="491">
        <f ca="1">IF(ISNUMBER('R4 Variations'!K631),+'R4 Variations'!K631*LU_Escalation,0)</f>
        <v>0</v>
      </c>
      <c r="L631" s="515" t="str">
        <f ca="1">+'R4 Variations'!L631</f>
        <v/>
      </c>
      <c r="M631" s="450" t="str">
        <f ca="1">+'R4 Variations'!M631</f>
        <v/>
      </c>
      <c r="N631" s="450" t="str">
        <f ca="1">+'R4 Variations'!N631</f>
        <v/>
      </c>
    </row>
    <row r="632" spans="1:14">
      <c r="A632" s="5"/>
      <c r="B632" s="249"/>
      <c r="C632" s="384" t="str">
        <f ca="1">+'R4 Variations'!C632</f>
        <v/>
      </c>
      <c r="D632" s="491">
        <f ca="1">IF(ISNUMBER('R4 Variations'!D632),+'R4 Variations'!D632*LU_Escalation,0)</f>
        <v>0</v>
      </c>
      <c r="E632" s="850">
        <f ca="1">IF(ISNUMBER('R4 Variations'!E632),+'R4 Variations'!E632*LU_Escalation,0)</f>
        <v>0</v>
      </c>
      <c r="F632" s="491">
        <f ca="1">IF(ISNUMBER('R4 Variations'!F632),+'R4 Variations'!F632*LU_Escalation,0)</f>
        <v>0</v>
      </c>
      <c r="G632" s="491">
        <f ca="1">IF(ISNUMBER('R4 Variations'!G632),+'R4 Variations'!G632*LU_Escalation,0)</f>
        <v>0</v>
      </c>
      <c r="H632" s="491">
        <f ca="1">IF(ISNUMBER('R4 Variations'!H632),+'R4 Variations'!H632*LU_Escalation,0)</f>
        <v>0</v>
      </c>
      <c r="I632" s="491">
        <f ca="1">IF(ISNUMBER('R4 Variations'!I632),+'R4 Variations'!I632*LU_Escalation,0)</f>
        <v>0</v>
      </c>
      <c r="J632" s="491">
        <f ca="1">IF(ISNUMBER('R4 Variations'!J632),+'R4 Variations'!J632*LU_Escalation,0)</f>
        <v>0</v>
      </c>
      <c r="K632" s="491">
        <f ca="1">IF(ISNUMBER('R4 Variations'!K632),+'R4 Variations'!K632*LU_Escalation,0)</f>
        <v>0</v>
      </c>
      <c r="L632" s="515" t="str">
        <f ca="1">+'R4 Variations'!L632</f>
        <v/>
      </c>
      <c r="M632" s="450" t="str">
        <f ca="1">+'R4 Variations'!M632</f>
        <v/>
      </c>
      <c r="N632" s="450" t="str">
        <f ca="1">+'R4 Variations'!N632</f>
        <v/>
      </c>
    </row>
    <row r="633" spans="1:14">
      <c r="A633" s="5"/>
      <c r="B633" s="249"/>
      <c r="C633" s="384" t="str">
        <f ca="1">+'R4 Variations'!C633</f>
        <v/>
      </c>
      <c r="D633" s="491">
        <f ca="1">IF(ISNUMBER('R4 Variations'!D633),+'R4 Variations'!D633*LU_Escalation,0)</f>
        <v>0</v>
      </c>
      <c r="E633" s="850">
        <f ca="1">IF(ISNUMBER('R4 Variations'!E633),+'R4 Variations'!E633*LU_Escalation,0)</f>
        <v>0</v>
      </c>
      <c r="F633" s="491">
        <f ca="1">IF(ISNUMBER('R4 Variations'!F633),+'R4 Variations'!F633*LU_Escalation,0)</f>
        <v>0</v>
      </c>
      <c r="G633" s="491">
        <f ca="1">IF(ISNUMBER('R4 Variations'!G633),+'R4 Variations'!G633*LU_Escalation,0)</f>
        <v>0</v>
      </c>
      <c r="H633" s="491">
        <f ca="1">IF(ISNUMBER('R4 Variations'!H633),+'R4 Variations'!H633*LU_Escalation,0)</f>
        <v>0</v>
      </c>
      <c r="I633" s="491">
        <f ca="1">IF(ISNUMBER('R4 Variations'!I633),+'R4 Variations'!I633*LU_Escalation,0)</f>
        <v>0</v>
      </c>
      <c r="J633" s="491">
        <f ca="1">IF(ISNUMBER('R4 Variations'!J633),+'R4 Variations'!J633*LU_Escalation,0)</f>
        <v>0</v>
      </c>
      <c r="K633" s="491">
        <f ca="1">IF(ISNUMBER('R4 Variations'!K633),+'R4 Variations'!K633*LU_Escalation,0)</f>
        <v>0</v>
      </c>
      <c r="L633" s="515" t="str">
        <f ca="1">+'R4 Variations'!L633</f>
        <v/>
      </c>
      <c r="M633" s="450" t="str">
        <f ca="1">+'R4 Variations'!M633</f>
        <v/>
      </c>
      <c r="N633" s="450" t="str">
        <f ca="1">+'R4 Variations'!N633</f>
        <v/>
      </c>
    </row>
    <row r="634" spans="1:14">
      <c r="A634" s="5"/>
      <c r="B634" s="249"/>
      <c r="C634" s="384" t="str">
        <f ca="1">+'R4 Variations'!C634</f>
        <v/>
      </c>
      <c r="D634" s="491">
        <f ca="1">IF(ISNUMBER('R4 Variations'!D634),+'R4 Variations'!D634*LU_Escalation,0)</f>
        <v>0</v>
      </c>
      <c r="E634" s="850">
        <f ca="1">IF(ISNUMBER('R4 Variations'!E634),+'R4 Variations'!E634*LU_Escalation,0)</f>
        <v>0</v>
      </c>
      <c r="F634" s="491">
        <f ca="1">IF(ISNUMBER('R4 Variations'!F634),+'R4 Variations'!F634*LU_Escalation,0)</f>
        <v>0</v>
      </c>
      <c r="G634" s="491">
        <f ca="1">IF(ISNUMBER('R4 Variations'!G634),+'R4 Variations'!G634*LU_Escalation,0)</f>
        <v>0</v>
      </c>
      <c r="H634" s="491">
        <f ca="1">IF(ISNUMBER('R4 Variations'!H634),+'R4 Variations'!H634*LU_Escalation,0)</f>
        <v>0</v>
      </c>
      <c r="I634" s="491">
        <f ca="1">IF(ISNUMBER('R4 Variations'!I634),+'R4 Variations'!I634*LU_Escalation,0)</f>
        <v>0</v>
      </c>
      <c r="J634" s="491">
        <f ca="1">IF(ISNUMBER('R4 Variations'!J634),+'R4 Variations'!J634*LU_Escalation,0)</f>
        <v>0</v>
      </c>
      <c r="K634" s="491">
        <f ca="1">IF(ISNUMBER('R4 Variations'!K634),+'R4 Variations'!K634*LU_Escalation,0)</f>
        <v>0</v>
      </c>
      <c r="L634" s="515" t="str">
        <f ca="1">+'R4 Variations'!L634</f>
        <v/>
      </c>
      <c r="M634" s="450" t="str">
        <f ca="1">+'R4 Variations'!M634</f>
        <v/>
      </c>
      <c r="N634" s="450" t="str">
        <f ca="1">+'R4 Variations'!N634</f>
        <v/>
      </c>
    </row>
    <row r="635" spans="1:14">
      <c r="A635" s="5"/>
      <c r="B635" s="249"/>
      <c r="C635" s="384" t="str">
        <f ca="1">+'R4 Variations'!C635</f>
        <v/>
      </c>
      <c r="D635" s="491">
        <f ca="1">IF(ISNUMBER('R4 Variations'!D635),+'R4 Variations'!D635*LU_Escalation,0)</f>
        <v>0</v>
      </c>
      <c r="E635" s="850">
        <f ca="1">IF(ISNUMBER('R4 Variations'!E635),+'R4 Variations'!E635*LU_Escalation,0)</f>
        <v>0</v>
      </c>
      <c r="F635" s="491">
        <f ca="1">IF(ISNUMBER('R4 Variations'!F635),+'R4 Variations'!F635*LU_Escalation,0)</f>
        <v>0</v>
      </c>
      <c r="G635" s="491">
        <f ca="1">IF(ISNUMBER('R4 Variations'!G635),+'R4 Variations'!G635*LU_Escalation,0)</f>
        <v>0</v>
      </c>
      <c r="H635" s="491">
        <f ca="1">IF(ISNUMBER('R4 Variations'!H635),+'R4 Variations'!H635*LU_Escalation,0)</f>
        <v>0</v>
      </c>
      <c r="I635" s="491">
        <f ca="1">IF(ISNUMBER('R4 Variations'!I635),+'R4 Variations'!I635*LU_Escalation,0)</f>
        <v>0</v>
      </c>
      <c r="J635" s="491">
        <f ca="1">IF(ISNUMBER('R4 Variations'!J635),+'R4 Variations'!J635*LU_Escalation,0)</f>
        <v>0</v>
      </c>
      <c r="K635" s="491">
        <f ca="1">IF(ISNUMBER('R4 Variations'!K635),+'R4 Variations'!K635*LU_Escalation,0)</f>
        <v>0</v>
      </c>
      <c r="L635" s="515" t="str">
        <f ca="1">+'R4 Variations'!L635</f>
        <v/>
      </c>
      <c r="M635" s="450" t="str">
        <f ca="1">+'R4 Variations'!M635</f>
        <v/>
      </c>
      <c r="N635" s="450" t="str">
        <f ca="1">+'R4 Variations'!N635</f>
        <v/>
      </c>
    </row>
    <row r="636" spans="1:14">
      <c r="A636" s="5"/>
      <c r="B636" s="249"/>
      <c r="C636" s="384" t="str">
        <f ca="1">+'R4 Variations'!C636</f>
        <v/>
      </c>
      <c r="D636" s="491">
        <f ca="1">IF(ISNUMBER('R4 Variations'!D636),+'R4 Variations'!D636*LU_Escalation,0)</f>
        <v>0</v>
      </c>
      <c r="E636" s="850">
        <f ca="1">IF(ISNUMBER('R4 Variations'!E636),+'R4 Variations'!E636*LU_Escalation,0)</f>
        <v>0</v>
      </c>
      <c r="F636" s="491">
        <f ca="1">IF(ISNUMBER('R4 Variations'!F636),+'R4 Variations'!F636*LU_Escalation,0)</f>
        <v>0</v>
      </c>
      <c r="G636" s="491">
        <f ca="1">IF(ISNUMBER('R4 Variations'!G636),+'R4 Variations'!G636*LU_Escalation,0)</f>
        <v>0</v>
      </c>
      <c r="H636" s="491">
        <f ca="1">IF(ISNUMBER('R4 Variations'!H636),+'R4 Variations'!H636*LU_Escalation,0)</f>
        <v>0</v>
      </c>
      <c r="I636" s="491">
        <f ca="1">IF(ISNUMBER('R4 Variations'!I636),+'R4 Variations'!I636*LU_Escalation,0)</f>
        <v>0</v>
      </c>
      <c r="J636" s="491">
        <f ca="1">IF(ISNUMBER('R4 Variations'!J636),+'R4 Variations'!J636*LU_Escalation,0)</f>
        <v>0</v>
      </c>
      <c r="K636" s="491">
        <f ca="1">IF(ISNUMBER('R4 Variations'!K636),+'R4 Variations'!K636*LU_Escalation,0)</f>
        <v>0</v>
      </c>
      <c r="L636" s="515" t="str">
        <f ca="1">+'R4 Variations'!L636</f>
        <v/>
      </c>
      <c r="M636" s="450" t="str">
        <f ca="1">+'R4 Variations'!M636</f>
        <v/>
      </c>
      <c r="N636" s="450" t="str">
        <f ca="1">+'R4 Variations'!N636</f>
        <v/>
      </c>
    </row>
    <row r="637" spans="1:14">
      <c r="A637" s="5"/>
      <c r="B637" s="249"/>
      <c r="C637" s="384" t="str">
        <f ca="1">+'R4 Variations'!C637</f>
        <v/>
      </c>
      <c r="D637" s="491">
        <f ca="1">IF(ISNUMBER('R4 Variations'!D637),+'R4 Variations'!D637*LU_Escalation,0)</f>
        <v>0</v>
      </c>
      <c r="E637" s="850">
        <f ca="1">IF(ISNUMBER('R4 Variations'!E637),+'R4 Variations'!E637*LU_Escalation,0)</f>
        <v>0</v>
      </c>
      <c r="F637" s="491">
        <f ca="1">IF(ISNUMBER('R4 Variations'!F637),+'R4 Variations'!F637*LU_Escalation,0)</f>
        <v>0</v>
      </c>
      <c r="G637" s="491">
        <f ca="1">IF(ISNUMBER('R4 Variations'!G637),+'R4 Variations'!G637*LU_Escalation,0)</f>
        <v>0</v>
      </c>
      <c r="H637" s="491">
        <f ca="1">IF(ISNUMBER('R4 Variations'!H637),+'R4 Variations'!H637*LU_Escalation,0)</f>
        <v>0</v>
      </c>
      <c r="I637" s="491">
        <f ca="1">IF(ISNUMBER('R4 Variations'!I637),+'R4 Variations'!I637*LU_Escalation,0)</f>
        <v>0</v>
      </c>
      <c r="J637" s="491">
        <f ca="1">IF(ISNUMBER('R4 Variations'!J637),+'R4 Variations'!J637*LU_Escalation,0)</f>
        <v>0</v>
      </c>
      <c r="K637" s="491">
        <f ca="1">IF(ISNUMBER('R4 Variations'!K637),+'R4 Variations'!K637*LU_Escalation,0)</f>
        <v>0</v>
      </c>
      <c r="L637" s="515" t="str">
        <f ca="1">+'R4 Variations'!L637</f>
        <v/>
      </c>
      <c r="M637" s="450" t="str">
        <f ca="1">+'R4 Variations'!M637</f>
        <v/>
      </c>
      <c r="N637" s="450" t="str">
        <f ca="1">+'R4 Variations'!N637</f>
        <v/>
      </c>
    </row>
    <row r="638" spans="1:14">
      <c r="A638" s="5"/>
      <c r="B638" s="249"/>
      <c r="C638" s="384" t="str">
        <f ca="1">+'R4 Variations'!C638</f>
        <v/>
      </c>
      <c r="D638" s="491">
        <f ca="1">IF(ISNUMBER('R4 Variations'!D638),+'R4 Variations'!D638*LU_Escalation,0)</f>
        <v>0</v>
      </c>
      <c r="E638" s="850">
        <f ca="1">IF(ISNUMBER('R4 Variations'!E638),+'R4 Variations'!E638*LU_Escalation,0)</f>
        <v>0</v>
      </c>
      <c r="F638" s="491">
        <f ca="1">IF(ISNUMBER('R4 Variations'!F638),+'R4 Variations'!F638*LU_Escalation,0)</f>
        <v>0</v>
      </c>
      <c r="G638" s="491">
        <f ca="1">IF(ISNUMBER('R4 Variations'!G638),+'R4 Variations'!G638*LU_Escalation,0)</f>
        <v>0</v>
      </c>
      <c r="H638" s="491">
        <f ca="1">IF(ISNUMBER('R4 Variations'!H638),+'R4 Variations'!H638*LU_Escalation,0)</f>
        <v>0</v>
      </c>
      <c r="I638" s="491">
        <f ca="1">IF(ISNUMBER('R4 Variations'!I638),+'R4 Variations'!I638*LU_Escalation,0)</f>
        <v>0</v>
      </c>
      <c r="J638" s="491">
        <f ca="1">IF(ISNUMBER('R4 Variations'!J638),+'R4 Variations'!J638*LU_Escalation,0)</f>
        <v>0</v>
      </c>
      <c r="K638" s="491">
        <f ca="1">IF(ISNUMBER('R4 Variations'!K638),+'R4 Variations'!K638*LU_Escalation,0)</f>
        <v>0</v>
      </c>
      <c r="L638" s="515" t="str">
        <f ca="1">+'R4 Variations'!L638</f>
        <v/>
      </c>
      <c r="M638" s="450" t="str">
        <f ca="1">+'R4 Variations'!M638</f>
        <v/>
      </c>
      <c r="N638" s="450" t="str">
        <f ca="1">+'R4 Variations'!N638</f>
        <v/>
      </c>
    </row>
    <row r="639" spans="1:14">
      <c r="A639" s="5"/>
      <c r="B639" s="249"/>
      <c r="C639" s="384" t="str">
        <f ca="1">+'R4 Variations'!C639</f>
        <v/>
      </c>
      <c r="D639" s="491">
        <f ca="1">IF(ISNUMBER('R4 Variations'!D639),+'R4 Variations'!D639*LU_Escalation,0)</f>
        <v>0</v>
      </c>
      <c r="E639" s="850">
        <f ca="1">IF(ISNUMBER('R4 Variations'!E639),+'R4 Variations'!E639*LU_Escalation,0)</f>
        <v>0</v>
      </c>
      <c r="F639" s="491">
        <f ca="1">IF(ISNUMBER('R4 Variations'!F639),+'R4 Variations'!F639*LU_Escalation,0)</f>
        <v>0</v>
      </c>
      <c r="G639" s="491">
        <f ca="1">IF(ISNUMBER('R4 Variations'!G639),+'R4 Variations'!G639*LU_Escalation,0)</f>
        <v>0</v>
      </c>
      <c r="H639" s="491">
        <f ca="1">IF(ISNUMBER('R4 Variations'!H639),+'R4 Variations'!H639*LU_Escalation,0)</f>
        <v>0</v>
      </c>
      <c r="I639" s="491">
        <f ca="1">IF(ISNUMBER('R4 Variations'!I639),+'R4 Variations'!I639*LU_Escalation,0)</f>
        <v>0</v>
      </c>
      <c r="J639" s="491">
        <f ca="1">IF(ISNUMBER('R4 Variations'!J639),+'R4 Variations'!J639*LU_Escalation,0)</f>
        <v>0</v>
      </c>
      <c r="K639" s="491">
        <f ca="1">IF(ISNUMBER('R4 Variations'!K639),+'R4 Variations'!K639*LU_Escalation,0)</f>
        <v>0</v>
      </c>
      <c r="L639" s="515" t="str">
        <f ca="1">+'R4 Variations'!L639</f>
        <v/>
      </c>
      <c r="M639" s="450" t="str">
        <f ca="1">+'R4 Variations'!M639</f>
        <v/>
      </c>
      <c r="N639" s="450" t="str">
        <f ca="1">+'R4 Variations'!N639</f>
        <v/>
      </c>
    </row>
    <row r="640" spans="1:14">
      <c r="A640" s="5"/>
      <c r="B640" s="249"/>
      <c r="C640" s="15"/>
      <c r="D640" s="491"/>
      <c r="E640" s="508"/>
      <c r="F640" s="491"/>
      <c r="G640" s="492"/>
      <c r="H640" s="492"/>
      <c r="I640" s="492"/>
      <c r="J640" s="492"/>
      <c r="K640" s="508"/>
      <c r="L640" s="515"/>
      <c r="M640" s="450"/>
      <c r="N640" s="450"/>
    </row>
    <row r="641" spans="1:14">
      <c r="A641" s="5"/>
      <c r="B641" s="249" t="str">
        <f ca="1">+'I-4 History'!B480</f>
        <v>A-29</v>
      </c>
      <c r="C641" s="262" t="str">
        <f ca="1">+'I-4 History'!C480</f>
        <v xml:space="preserve">Risk &amp; Insurance – Shared Insurance Premiums </v>
      </c>
      <c r="D641" s="491"/>
      <c r="E641" s="508"/>
      <c r="F641" s="491"/>
      <c r="G641" s="492"/>
      <c r="H641" s="492"/>
      <c r="I641" s="492"/>
      <c r="J641" s="492"/>
      <c r="K641" s="508"/>
      <c r="L641" s="515"/>
      <c r="M641" s="450"/>
      <c r="N641" s="450"/>
    </row>
    <row r="642" spans="1:14">
      <c r="A642" s="5"/>
      <c r="B642" s="249"/>
      <c r="C642" s="384" t="str">
        <f ca="1">+'R4 Variations'!C642</f>
        <v>Step Change</v>
      </c>
      <c r="D642" s="491">
        <f ca="1">IF(ISNUMBER('R4 Variations'!D642),+'R4 Variations'!D642*LU_Escalation,0)</f>
        <v>0</v>
      </c>
      <c r="E642" s="850">
        <f ca="1">IF(ISNUMBER('R4 Variations'!E642),+'R4 Variations'!E642*LU_Escalation,0)</f>
        <v>0</v>
      </c>
      <c r="F642" s="491">
        <f ca="1">IF(ISNUMBER('R4 Variations'!F642),+'R4 Variations'!F642*LU_Escalation,0)</f>
        <v>0</v>
      </c>
      <c r="G642" s="491">
        <f ca="1">IF(ISNUMBER('R4 Variations'!G642),+'R4 Variations'!G642*LU_Escalation,0)</f>
        <v>0</v>
      </c>
      <c r="H642" s="491">
        <f ca="1">IF(ISNUMBER('R4 Variations'!H642),+'R4 Variations'!H642*LU_Escalation,0)</f>
        <v>0</v>
      </c>
      <c r="I642" s="491">
        <f ca="1">IF(ISNUMBER('R4 Variations'!I642),+'R4 Variations'!I642*LU_Escalation,0)</f>
        <v>0</v>
      </c>
      <c r="J642" s="491">
        <f ca="1">IF(ISNUMBER('R4 Variations'!J642),+'R4 Variations'!J642*LU_Escalation,0)</f>
        <v>0</v>
      </c>
      <c r="K642" s="491">
        <f ca="1">IF(ISNUMBER('R4 Variations'!K642),+'R4 Variations'!K642*LU_Escalation,0)</f>
        <v>0</v>
      </c>
      <c r="L642" s="515" t="str">
        <f ca="1">+'R4 Variations'!L642</f>
        <v>Proposal Step Change</v>
      </c>
      <c r="M642" s="450" t="str">
        <f ca="1">+'R4 Variations'!M642</f>
        <v>Refer Opex Workings</v>
      </c>
      <c r="N642" s="450" t="str">
        <f ca="1">+'R4 Variations'!N642</f>
        <v>Proposal, October 2014</v>
      </c>
    </row>
    <row r="643" spans="1:14">
      <c r="A643" s="5"/>
      <c r="B643" s="249"/>
      <c r="C643" s="384" t="str">
        <f ca="1">+'R4 Variations'!C643</f>
        <v/>
      </c>
      <c r="D643" s="491">
        <f ca="1">IF(ISNUMBER('R4 Variations'!D643),+'R4 Variations'!D643*LU_Escalation,0)</f>
        <v>0</v>
      </c>
      <c r="E643" s="850">
        <f ca="1">IF(ISNUMBER('R4 Variations'!E643),+'R4 Variations'!E643*LU_Escalation,0)</f>
        <v>0</v>
      </c>
      <c r="F643" s="491">
        <f ca="1">IF(ISNUMBER('R4 Variations'!F643),+'R4 Variations'!F643*LU_Escalation,0)</f>
        <v>0</v>
      </c>
      <c r="G643" s="491">
        <f ca="1">IF(ISNUMBER('R4 Variations'!G643),+'R4 Variations'!G643*LU_Escalation,0)</f>
        <v>0</v>
      </c>
      <c r="H643" s="491">
        <f ca="1">IF(ISNUMBER('R4 Variations'!H643),+'R4 Variations'!H643*LU_Escalation,0)</f>
        <v>0</v>
      </c>
      <c r="I643" s="491">
        <f ca="1">IF(ISNUMBER('R4 Variations'!I643),+'R4 Variations'!I643*LU_Escalation,0)</f>
        <v>0</v>
      </c>
      <c r="J643" s="491">
        <f ca="1">IF(ISNUMBER('R4 Variations'!J643),+'R4 Variations'!J643*LU_Escalation,0)</f>
        <v>0</v>
      </c>
      <c r="K643" s="491">
        <f ca="1">IF(ISNUMBER('R4 Variations'!K643),+'R4 Variations'!K643*LU_Escalation,0)</f>
        <v>0</v>
      </c>
      <c r="L643" s="515" t="str">
        <f ca="1">+'R4 Variations'!L643</f>
        <v/>
      </c>
      <c r="M643" s="450" t="str">
        <f ca="1">+'R4 Variations'!M643</f>
        <v/>
      </c>
      <c r="N643" s="450" t="str">
        <f ca="1">+'R4 Variations'!N643</f>
        <v/>
      </c>
    </row>
    <row r="644" spans="1:14">
      <c r="A644" s="5"/>
      <c r="B644" s="249"/>
      <c r="C644" s="384" t="str">
        <f ca="1">+'R4 Variations'!C644</f>
        <v/>
      </c>
      <c r="D644" s="491">
        <f ca="1">IF(ISNUMBER('R4 Variations'!D644),+'R4 Variations'!D644*LU_Escalation,0)</f>
        <v>0</v>
      </c>
      <c r="E644" s="850">
        <f ca="1">IF(ISNUMBER('R4 Variations'!E644),+'R4 Variations'!E644*LU_Escalation,0)</f>
        <v>0</v>
      </c>
      <c r="F644" s="491">
        <f ca="1">IF(ISNUMBER('R4 Variations'!F644),+'R4 Variations'!F644*LU_Escalation,0)</f>
        <v>0</v>
      </c>
      <c r="G644" s="491">
        <f ca="1">IF(ISNUMBER('R4 Variations'!G644),+'R4 Variations'!G644*LU_Escalation,0)</f>
        <v>0</v>
      </c>
      <c r="H644" s="491">
        <f ca="1">IF(ISNUMBER('R4 Variations'!H644),+'R4 Variations'!H644*LU_Escalation,0)</f>
        <v>0</v>
      </c>
      <c r="I644" s="491">
        <f ca="1">IF(ISNUMBER('R4 Variations'!I644),+'R4 Variations'!I644*LU_Escalation,0)</f>
        <v>0</v>
      </c>
      <c r="J644" s="491">
        <f ca="1">IF(ISNUMBER('R4 Variations'!J644),+'R4 Variations'!J644*LU_Escalation,0)</f>
        <v>0</v>
      </c>
      <c r="K644" s="491">
        <f ca="1">IF(ISNUMBER('R4 Variations'!K644),+'R4 Variations'!K644*LU_Escalation,0)</f>
        <v>0</v>
      </c>
      <c r="L644" s="515" t="str">
        <f ca="1">+'R4 Variations'!L644</f>
        <v/>
      </c>
      <c r="M644" s="450" t="str">
        <f ca="1">+'R4 Variations'!M644</f>
        <v/>
      </c>
      <c r="N644" s="450" t="str">
        <f ca="1">+'R4 Variations'!N644</f>
        <v/>
      </c>
    </row>
    <row r="645" spans="1:14">
      <c r="A645" s="5"/>
      <c r="B645" s="249"/>
      <c r="C645" s="384" t="str">
        <f ca="1">+'R4 Variations'!C645</f>
        <v/>
      </c>
      <c r="D645" s="491">
        <f ca="1">IF(ISNUMBER('R4 Variations'!D645),+'R4 Variations'!D645*LU_Escalation,0)</f>
        <v>0</v>
      </c>
      <c r="E645" s="850">
        <f ca="1">IF(ISNUMBER('R4 Variations'!E645),+'R4 Variations'!E645*LU_Escalation,0)</f>
        <v>0</v>
      </c>
      <c r="F645" s="491">
        <f ca="1">IF(ISNUMBER('R4 Variations'!F645),+'R4 Variations'!F645*LU_Escalation,0)</f>
        <v>0</v>
      </c>
      <c r="G645" s="491">
        <f ca="1">IF(ISNUMBER('R4 Variations'!G645),+'R4 Variations'!G645*LU_Escalation,0)</f>
        <v>0</v>
      </c>
      <c r="H645" s="491">
        <f ca="1">IF(ISNUMBER('R4 Variations'!H645),+'R4 Variations'!H645*LU_Escalation,0)</f>
        <v>0</v>
      </c>
      <c r="I645" s="491">
        <f ca="1">IF(ISNUMBER('R4 Variations'!I645),+'R4 Variations'!I645*LU_Escalation,0)</f>
        <v>0</v>
      </c>
      <c r="J645" s="491">
        <f ca="1">IF(ISNUMBER('R4 Variations'!J645),+'R4 Variations'!J645*LU_Escalation,0)</f>
        <v>0</v>
      </c>
      <c r="K645" s="491">
        <f ca="1">IF(ISNUMBER('R4 Variations'!K645),+'R4 Variations'!K645*LU_Escalation,0)</f>
        <v>0</v>
      </c>
      <c r="L645" s="515" t="str">
        <f ca="1">+'R4 Variations'!L645</f>
        <v/>
      </c>
      <c r="M645" s="450" t="str">
        <f ca="1">+'R4 Variations'!M645</f>
        <v/>
      </c>
      <c r="N645" s="450" t="str">
        <f ca="1">+'R4 Variations'!N645</f>
        <v/>
      </c>
    </row>
    <row r="646" spans="1:14">
      <c r="A646" s="5"/>
      <c r="B646" s="249"/>
      <c r="C646" s="384" t="str">
        <f ca="1">+'R4 Variations'!C646</f>
        <v/>
      </c>
      <c r="D646" s="491">
        <f ca="1">IF(ISNUMBER('R4 Variations'!D646),+'R4 Variations'!D646*LU_Escalation,0)</f>
        <v>0</v>
      </c>
      <c r="E646" s="850">
        <f ca="1">IF(ISNUMBER('R4 Variations'!E646),+'R4 Variations'!E646*LU_Escalation,0)</f>
        <v>0</v>
      </c>
      <c r="F646" s="491">
        <f ca="1">IF(ISNUMBER('R4 Variations'!F646),+'R4 Variations'!F646*LU_Escalation,0)</f>
        <v>0</v>
      </c>
      <c r="G646" s="491">
        <f ca="1">IF(ISNUMBER('R4 Variations'!G646),+'R4 Variations'!G646*LU_Escalation,0)</f>
        <v>0</v>
      </c>
      <c r="H646" s="491">
        <f ca="1">IF(ISNUMBER('R4 Variations'!H646),+'R4 Variations'!H646*LU_Escalation,0)</f>
        <v>0</v>
      </c>
      <c r="I646" s="491">
        <f ca="1">IF(ISNUMBER('R4 Variations'!I646),+'R4 Variations'!I646*LU_Escalation,0)</f>
        <v>0</v>
      </c>
      <c r="J646" s="491">
        <f ca="1">IF(ISNUMBER('R4 Variations'!J646),+'R4 Variations'!J646*LU_Escalation,0)</f>
        <v>0</v>
      </c>
      <c r="K646" s="491">
        <f ca="1">IF(ISNUMBER('R4 Variations'!K646),+'R4 Variations'!K646*LU_Escalation,0)</f>
        <v>0</v>
      </c>
      <c r="L646" s="515" t="str">
        <f ca="1">+'R4 Variations'!L646</f>
        <v/>
      </c>
      <c r="M646" s="450" t="str">
        <f ca="1">+'R4 Variations'!M646</f>
        <v/>
      </c>
      <c r="N646" s="450" t="str">
        <f ca="1">+'R4 Variations'!N646</f>
        <v/>
      </c>
    </row>
    <row r="647" spans="1:14">
      <c r="B647" s="249"/>
      <c r="C647" s="384" t="str">
        <f ca="1">+'R4 Variations'!C647</f>
        <v/>
      </c>
      <c r="D647" s="491">
        <f ca="1">IF(ISNUMBER('R4 Variations'!D647),+'R4 Variations'!D647*LU_Escalation,0)</f>
        <v>0</v>
      </c>
      <c r="E647" s="850">
        <f ca="1">IF(ISNUMBER('R4 Variations'!E647),+'R4 Variations'!E647*LU_Escalation,0)</f>
        <v>0</v>
      </c>
      <c r="F647" s="491">
        <f ca="1">IF(ISNUMBER('R4 Variations'!F647),+'R4 Variations'!F647*LU_Escalation,0)</f>
        <v>0</v>
      </c>
      <c r="G647" s="491">
        <f ca="1">IF(ISNUMBER('R4 Variations'!G647),+'R4 Variations'!G647*LU_Escalation,0)</f>
        <v>0</v>
      </c>
      <c r="H647" s="491">
        <f ca="1">IF(ISNUMBER('R4 Variations'!H647),+'R4 Variations'!H647*LU_Escalation,0)</f>
        <v>0</v>
      </c>
      <c r="I647" s="491">
        <f ca="1">IF(ISNUMBER('R4 Variations'!I647),+'R4 Variations'!I647*LU_Escalation,0)</f>
        <v>0</v>
      </c>
      <c r="J647" s="491">
        <f ca="1">IF(ISNUMBER('R4 Variations'!J647),+'R4 Variations'!J647*LU_Escalation,0)</f>
        <v>0</v>
      </c>
      <c r="K647" s="491">
        <f ca="1">IF(ISNUMBER('R4 Variations'!K647),+'R4 Variations'!K647*LU_Escalation,0)</f>
        <v>0</v>
      </c>
      <c r="L647" s="515" t="str">
        <f ca="1">+'R4 Variations'!L647</f>
        <v/>
      </c>
      <c r="M647" s="450" t="str">
        <f ca="1">+'R4 Variations'!M647</f>
        <v/>
      </c>
      <c r="N647" s="450" t="str">
        <f ca="1">+'R4 Variations'!N647</f>
        <v/>
      </c>
    </row>
    <row r="648" spans="1:14">
      <c r="B648" s="249"/>
      <c r="C648" s="384" t="str">
        <f ca="1">+'R4 Variations'!C648</f>
        <v/>
      </c>
      <c r="D648" s="491">
        <f ca="1">IF(ISNUMBER('R4 Variations'!D648),+'R4 Variations'!D648*LU_Escalation,0)</f>
        <v>0</v>
      </c>
      <c r="E648" s="850">
        <f ca="1">IF(ISNUMBER('R4 Variations'!E648),+'R4 Variations'!E648*LU_Escalation,0)</f>
        <v>0</v>
      </c>
      <c r="F648" s="491">
        <f ca="1">IF(ISNUMBER('R4 Variations'!F648),+'R4 Variations'!F648*LU_Escalation,0)</f>
        <v>0</v>
      </c>
      <c r="G648" s="491">
        <f ca="1">IF(ISNUMBER('R4 Variations'!G648),+'R4 Variations'!G648*LU_Escalation,0)</f>
        <v>0</v>
      </c>
      <c r="H648" s="491">
        <f ca="1">IF(ISNUMBER('R4 Variations'!H648),+'R4 Variations'!H648*LU_Escalation,0)</f>
        <v>0</v>
      </c>
      <c r="I648" s="491">
        <f ca="1">IF(ISNUMBER('R4 Variations'!I648),+'R4 Variations'!I648*LU_Escalation,0)</f>
        <v>0</v>
      </c>
      <c r="J648" s="491">
        <f ca="1">IF(ISNUMBER('R4 Variations'!J648),+'R4 Variations'!J648*LU_Escalation,0)</f>
        <v>0</v>
      </c>
      <c r="K648" s="491">
        <f ca="1">IF(ISNUMBER('R4 Variations'!K648),+'R4 Variations'!K648*LU_Escalation,0)</f>
        <v>0</v>
      </c>
      <c r="L648" s="515" t="str">
        <f ca="1">+'R4 Variations'!L648</f>
        <v/>
      </c>
      <c r="M648" s="450" t="str">
        <f ca="1">+'R4 Variations'!M648</f>
        <v/>
      </c>
      <c r="N648" s="450" t="str">
        <f ca="1">+'R4 Variations'!N648</f>
        <v/>
      </c>
    </row>
    <row r="649" spans="1:14">
      <c r="B649" s="249"/>
      <c r="C649" s="384" t="str">
        <f ca="1">+'R4 Variations'!C649</f>
        <v/>
      </c>
      <c r="D649" s="491">
        <f ca="1">IF(ISNUMBER('R4 Variations'!D649),+'R4 Variations'!D649*LU_Escalation,0)</f>
        <v>0</v>
      </c>
      <c r="E649" s="850">
        <f ca="1">IF(ISNUMBER('R4 Variations'!E649),+'R4 Variations'!E649*LU_Escalation,0)</f>
        <v>0</v>
      </c>
      <c r="F649" s="491">
        <f ca="1">IF(ISNUMBER('R4 Variations'!F649),+'R4 Variations'!F649*LU_Escalation,0)</f>
        <v>0</v>
      </c>
      <c r="G649" s="491">
        <f ca="1">IF(ISNUMBER('R4 Variations'!G649),+'R4 Variations'!G649*LU_Escalation,0)</f>
        <v>0</v>
      </c>
      <c r="H649" s="491">
        <f ca="1">IF(ISNUMBER('R4 Variations'!H649),+'R4 Variations'!H649*LU_Escalation,0)</f>
        <v>0</v>
      </c>
      <c r="I649" s="491">
        <f ca="1">IF(ISNUMBER('R4 Variations'!I649),+'R4 Variations'!I649*LU_Escalation,0)</f>
        <v>0</v>
      </c>
      <c r="J649" s="491">
        <f ca="1">IF(ISNUMBER('R4 Variations'!J649),+'R4 Variations'!J649*LU_Escalation,0)</f>
        <v>0</v>
      </c>
      <c r="K649" s="491">
        <f ca="1">IF(ISNUMBER('R4 Variations'!K649),+'R4 Variations'!K649*LU_Escalation,0)</f>
        <v>0</v>
      </c>
      <c r="L649" s="515" t="str">
        <f ca="1">+'R4 Variations'!L649</f>
        <v/>
      </c>
      <c r="M649" s="450" t="str">
        <f ca="1">+'R4 Variations'!M649</f>
        <v/>
      </c>
      <c r="N649" s="450" t="str">
        <f ca="1">+'R4 Variations'!N649</f>
        <v/>
      </c>
    </row>
    <row r="650" spans="1:14">
      <c r="B650" s="249"/>
      <c r="C650" s="384" t="str">
        <f ca="1">+'R4 Variations'!C650</f>
        <v/>
      </c>
      <c r="D650" s="491">
        <f ca="1">IF(ISNUMBER('R4 Variations'!D650),+'R4 Variations'!D650*LU_Escalation,0)</f>
        <v>0</v>
      </c>
      <c r="E650" s="850">
        <f ca="1">IF(ISNUMBER('R4 Variations'!E650),+'R4 Variations'!E650*LU_Escalation,0)</f>
        <v>0</v>
      </c>
      <c r="F650" s="491">
        <f ca="1">IF(ISNUMBER('R4 Variations'!F650),+'R4 Variations'!F650*LU_Escalation,0)</f>
        <v>0</v>
      </c>
      <c r="G650" s="491">
        <f ca="1">IF(ISNUMBER('R4 Variations'!G650),+'R4 Variations'!G650*LU_Escalation,0)</f>
        <v>0</v>
      </c>
      <c r="H650" s="491">
        <f ca="1">IF(ISNUMBER('R4 Variations'!H650),+'R4 Variations'!H650*LU_Escalation,0)</f>
        <v>0</v>
      </c>
      <c r="I650" s="491">
        <f ca="1">IF(ISNUMBER('R4 Variations'!I650),+'R4 Variations'!I650*LU_Escalation,0)</f>
        <v>0</v>
      </c>
      <c r="J650" s="491">
        <f ca="1">IF(ISNUMBER('R4 Variations'!J650),+'R4 Variations'!J650*LU_Escalation,0)</f>
        <v>0</v>
      </c>
      <c r="K650" s="491">
        <f ca="1">IF(ISNUMBER('R4 Variations'!K650),+'R4 Variations'!K650*LU_Escalation,0)</f>
        <v>0</v>
      </c>
      <c r="L650" s="515" t="str">
        <f ca="1">+'R4 Variations'!L650</f>
        <v/>
      </c>
      <c r="M650" s="450" t="str">
        <f ca="1">+'R4 Variations'!M650</f>
        <v/>
      </c>
      <c r="N650" s="450" t="str">
        <f ca="1">+'R4 Variations'!N650</f>
        <v/>
      </c>
    </row>
    <row r="651" spans="1:14">
      <c r="B651" s="249"/>
      <c r="C651" s="384" t="str">
        <f ca="1">+'R4 Variations'!C651</f>
        <v/>
      </c>
      <c r="D651" s="491">
        <f ca="1">IF(ISNUMBER('R4 Variations'!D651),+'R4 Variations'!D651*LU_Escalation,0)</f>
        <v>0</v>
      </c>
      <c r="E651" s="850">
        <f ca="1">IF(ISNUMBER('R4 Variations'!E651),+'R4 Variations'!E651*LU_Escalation,0)</f>
        <v>0</v>
      </c>
      <c r="F651" s="491">
        <f ca="1">IF(ISNUMBER('R4 Variations'!F651),+'R4 Variations'!F651*LU_Escalation,0)</f>
        <v>0</v>
      </c>
      <c r="G651" s="491">
        <f ca="1">IF(ISNUMBER('R4 Variations'!G651),+'R4 Variations'!G651*LU_Escalation,0)</f>
        <v>0</v>
      </c>
      <c r="H651" s="491">
        <f ca="1">IF(ISNUMBER('R4 Variations'!H651),+'R4 Variations'!H651*LU_Escalation,0)</f>
        <v>0</v>
      </c>
      <c r="I651" s="491">
        <f ca="1">IF(ISNUMBER('R4 Variations'!I651),+'R4 Variations'!I651*LU_Escalation,0)</f>
        <v>0</v>
      </c>
      <c r="J651" s="491">
        <f ca="1">IF(ISNUMBER('R4 Variations'!J651),+'R4 Variations'!J651*LU_Escalation,0)</f>
        <v>0</v>
      </c>
      <c r="K651" s="491">
        <f ca="1">IF(ISNUMBER('R4 Variations'!K651),+'R4 Variations'!K651*LU_Escalation,0)</f>
        <v>0</v>
      </c>
      <c r="L651" s="515" t="str">
        <f ca="1">+'R4 Variations'!L651</f>
        <v/>
      </c>
      <c r="M651" s="450" t="str">
        <f ca="1">+'R4 Variations'!M651</f>
        <v/>
      </c>
      <c r="N651" s="450" t="str">
        <f ca="1">+'R4 Variations'!N651</f>
        <v/>
      </c>
    </row>
    <row r="652" spans="1:14">
      <c r="B652" s="249"/>
      <c r="C652" s="12"/>
      <c r="D652" s="491"/>
      <c r="E652" s="508"/>
      <c r="F652" s="491"/>
      <c r="G652" s="492"/>
      <c r="H652" s="492"/>
      <c r="I652" s="492"/>
      <c r="J652" s="492"/>
      <c r="K652" s="508"/>
      <c r="L652" s="515"/>
      <c r="M652" s="450"/>
      <c r="N652" s="450"/>
    </row>
    <row r="653" spans="1:14">
      <c r="A653" s="5"/>
      <c r="B653" s="249" t="str">
        <f ca="1">+'I-4 History'!B489</f>
        <v>A-30</v>
      </c>
      <c r="C653" s="14" t="str">
        <f ca="1">+'I-4 History'!C489</f>
        <v>Risk &amp; Insurance – Support Costs</v>
      </c>
      <c r="D653" s="491"/>
      <c r="E653" s="508"/>
      <c r="F653" s="491"/>
      <c r="G653" s="492"/>
      <c r="H653" s="492"/>
      <c r="I653" s="492"/>
      <c r="J653" s="492"/>
      <c r="K653" s="508"/>
      <c r="L653" s="515"/>
      <c r="M653" s="450"/>
      <c r="N653" s="450"/>
    </row>
    <row r="654" spans="1:14">
      <c r="A654" s="5"/>
      <c r="B654" s="249"/>
      <c r="C654" s="384" t="str">
        <f ca="1">+'R4 Variations'!C654</f>
        <v>Step Change</v>
      </c>
      <c r="D654" s="491">
        <f ca="1">IF(ISNUMBER('R4 Variations'!D654),+'R4 Variations'!D654*LU_Escalation,0)</f>
        <v>0</v>
      </c>
      <c r="E654" s="850">
        <f ca="1">IF(ISNUMBER('R4 Variations'!E654),+'R4 Variations'!E654*LU_Escalation,0)</f>
        <v>0</v>
      </c>
      <c r="F654" s="491">
        <f ca="1">IF(ISNUMBER('R4 Variations'!F654),+'R4 Variations'!F654*LU_Escalation,0)</f>
        <v>0</v>
      </c>
      <c r="G654" s="491">
        <f ca="1">IF(ISNUMBER('R4 Variations'!G654),+'R4 Variations'!G654*LU_Escalation,0)</f>
        <v>0</v>
      </c>
      <c r="H654" s="491">
        <f ca="1">IF(ISNUMBER('R4 Variations'!H654),+'R4 Variations'!H654*LU_Escalation,0)</f>
        <v>0</v>
      </c>
      <c r="I654" s="491">
        <f ca="1">IF(ISNUMBER('R4 Variations'!I654),+'R4 Variations'!I654*LU_Escalation,0)</f>
        <v>0</v>
      </c>
      <c r="J654" s="491">
        <f ca="1">IF(ISNUMBER('R4 Variations'!J654),+'R4 Variations'!J654*LU_Escalation,0)</f>
        <v>0</v>
      </c>
      <c r="K654" s="491">
        <f ca="1">IF(ISNUMBER('R4 Variations'!K654),+'R4 Variations'!K654*LU_Escalation,0)</f>
        <v>0</v>
      </c>
      <c r="L654" s="515" t="str">
        <f ca="1">+'R4 Variations'!L654</f>
        <v>Proposal Step Change</v>
      </c>
      <c r="M654" s="450" t="str">
        <f ca="1">+'R4 Variations'!M654</f>
        <v>Refer Opex Workings</v>
      </c>
      <c r="N654" s="450" t="str">
        <f ca="1">+'R4 Variations'!N654</f>
        <v>Proposal, October 2014</v>
      </c>
    </row>
    <row r="655" spans="1:14">
      <c r="A655" s="5"/>
      <c r="B655" s="249"/>
      <c r="C655" s="384" t="str">
        <f ca="1">+'R4 Variations'!C655</f>
        <v/>
      </c>
      <c r="D655" s="491">
        <f ca="1">IF(ISNUMBER('R4 Variations'!D655),+'R4 Variations'!D655*LU_Escalation,0)</f>
        <v>0</v>
      </c>
      <c r="E655" s="850">
        <f ca="1">IF(ISNUMBER('R4 Variations'!E655),+'R4 Variations'!E655*LU_Escalation,0)</f>
        <v>0</v>
      </c>
      <c r="F655" s="491">
        <f ca="1">IF(ISNUMBER('R4 Variations'!F655),+'R4 Variations'!F655*LU_Escalation,0)</f>
        <v>0</v>
      </c>
      <c r="G655" s="491">
        <f ca="1">IF(ISNUMBER('R4 Variations'!G655),+'R4 Variations'!G655*LU_Escalation,0)</f>
        <v>0</v>
      </c>
      <c r="H655" s="491">
        <f ca="1">IF(ISNUMBER('R4 Variations'!H655),+'R4 Variations'!H655*LU_Escalation,0)</f>
        <v>0</v>
      </c>
      <c r="I655" s="491">
        <f ca="1">IF(ISNUMBER('R4 Variations'!I655),+'R4 Variations'!I655*LU_Escalation,0)</f>
        <v>0</v>
      </c>
      <c r="J655" s="491">
        <f ca="1">IF(ISNUMBER('R4 Variations'!J655),+'R4 Variations'!J655*LU_Escalation,0)</f>
        <v>0</v>
      </c>
      <c r="K655" s="491">
        <f ca="1">IF(ISNUMBER('R4 Variations'!K655),+'R4 Variations'!K655*LU_Escalation,0)</f>
        <v>0</v>
      </c>
      <c r="L655" s="515" t="str">
        <f ca="1">+'R4 Variations'!L655</f>
        <v/>
      </c>
      <c r="M655" s="450" t="str">
        <f ca="1">+'R4 Variations'!M655</f>
        <v/>
      </c>
      <c r="N655" s="450" t="str">
        <f ca="1">+'R4 Variations'!N655</f>
        <v/>
      </c>
    </row>
    <row r="656" spans="1:14">
      <c r="A656" s="5"/>
      <c r="B656" s="249"/>
      <c r="C656" s="384" t="str">
        <f ca="1">+'R4 Variations'!C656</f>
        <v/>
      </c>
      <c r="D656" s="491">
        <f ca="1">IF(ISNUMBER('R4 Variations'!D656),+'R4 Variations'!D656*LU_Escalation,0)</f>
        <v>0</v>
      </c>
      <c r="E656" s="850">
        <f ca="1">IF(ISNUMBER('R4 Variations'!E656),+'R4 Variations'!E656*LU_Escalation,0)</f>
        <v>0</v>
      </c>
      <c r="F656" s="491">
        <f ca="1">IF(ISNUMBER('R4 Variations'!F656),+'R4 Variations'!F656*LU_Escalation,0)</f>
        <v>0</v>
      </c>
      <c r="G656" s="491">
        <f ca="1">IF(ISNUMBER('R4 Variations'!G656),+'R4 Variations'!G656*LU_Escalation,0)</f>
        <v>0</v>
      </c>
      <c r="H656" s="491">
        <f ca="1">IF(ISNUMBER('R4 Variations'!H656),+'R4 Variations'!H656*LU_Escalation,0)</f>
        <v>0</v>
      </c>
      <c r="I656" s="491">
        <f ca="1">IF(ISNUMBER('R4 Variations'!I656),+'R4 Variations'!I656*LU_Escalation,0)</f>
        <v>0</v>
      </c>
      <c r="J656" s="491">
        <f ca="1">IF(ISNUMBER('R4 Variations'!J656),+'R4 Variations'!J656*LU_Escalation,0)</f>
        <v>0</v>
      </c>
      <c r="K656" s="491">
        <f ca="1">IF(ISNUMBER('R4 Variations'!K656),+'R4 Variations'!K656*LU_Escalation,0)</f>
        <v>0</v>
      </c>
      <c r="L656" s="515" t="str">
        <f ca="1">+'R4 Variations'!L656</f>
        <v/>
      </c>
      <c r="M656" s="450" t="str">
        <f ca="1">+'R4 Variations'!M656</f>
        <v/>
      </c>
      <c r="N656" s="450" t="str">
        <f ca="1">+'R4 Variations'!N656</f>
        <v/>
      </c>
    </row>
    <row r="657" spans="1:14">
      <c r="A657" s="5"/>
      <c r="B657" s="249"/>
      <c r="C657" s="384" t="str">
        <f ca="1">+'R4 Variations'!C657</f>
        <v/>
      </c>
      <c r="D657" s="491">
        <f ca="1">IF(ISNUMBER('R4 Variations'!D657),+'R4 Variations'!D657*LU_Escalation,0)</f>
        <v>0</v>
      </c>
      <c r="E657" s="850">
        <f ca="1">IF(ISNUMBER('R4 Variations'!E657),+'R4 Variations'!E657*LU_Escalation,0)</f>
        <v>0</v>
      </c>
      <c r="F657" s="491">
        <f ca="1">IF(ISNUMBER('R4 Variations'!F657),+'R4 Variations'!F657*LU_Escalation,0)</f>
        <v>0</v>
      </c>
      <c r="G657" s="491">
        <f ca="1">IF(ISNUMBER('R4 Variations'!G657),+'R4 Variations'!G657*LU_Escalation,0)</f>
        <v>0</v>
      </c>
      <c r="H657" s="491">
        <f ca="1">IF(ISNUMBER('R4 Variations'!H657),+'R4 Variations'!H657*LU_Escalation,0)</f>
        <v>0</v>
      </c>
      <c r="I657" s="491">
        <f ca="1">IF(ISNUMBER('R4 Variations'!I657),+'R4 Variations'!I657*LU_Escalation,0)</f>
        <v>0</v>
      </c>
      <c r="J657" s="491">
        <f ca="1">IF(ISNUMBER('R4 Variations'!J657),+'R4 Variations'!J657*LU_Escalation,0)</f>
        <v>0</v>
      </c>
      <c r="K657" s="491">
        <f ca="1">IF(ISNUMBER('R4 Variations'!K657),+'R4 Variations'!K657*LU_Escalation,0)</f>
        <v>0</v>
      </c>
      <c r="L657" s="515" t="str">
        <f ca="1">+'R4 Variations'!L657</f>
        <v/>
      </c>
      <c r="M657" s="450" t="str">
        <f ca="1">+'R4 Variations'!M657</f>
        <v/>
      </c>
      <c r="N657" s="450" t="str">
        <f ca="1">+'R4 Variations'!N657</f>
        <v/>
      </c>
    </row>
    <row r="658" spans="1:14">
      <c r="A658" s="5"/>
      <c r="B658" s="249"/>
      <c r="C658" s="384" t="str">
        <f ca="1">+'R4 Variations'!C658</f>
        <v/>
      </c>
      <c r="D658" s="491">
        <f ca="1">IF(ISNUMBER('R4 Variations'!D658),+'R4 Variations'!D658*LU_Escalation,0)</f>
        <v>0</v>
      </c>
      <c r="E658" s="850">
        <f ca="1">IF(ISNUMBER('R4 Variations'!E658),+'R4 Variations'!E658*LU_Escalation,0)</f>
        <v>0</v>
      </c>
      <c r="F658" s="491">
        <f ca="1">IF(ISNUMBER('R4 Variations'!F658),+'R4 Variations'!F658*LU_Escalation,0)</f>
        <v>0</v>
      </c>
      <c r="G658" s="491">
        <f ca="1">IF(ISNUMBER('R4 Variations'!G658),+'R4 Variations'!G658*LU_Escalation,0)</f>
        <v>0</v>
      </c>
      <c r="H658" s="491">
        <f ca="1">IF(ISNUMBER('R4 Variations'!H658),+'R4 Variations'!H658*LU_Escalation,0)</f>
        <v>0</v>
      </c>
      <c r="I658" s="491">
        <f ca="1">IF(ISNUMBER('R4 Variations'!I658),+'R4 Variations'!I658*LU_Escalation,0)</f>
        <v>0</v>
      </c>
      <c r="J658" s="491">
        <f ca="1">IF(ISNUMBER('R4 Variations'!J658),+'R4 Variations'!J658*LU_Escalation,0)</f>
        <v>0</v>
      </c>
      <c r="K658" s="491">
        <f ca="1">IF(ISNUMBER('R4 Variations'!K658),+'R4 Variations'!K658*LU_Escalation,0)</f>
        <v>0</v>
      </c>
      <c r="L658" s="515" t="str">
        <f ca="1">+'R4 Variations'!L658</f>
        <v/>
      </c>
      <c r="M658" s="450" t="str">
        <f ca="1">+'R4 Variations'!M658</f>
        <v/>
      </c>
      <c r="N658" s="450" t="str">
        <f ca="1">+'R4 Variations'!N658</f>
        <v/>
      </c>
    </row>
    <row r="659" spans="1:14">
      <c r="A659" s="5"/>
      <c r="B659" s="249"/>
      <c r="C659" s="384" t="str">
        <f ca="1">+'R4 Variations'!C659</f>
        <v/>
      </c>
      <c r="D659" s="491">
        <f ca="1">IF(ISNUMBER('R4 Variations'!D659),+'R4 Variations'!D659*LU_Escalation,0)</f>
        <v>0</v>
      </c>
      <c r="E659" s="850">
        <f ca="1">IF(ISNUMBER('R4 Variations'!E659),+'R4 Variations'!E659*LU_Escalation,0)</f>
        <v>0</v>
      </c>
      <c r="F659" s="491">
        <f ca="1">IF(ISNUMBER('R4 Variations'!F659),+'R4 Variations'!F659*LU_Escalation,0)</f>
        <v>0</v>
      </c>
      <c r="G659" s="491">
        <f ca="1">IF(ISNUMBER('R4 Variations'!G659),+'R4 Variations'!G659*LU_Escalation,0)</f>
        <v>0</v>
      </c>
      <c r="H659" s="491">
        <f ca="1">IF(ISNUMBER('R4 Variations'!H659),+'R4 Variations'!H659*LU_Escalation,0)</f>
        <v>0</v>
      </c>
      <c r="I659" s="491">
        <f ca="1">IF(ISNUMBER('R4 Variations'!I659),+'R4 Variations'!I659*LU_Escalation,0)</f>
        <v>0</v>
      </c>
      <c r="J659" s="491">
        <f ca="1">IF(ISNUMBER('R4 Variations'!J659),+'R4 Variations'!J659*LU_Escalation,0)</f>
        <v>0</v>
      </c>
      <c r="K659" s="491">
        <f ca="1">IF(ISNUMBER('R4 Variations'!K659),+'R4 Variations'!K659*LU_Escalation,0)</f>
        <v>0</v>
      </c>
      <c r="L659" s="515" t="str">
        <f ca="1">+'R4 Variations'!L659</f>
        <v/>
      </c>
      <c r="M659" s="450" t="str">
        <f ca="1">+'R4 Variations'!M659</f>
        <v/>
      </c>
      <c r="N659" s="450" t="str">
        <f ca="1">+'R4 Variations'!N659</f>
        <v/>
      </c>
    </row>
    <row r="660" spans="1:14">
      <c r="A660" s="5"/>
      <c r="B660" s="249"/>
      <c r="C660" s="384" t="str">
        <f ca="1">+'R4 Variations'!C660</f>
        <v/>
      </c>
      <c r="D660" s="491">
        <f ca="1">IF(ISNUMBER('R4 Variations'!D660),+'R4 Variations'!D660*LU_Escalation,0)</f>
        <v>0</v>
      </c>
      <c r="E660" s="850">
        <f ca="1">IF(ISNUMBER('R4 Variations'!E660),+'R4 Variations'!E660*LU_Escalation,0)</f>
        <v>0</v>
      </c>
      <c r="F660" s="491">
        <f ca="1">IF(ISNUMBER('R4 Variations'!F660),+'R4 Variations'!F660*LU_Escalation,0)</f>
        <v>0</v>
      </c>
      <c r="G660" s="491">
        <f ca="1">IF(ISNUMBER('R4 Variations'!G660),+'R4 Variations'!G660*LU_Escalation,0)</f>
        <v>0</v>
      </c>
      <c r="H660" s="491">
        <f ca="1">IF(ISNUMBER('R4 Variations'!H660),+'R4 Variations'!H660*LU_Escalation,0)</f>
        <v>0</v>
      </c>
      <c r="I660" s="491">
        <f ca="1">IF(ISNUMBER('R4 Variations'!I660),+'R4 Variations'!I660*LU_Escalation,0)</f>
        <v>0</v>
      </c>
      <c r="J660" s="491">
        <f ca="1">IF(ISNUMBER('R4 Variations'!J660),+'R4 Variations'!J660*LU_Escalation,0)</f>
        <v>0</v>
      </c>
      <c r="K660" s="491">
        <f ca="1">IF(ISNUMBER('R4 Variations'!K660),+'R4 Variations'!K660*LU_Escalation,0)</f>
        <v>0</v>
      </c>
      <c r="L660" s="515" t="str">
        <f ca="1">+'R4 Variations'!L660</f>
        <v/>
      </c>
      <c r="M660" s="450" t="str">
        <f ca="1">+'R4 Variations'!M660</f>
        <v/>
      </c>
      <c r="N660" s="450" t="str">
        <f ca="1">+'R4 Variations'!N660</f>
        <v/>
      </c>
    </row>
    <row r="661" spans="1:14">
      <c r="A661" s="5"/>
      <c r="B661" s="249"/>
      <c r="C661" s="384" t="str">
        <f ca="1">+'R4 Variations'!C661</f>
        <v/>
      </c>
      <c r="D661" s="491">
        <f ca="1">IF(ISNUMBER('R4 Variations'!D661),+'R4 Variations'!D661*LU_Escalation,0)</f>
        <v>0</v>
      </c>
      <c r="E661" s="850">
        <f ca="1">IF(ISNUMBER('R4 Variations'!E661),+'R4 Variations'!E661*LU_Escalation,0)</f>
        <v>0</v>
      </c>
      <c r="F661" s="491">
        <f ca="1">IF(ISNUMBER('R4 Variations'!F661),+'R4 Variations'!F661*LU_Escalation,0)</f>
        <v>0</v>
      </c>
      <c r="G661" s="491">
        <f ca="1">IF(ISNUMBER('R4 Variations'!G661),+'R4 Variations'!G661*LU_Escalation,0)</f>
        <v>0</v>
      </c>
      <c r="H661" s="491">
        <f ca="1">IF(ISNUMBER('R4 Variations'!H661),+'R4 Variations'!H661*LU_Escalation,0)</f>
        <v>0</v>
      </c>
      <c r="I661" s="491">
        <f ca="1">IF(ISNUMBER('R4 Variations'!I661),+'R4 Variations'!I661*LU_Escalation,0)</f>
        <v>0</v>
      </c>
      <c r="J661" s="491">
        <f ca="1">IF(ISNUMBER('R4 Variations'!J661),+'R4 Variations'!J661*LU_Escalation,0)</f>
        <v>0</v>
      </c>
      <c r="K661" s="491">
        <f ca="1">IF(ISNUMBER('R4 Variations'!K661),+'R4 Variations'!K661*LU_Escalation,0)</f>
        <v>0</v>
      </c>
      <c r="L661" s="515" t="str">
        <f ca="1">+'R4 Variations'!L661</f>
        <v/>
      </c>
      <c r="M661" s="450" t="str">
        <f ca="1">+'R4 Variations'!M661</f>
        <v/>
      </c>
      <c r="N661" s="450" t="str">
        <f ca="1">+'R4 Variations'!N661</f>
        <v/>
      </c>
    </row>
    <row r="662" spans="1:14">
      <c r="A662" s="5"/>
      <c r="B662" s="249"/>
      <c r="C662" s="384" t="str">
        <f ca="1">+'R4 Variations'!C662</f>
        <v/>
      </c>
      <c r="D662" s="491">
        <f ca="1">IF(ISNUMBER('R4 Variations'!D662),+'R4 Variations'!D662*LU_Escalation,0)</f>
        <v>0</v>
      </c>
      <c r="E662" s="850">
        <f ca="1">IF(ISNUMBER('R4 Variations'!E662),+'R4 Variations'!E662*LU_Escalation,0)</f>
        <v>0</v>
      </c>
      <c r="F662" s="491">
        <f ca="1">IF(ISNUMBER('R4 Variations'!F662),+'R4 Variations'!F662*LU_Escalation,0)</f>
        <v>0</v>
      </c>
      <c r="G662" s="491">
        <f ca="1">IF(ISNUMBER('R4 Variations'!G662),+'R4 Variations'!G662*LU_Escalation,0)</f>
        <v>0</v>
      </c>
      <c r="H662" s="491">
        <f ca="1">IF(ISNUMBER('R4 Variations'!H662),+'R4 Variations'!H662*LU_Escalation,0)</f>
        <v>0</v>
      </c>
      <c r="I662" s="491">
        <f ca="1">IF(ISNUMBER('R4 Variations'!I662),+'R4 Variations'!I662*LU_Escalation,0)</f>
        <v>0</v>
      </c>
      <c r="J662" s="491">
        <f ca="1">IF(ISNUMBER('R4 Variations'!J662),+'R4 Variations'!J662*LU_Escalation,0)</f>
        <v>0</v>
      </c>
      <c r="K662" s="491">
        <f ca="1">IF(ISNUMBER('R4 Variations'!K662),+'R4 Variations'!K662*LU_Escalation,0)</f>
        <v>0</v>
      </c>
      <c r="L662" s="515" t="str">
        <f ca="1">+'R4 Variations'!L662</f>
        <v/>
      </c>
      <c r="M662" s="450" t="str">
        <f ca="1">+'R4 Variations'!M662</f>
        <v/>
      </c>
      <c r="N662" s="450" t="str">
        <f ca="1">+'R4 Variations'!N662</f>
        <v/>
      </c>
    </row>
    <row r="663" spans="1:14">
      <c r="A663" s="5"/>
      <c r="B663" s="249"/>
      <c r="C663" s="384" t="str">
        <f ca="1">+'R4 Variations'!C663</f>
        <v/>
      </c>
      <c r="D663" s="491">
        <f ca="1">IF(ISNUMBER('R4 Variations'!D663),+'R4 Variations'!D663*LU_Escalation,0)</f>
        <v>0</v>
      </c>
      <c r="E663" s="850">
        <f ca="1">IF(ISNUMBER('R4 Variations'!E663),+'R4 Variations'!E663*LU_Escalation,0)</f>
        <v>0</v>
      </c>
      <c r="F663" s="491">
        <f ca="1">IF(ISNUMBER('R4 Variations'!F663),+'R4 Variations'!F663*LU_Escalation,0)</f>
        <v>0</v>
      </c>
      <c r="G663" s="491">
        <f ca="1">IF(ISNUMBER('R4 Variations'!G663),+'R4 Variations'!G663*LU_Escalation,0)</f>
        <v>0</v>
      </c>
      <c r="H663" s="491">
        <f ca="1">IF(ISNUMBER('R4 Variations'!H663),+'R4 Variations'!H663*LU_Escalation,0)</f>
        <v>0</v>
      </c>
      <c r="I663" s="491">
        <f ca="1">IF(ISNUMBER('R4 Variations'!I663),+'R4 Variations'!I663*LU_Escalation,0)</f>
        <v>0</v>
      </c>
      <c r="J663" s="491">
        <f ca="1">IF(ISNUMBER('R4 Variations'!J663),+'R4 Variations'!J663*LU_Escalation,0)</f>
        <v>0</v>
      </c>
      <c r="K663" s="491">
        <f ca="1">IF(ISNUMBER('R4 Variations'!K663),+'R4 Variations'!K663*LU_Escalation,0)</f>
        <v>0</v>
      </c>
      <c r="L663" s="515" t="str">
        <f ca="1">+'R4 Variations'!L663</f>
        <v/>
      </c>
      <c r="M663" s="450" t="str">
        <f ca="1">+'R4 Variations'!M663</f>
        <v/>
      </c>
      <c r="N663" s="450" t="str">
        <f ca="1">+'R4 Variations'!N663</f>
        <v/>
      </c>
    </row>
    <row r="664" spans="1:14">
      <c r="A664" s="5"/>
      <c r="B664" s="249"/>
      <c r="C664" s="12"/>
      <c r="D664" s="491"/>
      <c r="E664" s="508"/>
      <c r="F664" s="491"/>
      <c r="G664" s="492"/>
      <c r="H664" s="492"/>
      <c r="I664" s="492"/>
      <c r="J664" s="492"/>
      <c r="K664" s="508"/>
      <c r="L664" s="515"/>
      <c r="M664" s="450"/>
      <c r="N664" s="450"/>
    </row>
    <row r="665" spans="1:14">
      <c r="A665" s="5"/>
      <c r="B665" s="249" t="str">
        <f ca="1">+'I-4 History'!B498</f>
        <v>A-31</v>
      </c>
      <c r="C665" s="262" t="str">
        <f ca="1">+'I-4 History'!C498</f>
        <v>Legal Services</v>
      </c>
      <c r="D665" s="491"/>
      <c r="E665" s="508"/>
      <c r="F665" s="491"/>
      <c r="G665" s="492"/>
      <c r="H665" s="492"/>
      <c r="I665" s="492"/>
      <c r="J665" s="492"/>
      <c r="K665" s="508"/>
      <c r="L665" s="515"/>
      <c r="M665" s="450"/>
      <c r="N665" s="450"/>
    </row>
    <row r="666" spans="1:14">
      <c r="A666" s="5"/>
      <c r="B666" s="249"/>
      <c r="C666" s="384" t="str">
        <f ca="1">+'R4 Variations'!C666</f>
        <v>Step Change</v>
      </c>
      <c r="D666" s="491">
        <f ca="1">IF(ISNUMBER('R4 Variations'!D666),+'R4 Variations'!D666*LU_Escalation,0)</f>
        <v>0</v>
      </c>
      <c r="E666" s="850">
        <f ca="1">IF(ISNUMBER('R4 Variations'!E666),+'R4 Variations'!E666*LU_Escalation,0)</f>
        <v>0</v>
      </c>
      <c r="F666" s="491">
        <f ca="1">IF(ISNUMBER('R4 Variations'!F666),+'R4 Variations'!F666*LU_Escalation,0)</f>
        <v>0</v>
      </c>
      <c r="G666" s="491">
        <f ca="1">IF(ISNUMBER('R4 Variations'!G666),+'R4 Variations'!G666*LU_Escalation,0)</f>
        <v>0</v>
      </c>
      <c r="H666" s="491">
        <f ca="1">IF(ISNUMBER('R4 Variations'!H666),+'R4 Variations'!H666*LU_Escalation,0)</f>
        <v>0</v>
      </c>
      <c r="I666" s="491">
        <f ca="1">IF(ISNUMBER('R4 Variations'!I666),+'R4 Variations'!I666*LU_Escalation,0)</f>
        <v>0</v>
      </c>
      <c r="J666" s="491">
        <f ca="1">IF(ISNUMBER('R4 Variations'!J666),+'R4 Variations'!J666*LU_Escalation,0)</f>
        <v>0</v>
      </c>
      <c r="K666" s="491">
        <f ca="1">IF(ISNUMBER('R4 Variations'!K666),+'R4 Variations'!K666*LU_Escalation,0)</f>
        <v>0</v>
      </c>
      <c r="L666" s="515" t="str">
        <f ca="1">+'R4 Variations'!L666</f>
        <v>Proposal Step Change</v>
      </c>
      <c r="M666" s="450" t="str">
        <f ca="1">+'R4 Variations'!M666</f>
        <v>Refer Opex Workings</v>
      </c>
      <c r="N666" s="450" t="str">
        <f ca="1">+'R4 Variations'!N666</f>
        <v>Proposal, October 2014</v>
      </c>
    </row>
    <row r="667" spans="1:14">
      <c r="A667" s="5"/>
      <c r="B667" s="249"/>
      <c r="C667" s="384" t="str">
        <f ca="1">+'R4 Variations'!C667</f>
        <v/>
      </c>
      <c r="D667" s="491">
        <f ca="1">IF(ISNUMBER('R4 Variations'!D667),+'R4 Variations'!D667*LU_Escalation,0)</f>
        <v>0</v>
      </c>
      <c r="E667" s="850">
        <f ca="1">IF(ISNUMBER('R4 Variations'!E667),+'R4 Variations'!E667*LU_Escalation,0)</f>
        <v>0</v>
      </c>
      <c r="F667" s="491">
        <f ca="1">IF(ISNUMBER('R4 Variations'!F667),+'R4 Variations'!F667*LU_Escalation,0)</f>
        <v>0</v>
      </c>
      <c r="G667" s="491">
        <f ca="1">IF(ISNUMBER('R4 Variations'!G667),+'R4 Variations'!G667*LU_Escalation,0)</f>
        <v>0</v>
      </c>
      <c r="H667" s="491">
        <f ca="1">IF(ISNUMBER('R4 Variations'!H667),+'R4 Variations'!H667*LU_Escalation,0)</f>
        <v>0</v>
      </c>
      <c r="I667" s="491">
        <f ca="1">IF(ISNUMBER('R4 Variations'!I667),+'R4 Variations'!I667*LU_Escalation,0)</f>
        <v>0</v>
      </c>
      <c r="J667" s="491">
        <f ca="1">IF(ISNUMBER('R4 Variations'!J667),+'R4 Variations'!J667*LU_Escalation,0)</f>
        <v>0</v>
      </c>
      <c r="K667" s="491">
        <f ca="1">IF(ISNUMBER('R4 Variations'!K667),+'R4 Variations'!K667*LU_Escalation,0)</f>
        <v>0</v>
      </c>
      <c r="L667" s="515" t="str">
        <f ca="1">+'R4 Variations'!L667</f>
        <v/>
      </c>
      <c r="M667" s="450" t="str">
        <f ca="1">+'R4 Variations'!M667</f>
        <v/>
      </c>
      <c r="N667" s="450" t="str">
        <f ca="1">+'R4 Variations'!N667</f>
        <v/>
      </c>
    </row>
    <row r="668" spans="1:14">
      <c r="A668" s="5"/>
      <c r="B668" s="249"/>
      <c r="C668" s="384" t="str">
        <f ca="1">+'R4 Variations'!C668</f>
        <v/>
      </c>
      <c r="D668" s="491">
        <f ca="1">IF(ISNUMBER('R4 Variations'!D668),+'R4 Variations'!D668*LU_Escalation,0)</f>
        <v>0</v>
      </c>
      <c r="E668" s="850">
        <f ca="1">IF(ISNUMBER('R4 Variations'!E668),+'R4 Variations'!E668*LU_Escalation,0)</f>
        <v>0</v>
      </c>
      <c r="F668" s="491">
        <f ca="1">IF(ISNUMBER('R4 Variations'!F668),+'R4 Variations'!F668*LU_Escalation,0)</f>
        <v>0</v>
      </c>
      <c r="G668" s="491">
        <f ca="1">IF(ISNUMBER('R4 Variations'!G668),+'R4 Variations'!G668*LU_Escalation,0)</f>
        <v>0</v>
      </c>
      <c r="H668" s="491">
        <f ca="1">IF(ISNUMBER('R4 Variations'!H668),+'R4 Variations'!H668*LU_Escalation,0)</f>
        <v>0</v>
      </c>
      <c r="I668" s="491">
        <f ca="1">IF(ISNUMBER('R4 Variations'!I668),+'R4 Variations'!I668*LU_Escalation,0)</f>
        <v>0</v>
      </c>
      <c r="J668" s="491">
        <f ca="1">IF(ISNUMBER('R4 Variations'!J668),+'R4 Variations'!J668*LU_Escalation,0)</f>
        <v>0</v>
      </c>
      <c r="K668" s="491">
        <f ca="1">IF(ISNUMBER('R4 Variations'!K668),+'R4 Variations'!K668*LU_Escalation,0)</f>
        <v>0</v>
      </c>
      <c r="L668" s="515" t="str">
        <f ca="1">+'R4 Variations'!L668</f>
        <v/>
      </c>
      <c r="M668" s="450" t="str">
        <f ca="1">+'R4 Variations'!M668</f>
        <v/>
      </c>
      <c r="N668" s="450" t="str">
        <f ca="1">+'R4 Variations'!N668</f>
        <v/>
      </c>
    </row>
    <row r="669" spans="1:14">
      <c r="A669" s="5"/>
      <c r="B669" s="249"/>
      <c r="C669" s="384" t="str">
        <f ca="1">+'R4 Variations'!C669</f>
        <v/>
      </c>
      <c r="D669" s="491">
        <f ca="1">IF(ISNUMBER('R4 Variations'!D669),+'R4 Variations'!D669*LU_Escalation,0)</f>
        <v>0</v>
      </c>
      <c r="E669" s="850">
        <f ca="1">IF(ISNUMBER('R4 Variations'!E669),+'R4 Variations'!E669*LU_Escalation,0)</f>
        <v>0</v>
      </c>
      <c r="F669" s="491">
        <f ca="1">IF(ISNUMBER('R4 Variations'!F669),+'R4 Variations'!F669*LU_Escalation,0)</f>
        <v>0</v>
      </c>
      <c r="G669" s="491">
        <f ca="1">IF(ISNUMBER('R4 Variations'!G669),+'R4 Variations'!G669*LU_Escalation,0)</f>
        <v>0</v>
      </c>
      <c r="H669" s="491">
        <f ca="1">IF(ISNUMBER('R4 Variations'!H669),+'R4 Variations'!H669*LU_Escalation,0)</f>
        <v>0</v>
      </c>
      <c r="I669" s="491">
        <f ca="1">IF(ISNUMBER('R4 Variations'!I669),+'R4 Variations'!I669*LU_Escalation,0)</f>
        <v>0</v>
      </c>
      <c r="J669" s="491">
        <f ca="1">IF(ISNUMBER('R4 Variations'!J669),+'R4 Variations'!J669*LU_Escalation,0)</f>
        <v>0</v>
      </c>
      <c r="K669" s="491">
        <f ca="1">IF(ISNUMBER('R4 Variations'!K669),+'R4 Variations'!K669*LU_Escalation,0)</f>
        <v>0</v>
      </c>
      <c r="L669" s="515" t="str">
        <f ca="1">+'R4 Variations'!L669</f>
        <v/>
      </c>
      <c r="M669" s="450" t="str">
        <f ca="1">+'R4 Variations'!M669</f>
        <v/>
      </c>
      <c r="N669" s="450" t="str">
        <f ca="1">+'R4 Variations'!N669</f>
        <v/>
      </c>
    </row>
    <row r="670" spans="1:14">
      <c r="A670" s="5"/>
      <c r="B670" s="249"/>
      <c r="C670" s="384" t="str">
        <f ca="1">+'R4 Variations'!C670</f>
        <v/>
      </c>
      <c r="D670" s="491">
        <f ca="1">IF(ISNUMBER('R4 Variations'!D670),+'R4 Variations'!D670*LU_Escalation,0)</f>
        <v>0</v>
      </c>
      <c r="E670" s="850">
        <f ca="1">IF(ISNUMBER('R4 Variations'!E670),+'R4 Variations'!E670*LU_Escalation,0)</f>
        <v>0</v>
      </c>
      <c r="F670" s="491">
        <f ca="1">IF(ISNUMBER('R4 Variations'!F670),+'R4 Variations'!F670*LU_Escalation,0)</f>
        <v>0</v>
      </c>
      <c r="G670" s="491">
        <f ca="1">IF(ISNUMBER('R4 Variations'!G670),+'R4 Variations'!G670*LU_Escalation,0)</f>
        <v>0</v>
      </c>
      <c r="H670" s="491">
        <f ca="1">IF(ISNUMBER('R4 Variations'!H670),+'R4 Variations'!H670*LU_Escalation,0)</f>
        <v>0</v>
      </c>
      <c r="I670" s="491">
        <f ca="1">IF(ISNUMBER('R4 Variations'!I670),+'R4 Variations'!I670*LU_Escalation,0)</f>
        <v>0</v>
      </c>
      <c r="J670" s="491">
        <f ca="1">IF(ISNUMBER('R4 Variations'!J670),+'R4 Variations'!J670*LU_Escalation,0)</f>
        <v>0</v>
      </c>
      <c r="K670" s="491">
        <f ca="1">IF(ISNUMBER('R4 Variations'!K670),+'R4 Variations'!K670*LU_Escalation,0)</f>
        <v>0</v>
      </c>
      <c r="L670" s="515" t="str">
        <f ca="1">+'R4 Variations'!L670</f>
        <v/>
      </c>
      <c r="M670" s="450" t="str">
        <f ca="1">+'R4 Variations'!M670</f>
        <v/>
      </c>
      <c r="N670" s="450" t="str">
        <f ca="1">+'R4 Variations'!N670</f>
        <v/>
      </c>
    </row>
    <row r="671" spans="1:14">
      <c r="B671" s="249"/>
      <c r="C671" s="384" t="str">
        <f ca="1">+'R4 Variations'!C671</f>
        <v/>
      </c>
      <c r="D671" s="491">
        <f ca="1">IF(ISNUMBER('R4 Variations'!D671),+'R4 Variations'!D671*LU_Escalation,0)</f>
        <v>0</v>
      </c>
      <c r="E671" s="850">
        <f ca="1">IF(ISNUMBER('R4 Variations'!E671),+'R4 Variations'!E671*LU_Escalation,0)</f>
        <v>0</v>
      </c>
      <c r="F671" s="491">
        <f ca="1">IF(ISNUMBER('R4 Variations'!F671),+'R4 Variations'!F671*LU_Escalation,0)</f>
        <v>0</v>
      </c>
      <c r="G671" s="491">
        <f ca="1">IF(ISNUMBER('R4 Variations'!G671),+'R4 Variations'!G671*LU_Escalation,0)</f>
        <v>0</v>
      </c>
      <c r="H671" s="491">
        <f ca="1">IF(ISNUMBER('R4 Variations'!H671),+'R4 Variations'!H671*LU_Escalation,0)</f>
        <v>0</v>
      </c>
      <c r="I671" s="491">
        <f ca="1">IF(ISNUMBER('R4 Variations'!I671),+'R4 Variations'!I671*LU_Escalation,0)</f>
        <v>0</v>
      </c>
      <c r="J671" s="491">
        <f ca="1">IF(ISNUMBER('R4 Variations'!J671),+'R4 Variations'!J671*LU_Escalation,0)</f>
        <v>0</v>
      </c>
      <c r="K671" s="491">
        <f ca="1">IF(ISNUMBER('R4 Variations'!K671),+'R4 Variations'!K671*LU_Escalation,0)</f>
        <v>0</v>
      </c>
      <c r="L671" s="515" t="str">
        <f ca="1">+'R4 Variations'!L671</f>
        <v/>
      </c>
      <c r="M671" s="450" t="str">
        <f ca="1">+'R4 Variations'!M671</f>
        <v/>
      </c>
      <c r="N671" s="450" t="str">
        <f ca="1">+'R4 Variations'!N671</f>
        <v/>
      </c>
    </row>
    <row r="672" spans="1:14">
      <c r="B672" s="249"/>
      <c r="C672" s="384" t="str">
        <f ca="1">+'R4 Variations'!C672</f>
        <v/>
      </c>
      <c r="D672" s="491">
        <f ca="1">IF(ISNUMBER('R4 Variations'!D672),+'R4 Variations'!D672*LU_Escalation,0)</f>
        <v>0</v>
      </c>
      <c r="E672" s="850">
        <f ca="1">IF(ISNUMBER('R4 Variations'!E672),+'R4 Variations'!E672*LU_Escalation,0)</f>
        <v>0</v>
      </c>
      <c r="F672" s="491">
        <f ca="1">IF(ISNUMBER('R4 Variations'!F672),+'R4 Variations'!F672*LU_Escalation,0)</f>
        <v>0</v>
      </c>
      <c r="G672" s="491">
        <f ca="1">IF(ISNUMBER('R4 Variations'!G672),+'R4 Variations'!G672*LU_Escalation,0)</f>
        <v>0</v>
      </c>
      <c r="H672" s="491">
        <f ca="1">IF(ISNUMBER('R4 Variations'!H672),+'R4 Variations'!H672*LU_Escalation,0)</f>
        <v>0</v>
      </c>
      <c r="I672" s="491">
        <f ca="1">IF(ISNUMBER('R4 Variations'!I672),+'R4 Variations'!I672*LU_Escalation,0)</f>
        <v>0</v>
      </c>
      <c r="J672" s="491">
        <f ca="1">IF(ISNUMBER('R4 Variations'!J672),+'R4 Variations'!J672*LU_Escalation,0)</f>
        <v>0</v>
      </c>
      <c r="K672" s="491">
        <f ca="1">IF(ISNUMBER('R4 Variations'!K672),+'R4 Variations'!K672*LU_Escalation,0)</f>
        <v>0</v>
      </c>
      <c r="L672" s="515" t="str">
        <f ca="1">+'R4 Variations'!L672</f>
        <v/>
      </c>
      <c r="M672" s="450" t="str">
        <f ca="1">+'R4 Variations'!M672</f>
        <v/>
      </c>
      <c r="N672" s="450" t="str">
        <f ca="1">+'R4 Variations'!N672</f>
        <v/>
      </c>
    </row>
    <row r="673" spans="1:14">
      <c r="B673" s="249"/>
      <c r="C673" s="384" t="str">
        <f ca="1">+'R4 Variations'!C673</f>
        <v/>
      </c>
      <c r="D673" s="491">
        <f ca="1">IF(ISNUMBER('R4 Variations'!D673),+'R4 Variations'!D673*LU_Escalation,0)</f>
        <v>0</v>
      </c>
      <c r="E673" s="850">
        <f ca="1">IF(ISNUMBER('R4 Variations'!E673),+'R4 Variations'!E673*LU_Escalation,0)</f>
        <v>0</v>
      </c>
      <c r="F673" s="491">
        <f ca="1">IF(ISNUMBER('R4 Variations'!F673),+'R4 Variations'!F673*LU_Escalation,0)</f>
        <v>0</v>
      </c>
      <c r="G673" s="491">
        <f ca="1">IF(ISNUMBER('R4 Variations'!G673),+'R4 Variations'!G673*LU_Escalation,0)</f>
        <v>0</v>
      </c>
      <c r="H673" s="491">
        <f ca="1">IF(ISNUMBER('R4 Variations'!H673),+'R4 Variations'!H673*LU_Escalation,0)</f>
        <v>0</v>
      </c>
      <c r="I673" s="491">
        <f ca="1">IF(ISNUMBER('R4 Variations'!I673),+'R4 Variations'!I673*LU_Escalation,0)</f>
        <v>0</v>
      </c>
      <c r="J673" s="491">
        <f ca="1">IF(ISNUMBER('R4 Variations'!J673),+'R4 Variations'!J673*LU_Escalation,0)</f>
        <v>0</v>
      </c>
      <c r="K673" s="491">
        <f ca="1">IF(ISNUMBER('R4 Variations'!K673),+'R4 Variations'!K673*LU_Escalation,0)</f>
        <v>0</v>
      </c>
      <c r="L673" s="515" t="str">
        <f ca="1">+'R4 Variations'!L673</f>
        <v/>
      </c>
      <c r="M673" s="450" t="str">
        <f ca="1">+'R4 Variations'!M673</f>
        <v/>
      </c>
      <c r="N673" s="450" t="str">
        <f ca="1">+'R4 Variations'!N673</f>
        <v/>
      </c>
    </row>
    <row r="674" spans="1:14">
      <c r="B674" s="249"/>
      <c r="C674" s="384" t="str">
        <f ca="1">+'R4 Variations'!C674</f>
        <v/>
      </c>
      <c r="D674" s="491">
        <f ca="1">IF(ISNUMBER('R4 Variations'!D674),+'R4 Variations'!D674*LU_Escalation,0)</f>
        <v>0</v>
      </c>
      <c r="E674" s="850">
        <f ca="1">IF(ISNUMBER('R4 Variations'!E674),+'R4 Variations'!E674*LU_Escalation,0)</f>
        <v>0</v>
      </c>
      <c r="F674" s="491">
        <f ca="1">IF(ISNUMBER('R4 Variations'!F674),+'R4 Variations'!F674*LU_Escalation,0)</f>
        <v>0</v>
      </c>
      <c r="G674" s="491">
        <f ca="1">IF(ISNUMBER('R4 Variations'!G674),+'R4 Variations'!G674*LU_Escalation,0)</f>
        <v>0</v>
      </c>
      <c r="H674" s="491">
        <f ca="1">IF(ISNUMBER('R4 Variations'!H674),+'R4 Variations'!H674*LU_Escalation,0)</f>
        <v>0</v>
      </c>
      <c r="I674" s="491">
        <f ca="1">IF(ISNUMBER('R4 Variations'!I674),+'R4 Variations'!I674*LU_Escalation,0)</f>
        <v>0</v>
      </c>
      <c r="J674" s="491">
        <f ca="1">IF(ISNUMBER('R4 Variations'!J674),+'R4 Variations'!J674*LU_Escalation,0)</f>
        <v>0</v>
      </c>
      <c r="K674" s="491">
        <f ca="1">IF(ISNUMBER('R4 Variations'!K674),+'R4 Variations'!K674*LU_Escalation,0)</f>
        <v>0</v>
      </c>
      <c r="L674" s="515" t="str">
        <f ca="1">+'R4 Variations'!L674</f>
        <v/>
      </c>
      <c r="M674" s="450" t="str">
        <f ca="1">+'R4 Variations'!M674</f>
        <v/>
      </c>
      <c r="N674" s="450" t="str">
        <f ca="1">+'R4 Variations'!N674</f>
        <v/>
      </c>
    </row>
    <row r="675" spans="1:14">
      <c r="B675" s="249"/>
      <c r="C675" s="384" t="str">
        <f ca="1">+'R4 Variations'!C675</f>
        <v/>
      </c>
      <c r="D675" s="491">
        <f ca="1">IF(ISNUMBER('R4 Variations'!D675),+'R4 Variations'!D675*LU_Escalation,0)</f>
        <v>0</v>
      </c>
      <c r="E675" s="850">
        <f ca="1">IF(ISNUMBER('R4 Variations'!E675),+'R4 Variations'!E675*LU_Escalation,0)</f>
        <v>0</v>
      </c>
      <c r="F675" s="491">
        <f ca="1">IF(ISNUMBER('R4 Variations'!F675),+'R4 Variations'!F675*LU_Escalation,0)</f>
        <v>0</v>
      </c>
      <c r="G675" s="491">
        <f ca="1">IF(ISNUMBER('R4 Variations'!G675),+'R4 Variations'!G675*LU_Escalation,0)</f>
        <v>0</v>
      </c>
      <c r="H675" s="491">
        <f ca="1">IF(ISNUMBER('R4 Variations'!H675),+'R4 Variations'!H675*LU_Escalation,0)</f>
        <v>0</v>
      </c>
      <c r="I675" s="491">
        <f ca="1">IF(ISNUMBER('R4 Variations'!I675),+'R4 Variations'!I675*LU_Escalation,0)</f>
        <v>0</v>
      </c>
      <c r="J675" s="491">
        <f ca="1">IF(ISNUMBER('R4 Variations'!J675),+'R4 Variations'!J675*LU_Escalation,0)</f>
        <v>0</v>
      </c>
      <c r="K675" s="491">
        <f ca="1">IF(ISNUMBER('R4 Variations'!K675),+'R4 Variations'!K675*LU_Escalation,0)</f>
        <v>0</v>
      </c>
      <c r="L675" s="515" t="str">
        <f ca="1">+'R4 Variations'!L675</f>
        <v/>
      </c>
      <c r="M675" s="450" t="str">
        <f ca="1">+'R4 Variations'!M675</f>
        <v/>
      </c>
      <c r="N675" s="450" t="str">
        <f ca="1">+'R4 Variations'!N675</f>
        <v/>
      </c>
    </row>
    <row r="676" spans="1:14" ht="17.25" customHeight="1" thickBot="1">
      <c r="B676" s="250"/>
      <c r="C676" s="269" t="str">
        <f>CONCATENATE("Total ",+C496)</f>
        <v>Total Corporate Services</v>
      </c>
      <c r="D676" s="315">
        <f t="shared" ref="D676:K676" ca="1" si="6">SUBTOTAL(9,D497:D675)</f>
        <v>0</v>
      </c>
      <c r="E676" s="500">
        <f t="shared" ca="1" si="6"/>
        <v>0</v>
      </c>
      <c r="F676" s="314">
        <f t="shared" ca="1" si="6"/>
        <v>2.0860000000000003</v>
      </c>
      <c r="G676" s="315">
        <f t="shared" ca="1" si="6"/>
        <v>3.7079922692307696</v>
      </c>
      <c r="H676" s="315">
        <f t="shared" ca="1" si="6"/>
        <v>4.2693080769230773</v>
      </c>
      <c r="I676" s="315">
        <f t="shared" ca="1" si="6"/>
        <v>5.6700132692307701</v>
      </c>
      <c r="J676" s="315">
        <f t="shared" ca="1" si="6"/>
        <v>5.9222435769230772</v>
      </c>
      <c r="K676" s="500">
        <f t="shared" ca="1" si="6"/>
        <v>5.9790987692307702</v>
      </c>
      <c r="L676" s="515"/>
      <c r="M676" s="450"/>
      <c r="N676" s="450"/>
    </row>
    <row r="677" spans="1:14" ht="18">
      <c r="B677" s="251"/>
      <c r="C677" s="255" t="str">
        <f>+'I-3 Allocated'!A36</f>
        <v xml:space="preserve">Services </v>
      </c>
      <c r="D677" s="332"/>
      <c r="E677" s="499"/>
      <c r="F677" s="332"/>
      <c r="G677" s="332"/>
      <c r="H677" s="332"/>
      <c r="I677" s="332"/>
      <c r="J677" s="332"/>
      <c r="K677" s="499"/>
      <c r="L677" s="515"/>
      <c r="M677" s="450"/>
      <c r="N677" s="450"/>
    </row>
    <row r="678" spans="1:14">
      <c r="B678" s="249"/>
      <c r="C678" s="12"/>
      <c r="D678" s="491"/>
      <c r="E678" s="508"/>
      <c r="F678" s="491"/>
      <c r="G678" s="492"/>
      <c r="H678" s="492"/>
      <c r="I678" s="492"/>
      <c r="J678" s="492"/>
      <c r="K678" s="508"/>
      <c r="L678" s="515"/>
      <c r="M678" s="450"/>
      <c r="N678" s="450"/>
    </row>
    <row r="679" spans="1:14">
      <c r="A679" s="5"/>
      <c r="B679" s="249" t="str">
        <f ca="1">+'I-4 History'!B507</f>
        <v>A-32</v>
      </c>
      <c r="C679" s="14" t="str">
        <f ca="1">+'I-4 History'!C507</f>
        <v>General Manager Services</v>
      </c>
      <c r="D679" s="491"/>
      <c r="E679" s="508"/>
      <c r="F679" s="491"/>
      <c r="G679" s="492"/>
      <c r="H679" s="492"/>
      <c r="I679" s="492"/>
      <c r="J679" s="492"/>
      <c r="K679" s="508"/>
      <c r="L679" s="515"/>
      <c r="M679" s="450"/>
      <c r="N679" s="450"/>
    </row>
    <row r="680" spans="1:14">
      <c r="A680" s="5"/>
      <c r="B680" s="249"/>
      <c r="C680" s="384" t="str">
        <f ca="1">+'R4 Variations'!C680</f>
        <v>Step Change</v>
      </c>
      <c r="D680" s="491">
        <f ca="1">IF(ISNUMBER('R4 Variations'!D680),+'R4 Variations'!D680*LU_Escalation,0)</f>
        <v>0</v>
      </c>
      <c r="E680" s="850">
        <f ca="1">IF(ISNUMBER('R4 Variations'!E680),+'R4 Variations'!E680*LU_Escalation,0)</f>
        <v>0</v>
      </c>
      <c r="F680" s="491">
        <f ca="1">IF(ISNUMBER('R4 Variations'!F680),+'R4 Variations'!F680*LU_Escalation,0)</f>
        <v>0</v>
      </c>
      <c r="G680" s="491">
        <f ca="1">IF(ISNUMBER('R4 Variations'!G680),+'R4 Variations'!G680*LU_Escalation,0)</f>
        <v>0</v>
      </c>
      <c r="H680" s="491">
        <f ca="1">IF(ISNUMBER('R4 Variations'!H680),+'R4 Variations'!H680*LU_Escalation,0)</f>
        <v>0</v>
      </c>
      <c r="I680" s="491">
        <f ca="1">IF(ISNUMBER('R4 Variations'!I680),+'R4 Variations'!I680*LU_Escalation,0)</f>
        <v>0</v>
      </c>
      <c r="J680" s="491">
        <f ca="1">IF(ISNUMBER('R4 Variations'!J680),+'R4 Variations'!J680*LU_Escalation,0)</f>
        <v>0</v>
      </c>
      <c r="K680" s="491">
        <f ca="1">IF(ISNUMBER('R4 Variations'!K680),+'R4 Variations'!K680*LU_Escalation,0)</f>
        <v>0</v>
      </c>
      <c r="L680" s="515" t="str">
        <f ca="1">+'R4 Variations'!L680</f>
        <v>Proposal Step Change</v>
      </c>
      <c r="M680" s="450" t="str">
        <f ca="1">+'R4 Variations'!M680</f>
        <v>Refer Opex Workings</v>
      </c>
      <c r="N680" s="450" t="str">
        <f ca="1">+'R4 Variations'!N680</f>
        <v>Proposal, October 2014</v>
      </c>
    </row>
    <row r="681" spans="1:14">
      <c r="A681" s="5"/>
      <c r="B681" s="249"/>
      <c r="C681" s="384" t="str">
        <f ca="1">+'R4 Variations'!C681</f>
        <v/>
      </c>
      <c r="D681" s="491">
        <f ca="1">IF(ISNUMBER('R4 Variations'!D681),+'R4 Variations'!D681*LU_Escalation,0)</f>
        <v>0</v>
      </c>
      <c r="E681" s="850">
        <f ca="1">IF(ISNUMBER('R4 Variations'!E681),+'R4 Variations'!E681*LU_Escalation,0)</f>
        <v>0</v>
      </c>
      <c r="F681" s="491">
        <f ca="1">IF(ISNUMBER('R4 Variations'!F681),+'R4 Variations'!F681*LU_Escalation,0)</f>
        <v>0</v>
      </c>
      <c r="G681" s="491">
        <f ca="1">IF(ISNUMBER('R4 Variations'!G681),+'R4 Variations'!G681*LU_Escalation,0)</f>
        <v>0</v>
      </c>
      <c r="H681" s="491">
        <f ca="1">IF(ISNUMBER('R4 Variations'!H681),+'R4 Variations'!H681*LU_Escalation,0)</f>
        <v>0</v>
      </c>
      <c r="I681" s="491">
        <f ca="1">IF(ISNUMBER('R4 Variations'!I681),+'R4 Variations'!I681*LU_Escalation,0)</f>
        <v>0</v>
      </c>
      <c r="J681" s="491">
        <f ca="1">IF(ISNUMBER('R4 Variations'!J681),+'R4 Variations'!J681*LU_Escalation,0)</f>
        <v>0</v>
      </c>
      <c r="K681" s="491">
        <f ca="1">IF(ISNUMBER('R4 Variations'!K681),+'R4 Variations'!K681*LU_Escalation,0)</f>
        <v>0</v>
      </c>
      <c r="L681" s="515" t="str">
        <f ca="1">+'R4 Variations'!L681</f>
        <v/>
      </c>
      <c r="M681" s="450" t="str">
        <f ca="1">+'R4 Variations'!M681</f>
        <v/>
      </c>
      <c r="N681" s="450" t="str">
        <f ca="1">+'R4 Variations'!N681</f>
        <v/>
      </c>
    </row>
    <row r="682" spans="1:14">
      <c r="A682" s="5"/>
      <c r="B682" s="249"/>
      <c r="C682" s="384" t="str">
        <f ca="1">+'R4 Variations'!C682</f>
        <v/>
      </c>
      <c r="D682" s="491">
        <f ca="1">IF(ISNUMBER('R4 Variations'!D682),+'R4 Variations'!D682*LU_Escalation,0)</f>
        <v>0</v>
      </c>
      <c r="E682" s="850">
        <f ca="1">IF(ISNUMBER('R4 Variations'!E682),+'R4 Variations'!E682*LU_Escalation,0)</f>
        <v>0</v>
      </c>
      <c r="F682" s="491">
        <f ca="1">IF(ISNUMBER('R4 Variations'!F682),+'R4 Variations'!F682*LU_Escalation,0)</f>
        <v>0</v>
      </c>
      <c r="G682" s="491">
        <f ca="1">IF(ISNUMBER('R4 Variations'!G682),+'R4 Variations'!G682*LU_Escalation,0)</f>
        <v>0</v>
      </c>
      <c r="H682" s="491">
        <f ca="1">IF(ISNUMBER('R4 Variations'!H682),+'R4 Variations'!H682*LU_Escalation,0)</f>
        <v>0</v>
      </c>
      <c r="I682" s="491">
        <f ca="1">IF(ISNUMBER('R4 Variations'!I682),+'R4 Variations'!I682*LU_Escalation,0)</f>
        <v>0</v>
      </c>
      <c r="J682" s="491">
        <f ca="1">IF(ISNUMBER('R4 Variations'!J682),+'R4 Variations'!J682*LU_Escalation,0)</f>
        <v>0</v>
      </c>
      <c r="K682" s="491">
        <f ca="1">IF(ISNUMBER('R4 Variations'!K682),+'R4 Variations'!K682*LU_Escalation,0)</f>
        <v>0</v>
      </c>
      <c r="L682" s="515" t="str">
        <f ca="1">+'R4 Variations'!L682</f>
        <v/>
      </c>
      <c r="M682" s="450" t="str">
        <f ca="1">+'R4 Variations'!M682</f>
        <v/>
      </c>
      <c r="N682" s="450" t="str">
        <f ca="1">+'R4 Variations'!N682</f>
        <v/>
      </c>
    </row>
    <row r="683" spans="1:14">
      <c r="A683" s="5"/>
      <c r="B683" s="249"/>
      <c r="C683" s="384" t="str">
        <f ca="1">+'R4 Variations'!C683</f>
        <v/>
      </c>
      <c r="D683" s="491">
        <f ca="1">IF(ISNUMBER('R4 Variations'!D683),+'R4 Variations'!D683*LU_Escalation,0)</f>
        <v>0</v>
      </c>
      <c r="E683" s="850">
        <f ca="1">IF(ISNUMBER('R4 Variations'!E683),+'R4 Variations'!E683*LU_Escalation,0)</f>
        <v>0</v>
      </c>
      <c r="F683" s="491">
        <f ca="1">IF(ISNUMBER('R4 Variations'!F683),+'R4 Variations'!F683*LU_Escalation,0)</f>
        <v>0</v>
      </c>
      <c r="G683" s="491">
        <f ca="1">IF(ISNUMBER('R4 Variations'!G683),+'R4 Variations'!G683*LU_Escalation,0)</f>
        <v>0</v>
      </c>
      <c r="H683" s="491">
        <f ca="1">IF(ISNUMBER('R4 Variations'!H683),+'R4 Variations'!H683*LU_Escalation,0)</f>
        <v>0</v>
      </c>
      <c r="I683" s="491">
        <f ca="1">IF(ISNUMBER('R4 Variations'!I683),+'R4 Variations'!I683*LU_Escalation,0)</f>
        <v>0</v>
      </c>
      <c r="J683" s="491">
        <f ca="1">IF(ISNUMBER('R4 Variations'!J683),+'R4 Variations'!J683*LU_Escalation,0)</f>
        <v>0</v>
      </c>
      <c r="K683" s="491">
        <f ca="1">IF(ISNUMBER('R4 Variations'!K683),+'R4 Variations'!K683*LU_Escalation,0)</f>
        <v>0</v>
      </c>
      <c r="L683" s="515" t="str">
        <f ca="1">+'R4 Variations'!L683</f>
        <v/>
      </c>
      <c r="M683" s="450" t="str">
        <f ca="1">+'R4 Variations'!M683</f>
        <v/>
      </c>
      <c r="N683" s="450" t="str">
        <f ca="1">+'R4 Variations'!N683</f>
        <v/>
      </c>
    </row>
    <row r="684" spans="1:14">
      <c r="A684" s="5"/>
      <c r="B684" s="249"/>
      <c r="C684" s="384" t="str">
        <f ca="1">+'R4 Variations'!C684</f>
        <v/>
      </c>
      <c r="D684" s="491">
        <f ca="1">IF(ISNUMBER('R4 Variations'!D684),+'R4 Variations'!D684*LU_Escalation,0)</f>
        <v>0</v>
      </c>
      <c r="E684" s="850">
        <f ca="1">IF(ISNUMBER('R4 Variations'!E684),+'R4 Variations'!E684*LU_Escalation,0)</f>
        <v>0</v>
      </c>
      <c r="F684" s="491">
        <f ca="1">IF(ISNUMBER('R4 Variations'!F684),+'R4 Variations'!F684*LU_Escalation,0)</f>
        <v>0</v>
      </c>
      <c r="G684" s="491">
        <f ca="1">IF(ISNUMBER('R4 Variations'!G684),+'R4 Variations'!G684*LU_Escalation,0)</f>
        <v>0</v>
      </c>
      <c r="H684" s="491">
        <f ca="1">IF(ISNUMBER('R4 Variations'!H684),+'R4 Variations'!H684*LU_Escalation,0)</f>
        <v>0</v>
      </c>
      <c r="I684" s="491">
        <f ca="1">IF(ISNUMBER('R4 Variations'!I684),+'R4 Variations'!I684*LU_Escalation,0)</f>
        <v>0</v>
      </c>
      <c r="J684" s="491">
        <f ca="1">IF(ISNUMBER('R4 Variations'!J684),+'R4 Variations'!J684*LU_Escalation,0)</f>
        <v>0</v>
      </c>
      <c r="K684" s="491">
        <f ca="1">IF(ISNUMBER('R4 Variations'!K684),+'R4 Variations'!K684*LU_Escalation,0)</f>
        <v>0</v>
      </c>
      <c r="L684" s="515" t="str">
        <f ca="1">+'R4 Variations'!L684</f>
        <v/>
      </c>
      <c r="M684" s="450" t="str">
        <f ca="1">+'R4 Variations'!M684</f>
        <v/>
      </c>
      <c r="N684" s="450" t="str">
        <f ca="1">+'R4 Variations'!N684</f>
        <v/>
      </c>
    </row>
    <row r="685" spans="1:14">
      <c r="A685" s="5"/>
      <c r="B685" s="249"/>
      <c r="C685" s="384" t="str">
        <f ca="1">+'R4 Variations'!C685</f>
        <v/>
      </c>
      <c r="D685" s="491">
        <f ca="1">IF(ISNUMBER('R4 Variations'!D685),+'R4 Variations'!D685*LU_Escalation,0)</f>
        <v>0</v>
      </c>
      <c r="E685" s="850">
        <f ca="1">IF(ISNUMBER('R4 Variations'!E685),+'R4 Variations'!E685*LU_Escalation,0)</f>
        <v>0</v>
      </c>
      <c r="F685" s="491">
        <f ca="1">IF(ISNUMBER('R4 Variations'!F685),+'R4 Variations'!F685*LU_Escalation,0)</f>
        <v>0</v>
      </c>
      <c r="G685" s="491">
        <f ca="1">IF(ISNUMBER('R4 Variations'!G685),+'R4 Variations'!G685*LU_Escalation,0)</f>
        <v>0</v>
      </c>
      <c r="H685" s="491">
        <f ca="1">IF(ISNUMBER('R4 Variations'!H685),+'R4 Variations'!H685*LU_Escalation,0)</f>
        <v>0</v>
      </c>
      <c r="I685" s="491">
        <f ca="1">IF(ISNUMBER('R4 Variations'!I685),+'R4 Variations'!I685*LU_Escalation,0)</f>
        <v>0</v>
      </c>
      <c r="J685" s="491">
        <f ca="1">IF(ISNUMBER('R4 Variations'!J685),+'R4 Variations'!J685*LU_Escalation,0)</f>
        <v>0</v>
      </c>
      <c r="K685" s="491">
        <f ca="1">IF(ISNUMBER('R4 Variations'!K685),+'R4 Variations'!K685*LU_Escalation,0)</f>
        <v>0</v>
      </c>
      <c r="L685" s="515" t="str">
        <f ca="1">+'R4 Variations'!L685</f>
        <v/>
      </c>
      <c r="M685" s="450" t="str">
        <f ca="1">+'R4 Variations'!M685</f>
        <v/>
      </c>
      <c r="N685" s="450" t="str">
        <f ca="1">+'R4 Variations'!N685</f>
        <v/>
      </c>
    </row>
    <row r="686" spans="1:14">
      <c r="A686" s="5"/>
      <c r="B686" s="249"/>
      <c r="C686" s="384" t="str">
        <f ca="1">+'R4 Variations'!C686</f>
        <v/>
      </c>
      <c r="D686" s="491">
        <f ca="1">IF(ISNUMBER('R4 Variations'!D686),+'R4 Variations'!D686*LU_Escalation,0)</f>
        <v>0</v>
      </c>
      <c r="E686" s="850">
        <f ca="1">IF(ISNUMBER('R4 Variations'!E686),+'R4 Variations'!E686*LU_Escalation,0)</f>
        <v>0</v>
      </c>
      <c r="F686" s="491">
        <f ca="1">IF(ISNUMBER('R4 Variations'!F686),+'R4 Variations'!F686*LU_Escalation,0)</f>
        <v>0</v>
      </c>
      <c r="G686" s="491">
        <f ca="1">IF(ISNUMBER('R4 Variations'!G686),+'R4 Variations'!G686*LU_Escalation,0)</f>
        <v>0</v>
      </c>
      <c r="H686" s="491">
        <f ca="1">IF(ISNUMBER('R4 Variations'!H686),+'R4 Variations'!H686*LU_Escalation,0)</f>
        <v>0</v>
      </c>
      <c r="I686" s="491">
        <f ca="1">IF(ISNUMBER('R4 Variations'!I686),+'R4 Variations'!I686*LU_Escalation,0)</f>
        <v>0</v>
      </c>
      <c r="J686" s="491">
        <f ca="1">IF(ISNUMBER('R4 Variations'!J686),+'R4 Variations'!J686*LU_Escalation,0)</f>
        <v>0</v>
      </c>
      <c r="K686" s="491">
        <f ca="1">IF(ISNUMBER('R4 Variations'!K686),+'R4 Variations'!K686*LU_Escalation,0)</f>
        <v>0</v>
      </c>
      <c r="L686" s="515" t="str">
        <f ca="1">+'R4 Variations'!L686</f>
        <v/>
      </c>
      <c r="M686" s="450" t="str">
        <f ca="1">+'R4 Variations'!M686</f>
        <v/>
      </c>
      <c r="N686" s="450" t="str">
        <f ca="1">+'R4 Variations'!N686</f>
        <v/>
      </c>
    </row>
    <row r="687" spans="1:14">
      <c r="A687" s="5"/>
      <c r="B687" s="249"/>
      <c r="C687" s="384" t="str">
        <f ca="1">+'R4 Variations'!C687</f>
        <v/>
      </c>
      <c r="D687" s="491">
        <f ca="1">IF(ISNUMBER('R4 Variations'!D687),+'R4 Variations'!D687*LU_Escalation,0)</f>
        <v>0</v>
      </c>
      <c r="E687" s="850">
        <f ca="1">IF(ISNUMBER('R4 Variations'!E687),+'R4 Variations'!E687*LU_Escalation,0)</f>
        <v>0</v>
      </c>
      <c r="F687" s="491">
        <f ca="1">IF(ISNUMBER('R4 Variations'!F687),+'R4 Variations'!F687*LU_Escalation,0)</f>
        <v>0</v>
      </c>
      <c r="G687" s="491">
        <f ca="1">IF(ISNUMBER('R4 Variations'!G687),+'R4 Variations'!G687*LU_Escalation,0)</f>
        <v>0</v>
      </c>
      <c r="H687" s="491">
        <f ca="1">IF(ISNUMBER('R4 Variations'!H687),+'R4 Variations'!H687*LU_Escalation,0)</f>
        <v>0</v>
      </c>
      <c r="I687" s="491">
        <f ca="1">IF(ISNUMBER('R4 Variations'!I687),+'R4 Variations'!I687*LU_Escalation,0)</f>
        <v>0</v>
      </c>
      <c r="J687" s="491">
        <f ca="1">IF(ISNUMBER('R4 Variations'!J687),+'R4 Variations'!J687*LU_Escalation,0)</f>
        <v>0</v>
      </c>
      <c r="K687" s="491">
        <f ca="1">IF(ISNUMBER('R4 Variations'!K687),+'R4 Variations'!K687*LU_Escalation,0)</f>
        <v>0</v>
      </c>
      <c r="L687" s="515" t="str">
        <f ca="1">+'R4 Variations'!L687</f>
        <v/>
      </c>
      <c r="M687" s="450" t="str">
        <f ca="1">+'R4 Variations'!M687</f>
        <v/>
      </c>
      <c r="N687" s="450" t="str">
        <f ca="1">+'R4 Variations'!N687</f>
        <v/>
      </c>
    </row>
    <row r="688" spans="1:14">
      <c r="A688" s="5"/>
      <c r="B688" s="249"/>
      <c r="C688" s="384" t="str">
        <f ca="1">+'R4 Variations'!C688</f>
        <v/>
      </c>
      <c r="D688" s="491">
        <f ca="1">IF(ISNUMBER('R4 Variations'!D688),+'R4 Variations'!D688*LU_Escalation,0)</f>
        <v>0</v>
      </c>
      <c r="E688" s="850">
        <f ca="1">IF(ISNUMBER('R4 Variations'!E688),+'R4 Variations'!E688*LU_Escalation,0)</f>
        <v>0</v>
      </c>
      <c r="F688" s="491">
        <f ca="1">IF(ISNUMBER('R4 Variations'!F688),+'R4 Variations'!F688*LU_Escalation,0)</f>
        <v>0</v>
      </c>
      <c r="G688" s="491">
        <f ca="1">IF(ISNUMBER('R4 Variations'!G688),+'R4 Variations'!G688*LU_Escalation,0)</f>
        <v>0</v>
      </c>
      <c r="H688" s="491">
        <f ca="1">IF(ISNUMBER('R4 Variations'!H688),+'R4 Variations'!H688*LU_Escalation,0)</f>
        <v>0</v>
      </c>
      <c r="I688" s="491">
        <f ca="1">IF(ISNUMBER('R4 Variations'!I688),+'R4 Variations'!I688*LU_Escalation,0)</f>
        <v>0</v>
      </c>
      <c r="J688" s="491">
        <f ca="1">IF(ISNUMBER('R4 Variations'!J688),+'R4 Variations'!J688*LU_Escalation,0)</f>
        <v>0</v>
      </c>
      <c r="K688" s="491">
        <f ca="1">IF(ISNUMBER('R4 Variations'!K688),+'R4 Variations'!K688*LU_Escalation,0)</f>
        <v>0</v>
      </c>
      <c r="L688" s="515" t="str">
        <f ca="1">+'R4 Variations'!L688</f>
        <v/>
      </c>
      <c r="M688" s="450" t="str">
        <f ca="1">+'R4 Variations'!M688</f>
        <v/>
      </c>
      <c r="N688" s="450" t="str">
        <f ca="1">+'R4 Variations'!N688</f>
        <v/>
      </c>
    </row>
    <row r="689" spans="1:14">
      <c r="A689" s="5"/>
      <c r="B689" s="249"/>
      <c r="C689" s="384" t="str">
        <f ca="1">+'R4 Variations'!C689</f>
        <v/>
      </c>
      <c r="D689" s="491">
        <f ca="1">IF(ISNUMBER('R4 Variations'!D689),+'R4 Variations'!D689*LU_Escalation,0)</f>
        <v>0</v>
      </c>
      <c r="E689" s="850">
        <f ca="1">IF(ISNUMBER('R4 Variations'!E689),+'R4 Variations'!E689*LU_Escalation,0)</f>
        <v>0</v>
      </c>
      <c r="F689" s="491">
        <f ca="1">IF(ISNUMBER('R4 Variations'!F689),+'R4 Variations'!F689*LU_Escalation,0)</f>
        <v>0</v>
      </c>
      <c r="G689" s="491">
        <f ca="1">IF(ISNUMBER('R4 Variations'!G689),+'R4 Variations'!G689*LU_Escalation,0)</f>
        <v>0</v>
      </c>
      <c r="H689" s="491">
        <f ca="1">IF(ISNUMBER('R4 Variations'!H689),+'R4 Variations'!H689*LU_Escalation,0)</f>
        <v>0</v>
      </c>
      <c r="I689" s="491">
        <f ca="1">IF(ISNUMBER('R4 Variations'!I689),+'R4 Variations'!I689*LU_Escalation,0)</f>
        <v>0</v>
      </c>
      <c r="J689" s="491">
        <f ca="1">IF(ISNUMBER('R4 Variations'!J689),+'R4 Variations'!J689*LU_Escalation,0)</f>
        <v>0</v>
      </c>
      <c r="K689" s="491">
        <f ca="1">IF(ISNUMBER('R4 Variations'!K689),+'R4 Variations'!K689*LU_Escalation,0)</f>
        <v>0</v>
      </c>
      <c r="L689" s="515" t="str">
        <f ca="1">+'R4 Variations'!L689</f>
        <v/>
      </c>
      <c r="M689" s="450" t="str">
        <f ca="1">+'R4 Variations'!M689</f>
        <v/>
      </c>
      <c r="N689" s="450" t="str">
        <f ca="1">+'R4 Variations'!N689</f>
        <v/>
      </c>
    </row>
    <row r="690" spans="1:14">
      <c r="A690" s="5"/>
      <c r="B690" s="249"/>
      <c r="C690" s="12"/>
      <c r="D690" s="491"/>
      <c r="E690" s="508"/>
      <c r="F690" s="491"/>
      <c r="G690" s="492"/>
      <c r="H690" s="492"/>
      <c r="I690" s="492"/>
      <c r="J690" s="492"/>
      <c r="K690" s="508"/>
      <c r="L690" s="515"/>
      <c r="M690" s="450"/>
      <c r="N690" s="450"/>
    </row>
    <row r="691" spans="1:14" ht="25.5">
      <c r="A691" s="5"/>
      <c r="B691" s="249" t="str">
        <f ca="1">+'I-4 History'!B516</f>
        <v>A-33</v>
      </c>
      <c r="C691" s="14" t="str">
        <f ca="1">+'I-4 History'!C516</f>
        <v>Customer Relations, excluding Call Centre</v>
      </c>
      <c r="D691" s="491"/>
      <c r="E691" s="508"/>
      <c r="F691" s="491"/>
      <c r="G691" s="492"/>
      <c r="H691" s="492"/>
      <c r="I691" s="492"/>
      <c r="J691" s="492"/>
      <c r="K691" s="508"/>
      <c r="L691" s="515"/>
      <c r="M691" s="450"/>
      <c r="N691" s="450"/>
    </row>
    <row r="692" spans="1:14">
      <c r="A692" s="5"/>
      <c r="B692" s="249"/>
      <c r="C692" s="384" t="str">
        <f ca="1">+'R4 Variations'!C692</f>
        <v>Step Change</v>
      </c>
      <c r="D692" s="491">
        <f ca="1">IF(ISNUMBER('R4 Variations'!D692),+'R4 Variations'!D692*LU_Escalation,0)</f>
        <v>0</v>
      </c>
      <c r="E692" s="850">
        <f ca="1">IF(ISNUMBER('R4 Variations'!E692),+'R4 Variations'!E692*LU_Escalation,0)</f>
        <v>0</v>
      </c>
      <c r="F692" s="491">
        <f ca="1">IF(ISNUMBER('R4 Variations'!F692),+'R4 Variations'!F692*LU_Escalation,0)</f>
        <v>0</v>
      </c>
      <c r="G692" s="491">
        <f ca="1">IF(ISNUMBER('R4 Variations'!G692),+'R4 Variations'!G692*LU_Escalation,0)</f>
        <v>0</v>
      </c>
      <c r="H692" s="491">
        <f ca="1">IF(ISNUMBER('R4 Variations'!H692),+'R4 Variations'!H692*LU_Escalation,0)</f>
        <v>0.61196861538461544</v>
      </c>
      <c r="I692" s="491">
        <f ca="1">IF(ISNUMBER('R4 Variations'!I692),+'R4 Variations'!I692*LU_Escalation,0)</f>
        <v>0.9262227692307694</v>
      </c>
      <c r="J692" s="491">
        <f ca="1">IF(ISNUMBER('R4 Variations'!J692),+'R4 Variations'!J692*LU_Escalation,0)</f>
        <v>0.9262227692307694</v>
      </c>
      <c r="K692" s="491">
        <f ca="1">IF(ISNUMBER('R4 Variations'!K692),+'R4 Variations'!K692*LU_Escalation,0)</f>
        <v>1.0306295769230771</v>
      </c>
      <c r="L692" s="515" t="str">
        <f ca="1">+'R4 Variations'!L692</f>
        <v>Proposal Step Change</v>
      </c>
      <c r="M692" s="450" t="str">
        <f ca="1">+'R4 Variations'!M692</f>
        <v>Refer Opex Workings</v>
      </c>
      <c r="N692" s="450" t="str">
        <f ca="1">+'R4 Variations'!N692</f>
        <v>Proposal, October 2014</v>
      </c>
    </row>
    <row r="693" spans="1:14">
      <c r="A693" s="5"/>
      <c r="B693" s="249"/>
      <c r="C693" s="384" t="str">
        <f ca="1">+'R4 Variations'!C693</f>
        <v/>
      </c>
      <c r="D693" s="491">
        <f ca="1">IF(ISNUMBER('R4 Variations'!D693),+'R4 Variations'!D693*LU_Escalation,0)</f>
        <v>0</v>
      </c>
      <c r="E693" s="850">
        <f ca="1">IF(ISNUMBER('R4 Variations'!E693),+'R4 Variations'!E693*LU_Escalation,0)</f>
        <v>0</v>
      </c>
      <c r="F693" s="491">
        <f ca="1">IF(ISNUMBER('R4 Variations'!F693),+'R4 Variations'!F693*LU_Escalation,0)</f>
        <v>0</v>
      </c>
      <c r="G693" s="491">
        <f ca="1">IF(ISNUMBER('R4 Variations'!G693),+'R4 Variations'!G693*LU_Escalation,0)</f>
        <v>0</v>
      </c>
      <c r="H693" s="491">
        <f ca="1">IF(ISNUMBER('R4 Variations'!H693),+'R4 Variations'!H693*LU_Escalation,0)</f>
        <v>0</v>
      </c>
      <c r="I693" s="491">
        <f ca="1">IF(ISNUMBER('R4 Variations'!I693),+'R4 Variations'!I693*LU_Escalation,0)</f>
        <v>0</v>
      </c>
      <c r="J693" s="491">
        <f ca="1">IF(ISNUMBER('R4 Variations'!J693),+'R4 Variations'!J693*LU_Escalation,0)</f>
        <v>0</v>
      </c>
      <c r="K693" s="491">
        <f ca="1">IF(ISNUMBER('R4 Variations'!K693),+'R4 Variations'!K693*LU_Escalation,0)</f>
        <v>0</v>
      </c>
      <c r="L693" s="515" t="str">
        <f ca="1">+'R4 Variations'!L693</f>
        <v/>
      </c>
      <c r="M693" s="450" t="str">
        <f ca="1">+'R4 Variations'!M693</f>
        <v/>
      </c>
      <c r="N693" s="450" t="str">
        <f ca="1">+'R4 Variations'!N693</f>
        <v/>
      </c>
    </row>
    <row r="694" spans="1:14">
      <c r="A694" s="5"/>
      <c r="B694" s="249"/>
      <c r="C694" s="384" t="str">
        <f ca="1">+'R4 Variations'!C694</f>
        <v/>
      </c>
      <c r="D694" s="491">
        <f ca="1">IF(ISNUMBER('R4 Variations'!D694),+'R4 Variations'!D694*LU_Escalation,0)</f>
        <v>0</v>
      </c>
      <c r="E694" s="850">
        <f ca="1">IF(ISNUMBER('R4 Variations'!E694),+'R4 Variations'!E694*LU_Escalation,0)</f>
        <v>0</v>
      </c>
      <c r="F694" s="491">
        <f ca="1">IF(ISNUMBER('R4 Variations'!F694),+'R4 Variations'!F694*LU_Escalation,0)</f>
        <v>0</v>
      </c>
      <c r="G694" s="491">
        <f ca="1">IF(ISNUMBER('R4 Variations'!G694),+'R4 Variations'!G694*LU_Escalation,0)</f>
        <v>0</v>
      </c>
      <c r="H694" s="491">
        <f ca="1">IF(ISNUMBER('R4 Variations'!H694),+'R4 Variations'!H694*LU_Escalation,0)</f>
        <v>0</v>
      </c>
      <c r="I694" s="491">
        <f ca="1">IF(ISNUMBER('R4 Variations'!I694),+'R4 Variations'!I694*LU_Escalation,0)</f>
        <v>0</v>
      </c>
      <c r="J694" s="491">
        <f ca="1">IF(ISNUMBER('R4 Variations'!J694),+'R4 Variations'!J694*LU_Escalation,0)</f>
        <v>0</v>
      </c>
      <c r="K694" s="491">
        <f ca="1">IF(ISNUMBER('R4 Variations'!K694),+'R4 Variations'!K694*LU_Escalation,0)</f>
        <v>0</v>
      </c>
      <c r="L694" s="515" t="str">
        <f ca="1">+'R4 Variations'!L694</f>
        <v/>
      </c>
      <c r="M694" s="450" t="str">
        <f ca="1">+'R4 Variations'!M694</f>
        <v/>
      </c>
      <c r="N694" s="450" t="str">
        <f ca="1">+'R4 Variations'!N694</f>
        <v/>
      </c>
    </row>
    <row r="695" spans="1:14">
      <c r="A695" s="5"/>
      <c r="B695" s="249"/>
      <c r="C695" s="384" t="str">
        <f ca="1">+'R4 Variations'!C695</f>
        <v/>
      </c>
      <c r="D695" s="491">
        <f ca="1">IF(ISNUMBER('R4 Variations'!D695),+'R4 Variations'!D695*LU_Escalation,0)</f>
        <v>0</v>
      </c>
      <c r="E695" s="850">
        <f ca="1">IF(ISNUMBER('R4 Variations'!E695),+'R4 Variations'!E695*LU_Escalation,0)</f>
        <v>0</v>
      </c>
      <c r="F695" s="491">
        <f ca="1">IF(ISNUMBER('R4 Variations'!F695),+'R4 Variations'!F695*LU_Escalation,0)</f>
        <v>0</v>
      </c>
      <c r="G695" s="491">
        <f ca="1">IF(ISNUMBER('R4 Variations'!G695),+'R4 Variations'!G695*LU_Escalation,0)</f>
        <v>0</v>
      </c>
      <c r="H695" s="491">
        <f ca="1">IF(ISNUMBER('R4 Variations'!H695),+'R4 Variations'!H695*LU_Escalation,0)</f>
        <v>0</v>
      </c>
      <c r="I695" s="491">
        <f ca="1">IF(ISNUMBER('R4 Variations'!I695),+'R4 Variations'!I695*LU_Escalation,0)</f>
        <v>0</v>
      </c>
      <c r="J695" s="491">
        <f ca="1">IF(ISNUMBER('R4 Variations'!J695),+'R4 Variations'!J695*LU_Escalation,0)</f>
        <v>0</v>
      </c>
      <c r="K695" s="491">
        <f ca="1">IF(ISNUMBER('R4 Variations'!K695),+'R4 Variations'!K695*LU_Escalation,0)</f>
        <v>0</v>
      </c>
      <c r="L695" s="515" t="str">
        <f ca="1">+'R4 Variations'!L695</f>
        <v/>
      </c>
      <c r="M695" s="450" t="str">
        <f ca="1">+'R4 Variations'!M695</f>
        <v/>
      </c>
      <c r="N695" s="450" t="str">
        <f ca="1">+'R4 Variations'!N695</f>
        <v/>
      </c>
    </row>
    <row r="696" spans="1:14">
      <c r="A696" s="5"/>
      <c r="B696" s="249"/>
      <c r="C696" s="384" t="str">
        <f ca="1">+'R4 Variations'!C696</f>
        <v/>
      </c>
      <c r="D696" s="491">
        <f ca="1">IF(ISNUMBER('R4 Variations'!D696),+'R4 Variations'!D696*LU_Escalation,0)</f>
        <v>0</v>
      </c>
      <c r="E696" s="850">
        <f ca="1">IF(ISNUMBER('R4 Variations'!E696),+'R4 Variations'!E696*LU_Escalation,0)</f>
        <v>0</v>
      </c>
      <c r="F696" s="491">
        <f ca="1">IF(ISNUMBER('R4 Variations'!F696),+'R4 Variations'!F696*LU_Escalation,0)</f>
        <v>0</v>
      </c>
      <c r="G696" s="491">
        <f ca="1">IF(ISNUMBER('R4 Variations'!G696),+'R4 Variations'!G696*LU_Escalation,0)</f>
        <v>0</v>
      </c>
      <c r="H696" s="491">
        <f ca="1">IF(ISNUMBER('R4 Variations'!H696),+'R4 Variations'!H696*LU_Escalation,0)</f>
        <v>0</v>
      </c>
      <c r="I696" s="491">
        <f ca="1">IF(ISNUMBER('R4 Variations'!I696),+'R4 Variations'!I696*LU_Escalation,0)</f>
        <v>0</v>
      </c>
      <c r="J696" s="491">
        <f ca="1">IF(ISNUMBER('R4 Variations'!J696),+'R4 Variations'!J696*LU_Escalation,0)</f>
        <v>0</v>
      </c>
      <c r="K696" s="491">
        <f ca="1">IF(ISNUMBER('R4 Variations'!K696),+'R4 Variations'!K696*LU_Escalation,0)</f>
        <v>0</v>
      </c>
      <c r="L696" s="515" t="str">
        <f ca="1">+'R4 Variations'!L696</f>
        <v/>
      </c>
      <c r="M696" s="450" t="str">
        <f ca="1">+'R4 Variations'!M696</f>
        <v/>
      </c>
      <c r="N696" s="450" t="str">
        <f ca="1">+'R4 Variations'!N696</f>
        <v/>
      </c>
    </row>
    <row r="697" spans="1:14">
      <c r="B697" s="249"/>
      <c r="C697" s="384" t="str">
        <f ca="1">+'R4 Variations'!C697</f>
        <v/>
      </c>
      <c r="D697" s="491">
        <f ca="1">IF(ISNUMBER('R4 Variations'!D697),+'R4 Variations'!D697*LU_Escalation,0)</f>
        <v>0</v>
      </c>
      <c r="E697" s="850">
        <f ca="1">IF(ISNUMBER('R4 Variations'!E697),+'R4 Variations'!E697*LU_Escalation,0)</f>
        <v>0</v>
      </c>
      <c r="F697" s="491">
        <f ca="1">IF(ISNUMBER('R4 Variations'!F697),+'R4 Variations'!F697*LU_Escalation,0)</f>
        <v>0</v>
      </c>
      <c r="G697" s="491">
        <f ca="1">IF(ISNUMBER('R4 Variations'!G697),+'R4 Variations'!G697*LU_Escalation,0)</f>
        <v>0</v>
      </c>
      <c r="H697" s="491">
        <f ca="1">IF(ISNUMBER('R4 Variations'!H697),+'R4 Variations'!H697*LU_Escalation,0)</f>
        <v>0</v>
      </c>
      <c r="I697" s="491">
        <f ca="1">IF(ISNUMBER('R4 Variations'!I697),+'R4 Variations'!I697*LU_Escalation,0)</f>
        <v>0</v>
      </c>
      <c r="J697" s="491">
        <f ca="1">IF(ISNUMBER('R4 Variations'!J697),+'R4 Variations'!J697*LU_Escalation,0)</f>
        <v>0</v>
      </c>
      <c r="K697" s="491">
        <f ca="1">IF(ISNUMBER('R4 Variations'!K697),+'R4 Variations'!K697*LU_Escalation,0)</f>
        <v>0</v>
      </c>
      <c r="L697" s="515" t="str">
        <f ca="1">+'R4 Variations'!L697</f>
        <v/>
      </c>
      <c r="M697" s="450" t="str">
        <f ca="1">+'R4 Variations'!M697</f>
        <v/>
      </c>
      <c r="N697" s="450" t="str">
        <f ca="1">+'R4 Variations'!N697</f>
        <v/>
      </c>
    </row>
    <row r="698" spans="1:14">
      <c r="B698" s="249"/>
      <c r="C698" s="384" t="str">
        <f ca="1">+'R4 Variations'!C698</f>
        <v/>
      </c>
      <c r="D698" s="491">
        <f ca="1">IF(ISNUMBER('R4 Variations'!D698),+'R4 Variations'!D698*LU_Escalation,0)</f>
        <v>0</v>
      </c>
      <c r="E698" s="850">
        <f ca="1">IF(ISNUMBER('R4 Variations'!E698),+'R4 Variations'!E698*LU_Escalation,0)</f>
        <v>0</v>
      </c>
      <c r="F698" s="491">
        <f ca="1">IF(ISNUMBER('R4 Variations'!F698),+'R4 Variations'!F698*LU_Escalation,0)</f>
        <v>0</v>
      </c>
      <c r="G698" s="491">
        <f ca="1">IF(ISNUMBER('R4 Variations'!G698),+'R4 Variations'!G698*LU_Escalation,0)</f>
        <v>0</v>
      </c>
      <c r="H698" s="491">
        <f ca="1">IF(ISNUMBER('R4 Variations'!H698),+'R4 Variations'!H698*LU_Escalation,0)</f>
        <v>0</v>
      </c>
      <c r="I698" s="491">
        <f ca="1">IF(ISNUMBER('R4 Variations'!I698),+'R4 Variations'!I698*LU_Escalation,0)</f>
        <v>0</v>
      </c>
      <c r="J698" s="491">
        <f ca="1">IF(ISNUMBER('R4 Variations'!J698),+'R4 Variations'!J698*LU_Escalation,0)</f>
        <v>0</v>
      </c>
      <c r="K698" s="491">
        <f ca="1">IF(ISNUMBER('R4 Variations'!K698),+'R4 Variations'!K698*LU_Escalation,0)</f>
        <v>0</v>
      </c>
      <c r="L698" s="515" t="str">
        <f ca="1">+'R4 Variations'!L698</f>
        <v/>
      </c>
      <c r="M698" s="450" t="str">
        <f ca="1">+'R4 Variations'!M698</f>
        <v/>
      </c>
      <c r="N698" s="450" t="str">
        <f ca="1">+'R4 Variations'!N698</f>
        <v/>
      </c>
    </row>
    <row r="699" spans="1:14">
      <c r="B699" s="249"/>
      <c r="C699" s="384" t="str">
        <f ca="1">+'R4 Variations'!C699</f>
        <v/>
      </c>
      <c r="D699" s="491">
        <f ca="1">IF(ISNUMBER('R4 Variations'!D699),+'R4 Variations'!D699*LU_Escalation,0)</f>
        <v>0</v>
      </c>
      <c r="E699" s="850">
        <f ca="1">IF(ISNUMBER('R4 Variations'!E699),+'R4 Variations'!E699*LU_Escalation,0)</f>
        <v>0</v>
      </c>
      <c r="F699" s="491">
        <f ca="1">IF(ISNUMBER('R4 Variations'!F699),+'R4 Variations'!F699*LU_Escalation,0)</f>
        <v>0</v>
      </c>
      <c r="G699" s="491">
        <f ca="1">IF(ISNUMBER('R4 Variations'!G699),+'R4 Variations'!G699*LU_Escalation,0)</f>
        <v>0</v>
      </c>
      <c r="H699" s="491">
        <f ca="1">IF(ISNUMBER('R4 Variations'!H699),+'R4 Variations'!H699*LU_Escalation,0)</f>
        <v>0</v>
      </c>
      <c r="I699" s="491">
        <f ca="1">IF(ISNUMBER('R4 Variations'!I699),+'R4 Variations'!I699*LU_Escalation,0)</f>
        <v>0</v>
      </c>
      <c r="J699" s="491">
        <f ca="1">IF(ISNUMBER('R4 Variations'!J699),+'R4 Variations'!J699*LU_Escalation,0)</f>
        <v>0</v>
      </c>
      <c r="K699" s="491">
        <f ca="1">IF(ISNUMBER('R4 Variations'!K699),+'R4 Variations'!K699*LU_Escalation,0)</f>
        <v>0</v>
      </c>
      <c r="L699" s="515" t="str">
        <f ca="1">+'R4 Variations'!L699</f>
        <v/>
      </c>
      <c r="M699" s="450" t="str">
        <f ca="1">+'R4 Variations'!M699</f>
        <v/>
      </c>
      <c r="N699" s="450" t="str">
        <f ca="1">+'R4 Variations'!N699</f>
        <v/>
      </c>
    </row>
    <row r="700" spans="1:14">
      <c r="B700" s="249"/>
      <c r="C700" s="384" t="str">
        <f ca="1">+'R4 Variations'!C700</f>
        <v/>
      </c>
      <c r="D700" s="491">
        <f ca="1">IF(ISNUMBER('R4 Variations'!D700),+'R4 Variations'!D700*LU_Escalation,0)</f>
        <v>0</v>
      </c>
      <c r="E700" s="850">
        <f ca="1">IF(ISNUMBER('R4 Variations'!E700),+'R4 Variations'!E700*LU_Escalation,0)</f>
        <v>0</v>
      </c>
      <c r="F700" s="491">
        <f ca="1">IF(ISNUMBER('R4 Variations'!F700),+'R4 Variations'!F700*LU_Escalation,0)</f>
        <v>0</v>
      </c>
      <c r="G700" s="491">
        <f ca="1">IF(ISNUMBER('R4 Variations'!G700),+'R4 Variations'!G700*LU_Escalation,0)</f>
        <v>0</v>
      </c>
      <c r="H700" s="491">
        <f ca="1">IF(ISNUMBER('R4 Variations'!H700),+'R4 Variations'!H700*LU_Escalation,0)</f>
        <v>0</v>
      </c>
      <c r="I700" s="491">
        <f ca="1">IF(ISNUMBER('R4 Variations'!I700),+'R4 Variations'!I700*LU_Escalation,0)</f>
        <v>0</v>
      </c>
      <c r="J700" s="491">
        <f ca="1">IF(ISNUMBER('R4 Variations'!J700),+'R4 Variations'!J700*LU_Escalation,0)</f>
        <v>0</v>
      </c>
      <c r="K700" s="491">
        <f ca="1">IF(ISNUMBER('R4 Variations'!K700),+'R4 Variations'!K700*LU_Escalation,0)</f>
        <v>0</v>
      </c>
      <c r="L700" s="515" t="str">
        <f ca="1">+'R4 Variations'!L700</f>
        <v/>
      </c>
      <c r="M700" s="450" t="str">
        <f ca="1">+'R4 Variations'!M700</f>
        <v/>
      </c>
      <c r="N700" s="450" t="str">
        <f ca="1">+'R4 Variations'!N700</f>
        <v/>
      </c>
    </row>
    <row r="701" spans="1:14">
      <c r="B701" s="249"/>
      <c r="C701" s="384" t="str">
        <f ca="1">+'R4 Variations'!C701</f>
        <v/>
      </c>
      <c r="D701" s="491">
        <f ca="1">IF(ISNUMBER('R4 Variations'!D701),+'R4 Variations'!D701*LU_Escalation,0)</f>
        <v>0</v>
      </c>
      <c r="E701" s="850">
        <f ca="1">IF(ISNUMBER('R4 Variations'!E701),+'R4 Variations'!E701*LU_Escalation,0)</f>
        <v>0</v>
      </c>
      <c r="F701" s="491">
        <f ca="1">IF(ISNUMBER('R4 Variations'!F701),+'R4 Variations'!F701*LU_Escalation,0)</f>
        <v>0</v>
      </c>
      <c r="G701" s="491">
        <f ca="1">IF(ISNUMBER('R4 Variations'!G701),+'R4 Variations'!G701*LU_Escalation,0)</f>
        <v>0</v>
      </c>
      <c r="H701" s="491">
        <f ca="1">IF(ISNUMBER('R4 Variations'!H701),+'R4 Variations'!H701*LU_Escalation,0)</f>
        <v>0</v>
      </c>
      <c r="I701" s="491">
        <f ca="1">IF(ISNUMBER('R4 Variations'!I701),+'R4 Variations'!I701*LU_Escalation,0)</f>
        <v>0</v>
      </c>
      <c r="J701" s="491">
        <f ca="1">IF(ISNUMBER('R4 Variations'!J701),+'R4 Variations'!J701*LU_Escalation,0)</f>
        <v>0</v>
      </c>
      <c r="K701" s="491">
        <f ca="1">IF(ISNUMBER('R4 Variations'!K701),+'R4 Variations'!K701*LU_Escalation,0)</f>
        <v>0</v>
      </c>
      <c r="L701" s="515" t="str">
        <f ca="1">+'R4 Variations'!L701</f>
        <v/>
      </c>
      <c r="M701" s="450" t="str">
        <f ca="1">+'R4 Variations'!M701</f>
        <v/>
      </c>
      <c r="N701" s="450" t="str">
        <f ca="1">+'R4 Variations'!N701</f>
        <v/>
      </c>
    </row>
    <row r="702" spans="1:14">
      <c r="B702" s="249"/>
      <c r="C702" s="12"/>
      <c r="D702" s="491"/>
      <c r="E702" s="508"/>
      <c r="F702" s="491"/>
      <c r="G702" s="492"/>
      <c r="H702" s="492"/>
      <c r="I702" s="492"/>
      <c r="J702" s="492"/>
      <c r="K702" s="508"/>
      <c r="L702" s="515"/>
      <c r="M702" s="450"/>
      <c r="N702" s="450"/>
    </row>
    <row r="703" spans="1:14">
      <c r="A703" s="5"/>
      <c r="B703" s="249" t="str">
        <f ca="1">+'I-4 History'!B525</f>
        <v>A-34</v>
      </c>
      <c r="C703" s="14" t="str">
        <f ca="1">+'I-4 History'!C525</f>
        <v>Business Improvement and Planning</v>
      </c>
      <c r="D703" s="491"/>
      <c r="E703" s="508"/>
      <c r="F703" s="491"/>
      <c r="G703" s="492"/>
      <c r="H703" s="492"/>
      <c r="I703" s="492"/>
      <c r="J703" s="492"/>
      <c r="K703" s="508"/>
      <c r="L703" s="515"/>
      <c r="M703" s="450"/>
      <c r="N703" s="450"/>
    </row>
    <row r="704" spans="1:14">
      <c r="A704" s="5"/>
      <c r="B704" s="249"/>
      <c r="C704" s="384" t="str">
        <f ca="1">+'R4 Variations'!C704</f>
        <v>Step Change</v>
      </c>
      <c r="D704" s="491">
        <f ca="1">IF(ISNUMBER('R4 Variations'!D704),+'R4 Variations'!D704*LU_Escalation,0)</f>
        <v>0</v>
      </c>
      <c r="E704" s="850">
        <f ca="1">IF(ISNUMBER('R4 Variations'!E704),+'R4 Variations'!E704*LU_Escalation,0)</f>
        <v>0</v>
      </c>
      <c r="F704" s="491">
        <f ca="1">IF(ISNUMBER('R4 Variations'!F704),+'R4 Variations'!F704*LU_Escalation,0)</f>
        <v>0</v>
      </c>
      <c r="G704" s="491">
        <f ca="1">IF(ISNUMBER('R4 Variations'!G704),+'R4 Variations'!G704*LU_Escalation,0)</f>
        <v>0</v>
      </c>
      <c r="H704" s="491">
        <f ca="1">IF(ISNUMBER('R4 Variations'!H704),+'R4 Variations'!H704*LU_Escalation,0)</f>
        <v>0.41349230769230777</v>
      </c>
      <c r="I704" s="491">
        <f ca="1">IF(ISNUMBER('R4 Variations'!I704),+'R4 Variations'!I704*LU_Escalation,0)</f>
        <v>0.41349230769230777</v>
      </c>
      <c r="J704" s="491">
        <f ca="1">IF(ISNUMBER('R4 Variations'!J704),+'R4 Variations'!J704*LU_Escalation,0)</f>
        <v>0.41349230769230777</v>
      </c>
      <c r="K704" s="491">
        <f ca="1">IF(ISNUMBER('R4 Variations'!K704),+'R4 Variations'!K704*LU_Escalation,0)</f>
        <v>0.41349230769230777</v>
      </c>
      <c r="L704" s="515" t="str">
        <f ca="1">+'R4 Variations'!L704</f>
        <v>Proposal Step Change</v>
      </c>
      <c r="M704" s="450" t="str">
        <f ca="1">+'R4 Variations'!M704</f>
        <v>Refer Opex Workings</v>
      </c>
      <c r="N704" s="450" t="str">
        <f ca="1">+'R4 Variations'!N704</f>
        <v>Proposal, October 2014</v>
      </c>
    </row>
    <row r="705" spans="1:14">
      <c r="A705" s="5"/>
      <c r="B705" s="249"/>
      <c r="C705" s="384" t="str">
        <f ca="1">+'R4 Variations'!C705</f>
        <v/>
      </c>
      <c r="D705" s="491">
        <f ca="1">IF(ISNUMBER('R4 Variations'!D705),+'R4 Variations'!D705*LU_Escalation,0)</f>
        <v>0</v>
      </c>
      <c r="E705" s="850">
        <f ca="1">IF(ISNUMBER('R4 Variations'!E705),+'R4 Variations'!E705*LU_Escalation,0)</f>
        <v>0</v>
      </c>
      <c r="F705" s="491">
        <f ca="1">IF(ISNUMBER('R4 Variations'!F705),+'R4 Variations'!F705*LU_Escalation,0)</f>
        <v>0</v>
      </c>
      <c r="G705" s="491">
        <f ca="1">IF(ISNUMBER('R4 Variations'!G705),+'R4 Variations'!G705*LU_Escalation,0)</f>
        <v>0</v>
      </c>
      <c r="H705" s="491">
        <f ca="1">IF(ISNUMBER('R4 Variations'!H705),+'R4 Variations'!H705*LU_Escalation,0)</f>
        <v>0</v>
      </c>
      <c r="I705" s="491">
        <f ca="1">IF(ISNUMBER('R4 Variations'!I705),+'R4 Variations'!I705*LU_Escalation,0)</f>
        <v>0</v>
      </c>
      <c r="J705" s="491">
        <f ca="1">IF(ISNUMBER('R4 Variations'!J705),+'R4 Variations'!J705*LU_Escalation,0)</f>
        <v>0</v>
      </c>
      <c r="K705" s="491">
        <f ca="1">IF(ISNUMBER('R4 Variations'!K705),+'R4 Variations'!K705*LU_Escalation,0)</f>
        <v>0</v>
      </c>
      <c r="L705" s="515" t="str">
        <f ca="1">+'R4 Variations'!L705</f>
        <v/>
      </c>
      <c r="M705" s="450" t="str">
        <f ca="1">+'R4 Variations'!M705</f>
        <v/>
      </c>
      <c r="N705" s="450" t="str">
        <f ca="1">+'R4 Variations'!N705</f>
        <v/>
      </c>
    </row>
    <row r="706" spans="1:14">
      <c r="A706" s="5"/>
      <c r="B706" s="249"/>
      <c r="C706" s="384" t="str">
        <f ca="1">+'R4 Variations'!C706</f>
        <v/>
      </c>
      <c r="D706" s="491">
        <f ca="1">IF(ISNUMBER('R4 Variations'!D706),+'R4 Variations'!D706*LU_Escalation,0)</f>
        <v>0</v>
      </c>
      <c r="E706" s="850">
        <f ca="1">IF(ISNUMBER('R4 Variations'!E706),+'R4 Variations'!E706*LU_Escalation,0)</f>
        <v>0</v>
      </c>
      <c r="F706" s="491">
        <f ca="1">IF(ISNUMBER('R4 Variations'!F706),+'R4 Variations'!F706*LU_Escalation,0)</f>
        <v>0</v>
      </c>
      <c r="G706" s="491">
        <f ca="1">IF(ISNUMBER('R4 Variations'!G706),+'R4 Variations'!G706*LU_Escalation,0)</f>
        <v>0</v>
      </c>
      <c r="H706" s="491">
        <f ca="1">IF(ISNUMBER('R4 Variations'!H706),+'R4 Variations'!H706*LU_Escalation,0)</f>
        <v>0</v>
      </c>
      <c r="I706" s="491">
        <f ca="1">IF(ISNUMBER('R4 Variations'!I706),+'R4 Variations'!I706*LU_Escalation,0)</f>
        <v>0</v>
      </c>
      <c r="J706" s="491">
        <f ca="1">IF(ISNUMBER('R4 Variations'!J706),+'R4 Variations'!J706*LU_Escalation,0)</f>
        <v>0</v>
      </c>
      <c r="K706" s="491">
        <f ca="1">IF(ISNUMBER('R4 Variations'!K706),+'R4 Variations'!K706*LU_Escalation,0)</f>
        <v>0</v>
      </c>
      <c r="L706" s="515" t="str">
        <f ca="1">+'R4 Variations'!L706</f>
        <v/>
      </c>
      <c r="M706" s="450" t="str">
        <f ca="1">+'R4 Variations'!M706</f>
        <v/>
      </c>
      <c r="N706" s="450" t="str">
        <f ca="1">+'R4 Variations'!N706</f>
        <v/>
      </c>
    </row>
    <row r="707" spans="1:14">
      <c r="A707" s="5"/>
      <c r="B707" s="249"/>
      <c r="C707" s="384" t="str">
        <f ca="1">+'R4 Variations'!C707</f>
        <v/>
      </c>
      <c r="D707" s="491">
        <f ca="1">IF(ISNUMBER('R4 Variations'!D707),+'R4 Variations'!D707*LU_Escalation,0)</f>
        <v>0</v>
      </c>
      <c r="E707" s="850">
        <f ca="1">IF(ISNUMBER('R4 Variations'!E707),+'R4 Variations'!E707*LU_Escalation,0)</f>
        <v>0</v>
      </c>
      <c r="F707" s="491">
        <f ca="1">IF(ISNUMBER('R4 Variations'!F707),+'R4 Variations'!F707*LU_Escalation,0)</f>
        <v>0</v>
      </c>
      <c r="G707" s="491">
        <f ca="1">IF(ISNUMBER('R4 Variations'!G707),+'R4 Variations'!G707*LU_Escalation,0)</f>
        <v>0</v>
      </c>
      <c r="H707" s="491">
        <f ca="1">IF(ISNUMBER('R4 Variations'!H707),+'R4 Variations'!H707*LU_Escalation,0)</f>
        <v>0</v>
      </c>
      <c r="I707" s="491">
        <f ca="1">IF(ISNUMBER('R4 Variations'!I707),+'R4 Variations'!I707*LU_Escalation,0)</f>
        <v>0</v>
      </c>
      <c r="J707" s="491">
        <f ca="1">IF(ISNUMBER('R4 Variations'!J707),+'R4 Variations'!J707*LU_Escalation,0)</f>
        <v>0</v>
      </c>
      <c r="K707" s="491">
        <f ca="1">IF(ISNUMBER('R4 Variations'!K707),+'R4 Variations'!K707*LU_Escalation,0)</f>
        <v>0</v>
      </c>
      <c r="L707" s="515" t="str">
        <f ca="1">+'R4 Variations'!L707</f>
        <v/>
      </c>
      <c r="M707" s="450" t="str">
        <f ca="1">+'R4 Variations'!M707</f>
        <v/>
      </c>
      <c r="N707" s="450" t="str">
        <f ca="1">+'R4 Variations'!N707</f>
        <v/>
      </c>
    </row>
    <row r="708" spans="1:14">
      <c r="A708" s="5"/>
      <c r="B708" s="249"/>
      <c r="C708" s="384" t="str">
        <f ca="1">+'R4 Variations'!C708</f>
        <v/>
      </c>
      <c r="D708" s="491">
        <f ca="1">IF(ISNUMBER('R4 Variations'!D708),+'R4 Variations'!D708*LU_Escalation,0)</f>
        <v>0</v>
      </c>
      <c r="E708" s="850">
        <f ca="1">IF(ISNUMBER('R4 Variations'!E708),+'R4 Variations'!E708*LU_Escalation,0)</f>
        <v>0</v>
      </c>
      <c r="F708" s="491">
        <f ca="1">IF(ISNUMBER('R4 Variations'!F708),+'R4 Variations'!F708*LU_Escalation,0)</f>
        <v>0</v>
      </c>
      <c r="G708" s="491">
        <f ca="1">IF(ISNUMBER('R4 Variations'!G708),+'R4 Variations'!G708*LU_Escalation,0)</f>
        <v>0</v>
      </c>
      <c r="H708" s="491">
        <f ca="1">IF(ISNUMBER('R4 Variations'!H708),+'R4 Variations'!H708*LU_Escalation,0)</f>
        <v>0</v>
      </c>
      <c r="I708" s="491">
        <f ca="1">IF(ISNUMBER('R4 Variations'!I708),+'R4 Variations'!I708*LU_Escalation,0)</f>
        <v>0</v>
      </c>
      <c r="J708" s="491">
        <f ca="1">IF(ISNUMBER('R4 Variations'!J708),+'R4 Variations'!J708*LU_Escalation,0)</f>
        <v>0</v>
      </c>
      <c r="K708" s="491">
        <f ca="1">IF(ISNUMBER('R4 Variations'!K708),+'R4 Variations'!K708*LU_Escalation,0)</f>
        <v>0</v>
      </c>
      <c r="L708" s="515" t="str">
        <f ca="1">+'R4 Variations'!L708</f>
        <v/>
      </c>
      <c r="M708" s="450" t="str">
        <f ca="1">+'R4 Variations'!M708</f>
        <v/>
      </c>
      <c r="N708" s="450" t="str">
        <f ca="1">+'R4 Variations'!N708</f>
        <v/>
      </c>
    </row>
    <row r="709" spans="1:14">
      <c r="A709" s="5"/>
      <c r="B709" s="249"/>
      <c r="C709" s="384" t="str">
        <f ca="1">+'R4 Variations'!C709</f>
        <v/>
      </c>
      <c r="D709" s="491">
        <f ca="1">IF(ISNUMBER('R4 Variations'!D709),+'R4 Variations'!D709*LU_Escalation,0)</f>
        <v>0</v>
      </c>
      <c r="E709" s="850">
        <f ca="1">IF(ISNUMBER('R4 Variations'!E709),+'R4 Variations'!E709*LU_Escalation,0)</f>
        <v>0</v>
      </c>
      <c r="F709" s="491">
        <f ca="1">IF(ISNUMBER('R4 Variations'!F709),+'R4 Variations'!F709*LU_Escalation,0)</f>
        <v>0</v>
      </c>
      <c r="G709" s="491">
        <f ca="1">IF(ISNUMBER('R4 Variations'!G709),+'R4 Variations'!G709*LU_Escalation,0)</f>
        <v>0</v>
      </c>
      <c r="H709" s="491">
        <f ca="1">IF(ISNUMBER('R4 Variations'!H709),+'R4 Variations'!H709*LU_Escalation,0)</f>
        <v>0</v>
      </c>
      <c r="I709" s="491">
        <f ca="1">IF(ISNUMBER('R4 Variations'!I709),+'R4 Variations'!I709*LU_Escalation,0)</f>
        <v>0</v>
      </c>
      <c r="J709" s="491">
        <f ca="1">IF(ISNUMBER('R4 Variations'!J709),+'R4 Variations'!J709*LU_Escalation,0)</f>
        <v>0</v>
      </c>
      <c r="K709" s="491">
        <f ca="1">IF(ISNUMBER('R4 Variations'!K709),+'R4 Variations'!K709*LU_Escalation,0)</f>
        <v>0</v>
      </c>
      <c r="L709" s="515" t="str">
        <f ca="1">+'R4 Variations'!L709</f>
        <v/>
      </c>
      <c r="M709" s="450" t="str">
        <f ca="1">+'R4 Variations'!M709</f>
        <v/>
      </c>
      <c r="N709" s="450" t="str">
        <f ca="1">+'R4 Variations'!N709</f>
        <v/>
      </c>
    </row>
    <row r="710" spans="1:14">
      <c r="A710" s="5"/>
      <c r="B710" s="249"/>
      <c r="C710" s="384" t="str">
        <f ca="1">+'R4 Variations'!C710</f>
        <v/>
      </c>
      <c r="D710" s="491">
        <f ca="1">IF(ISNUMBER('R4 Variations'!D710),+'R4 Variations'!D710*LU_Escalation,0)</f>
        <v>0</v>
      </c>
      <c r="E710" s="850">
        <f ca="1">IF(ISNUMBER('R4 Variations'!E710),+'R4 Variations'!E710*LU_Escalation,0)</f>
        <v>0</v>
      </c>
      <c r="F710" s="491">
        <f ca="1">IF(ISNUMBER('R4 Variations'!F710),+'R4 Variations'!F710*LU_Escalation,0)</f>
        <v>0</v>
      </c>
      <c r="G710" s="491">
        <f ca="1">IF(ISNUMBER('R4 Variations'!G710),+'R4 Variations'!G710*LU_Escalation,0)</f>
        <v>0</v>
      </c>
      <c r="H710" s="491">
        <f ca="1">IF(ISNUMBER('R4 Variations'!H710),+'R4 Variations'!H710*LU_Escalation,0)</f>
        <v>0</v>
      </c>
      <c r="I710" s="491">
        <f ca="1">IF(ISNUMBER('R4 Variations'!I710),+'R4 Variations'!I710*LU_Escalation,0)</f>
        <v>0</v>
      </c>
      <c r="J710" s="491">
        <f ca="1">IF(ISNUMBER('R4 Variations'!J710),+'R4 Variations'!J710*LU_Escalation,0)</f>
        <v>0</v>
      </c>
      <c r="K710" s="491">
        <f ca="1">IF(ISNUMBER('R4 Variations'!K710),+'R4 Variations'!K710*LU_Escalation,0)</f>
        <v>0</v>
      </c>
      <c r="L710" s="515" t="str">
        <f ca="1">+'R4 Variations'!L710</f>
        <v/>
      </c>
      <c r="M710" s="450" t="str">
        <f ca="1">+'R4 Variations'!M710</f>
        <v/>
      </c>
      <c r="N710" s="450" t="str">
        <f ca="1">+'R4 Variations'!N710</f>
        <v/>
      </c>
    </row>
    <row r="711" spans="1:14">
      <c r="A711" s="5"/>
      <c r="B711" s="249"/>
      <c r="C711" s="384" t="str">
        <f ca="1">+'R4 Variations'!C711</f>
        <v/>
      </c>
      <c r="D711" s="491">
        <f ca="1">IF(ISNUMBER('R4 Variations'!D711),+'R4 Variations'!D711*LU_Escalation,0)</f>
        <v>0</v>
      </c>
      <c r="E711" s="850">
        <f ca="1">IF(ISNUMBER('R4 Variations'!E711),+'R4 Variations'!E711*LU_Escalation,0)</f>
        <v>0</v>
      </c>
      <c r="F711" s="491">
        <f ca="1">IF(ISNUMBER('R4 Variations'!F711),+'R4 Variations'!F711*LU_Escalation,0)</f>
        <v>0</v>
      </c>
      <c r="G711" s="491">
        <f ca="1">IF(ISNUMBER('R4 Variations'!G711),+'R4 Variations'!G711*LU_Escalation,0)</f>
        <v>0</v>
      </c>
      <c r="H711" s="491">
        <f ca="1">IF(ISNUMBER('R4 Variations'!H711),+'R4 Variations'!H711*LU_Escalation,0)</f>
        <v>0</v>
      </c>
      <c r="I711" s="491">
        <f ca="1">IF(ISNUMBER('R4 Variations'!I711),+'R4 Variations'!I711*LU_Escalation,0)</f>
        <v>0</v>
      </c>
      <c r="J711" s="491">
        <f ca="1">IF(ISNUMBER('R4 Variations'!J711),+'R4 Variations'!J711*LU_Escalation,0)</f>
        <v>0</v>
      </c>
      <c r="K711" s="491">
        <f ca="1">IF(ISNUMBER('R4 Variations'!K711),+'R4 Variations'!K711*LU_Escalation,0)</f>
        <v>0</v>
      </c>
      <c r="L711" s="515" t="str">
        <f ca="1">+'R4 Variations'!L711</f>
        <v/>
      </c>
      <c r="M711" s="450" t="str">
        <f ca="1">+'R4 Variations'!M711</f>
        <v/>
      </c>
      <c r="N711" s="450" t="str">
        <f ca="1">+'R4 Variations'!N711</f>
        <v/>
      </c>
    </row>
    <row r="712" spans="1:14">
      <c r="A712" s="5"/>
      <c r="B712" s="249"/>
      <c r="C712" s="384" t="str">
        <f ca="1">+'R4 Variations'!C712</f>
        <v/>
      </c>
      <c r="D712" s="491">
        <f ca="1">IF(ISNUMBER('R4 Variations'!D712),+'R4 Variations'!D712*LU_Escalation,0)</f>
        <v>0</v>
      </c>
      <c r="E712" s="850">
        <f ca="1">IF(ISNUMBER('R4 Variations'!E712),+'R4 Variations'!E712*LU_Escalation,0)</f>
        <v>0</v>
      </c>
      <c r="F712" s="491">
        <f ca="1">IF(ISNUMBER('R4 Variations'!F712),+'R4 Variations'!F712*LU_Escalation,0)</f>
        <v>0</v>
      </c>
      <c r="G712" s="491">
        <f ca="1">IF(ISNUMBER('R4 Variations'!G712),+'R4 Variations'!G712*LU_Escalation,0)</f>
        <v>0</v>
      </c>
      <c r="H712" s="491">
        <f ca="1">IF(ISNUMBER('R4 Variations'!H712),+'R4 Variations'!H712*LU_Escalation,0)</f>
        <v>0</v>
      </c>
      <c r="I712" s="491">
        <f ca="1">IF(ISNUMBER('R4 Variations'!I712),+'R4 Variations'!I712*LU_Escalation,0)</f>
        <v>0</v>
      </c>
      <c r="J712" s="491">
        <f ca="1">IF(ISNUMBER('R4 Variations'!J712),+'R4 Variations'!J712*LU_Escalation,0)</f>
        <v>0</v>
      </c>
      <c r="K712" s="491">
        <f ca="1">IF(ISNUMBER('R4 Variations'!K712),+'R4 Variations'!K712*LU_Escalation,0)</f>
        <v>0</v>
      </c>
      <c r="L712" s="515" t="str">
        <f ca="1">+'R4 Variations'!L712</f>
        <v/>
      </c>
      <c r="M712" s="450" t="str">
        <f ca="1">+'R4 Variations'!M712</f>
        <v/>
      </c>
      <c r="N712" s="450" t="str">
        <f ca="1">+'R4 Variations'!N712</f>
        <v/>
      </c>
    </row>
    <row r="713" spans="1:14">
      <c r="A713" s="5"/>
      <c r="B713" s="249"/>
      <c r="C713" s="384" t="str">
        <f ca="1">+'R4 Variations'!C713</f>
        <v/>
      </c>
      <c r="D713" s="491">
        <f ca="1">IF(ISNUMBER('R4 Variations'!D713),+'R4 Variations'!D713*LU_Escalation,0)</f>
        <v>0</v>
      </c>
      <c r="E713" s="850">
        <f ca="1">IF(ISNUMBER('R4 Variations'!E713),+'R4 Variations'!E713*LU_Escalation,0)</f>
        <v>0</v>
      </c>
      <c r="F713" s="491">
        <f ca="1">IF(ISNUMBER('R4 Variations'!F713),+'R4 Variations'!F713*LU_Escalation,0)</f>
        <v>0</v>
      </c>
      <c r="G713" s="491">
        <f ca="1">IF(ISNUMBER('R4 Variations'!G713),+'R4 Variations'!G713*LU_Escalation,0)</f>
        <v>0</v>
      </c>
      <c r="H713" s="491">
        <f ca="1">IF(ISNUMBER('R4 Variations'!H713),+'R4 Variations'!H713*LU_Escalation,0)</f>
        <v>0</v>
      </c>
      <c r="I713" s="491">
        <f ca="1">IF(ISNUMBER('R4 Variations'!I713),+'R4 Variations'!I713*LU_Escalation,0)</f>
        <v>0</v>
      </c>
      <c r="J713" s="491">
        <f ca="1">IF(ISNUMBER('R4 Variations'!J713),+'R4 Variations'!J713*LU_Escalation,0)</f>
        <v>0</v>
      </c>
      <c r="K713" s="491">
        <f ca="1">IF(ISNUMBER('R4 Variations'!K713),+'R4 Variations'!K713*LU_Escalation,0)</f>
        <v>0</v>
      </c>
      <c r="L713" s="515" t="str">
        <f ca="1">+'R4 Variations'!L713</f>
        <v/>
      </c>
      <c r="M713" s="450" t="str">
        <f ca="1">+'R4 Variations'!M713</f>
        <v/>
      </c>
      <c r="N713" s="450" t="str">
        <f ca="1">+'R4 Variations'!N713</f>
        <v/>
      </c>
    </row>
    <row r="714" spans="1:14">
      <c r="A714" s="5"/>
      <c r="B714" s="249"/>
      <c r="C714" s="12"/>
      <c r="D714" s="491"/>
      <c r="E714" s="508"/>
      <c r="F714" s="491"/>
      <c r="G714" s="492"/>
      <c r="H714" s="492"/>
      <c r="I714" s="492"/>
      <c r="J714" s="492"/>
      <c r="K714" s="508"/>
      <c r="L714" s="515"/>
      <c r="M714" s="450"/>
      <c r="N714" s="450"/>
    </row>
    <row r="715" spans="1:14">
      <c r="A715" s="5"/>
      <c r="B715" s="249" t="str">
        <f ca="1">+'I-4 History'!B534</f>
        <v>A-35</v>
      </c>
      <c r="C715" s="262" t="str">
        <f ca="1">+'I-4 History'!C534</f>
        <v>Works Coordination</v>
      </c>
      <c r="D715" s="491"/>
      <c r="E715" s="508"/>
      <c r="F715" s="491"/>
      <c r="G715" s="492"/>
      <c r="H715" s="492"/>
      <c r="I715" s="492"/>
      <c r="J715" s="492"/>
      <c r="K715" s="508"/>
      <c r="L715" s="515"/>
      <c r="M715" s="450"/>
      <c r="N715" s="450"/>
    </row>
    <row r="716" spans="1:14">
      <c r="A716" s="5"/>
      <c r="B716" s="249"/>
      <c r="C716" s="384" t="str">
        <f ca="1">+'R4 Variations'!C716</f>
        <v>Step Change</v>
      </c>
      <c r="D716" s="491">
        <f ca="1">IF(ISNUMBER('R4 Variations'!D716),+'R4 Variations'!D716*LU_Escalation,0)</f>
        <v>0</v>
      </c>
      <c r="E716" s="850">
        <f ca="1">IF(ISNUMBER('R4 Variations'!E716),+'R4 Variations'!E716*LU_Escalation,0)</f>
        <v>0</v>
      </c>
      <c r="F716" s="491">
        <f ca="1">IF(ISNUMBER('R4 Variations'!F716),+'R4 Variations'!F716*LU_Escalation,0)</f>
        <v>0</v>
      </c>
      <c r="G716" s="491">
        <f ca="1">IF(ISNUMBER('R4 Variations'!G716),+'R4 Variations'!G716*LU_Escalation,0)</f>
        <v>0</v>
      </c>
      <c r="H716" s="491">
        <f ca="1">IF(ISNUMBER('R4 Variations'!H716),+'R4 Variations'!H716*LU_Escalation,0)</f>
        <v>0</v>
      </c>
      <c r="I716" s="491">
        <f ca="1">IF(ISNUMBER('R4 Variations'!I716),+'R4 Variations'!I716*LU_Escalation,0)</f>
        <v>0</v>
      </c>
      <c r="J716" s="491">
        <f ca="1">IF(ISNUMBER('R4 Variations'!J716),+'R4 Variations'!J716*LU_Escalation,0)</f>
        <v>0</v>
      </c>
      <c r="K716" s="491">
        <f ca="1">IF(ISNUMBER('R4 Variations'!K716),+'R4 Variations'!K716*LU_Escalation,0)</f>
        <v>0</v>
      </c>
      <c r="L716" s="515" t="str">
        <f ca="1">+'R4 Variations'!L716</f>
        <v>Proposal Step Change</v>
      </c>
      <c r="M716" s="450" t="str">
        <f ca="1">+'R4 Variations'!M716</f>
        <v>Refer Opex Workings</v>
      </c>
      <c r="N716" s="450" t="str">
        <f ca="1">+'R4 Variations'!N716</f>
        <v>Proposal, October 2014</v>
      </c>
    </row>
    <row r="717" spans="1:14">
      <c r="A717" s="5"/>
      <c r="B717" s="249"/>
      <c r="C717" s="384" t="str">
        <f ca="1">+'R4 Variations'!C717</f>
        <v/>
      </c>
      <c r="D717" s="491">
        <f ca="1">IF(ISNUMBER('R4 Variations'!D717),+'R4 Variations'!D717*LU_Escalation,0)</f>
        <v>0</v>
      </c>
      <c r="E717" s="850">
        <f ca="1">IF(ISNUMBER('R4 Variations'!E717),+'R4 Variations'!E717*LU_Escalation,0)</f>
        <v>0</v>
      </c>
      <c r="F717" s="491">
        <f ca="1">IF(ISNUMBER('R4 Variations'!F717),+'R4 Variations'!F717*LU_Escalation,0)</f>
        <v>0</v>
      </c>
      <c r="G717" s="491">
        <f ca="1">IF(ISNUMBER('R4 Variations'!G717),+'R4 Variations'!G717*LU_Escalation,0)</f>
        <v>0</v>
      </c>
      <c r="H717" s="491">
        <f ca="1">IF(ISNUMBER('R4 Variations'!H717),+'R4 Variations'!H717*LU_Escalation,0)</f>
        <v>0</v>
      </c>
      <c r="I717" s="491">
        <f ca="1">IF(ISNUMBER('R4 Variations'!I717),+'R4 Variations'!I717*LU_Escalation,0)</f>
        <v>0</v>
      </c>
      <c r="J717" s="491">
        <f ca="1">IF(ISNUMBER('R4 Variations'!J717),+'R4 Variations'!J717*LU_Escalation,0)</f>
        <v>0</v>
      </c>
      <c r="K717" s="491">
        <f ca="1">IF(ISNUMBER('R4 Variations'!K717),+'R4 Variations'!K717*LU_Escalation,0)</f>
        <v>0</v>
      </c>
      <c r="L717" s="515" t="str">
        <f ca="1">+'R4 Variations'!L717</f>
        <v/>
      </c>
      <c r="M717" s="450" t="str">
        <f ca="1">+'R4 Variations'!M717</f>
        <v/>
      </c>
      <c r="N717" s="450" t="str">
        <f ca="1">+'R4 Variations'!N717</f>
        <v/>
      </c>
    </row>
    <row r="718" spans="1:14">
      <c r="A718" s="5"/>
      <c r="B718" s="249"/>
      <c r="C718" s="384" t="str">
        <f ca="1">+'R4 Variations'!C718</f>
        <v/>
      </c>
      <c r="D718" s="491">
        <f ca="1">IF(ISNUMBER('R4 Variations'!D718),+'R4 Variations'!D718*LU_Escalation,0)</f>
        <v>0</v>
      </c>
      <c r="E718" s="850">
        <f ca="1">IF(ISNUMBER('R4 Variations'!E718),+'R4 Variations'!E718*LU_Escalation,0)</f>
        <v>0</v>
      </c>
      <c r="F718" s="491">
        <f ca="1">IF(ISNUMBER('R4 Variations'!F718),+'R4 Variations'!F718*LU_Escalation,0)</f>
        <v>0</v>
      </c>
      <c r="G718" s="491">
        <f ca="1">IF(ISNUMBER('R4 Variations'!G718),+'R4 Variations'!G718*LU_Escalation,0)</f>
        <v>0</v>
      </c>
      <c r="H718" s="491">
        <f ca="1">IF(ISNUMBER('R4 Variations'!H718),+'R4 Variations'!H718*LU_Escalation,0)</f>
        <v>0</v>
      </c>
      <c r="I718" s="491">
        <f ca="1">IF(ISNUMBER('R4 Variations'!I718),+'R4 Variations'!I718*LU_Escalation,0)</f>
        <v>0</v>
      </c>
      <c r="J718" s="491">
        <f ca="1">IF(ISNUMBER('R4 Variations'!J718),+'R4 Variations'!J718*LU_Escalation,0)</f>
        <v>0</v>
      </c>
      <c r="K718" s="491">
        <f ca="1">IF(ISNUMBER('R4 Variations'!K718),+'R4 Variations'!K718*LU_Escalation,0)</f>
        <v>0</v>
      </c>
      <c r="L718" s="515" t="str">
        <f ca="1">+'R4 Variations'!L718</f>
        <v/>
      </c>
      <c r="M718" s="450" t="str">
        <f ca="1">+'R4 Variations'!M718</f>
        <v/>
      </c>
      <c r="N718" s="450" t="str">
        <f ca="1">+'R4 Variations'!N718</f>
        <v/>
      </c>
    </row>
    <row r="719" spans="1:14">
      <c r="A719" s="5"/>
      <c r="B719" s="249"/>
      <c r="C719" s="384" t="str">
        <f ca="1">+'R4 Variations'!C719</f>
        <v/>
      </c>
      <c r="D719" s="491">
        <f ca="1">IF(ISNUMBER('R4 Variations'!D719),+'R4 Variations'!D719*LU_Escalation,0)</f>
        <v>0</v>
      </c>
      <c r="E719" s="850">
        <f ca="1">IF(ISNUMBER('R4 Variations'!E719),+'R4 Variations'!E719*LU_Escalation,0)</f>
        <v>0</v>
      </c>
      <c r="F719" s="491">
        <f ca="1">IF(ISNUMBER('R4 Variations'!F719),+'R4 Variations'!F719*LU_Escalation,0)</f>
        <v>0</v>
      </c>
      <c r="G719" s="491">
        <f ca="1">IF(ISNUMBER('R4 Variations'!G719),+'R4 Variations'!G719*LU_Escalation,0)</f>
        <v>0</v>
      </c>
      <c r="H719" s="491">
        <f ca="1">IF(ISNUMBER('R4 Variations'!H719),+'R4 Variations'!H719*LU_Escalation,0)</f>
        <v>0</v>
      </c>
      <c r="I719" s="491">
        <f ca="1">IF(ISNUMBER('R4 Variations'!I719),+'R4 Variations'!I719*LU_Escalation,0)</f>
        <v>0</v>
      </c>
      <c r="J719" s="491">
        <f ca="1">IF(ISNUMBER('R4 Variations'!J719),+'R4 Variations'!J719*LU_Escalation,0)</f>
        <v>0</v>
      </c>
      <c r="K719" s="491">
        <f ca="1">IF(ISNUMBER('R4 Variations'!K719),+'R4 Variations'!K719*LU_Escalation,0)</f>
        <v>0</v>
      </c>
      <c r="L719" s="515" t="str">
        <f ca="1">+'R4 Variations'!L719</f>
        <v/>
      </c>
      <c r="M719" s="450" t="str">
        <f ca="1">+'R4 Variations'!M719</f>
        <v/>
      </c>
      <c r="N719" s="450" t="str">
        <f ca="1">+'R4 Variations'!N719</f>
        <v/>
      </c>
    </row>
    <row r="720" spans="1:14">
      <c r="A720" s="5"/>
      <c r="B720" s="249"/>
      <c r="C720" s="384" t="str">
        <f ca="1">+'R4 Variations'!C720</f>
        <v/>
      </c>
      <c r="D720" s="491">
        <f ca="1">IF(ISNUMBER('R4 Variations'!D720),+'R4 Variations'!D720*LU_Escalation,0)</f>
        <v>0</v>
      </c>
      <c r="E720" s="850">
        <f ca="1">IF(ISNUMBER('R4 Variations'!E720),+'R4 Variations'!E720*LU_Escalation,0)</f>
        <v>0</v>
      </c>
      <c r="F720" s="491">
        <f ca="1">IF(ISNUMBER('R4 Variations'!F720),+'R4 Variations'!F720*LU_Escalation,0)</f>
        <v>0</v>
      </c>
      <c r="G720" s="491">
        <f ca="1">IF(ISNUMBER('R4 Variations'!G720),+'R4 Variations'!G720*LU_Escalation,0)</f>
        <v>0</v>
      </c>
      <c r="H720" s="491">
        <f ca="1">IF(ISNUMBER('R4 Variations'!H720),+'R4 Variations'!H720*LU_Escalation,0)</f>
        <v>0</v>
      </c>
      <c r="I720" s="491">
        <f ca="1">IF(ISNUMBER('R4 Variations'!I720),+'R4 Variations'!I720*LU_Escalation,0)</f>
        <v>0</v>
      </c>
      <c r="J720" s="491">
        <f ca="1">IF(ISNUMBER('R4 Variations'!J720),+'R4 Variations'!J720*LU_Escalation,0)</f>
        <v>0</v>
      </c>
      <c r="K720" s="491">
        <f ca="1">IF(ISNUMBER('R4 Variations'!K720),+'R4 Variations'!K720*LU_Escalation,0)</f>
        <v>0</v>
      </c>
      <c r="L720" s="515" t="str">
        <f ca="1">+'R4 Variations'!L720</f>
        <v/>
      </c>
      <c r="M720" s="450" t="str">
        <f ca="1">+'R4 Variations'!M720</f>
        <v/>
      </c>
      <c r="N720" s="450" t="str">
        <f ca="1">+'R4 Variations'!N720</f>
        <v/>
      </c>
    </row>
    <row r="721" spans="1:14">
      <c r="A721" s="5"/>
      <c r="B721" s="249"/>
      <c r="C721" s="384" t="str">
        <f ca="1">+'R4 Variations'!C721</f>
        <v/>
      </c>
      <c r="D721" s="491">
        <f ca="1">IF(ISNUMBER('R4 Variations'!D721),+'R4 Variations'!D721*LU_Escalation,0)</f>
        <v>0</v>
      </c>
      <c r="E721" s="850">
        <f ca="1">IF(ISNUMBER('R4 Variations'!E721),+'R4 Variations'!E721*LU_Escalation,0)</f>
        <v>0</v>
      </c>
      <c r="F721" s="491">
        <f ca="1">IF(ISNUMBER('R4 Variations'!F721),+'R4 Variations'!F721*LU_Escalation,0)</f>
        <v>0</v>
      </c>
      <c r="G721" s="491">
        <f ca="1">IF(ISNUMBER('R4 Variations'!G721),+'R4 Variations'!G721*LU_Escalation,0)</f>
        <v>0</v>
      </c>
      <c r="H721" s="491">
        <f ca="1">IF(ISNUMBER('R4 Variations'!H721),+'R4 Variations'!H721*LU_Escalation,0)</f>
        <v>0</v>
      </c>
      <c r="I721" s="491">
        <f ca="1">IF(ISNUMBER('R4 Variations'!I721),+'R4 Variations'!I721*LU_Escalation,0)</f>
        <v>0</v>
      </c>
      <c r="J721" s="491">
        <f ca="1">IF(ISNUMBER('R4 Variations'!J721),+'R4 Variations'!J721*LU_Escalation,0)</f>
        <v>0</v>
      </c>
      <c r="K721" s="491">
        <f ca="1">IF(ISNUMBER('R4 Variations'!K721),+'R4 Variations'!K721*LU_Escalation,0)</f>
        <v>0</v>
      </c>
      <c r="L721" s="515" t="str">
        <f ca="1">+'R4 Variations'!L721</f>
        <v/>
      </c>
      <c r="M721" s="450" t="str">
        <f ca="1">+'R4 Variations'!M721</f>
        <v/>
      </c>
      <c r="N721" s="450" t="str">
        <f ca="1">+'R4 Variations'!N721</f>
        <v/>
      </c>
    </row>
    <row r="722" spans="1:14">
      <c r="A722" s="5"/>
      <c r="B722" s="249"/>
      <c r="C722" s="384" t="str">
        <f ca="1">+'R4 Variations'!C722</f>
        <v/>
      </c>
      <c r="D722" s="491">
        <f ca="1">IF(ISNUMBER('R4 Variations'!D722),+'R4 Variations'!D722*LU_Escalation,0)</f>
        <v>0</v>
      </c>
      <c r="E722" s="850">
        <f ca="1">IF(ISNUMBER('R4 Variations'!E722),+'R4 Variations'!E722*LU_Escalation,0)</f>
        <v>0</v>
      </c>
      <c r="F722" s="491">
        <f ca="1">IF(ISNUMBER('R4 Variations'!F722),+'R4 Variations'!F722*LU_Escalation,0)</f>
        <v>0</v>
      </c>
      <c r="G722" s="491">
        <f ca="1">IF(ISNUMBER('R4 Variations'!G722),+'R4 Variations'!G722*LU_Escalation,0)</f>
        <v>0</v>
      </c>
      <c r="H722" s="491">
        <f ca="1">IF(ISNUMBER('R4 Variations'!H722),+'R4 Variations'!H722*LU_Escalation,0)</f>
        <v>0</v>
      </c>
      <c r="I722" s="491">
        <f ca="1">IF(ISNUMBER('R4 Variations'!I722),+'R4 Variations'!I722*LU_Escalation,0)</f>
        <v>0</v>
      </c>
      <c r="J722" s="491">
        <f ca="1">IF(ISNUMBER('R4 Variations'!J722),+'R4 Variations'!J722*LU_Escalation,0)</f>
        <v>0</v>
      </c>
      <c r="K722" s="491">
        <f ca="1">IF(ISNUMBER('R4 Variations'!K722),+'R4 Variations'!K722*LU_Escalation,0)</f>
        <v>0</v>
      </c>
      <c r="L722" s="515" t="str">
        <f ca="1">+'R4 Variations'!L722</f>
        <v/>
      </c>
      <c r="M722" s="450" t="str">
        <f ca="1">+'R4 Variations'!M722</f>
        <v/>
      </c>
      <c r="N722" s="450" t="str">
        <f ca="1">+'R4 Variations'!N722</f>
        <v/>
      </c>
    </row>
    <row r="723" spans="1:14">
      <c r="A723" s="5"/>
      <c r="B723" s="249"/>
      <c r="C723" s="384" t="str">
        <f ca="1">+'R4 Variations'!C723</f>
        <v/>
      </c>
      <c r="D723" s="491">
        <f ca="1">IF(ISNUMBER('R4 Variations'!D723),+'R4 Variations'!D723*LU_Escalation,0)</f>
        <v>0</v>
      </c>
      <c r="E723" s="850">
        <f ca="1">IF(ISNUMBER('R4 Variations'!E723),+'R4 Variations'!E723*LU_Escalation,0)</f>
        <v>0</v>
      </c>
      <c r="F723" s="491">
        <f ca="1">IF(ISNUMBER('R4 Variations'!F723),+'R4 Variations'!F723*LU_Escalation,0)</f>
        <v>0</v>
      </c>
      <c r="G723" s="491">
        <f ca="1">IF(ISNUMBER('R4 Variations'!G723),+'R4 Variations'!G723*LU_Escalation,0)</f>
        <v>0</v>
      </c>
      <c r="H723" s="491">
        <f ca="1">IF(ISNUMBER('R4 Variations'!H723),+'R4 Variations'!H723*LU_Escalation,0)</f>
        <v>0</v>
      </c>
      <c r="I723" s="491">
        <f ca="1">IF(ISNUMBER('R4 Variations'!I723),+'R4 Variations'!I723*LU_Escalation,0)</f>
        <v>0</v>
      </c>
      <c r="J723" s="491">
        <f ca="1">IF(ISNUMBER('R4 Variations'!J723),+'R4 Variations'!J723*LU_Escalation,0)</f>
        <v>0</v>
      </c>
      <c r="K723" s="491">
        <f ca="1">IF(ISNUMBER('R4 Variations'!K723),+'R4 Variations'!K723*LU_Escalation,0)</f>
        <v>0</v>
      </c>
      <c r="L723" s="515" t="str">
        <f ca="1">+'R4 Variations'!L723</f>
        <v/>
      </c>
      <c r="M723" s="450" t="str">
        <f ca="1">+'R4 Variations'!M723</f>
        <v/>
      </c>
      <c r="N723" s="450" t="str">
        <f ca="1">+'R4 Variations'!N723</f>
        <v/>
      </c>
    </row>
    <row r="724" spans="1:14">
      <c r="A724" s="5"/>
      <c r="B724" s="249"/>
      <c r="C724" s="384" t="str">
        <f ca="1">+'R4 Variations'!C724</f>
        <v/>
      </c>
      <c r="D724" s="491">
        <f ca="1">IF(ISNUMBER('R4 Variations'!D724),+'R4 Variations'!D724*LU_Escalation,0)</f>
        <v>0</v>
      </c>
      <c r="E724" s="850">
        <f ca="1">IF(ISNUMBER('R4 Variations'!E724),+'R4 Variations'!E724*LU_Escalation,0)</f>
        <v>0</v>
      </c>
      <c r="F724" s="491">
        <f ca="1">IF(ISNUMBER('R4 Variations'!F724),+'R4 Variations'!F724*LU_Escalation,0)</f>
        <v>0</v>
      </c>
      <c r="G724" s="491">
        <f ca="1">IF(ISNUMBER('R4 Variations'!G724),+'R4 Variations'!G724*LU_Escalation,0)</f>
        <v>0</v>
      </c>
      <c r="H724" s="491">
        <f ca="1">IF(ISNUMBER('R4 Variations'!H724),+'R4 Variations'!H724*LU_Escalation,0)</f>
        <v>0</v>
      </c>
      <c r="I724" s="491">
        <f ca="1">IF(ISNUMBER('R4 Variations'!I724),+'R4 Variations'!I724*LU_Escalation,0)</f>
        <v>0</v>
      </c>
      <c r="J724" s="491">
        <f ca="1">IF(ISNUMBER('R4 Variations'!J724),+'R4 Variations'!J724*LU_Escalation,0)</f>
        <v>0</v>
      </c>
      <c r="K724" s="491">
        <f ca="1">IF(ISNUMBER('R4 Variations'!K724),+'R4 Variations'!K724*LU_Escalation,0)</f>
        <v>0</v>
      </c>
      <c r="L724" s="515" t="str">
        <f ca="1">+'R4 Variations'!L724</f>
        <v/>
      </c>
      <c r="M724" s="450" t="str">
        <f ca="1">+'R4 Variations'!M724</f>
        <v/>
      </c>
      <c r="N724" s="450" t="str">
        <f ca="1">+'R4 Variations'!N724</f>
        <v/>
      </c>
    </row>
    <row r="725" spans="1:14">
      <c r="A725" s="5"/>
      <c r="B725" s="249"/>
      <c r="C725" s="384" t="str">
        <f ca="1">+'R4 Variations'!C725</f>
        <v/>
      </c>
      <c r="D725" s="491">
        <f ca="1">IF(ISNUMBER('R4 Variations'!D725),+'R4 Variations'!D725*LU_Escalation,0)</f>
        <v>0</v>
      </c>
      <c r="E725" s="850">
        <f ca="1">IF(ISNUMBER('R4 Variations'!E725),+'R4 Variations'!E725*LU_Escalation,0)</f>
        <v>0</v>
      </c>
      <c r="F725" s="491">
        <f ca="1">IF(ISNUMBER('R4 Variations'!F725),+'R4 Variations'!F725*LU_Escalation,0)</f>
        <v>0</v>
      </c>
      <c r="G725" s="491">
        <f ca="1">IF(ISNUMBER('R4 Variations'!G725),+'R4 Variations'!G725*LU_Escalation,0)</f>
        <v>0</v>
      </c>
      <c r="H725" s="491">
        <f ca="1">IF(ISNUMBER('R4 Variations'!H725),+'R4 Variations'!H725*LU_Escalation,0)</f>
        <v>0</v>
      </c>
      <c r="I725" s="491">
        <f ca="1">IF(ISNUMBER('R4 Variations'!I725),+'R4 Variations'!I725*LU_Escalation,0)</f>
        <v>0</v>
      </c>
      <c r="J725" s="491">
        <f ca="1">IF(ISNUMBER('R4 Variations'!J725),+'R4 Variations'!J725*LU_Escalation,0)</f>
        <v>0</v>
      </c>
      <c r="K725" s="491">
        <f ca="1">IF(ISNUMBER('R4 Variations'!K725),+'R4 Variations'!K725*LU_Escalation,0)</f>
        <v>0</v>
      </c>
      <c r="L725" s="515" t="str">
        <f ca="1">+'R4 Variations'!L725</f>
        <v/>
      </c>
      <c r="M725" s="450" t="str">
        <f ca="1">+'R4 Variations'!M725</f>
        <v/>
      </c>
      <c r="N725" s="450" t="str">
        <f ca="1">+'R4 Variations'!N725</f>
        <v/>
      </c>
    </row>
    <row r="726" spans="1:14">
      <c r="A726" s="5"/>
      <c r="B726" s="249"/>
      <c r="C726" s="12"/>
      <c r="D726" s="491"/>
      <c r="E726" s="508"/>
      <c r="F726" s="491"/>
      <c r="G726" s="492"/>
      <c r="H726" s="492"/>
      <c r="I726" s="492"/>
      <c r="J726" s="492"/>
      <c r="K726" s="508"/>
      <c r="L726" s="515"/>
      <c r="M726" s="450"/>
      <c r="N726" s="450"/>
    </row>
    <row r="727" spans="1:14" ht="17.25" customHeight="1" thickBot="1">
      <c r="A727" s="5"/>
      <c r="B727" s="250"/>
      <c r="C727" s="269" t="str">
        <f>CONCATENATE("Total ", +C677)</f>
        <v xml:space="preserve">Total Services </v>
      </c>
      <c r="D727" s="315">
        <f t="shared" ref="D727:K727" ca="1" si="7">SUBTOTAL(9,D679:D726)</f>
        <v>0</v>
      </c>
      <c r="E727" s="500">
        <f t="shared" ca="1" si="7"/>
        <v>0</v>
      </c>
      <c r="F727" s="314">
        <f t="shared" ca="1" si="7"/>
        <v>0</v>
      </c>
      <c r="G727" s="315">
        <f t="shared" ca="1" si="7"/>
        <v>0</v>
      </c>
      <c r="H727" s="315">
        <f t="shared" ca="1" si="7"/>
        <v>1.0254609230769232</v>
      </c>
      <c r="I727" s="315">
        <f t="shared" ca="1" si="7"/>
        <v>1.3397150769230772</v>
      </c>
      <c r="J727" s="315">
        <f t="shared" ca="1" si="7"/>
        <v>1.3397150769230772</v>
      </c>
      <c r="K727" s="500">
        <f t="shared" ca="1" si="7"/>
        <v>1.4441218846153849</v>
      </c>
      <c r="L727" s="515"/>
      <c r="M727" s="450"/>
      <c r="N727" s="450"/>
    </row>
    <row r="728" spans="1:14" ht="18">
      <c r="B728" s="251"/>
      <c r="C728" s="255" t="str">
        <f>+'I-3 Allocated'!A40</f>
        <v xml:space="preserve">Other </v>
      </c>
      <c r="D728" s="332"/>
      <c r="E728" s="499"/>
      <c r="F728" s="332"/>
      <c r="G728" s="332"/>
      <c r="H728" s="332"/>
      <c r="I728" s="332"/>
      <c r="J728" s="332"/>
      <c r="K728" s="499"/>
      <c r="L728" s="515"/>
      <c r="M728" s="450"/>
      <c r="N728" s="450"/>
    </row>
    <row r="729" spans="1:14">
      <c r="A729" s="5"/>
      <c r="B729" s="249" t="str">
        <f ca="1">+'I-4 History'!B544</f>
        <v>A-36</v>
      </c>
      <c r="C729" s="14" t="str">
        <f ca="1">+'I-4 History'!C544</f>
        <v>Employee Bonuses</v>
      </c>
      <c r="D729" s="491"/>
      <c r="E729" s="508"/>
      <c r="F729" s="491"/>
      <c r="G729" s="492"/>
      <c r="H729" s="492"/>
      <c r="I729" s="492"/>
      <c r="J729" s="492"/>
      <c r="K729" s="508"/>
      <c r="L729" s="515"/>
      <c r="M729" s="450"/>
      <c r="N729" s="450"/>
    </row>
    <row r="730" spans="1:14">
      <c r="A730" s="5"/>
      <c r="B730" s="249"/>
      <c r="C730" s="384" t="str">
        <f ca="1">+'R4 Variations'!C730</f>
        <v>Step Change</v>
      </c>
      <c r="D730" s="491">
        <f ca="1">IF(ISNUMBER('R4 Variations'!D730),+'R4 Variations'!D730*LU_Escalation,0)</f>
        <v>0</v>
      </c>
      <c r="E730" s="850">
        <f ca="1">IF(ISNUMBER('R4 Variations'!E730),+'R4 Variations'!E730*LU_Escalation,0)</f>
        <v>0</v>
      </c>
      <c r="F730" s="491">
        <f ca="1">IF(ISNUMBER('R4 Variations'!F730),+'R4 Variations'!F730*LU_Escalation,0)</f>
        <v>0</v>
      </c>
      <c r="G730" s="491">
        <f ca="1">IF(ISNUMBER('R4 Variations'!G730),+'R4 Variations'!G730*LU_Escalation,0)</f>
        <v>0</v>
      </c>
      <c r="H730" s="491">
        <f ca="1">IF(ISNUMBER('R4 Variations'!H730),+'R4 Variations'!H730*LU_Escalation,0)</f>
        <v>0</v>
      </c>
      <c r="I730" s="491">
        <f ca="1">IF(ISNUMBER('R4 Variations'!I730),+'R4 Variations'!I730*LU_Escalation,0)</f>
        <v>0</v>
      </c>
      <c r="J730" s="491">
        <f ca="1">IF(ISNUMBER('R4 Variations'!J730),+'R4 Variations'!J730*LU_Escalation,0)</f>
        <v>0</v>
      </c>
      <c r="K730" s="491">
        <f ca="1">IF(ISNUMBER('R4 Variations'!K730),+'R4 Variations'!K730*LU_Escalation,0)</f>
        <v>0</v>
      </c>
      <c r="L730" s="515" t="str">
        <f ca="1">+'R4 Variations'!L730</f>
        <v>Proposal Step Change</v>
      </c>
      <c r="M730" s="450" t="str">
        <f ca="1">+'R4 Variations'!M730</f>
        <v>Refer Opex Workings</v>
      </c>
      <c r="N730" s="450" t="str">
        <f ca="1">+'R4 Variations'!N730</f>
        <v>Proposal, October 2014</v>
      </c>
    </row>
    <row r="731" spans="1:14">
      <c r="A731" s="5"/>
      <c r="B731" s="249"/>
      <c r="C731" s="384" t="str">
        <f ca="1">+'R4 Variations'!C731</f>
        <v/>
      </c>
      <c r="D731" s="491">
        <f ca="1">IF(ISNUMBER('R4 Variations'!D731),+'R4 Variations'!D731*LU_Escalation,0)</f>
        <v>0</v>
      </c>
      <c r="E731" s="850">
        <f ca="1">IF(ISNUMBER('R4 Variations'!E731),+'R4 Variations'!E731*LU_Escalation,0)</f>
        <v>0</v>
      </c>
      <c r="F731" s="491">
        <f ca="1">IF(ISNUMBER('R4 Variations'!F731),+'R4 Variations'!F731*LU_Escalation,0)</f>
        <v>0</v>
      </c>
      <c r="G731" s="491">
        <f ca="1">IF(ISNUMBER('R4 Variations'!G731),+'R4 Variations'!G731*LU_Escalation,0)</f>
        <v>0</v>
      </c>
      <c r="H731" s="491">
        <f ca="1">IF(ISNUMBER('R4 Variations'!H731),+'R4 Variations'!H731*LU_Escalation,0)</f>
        <v>0</v>
      </c>
      <c r="I731" s="491">
        <f ca="1">IF(ISNUMBER('R4 Variations'!I731),+'R4 Variations'!I731*LU_Escalation,0)</f>
        <v>0</v>
      </c>
      <c r="J731" s="491">
        <f ca="1">IF(ISNUMBER('R4 Variations'!J731),+'R4 Variations'!J731*LU_Escalation,0)</f>
        <v>0</v>
      </c>
      <c r="K731" s="491">
        <f ca="1">IF(ISNUMBER('R4 Variations'!K731),+'R4 Variations'!K731*LU_Escalation,0)</f>
        <v>0</v>
      </c>
      <c r="L731" s="515" t="str">
        <f ca="1">+'R4 Variations'!L731</f>
        <v/>
      </c>
      <c r="M731" s="450" t="str">
        <f ca="1">+'R4 Variations'!M731</f>
        <v/>
      </c>
      <c r="N731" s="450" t="str">
        <f ca="1">+'R4 Variations'!N731</f>
        <v/>
      </c>
    </row>
    <row r="732" spans="1:14">
      <c r="A732" s="5"/>
      <c r="B732" s="249"/>
      <c r="C732" s="384" t="str">
        <f ca="1">+'R4 Variations'!C732</f>
        <v/>
      </c>
      <c r="D732" s="491">
        <f ca="1">IF(ISNUMBER('R4 Variations'!D732),+'R4 Variations'!D732*LU_Escalation,0)</f>
        <v>0</v>
      </c>
      <c r="E732" s="850">
        <f ca="1">IF(ISNUMBER('R4 Variations'!E732),+'R4 Variations'!E732*LU_Escalation,0)</f>
        <v>0</v>
      </c>
      <c r="F732" s="491">
        <f ca="1">IF(ISNUMBER('R4 Variations'!F732),+'R4 Variations'!F732*LU_Escalation,0)</f>
        <v>0</v>
      </c>
      <c r="G732" s="491">
        <f ca="1">IF(ISNUMBER('R4 Variations'!G732),+'R4 Variations'!G732*LU_Escalation,0)</f>
        <v>0</v>
      </c>
      <c r="H732" s="491">
        <f ca="1">IF(ISNUMBER('R4 Variations'!H732),+'R4 Variations'!H732*LU_Escalation,0)</f>
        <v>0</v>
      </c>
      <c r="I732" s="491">
        <f ca="1">IF(ISNUMBER('R4 Variations'!I732),+'R4 Variations'!I732*LU_Escalation,0)</f>
        <v>0</v>
      </c>
      <c r="J732" s="491">
        <f ca="1">IF(ISNUMBER('R4 Variations'!J732),+'R4 Variations'!J732*LU_Escalation,0)</f>
        <v>0</v>
      </c>
      <c r="K732" s="491">
        <f ca="1">IF(ISNUMBER('R4 Variations'!K732),+'R4 Variations'!K732*LU_Escalation,0)</f>
        <v>0</v>
      </c>
      <c r="L732" s="515" t="str">
        <f ca="1">+'R4 Variations'!L732</f>
        <v/>
      </c>
      <c r="M732" s="450" t="str">
        <f ca="1">+'R4 Variations'!M732</f>
        <v/>
      </c>
      <c r="N732" s="450" t="str">
        <f ca="1">+'R4 Variations'!N732</f>
        <v/>
      </c>
    </row>
    <row r="733" spans="1:14">
      <c r="A733" s="5"/>
      <c r="B733" s="249"/>
      <c r="C733" s="384" t="str">
        <f ca="1">+'R4 Variations'!C733</f>
        <v/>
      </c>
      <c r="D733" s="491">
        <f ca="1">IF(ISNUMBER('R4 Variations'!D733),+'R4 Variations'!D733*LU_Escalation,0)</f>
        <v>0</v>
      </c>
      <c r="E733" s="850">
        <f ca="1">IF(ISNUMBER('R4 Variations'!E733),+'R4 Variations'!E733*LU_Escalation,0)</f>
        <v>0</v>
      </c>
      <c r="F733" s="491">
        <f ca="1">IF(ISNUMBER('R4 Variations'!F733),+'R4 Variations'!F733*LU_Escalation,0)</f>
        <v>0</v>
      </c>
      <c r="G733" s="491">
        <f ca="1">IF(ISNUMBER('R4 Variations'!G733),+'R4 Variations'!G733*LU_Escalation,0)</f>
        <v>0</v>
      </c>
      <c r="H733" s="491">
        <f ca="1">IF(ISNUMBER('R4 Variations'!H733),+'R4 Variations'!H733*LU_Escalation,0)</f>
        <v>0</v>
      </c>
      <c r="I733" s="491">
        <f ca="1">IF(ISNUMBER('R4 Variations'!I733),+'R4 Variations'!I733*LU_Escalation,0)</f>
        <v>0</v>
      </c>
      <c r="J733" s="491">
        <f ca="1">IF(ISNUMBER('R4 Variations'!J733),+'R4 Variations'!J733*LU_Escalation,0)</f>
        <v>0</v>
      </c>
      <c r="K733" s="491">
        <f ca="1">IF(ISNUMBER('R4 Variations'!K733),+'R4 Variations'!K733*LU_Escalation,0)</f>
        <v>0</v>
      </c>
      <c r="L733" s="515" t="str">
        <f ca="1">+'R4 Variations'!L733</f>
        <v/>
      </c>
      <c r="M733" s="450" t="str">
        <f ca="1">+'R4 Variations'!M733</f>
        <v/>
      </c>
      <c r="N733" s="450" t="str">
        <f ca="1">+'R4 Variations'!N733</f>
        <v/>
      </c>
    </row>
    <row r="734" spans="1:14">
      <c r="A734" s="5"/>
      <c r="B734" s="249"/>
      <c r="C734" s="384" t="str">
        <f ca="1">+'R4 Variations'!C734</f>
        <v/>
      </c>
      <c r="D734" s="491">
        <f ca="1">IF(ISNUMBER('R4 Variations'!D734),+'R4 Variations'!D734*LU_Escalation,0)</f>
        <v>0</v>
      </c>
      <c r="E734" s="850">
        <f ca="1">IF(ISNUMBER('R4 Variations'!E734),+'R4 Variations'!E734*LU_Escalation,0)</f>
        <v>0</v>
      </c>
      <c r="F734" s="491">
        <f ca="1">IF(ISNUMBER('R4 Variations'!F734),+'R4 Variations'!F734*LU_Escalation,0)</f>
        <v>0</v>
      </c>
      <c r="G734" s="491">
        <f ca="1">IF(ISNUMBER('R4 Variations'!G734),+'R4 Variations'!G734*LU_Escalation,0)</f>
        <v>0</v>
      </c>
      <c r="H734" s="491">
        <f ca="1">IF(ISNUMBER('R4 Variations'!H734),+'R4 Variations'!H734*LU_Escalation,0)</f>
        <v>0</v>
      </c>
      <c r="I734" s="491">
        <f ca="1">IF(ISNUMBER('R4 Variations'!I734),+'R4 Variations'!I734*LU_Escalation,0)</f>
        <v>0</v>
      </c>
      <c r="J734" s="491">
        <f ca="1">IF(ISNUMBER('R4 Variations'!J734),+'R4 Variations'!J734*LU_Escalation,0)</f>
        <v>0</v>
      </c>
      <c r="K734" s="491">
        <f ca="1">IF(ISNUMBER('R4 Variations'!K734),+'R4 Variations'!K734*LU_Escalation,0)</f>
        <v>0</v>
      </c>
      <c r="L734" s="515" t="str">
        <f ca="1">+'R4 Variations'!L734</f>
        <v/>
      </c>
      <c r="M734" s="450" t="str">
        <f ca="1">+'R4 Variations'!M734</f>
        <v/>
      </c>
      <c r="N734" s="450" t="str">
        <f ca="1">+'R4 Variations'!N734</f>
        <v/>
      </c>
    </row>
    <row r="735" spans="1:14">
      <c r="B735" s="249"/>
      <c r="C735" s="384" t="str">
        <f ca="1">+'R4 Variations'!C735</f>
        <v/>
      </c>
      <c r="D735" s="491">
        <f ca="1">IF(ISNUMBER('R4 Variations'!D735),+'R4 Variations'!D735*LU_Escalation,0)</f>
        <v>0</v>
      </c>
      <c r="E735" s="850">
        <f ca="1">IF(ISNUMBER('R4 Variations'!E735),+'R4 Variations'!E735*LU_Escalation,0)</f>
        <v>0</v>
      </c>
      <c r="F735" s="491">
        <f ca="1">IF(ISNUMBER('R4 Variations'!F735),+'R4 Variations'!F735*LU_Escalation,0)</f>
        <v>0</v>
      </c>
      <c r="G735" s="491">
        <f ca="1">IF(ISNUMBER('R4 Variations'!G735),+'R4 Variations'!G735*LU_Escalation,0)</f>
        <v>0</v>
      </c>
      <c r="H735" s="491">
        <f ca="1">IF(ISNUMBER('R4 Variations'!H735),+'R4 Variations'!H735*LU_Escalation,0)</f>
        <v>0</v>
      </c>
      <c r="I735" s="491">
        <f ca="1">IF(ISNUMBER('R4 Variations'!I735),+'R4 Variations'!I735*LU_Escalation,0)</f>
        <v>0</v>
      </c>
      <c r="J735" s="491">
        <f ca="1">IF(ISNUMBER('R4 Variations'!J735),+'R4 Variations'!J735*LU_Escalation,0)</f>
        <v>0</v>
      </c>
      <c r="K735" s="491">
        <f ca="1">IF(ISNUMBER('R4 Variations'!K735),+'R4 Variations'!K735*LU_Escalation,0)</f>
        <v>0</v>
      </c>
      <c r="L735" s="515" t="str">
        <f ca="1">+'R4 Variations'!L735</f>
        <v/>
      </c>
      <c r="M735" s="450" t="str">
        <f ca="1">+'R4 Variations'!M735</f>
        <v/>
      </c>
      <c r="N735" s="450" t="str">
        <f ca="1">+'R4 Variations'!N735</f>
        <v/>
      </c>
    </row>
    <row r="736" spans="1:14">
      <c r="B736" s="249"/>
      <c r="C736" s="384" t="str">
        <f ca="1">+'R4 Variations'!C736</f>
        <v/>
      </c>
      <c r="D736" s="491">
        <f ca="1">IF(ISNUMBER('R4 Variations'!D736),+'R4 Variations'!D736*LU_Escalation,0)</f>
        <v>0</v>
      </c>
      <c r="E736" s="850">
        <f ca="1">IF(ISNUMBER('R4 Variations'!E736),+'R4 Variations'!E736*LU_Escalation,0)</f>
        <v>0</v>
      </c>
      <c r="F736" s="491">
        <f ca="1">IF(ISNUMBER('R4 Variations'!F736),+'R4 Variations'!F736*LU_Escalation,0)</f>
        <v>0</v>
      </c>
      <c r="G736" s="491">
        <f ca="1">IF(ISNUMBER('R4 Variations'!G736),+'R4 Variations'!G736*LU_Escalation,0)</f>
        <v>0</v>
      </c>
      <c r="H736" s="491">
        <f ca="1">IF(ISNUMBER('R4 Variations'!H736),+'R4 Variations'!H736*LU_Escalation,0)</f>
        <v>0</v>
      </c>
      <c r="I736" s="491">
        <f ca="1">IF(ISNUMBER('R4 Variations'!I736),+'R4 Variations'!I736*LU_Escalation,0)</f>
        <v>0</v>
      </c>
      <c r="J736" s="491">
        <f ca="1">IF(ISNUMBER('R4 Variations'!J736),+'R4 Variations'!J736*LU_Escalation,0)</f>
        <v>0</v>
      </c>
      <c r="K736" s="491">
        <f ca="1">IF(ISNUMBER('R4 Variations'!K736),+'R4 Variations'!K736*LU_Escalation,0)</f>
        <v>0</v>
      </c>
      <c r="L736" s="515" t="str">
        <f ca="1">+'R4 Variations'!L736</f>
        <v/>
      </c>
      <c r="M736" s="450" t="str">
        <f ca="1">+'R4 Variations'!M736</f>
        <v/>
      </c>
      <c r="N736" s="450" t="str">
        <f ca="1">+'R4 Variations'!N736</f>
        <v/>
      </c>
    </row>
    <row r="737" spans="1:14">
      <c r="B737" s="249"/>
      <c r="C737" s="384" t="str">
        <f ca="1">+'R4 Variations'!C737</f>
        <v/>
      </c>
      <c r="D737" s="491">
        <f ca="1">IF(ISNUMBER('R4 Variations'!D737),+'R4 Variations'!D737*LU_Escalation,0)</f>
        <v>0</v>
      </c>
      <c r="E737" s="850">
        <f ca="1">IF(ISNUMBER('R4 Variations'!E737),+'R4 Variations'!E737*LU_Escalation,0)</f>
        <v>0</v>
      </c>
      <c r="F737" s="491">
        <f ca="1">IF(ISNUMBER('R4 Variations'!F737),+'R4 Variations'!F737*LU_Escalation,0)</f>
        <v>0</v>
      </c>
      <c r="G737" s="491">
        <f ca="1">IF(ISNUMBER('R4 Variations'!G737),+'R4 Variations'!G737*LU_Escalation,0)</f>
        <v>0</v>
      </c>
      <c r="H737" s="491">
        <f ca="1">IF(ISNUMBER('R4 Variations'!H737),+'R4 Variations'!H737*LU_Escalation,0)</f>
        <v>0</v>
      </c>
      <c r="I737" s="491">
        <f ca="1">IF(ISNUMBER('R4 Variations'!I737),+'R4 Variations'!I737*LU_Escalation,0)</f>
        <v>0</v>
      </c>
      <c r="J737" s="491">
        <f ca="1">IF(ISNUMBER('R4 Variations'!J737),+'R4 Variations'!J737*LU_Escalation,0)</f>
        <v>0</v>
      </c>
      <c r="K737" s="491">
        <f ca="1">IF(ISNUMBER('R4 Variations'!K737),+'R4 Variations'!K737*LU_Escalation,0)</f>
        <v>0</v>
      </c>
      <c r="L737" s="515" t="str">
        <f ca="1">+'R4 Variations'!L737</f>
        <v/>
      </c>
      <c r="M737" s="450" t="str">
        <f ca="1">+'R4 Variations'!M737</f>
        <v/>
      </c>
      <c r="N737" s="450" t="str">
        <f ca="1">+'R4 Variations'!N737</f>
        <v/>
      </c>
    </row>
    <row r="738" spans="1:14">
      <c r="B738" s="249"/>
      <c r="C738" s="384" t="str">
        <f ca="1">+'R4 Variations'!C738</f>
        <v/>
      </c>
      <c r="D738" s="491">
        <f ca="1">IF(ISNUMBER('R4 Variations'!D738),+'R4 Variations'!D738*LU_Escalation,0)</f>
        <v>0</v>
      </c>
      <c r="E738" s="850">
        <f ca="1">IF(ISNUMBER('R4 Variations'!E738),+'R4 Variations'!E738*LU_Escalation,0)</f>
        <v>0</v>
      </c>
      <c r="F738" s="491">
        <f ca="1">IF(ISNUMBER('R4 Variations'!F738),+'R4 Variations'!F738*LU_Escalation,0)</f>
        <v>0</v>
      </c>
      <c r="G738" s="491">
        <f ca="1">IF(ISNUMBER('R4 Variations'!G738),+'R4 Variations'!G738*LU_Escalation,0)</f>
        <v>0</v>
      </c>
      <c r="H738" s="491">
        <f ca="1">IF(ISNUMBER('R4 Variations'!H738),+'R4 Variations'!H738*LU_Escalation,0)</f>
        <v>0</v>
      </c>
      <c r="I738" s="491">
        <f ca="1">IF(ISNUMBER('R4 Variations'!I738),+'R4 Variations'!I738*LU_Escalation,0)</f>
        <v>0</v>
      </c>
      <c r="J738" s="491">
        <f ca="1">IF(ISNUMBER('R4 Variations'!J738),+'R4 Variations'!J738*LU_Escalation,0)</f>
        <v>0</v>
      </c>
      <c r="K738" s="491">
        <f ca="1">IF(ISNUMBER('R4 Variations'!K738),+'R4 Variations'!K738*LU_Escalation,0)</f>
        <v>0</v>
      </c>
      <c r="L738" s="515" t="str">
        <f ca="1">+'R4 Variations'!L738</f>
        <v/>
      </c>
      <c r="M738" s="450" t="str">
        <f ca="1">+'R4 Variations'!M738</f>
        <v/>
      </c>
      <c r="N738" s="450" t="str">
        <f ca="1">+'R4 Variations'!N738</f>
        <v/>
      </c>
    </row>
    <row r="739" spans="1:14">
      <c r="B739" s="249"/>
      <c r="C739" s="384" t="str">
        <f ca="1">+'R4 Variations'!C739</f>
        <v/>
      </c>
      <c r="D739" s="491">
        <f ca="1">IF(ISNUMBER('R4 Variations'!D739),+'R4 Variations'!D739*LU_Escalation,0)</f>
        <v>0</v>
      </c>
      <c r="E739" s="850">
        <f ca="1">IF(ISNUMBER('R4 Variations'!E739),+'R4 Variations'!E739*LU_Escalation,0)</f>
        <v>0</v>
      </c>
      <c r="F739" s="491">
        <f ca="1">IF(ISNUMBER('R4 Variations'!F739),+'R4 Variations'!F739*LU_Escalation,0)</f>
        <v>0</v>
      </c>
      <c r="G739" s="491">
        <f ca="1">IF(ISNUMBER('R4 Variations'!G739),+'R4 Variations'!G739*LU_Escalation,0)</f>
        <v>0</v>
      </c>
      <c r="H739" s="491">
        <f ca="1">IF(ISNUMBER('R4 Variations'!H739),+'R4 Variations'!H739*LU_Escalation,0)</f>
        <v>0</v>
      </c>
      <c r="I739" s="491">
        <f ca="1">IF(ISNUMBER('R4 Variations'!I739),+'R4 Variations'!I739*LU_Escalation,0)</f>
        <v>0</v>
      </c>
      <c r="J739" s="491">
        <f ca="1">IF(ISNUMBER('R4 Variations'!J739),+'R4 Variations'!J739*LU_Escalation,0)</f>
        <v>0</v>
      </c>
      <c r="K739" s="491">
        <f ca="1">IF(ISNUMBER('R4 Variations'!K739),+'R4 Variations'!K739*LU_Escalation,0)</f>
        <v>0</v>
      </c>
      <c r="L739" s="515" t="str">
        <f ca="1">+'R4 Variations'!L739</f>
        <v/>
      </c>
      <c r="M739" s="450" t="str">
        <f ca="1">+'R4 Variations'!M739</f>
        <v/>
      </c>
      <c r="N739" s="450" t="str">
        <f ca="1">+'R4 Variations'!N739</f>
        <v/>
      </c>
    </row>
    <row r="740" spans="1:14">
      <c r="B740" s="249"/>
      <c r="C740" s="12"/>
      <c r="D740" s="491"/>
      <c r="E740" s="508"/>
      <c r="F740" s="491"/>
      <c r="G740" s="492"/>
      <c r="H740" s="492"/>
      <c r="I740" s="492"/>
      <c r="J740" s="492"/>
      <c r="K740" s="508"/>
      <c r="L740" s="515"/>
      <c r="M740" s="450"/>
      <c r="N740" s="450"/>
    </row>
    <row r="741" spans="1:14">
      <c r="A741" s="5"/>
      <c r="B741" s="249" t="str">
        <f ca="1">+'I-4 History'!B553</f>
        <v>A-37</v>
      </c>
      <c r="C741" s="14" t="str">
        <f ca="1">+'I-4 History'!C553</f>
        <v>Voluntary Separation Packages (VSP’s)</v>
      </c>
      <c r="D741" s="491"/>
      <c r="E741" s="508"/>
      <c r="F741" s="491"/>
      <c r="G741" s="492"/>
      <c r="H741" s="492"/>
      <c r="I741" s="492"/>
      <c r="J741" s="492"/>
      <c r="K741" s="508"/>
      <c r="L741" s="515"/>
      <c r="M741" s="450"/>
      <c r="N741" s="450"/>
    </row>
    <row r="742" spans="1:14">
      <c r="A742" s="5"/>
      <c r="B742" s="249"/>
      <c r="C742" s="384" t="str">
        <f ca="1">+'R4 Variations'!C742</f>
        <v>Step Change</v>
      </c>
      <c r="D742" s="491">
        <f ca="1">IF(ISNUMBER('R4 Variations'!D742),+'R4 Variations'!D742*LU_Escalation,0)</f>
        <v>0</v>
      </c>
      <c r="E742" s="850">
        <f ca="1">IF(ISNUMBER('R4 Variations'!E742),+'R4 Variations'!E742*LU_Escalation,0)</f>
        <v>0</v>
      </c>
      <c r="F742" s="491">
        <f ca="1">IF(ISNUMBER('R4 Variations'!F742),+'R4 Variations'!F742*LU_Escalation,0)</f>
        <v>0</v>
      </c>
      <c r="G742" s="491">
        <f ca="1">IF(ISNUMBER('R4 Variations'!G742),+'R4 Variations'!G742*LU_Escalation,0)</f>
        <v>0</v>
      </c>
      <c r="H742" s="491">
        <f ca="1">IF(ISNUMBER('R4 Variations'!H742),+'R4 Variations'!H742*LU_Escalation,0)</f>
        <v>0</v>
      </c>
      <c r="I742" s="491">
        <f ca="1">IF(ISNUMBER('R4 Variations'!I742),+'R4 Variations'!I742*LU_Escalation,0)</f>
        <v>0</v>
      </c>
      <c r="J742" s="491">
        <f ca="1">IF(ISNUMBER('R4 Variations'!J742),+'R4 Variations'!J742*LU_Escalation,0)</f>
        <v>0</v>
      </c>
      <c r="K742" s="491">
        <f ca="1">IF(ISNUMBER('R4 Variations'!K742),+'R4 Variations'!K742*LU_Escalation,0)</f>
        <v>0</v>
      </c>
      <c r="L742" s="515" t="str">
        <f ca="1">+'R4 Variations'!L742</f>
        <v>Proposal Step Change</v>
      </c>
      <c r="M742" s="450" t="str">
        <f ca="1">+'R4 Variations'!M742</f>
        <v>Refer Opex Workings</v>
      </c>
      <c r="N742" s="450" t="str">
        <f ca="1">+'R4 Variations'!N742</f>
        <v>Proposal, October 2014</v>
      </c>
    </row>
    <row r="743" spans="1:14">
      <c r="A743" s="5"/>
      <c r="B743" s="249"/>
      <c r="C743" s="384" t="str">
        <f ca="1">+'R4 Variations'!C743</f>
        <v/>
      </c>
      <c r="D743" s="491">
        <f ca="1">IF(ISNUMBER('R4 Variations'!D743),+'R4 Variations'!D743*LU_Escalation,0)</f>
        <v>0</v>
      </c>
      <c r="E743" s="850">
        <f ca="1">IF(ISNUMBER('R4 Variations'!E743),+'R4 Variations'!E743*LU_Escalation,0)</f>
        <v>0</v>
      </c>
      <c r="F743" s="491">
        <f ca="1">IF(ISNUMBER('R4 Variations'!F743),+'R4 Variations'!F743*LU_Escalation,0)</f>
        <v>0</v>
      </c>
      <c r="G743" s="491">
        <f ca="1">IF(ISNUMBER('R4 Variations'!G743),+'R4 Variations'!G743*LU_Escalation,0)</f>
        <v>0</v>
      </c>
      <c r="H743" s="491">
        <f ca="1">IF(ISNUMBER('R4 Variations'!H743),+'R4 Variations'!H743*LU_Escalation,0)</f>
        <v>0</v>
      </c>
      <c r="I743" s="491">
        <f ca="1">IF(ISNUMBER('R4 Variations'!I743),+'R4 Variations'!I743*LU_Escalation,0)</f>
        <v>0</v>
      </c>
      <c r="J743" s="491">
        <f ca="1">IF(ISNUMBER('R4 Variations'!J743),+'R4 Variations'!J743*LU_Escalation,0)</f>
        <v>0</v>
      </c>
      <c r="K743" s="491">
        <f ca="1">IF(ISNUMBER('R4 Variations'!K743),+'R4 Variations'!K743*LU_Escalation,0)</f>
        <v>0</v>
      </c>
      <c r="L743" s="515" t="str">
        <f ca="1">+'R4 Variations'!L743</f>
        <v/>
      </c>
      <c r="M743" s="450" t="str">
        <f ca="1">+'R4 Variations'!M743</f>
        <v/>
      </c>
      <c r="N743" s="450" t="str">
        <f ca="1">+'R4 Variations'!N743</f>
        <v/>
      </c>
    </row>
    <row r="744" spans="1:14">
      <c r="A744" s="5"/>
      <c r="B744" s="249"/>
      <c r="C744" s="384" t="str">
        <f ca="1">+'R4 Variations'!C744</f>
        <v/>
      </c>
      <c r="D744" s="491">
        <f ca="1">IF(ISNUMBER('R4 Variations'!D744),+'R4 Variations'!D744*LU_Escalation,0)</f>
        <v>0</v>
      </c>
      <c r="E744" s="850">
        <f ca="1">IF(ISNUMBER('R4 Variations'!E744),+'R4 Variations'!E744*LU_Escalation,0)</f>
        <v>0</v>
      </c>
      <c r="F744" s="491">
        <f ca="1">IF(ISNUMBER('R4 Variations'!F744),+'R4 Variations'!F744*LU_Escalation,0)</f>
        <v>0</v>
      </c>
      <c r="G744" s="491">
        <f ca="1">IF(ISNUMBER('R4 Variations'!G744),+'R4 Variations'!G744*LU_Escalation,0)</f>
        <v>0</v>
      </c>
      <c r="H744" s="491">
        <f ca="1">IF(ISNUMBER('R4 Variations'!H744),+'R4 Variations'!H744*LU_Escalation,0)</f>
        <v>0</v>
      </c>
      <c r="I744" s="491">
        <f ca="1">IF(ISNUMBER('R4 Variations'!I744),+'R4 Variations'!I744*LU_Escalation,0)</f>
        <v>0</v>
      </c>
      <c r="J744" s="491">
        <f ca="1">IF(ISNUMBER('R4 Variations'!J744),+'R4 Variations'!J744*LU_Escalation,0)</f>
        <v>0</v>
      </c>
      <c r="K744" s="491">
        <f ca="1">IF(ISNUMBER('R4 Variations'!K744),+'R4 Variations'!K744*LU_Escalation,0)</f>
        <v>0</v>
      </c>
      <c r="L744" s="515" t="str">
        <f ca="1">+'R4 Variations'!L744</f>
        <v/>
      </c>
      <c r="M744" s="450" t="str">
        <f ca="1">+'R4 Variations'!M744</f>
        <v/>
      </c>
      <c r="N744" s="450" t="str">
        <f ca="1">+'R4 Variations'!N744</f>
        <v/>
      </c>
    </row>
    <row r="745" spans="1:14">
      <c r="A745" s="5"/>
      <c r="B745" s="249"/>
      <c r="C745" s="384" t="str">
        <f ca="1">+'R4 Variations'!C745</f>
        <v/>
      </c>
      <c r="D745" s="491">
        <f ca="1">IF(ISNUMBER('R4 Variations'!D745),+'R4 Variations'!D745*LU_Escalation,0)</f>
        <v>0</v>
      </c>
      <c r="E745" s="850">
        <f ca="1">IF(ISNUMBER('R4 Variations'!E745),+'R4 Variations'!E745*LU_Escalation,0)</f>
        <v>0</v>
      </c>
      <c r="F745" s="491">
        <f ca="1">IF(ISNUMBER('R4 Variations'!F745),+'R4 Variations'!F745*LU_Escalation,0)</f>
        <v>0</v>
      </c>
      <c r="G745" s="491">
        <f ca="1">IF(ISNUMBER('R4 Variations'!G745),+'R4 Variations'!G745*LU_Escalation,0)</f>
        <v>0</v>
      </c>
      <c r="H745" s="491">
        <f ca="1">IF(ISNUMBER('R4 Variations'!H745),+'R4 Variations'!H745*LU_Escalation,0)</f>
        <v>0</v>
      </c>
      <c r="I745" s="491">
        <f ca="1">IF(ISNUMBER('R4 Variations'!I745),+'R4 Variations'!I745*LU_Escalation,0)</f>
        <v>0</v>
      </c>
      <c r="J745" s="491">
        <f ca="1">IF(ISNUMBER('R4 Variations'!J745),+'R4 Variations'!J745*LU_Escalation,0)</f>
        <v>0</v>
      </c>
      <c r="K745" s="491">
        <f ca="1">IF(ISNUMBER('R4 Variations'!K745),+'R4 Variations'!K745*LU_Escalation,0)</f>
        <v>0</v>
      </c>
      <c r="L745" s="515" t="str">
        <f ca="1">+'R4 Variations'!L745</f>
        <v/>
      </c>
      <c r="M745" s="450" t="str">
        <f ca="1">+'R4 Variations'!M745</f>
        <v/>
      </c>
      <c r="N745" s="450" t="str">
        <f ca="1">+'R4 Variations'!N745</f>
        <v/>
      </c>
    </row>
    <row r="746" spans="1:14">
      <c r="A746" s="5"/>
      <c r="B746" s="249"/>
      <c r="C746" s="384" t="str">
        <f ca="1">+'R4 Variations'!C746</f>
        <v/>
      </c>
      <c r="D746" s="491">
        <f ca="1">IF(ISNUMBER('R4 Variations'!D746),+'R4 Variations'!D746*LU_Escalation,0)</f>
        <v>0</v>
      </c>
      <c r="E746" s="850">
        <f ca="1">IF(ISNUMBER('R4 Variations'!E746),+'R4 Variations'!E746*LU_Escalation,0)</f>
        <v>0</v>
      </c>
      <c r="F746" s="491">
        <f ca="1">IF(ISNUMBER('R4 Variations'!F746),+'R4 Variations'!F746*LU_Escalation,0)</f>
        <v>0</v>
      </c>
      <c r="G746" s="491">
        <f ca="1">IF(ISNUMBER('R4 Variations'!G746),+'R4 Variations'!G746*LU_Escalation,0)</f>
        <v>0</v>
      </c>
      <c r="H746" s="491">
        <f ca="1">IF(ISNUMBER('R4 Variations'!H746),+'R4 Variations'!H746*LU_Escalation,0)</f>
        <v>0</v>
      </c>
      <c r="I746" s="491">
        <f ca="1">IF(ISNUMBER('R4 Variations'!I746),+'R4 Variations'!I746*LU_Escalation,0)</f>
        <v>0</v>
      </c>
      <c r="J746" s="491">
        <f ca="1">IF(ISNUMBER('R4 Variations'!J746),+'R4 Variations'!J746*LU_Escalation,0)</f>
        <v>0</v>
      </c>
      <c r="K746" s="491">
        <f ca="1">IF(ISNUMBER('R4 Variations'!K746),+'R4 Variations'!K746*LU_Escalation,0)</f>
        <v>0</v>
      </c>
      <c r="L746" s="515" t="str">
        <f ca="1">+'R4 Variations'!L746</f>
        <v/>
      </c>
      <c r="M746" s="450" t="str">
        <f ca="1">+'R4 Variations'!M746</f>
        <v/>
      </c>
      <c r="N746" s="450" t="str">
        <f ca="1">+'R4 Variations'!N746</f>
        <v/>
      </c>
    </row>
    <row r="747" spans="1:14">
      <c r="A747" s="5"/>
      <c r="B747" s="249"/>
      <c r="C747" s="384" t="str">
        <f ca="1">+'R4 Variations'!C747</f>
        <v/>
      </c>
      <c r="D747" s="491">
        <f ca="1">IF(ISNUMBER('R4 Variations'!D747),+'R4 Variations'!D747*LU_Escalation,0)</f>
        <v>0</v>
      </c>
      <c r="E747" s="850">
        <f ca="1">IF(ISNUMBER('R4 Variations'!E747),+'R4 Variations'!E747*LU_Escalation,0)</f>
        <v>0</v>
      </c>
      <c r="F747" s="491">
        <f ca="1">IF(ISNUMBER('R4 Variations'!F747),+'R4 Variations'!F747*LU_Escalation,0)</f>
        <v>0</v>
      </c>
      <c r="G747" s="491">
        <f ca="1">IF(ISNUMBER('R4 Variations'!G747),+'R4 Variations'!G747*LU_Escalation,0)</f>
        <v>0</v>
      </c>
      <c r="H747" s="491">
        <f ca="1">IF(ISNUMBER('R4 Variations'!H747),+'R4 Variations'!H747*LU_Escalation,0)</f>
        <v>0</v>
      </c>
      <c r="I747" s="491">
        <f ca="1">IF(ISNUMBER('R4 Variations'!I747),+'R4 Variations'!I747*LU_Escalation,0)</f>
        <v>0</v>
      </c>
      <c r="J747" s="491">
        <f ca="1">IF(ISNUMBER('R4 Variations'!J747),+'R4 Variations'!J747*LU_Escalation,0)</f>
        <v>0</v>
      </c>
      <c r="K747" s="491">
        <f ca="1">IF(ISNUMBER('R4 Variations'!K747),+'R4 Variations'!K747*LU_Escalation,0)</f>
        <v>0</v>
      </c>
      <c r="L747" s="515" t="str">
        <f ca="1">+'R4 Variations'!L747</f>
        <v/>
      </c>
      <c r="M747" s="450" t="str">
        <f ca="1">+'R4 Variations'!M747</f>
        <v/>
      </c>
      <c r="N747" s="450" t="str">
        <f ca="1">+'R4 Variations'!N747</f>
        <v/>
      </c>
    </row>
    <row r="748" spans="1:14">
      <c r="A748" s="5"/>
      <c r="B748" s="249"/>
      <c r="C748" s="384" t="str">
        <f ca="1">+'R4 Variations'!C748</f>
        <v/>
      </c>
      <c r="D748" s="491">
        <f ca="1">IF(ISNUMBER('R4 Variations'!D748),+'R4 Variations'!D748*LU_Escalation,0)</f>
        <v>0</v>
      </c>
      <c r="E748" s="850">
        <f ca="1">IF(ISNUMBER('R4 Variations'!E748),+'R4 Variations'!E748*LU_Escalation,0)</f>
        <v>0</v>
      </c>
      <c r="F748" s="491">
        <f ca="1">IF(ISNUMBER('R4 Variations'!F748),+'R4 Variations'!F748*LU_Escalation,0)</f>
        <v>0</v>
      </c>
      <c r="G748" s="491">
        <f ca="1">IF(ISNUMBER('R4 Variations'!G748),+'R4 Variations'!G748*LU_Escalation,0)</f>
        <v>0</v>
      </c>
      <c r="H748" s="491">
        <f ca="1">IF(ISNUMBER('R4 Variations'!H748),+'R4 Variations'!H748*LU_Escalation,0)</f>
        <v>0</v>
      </c>
      <c r="I748" s="491">
        <f ca="1">IF(ISNUMBER('R4 Variations'!I748),+'R4 Variations'!I748*LU_Escalation,0)</f>
        <v>0</v>
      </c>
      <c r="J748" s="491">
        <f ca="1">IF(ISNUMBER('R4 Variations'!J748),+'R4 Variations'!J748*LU_Escalation,0)</f>
        <v>0</v>
      </c>
      <c r="K748" s="491">
        <f ca="1">IF(ISNUMBER('R4 Variations'!K748),+'R4 Variations'!K748*LU_Escalation,0)</f>
        <v>0</v>
      </c>
      <c r="L748" s="515" t="str">
        <f ca="1">+'R4 Variations'!L748</f>
        <v/>
      </c>
      <c r="M748" s="450" t="str">
        <f ca="1">+'R4 Variations'!M748</f>
        <v/>
      </c>
      <c r="N748" s="450" t="str">
        <f ca="1">+'R4 Variations'!N748</f>
        <v/>
      </c>
    </row>
    <row r="749" spans="1:14">
      <c r="A749" s="5"/>
      <c r="B749" s="249"/>
      <c r="C749" s="384" t="str">
        <f ca="1">+'R4 Variations'!C749</f>
        <v/>
      </c>
      <c r="D749" s="491">
        <f ca="1">IF(ISNUMBER('R4 Variations'!D749),+'R4 Variations'!D749*LU_Escalation,0)</f>
        <v>0</v>
      </c>
      <c r="E749" s="850">
        <f ca="1">IF(ISNUMBER('R4 Variations'!E749),+'R4 Variations'!E749*LU_Escalation,0)</f>
        <v>0</v>
      </c>
      <c r="F749" s="491">
        <f ca="1">IF(ISNUMBER('R4 Variations'!F749),+'R4 Variations'!F749*LU_Escalation,0)</f>
        <v>0</v>
      </c>
      <c r="G749" s="491">
        <f ca="1">IF(ISNUMBER('R4 Variations'!G749),+'R4 Variations'!G749*LU_Escalation,0)</f>
        <v>0</v>
      </c>
      <c r="H749" s="491">
        <f ca="1">IF(ISNUMBER('R4 Variations'!H749),+'R4 Variations'!H749*LU_Escalation,0)</f>
        <v>0</v>
      </c>
      <c r="I749" s="491">
        <f ca="1">IF(ISNUMBER('R4 Variations'!I749),+'R4 Variations'!I749*LU_Escalation,0)</f>
        <v>0</v>
      </c>
      <c r="J749" s="491">
        <f ca="1">IF(ISNUMBER('R4 Variations'!J749),+'R4 Variations'!J749*LU_Escalation,0)</f>
        <v>0</v>
      </c>
      <c r="K749" s="491">
        <f ca="1">IF(ISNUMBER('R4 Variations'!K749),+'R4 Variations'!K749*LU_Escalation,0)</f>
        <v>0</v>
      </c>
      <c r="L749" s="515" t="str">
        <f ca="1">+'R4 Variations'!L749</f>
        <v/>
      </c>
      <c r="M749" s="450" t="str">
        <f ca="1">+'R4 Variations'!M749</f>
        <v/>
      </c>
      <c r="N749" s="450" t="str">
        <f ca="1">+'R4 Variations'!N749</f>
        <v/>
      </c>
    </row>
    <row r="750" spans="1:14">
      <c r="A750" s="5"/>
      <c r="B750" s="249"/>
      <c r="C750" s="384" t="str">
        <f ca="1">+'R4 Variations'!C750</f>
        <v/>
      </c>
      <c r="D750" s="491">
        <f ca="1">IF(ISNUMBER('R4 Variations'!D750),+'R4 Variations'!D750*LU_Escalation,0)</f>
        <v>0</v>
      </c>
      <c r="E750" s="850">
        <f ca="1">IF(ISNUMBER('R4 Variations'!E750),+'R4 Variations'!E750*LU_Escalation,0)</f>
        <v>0</v>
      </c>
      <c r="F750" s="491">
        <f ca="1">IF(ISNUMBER('R4 Variations'!F750),+'R4 Variations'!F750*LU_Escalation,0)</f>
        <v>0</v>
      </c>
      <c r="G750" s="491">
        <f ca="1">IF(ISNUMBER('R4 Variations'!G750),+'R4 Variations'!G750*LU_Escalation,0)</f>
        <v>0</v>
      </c>
      <c r="H750" s="491">
        <f ca="1">IF(ISNUMBER('R4 Variations'!H750),+'R4 Variations'!H750*LU_Escalation,0)</f>
        <v>0</v>
      </c>
      <c r="I750" s="491">
        <f ca="1">IF(ISNUMBER('R4 Variations'!I750),+'R4 Variations'!I750*LU_Escalation,0)</f>
        <v>0</v>
      </c>
      <c r="J750" s="491">
        <f ca="1">IF(ISNUMBER('R4 Variations'!J750),+'R4 Variations'!J750*LU_Escalation,0)</f>
        <v>0</v>
      </c>
      <c r="K750" s="491">
        <f ca="1">IF(ISNUMBER('R4 Variations'!K750),+'R4 Variations'!K750*LU_Escalation,0)</f>
        <v>0</v>
      </c>
      <c r="L750" s="515" t="str">
        <f ca="1">+'R4 Variations'!L750</f>
        <v/>
      </c>
      <c r="M750" s="450" t="str">
        <f ca="1">+'R4 Variations'!M750</f>
        <v/>
      </c>
      <c r="N750" s="450" t="str">
        <f ca="1">+'R4 Variations'!N750</f>
        <v/>
      </c>
    </row>
    <row r="751" spans="1:14">
      <c r="A751" s="5"/>
      <c r="B751" s="249"/>
      <c r="C751" s="384" t="str">
        <f ca="1">+'R4 Variations'!C751</f>
        <v/>
      </c>
      <c r="D751" s="491">
        <f ca="1">IF(ISNUMBER('R4 Variations'!D751),+'R4 Variations'!D751*LU_Escalation,0)</f>
        <v>0</v>
      </c>
      <c r="E751" s="850">
        <f ca="1">IF(ISNUMBER('R4 Variations'!E751),+'R4 Variations'!E751*LU_Escalation,0)</f>
        <v>0</v>
      </c>
      <c r="F751" s="491">
        <f ca="1">IF(ISNUMBER('R4 Variations'!F751),+'R4 Variations'!F751*LU_Escalation,0)</f>
        <v>0</v>
      </c>
      <c r="G751" s="491">
        <f ca="1">IF(ISNUMBER('R4 Variations'!G751),+'R4 Variations'!G751*LU_Escalation,0)</f>
        <v>0</v>
      </c>
      <c r="H751" s="491">
        <f ca="1">IF(ISNUMBER('R4 Variations'!H751),+'R4 Variations'!H751*LU_Escalation,0)</f>
        <v>0</v>
      </c>
      <c r="I751" s="491">
        <f ca="1">IF(ISNUMBER('R4 Variations'!I751),+'R4 Variations'!I751*LU_Escalation,0)</f>
        <v>0</v>
      </c>
      <c r="J751" s="491">
        <f ca="1">IF(ISNUMBER('R4 Variations'!J751),+'R4 Variations'!J751*LU_Escalation,0)</f>
        <v>0</v>
      </c>
      <c r="K751" s="491">
        <f ca="1">IF(ISNUMBER('R4 Variations'!K751),+'R4 Variations'!K751*LU_Escalation,0)</f>
        <v>0</v>
      </c>
      <c r="L751" s="515" t="str">
        <f ca="1">+'R4 Variations'!L751</f>
        <v/>
      </c>
      <c r="M751" s="450" t="str">
        <f ca="1">+'R4 Variations'!M751</f>
        <v/>
      </c>
      <c r="N751" s="450" t="str">
        <f ca="1">+'R4 Variations'!N751</f>
        <v/>
      </c>
    </row>
    <row r="752" spans="1:14">
      <c r="A752" s="5"/>
      <c r="B752" s="249" t="str">
        <f ca="1">+'I-4 History'!B562</f>
        <v>A-38</v>
      </c>
      <c r="C752" s="14" t="str">
        <f ca="1">+'I-4 History'!C562</f>
        <v>Superannuation</v>
      </c>
      <c r="D752" s="491"/>
      <c r="E752" s="508"/>
      <c r="F752" s="491"/>
      <c r="G752" s="492"/>
      <c r="H752" s="492"/>
      <c r="I752" s="492"/>
      <c r="J752" s="492"/>
      <c r="K752" s="508"/>
      <c r="L752" s="515"/>
      <c r="M752" s="450"/>
      <c r="N752" s="450"/>
    </row>
    <row r="753" spans="1:14">
      <c r="A753" s="5"/>
      <c r="B753" s="249"/>
      <c r="C753" s="384" t="str">
        <f ca="1">+'R4 Variations'!C753</f>
        <v>Step Change for Superannuation</v>
      </c>
      <c r="D753" s="491">
        <f ca="1">IF(ISNUMBER('R4 Variations'!D753),+'R4 Variations'!D753*LU_Escalation,0)</f>
        <v>0</v>
      </c>
      <c r="E753" s="850">
        <f ca="1">IF(ISNUMBER('R4 Variations'!E753),+'R4 Variations'!E753*LU_Escalation,0)</f>
        <v>0</v>
      </c>
      <c r="F753" s="491">
        <f ca="1">IF(ISNUMBER('R4 Variations'!F753),+'R4 Variations'!F753*LU_Escalation,0)</f>
        <v>0</v>
      </c>
      <c r="G753" s="491">
        <f ca="1">IF(ISNUMBER('R4 Variations'!G753),+'R4 Variations'!G753*LU_Escalation,0)</f>
        <v>0</v>
      </c>
      <c r="H753" s="491">
        <f ca="1">IF(ISNUMBER('R4 Variations'!H753),+'R4 Variations'!H753*LU_Escalation,0)</f>
        <v>0</v>
      </c>
      <c r="I753" s="491">
        <f ca="1">IF(ISNUMBER('R4 Variations'!I753),+'R4 Variations'!I753*LU_Escalation,0)</f>
        <v>0</v>
      </c>
      <c r="J753" s="491">
        <f ca="1">IF(ISNUMBER('R4 Variations'!J753),+'R4 Variations'!J753*LU_Escalation,0)</f>
        <v>0</v>
      </c>
      <c r="K753" s="491">
        <f ca="1">IF(ISNUMBER('R4 Variations'!K753),+'R4 Variations'!K753*LU_Escalation,0)</f>
        <v>0</v>
      </c>
      <c r="L753" s="515" t="str">
        <f ca="1">+'R4 Variations'!L753</f>
        <v>Proposal Step Change</v>
      </c>
      <c r="M753" s="450" t="str">
        <f ca="1">+'R4 Variations'!M753</f>
        <v>Super Contribution Calculation-Forecast to 2020-Ver1.9.xlsx</v>
      </c>
      <c r="N753" s="450" t="str">
        <f ca="1">+'R4 Variations'!N753</f>
        <v>Proposal, October 2014</v>
      </c>
    </row>
    <row r="754" spans="1:14">
      <c r="A754" s="5"/>
      <c r="B754" s="249"/>
      <c r="C754" s="384" t="str">
        <f ca="1">+'R4 Variations'!C754</f>
        <v/>
      </c>
      <c r="D754" s="491">
        <f ca="1">IF(ISNUMBER('R4 Variations'!D754),+'R4 Variations'!D754*LU_Escalation,0)</f>
        <v>0</v>
      </c>
      <c r="E754" s="850">
        <f ca="1">IF(ISNUMBER('R4 Variations'!E754),+'R4 Variations'!E754*LU_Escalation,0)</f>
        <v>0</v>
      </c>
      <c r="F754" s="491">
        <f ca="1">IF(ISNUMBER('R4 Variations'!F754),+'R4 Variations'!F754*LU_Escalation,0)</f>
        <v>0</v>
      </c>
      <c r="G754" s="491">
        <f ca="1">IF(ISNUMBER('R4 Variations'!G754),+'R4 Variations'!G754*LU_Escalation,0)</f>
        <v>0</v>
      </c>
      <c r="H754" s="491">
        <f ca="1">IF(ISNUMBER('R4 Variations'!H754),+'R4 Variations'!H754*LU_Escalation,0)</f>
        <v>0</v>
      </c>
      <c r="I754" s="491">
        <f ca="1">IF(ISNUMBER('R4 Variations'!I754),+'R4 Variations'!I754*LU_Escalation,0)</f>
        <v>0</v>
      </c>
      <c r="J754" s="491">
        <f ca="1">IF(ISNUMBER('R4 Variations'!J754),+'R4 Variations'!J754*LU_Escalation,0)</f>
        <v>0</v>
      </c>
      <c r="K754" s="491">
        <f ca="1">IF(ISNUMBER('R4 Variations'!K754),+'R4 Variations'!K754*LU_Escalation,0)</f>
        <v>0</v>
      </c>
      <c r="L754" s="515" t="str">
        <f ca="1">+'R4 Variations'!L754</f>
        <v/>
      </c>
      <c r="M754" s="450" t="str">
        <f ca="1">+'R4 Variations'!M754</f>
        <v/>
      </c>
      <c r="N754" s="450" t="str">
        <f ca="1">+'R4 Variations'!N754</f>
        <v/>
      </c>
    </row>
    <row r="755" spans="1:14">
      <c r="A755" s="5"/>
      <c r="B755" s="249"/>
      <c r="C755" s="384" t="str">
        <f ca="1">+'R4 Variations'!C755</f>
        <v/>
      </c>
      <c r="D755" s="491">
        <f ca="1">IF(ISNUMBER('R4 Variations'!D755),+'R4 Variations'!D755*LU_Escalation,0)</f>
        <v>0</v>
      </c>
      <c r="E755" s="850">
        <f ca="1">IF(ISNUMBER('R4 Variations'!E755),+'R4 Variations'!E755*LU_Escalation,0)</f>
        <v>0</v>
      </c>
      <c r="F755" s="491">
        <f ca="1">IF(ISNUMBER('R4 Variations'!F755),+'R4 Variations'!F755*LU_Escalation,0)</f>
        <v>0</v>
      </c>
      <c r="G755" s="491">
        <f ca="1">IF(ISNUMBER('R4 Variations'!G755),+'R4 Variations'!G755*LU_Escalation,0)</f>
        <v>0</v>
      </c>
      <c r="H755" s="491">
        <f ca="1">IF(ISNUMBER('R4 Variations'!H755),+'R4 Variations'!H755*LU_Escalation,0)</f>
        <v>0</v>
      </c>
      <c r="I755" s="491">
        <f ca="1">IF(ISNUMBER('R4 Variations'!I755),+'R4 Variations'!I755*LU_Escalation,0)</f>
        <v>0</v>
      </c>
      <c r="J755" s="491">
        <f ca="1">IF(ISNUMBER('R4 Variations'!J755),+'R4 Variations'!J755*LU_Escalation,0)</f>
        <v>0</v>
      </c>
      <c r="K755" s="491">
        <f ca="1">IF(ISNUMBER('R4 Variations'!K755),+'R4 Variations'!K755*LU_Escalation,0)</f>
        <v>0</v>
      </c>
      <c r="L755" s="515" t="str">
        <f ca="1">+'R4 Variations'!L755</f>
        <v/>
      </c>
      <c r="M755" s="450" t="str">
        <f ca="1">+'R4 Variations'!M755</f>
        <v/>
      </c>
      <c r="N755" s="450" t="str">
        <f ca="1">+'R4 Variations'!N755</f>
        <v/>
      </c>
    </row>
    <row r="756" spans="1:14">
      <c r="A756" s="5"/>
      <c r="B756" s="249"/>
      <c r="C756" s="384" t="str">
        <f ca="1">+'R4 Variations'!C756</f>
        <v/>
      </c>
      <c r="D756" s="491">
        <f ca="1">IF(ISNUMBER('R4 Variations'!D756),+'R4 Variations'!D756*LU_Escalation,0)</f>
        <v>0</v>
      </c>
      <c r="E756" s="850">
        <f ca="1">IF(ISNUMBER('R4 Variations'!E756),+'R4 Variations'!E756*LU_Escalation,0)</f>
        <v>0</v>
      </c>
      <c r="F756" s="491">
        <f ca="1">IF(ISNUMBER('R4 Variations'!F756),+'R4 Variations'!F756*LU_Escalation,0)</f>
        <v>0</v>
      </c>
      <c r="G756" s="491">
        <f ca="1">IF(ISNUMBER('R4 Variations'!G756),+'R4 Variations'!G756*LU_Escalation,0)</f>
        <v>0</v>
      </c>
      <c r="H756" s="491">
        <f ca="1">IF(ISNUMBER('R4 Variations'!H756),+'R4 Variations'!H756*LU_Escalation,0)</f>
        <v>0</v>
      </c>
      <c r="I756" s="491">
        <f ca="1">IF(ISNUMBER('R4 Variations'!I756),+'R4 Variations'!I756*LU_Escalation,0)</f>
        <v>0</v>
      </c>
      <c r="J756" s="491">
        <f ca="1">IF(ISNUMBER('R4 Variations'!J756),+'R4 Variations'!J756*LU_Escalation,0)</f>
        <v>0</v>
      </c>
      <c r="K756" s="491">
        <f ca="1">IF(ISNUMBER('R4 Variations'!K756),+'R4 Variations'!K756*LU_Escalation,0)</f>
        <v>0</v>
      </c>
      <c r="L756" s="515" t="str">
        <f ca="1">+'R4 Variations'!L756</f>
        <v/>
      </c>
      <c r="M756" s="450" t="str">
        <f ca="1">+'R4 Variations'!M756</f>
        <v/>
      </c>
      <c r="N756" s="450" t="str">
        <f ca="1">+'R4 Variations'!N756</f>
        <v/>
      </c>
    </row>
    <row r="757" spans="1:14">
      <c r="A757" s="5"/>
      <c r="B757" s="249"/>
      <c r="C757" s="384" t="str">
        <f ca="1">+'R4 Variations'!C757</f>
        <v/>
      </c>
      <c r="D757" s="491">
        <f ca="1">IF(ISNUMBER('R4 Variations'!D757),+'R4 Variations'!D757*LU_Escalation,0)</f>
        <v>0</v>
      </c>
      <c r="E757" s="850">
        <f ca="1">IF(ISNUMBER('R4 Variations'!E757),+'R4 Variations'!E757*LU_Escalation,0)</f>
        <v>0</v>
      </c>
      <c r="F757" s="491">
        <f ca="1">IF(ISNUMBER('R4 Variations'!F757),+'R4 Variations'!F757*LU_Escalation,0)</f>
        <v>0</v>
      </c>
      <c r="G757" s="491">
        <f ca="1">IF(ISNUMBER('R4 Variations'!G757),+'R4 Variations'!G757*LU_Escalation,0)</f>
        <v>0</v>
      </c>
      <c r="H757" s="491">
        <f ca="1">IF(ISNUMBER('R4 Variations'!H757),+'R4 Variations'!H757*LU_Escalation,0)</f>
        <v>0</v>
      </c>
      <c r="I757" s="491">
        <f ca="1">IF(ISNUMBER('R4 Variations'!I757),+'R4 Variations'!I757*LU_Escalation,0)</f>
        <v>0</v>
      </c>
      <c r="J757" s="491">
        <f ca="1">IF(ISNUMBER('R4 Variations'!J757),+'R4 Variations'!J757*LU_Escalation,0)</f>
        <v>0</v>
      </c>
      <c r="K757" s="491">
        <f ca="1">IF(ISNUMBER('R4 Variations'!K757),+'R4 Variations'!K757*LU_Escalation,0)</f>
        <v>0</v>
      </c>
      <c r="L757" s="515" t="str">
        <f ca="1">+'R4 Variations'!L757</f>
        <v/>
      </c>
      <c r="M757" s="450" t="str">
        <f ca="1">+'R4 Variations'!M757</f>
        <v/>
      </c>
      <c r="N757" s="450" t="str">
        <f ca="1">+'R4 Variations'!N757</f>
        <v/>
      </c>
    </row>
    <row r="758" spans="1:14">
      <c r="B758" s="249"/>
      <c r="C758" s="384" t="str">
        <f ca="1">+'R4 Variations'!C758</f>
        <v/>
      </c>
      <c r="D758" s="491">
        <f ca="1">IF(ISNUMBER('R4 Variations'!D758),+'R4 Variations'!D758*LU_Escalation,0)</f>
        <v>0</v>
      </c>
      <c r="E758" s="850">
        <f ca="1">IF(ISNUMBER('R4 Variations'!E758),+'R4 Variations'!E758*LU_Escalation,0)</f>
        <v>0</v>
      </c>
      <c r="F758" s="491">
        <f ca="1">IF(ISNUMBER('R4 Variations'!F758),+'R4 Variations'!F758*LU_Escalation,0)</f>
        <v>0</v>
      </c>
      <c r="G758" s="491">
        <f ca="1">IF(ISNUMBER('R4 Variations'!G758),+'R4 Variations'!G758*LU_Escalation,0)</f>
        <v>0</v>
      </c>
      <c r="H758" s="491">
        <f ca="1">IF(ISNUMBER('R4 Variations'!H758),+'R4 Variations'!H758*LU_Escalation,0)</f>
        <v>0</v>
      </c>
      <c r="I758" s="491">
        <f ca="1">IF(ISNUMBER('R4 Variations'!I758),+'R4 Variations'!I758*LU_Escalation,0)</f>
        <v>0</v>
      </c>
      <c r="J758" s="491">
        <f ca="1">IF(ISNUMBER('R4 Variations'!J758),+'R4 Variations'!J758*LU_Escalation,0)</f>
        <v>0</v>
      </c>
      <c r="K758" s="491">
        <f ca="1">IF(ISNUMBER('R4 Variations'!K758),+'R4 Variations'!K758*LU_Escalation,0)</f>
        <v>0</v>
      </c>
      <c r="L758" s="515" t="str">
        <f ca="1">+'R4 Variations'!L758</f>
        <v/>
      </c>
      <c r="M758" s="450" t="str">
        <f ca="1">+'R4 Variations'!M758</f>
        <v/>
      </c>
      <c r="N758" s="450" t="str">
        <f ca="1">+'R4 Variations'!N758</f>
        <v/>
      </c>
    </row>
    <row r="759" spans="1:14">
      <c r="B759" s="249"/>
      <c r="C759" s="384" t="str">
        <f ca="1">+'R4 Variations'!C759</f>
        <v/>
      </c>
      <c r="D759" s="491">
        <f ca="1">IF(ISNUMBER('R4 Variations'!D759),+'R4 Variations'!D759*LU_Escalation,0)</f>
        <v>0</v>
      </c>
      <c r="E759" s="850">
        <f ca="1">IF(ISNUMBER('R4 Variations'!E759),+'R4 Variations'!E759*LU_Escalation,0)</f>
        <v>0</v>
      </c>
      <c r="F759" s="491">
        <f ca="1">IF(ISNUMBER('R4 Variations'!F759),+'R4 Variations'!F759*LU_Escalation,0)</f>
        <v>0</v>
      </c>
      <c r="G759" s="491">
        <f ca="1">IF(ISNUMBER('R4 Variations'!G759),+'R4 Variations'!G759*LU_Escalation,0)</f>
        <v>0</v>
      </c>
      <c r="H759" s="491">
        <f ca="1">IF(ISNUMBER('R4 Variations'!H759),+'R4 Variations'!H759*LU_Escalation,0)</f>
        <v>0</v>
      </c>
      <c r="I759" s="491">
        <f ca="1">IF(ISNUMBER('R4 Variations'!I759),+'R4 Variations'!I759*LU_Escalation,0)</f>
        <v>0</v>
      </c>
      <c r="J759" s="491">
        <f ca="1">IF(ISNUMBER('R4 Variations'!J759),+'R4 Variations'!J759*LU_Escalation,0)</f>
        <v>0</v>
      </c>
      <c r="K759" s="491">
        <f ca="1">IF(ISNUMBER('R4 Variations'!K759),+'R4 Variations'!K759*LU_Escalation,0)</f>
        <v>0</v>
      </c>
      <c r="L759" s="515" t="str">
        <f ca="1">+'R4 Variations'!L759</f>
        <v/>
      </c>
      <c r="M759" s="450" t="str">
        <f ca="1">+'R4 Variations'!M759</f>
        <v/>
      </c>
      <c r="N759" s="450" t="str">
        <f ca="1">+'R4 Variations'!N759</f>
        <v/>
      </c>
    </row>
    <row r="760" spans="1:14">
      <c r="B760" s="249"/>
      <c r="C760" s="384" t="str">
        <f ca="1">+'R4 Variations'!C760</f>
        <v/>
      </c>
      <c r="D760" s="491">
        <f ca="1">IF(ISNUMBER('R4 Variations'!D760),+'R4 Variations'!D760*LU_Escalation,0)</f>
        <v>0</v>
      </c>
      <c r="E760" s="850">
        <f ca="1">IF(ISNUMBER('R4 Variations'!E760),+'R4 Variations'!E760*LU_Escalation,0)</f>
        <v>0</v>
      </c>
      <c r="F760" s="491">
        <f ca="1">IF(ISNUMBER('R4 Variations'!F760),+'R4 Variations'!F760*LU_Escalation,0)</f>
        <v>0</v>
      </c>
      <c r="G760" s="491">
        <f ca="1">IF(ISNUMBER('R4 Variations'!G760),+'R4 Variations'!G760*LU_Escalation,0)</f>
        <v>0</v>
      </c>
      <c r="H760" s="491">
        <f ca="1">IF(ISNUMBER('R4 Variations'!H760),+'R4 Variations'!H760*LU_Escalation,0)</f>
        <v>0</v>
      </c>
      <c r="I760" s="491">
        <f ca="1">IF(ISNUMBER('R4 Variations'!I760),+'R4 Variations'!I760*LU_Escalation,0)</f>
        <v>0</v>
      </c>
      <c r="J760" s="491">
        <f ca="1">IF(ISNUMBER('R4 Variations'!J760),+'R4 Variations'!J760*LU_Escalation,0)</f>
        <v>0</v>
      </c>
      <c r="K760" s="491">
        <f ca="1">IF(ISNUMBER('R4 Variations'!K760),+'R4 Variations'!K760*LU_Escalation,0)</f>
        <v>0</v>
      </c>
      <c r="L760" s="515" t="str">
        <f ca="1">+'R4 Variations'!L760</f>
        <v/>
      </c>
      <c r="M760" s="450" t="str">
        <f ca="1">+'R4 Variations'!M760</f>
        <v/>
      </c>
      <c r="N760" s="450" t="str">
        <f ca="1">+'R4 Variations'!N760</f>
        <v/>
      </c>
    </row>
    <row r="761" spans="1:14">
      <c r="B761" s="249"/>
      <c r="C761" s="384" t="str">
        <f ca="1">+'R4 Variations'!C761</f>
        <v/>
      </c>
      <c r="D761" s="491">
        <f ca="1">IF(ISNUMBER('R4 Variations'!D761),+'R4 Variations'!D761*LU_Escalation,0)</f>
        <v>0</v>
      </c>
      <c r="E761" s="850">
        <f ca="1">IF(ISNUMBER('R4 Variations'!E761),+'R4 Variations'!E761*LU_Escalation,0)</f>
        <v>0</v>
      </c>
      <c r="F761" s="491">
        <f ca="1">IF(ISNUMBER('R4 Variations'!F761),+'R4 Variations'!F761*LU_Escalation,0)</f>
        <v>0</v>
      </c>
      <c r="G761" s="491">
        <f ca="1">IF(ISNUMBER('R4 Variations'!G761),+'R4 Variations'!G761*LU_Escalation,0)</f>
        <v>0</v>
      </c>
      <c r="H761" s="491">
        <f ca="1">IF(ISNUMBER('R4 Variations'!H761),+'R4 Variations'!H761*LU_Escalation,0)</f>
        <v>0</v>
      </c>
      <c r="I761" s="491">
        <f ca="1">IF(ISNUMBER('R4 Variations'!I761),+'R4 Variations'!I761*LU_Escalation,0)</f>
        <v>0</v>
      </c>
      <c r="J761" s="491">
        <f ca="1">IF(ISNUMBER('R4 Variations'!J761),+'R4 Variations'!J761*LU_Escalation,0)</f>
        <v>0</v>
      </c>
      <c r="K761" s="491">
        <f ca="1">IF(ISNUMBER('R4 Variations'!K761),+'R4 Variations'!K761*LU_Escalation,0)</f>
        <v>0</v>
      </c>
      <c r="L761" s="515" t="str">
        <f ca="1">+'R4 Variations'!L761</f>
        <v/>
      </c>
      <c r="M761" s="450" t="str">
        <f ca="1">+'R4 Variations'!M761</f>
        <v/>
      </c>
      <c r="N761" s="450" t="str">
        <f ca="1">+'R4 Variations'!N761</f>
        <v/>
      </c>
    </row>
    <row r="762" spans="1:14">
      <c r="B762" s="249"/>
      <c r="C762" s="384" t="str">
        <f ca="1">+'R4 Variations'!C762</f>
        <v/>
      </c>
      <c r="D762" s="491">
        <f ca="1">IF(ISNUMBER('R4 Variations'!D762),+'R4 Variations'!D762*LU_Escalation,0)</f>
        <v>0</v>
      </c>
      <c r="E762" s="850">
        <f ca="1">IF(ISNUMBER('R4 Variations'!E762),+'R4 Variations'!E762*LU_Escalation,0)</f>
        <v>0</v>
      </c>
      <c r="F762" s="491">
        <f ca="1">IF(ISNUMBER('R4 Variations'!F762),+'R4 Variations'!F762*LU_Escalation,0)</f>
        <v>0</v>
      </c>
      <c r="G762" s="491">
        <f ca="1">IF(ISNUMBER('R4 Variations'!G762),+'R4 Variations'!G762*LU_Escalation,0)</f>
        <v>0</v>
      </c>
      <c r="H762" s="491">
        <f ca="1">IF(ISNUMBER('R4 Variations'!H762),+'R4 Variations'!H762*LU_Escalation,0)</f>
        <v>0</v>
      </c>
      <c r="I762" s="491">
        <f ca="1">IF(ISNUMBER('R4 Variations'!I762),+'R4 Variations'!I762*LU_Escalation,0)</f>
        <v>0</v>
      </c>
      <c r="J762" s="491">
        <f ca="1">IF(ISNUMBER('R4 Variations'!J762),+'R4 Variations'!J762*LU_Escalation,0)</f>
        <v>0</v>
      </c>
      <c r="K762" s="491">
        <f ca="1">IF(ISNUMBER('R4 Variations'!K762),+'R4 Variations'!K762*LU_Escalation,0)</f>
        <v>0</v>
      </c>
      <c r="L762" s="515" t="str">
        <f ca="1">+'R4 Variations'!L762</f>
        <v/>
      </c>
      <c r="M762" s="450" t="str">
        <f ca="1">+'R4 Variations'!M762</f>
        <v/>
      </c>
      <c r="N762" s="450" t="str">
        <f ca="1">+'R4 Variations'!N762</f>
        <v/>
      </c>
    </row>
    <row r="763" spans="1:14">
      <c r="A763" s="5"/>
      <c r="B763" s="249" t="str">
        <f ca="1">+'I-4 History'!B571</f>
        <v>A-39</v>
      </c>
      <c r="C763" s="14" t="str">
        <f ca="1">+'I-4 History'!C571</f>
        <v>Self Insurance</v>
      </c>
      <c r="D763" s="491"/>
      <c r="E763" s="508"/>
      <c r="F763" s="491"/>
      <c r="G763" s="492"/>
      <c r="H763" s="492"/>
      <c r="I763" s="492"/>
      <c r="J763" s="492"/>
      <c r="K763" s="508"/>
      <c r="L763" s="515"/>
      <c r="M763" s="450"/>
      <c r="N763" s="450"/>
    </row>
    <row r="764" spans="1:14">
      <c r="A764" s="5"/>
      <c r="B764" s="249"/>
      <c r="C764" s="384" t="str">
        <f ca="1">+'R4 Variations'!C764</f>
        <v>Step Change</v>
      </c>
      <c r="D764" s="491">
        <f ca="1">IF(ISNUMBER('R4 Variations'!D764),+'R4 Variations'!D764*LU_Escalation,0)</f>
        <v>0</v>
      </c>
      <c r="E764" s="850">
        <f ca="1">IF(ISNUMBER('R4 Variations'!E764),+'R4 Variations'!E764*LU_Escalation,0)</f>
        <v>0</v>
      </c>
      <c r="F764" s="491">
        <f ca="1">IF(ISNUMBER('R4 Variations'!F764),+'R4 Variations'!F764*LU_Escalation,0)</f>
        <v>0</v>
      </c>
      <c r="G764" s="491">
        <f ca="1">IF(ISNUMBER('R4 Variations'!G764),+'R4 Variations'!G764*LU_Escalation,0)</f>
        <v>0</v>
      </c>
      <c r="H764" s="491">
        <f ca="1">IF(ISNUMBER('R4 Variations'!H764),+'R4 Variations'!H764*LU_Escalation,0)</f>
        <v>0</v>
      </c>
      <c r="I764" s="491">
        <f ca="1">IF(ISNUMBER('R4 Variations'!I764),+'R4 Variations'!I764*LU_Escalation,0)</f>
        <v>0</v>
      </c>
      <c r="J764" s="491">
        <f ca="1">IF(ISNUMBER('R4 Variations'!J764),+'R4 Variations'!J764*LU_Escalation,0)</f>
        <v>0</v>
      </c>
      <c r="K764" s="491">
        <f ca="1">IF(ISNUMBER('R4 Variations'!K764),+'R4 Variations'!K764*LU_Escalation,0)</f>
        <v>0</v>
      </c>
      <c r="L764" s="515" t="str">
        <f ca="1">+'R4 Variations'!L764</f>
        <v>Proposal Step Change</v>
      </c>
      <c r="M764" s="450" t="str">
        <f ca="1">+'R4 Variations'!M764</f>
        <v>Refer Opex Workings</v>
      </c>
      <c r="N764" s="450" t="str">
        <f ca="1">+'R4 Variations'!N764</f>
        <v>Proposal, October 2014</v>
      </c>
    </row>
    <row r="765" spans="1:14">
      <c r="A765" s="5"/>
      <c r="B765" s="249"/>
      <c r="C765" s="384" t="str">
        <f ca="1">+'R4 Variations'!C765</f>
        <v/>
      </c>
      <c r="D765" s="491">
        <f ca="1">IF(ISNUMBER('R4 Variations'!D765),+'R4 Variations'!D765*LU_Escalation,0)</f>
        <v>0</v>
      </c>
      <c r="E765" s="850">
        <f ca="1">IF(ISNUMBER('R4 Variations'!E765),+'R4 Variations'!E765*LU_Escalation,0)</f>
        <v>0</v>
      </c>
      <c r="F765" s="491">
        <f ca="1">IF(ISNUMBER('R4 Variations'!F765),+'R4 Variations'!F765*LU_Escalation,0)</f>
        <v>0</v>
      </c>
      <c r="G765" s="491">
        <f ca="1">IF(ISNUMBER('R4 Variations'!G765),+'R4 Variations'!G765*LU_Escalation,0)</f>
        <v>0</v>
      </c>
      <c r="H765" s="491">
        <f ca="1">IF(ISNUMBER('R4 Variations'!H765),+'R4 Variations'!H765*LU_Escalation,0)</f>
        <v>0</v>
      </c>
      <c r="I765" s="491">
        <f ca="1">IF(ISNUMBER('R4 Variations'!I765),+'R4 Variations'!I765*LU_Escalation,0)</f>
        <v>0</v>
      </c>
      <c r="J765" s="491">
        <f ca="1">IF(ISNUMBER('R4 Variations'!J765),+'R4 Variations'!J765*LU_Escalation,0)</f>
        <v>0</v>
      </c>
      <c r="K765" s="491">
        <f ca="1">IF(ISNUMBER('R4 Variations'!K765),+'R4 Variations'!K765*LU_Escalation,0)</f>
        <v>0</v>
      </c>
      <c r="L765" s="515" t="str">
        <f ca="1">+'R4 Variations'!L765</f>
        <v/>
      </c>
      <c r="M765" s="450" t="str">
        <f ca="1">+'R4 Variations'!M765</f>
        <v/>
      </c>
      <c r="N765" s="450" t="str">
        <f ca="1">+'R4 Variations'!N765</f>
        <v/>
      </c>
    </row>
    <row r="766" spans="1:14">
      <c r="A766" s="5"/>
      <c r="B766" s="249"/>
      <c r="C766" s="384" t="str">
        <f ca="1">+'R4 Variations'!C766</f>
        <v/>
      </c>
      <c r="D766" s="491">
        <f ca="1">IF(ISNUMBER('R4 Variations'!D766),+'R4 Variations'!D766*LU_Escalation,0)</f>
        <v>0</v>
      </c>
      <c r="E766" s="850">
        <f ca="1">IF(ISNUMBER('R4 Variations'!E766),+'R4 Variations'!E766*LU_Escalation,0)</f>
        <v>0</v>
      </c>
      <c r="F766" s="491">
        <f ca="1">IF(ISNUMBER('R4 Variations'!F766),+'R4 Variations'!F766*LU_Escalation,0)</f>
        <v>0</v>
      </c>
      <c r="G766" s="491">
        <f ca="1">IF(ISNUMBER('R4 Variations'!G766),+'R4 Variations'!G766*LU_Escalation,0)</f>
        <v>0</v>
      </c>
      <c r="H766" s="491">
        <f ca="1">IF(ISNUMBER('R4 Variations'!H766),+'R4 Variations'!H766*LU_Escalation,0)</f>
        <v>0</v>
      </c>
      <c r="I766" s="491">
        <f ca="1">IF(ISNUMBER('R4 Variations'!I766),+'R4 Variations'!I766*LU_Escalation,0)</f>
        <v>0</v>
      </c>
      <c r="J766" s="491">
        <f ca="1">IF(ISNUMBER('R4 Variations'!J766),+'R4 Variations'!J766*LU_Escalation,0)</f>
        <v>0</v>
      </c>
      <c r="K766" s="491">
        <f ca="1">IF(ISNUMBER('R4 Variations'!K766),+'R4 Variations'!K766*LU_Escalation,0)</f>
        <v>0</v>
      </c>
      <c r="L766" s="515" t="str">
        <f ca="1">+'R4 Variations'!L766</f>
        <v/>
      </c>
      <c r="M766" s="450" t="str">
        <f ca="1">+'R4 Variations'!M766</f>
        <v/>
      </c>
      <c r="N766" s="450" t="str">
        <f ca="1">+'R4 Variations'!N766</f>
        <v/>
      </c>
    </row>
    <row r="767" spans="1:14">
      <c r="A767" s="5"/>
      <c r="B767" s="249"/>
      <c r="C767" s="384" t="str">
        <f ca="1">+'R4 Variations'!C767</f>
        <v/>
      </c>
      <c r="D767" s="491">
        <f ca="1">IF(ISNUMBER('R4 Variations'!D767),+'R4 Variations'!D767*LU_Escalation,0)</f>
        <v>0</v>
      </c>
      <c r="E767" s="850">
        <f ca="1">IF(ISNUMBER('R4 Variations'!E767),+'R4 Variations'!E767*LU_Escalation,0)</f>
        <v>0</v>
      </c>
      <c r="F767" s="491">
        <f ca="1">IF(ISNUMBER('R4 Variations'!F767),+'R4 Variations'!F767*LU_Escalation,0)</f>
        <v>0</v>
      </c>
      <c r="G767" s="491">
        <f ca="1">IF(ISNUMBER('R4 Variations'!G767),+'R4 Variations'!G767*LU_Escalation,0)</f>
        <v>0</v>
      </c>
      <c r="H767" s="491">
        <f ca="1">IF(ISNUMBER('R4 Variations'!H767),+'R4 Variations'!H767*LU_Escalation,0)</f>
        <v>0</v>
      </c>
      <c r="I767" s="491">
        <f ca="1">IF(ISNUMBER('R4 Variations'!I767),+'R4 Variations'!I767*LU_Escalation,0)</f>
        <v>0</v>
      </c>
      <c r="J767" s="491">
        <f ca="1">IF(ISNUMBER('R4 Variations'!J767),+'R4 Variations'!J767*LU_Escalation,0)</f>
        <v>0</v>
      </c>
      <c r="K767" s="491">
        <f ca="1">IF(ISNUMBER('R4 Variations'!K767),+'R4 Variations'!K767*LU_Escalation,0)</f>
        <v>0</v>
      </c>
      <c r="L767" s="515" t="str">
        <f ca="1">+'R4 Variations'!L767</f>
        <v/>
      </c>
      <c r="M767" s="450" t="str">
        <f ca="1">+'R4 Variations'!M767</f>
        <v/>
      </c>
      <c r="N767" s="450" t="str">
        <f ca="1">+'R4 Variations'!N767</f>
        <v/>
      </c>
    </row>
    <row r="768" spans="1:14">
      <c r="A768" s="5"/>
      <c r="B768" s="249"/>
      <c r="C768" s="384" t="str">
        <f ca="1">+'R4 Variations'!C768</f>
        <v/>
      </c>
      <c r="D768" s="491">
        <f ca="1">IF(ISNUMBER('R4 Variations'!D768),+'R4 Variations'!D768*LU_Escalation,0)</f>
        <v>0</v>
      </c>
      <c r="E768" s="850">
        <f ca="1">IF(ISNUMBER('R4 Variations'!E768),+'R4 Variations'!E768*LU_Escalation,0)</f>
        <v>0</v>
      </c>
      <c r="F768" s="491">
        <f ca="1">IF(ISNUMBER('R4 Variations'!F768),+'R4 Variations'!F768*LU_Escalation,0)</f>
        <v>0</v>
      </c>
      <c r="G768" s="491">
        <f ca="1">IF(ISNUMBER('R4 Variations'!G768),+'R4 Variations'!G768*LU_Escalation,0)</f>
        <v>0</v>
      </c>
      <c r="H768" s="491">
        <f ca="1">IF(ISNUMBER('R4 Variations'!H768),+'R4 Variations'!H768*LU_Escalation,0)</f>
        <v>0</v>
      </c>
      <c r="I768" s="491">
        <f ca="1">IF(ISNUMBER('R4 Variations'!I768),+'R4 Variations'!I768*LU_Escalation,0)</f>
        <v>0</v>
      </c>
      <c r="J768" s="491">
        <f ca="1">IF(ISNUMBER('R4 Variations'!J768),+'R4 Variations'!J768*LU_Escalation,0)</f>
        <v>0</v>
      </c>
      <c r="K768" s="491">
        <f ca="1">IF(ISNUMBER('R4 Variations'!K768),+'R4 Variations'!K768*LU_Escalation,0)</f>
        <v>0</v>
      </c>
      <c r="L768" s="515" t="str">
        <f ca="1">+'R4 Variations'!L768</f>
        <v/>
      </c>
      <c r="M768" s="450" t="str">
        <f ca="1">+'R4 Variations'!M768</f>
        <v/>
      </c>
      <c r="N768" s="450" t="str">
        <f ca="1">+'R4 Variations'!N768</f>
        <v/>
      </c>
    </row>
    <row r="769" spans="1:14">
      <c r="B769" s="249"/>
      <c r="C769" s="384" t="str">
        <f ca="1">+'R4 Variations'!C769</f>
        <v/>
      </c>
      <c r="D769" s="491">
        <f ca="1">IF(ISNUMBER('R4 Variations'!D769),+'R4 Variations'!D769*LU_Escalation,0)</f>
        <v>0</v>
      </c>
      <c r="E769" s="850">
        <f ca="1">IF(ISNUMBER('R4 Variations'!E769),+'R4 Variations'!E769*LU_Escalation,0)</f>
        <v>0</v>
      </c>
      <c r="F769" s="491">
        <f ca="1">IF(ISNUMBER('R4 Variations'!F769),+'R4 Variations'!F769*LU_Escalation,0)</f>
        <v>0</v>
      </c>
      <c r="G769" s="491">
        <f ca="1">IF(ISNUMBER('R4 Variations'!G769),+'R4 Variations'!G769*LU_Escalation,0)</f>
        <v>0</v>
      </c>
      <c r="H769" s="491">
        <f ca="1">IF(ISNUMBER('R4 Variations'!H769),+'R4 Variations'!H769*LU_Escalation,0)</f>
        <v>0</v>
      </c>
      <c r="I769" s="491">
        <f ca="1">IF(ISNUMBER('R4 Variations'!I769),+'R4 Variations'!I769*LU_Escalation,0)</f>
        <v>0</v>
      </c>
      <c r="J769" s="491">
        <f ca="1">IF(ISNUMBER('R4 Variations'!J769),+'R4 Variations'!J769*LU_Escalation,0)</f>
        <v>0</v>
      </c>
      <c r="K769" s="491">
        <f ca="1">IF(ISNUMBER('R4 Variations'!K769),+'R4 Variations'!K769*LU_Escalation,0)</f>
        <v>0</v>
      </c>
      <c r="L769" s="515" t="str">
        <f ca="1">+'R4 Variations'!L769</f>
        <v/>
      </c>
      <c r="M769" s="450" t="str">
        <f ca="1">+'R4 Variations'!M769</f>
        <v/>
      </c>
      <c r="N769" s="450" t="str">
        <f ca="1">+'R4 Variations'!N769</f>
        <v/>
      </c>
    </row>
    <row r="770" spans="1:14">
      <c r="B770" s="249"/>
      <c r="C770" s="384" t="str">
        <f ca="1">+'R4 Variations'!C770</f>
        <v/>
      </c>
      <c r="D770" s="491">
        <f ca="1">IF(ISNUMBER('R4 Variations'!D770),+'R4 Variations'!D770*LU_Escalation,0)</f>
        <v>0</v>
      </c>
      <c r="E770" s="850">
        <f ca="1">IF(ISNUMBER('R4 Variations'!E770),+'R4 Variations'!E770*LU_Escalation,0)</f>
        <v>0</v>
      </c>
      <c r="F770" s="491">
        <f ca="1">IF(ISNUMBER('R4 Variations'!F770),+'R4 Variations'!F770*LU_Escalation,0)</f>
        <v>0</v>
      </c>
      <c r="G770" s="491">
        <f ca="1">IF(ISNUMBER('R4 Variations'!G770),+'R4 Variations'!G770*LU_Escalation,0)</f>
        <v>0</v>
      </c>
      <c r="H770" s="491">
        <f ca="1">IF(ISNUMBER('R4 Variations'!H770),+'R4 Variations'!H770*LU_Escalation,0)</f>
        <v>0</v>
      </c>
      <c r="I770" s="491">
        <f ca="1">IF(ISNUMBER('R4 Variations'!I770),+'R4 Variations'!I770*LU_Escalation,0)</f>
        <v>0</v>
      </c>
      <c r="J770" s="491">
        <f ca="1">IF(ISNUMBER('R4 Variations'!J770),+'R4 Variations'!J770*LU_Escalation,0)</f>
        <v>0</v>
      </c>
      <c r="K770" s="491">
        <f ca="1">IF(ISNUMBER('R4 Variations'!K770),+'R4 Variations'!K770*LU_Escalation,0)</f>
        <v>0</v>
      </c>
      <c r="L770" s="515" t="str">
        <f ca="1">+'R4 Variations'!L770</f>
        <v/>
      </c>
      <c r="M770" s="450" t="str">
        <f ca="1">+'R4 Variations'!M770</f>
        <v/>
      </c>
      <c r="N770" s="450" t="str">
        <f ca="1">+'R4 Variations'!N770</f>
        <v/>
      </c>
    </row>
    <row r="771" spans="1:14">
      <c r="B771" s="249"/>
      <c r="C771" s="384" t="str">
        <f ca="1">+'R4 Variations'!C771</f>
        <v/>
      </c>
      <c r="D771" s="491">
        <f ca="1">IF(ISNUMBER('R4 Variations'!D771),+'R4 Variations'!D771*LU_Escalation,0)</f>
        <v>0</v>
      </c>
      <c r="E771" s="850">
        <f ca="1">IF(ISNUMBER('R4 Variations'!E771),+'R4 Variations'!E771*LU_Escalation,0)</f>
        <v>0</v>
      </c>
      <c r="F771" s="491">
        <f ca="1">IF(ISNUMBER('R4 Variations'!F771),+'R4 Variations'!F771*LU_Escalation,0)</f>
        <v>0</v>
      </c>
      <c r="G771" s="491">
        <f ca="1">IF(ISNUMBER('R4 Variations'!G771),+'R4 Variations'!G771*LU_Escalation,0)</f>
        <v>0</v>
      </c>
      <c r="H771" s="491">
        <f ca="1">IF(ISNUMBER('R4 Variations'!H771),+'R4 Variations'!H771*LU_Escalation,0)</f>
        <v>0</v>
      </c>
      <c r="I771" s="491">
        <f ca="1">IF(ISNUMBER('R4 Variations'!I771),+'R4 Variations'!I771*LU_Escalation,0)</f>
        <v>0</v>
      </c>
      <c r="J771" s="491">
        <f ca="1">IF(ISNUMBER('R4 Variations'!J771),+'R4 Variations'!J771*LU_Escalation,0)</f>
        <v>0</v>
      </c>
      <c r="K771" s="491">
        <f ca="1">IF(ISNUMBER('R4 Variations'!K771),+'R4 Variations'!K771*LU_Escalation,0)</f>
        <v>0</v>
      </c>
      <c r="L771" s="515" t="str">
        <f ca="1">+'R4 Variations'!L771</f>
        <v/>
      </c>
      <c r="M771" s="450" t="str">
        <f ca="1">+'R4 Variations'!M771</f>
        <v/>
      </c>
      <c r="N771" s="450" t="str">
        <f ca="1">+'R4 Variations'!N771</f>
        <v/>
      </c>
    </row>
    <row r="772" spans="1:14">
      <c r="B772" s="249"/>
      <c r="C772" s="384" t="str">
        <f ca="1">+'R4 Variations'!C772</f>
        <v/>
      </c>
      <c r="D772" s="491">
        <f ca="1">IF(ISNUMBER('R4 Variations'!D772),+'R4 Variations'!D772*LU_Escalation,0)</f>
        <v>0</v>
      </c>
      <c r="E772" s="850">
        <f ca="1">IF(ISNUMBER('R4 Variations'!E772),+'R4 Variations'!E772*LU_Escalation,0)</f>
        <v>0</v>
      </c>
      <c r="F772" s="491">
        <f ca="1">IF(ISNUMBER('R4 Variations'!F772),+'R4 Variations'!F772*LU_Escalation,0)</f>
        <v>0</v>
      </c>
      <c r="G772" s="491">
        <f ca="1">IF(ISNUMBER('R4 Variations'!G772),+'R4 Variations'!G772*LU_Escalation,0)</f>
        <v>0</v>
      </c>
      <c r="H772" s="491">
        <f ca="1">IF(ISNUMBER('R4 Variations'!H772),+'R4 Variations'!H772*LU_Escalation,0)</f>
        <v>0</v>
      </c>
      <c r="I772" s="491">
        <f ca="1">IF(ISNUMBER('R4 Variations'!I772),+'R4 Variations'!I772*LU_Escalation,0)</f>
        <v>0</v>
      </c>
      <c r="J772" s="491">
        <f ca="1">IF(ISNUMBER('R4 Variations'!J772),+'R4 Variations'!J772*LU_Escalation,0)</f>
        <v>0</v>
      </c>
      <c r="K772" s="491">
        <f ca="1">IF(ISNUMBER('R4 Variations'!K772),+'R4 Variations'!K772*LU_Escalation,0)</f>
        <v>0</v>
      </c>
      <c r="L772" s="515" t="str">
        <f ca="1">+'R4 Variations'!L772</f>
        <v/>
      </c>
      <c r="M772" s="450" t="str">
        <f ca="1">+'R4 Variations'!M772</f>
        <v/>
      </c>
      <c r="N772" s="450" t="str">
        <f ca="1">+'R4 Variations'!N772</f>
        <v/>
      </c>
    </row>
    <row r="773" spans="1:14">
      <c r="B773" s="249"/>
      <c r="C773" s="384" t="str">
        <f ca="1">+'R4 Variations'!C773</f>
        <v/>
      </c>
      <c r="D773" s="491">
        <f ca="1">IF(ISNUMBER('R4 Variations'!D773),+'R4 Variations'!D773*LU_Escalation,0)</f>
        <v>0</v>
      </c>
      <c r="E773" s="850">
        <f ca="1">IF(ISNUMBER('R4 Variations'!E773),+'R4 Variations'!E773*LU_Escalation,0)</f>
        <v>0</v>
      </c>
      <c r="F773" s="491">
        <f ca="1">IF(ISNUMBER('R4 Variations'!F773),+'R4 Variations'!F773*LU_Escalation,0)</f>
        <v>0</v>
      </c>
      <c r="G773" s="491">
        <f ca="1">IF(ISNUMBER('R4 Variations'!G773),+'R4 Variations'!G773*LU_Escalation,0)</f>
        <v>0</v>
      </c>
      <c r="H773" s="491">
        <f ca="1">IF(ISNUMBER('R4 Variations'!H773),+'R4 Variations'!H773*LU_Escalation,0)</f>
        <v>0</v>
      </c>
      <c r="I773" s="491">
        <f ca="1">IF(ISNUMBER('R4 Variations'!I773),+'R4 Variations'!I773*LU_Escalation,0)</f>
        <v>0</v>
      </c>
      <c r="J773" s="491">
        <f ca="1">IF(ISNUMBER('R4 Variations'!J773),+'R4 Variations'!J773*LU_Escalation,0)</f>
        <v>0</v>
      </c>
      <c r="K773" s="491">
        <f ca="1">IF(ISNUMBER('R4 Variations'!K773),+'R4 Variations'!K773*LU_Escalation,0)</f>
        <v>0</v>
      </c>
      <c r="L773" s="515" t="str">
        <f ca="1">+'R4 Variations'!L773</f>
        <v/>
      </c>
      <c r="M773" s="450" t="str">
        <f ca="1">+'R4 Variations'!M773</f>
        <v/>
      </c>
      <c r="N773" s="450" t="str">
        <f ca="1">+'R4 Variations'!N773</f>
        <v/>
      </c>
    </row>
    <row r="774" spans="1:14">
      <c r="A774" s="5"/>
      <c r="B774" s="249" t="str">
        <f ca="1">+'I-4 History'!B580</f>
        <v>A-40</v>
      </c>
      <c r="C774" s="14" t="str">
        <f ca="1">+'I-4 History'!C580</f>
        <v>Debt Raising Costs</v>
      </c>
      <c r="D774" s="491"/>
      <c r="E774" s="508"/>
      <c r="F774" s="491"/>
      <c r="G774" s="492"/>
      <c r="H774" s="492"/>
      <c r="I774" s="492"/>
      <c r="J774" s="492"/>
      <c r="K774" s="508"/>
      <c r="L774" s="515"/>
      <c r="M774" s="450"/>
      <c r="N774" s="450"/>
    </row>
    <row r="775" spans="1:14">
      <c r="A775" s="5"/>
      <c r="B775" s="249"/>
      <c r="C775" s="384" t="str">
        <f ca="1">+'R4 Variations'!C775</f>
        <v>Debt Raising costs</v>
      </c>
      <c r="D775" s="491">
        <f ca="1">IF(ISNUMBER('R4 Variations'!D775),+'R4 Variations'!D775*LU_Escalation,0)</f>
        <v>0</v>
      </c>
      <c r="E775" s="850">
        <f ca="1">IF(ISNUMBER('R4 Variations'!E775),+'R4 Variations'!E775*LU_Escalation,0)</f>
        <v>0</v>
      </c>
      <c r="F775" s="491">
        <f ca="1">IF(ISNUMBER('R4 Variations'!F775),+'R4 Variations'!F775*LU_Escalation,0)</f>
        <v>0</v>
      </c>
      <c r="G775" s="491">
        <f ca="1">IF(ISNUMBER('R4 Variations'!G775),+'R4 Variations'!G775*LU_Escalation,0)</f>
        <v>0</v>
      </c>
      <c r="H775" s="491">
        <f ca="1">IF(ISNUMBER('R4 Variations'!H775),+'R4 Variations'!H775*LU_Escalation,0)</f>
        <v>0</v>
      </c>
      <c r="I775" s="491">
        <f ca="1">IF(ISNUMBER('R4 Variations'!I775),+'R4 Variations'!I775*LU_Escalation,0)</f>
        <v>0</v>
      </c>
      <c r="J775" s="491">
        <f ca="1">IF(ISNUMBER('R4 Variations'!J775),+'R4 Variations'!J775*LU_Escalation,0)</f>
        <v>0</v>
      </c>
      <c r="K775" s="491">
        <f ca="1">IF(ISNUMBER('R4 Variations'!K775),+'R4 Variations'!K775*LU_Escalation,0)</f>
        <v>0</v>
      </c>
      <c r="L775" s="515" t="str">
        <f ca="1">+'R4 Variations'!L775</f>
        <v xml:space="preserve">Debt Raising costs </v>
      </c>
      <c r="M775" s="450" t="str">
        <f ca="1">+'R4 Variations'!M775</f>
        <v>Calculated in the PTRM and discounted to $ for SEM Input</v>
      </c>
      <c r="N775" s="450" t="str">
        <f ca="1">+'R4 Variations'!N775</f>
        <v>Proposal, October 2014</v>
      </c>
    </row>
    <row r="776" spans="1:14">
      <c r="A776" s="5"/>
      <c r="B776" s="249"/>
      <c r="C776" s="384" t="str">
        <f ca="1">+'R4 Variations'!C776</f>
        <v/>
      </c>
      <c r="D776" s="491">
        <f ca="1">IF(ISNUMBER('R4 Variations'!D776),+'R4 Variations'!D776*LU_Escalation,0)</f>
        <v>0</v>
      </c>
      <c r="E776" s="850">
        <f ca="1">IF(ISNUMBER('R4 Variations'!E776),+'R4 Variations'!E776*LU_Escalation,0)</f>
        <v>0</v>
      </c>
      <c r="F776" s="491">
        <f ca="1">IF(ISNUMBER('R4 Variations'!F776),+'R4 Variations'!F776*LU_Escalation,0)</f>
        <v>0</v>
      </c>
      <c r="G776" s="491">
        <f ca="1">IF(ISNUMBER('R4 Variations'!G776),+'R4 Variations'!G776*LU_Escalation,0)</f>
        <v>0</v>
      </c>
      <c r="H776" s="491">
        <f ca="1">IF(ISNUMBER('R4 Variations'!H776),+'R4 Variations'!H776*LU_Escalation,0)</f>
        <v>0</v>
      </c>
      <c r="I776" s="491">
        <f ca="1">IF(ISNUMBER('R4 Variations'!I776),+'R4 Variations'!I776*LU_Escalation,0)</f>
        <v>0</v>
      </c>
      <c r="J776" s="491">
        <f ca="1">IF(ISNUMBER('R4 Variations'!J776),+'R4 Variations'!J776*LU_Escalation,0)</f>
        <v>0</v>
      </c>
      <c r="K776" s="491">
        <f ca="1">IF(ISNUMBER('R4 Variations'!K776),+'R4 Variations'!K776*LU_Escalation,0)</f>
        <v>0</v>
      </c>
      <c r="L776" s="515" t="str">
        <f ca="1">+'R4 Variations'!L776</f>
        <v/>
      </c>
      <c r="M776" s="450" t="str">
        <f ca="1">+'R4 Variations'!M776</f>
        <v/>
      </c>
      <c r="N776" s="450" t="str">
        <f ca="1">+'R4 Variations'!N776</f>
        <v/>
      </c>
    </row>
    <row r="777" spans="1:14">
      <c r="A777" s="5"/>
      <c r="B777" s="249"/>
      <c r="C777" s="384" t="str">
        <f ca="1">+'R4 Variations'!C777</f>
        <v/>
      </c>
      <c r="D777" s="491">
        <f ca="1">IF(ISNUMBER('R4 Variations'!D777),+'R4 Variations'!D777*LU_Escalation,0)</f>
        <v>0</v>
      </c>
      <c r="E777" s="850">
        <f ca="1">IF(ISNUMBER('R4 Variations'!E777),+'R4 Variations'!E777*LU_Escalation,0)</f>
        <v>0</v>
      </c>
      <c r="F777" s="491">
        <f ca="1">IF(ISNUMBER('R4 Variations'!F777),+'R4 Variations'!F777*LU_Escalation,0)</f>
        <v>0</v>
      </c>
      <c r="G777" s="491">
        <f ca="1">IF(ISNUMBER('R4 Variations'!G777),+'R4 Variations'!G777*LU_Escalation,0)</f>
        <v>0</v>
      </c>
      <c r="H777" s="491">
        <f ca="1">IF(ISNUMBER('R4 Variations'!H777),+'R4 Variations'!H777*LU_Escalation,0)</f>
        <v>0</v>
      </c>
      <c r="I777" s="491">
        <f ca="1">IF(ISNUMBER('R4 Variations'!I777),+'R4 Variations'!I777*LU_Escalation,0)</f>
        <v>0</v>
      </c>
      <c r="J777" s="491">
        <f ca="1">IF(ISNUMBER('R4 Variations'!J777),+'R4 Variations'!J777*LU_Escalation,0)</f>
        <v>0</v>
      </c>
      <c r="K777" s="491">
        <f ca="1">IF(ISNUMBER('R4 Variations'!K777),+'R4 Variations'!K777*LU_Escalation,0)</f>
        <v>0</v>
      </c>
      <c r="L777" s="515" t="str">
        <f ca="1">+'R4 Variations'!L777</f>
        <v/>
      </c>
      <c r="M777" s="450" t="str">
        <f ca="1">+'R4 Variations'!M777</f>
        <v/>
      </c>
      <c r="N777" s="450" t="str">
        <f ca="1">+'R4 Variations'!N777</f>
        <v/>
      </c>
    </row>
    <row r="778" spans="1:14">
      <c r="A778" s="5"/>
      <c r="B778" s="249"/>
      <c r="C778" s="384" t="str">
        <f ca="1">+'R4 Variations'!C778</f>
        <v/>
      </c>
      <c r="D778" s="491">
        <f ca="1">IF(ISNUMBER('R4 Variations'!D778),+'R4 Variations'!D778*LU_Escalation,0)</f>
        <v>0</v>
      </c>
      <c r="E778" s="850">
        <f ca="1">IF(ISNUMBER('R4 Variations'!E778),+'R4 Variations'!E778*LU_Escalation,0)</f>
        <v>0</v>
      </c>
      <c r="F778" s="491">
        <f ca="1">IF(ISNUMBER('R4 Variations'!F778),+'R4 Variations'!F778*LU_Escalation,0)</f>
        <v>0</v>
      </c>
      <c r="G778" s="491">
        <f ca="1">IF(ISNUMBER('R4 Variations'!G778),+'R4 Variations'!G778*LU_Escalation,0)</f>
        <v>0</v>
      </c>
      <c r="H778" s="491">
        <f ca="1">IF(ISNUMBER('R4 Variations'!H778),+'R4 Variations'!H778*LU_Escalation,0)</f>
        <v>0</v>
      </c>
      <c r="I778" s="491">
        <f ca="1">IF(ISNUMBER('R4 Variations'!I778),+'R4 Variations'!I778*LU_Escalation,0)</f>
        <v>0</v>
      </c>
      <c r="J778" s="491">
        <f ca="1">IF(ISNUMBER('R4 Variations'!J778),+'R4 Variations'!J778*LU_Escalation,0)</f>
        <v>0</v>
      </c>
      <c r="K778" s="491">
        <f ca="1">IF(ISNUMBER('R4 Variations'!K778),+'R4 Variations'!K778*LU_Escalation,0)</f>
        <v>0</v>
      </c>
      <c r="L778" s="515" t="str">
        <f ca="1">+'R4 Variations'!L778</f>
        <v/>
      </c>
      <c r="M778" s="450" t="str">
        <f ca="1">+'R4 Variations'!M778</f>
        <v/>
      </c>
      <c r="N778" s="450" t="str">
        <f ca="1">+'R4 Variations'!N778</f>
        <v/>
      </c>
    </row>
    <row r="779" spans="1:14">
      <c r="A779" s="5"/>
      <c r="B779" s="249"/>
      <c r="C779" s="384" t="str">
        <f ca="1">+'R4 Variations'!C779</f>
        <v/>
      </c>
      <c r="D779" s="491">
        <f ca="1">IF(ISNUMBER('R4 Variations'!D779),+'R4 Variations'!D779*LU_Escalation,0)</f>
        <v>0</v>
      </c>
      <c r="E779" s="850">
        <f ca="1">IF(ISNUMBER('R4 Variations'!E779),+'R4 Variations'!E779*LU_Escalation,0)</f>
        <v>0</v>
      </c>
      <c r="F779" s="491">
        <f ca="1">IF(ISNUMBER('R4 Variations'!F779),+'R4 Variations'!F779*LU_Escalation,0)</f>
        <v>0</v>
      </c>
      <c r="G779" s="491">
        <f ca="1">IF(ISNUMBER('R4 Variations'!G779),+'R4 Variations'!G779*LU_Escalation,0)</f>
        <v>0</v>
      </c>
      <c r="H779" s="491">
        <f ca="1">IF(ISNUMBER('R4 Variations'!H779),+'R4 Variations'!H779*LU_Escalation,0)</f>
        <v>0</v>
      </c>
      <c r="I779" s="491">
        <f ca="1">IF(ISNUMBER('R4 Variations'!I779),+'R4 Variations'!I779*LU_Escalation,0)</f>
        <v>0</v>
      </c>
      <c r="J779" s="491">
        <f ca="1">IF(ISNUMBER('R4 Variations'!J779),+'R4 Variations'!J779*LU_Escalation,0)</f>
        <v>0</v>
      </c>
      <c r="K779" s="491">
        <f ca="1">IF(ISNUMBER('R4 Variations'!K779),+'R4 Variations'!K779*LU_Escalation,0)</f>
        <v>0</v>
      </c>
      <c r="L779" s="515" t="str">
        <f ca="1">+'R4 Variations'!L779</f>
        <v/>
      </c>
      <c r="M779" s="450" t="str">
        <f ca="1">+'R4 Variations'!M779</f>
        <v/>
      </c>
      <c r="N779" s="450" t="str">
        <f ca="1">+'R4 Variations'!N779</f>
        <v/>
      </c>
    </row>
    <row r="780" spans="1:14">
      <c r="B780" s="249"/>
      <c r="C780" s="384" t="str">
        <f ca="1">+'R4 Variations'!C780</f>
        <v/>
      </c>
      <c r="D780" s="491">
        <f ca="1">IF(ISNUMBER('R4 Variations'!D780),+'R4 Variations'!D780*LU_Escalation,0)</f>
        <v>0</v>
      </c>
      <c r="E780" s="850">
        <f ca="1">IF(ISNUMBER('R4 Variations'!E780),+'R4 Variations'!E780*LU_Escalation,0)</f>
        <v>0</v>
      </c>
      <c r="F780" s="491">
        <f ca="1">IF(ISNUMBER('R4 Variations'!F780),+'R4 Variations'!F780*LU_Escalation,0)</f>
        <v>0</v>
      </c>
      <c r="G780" s="491">
        <f ca="1">IF(ISNUMBER('R4 Variations'!G780),+'R4 Variations'!G780*LU_Escalation,0)</f>
        <v>0</v>
      </c>
      <c r="H780" s="491">
        <f ca="1">IF(ISNUMBER('R4 Variations'!H780),+'R4 Variations'!H780*LU_Escalation,0)</f>
        <v>0</v>
      </c>
      <c r="I780" s="491">
        <f ca="1">IF(ISNUMBER('R4 Variations'!I780),+'R4 Variations'!I780*LU_Escalation,0)</f>
        <v>0</v>
      </c>
      <c r="J780" s="491">
        <f ca="1">IF(ISNUMBER('R4 Variations'!J780),+'R4 Variations'!J780*LU_Escalation,0)</f>
        <v>0</v>
      </c>
      <c r="K780" s="491">
        <f ca="1">IF(ISNUMBER('R4 Variations'!K780),+'R4 Variations'!K780*LU_Escalation,0)</f>
        <v>0</v>
      </c>
      <c r="L780" s="515" t="str">
        <f ca="1">+'R4 Variations'!L780</f>
        <v/>
      </c>
      <c r="M780" s="450" t="str">
        <f ca="1">+'R4 Variations'!M780</f>
        <v/>
      </c>
      <c r="N780" s="450" t="str">
        <f ca="1">+'R4 Variations'!N780</f>
        <v/>
      </c>
    </row>
    <row r="781" spans="1:14">
      <c r="B781" s="249"/>
      <c r="C781" s="384" t="str">
        <f ca="1">+'R4 Variations'!C781</f>
        <v/>
      </c>
      <c r="D781" s="491">
        <f ca="1">IF(ISNUMBER('R4 Variations'!D781),+'R4 Variations'!D781*LU_Escalation,0)</f>
        <v>0</v>
      </c>
      <c r="E781" s="850">
        <f ca="1">IF(ISNUMBER('R4 Variations'!E781),+'R4 Variations'!E781*LU_Escalation,0)</f>
        <v>0</v>
      </c>
      <c r="F781" s="491">
        <f ca="1">IF(ISNUMBER('R4 Variations'!F781),+'R4 Variations'!F781*LU_Escalation,0)</f>
        <v>0</v>
      </c>
      <c r="G781" s="491">
        <f ca="1">IF(ISNUMBER('R4 Variations'!G781),+'R4 Variations'!G781*LU_Escalation,0)</f>
        <v>0</v>
      </c>
      <c r="H781" s="491">
        <f ca="1">IF(ISNUMBER('R4 Variations'!H781),+'R4 Variations'!H781*LU_Escalation,0)</f>
        <v>0</v>
      </c>
      <c r="I781" s="491">
        <f ca="1">IF(ISNUMBER('R4 Variations'!I781),+'R4 Variations'!I781*LU_Escalation,0)</f>
        <v>0</v>
      </c>
      <c r="J781" s="491">
        <f ca="1">IF(ISNUMBER('R4 Variations'!J781),+'R4 Variations'!J781*LU_Escalation,0)</f>
        <v>0</v>
      </c>
      <c r="K781" s="491">
        <f ca="1">IF(ISNUMBER('R4 Variations'!K781),+'R4 Variations'!K781*LU_Escalation,0)</f>
        <v>0</v>
      </c>
      <c r="L781" s="515" t="str">
        <f ca="1">+'R4 Variations'!L781</f>
        <v/>
      </c>
      <c r="M781" s="450" t="str">
        <f ca="1">+'R4 Variations'!M781</f>
        <v/>
      </c>
      <c r="N781" s="450" t="str">
        <f ca="1">+'R4 Variations'!N781</f>
        <v/>
      </c>
    </row>
    <row r="782" spans="1:14">
      <c r="B782" s="249"/>
      <c r="C782" s="384" t="str">
        <f ca="1">+'R4 Variations'!C782</f>
        <v/>
      </c>
      <c r="D782" s="491">
        <f ca="1">IF(ISNUMBER('R4 Variations'!D782),+'R4 Variations'!D782*LU_Escalation,0)</f>
        <v>0</v>
      </c>
      <c r="E782" s="850">
        <f ca="1">IF(ISNUMBER('R4 Variations'!E782),+'R4 Variations'!E782*LU_Escalation,0)</f>
        <v>0</v>
      </c>
      <c r="F782" s="491">
        <f ca="1">IF(ISNUMBER('R4 Variations'!F782),+'R4 Variations'!F782*LU_Escalation,0)</f>
        <v>0</v>
      </c>
      <c r="G782" s="491">
        <f ca="1">IF(ISNUMBER('R4 Variations'!G782),+'R4 Variations'!G782*LU_Escalation,0)</f>
        <v>0</v>
      </c>
      <c r="H782" s="491">
        <f ca="1">IF(ISNUMBER('R4 Variations'!H782),+'R4 Variations'!H782*LU_Escalation,0)</f>
        <v>0</v>
      </c>
      <c r="I782" s="491">
        <f ca="1">IF(ISNUMBER('R4 Variations'!I782),+'R4 Variations'!I782*LU_Escalation,0)</f>
        <v>0</v>
      </c>
      <c r="J782" s="491">
        <f ca="1">IF(ISNUMBER('R4 Variations'!J782),+'R4 Variations'!J782*LU_Escalation,0)</f>
        <v>0</v>
      </c>
      <c r="K782" s="491">
        <f ca="1">IF(ISNUMBER('R4 Variations'!K782),+'R4 Variations'!K782*LU_Escalation,0)</f>
        <v>0</v>
      </c>
      <c r="L782" s="515" t="str">
        <f ca="1">+'R4 Variations'!L782</f>
        <v/>
      </c>
      <c r="M782" s="450" t="str">
        <f ca="1">+'R4 Variations'!M782</f>
        <v/>
      </c>
      <c r="N782" s="450" t="str">
        <f ca="1">+'R4 Variations'!N782</f>
        <v/>
      </c>
    </row>
    <row r="783" spans="1:14">
      <c r="B783" s="249"/>
      <c r="C783" s="384" t="str">
        <f ca="1">+'R4 Variations'!C783</f>
        <v/>
      </c>
      <c r="D783" s="491">
        <f ca="1">IF(ISNUMBER('R4 Variations'!D783),+'R4 Variations'!D783*LU_Escalation,0)</f>
        <v>0</v>
      </c>
      <c r="E783" s="850">
        <f ca="1">IF(ISNUMBER('R4 Variations'!E783),+'R4 Variations'!E783*LU_Escalation,0)</f>
        <v>0</v>
      </c>
      <c r="F783" s="491">
        <f ca="1">IF(ISNUMBER('R4 Variations'!F783),+'R4 Variations'!F783*LU_Escalation,0)</f>
        <v>0</v>
      </c>
      <c r="G783" s="491">
        <f ca="1">IF(ISNUMBER('R4 Variations'!G783),+'R4 Variations'!G783*LU_Escalation,0)</f>
        <v>0</v>
      </c>
      <c r="H783" s="491">
        <f ca="1">IF(ISNUMBER('R4 Variations'!H783),+'R4 Variations'!H783*LU_Escalation,0)</f>
        <v>0</v>
      </c>
      <c r="I783" s="491">
        <f ca="1">IF(ISNUMBER('R4 Variations'!I783),+'R4 Variations'!I783*LU_Escalation,0)</f>
        <v>0</v>
      </c>
      <c r="J783" s="491">
        <f ca="1">IF(ISNUMBER('R4 Variations'!J783),+'R4 Variations'!J783*LU_Escalation,0)</f>
        <v>0</v>
      </c>
      <c r="K783" s="491">
        <f ca="1">IF(ISNUMBER('R4 Variations'!K783),+'R4 Variations'!K783*LU_Escalation,0)</f>
        <v>0</v>
      </c>
      <c r="L783" s="515" t="str">
        <f ca="1">+'R4 Variations'!L783</f>
        <v/>
      </c>
      <c r="M783" s="450" t="str">
        <f ca="1">+'R4 Variations'!M783</f>
        <v/>
      </c>
      <c r="N783" s="450" t="str">
        <f ca="1">+'R4 Variations'!N783</f>
        <v/>
      </c>
    </row>
    <row r="784" spans="1:14">
      <c r="B784" s="249"/>
      <c r="C784" s="384" t="str">
        <f ca="1">+'R4 Variations'!C784</f>
        <v/>
      </c>
      <c r="D784" s="491">
        <f ca="1">IF(ISNUMBER('R4 Variations'!D784),+'R4 Variations'!D784*LU_Escalation,0)</f>
        <v>0</v>
      </c>
      <c r="E784" s="850">
        <f ca="1">IF(ISNUMBER('R4 Variations'!E784),+'R4 Variations'!E784*LU_Escalation,0)</f>
        <v>0</v>
      </c>
      <c r="F784" s="491">
        <f ca="1">IF(ISNUMBER('R4 Variations'!F784),+'R4 Variations'!F784*LU_Escalation,0)</f>
        <v>0</v>
      </c>
      <c r="G784" s="491">
        <f ca="1">IF(ISNUMBER('R4 Variations'!G784),+'R4 Variations'!G784*LU_Escalation,0)</f>
        <v>0</v>
      </c>
      <c r="H784" s="491">
        <f ca="1">IF(ISNUMBER('R4 Variations'!H784),+'R4 Variations'!H784*LU_Escalation,0)</f>
        <v>0</v>
      </c>
      <c r="I784" s="491">
        <f ca="1">IF(ISNUMBER('R4 Variations'!I784),+'R4 Variations'!I784*LU_Escalation,0)</f>
        <v>0</v>
      </c>
      <c r="J784" s="491">
        <f ca="1">IF(ISNUMBER('R4 Variations'!J784),+'R4 Variations'!J784*LU_Escalation,0)</f>
        <v>0</v>
      </c>
      <c r="K784" s="491">
        <f ca="1">IF(ISNUMBER('R4 Variations'!K784),+'R4 Variations'!K784*LU_Escalation,0)</f>
        <v>0</v>
      </c>
      <c r="L784" s="515" t="str">
        <f ca="1">+'R4 Variations'!L784</f>
        <v/>
      </c>
      <c r="M784" s="450" t="str">
        <f ca="1">+'R4 Variations'!M784</f>
        <v/>
      </c>
      <c r="N784" s="450" t="str">
        <f ca="1">+'R4 Variations'!N784</f>
        <v/>
      </c>
    </row>
    <row r="785" spans="1:14">
      <c r="A785" s="5"/>
      <c r="B785" s="249" t="str">
        <f ca="1">+'I-4 History'!B589</f>
        <v>A-41</v>
      </c>
      <c r="C785" s="14" t="str">
        <f ca="1">+'I-4 History'!C589</f>
        <v>Spare, not in use</v>
      </c>
      <c r="D785" s="491"/>
      <c r="E785" s="508"/>
      <c r="F785" s="491"/>
      <c r="G785" s="492"/>
      <c r="H785" s="492"/>
      <c r="I785" s="492"/>
      <c r="J785" s="492"/>
      <c r="K785" s="508"/>
      <c r="L785" s="515"/>
      <c r="M785" s="450"/>
      <c r="N785" s="450"/>
    </row>
    <row r="786" spans="1:14">
      <c r="A786" s="5"/>
      <c r="B786" s="249"/>
      <c r="C786" s="384" t="str">
        <f ca="1">+'R4 Variations'!C786</f>
        <v>Step Change</v>
      </c>
      <c r="D786" s="491">
        <f ca="1">IF(ISNUMBER('R4 Variations'!D786),+'R4 Variations'!D786*LU_Escalation,0)</f>
        <v>0</v>
      </c>
      <c r="E786" s="850">
        <f ca="1">IF(ISNUMBER('R4 Variations'!E786),+'R4 Variations'!E786*LU_Escalation,0)</f>
        <v>0</v>
      </c>
      <c r="F786" s="491">
        <f ca="1">IF(ISNUMBER('R4 Variations'!F786),+'R4 Variations'!F786*LU_Escalation,0)</f>
        <v>0</v>
      </c>
      <c r="G786" s="491">
        <f ca="1">IF(ISNUMBER('R4 Variations'!G786),+'R4 Variations'!G786*LU_Escalation,0)</f>
        <v>0</v>
      </c>
      <c r="H786" s="491">
        <f ca="1">IF(ISNUMBER('R4 Variations'!H786),+'R4 Variations'!H786*LU_Escalation,0)</f>
        <v>0</v>
      </c>
      <c r="I786" s="491">
        <f ca="1">IF(ISNUMBER('R4 Variations'!I786),+'R4 Variations'!I786*LU_Escalation,0)</f>
        <v>0</v>
      </c>
      <c r="J786" s="491">
        <f ca="1">IF(ISNUMBER('R4 Variations'!J786),+'R4 Variations'!J786*LU_Escalation,0)</f>
        <v>0</v>
      </c>
      <c r="K786" s="491">
        <f ca="1">IF(ISNUMBER('R4 Variations'!K786),+'R4 Variations'!K786*LU_Escalation,0)</f>
        <v>0</v>
      </c>
      <c r="L786" s="515" t="str">
        <f ca="1">+'R4 Variations'!L786</f>
        <v>Proposal Step Change</v>
      </c>
      <c r="M786" s="450" t="str">
        <f ca="1">+'R4 Variations'!M786</f>
        <v>Refer Opex Workings</v>
      </c>
      <c r="N786" s="450" t="str">
        <f ca="1">+'R4 Variations'!N786</f>
        <v>Proposal, October 2014</v>
      </c>
    </row>
    <row r="787" spans="1:14">
      <c r="A787" s="5"/>
      <c r="B787" s="249"/>
      <c r="C787" s="384" t="str">
        <f ca="1">+'R4 Variations'!C787</f>
        <v/>
      </c>
      <c r="D787" s="491">
        <f ca="1">IF(ISNUMBER('R4 Variations'!D787),+'R4 Variations'!D787*LU_Escalation,0)</f>
        <v>0</v>
      </c>
      <c r="E787" s="850">
        <f ca="1">IF(ISNUMBER('R4 Variations'!E787),+'R4 Variations'!E787*LU_Escalation,0)</f>
        <v>0</v>
      </c>
      <c r="F787" s="491">
        <f ca="1">IF(ISNUMBER('R4 Variations'!F787),+'R4 Variations'!F787*LU_Escalation,0)</f>
        <v>0</v>
      </c>
      <c r="G787" s="491">
        <f ca="1">IF(ISNUMBER('R4 Variations'!G787),+'R4 Variations'!G787*LU_Escalation,0)</f>
        <v>0</v>
      </c>
      <c r="H787" s="491">
        <f ca="1">IF(ISNUMBER('R4 Variations'!H787),+'R4 Variations'!H787*LU_Escalation,0)</f>
        <v>0</v>
      </c>
      <c r="I787" s="491">
        <f ca="1">IF(ISNUMBER('R4 Variations'!I787),+'R4 Variations'!I787*LU_Escalation,0)</f>
        <v>0</v>
      </c>
      <c r="J787" s="491">
        <f ca="1">IF(ISNUMBER('R4 Variations'!J787),+'R4 Variations'!J787*LU_Escalation,0)</f>
        <v>0</v>
      </c>
      <c r="K787" s="491">
        <f ca="1">IF(ISNUMBER('R4 Variations'!K787),+'R4 Variations'!K787*LU_Escalation,0)</f>
        <v>0</v>
      </c>
      <c r="L787" s="515" t="str">
        <f ca="1">+'R4 Variations'!L787</f>
        <v/>
      </c>
      <c r="M787" s="450" t="str">
        <f ca="1">+'R4 Variations'!M787</f>
        <v/>
      </c>
      <c r="N787" s="450" t="str">
        <f ca="1">+'R4 Variations'!N787</f>
        <v/>
      </c>
    </row>
    <row r="788" spans="1:14">
      <c r="A788" s="5"/>
      <c r="B788" s="249"/>
      <c r="C788" s="384" t="str">
        <f ca="1">+'R4 Variations'!C788</f>
        <v/>
      </c>
      <c r="D788" s="491">
        <f ca="1">IF(ISNUMBER('R4 Variations'!D788),+'R4 Variations'!D788*LU_Escalation,0)</f>
        <v>0</v>
      </c>
      <c r="E788" s="850">
        <f ca="1">IF(ISNUMBER('R4 Variations'!E788),+'R4 Variations'!E788*LU_Escalation,0)</f>
        <v>0</v>
      </c>
      <c r="F788" s="491">
        <f ca="1">IF(ISNUMBER('R4 Variations'!F788),+'R4 Variations'!F788*LU_Escalation,0)</f>
        <v>0</v>
      </c>
      <c r="G788" s="491">
        <f ca="1">IF(ISNUMBER('R4 Variations'!G788),+'R4 Variations'!G788*LU_Escalation,0)</f>
        <v>0</v>
      </c>
      <c r="H788" s="491">
        <f ca="1">IF(ISNUMBER('R4 Variations'!H788),+'R4 Variations'!H788*LU_Escalation,0)</f>
        <v>0</v>
      </c>
      <c r="I788" s="491">
        <f ca="1">IF(ISNUMBER('R4 Variations'!I788),+'R4 Variations'!I788*LU_Escalation,0)</f>
        <v>0</v>
      </c>
      <c r="J788" s="491">
        <f ca="1">IF(ISNUMBER('R4 Variations'!J788),+'R4 Variations'!J788*LU_Escalation,0)</f>
        <v>0</v>
      </c>
      <c r="K788" s="491">
        <f ca="1">IF(ISNUMBER('R4 Variations'!K788),+'R4 Variations'!K788*LU_Escalation,0)</f>
        <v>0</v>
      </c>
      <c r="L788" s="515" t="str">
        <f ca="1">+'R4 Variations'!L788</f>
        <v/>
      </c>
      <c r="M788" s="450" t="str">
        <f ca="1">+'R4 Variations'!M788</f>
        <v/>
      </c>
      <c r="N788" s="450" t="str">
        <f ca="1">+'R4 Variations'!N788</f>
        <v/>
      </c>
    </row>
    <row r="789" spans="1:14">
      <c r="A789" s="5"/>
      <c r="B789" s="249"/>
      <c r="C789" s="384" t="str">
        <f ca="1">+'R4 Variations'!C789</f>
        <v/>
      </c>
      <c r="D789" s="491">
        <f ca="1">IF(ISNUMBER('R4 Variations'!D789),+'R4 Variations'!D789*LU_Escalation,0)</f>
        <v>0</v>
      </c>
      <c r="E789" s="850">
        <f ca="1">IF(ISNUMBER('R4 Variations'!E789),+'R4 Variations'!E789*LU_Escalation,0)</f>
        <v>0</v>
      </c>
      <c r="F789" s="491">
        <f ca="1">IF(ISNUMBER('R4 Variations'!F789),+'R4 Variations'!F789*LU_Escalation,0)</f>
        <v>0</v>
      </c>
      <c r="G789" s="491">
        <f ca="1">IF(ISNUMBER('R4 Variations'!G789),+'R4 Variations'!G789*LU_Escalation,0)</f>
        <v>0</v>
      </c>
      <c r="H789" s="491">
        <f ca="1">IF(ISNUMBER('R4 Variations'!H789),+'R4 Variations'!H789*LU_Escalation,0)</f>
        <v>0</v>
      </c>
      <c r="I789" s="491">
        <f ca="1">IF(ISNUMBER('R4 Variations'!I789),+'R4 Variations'!I789*LU_Escalation,0)</f>
        <v>0</v>
      </c>
      <c r="J789" s="491">
        <f ca="1">IF(ISNUMBER('R4 Variations'!J789),+'R4 Variations'!J789*LU_Escalation,0)</f>
        <v>0</v>
      </c>
      <c r="K789" s="491">
        <f ca="1">IF(ISNUMBER('R4 Variations'!K789),+'R4 Variations'!K789*LU_Escalation,0)</f>
        <v>0</v>
      </c>
      <c r="L789" s="515" t="str">
        <f ca="1">+'R4 Variations'!L789</f>
        <v/>
      </c>
      <c r="M789" s="450" t="str">
        <f ca="1">+'R4 Variations'!M789</f>
        <v/>
      </c>
      <c r="N789" s="450" t="str">
        <f ca="1">+'R4 Variations'!N789</f>
        <v/>
      </c>
    </row>
    <row r="790" spans="1:14">
      <c r="A790" s="5"/>
      <c r="B790" s="249"/>
      <c r="C790" s="384" t="str">
        <f ca="1">+'R4 Variations'!C790</f>
        <v/>
      </c>
      <c r="D790" s="491">
        <f ca="1">IF(ISNUMBER('R4 Variations'!D790),+'R4 Variations'!D790*LU_Escalation,0)</f>
        <v>0</v>
      </c>
      <c r="E790" s="850">
        <f ca="1">IF(ISNUMBER('R4 Variations'!E790),+'R4 Variations'!E790*LU_Escalation,0)</f>
        <v>0</v>
      </c>
      <c r="F790" s="491">
        <f ca="1">IF(ISNUMBER('R4 Variations'!F790),+'R4 Variations'!F790*LU_Escalation,0)</f>
        <v>0</v>
      </c>
      <c r="G790" s="491">
        <f ca="1">IF(ISNUMBER('R4 Variations'!G790),+'R4 Variations'!G790*LU_Escalation,0)</f>
        <v>0</v>
      </c>
      <c r="H790" s="491">
        <f ca="1">IF(ISNUMBER('R4 Variations'!H790),+'R4 Variations'!H790*LU_Escalation,0)</f>
        <v>0</v>
      </c>
      <c r="I790" s="491">
        <f ca="1">IF(ISNUMBER('R4 Variations'!I790),+'R4 Variations'!I790*LU_Escalation,0)</f>
        <v>0</v>
      </c>
      <c r="J790" s="491">
        <f ca="1">IF(ISNUMBER('R4 Variations'!J790),+'R4 Variations'!J790*LU_Escalation,0)</f>
        <v>0</v>
      </c>
      <c r="K790" s="491">
        <f ca="1">IF(ISNUMBER('R4 Variations'!K790),+'R4 Variations'!K790*LU_Escalation,0)</f>
        <v>0</v>
      </c>
      <c r="L790" s="515" t="str">
        <f ca="1">+'R4 Variations'!L790</f>
        <v/>
      </c>
      <c r="M790" s="450" t="str">
        <f ca="1">+'R4 Variations'!M790</f>
        <v/>
      </c>
      <c r="N790" s="450" t="str">
        <f ca="1">+'R4 Variations'!N790</f>
        <v/>
      </c>
    </row>
    <row r="791" spans="1:14">
      <c r="B791" s="249"/>
      <c r="C791" s="384" t="str">
        <f ca="1">+'R4 Variations'!C791</f>
        <v/>
      </c>
      <c r="D791" s="491">
        <f ca="1">IF(ISNUMBER('R4 Variations'!D791),+'R4 Variations'!D791*LU_Escalation,0)</f>
        <v>0</v>
      </c>
      <c r="E791" s="850">
        <f ca="1">IF(ISNUMBER('R4 Variations'!E791),+'R4 Variations'!E791*LU_Escalation,0)</f>
        <v>0</v>
      </c>
      <c r="F791" s="491">
        <f ca="1">IF(ISNUMBER('R4 Variations'!F791),+'R4 Variations'!F791*LU_Escalation,0)</f>
        <v>0</v>
      </c>
      <c r="G791" s="491">
        <f ca="1">IF(ISNUMBER('R4 Variations'!G791),+'R4 Variations'!G791*LU_Escalation,0)</f>
        <v>0</v>
      </c>
      <c r="H791" s="491">
        <f ca="1">IF(ISNUMBER('R4 Variations'!H791),+'R4 Variations'!H791*LU_Escalation,0)</f>
        <v>0</v>
      </c>
      <c r="I791" s="491">
        <f ca="1">IF(ISNUMBER('R4 Variations'!I791),+'R4 Variations'!I791*LU_Escalation,0)</f>
        <v>0</v>
      </c>
      <c r="J791" s="491">
        <f ca="1">IF(ISNUMBER('R4 Variations'!J791),+'R4 Variations'!J791*LU_Escalation,0)</f>
        <v>0</v>
      </c>
      <c r="K791" s="491">
        <f ca="1">IF(ISNUMBER('R4 Variations'!K791),+'R4 Variations'!K791*LU_Escalation,0)</f>
        <v>0</v>
      </c>
      <c r="L791" s="515" t="str">
        <f ca="1">+'R4 Variations'!L791</f>
        <v/>
      </c>
      <c r="M791" s="450" t="str">
        <f ca="1">+'R4 Variations'!M791</f>
        <v/>
      </c>
      <c r="N791" s="450" t="str">
        <f ca="1">+'R4 Variations'!N791</f>
        <v/>
      </c>
    </row>
    <row r="792" spans="1:14">
      <c r="B792" s="249"/>
      <c r="C792" s="384" t="str">
        <f ca="1">+'R4 Variations'!C792</f>
        <v/>
      </c>
      <c r="D792" s="491">
        <f ca="1">IF(ISNUMBER('R4 Variations'!D792),+'R4 Variations'!D792*LU_Escalation,0)</f>
        <v>0</v>
      </c>
      <c r="E792" s="850">
        <f ca="1">IF(ISNUMBER('R4 Variations'!E792),+'R4 Variations'!E792*LU_Escalation,0)</f>
        <v>0</v>
      </c>
      <c r="F792" s="491">
        <f ca="1">IF(ISNUMBER('R4 Variations'!F792),+'R4 Variations'!F792*LU_Escalation,0)</f>
        <v>0</v>
      </c>
      <c r="G792" s="491">
        <f ca="1">IF(ISNUMBER('R4 Variations'!G792),+'R4 Variations'!G792*LU_Escalation,0)</f>
        <v>0</v>
      </c>
      <c r="H792" s="491">
        <f ca="1">IF(ISNUMBER('R4 Variations'!H792),+'R4 Variations'!H792*LU_Escalation,0)</f>
        <v>0</v>
      </c>
      <c r="I792" s="491">
        <f ca="1">IF(ISNUMBER('R4 Variations'!I792),+'R4 Variations'!I792*LU_Escalation,0)</f>
        <v>0</v>
      </c>
      <c r="J792" s="491">
        <f ca="1">IF(ISNUMBER('R4 Variations'!J792),+'R4 Variations'!J792*LU_Escalation,0)</f>
        <v>0</v>
      </c>
      <c r="K792" s="491">
        <f ca="1">IF(ISNUMBER('R4 Variations'!K792),+'R4 Variations'!K792*LU_Escalation,0)</f>
        <v>0</v>
      </c>
      <c r="L792" s="515" t="str">
        <f ca="1">+'R4 Variations'!L792</f>
        <v/>
      </c>
      <c r="M792" s="450" t="str">
        <f ca="1">+'R4 Variations'!M792</f>
        <v/>
      </c>
      <c r="N792" s="450" t="str">
        <f ca="1">+'R4 Variations'!N792</f>
        <v/>
      </c>
    </row>
    <row r="793" spans="1:14">
      <c r="B793" s="249"/>
      <c r="C793" s="384" t="str">
        <f ca="1">+'R4 Variations'!C793</f>
        <v/>
      </c>
      <c r="D793" s="491">
        <f ca="1">IF(ISNUMBER('R4 Variations'!D793),+'R4 Variations'!D793*LU_Escalation,0)</f>
        <v>0</v>
      </c>
      <c r="E793" s="850">
        <f ca="1">IF(ISNUMBER('R4 Variations'!E793),+'R4 Variations'!E793*LU_Escalation,0)</f>
        <v>0</v>
      </c>
      <c r="F793" s="491">
        <f ca="1">IF(ISNUMBER('R4 Variations'!F793),+'R4 Variations'!F793*LU_Escalation,0)</f>
        <v>0</v>
      </c>
      <c r="G793" s="491">
        <f ca="1">IF(ISNUMBER('R4 Variations'!G793),+'R4 Variations'!G793*LU_Escalation,0)</f>
        <v>0</v>
      </c>
      <c r="H793" s="491">
        <f ca="1">IF(ISNUMBER('R4 Variations'!H793),+'R4 Variations'!H793*LU_Escalation,0)</f>
        <v>0</v>
      </c>
      <c r="I793" s="491">
        <f ca="1">IF(ISNUMBER('R4 Variations'!I793),+'R4 Variations'!I793*LU_Escalation,0)</f>
        <v>0</v>
      </c>
      <c r="J793" s="491">
        <f ca="1">IF(ISNUMBER('R4 Variations'!J793),+'R4 Variations'!J793*LU_Escalation,0)</f>
        <v>0</v>
      </c>
      <c r="K793" s="491">
        <f ca="1">IF(ISNUMBER('R4 Variations'!K793),+'R4 Variations'!K793*LU_Escalation,0)</f>
        <v>0</v>
      </c>
      <c r="L793" s="515" t="str">
        <f ca="1">+'R4 Variations'!L793</f>
        <v/>
      </c>
      <c r="M793" s="450" t="str">
        <f ca="1">+'R4 Variations'!M793</f>
        <v/>
      </c>
      <c r="N793" s="450" t="str">
        <f ca="1">+'R4 Variations'!N793</f>
        <v/>
      </c>
    </row>
    <row r="794" spans="1:14">
      <c r="B794" s="249"/>
      <c r="C794" s="384" t="str">
        <f ca="1">+'R4 Variations'!C794</f>
        <v/>
      </c>
      <c r="D794" s="491">
        <f ca="1">IF(ISNUMBER('R4 Variations'!D794),+'R4 Variations'!D794*LU_Escalation,0)</f>
        <v>0</v>
      </c>
      <c r="E794" s="850">
        <f ca="1">IF(ISNUMBER('R4 Variations'!E794),+'R4 Variations'!E794*LU_Escalation,0)</f>
        <v>0</v>
      </c>
      <c r="F794" s="491">
        <f ca="1">IF(ISNUMBER('R4 Variations'!F794),+'R4 Variations'!F794*LU_Escalation,0)</f>
        <v>0</v>
      </c>
      <c r="G794" s="491">
        <f ca="1">IF(ISNUMBER('R4 Variations'!G794),+'R4 Variations'!G794*LU_Escalation,0)</f>
        <v>0</v>
      </c>
      <c r="H794" s="491">
        <f ca="1">IF(ISNUMBER('R4 Variations'!H794),+'R4 Variations'!H794*LU_Escalation,0)</f>
        <v>0</v>
      </c>
      <c r="I794" s="491">
        <f ca="1">IF(ISNUMBER('R4 Variations'!I794),+'R4 Variations'!I794*LU_Escalation,0)</f>
        <v>0</v>
      </c>
      <c r="J794" s="491">
        <f ca="1">IF(ISNUMBER('R4 Variations'!J794),+'R4 Variations'!J794*LU_Escalation,0)</f>
        <v>0</v>
      </c>
      <c r="K794" s="491">
        <f ca="1">IF(ISNUMBER('R4 Variations'!K794),+'R4 Variations'!K794*LU_Escalation,0)</f>
        <v>0</v>
      </c>
      <c r="L794" s="515" t="str">
        <f ca="1">+'R4 Variations'!L794</f>
        <v/>
      </c>
      <c r="M794" s="450" t="str">
        <f ca="1">+'R4 Variations'!M794</f>
        <v/>
      </c>
      <c r="N794" s="450" t="str">
        <f ca="1">+'R4 Variations'!N794</f>
        <v/>
      </c>
    </row>
    <row r="795" spans="1:14">
      <c r="B795" s="249"/>
      <c r="C795" s="384" t="str">
        <f ca="1">+'R4 Variations'!C795</f>
        <v/>
      </c>
      <c r="D795" s="491">
        <f ca="1">IF(ISNUMBER('R4 Variations'!D795),+'R4 Variations'!D795*LU_Escalation,0)</f>
        <v>0</v>
      </c>
      <c r="E795" s="850">
        <f ca="1">IF(ISNUMBER('R4 Variations'!E795),+'R4 Variations'!E795*LU_Escalation,0)</f>
        <v>0</v>
      </c>
      <c r="F795" s="491">
        <f ca="1">IF(ISNUMBER('R4 Variations'!F795),+'R4 Variations'!F795*LU_Escalation,0)</f>
        <v>0</v>
      </c>
      <c r="G795" s="491">
        <f ca="1">IF(ISNUMBER('R4 Variations'!G795),+'R4 Variations'!G795*LU_Escalation,0)</f>
        <v>0</v>
      </c>
      <c r="H795" s="491">
        <f ca="1">IF(ISNUMBER('R4 Variations'!H795),+'R4 Variations'!H795*LU_Escalation,0)</f>
        <v>0</v>
      </c>
      <c r="I795" s="491">
        <f ca="1">IF(ISNUMBER('R4 Variations'!I795),+'R4 Variations'!I795*LU_Escalation,0)</f>
        <v>0</v>
      </c>
      <c r="J795" s="491">
        <f ca="1">IF(ISNUMBER('R4 Variations'!J795),+'R4 Variations'!J795*LU_Escalation,0)</f>
        <v>0</v>
      </c>
      <c r="K795" s="491">
        <f ca="1">IF(ISNUMBER('R4 Variations'!K795),+'R4 Variations'!K795*LU_Escalation,0)</f>
        <v>0</v>
      </c>
      <c r="L795" s="515" t="str">
        <f ca="1">+'R4 Variations'!L795</f>
        <v/>
      </c>
      <c r="M795" s="450" t="str">
        <f ca="1">+'R4 Variations'!M795</f>
        <v/>
      </c>
      <c r="N795" s="450" t="str">
        <f ca="1">+'R4 Variations'!N795</f>
        <v/>
      </c>
    </row>
    <row r="796" spans="1:14" ht="17.25" customHeight="1" thickBot="1">
      <c r="B796" s="250"/>
      <c r="C796" s="269" t="str">
        <f>CONCATENATE("Total ", +C728:C728)</f>
        <v xml:space="preserve">Total Other </v>
      </c>
      <c r="D796" s="315">
        <f t="shared" ref="D796:K796" ca="1" si="8">SUBTOTAL(9,D730:D795)</f>
        <v>0</v>
      </c>
      <c r="E796" s="500">
        <f t="shared" ca="1" si="8"/>
        <v>0</v>
      </c>
      <c r="F796" s="314">
        <f t="shared" ca="1" si="8"/>
        <v>0</v>
      </c>
      <c r="G796" s="315">
        <f t="shared" ca="1" si="8"/>
        <v>0</v>
      </c>
      <c r="H796" s="315">
        <f t="shared" ca="1" si="8"/>
        <v>0</v>
      </c>
      <c r="I796" s="315">
        <f t="shared" ca="1" si="8"/>
        <v>0</v>
      </c>
      <c r="J796" s="315">
        <f t="shared" ca="1" si="8"/>
        <v>0</v>
      </c>
      <c r="K796" s="500">
        <f t="shared" ca="1" si="8"/>
        <v>0</v>
      </c>
      <c r="L796" s="515"/>
      <c r="M796" s="450"/>
      <c r="N796" s="450"/>
    </row>
    <row r="797" spans="1:14" ht="16.5" thickBot="1">
      <c r="B797" s="270"/>
      <c r="C797" s="272" t="s">
        <v>273</v>
      </c>
      <c r="D797" s="271">
        <f t="shared" ref="D797:K797" ca="1" si="9">SUBTOTAL(9,D308:D796)</f>
        <v>0</v>
      </c>
      <c r="E797" s="501">
        <f t="shared" ca="1" si="9"/>
        <v>0</v>
      </c>
      <c r="F797" s="271">
        <f t="shared" ca="1" si="9"/>
        <v>2.0860000000000003</v>
      </c>
      <c r="G797" s="271">
        <f t="shared" ca="1" si="9"/>
        <v>6.8991191538461543</v>
      </c>
      <c r="H797" s="271">
        <f t="shared" ca="1" si="9"/>
        <v>7.5917187692307699</v>
      </c>
      <c r="I797" s="271">
        <f t="shared" ca="1" si="9"/>
        <v>10.40036526923077</v>
      </c>
      <c r="J797" s="271">
        <f t="shared" ca="1" si="9"/>
        <v>10.436545846153846</v>
      </c>
      <c r="K797" s="501">
        <f t="shared" ca="1" si="9"/>
        <v>10.839700846153848</v>
      </c>
      <c r="L797" s="515"/>
      <c r="M797" s="450"/>
      <c r="N797" s="450"/>
    </row>
    <row r="798" spans="1:14">
      <c r="B798" s="249"/>
      <c r="C798" s="12"/>
      <c r="D798" s="16"/>
      <c r="E798" s="502"/>
      <c r="F798" s="16"/>
      <c r="G798" s="16"/>
      <c r="H798" s="16"/>
      <c r="I798" s="16"/>
      <c r="J798" s="16"/>
      <c r="K798" s="502"/>
      <c r="L798" s="515"/>
      <c r="M798" s="450"/>
      <c r="N798" s="450"/>
    </row>
    <row r="799" spans="1:14" ht="32.25" thickBot="1">
      <c r="B799" s="270"/>
      <c r="C799" s="272" t="s">
        <v>274</v>
      </c>
      <c r="D799" s="501">
        <f t="shared" ref="D799:J799" ca="1" si="10">SUBTOTAL(9,D8:D796)</f>
        <v>0</v>
      </c>
      <c r="E799" s="501">
        <f t="shared" ca="1" si="10"/>
        <v>0</v>
      </c>
      <c r="F799" s="501">
        <f t="shared" ca="1" si="10"/>
        <v>7.2356497692307702</v>
      </c>
      <c r="G799" s="501">
        <f t="shared" ca="1" si="10"/>
        <v>25.261278807692307</v>
      </c>
      <c r="H799" s="501">
        <f t="shared" ca="1" si="10"/>
        <v>31.176286269230769</v>
      </c>
      <c r="I799" s="501">
        <f t="shared" ca="1" si="10"/>
        <v>28.914483346153848</v>
      </c>
      <c r="J799" s="501">
        <f t="shared" ca="1" si="10"/>
        <v>28.327324269230772</v>
      </c>
      <c r="K799" s="501">
        <f ca="1">SUBTOTAL(9,K8:K796)</f>
        <v>26.322920307692311</v>
      </c>
      <c r="L799" s="515"/>
      <c r="M799" s="450"/>
      <c r="N799" s="450"/>
    </row>
    <row r="800" spans="1:14">
      <c r="D800" s="17"/>
      <c r="E800" s="17"/>
      <c r="F800" s="17"/>
      <c r="G800" s="17"/>
      <c r="H800" s="17"/>
      <c r="I800" s="17"/>
      <c r="J800" s="17"/>
      <c r="K800" s="17"/>
    </row>
    <row r="801" spans="2:11">
      <c r="G801" s="870"/>
    </row>
    <row r="804" spans="2:11" ht="15">
      <c r="B804" s="717" t="s">
        <v>314</v>
      </c>
      <c r="C804" s="709"/>
      <c r="D804" s="709"/>
      <c r="E804" s="709"/>
      <c r="F804" s="709"/>
      <c r="G804" s="709"/>
      <c r="H804" s="709"/>
      <c r="I804" s="709"/>
      <c r="J804" s="709"/>
      <c r="K804" s="710"/>
    </row>
    <row r="805" spans="2:11" ht="13.5">
      <c r="B805" s="711" t="s">
        <v>625</v>
      </c>
      <c r="C805" s="712"/>
      <c r="D805" s="712"/>
      <c r="E805" s="712"/>
      <c r="F805" s="712"/>
      <c r="G805" s="712"/>
      <c r="H805" s="712"/>
      <c r="I805" s="712"/>
      <c r="J805" s="712"/>
      <c r="K805" s="713"/>
    </row>
    <row r="806" spans="2:11" ht="13.5">
      <c r="B806" s="711"/>
      <c r="C806" s="712"/>
      <c r="D806" s="712"/>
      <c r="E806" s="712"/>
      <c r="F806" s="712"/>
      <c r="G806" s="712"/>
      <c r="H806" s="712"/>
      <c r="I806" s="712"/>
      <c r="J806" s="712"/>
      <c r="K806" s="713"/>
    </row>
    <row r="807" spans="2:11" ht="13.5">
      <c r="B807" s="711" t="s">
        <v>615</v>
      </c>
      <c r="C807" s="712"/>
      <c r="D807" s="712"/>
      <c r="E807" s="712"/>
      <c r="F807" s="712"/>
      <c r="G807" s="712"/>
      <c r="H807" s="712"/>
      <c r="I807" s="712"/>
      <c r="J807" s="712"/>
      <c r="K807" s="713"/>
    </row>
    <row r="808" spans="2:11" ht="13.5">
      <c r="B808" s="711" t="s">
        <v>616</v>
      </c>
      <c r="C808" s="712"/>
      <c r="D808" s="712"/>
      <c r="E808" s="712"/>
      <c r="F808" s="712"/>
      <c r="G808" s="712"/>
      <c r="H808" s="712"/>
      <c r="I808" s="712"/>
      <c r="J808" s="712"/>
      <c r="K808" s="713"/>
    </row>
    <row r="809" spans="2:11" ht="13.5">
      <c r="B809" s="714"/>
      <c r="C809" s="715"/>
      <c r="D809" s="715"/>
      <c r="E809" s="715"/>
      <c r="F809" s="715"/>
      <c r="G809" s="715"/>
      <c r="H809" s="715"/>
      <c r="I809" s="715"/>
      <c r="J809" s="715"/>
      <c r="K809" s="716"/>
    </row>
    <row r="812" spans="2:11" ht="13.5" thickBot="1">
      <c r="B812" t="s">
        <v>315</v>
      </c>
    </row>
    <row r="813" spans="2:11">
      <c r="B813" s="326" t="s">
        <v>288</v>
      </c>
      <c r="C813" s="317"/>
      <c r="D813" s="317"/>
      <c r="E813" s="317"/>
      <c r="F813" s="317"/>
      <c r="G813" s="317"/>
      <c r="H813" s="317"/>
      <c r="I813" s="317"/>
      <c r="J813" s="317"/>
      <c r="K813" s="318"/>
    </row>
    <row r="814" spans="2:11">
      <c r="B814" s="319" t="s">
        <v>512</v>
      </c>
      <c r="C814" s="67"/>
      <c r="D814" s="308">
        <f ca="1">+D799-'R4 Variations'!D799*LU_Escalation</f>
        <v>0</v>
      </c>
      <c r="E814" s="308">
        <f ca="1">+E799-'R4 Variations'!E799*LU_Escalation</f>
        <v>0</v>
      </c>
      <c r="F814" s="308">
        <f ca="1">+F799-'R4 Variations'!F799*LU_Escalation</f>
        <v>0</v>
      </c>
      <c r="G814" s="308">
        <f ca="1">+G799-'R4 Variations'!G799*LU_Escalation</f>
        <v>0</v>
      </c>
      <c r="H814" s="308">
        <f ca="1">+H799-'R4 Variations'!H799*LU_Escalation</f>
        <v>0</v>
      </c>
      <c r="I814" s="308">
        <f ca="1">+I799-'R4 Variations'!I799*LU_Escalation</f>
        <v>0</v>
      </c>
      <c r="J814" s="308">
        <f ca="1">+J799-'R4 Variations'!J799*LU_Escalation</f>
        <v>0</v>
      </c>
      <c r="K814" s="308">
        <f ca="1">+K799-'R4 Variations'!K799*LU_Escalation</f>
        <v>0</v>
      </c>
    </row>
    <row r="815" spans="2:11" ht="13.5" thickBot="1">
      <c r="B815" s="322"/>
      <c r="C815" s="323"/>
      <c r="D815" s="323"/>
      <c r="E815" s="323"/>
      <c r="F815" s="323"/>
      <c r="G815" s="323"/>
      <c r="H815" s="323"/>
      <c r="I815" s="323"/>
      <c r="J815" s="323"/>
      <c r="K815" s="324"/>
    </row>
    <row r="818" spans="10:10">
      <c r="J818" s="592"/>
    </row>
  </sheetData>
  <sheetProtection formatColumns="0" formatRows="0"/>
  <phoneticPr fontId="0" type="noConversion"/>
  <conditionalFormatting sqref="D814:K814">
    <cfRule type="cellIs" dxfId="21" priority="1" stopIfTrue="1" operator="equal">
      <formula>0</formula>
    </cfRule>
    <cfRule type="cellIs" dxfId="20" priority="2" stopIfTrue="1" operator="notEqual">
      <formula>0</formula>
    </cfRule>
  </conditionalFormatting>
  <pageMargins left="0.46" right="0.24" top="0.55000000000000004" bottom="0.64" header="0.24" footer="0.2"/>
  <pageSetup paperSize="9" scale="57" fitToHeight="0" orientation="landscape" r:id="rId1"/>
  <headerFooter alignWithMargins="0">
    <oddFooter>&amp;L&amp;8&amp;F
&amp;A
Printed: &amp;T on &amp;D&amp;C&amp;8Page &amp;P of &amp;N</oddFooter>
  </headerFooter>
  <rowBreaks count="13" manualBreakCount="13">
    <brk id="66" min="1" max="13" man="1"/>
    <brk id="127" min="1" max="13" man="1"/>
    <brk id="188" min="1" max="13" man="1"/>
    <brk id="248" min="1" max="13" man="1"/>
    <brk id="299" min="1" max="13" man="1"/>
    <brk id="349" min="1" max="13" man="1"/>
    <brk id="411" min="1" max="13" man="1"/>
    <brk id="471" min="1" max="13" man="1"/>
    <brk id="532" min="1" max="13" man="1"/>
    <brk id="592" min="1" max="13" man="1"/>
    <brk id="652" min="1" max="13" man="1"/>
    <brk id="676" min="1" max="13" man="1"/>
    <brk id="727" min="1" max="13" man="1"/>
  </rowBreaks>
</worksheet>
</file>

<file path=xl/worksheets/sheet91.xml><?xml version="1.0" encoding="utf-8"?>
<worksheet xmlns="http://schemas.openxmlformats.org/spreadsheetml/2006/main" xmlns:r="http://schemas.openxmlformats.org/officeDocument/2006/relationships">
  <sheetPr codeName="Sheet108" enableFormatConditionsCalculation="0">
    <tabColor indexed="12"/>
    <pageSetUpPr fitToPage="1"/>
  </sheetPr>
  <dimension ref="A1:L69"/>
  <sheetViews>
    <sheetView showGridLines="0" zoomScale="85" zoomScaleNormal="85" workbookViewId="0">
      <selection activeCell="L40" sqref="L40"/>
    </sheetView>
  </sheetViews>
  <sheetFormatPr defaultRowHeight="12.75"/>
  <cols>
    <col min="1" max="1" width="4.28515625" customWidth="1"/>
    <col min="2" max="2" width="41.85546875" customWidth="1"/>
    <col min="3" max="3" width="9.42578125" hidden="1" customWidth="1"/>
    <col min="4" max="9" width="9.28515625" customWidth="1"/>
    <col min="10" max="10" width="10.42578125" customWidth="1"/>
    <col min="16" max="16" width="0" hidden="1" customWidth="1"/>
  </cols>
  <sheetData>
    <row r="1" spans="1:11" ht="20.25">
      <c r="A1" s="632" t="s">
        <v>553</v>
      </c>
      <c r="B1" s="7" t="s">
        <v>405</v>
      </c>
    </row>
    <row r="2" spans="1:11">
      <c r="B2" t="s">
        <v>449</v>
      </c>
    </row>
    <row r="5" spans="1:11" ht="15.75">
      <c r="B5" s="428" t="s">
        <v>108</v>
      </c>
      <c r="C5" s="429"/>
      <c r="D5" s="429"/>
      <c r="E5" s="429"/>
      <c r="F5" s="429"/>
      <c r="G5" s="429"/>
      <c r="H5" s="429"/>
      <c r="J5" s="429"/>
      <c r="K5" s="21"/>
    </row>
    <row r="6" spans="1:11" ht="13.5" thickBot="1">
      <c r="B6" s="429"/>
      <c r="C6" s="429"/>
      <c r="D6" s="429"/>
      <c r="E6" s="429"/>
      <c r="F6" s="429"/>
      <c r="G6" s="429"/>
      <c r="H6" s="429"/>
      <c r="I6" s="474" t="str">
        <f>+LU_PTRMDollarDenomination</f>
        <v>$'M June 2015</v>
      </c>
      <c r="J6" s="429"/>
      <c r="K6" s="21"/>
    </row>
    <row r="7" spans="1:11" ht="13.5" thickBot="1">
      <c r="B7" s="471"/>
      <c r="C7" s="439" t="str">
        <f t="array" ref="C7:I7">LU_TemplateYearHeader2</f>
        <v>2013/14</v>
      </c>
      <c r="D7" s="439" t="str">
        <v>2014/15</v>
      </c>
      <c r="E7" s="439" t="str">
        <v>2015/16</v>
      </c>
      <c r="F7" s="439" t="str">
        <v>2016/17</v>
      </c>
      <c r="G7" s="439" t="str">
        <v>2017/18</v>
      </c>
      <c r="H7" s="439" t="str">
        <v>2018/19</v>
      </c>
      <c r="I7" s="439" t="str">
        <v>2019/20</v>
      </c>
      <c r="J7" s="439" t="s">
        <v>75</v>
      </c>
      <c r="K7" s="21"/>
    </row>
    <row r="8" spans="1:11">
      <c r="B8" s="431" t="str">
        <f>+'I-7 Escalations'!B11</f>
        <v>Labour</v>
      </c>
      <c r="C8" s="427">
        <f ca="1">+'R6 Escalations'!C8*LU_Escalation</f>
        <v>0</v>
      </c>
      <c r="D8" s="427">
        <f ca="1">+'R6 Escalations'!D8*LU_Escalation</f>
        <v>0</v>
      </c>
      <c r="E8" s="427">
        <f ca="1">+'R6 Escalations'!E8*LU_Escalation</f>
        <v>2.3899741001505244</v>
      </c>
      <c r="F8" s="427">
        <f ca="1">+'R6 Escalations'!F8*LU_Escalation</f>
        <v>4.8782295643801241</v>
      </c>
      <c r="G8" s="427">
        <f ca="1">+'R6 Escalations'!G8*LU_Escalation</f>
        <v>7.6058456982447469</v>
      </c>
      <c r="H8" s="427">
        <f ca="1">+'R6 Escalations'!H8*LU_Escalation</f>
        <v>10.45359304398904</v>
      </c>
      <c r="I8" s="427">
        <f ca="1">+'R6 Escalations'!I8*LU_Escalation</f>
        <v>13.409486063681562</v>
      </c>
      <c r="J8" s="806">
        <f t="shared" ref="J8:J12" ca="1" si="0">SUM(E8:I8)</f>
        <v>38.737128470445995</v>
      </c>
      <c r="K8" s="21"/>
    </row>
    <row r="9" spans="1:11">
      <c r="B9" s="431" t="str">
        <f>+'I-7 Escalations'!B12</f>
        <v>Materials</v>
      </c>
      <c r="C9" s="427">
        <f ca="1">+'R6 Escalations'!C9*LU_Escalation</f>
        <v>0</v>
      </c>
      <c r="D9" s="427">
        <f ca="1">+'R6 Escalations'!D9*LU_Escalation</f>
        <v>0</v>
      </c>
      <c r="E9" s="427">
        <f ca="1">+'R6 Escalations'!E9*LU_Escalation</f>
        <v>0</v>
      </c>
      <c r="F9" s="427">
        <f ca="1">+'R6 Escalations'!F9*LU_Escalation</f>
        <v>0</v>
      </c>
      <c r="G9" s="427">
        <f ca="1">+'R6 Escalations'!G9*LU_Escalation</f>
        <v>0</v>
      </c>
      <c r="H9" s="427">
        <f ca="1">+'R6 Escalations'!H9*LU_Escalation</f>
        <v>0</v>
      </c>
      <c r="I9" s="427">
        <f ca="1">+'R6 Escalations'!I9*LU_Escalation</f>
        <v>0</v>
      </c>
      <c r="J9" s="806">
        <f t="shared" ca="1" si="0"/>
        <v>0</v>
      </c>
      <c r="K9" s="21"/>
    </row>
    <row r="10" spans="1:11">
      <c r="B10" s="431" t="str">
        <f>+'I-7 Escalations'!B13</f>
        <v>Services-construction</v>
      </c>
      <c r="C10" s="427">
        <f ca="1">+'R6 Escalations'!C10*LU_Escalation</f>
        <v>0</v>
      </c>
      <c r="D10" s="427">
        <f ca="1">+'R6 Escalations'!D10*LU_Escalation</f>
        <v>0</v>
      </c>
      <c r="E10" s="427">
        <f ca="1">+'R6 Escalations'!E10*LU_Escalation</f>
        <v>0.28518554616282132</v>
      </c>
      <c r="F10" s="427">
        <f ca="1">+'R6 Escalations'!F10*LU_Escalation</f>
        <v>0.5773593614172059</v>
      </c>
      <c r="G10" s="427">
        <f ca="1">+'R6 Escalations'!G10*LU_Escalation</f>
        <v>1.1113671404634207</v>
      </c>
      <c r="H10" s="427">
        <f ca="1">+'R6 Escalations'!H10*LU_Escalation</f>
        <v>1.7512523973699925</v>
      </c>
      <c r="I10" s="427">
        <f ca="1">+'R6 Escalations'!I10*LU_Escalation</f>
        <v>2.5306039215840621</v>
      </c>
      <c r="J10" s="806">
        <f t="shared" ca="1" si="0"/>
        <v>6.2557683669975024</v>
      </c>
      <c r="K10" s="21"/>
    </row>
    <row r="11" spans="1:11" s="766" customFormat="1">
      <c r="B11" s="431" t="str">
        <f>+'I-7 Escalations'!B14</f>
        <v>Services-general</v>
      </c>
      <c r="C11" s="427">
        <f ca="1">+'R6 Escalations'!C12*LU_Escalation</f>
        <v>0</v>
      </c>
      <c r="D11" s="427">
        <f ca="1">+'R6 Escalations'!D12*LU_Escalation</f>
        <v>0</v>
      </c>
      <c r="E11" s="427">
        <f ca="1">+'R6 Escalations'!E11*LU_Escalation</f>
        <v>0.24002624459182298</v>
      </c>
      <c r="F11" s="427">
        <f ca="1">+'R6 Escalations'!F11*LU_Escalation</f>
        <v>0.48593416169059472</v>
      </c>
      <c r="G11" s="427">
        <f ca="1">+'R6 Escalations'!G11*LU_Escalation</f>
        <v>0.9353814899717523</v>
      </c>
      <c r="H11" s="427">
        <f ca="1">+'R6 Escalations'!H11*LU_Escalation</f>
        <v>1.4739405342553964</v>
      </c>
      <c r="I11" s="427">
        <f ca="1">+'R6 Escalations'!I11*LU_Escalation</f>
        <v>2.1298812791177455</v>
      </c>
      <c r="J11" s="806">
        <f t="shared" ca="1" si="0"/>
        <v>5.2651637096273118</v>
      </c>
      <c r="K11" s="732"/>
    </row>
    <row r="12" spans="1:11">
      <c r="B12" s="431" t="str">
        <f>+'I-7 Escalations'!B15</f>
        <v>Materials - Land</v>
      </c>
      <c r="C12" s="427">
        <f ca="1">+'R6 Escalations'!C13*LU_Escalation</f>
        <v>0</v>
      </c>
      <c r="D12" s="427">
        <f ca="1">+'R6 Escalations'!D13*LU_Escalation</f>
        <v>0</v>
      </c>
      <c r="E12" s="427">
        <f ca="1">+'R6 Escalations'!E12*LU_Escalation</f>
        <v>0</v>
      </c>
      <c r="F12" s="427">
        <f ca="1">+'R6 Escalations'!F12*LU_Escalation</f>
        <v>0</v>
      </c>
      <c r="G12" s="427">
        <f ca="1">+'R6 Escalations'!G12*LU_Escalation</f>
        <v>0</v>
      </c>
      <c r="H12" s="427">
        <f ca="1">+'R6 Escalations'!H12*LU_Escalation</f>
        <v>0</v>
      </c>
      <c r="I12" s="427">
        <f ca="1">+'R6 Escalations'!I12*LU_Escalation</f>
        <v>0</v>
      </c>
      <c r="J12" s="806">
        <f t="shared" ca="1" si="0"/>
        <v>0</v>
      </c>
      <c r="K12" s="21"/>
    </row>
    <row r="13" spans="1:11">
      <c r="B13" s="435" t="s">
        <v>382</v>
      </c>
      <c r="C13" s="433">
        <f t="shared" ref="C13:I13" ca="1" si="1">SUM(C8:C12)</f>
        <v>0</v>
      </c>
      <c r="D13" s="433">
        <f t="shared" ca="1" si="1"/>
        <v>0</v>
      </c>
      <c r="E13" s="433">
        <f t="shared" ca="1" si="1"/>
        <v>2.9151858909051689</v>
      </c>
      <c r="F13" s="433">
        <f t="shared" ca="1" si="1"/>
        <v>5.9415230874879246</v>
      </c>
      <c r="G13" s="433">
        <f t="shared" ca="1" si="1"/>
        <v>9.6525943286799194</v>
      </c>
      <c r="H13" s="433">
        <f t="shared" ca="1" si="1"/>
        <v>13.678785975614428</v>
      </c>
      <c r="I13" s="433">
        <f t="shared" ca="1" si="1"/>
        <v>18.069971264383369</v>
      </c>
      <c r="J13" s="433">
        <f ca="1">SUM(E13:I13)</f>
        <v>50.258060547070812</v>
      </c>
      <c r="K13" s="21"/>
    </row>
    <row r="14" spans="1:11">
      <c r="B14" s="434"/>
      <c r="C14" s="36"/>
      <c r="D14" s="36"/>
      <c r="E14" s="36"/>
      <c r="F14" s="36"/>
      <c r="G14" s="36"/>
      <c r="H14" s="36"/>
      <c r="I14" s="36"/>
      <c r="J14" s="36"/>
      <c r="K14" s="21"/>
    </row>
    <row r="15" spans="1:11" ht="15.75">
      <c r="B15" s="428" t="s">
        <v>115</v>
      </c>
      <c r="C15" s="429"/>
      <c r="D15" s="429"/>
      <c r="E15" s="429"/>
      <c r="F15" s="429"/>
      <c r="G15" s="429"/>
      <c r="H15" s="429"/>
      <c r="I15" s="429"/>
      <c r="J15" s="429"/>
      <c r="K15" s="21"/>
    </row>
    <row r="16" spans="1:11" ht="13.5" thickBot="1">
      <c r="B16" s="429"/>
      <c r="C16" s="429"/>
      <c r="D16" s="429"/>
      <c r="E16" s="429"/>
      <c r="F16" s="429"/>
      <c r="G16" s="429"/>
      <c r="H16" s="429"/>
      <c r="I16" s="474" t="str">
        <f>+LU_PTRMDollarDenomination</f>
        <v>$'M June 2015</v>
      </c>
      <c r="J16" s="429"/>
      <c r="K16" s="21"/>
    </row>
    <row r="17" spans="2:11" ht="13.5" thickBot="1">
      <c r="B17" s="471"/>
      <c r="C17" s="439" t="str">
        <f t="array" ref="C17:I17">LU_TemplateYearHeader2</f>
        <v>2013/14</v>
      </c>
      <c r="D17" s="439" t="str">
        <v>2014/15</v>
      </c>
      <c r="E17" s="439" t="str">
        <v>2015/16</v>
      </c>
      <c r="F17" s="439" t="str">
        <v>2016/17</v>
      </c>
      <c r="G17" s="439" t="str">
        <v>2017/18</v>
      </c>
      <c r="H17" s="439" t="str">
        <v>2018/19</v>
      </c>
      <c r="I17" s="439" t="str">
        <v>2019/20</v>
      </c>
      <c r="J17" s="439" t="s">
        <v>75</v>
      </c>
      <c r="K17" s="21"/>
    </row>
    <row r="18" spans="2:11">
      <c r="B18" s="496" t="s">
        <v>716</v>
      </c>
      <c r="C18" s="495"/>
      <c r="D18" s="495"/>
      <c r="E18" s="495"/>
      <c r="F18" s="495"/>
      <c r="G18" s="495"/>
      <c r="H18" s="495"/>
      <c r="I18" s="495"/>
      <c r="J18" s="430"/>
      <c r="K18" s="21"/>
    </row>
    <row r="19" spans="2:11">
      <c r="B19" s="431" t="str">
        <f>+'I-7 Escalations'!B24</f>
        <v>Customer Growth</v>
      </c>
      <c r="C19" s="427">
        <f ca="1">+'R6 Escalations'!C19*LU_Escalation</f>
        <v>0</v>
      </c>
      <c r="D19" s="427">
        <f ca="1">+'R6 Escalations'!D19*LU_Escalation</f>
        <v>0</v>
      </c>
      <c r="E19" s="427">
        <f ca="1">+'R6 Escalations'!E19*LU_Escalation</f>
        <v>0</v>
      </c>
      <c r="F19" s="427">
        <f ca="1">+'R6 Escalations'!F19*LU_Escalation</f>
        <v>0</v>
      </c>
      <c r="G19" s="427">
        <f ca="1">+'R6 Escalations'!G19*LU_Escalation</f>
        <v>0</v>
      </c>
      <c r="H19" s="427">
        <f ca="1">+'R6 Escalations'!H19*LU_Escalation</f>
        <v>0</v>
      </c>
      <c r="I19" s="427">
        <f ca="1">+'R6 Escalations'!I19*LU_Escalation</f>
        <v>0</v>
      </c>
      <c r="J19" s="806">
        <f t="shared" ref="J19:J25" ca="1" si="2">SUM(E19:I19)</f>
        <v>0</v>
      </c>
      <c r="K19" s="21"/>
    </row>
    <row r="20" spans="2:11">
      <c r="B20" s="431" t="str">
        <f>+'I-7 Escalations'!B25</f>
        <v>Circuit Length Growth</v>
      </c>
      <c r="C20" s="427">
        <f ca="1">+'R6 Escalations'!C20*LU_Escalation</f>
        <v>0</v>
      </c>
      <c r="D20" s="427">
        <f ca="1">+'R6 Escalations'!D20*LU_Escalation</f>
        <v>0</v>
      </c>
      <c r="E20" s="427">
        <f ca="1">+'R6 Escalations'!E20*LU_Escalation</f>
        <v>0</v>
      </c>
      <c r="F20" s="427">
        <f ca="1">+'R6 Escalations'!F20*LU_Escalation</f>
        <v>0</v>
      </c>
      <c r="G20" s="427">
        <f ca="1">+'R6 Escalations'!G20*LU_Escalation</f>
        <v>0</v>
      </c>
      <c r="H20" s="427">
        <f ca="1">+'R6 Escalations'!H20*LU_Escalation</f>
        <v>0</v>
      </c>
      <c r="I20" s="427">
        <f ca="1">+'R6 Escalations'!I20*LU_Escalation</f>
        <v>0</v>
      </c>
      <c r="J20" s="806">
        <f t="shared" ca="1" si="2"/>
        <v>0</v>
      </c>
      <c r="K20" s="21"/>
    </row>
    <row r="21" spans="2:11">
      <c r="B21" s="431" t="str">
        <f>+'I-7 Escalations'!B26</f>
        <v>Distribution Transformer Capacity Growth</v>
      </c>
      <c r="C21" s="427">
        <f ca="1">+'R6 Escalations'!C21*LU_Escalation</f>
        <v>0</v>
      </c>
      <c r="D21" s="427">
        <f ca="1">+'R6 Escalations'!D21*LU_Escalation</f>
        <v>0</v>
      </c>
      <c r="E21" s="427">
        <f ca="1">+'R6 Escalations'!E21*LU_Escalation</f>
        <v>0</v>
      </c>
      <c r="F21" s="427">
        <f ca="1">+'R6 Escalations'!F21*LU_Escalation</f>
        <v>0</v>
      </c>
      <c r="G21" s="427">
        <f ca="1">+'R6 Escalations'!G21*LU_Escalation</f>
        <v>0</v>
      </c>
      <c r="H21" s="427">
        <f ca="1">+'R6 Escalations'!H21*LU_Escalation</f>
        <v>0</v>
      </c>
      <c r="I21" s="427">
        <f ca="1">+'R6 Escalations'!I21*LU_Escalation</f>
        <v>0</v>
      </c>
      <c r="J21" s="806">
        <f t="shared" ca="1" si="2"/>
        <v>0</v>
      </c>
      <c r="K21" s="21"/>
    </row>
    <row r="22" spans="2:11">
      <c r="B22" s="431" t="str">
        <f>+'I-7 Escalations'!B28</f>
        <v>Total Output Growth</v>
      </c>
      <c r="C22" s="427">
        <f ca="1">+'R6 Escalations'!C22*LU_Escalation</f>
        <v>0</v>
      </c>
      <c r="D22" s="427">
        <f ca="1">+'R6 Escalations'!D22*LU_Escalation</f>
        <v>0</v>
      </c>
      <c r="E22" s="427">
        <f ca="1">+'R6 Escalations'!E22*LU_Escalation</f>
        <v>2.536411788163019</v>
      </c>
      <c r="F22" s="427">
        <f ca="1">+'R6 Escalations'!F22*LU_Escalation</f>
        <v>4.8866149723706558</v>
      </c>
      <c r="G22" s="427">
        <f ca="1">+'R6 Escalations'!G22*LU_Escalation</f>
        <v>7.2097647227646533</v>
      </c>
      <c r="H22" s="427">
        <f ca="1">+'R6 Escalations'!H22*LU_Escalation</f>
        <v>9.7301956169746564</v>
      </c>
      <c r="I22" s="427">
        <f ca="1">+'R6 Escalations'!I22*LU_Escalation</f>
        <v>12.038929179056559</v>
      </c>
      <c r="J22" s="806">
        <f t="shared" ca="1" si="2"/>
        <v>36.401916279329541</v>
      </c>
      <c r="K22" s="21"/>
    </row>
    <row r="23" spans="2:11">
      <c r="B23" s="431" t="str">
        <f>+'I-7 Escalations'!B29</f>
        <v>Nil</v>
      </c>
      <c r="C23" s="427">
        <f ca="1">+'R6 Escalations'!C23*LU_Escalation</f>
        <v>0</v>
      </c>
      <c r="D23" s="427">
        <f ca="1">+'R6 Escalations'!D23*LU_Escalation</f>
        <v>0</v>
      </c>
      <c r="E23" s="427">
        <f ca="1">+'R6 Escalations'!E23*LU_Escalation</f>
        <v>0</v>
      </c>
      <c r="F23" s="427">
        <f ca="1">+'R6 Escalations'!F23*LU_Escalation</f>
        <v>0</v>
      </c>
      <c r="G23" s="427">
        <f ca="1">+'R6 Escalations'!G23*LU_Escalation</f>
        <v>0</v>
      </c>
      <c r="H23" s="427">
        <f ca="1">+'R6 Escalations'!H23*LU_Escalation</f>
        <v>0</v>
      </c>
      <c r="I23" s="427">
        <f ca="1">+'R6 Escalations'!I23*LU_Escalation</f>
        <v>0</v>
      </c>
      <c r="J23" s="806">
        <f t="shared" ca="1" si="2"/>
        <v>0</v>
      </c>
      <c r="K23" s="21"/>
    </row>
    <row r="24" spans="2:11">
      <c r="B24" s="431">
        <f>+'I-7 Escalations'!B30</f>
        <v>0</v>
      </c>
      <c r="C24" s="427">
        <f ca="1">+'R6 Escalations'!C24*LU_Escalation</f>
        <v>0</v>
      </c>
      <c r="D24" s="427">
        <f ca="1">+'R6 Escalations'!D24*LU_Escalation</f>
        <v>0</v>
      </c>
      <c r="E24" s="427">
        <f ca="1">+'R6 Escalations'!E24*LU_Escalation</f>
        <v>0</v>
      </c>
      <c r="F24" s="427">
        <f ca="1">+'R6 Escalations'!F24*LU_Escalation</f>
        <v>0</v>
      </c>
      <c r="G24" s="427">
        <f ca="1">+'R6 Escalations'!G24*LU_Escalation</f>
        <v>0</v>
      </c>
      <c r="H24" s="427">
        <f ca="1">+'R6 Escalations'!H24*LU_Escalation</f>
        <v>0</v>
      </c>
      <c r="I24" s="427">
        <f ca="1">+'R6 Escalations'!I24*LU_Escalation</f>
        <v>0</v>
      </c>
      <c r="J24" s="806">
        <f t="shared" ca="1" si="2"/>
        <v>0</v>
      </c>
      <c r="K24" s="21"/>
    </row>
    <row r="25" spans="2:11">
      <c r="B25" s="431">
        <f>+'I-7 Escalations'!B31</f>
        <v>0</v>
      </c>
      <c r="C25" s="427">
        <f ca="1">+'R6 Escalations'!C25*LU_Escalation</f>
        <v>0</v>
      </c>
      <c r="D25" s="427">
        <f ca="1">+'R6 Escalations'!D25*LU_Escalation</f>
        <v>0</v>
      </c>
      <c r="E25" s="427">
        <f ca="1">+'R6 Escalations'!E25*LU_Escalation</f>
        <v>0</v>
      </c>
      <c r="F25" s="427">
        <f ca="1">+'R6 Escalations'!F25*LU_Escalation</f>
        <v>0</v>
      </c>
      <c r="G25" s="427">
        <f ca="1">+'R6 Escalations'!G25*LU_Escalation</f>
        <v>0</v>
      </c>
      <c r="H25" s="427">
        <f ca="1">+'R6 Escalations'!H25*LU_Escalation</f>
        <v>0</v>
      </c>
      <c r="I25" s="427">
        <f ca="1">+'R6 Escalations'!I25*LU_Escalation</f>
        <v>0</v>
      </c>
      <c r="J25" s="806">
        <f t="shared" ca="1" si="2"/>
        <v>0</v>
      </c>
      <c r="K25" s="21"/>
    </row>
    <row r="26" spans="2:11">
      <c r="B26" s="431">
        <f>+'I-7 Escalations'!B32</f>
        <v>0</v>
      </c>
      <c r="C26" s="427">
        <f ca="1">+'R6 Escalations'!C26*LU_Escalation</f>
        <v>0</v>
      </c>
      <c r="D26" s="427">
        <f ca="1">+'R6 Escalations'!D26*LU_Escalation</f>
        <v>0</v>
      </c>
      <c r="E26" s="427">
        <f ca="1">+'R6 Escalations'!E26*LU_Escalation</f>
        <v>0</v>
      </c>
      <c r="F26" s="427">
        <f ca="1">+'R6 Escalations'!F26*LU_Escalation</f>
        <v>0</v>
      </c>
      <c r="G26" s="427">
        <f ca="1">+'R6 Escalations'!G26*LU_Escalation</f>
        <v>0</v>
      </c>
      <c r="H26" s="427">
        <f ca="1">+'R6 Escalations'!H26*LU_Escalation</f>
        <v>0</v>
      </c>
      <c r="I26" s="427">
        <f ca="1">+'R6 Escalations'!I26*LU_Escalation</f>
        <v>0</v>
      </c>
      <c r="J26" s="806">
        <f t="shared" ref="J26:J27" ca="1" si="3">SUM(E26:I26)</f>
        <v>0</v>
      </c>
      <c r="K26" s="21"/>
    </row>
    <row r="27" spans="2:11">
      <c r="B27" s="431">
        <f>+'I-7 Escalations'!B33</f>
        <v>0</v>
      </c>
      <c r="C27" s="427">
        <f ca="1">+'R6 Escalations'!C27*LU_Escalation</f>
        <v>0</v>
      </c>
      <c r="D27" s="427">
        <f ca="1">+'R6 Escalations'!D27*LU_Escalation</f>
        <v>0</v>
      </c>
      <c r="E27" s="427">
        <f ca="1">+'R6 Escalations'!E27*LU_Escalation</f>
        <v>0</v>
      </c>
      <c r="F27" s="427">
        <f ca="1">+'R6 Escalations'!F27*LU_Escalation</f>
        <v>0</v>
      </c>
      <c r="G27" s="427">
        <f ca="1">+'R6 Escalations'!G27*LU_Escalation</f>
        <v>0</v>
      </c>
      <c r="H27" s="427">
        <f ca="1">+'R6 Escalations'!H27*LU_Escalation</f>
        <v>0</v>
      </c>
      <c r="I27" s="427">
        <f ca="1">+'R6 Escalations'!I27*LU_Escalation</f>
        <v>0</v>
      </c>
      <c r="J27" s="806">
        <f t="shared" ca="1" si="3"/>
        <v>0</v>
      </c>
      <c r="K27" s="21"/>
    </row>
    <row r="28" spans="2:11">
      <c r="B28" s="431">
        <f>+'I-7 Escalations'!B34</f>
        <v>0</v>
      </c>
      <c r="C28" s="427">
        <f ca="1">+'R6 Escalations'!C28*LU_Escalation</f>
        <v>0</v>
      </c>
      <c r="D28" s="427">
        <f ca="1">+'R6 Escalations'!D28*LU_Escalation</f>
        <v>0</v>
      </c>
      <c r="E28" s="427">
        <f ca="1">+'R6 Escalations'!E28*LU_Escalation</f>
        <v>0</v>
      </c>
      <c r="F28" s="427">
        <f ca="1">+'R6 Escalations'!F28*LU_Escalation</f>
        <v>0</v>
      </c>
      <c r="G28" s="427">
        <f ca="1">+'R6 Escalations'!G28*LU_Escalation</f>
        <v>0</v>
      </c>
      <c r="H28" s="427">
        <f ca="1">+'R6 Escalations'!H28*LU_Escalation</f>
        <v>0</v>
      </c>
      <c r="I28" s="427">
        <f ca="1">+'R6 Escalations'!I28*LU_Escalation</f>
        <v>0</v>
      </c>
      <c r="J28" s="806">
        <f t="shared" ref="J28:J31" ca="1" si="4">SUM(E28:I28)</f>
        <v>0</v>
      </c>
      <c r="K28" s="21"/>
    </row>
    <row r="29" spans="2:11">
      <c r="B29" s="431">
        <f>+'I-7 Escalations'!B35</f>
        <v>0</v>
      </c>
      <c r="C29" s="427">
        <f ca="1">+'R6 Escalations'!C29*LU_Escalation</f>
        <v>0</v>
      </c>
      <c r="D29" s="427">
        <f ca="1">+'R6 Escalations'!D29*LU_Escalation</f>
        <v>0</v>
      </c>
      <c r="E29" s="427">
        <f ca="1">+'R6 Escalations'!E29*LU_Escalation</f>
        <v>0</v>
      </c>
      <c r="F29" s="427">
        <f ca="1">+'R6 Escalations'!F29*LU_Escalation</f>
        <v>0</v>
      </c>
      <c r="G29" s="427">
        <f ca="1">+'R6 Escalations'!G29*LU_Escalation</f>
        <v>0</v>
      </c>
      <c r="H29" s="427">
        <f ca="1">+'R6 Escalations'!H29*LU_Escalation</f>
        <v>0</v>
      </c>
      <c r="I29" s="427">
        <f ca="1">+'R6 Escalations'!I29*LU_Escalation</f>
        <v>0</v>
      </c>
      <c r="J29" s="806">
        <f t="shared" ca="1" si="4"/>
        <v>0</v>
      </c>
      <c r="K29" s="21"/>
    </row>
    <row r="30" spans="2:11">
      <c r="B30" s="431">
        <f>+'I-7 Escalations'!B36</f>
        <v>0</v>
      </c>
      <c r="C30" s="427">
        <f ca="1">+'R6 Escalations'!C30*LU_Escalation</f>
        <v>0</v>
      </c>
      <c r="D30" s="427">
        <f ca="1">+'R6 Escalations'!D30*LU_Escalation</f>
        <v>0</v>
      </c>
      <c r="E30" s="427">
        <f ca="1">+'R6 Escalations'!E30*LU_Escalation</f>
        <v>0</v>
      </c>
      <c r="F30" s="427">
        <f ca="1">+'R6 Escalations'!F30*LU_Escalation</f>
        <v>0</v>
      </c>
      <c r="G30" s="427">
        <f ca="1">+'R6 Escalations'!G30*LU_Escalation</f>
        <v>0</v>
      </c>
      <c r="H30" s="427">
        <f ca="1">+'R6 Escalations'!H30*LU_Escalation</f>
        <v>0</v>
      </c>
      <c r="I30" s="427">
        <f ca="1">+'R6 Escalations'!I30*LU_Escalation</f>
        <v>0</v>
      </c>
      <c r="J30" s="806">
        <f t="shared" ca="1" si="4"/>
        <v>0</v>
      </c>
      <c r="K30" s="21"/>
    </row>
    <row r="31" spans="2:11">
      <c r="B31" s="431">
        <f>+'I-7 Escalations'!B37</f>
        <v>0</v>
      </c>
      <c r="C31" s="427">
        <f ca="1">+'R6 Escalations'!C31*LU_Escalation</f>
        <v>0</v>
      </c>
      <c r="D31" s="427">
        <f ca="1">+'R6 Escalations'!D31*LU_Escalation</f>
        <v>0</v>
      </c>
      <c r="E31" s="427">
        <f ca="1">+'R6 Escalations'!E31*LU_Escalation</f>
        <v>0</v>
      </c>
      <c r="F31" s="427">
        <f ca="1">+'R6 Escalations'!F31*LU_Escalation</f>
        <v>0</v>
      </c>
      <c r="G31" s="427">
        <f ca="1">+'R6 Escalations'!G31*LU_Escalation</f>
        <v>0</v>
      </c>
      <c r="H31" s="427">
        <f ca="1">+'R6 Escalations'!H31*LU_Escalation</f>
        <v>0</v>
      </c>
      <c r="I31" s="427">
        <f ca="1">+'R6 Escalations'!I31*LU_Escalation</f>
        <v>0</v>
      </c>
      <c r="J31" s="806">
        <f t="shared" ca="1" si="4"/>
        <v>0</v>
      </c>
      <c r="K31" s="21"/>
    </row>
    <row r="32" spans="2:11">
      <c r="B32" s="431"/>
      <c r="C32" s="427"/>
      <c r="D32" s="427"/>
      <c r="E32" s="427"/>
      <c r="F32" s="427"/>
      <c r="G32" s="427"/>
      <c r="H32" s="427"/>
      <c r="I32" s="427"/>
      <c r="J32" s="806"/>
      <c r="K32" s="21"/>
    </row>
    <row r="33" spans="2:11">
      <c r="B33" s="435" t="s">
        <v>383</v>
      </c>
      <c r="C33" s="433">
        <f t="shared" ref="C33:I33" ca="1" si="5">SUM(C19:C32)</f>
        <v>0</v>
      </c>
      <c r="D33" s="433">
        <f t="shared" ca="1" si="5"/>
        <v>0</v>
      </c>
      <c r="E33" s="433">
        <f t="shared" ca="1" si="5"/>
        <v>2.536411788163019</v>
      </c>
      <c r="F33" s="433">
        <f t="shared" ca="1" si="5"/>
        <v>4.8866149723706558</v>
      </c>
      <c r="G33" s="433">
        <f t="shared" ca="1" si="5"/>
        <v>7.2097647227646533</v>
      </c>
      <c r="H33" s="433">
        <f t="shared" ca="1" si="5"/>
        <v>9.7301956169746564</v>
      </c>
      <c r="I33" s="433">
        <f t="shared" ca="1" si="5"/>
        <v>12.038929179056559</v>
      </c>
      <c r="J33" s="433">
        <f ca="1">SUM(E33:I33)</f>
        <v>36.401916279329541</v>
      </c>
      <c r="K33" s="21"/>
    </row>
    <row r="34" spans="2:11">
      <c r="B34" s="435" t="s">
        <v>384</v>
      </c>
      <c r="C34" s="433">
        <f t="shared" ref="C34:I34" ca="1" si="6">+C33+C13</f>
        <v>0</v>
      </c>
      <c r="D34" s="433">
        <f t="shared" ca="1" si="6"/>
        <v>0</v>
      </c>
      <c r="E34" s="433">
        <f t="shared" ca="1" si="6"/>
        <v>5.4515976790681879</v>
      </c>
      <c r="F34" s="433">
        <f t="shared" ca="1" si="6"/>
        <v>10.828138059858581</v>
      </c>
      <c r="G34" s="433">
        <f t="shared" ca="1" si="6"/>
        <v>16.862359051444571</v>
      </c>
      <c r="H34" s="433">
        <f t="shared" ca="1" si="6"/>
        <v>23.408981592589086</v>
      </c>
      <c r="I34" s="433">
        <f t="shared" ca="1" si="6"/>
        <v>30.108900443439929</v>
      </c>
      <c r="J34" s="433">
        <f ca="1">SUM(E34:I34)</f>
        <v>86.659976826400353</v>
      </c>
      <c r="K34" s="21"/>
    </row>
    <row r="35" spans="2:11">
      <c r="B35" s="21"/>
      <c r="C35" s="21"/>
      <c r="D35" s="21"/>
      <c r="E35" s="21"/>
      <c r="F35" s="21"/>
      <c r="G35" s="21"/>
      <c r="H35" s="21"/>
      <c r="I35" s="21"/>
      <c r="J35" s="21"/>
      <c r="K35" s="21"/>
    </row>
    <row r="36" spans="2:11">
      <c r="B36" s="21"/>
      <c r="C36" s="21"/>
      <c r="D36" s="21"/>
      <c r="E36" s="21"/>
      <c r="F36" s="21"/>
      <c r="G36" s="21"/>
      <c r="H36" s="21"/>
      <c r="I36" s="21"/>
      <c r="J36" s="21"/>
      <c r="K36" s="21"/>
    </row>
    <row r="37" spans="2:11" ht="15.75">
      <c r="B37" s="428" t="s">
        <v>409</v>
      </c>
      <c r="C37" s="429"/>
      <c r="D37" s="429"/>
      <c r="E37" s="429"/>
      <c r="F37" s="429"/>
      <c r="G37" s="429"/>
      <c r="H37" s="429"/>
      <c r="I37" s="429"/>
      <c r="J37" s="21"/>
      <c r="K37" s="21"/>
    </row>
    <row r="38" spans="2:11" ht="13.5" thickBot="1">
      <c r="B38" s="36" t="s">
        <v>410</v>
      </c>
      <c r="C38" s="429"/>
      <c r="D38" s="429"/>
      <c r="E38" s="429"/>
      <c r="F38" s="429"/>
      <c r="G38" s="429"/>
      <c r="H38" s="429"/>
      <c r="I38" s="474" t="str">
        <f>+LU_PTRMDollarDenomination</f>
        <v>$'M June 2015</v>
      </c>
      <c r="J38" s="21"/>
      <c r="K38" s="21"/>
    </row>
    <row r="39" spans="2:11" ht="13.5" thickBot="1">
      <c r="B39" s="471"/>
      <c r="C39" s="439" t="str">
        <f t="array" ref="C39:I39">LU_TemplateYearHeader2</f>
        <v>2013/14</v>
      </c>
      <c r="D39" s="439" t="str">
        <v>2014/15</v>
      </c>
      <c r="E39" s="439" t="str">
        <v>2015/16</v>
      </c>
      <c r="F39" s="439" t="str">
        <v>2016/17</v>
      </c>
      <c r="G39" s="439" t="str">
        <v>2017/18</v>
      </c>
      <c r="H39" s="439" t="str">
        <v>2018/19</v>
      </c>
      <c r="I39" s="439" t="str">
        <v>2019/20</v>
      </c>
      <c r="J39" s="439" t="s">
        <v>75</v>
      </c>
      <c r="K39" s="21"/>
    </row>
    <row r="40" spans="2:11">
      <c r="B40" s="732" t="s">
        <v>717</v>
      </c>
      <c r="C40" s="427">
        <f ca="1">SUM(C19:C25)</f>
        <v>0</v>
      </c>
      <c r="D40" s="427">
        <f t="shared" ref="D40:J40" ca="1" si="7">SUM(D19:D25)</f>
        <v>0</v>
      </c>
      <c r="E40" s="427">
        <f t="shared" ca="1" si="7"/>
        <v>2.536411788163019</v>
      </c>
      <c r="F40" s="427">
        <f t="shared" ca="1" si="7"/>
        <v>4.8866149723706558</v>
      </c>
      <c r="G40" s="427">
        <f t="shared" ca="1" si="7"/>
        <v>7.2097647227646533</v>
      </c>
      <c r="H40" s="427">
        <f t="shared" ca="1" si="7"/>
        <v>9.7301956169746564</v>
      </c>
      <c r="I40" s="427">
        <f t="shared" ca="1" si="7"/>
        <v>12.038929179056559</v>
      </c>
      <c r="J40" s="427">
        <f t="shared" ca="1" si="7"/>
        <v>36.401916279329541</v>
      </c>
      <c r="K40" s="21"/>
    </row>
    <row r="41" spans="2:11" hidden="1">
      <c r="B41" s="21"/>
      <c r="C41" s="427">
        <f t="shared" ref="C41:J41" ca="1" si="8">SUM(C26:C27)</f>
        <v>0</v>
      </c>
      <c r="D41" s="427">
        <f t="shared" ca="1" si="8"/>
        <v>0</v>
      </c>
      <c r="E41" s="427">
        <f t="shared" ca="1" si="8"/>
        <v>0</v>
      </c>
      <c r="F41" s="427">
        <f t="shared" ca="1" si="8"/>
        <v>0</v>
      </c>
      <c r="G41" s="427">
        <f t="shared" ca="1" si="8"/>
        <v>0</v>
      </c>
      <c r="H41" s="427">
        <f t="shared" ca="1" si="8"/>
        <v>0</v>
      </c>
      <c r="I41" s="427">
        <f t="shared" ca="1" si="8"/>
        <v>0</v>
      </c>
      <c r="J41" s="427">
        <f t="shared" ca="1" si="8"/>
        <v>0</v>
      </c>
      <c r="K41" s="21"/>
    </row>
    <row r="42" spans="2:11" hidden="1">
      <c r="B42" s="21"/>
      <c r="C42" s="427">
        <f ca="1">SUM(C28:C31)</f>
        <v>0</v>
      </c>
      <c r="D42" s="427">
        <f t="shared" ref="D42:J42" ca="1" si="9">SUM(D28:D31)</f>
        <v>0</v>
      </c>
      <c r="E42" s="427">
        <f t="shared" ca="1" si="9"/>
        <v>0</v>
      </c>
      <c r="F42" s="427">
        <f t="shared" ca="1" si="9"/>
        <v>0</v>
      </c>
      <c r="G42" s="427">
        <f t="shared" ca="1" si="9"/>
        <v>0</v>
      </c>
      <c r="H42" s="427">
        <f t="shared" ca="1" si="9"/>
        <v>0</v>
      </c>
      <c r="I42" s="427">
        <f t="shared" ca="1" si="9"/>
        <v>0</v>
      </c>
      <c r="J42" s="427">
        <f t="shared" ca="1" si="9"/>
        <v>0</v>
      </c>
      <c r="K42" s="21"/>
    </row>
    <row r="43" spans="2:11">
      <c r="B43" s="21"/>
      <c r="C43" s="433">
        <f t="shared" ref="C43:I43" ca="1" si="10">SUM(C40:C42)</f>
        <v>0</v>
      </c>
      <c r="D43" s="433">
        <f t="shared" ca="1" si="10"/>
        <v>0</v>
      </c>
      <c r="E43" s="433">
        <f t="shared" ca="1" si="10"/>
        <v>2.536411788163019</v>
      </c>
      <c r="F43" s="433">
        <f t="shared" ca="1" si="10"/>
        <v>4.8866149723706558</v>
      </c>
      <c r="G43" s="433">
        <f t="shared" ca="1" si="10"/>
        <v>7.2097647227646533</v>
      </c>
      <c r="H43" s="433">
        <f t="shared" ca="1" si="10"/>
        <v>9.7301956169746564</v>
      </c>
      <c r="I43" s="433">
        <f t="shared" ca="1" si="10"/>
        <v>12.038929179056559</v>
      </c>
      <c r="J43" s="433">
        <f ca="1">SUM(E43:I43)</f>
        <v>36.401916279329541</v>
      </c>
      <c r="K43" s="21"/>
    </row>
    <row r="44" spans="2:11">
      <c r="B44" s="21"/>
      <c r="C44" s="21"/>
      <c r="D44" s="21"/>
      <c r="E44" s="21"/>
      <c r="F44" s="21"/>
      <c r="G44" s="21"/>
      <c r="H44" s="21"/>
      <c r="I44" s="21"/>
      <c r="J44" s="21"/>
      <c r="K44" s="21"/>
    </row>
    <row r="45" spans="2:11">
      <c r="B45" s="21"/>
      <c r="C45" s="21"/>
      <c r="D45" s="21"/>
      <c r="E45" s="21"/>
      <c r="F45" s="21"/>
      <c r="G45" s="21"/>
      <c r="H45" s="21"/>
      <c r="I45" s="21"/>
      <c r="J45" s="21"/>
      <c r="K45" s="21"/>
    </row>
    <row r="46" spans="2:11">
      <c r="B46" s="21"/>
      <c r="C46" s="21"/>
      <c r="D46" s="21"/>
      <c r="E46" s="21"/>
      <c r="F46" s="21"/>
      <c r="G46" s="21"/>
      <c r="H46" s="21"/>
      <c r="I46" s="21"/>
      <c r="J46" s="21"/>
      <c r="K46" s="21"/>
    </row>
    <row r="47" spans="2:11">
      <c r="B47" s="21"/>
      <c r="C47" s="21"/>
      <c r="D47" s="21"/>
      <c r="E47" s="21"/>
      <c r="F47" s="21"/>
      <c r="G47" s="21"/>
      <c r="H47" s="21"/>
      <c r="I47" s="21"/>
      <c r="J47" s="21"/>
      <c r="K47" s="21"/>
    </row>
    <row r="48" spans="2:11">
      <c r="B48" s="429"/>
      <c r="C48" s="429"/>
      <c r="D48" s="429"/>
      <c r="E48" s="429"/>
      <c r="F48" s="429"/>
      <c r="G48" s="429"/>
      <c r="H48" s="429"/>
      <c r="I48" s="429"/>
      <c r="J48" s="429"/>
      <c r="K48" s="21"/>
    </row>
    <row r="50" spans="1:12">
      <c r="B50" s="2"/>
    </row>
    <row r="52" spans="1:12">
      <c r="C52" s="21"/>
      <c r="D52" s="21"/>
      <c r="E52" s="21"/>
      <c r="F52" s="21"/>
      <c r="G52" s="21"/>
      <c r="H52" s="21"/>
      <c r="I52" s="21"/>
      <c r="J52" s="21"/>
      <c r="K52" s="21"/>
    </row>
    <row r="54" spans="1:12" ht="13.5" thickBot="1"/>
    <row r="55" spans="1:12">
      <c r="B55" s="326" t="s">
        <v>288</v>
      </c>
      <c r="C55" s="317"/>
      <c r="D55" s="317"/>
      <c r="E55" s="317"/>
      <c r="F55" s="317"/>
      <c r="G55" s="317"/>
      <c r="H55" s="317"/>
      <c r="I55" s="318"/>
    </row>
    <row r="56" spans="1:12">
      <c r="B56" s="319" t="s">
        <v>513</v>
      </c>
      <c r="C56" s="308">
        <f ca="1">ROUND(+C34-'R6 Escalations'!C35*LU_Escalation,3)</f>
        <v>0</v>
      </c>
      <c r="D56" s="308">
        <f ca="1">ROUND(+D34-'R6 Escalations'!D35*LU_Escalation,3)</f>
        <v>0</v>
      </c>
      <c r="E56" s="308">
        <f ca="1">ROUND(+E34-'R6 Escalations'!E35*LU_Escalation,3)</f>
        <v>0</v>
      </c>
      <c r="F56" s="308">
        <f ca="1">ROUND(+F34-'R6 Escalations'!F35*LU_Escalation,3)</f>
        <v>0</v>
      </c>
      <c r="G56" s="308">
        <f ca="1">ROUND(+G34-'R6 Escalations'!G35*LU_Escalation,3)</f>
        <v>0</v>
      </c>
      <c r="H56" s="308">
        <f ca="1">ROUND(+H34-'R6 Escalations'!H35*LU_Escalation,3)</f>
        <v>0</v>
      </c>
      <c r="I56" s="308">
        <f ca="1">ROUND(+I34-'R6 Escalations'!I35*LU_Escalation,3)</f>
        <v>0</v>
      </c>
    </row>
    <row r="57" spans="1:12" ht="13.5" thickBot="1">
      <c r="B57" s="322" t="s">
        <v>410</v>
      </c>
      <c r="C57" s="308">
        <f t="shared" ref="C57:I57" ca="1" si="11">+C33-C43</f>
        <v>0</v>
      </c>
      <c r="D57" s="308">
        <f t="shared" ca="1" si="11"/>
        <v>0</v>
      </c>
      <c r="E57" s="308">
        <f t="shared" ca="1" si="11"/>
        <v>0</v>
      </c>
      <c r="F57" s="308">
        <f t="shared" ca="1" si="11"/>
        <v>0</v>
      </c>
      <c r="G57" s="308">
        <f t="shared" ca="1" si="11"/>
        <v>0</v>
      </c>
      <c r="H57" s="308">
        <f t="shared" ca="1" si="11"/>
        <v>0</v>
      </c>
      <c r="I57" s="308">
        <f t="shared" ca="1" si="11"/>
        <v>0</v>
      </c>
    </row>
    <row r="62" spans="1:12" ht="15">
      <c r="A62" s="706"/>
      <c r="B62" s="717" t="s">
        <v>314</v>
      </c>
      <c r="C62" s="709"/>
      <c r="D62" s="709"/>
      <c r="E62" s="709"/>
      <c r="F62" s="709"/>
      <c r="G62" s="709"/>
      <c r="H62" s="709"/>
      <c r="I62" s="709"/>
      <c r="J62" s="709"/>
      <c r="K62" s="710"/>
    </row>
    <row r="63" spans="1:12" ht="13.5">
      <c r="A63" s="706"/>
      <c r="B63" s="711" t="s">
        <v>626</v>
      </c>
      <c r="C63" s="712"/>
      <c r="D63" s="712"/>
      <c r="E63" s="712"/>
      <c r="F63" s="712"/>
      <c r="G63" s="712"/>
      <c r="H63" s="712"/>
      <c r="I63" s="712"/>
      <c r="J63" s="712"/>
      <c r="K63" s="713"/>
      <c r="L63" s="706"/>
    </row>
    <row r="64" spans="1:12" s="706" customFormat="1" ht="13.5">
      <c r="B64" s="711"/>
      <c r="C64" s="712"/>
      <c r="D64" s="712"/>
      <c r="E64" s="712"/>
      <c r="F64" s="712"/>
      <c r="G64" s="712"/>
      <c r="H64" s="712"/>
      <c r="I64" s="712"/>
      <c r="J64" s="712"/>
      <c r="K64" s="713"/>
    </row>
    <row r="65" spans="1:12" s="706" customFormat="1" ht="13.5">
      <c r="B65" s="711" t="s">
        <v>615</v>
      </c>
      <c r="C65" s="712"/>
      <c r="D65" s="712"/>
      <c r="E65" s="712"/>
      <c r="F65" s="712"/>
      <c r="G65" s="712"/>
      <c r="H65" s="712"/>
      <c r="I65" s="712"/>
      <c r="J65" s="712"/>
      <c r="K65" s="713"/>
    </row>
    <row r="66" spans="1:12" s="706" customFormat="1" ht="13.5">
      <c r="B66" s="711" t="s">
        <v>616</v>
      </c>
      <c r="C66" s="712"/>
      <c r="D66" s="712"/>
      <c r="E66" s="712"/>
      <c r="F66" s="712"/>
      <c r="G66" s="712"/>
      <c r="H66" s="712"/>
      <c r="I66" s="712"/>
      <c r="J66" s="712"/>
      <c r="K66" s="713"/>
    </row>
    <row r="67" spans="1:12" s="706" customFormat="1" ht="13.5">
      <c r="B67" s="714"/>
      <c r="C67" s="715"/>
      <c r="D67" s="715"/>
      <c r="E67" s="715"/>
      <c r="F67" s="715"/>
      <c r="G67" s="715"/>
      <c r="H67" s="715"/>
      <c r="I67" s="715"/>
      <c r="J67" s="715"/>
      <c r="K67" s="716"/>
    </row>
    <row r="68" spans="1:12" s="706" customFormat="1">
      <c r="A68"/>
      <c r="B68"/>
      <c r="C68"/>
      <c r="D68"/>
      <c r="E68"/>
      <c r="F68"/>
      <c r="G68"/>
      <c r="H68"/>
      <c r="I68"/>
      <c r="J68"/>
      <c r="K68"/>
    </row>
    <row r="69" spans="1:12" s="706" customFormat="1">
      <c r="A69"/>
      <c r="B69"/>
      <c r="C69"/>
      <c r="D69"/>
      <c r="E69"/>
      <c r="F69"/>
      <c r="G69"/>
      <c r="H69"/>
      <c r="I69"/>
      <c r="J69"/>
      <c r="K69"/>
      <c r="L69"/>
    </row>
  </sheetData>
  <sheetProtection formatColumns="0" formatRows="0"/>
  <phoneticPr fontId="0" type="noConversion"/>
  <conditionalFormatting sqref="C56:I57">
    <cfRule type="cellIs" dxfId="19" priority="1" stopIfTrue="1" operator="equal">
      <formula>0</formula>
    </cfRule>
    <cfRule type="cellIs" dxfId="18" priority="2" stopIfTrue="1" operator="notEqual">
      <formula>0</formula>
    </cfRule>
  </conditionalFormatting>
  <pageMargins left="0.46" right="0.24" top="0.55000000000000004" bottom="0.64" header="0.24" footer="0.2"/>
  <pageSetup paperSize="9" scale="96" fitToHeight="0" orientation="portrait" r:id="rId1"/>
  <headerFooter alignWithMargins="0">
    <oddFooter>&amp;L&amp;8&amp;F
&amp;A
Printed: &amp;T on &amp;D&amp;C&amp;8Page &amp;P of &amp;N</oddFooter>
  </headerFooter>
</worksheet>
</file>

<file path=xl/worksheets/sheet92.xml><?xml version="1.0" encoding="utf-8"?>
<worksheet xmlns="http://schemas.openxmlformats.org/spreadsheetml/2006/main" xmlns:r="http://schemas.openxmlformats.org/officeDocument/2006/relationships">
  <sheetPr codeName="Sheet109">
    <tabColor indexed="12"/>
    <pageSetUpPr fitToPage="1"/>
  </sheetPr>
  <dimension ref="A1:U94"/>
  <sheetViews>
    <sheetView showGridLines="0" topLeftCell="A12" zoomScaleNormal="100" workbookViewId="0">
      <selection activeCell="E25" sqref="E25"/>
    </sheetView>
  </sheetViews>
  <sheetFormatPr defaultRowHeight="12.75" outlineLevelRow="2"/>
  <cols>
    <col min="1" max="1" width="30" style="793" customWidth="1"/>
    <col min="2" max="10" width="11.5703125" style="793" customWidth="1"/>
    <col min="11" max="11" width="25.5703125" style="793" customWidth="1"/>
    <col min="12" max="16384" width="9.140625" style="793"/>
  </cols>
  <sheetData>
    <row r="1" spans="1:21" ht="18" customHeight="1">
      <c r="A1" s="183" t="s">
        <v>302</v>
      </c>
      <c r="B1" s="1"/>
      <c r="C1" s="72"/>
      <c r="D1" s="42"/>
      <c r="E1" s="42"/>
      <c r="F1" s="42"/>
      <c r="G1" s="42"/>
      <c r="H1" s="42"/>
      <c r="I1" s="73" t="str">
        <f>LU_PTRMDollarDenomination</f>
        <v>$'M June 2015</v>
      </c>
      <c r="J1" s="73"/>
      <c r="N1" s="282"/>
      <c r="O1" s="280"/>
      <c r="P1" s="280"/>
      <c r="Q1" s="280"/>
      <c r="R1" s="280"/>
      <c r="S1" s="280"/>
      <c r="T1" s="280"/>
      <c r="U1" s="280"/>
    </row>
    <row r="2" spans="1:21" ht="15.75">
      <c r="A2" s="184" t="s">
        <v>121</v>
      </c>
      <c r="B2" s="428" t="s">
        <v>708</v>
      </c>
      <c r="F2" s="284"/>
      <c r="H2" s="42"/>
      <c r="I2" s="283"/>
      <c r="J2" s="283"/>
      <c r="M2" s="282"/>
      <c r="N2" s="282"/>
    </row>
    <row r="3" spans="1:21" ht="16.5" thickBot="1">
      <c r="A3" s="184" t="s">
        <v>118</v>
      </c>
      <c r="B3" s="236"/>
      <c r="C3" s="236"/>
      <c r="D3" s="236"/>
      <c r="E3" s="237" t="s">
        <v>122</v>
      </c>
      <c r="F3" s="242"/>
      <c r="G3" s="239"/>
      <c r="H3" s="237" t="s">
        <v>123</v>
      </c>
      <c r="I3" s="240"/>
      <c r="J3" s="805"/>
      <c r="K3" s="42"/>
    </row>
    <row r="4" spans="1:21" ht="16.5" customHeight="1">
      <c r="A4" s="56"/>
      <c r="B4" s="635"/>
      <c r="C4" s="635"/>
      <c r="D4" s="635"/>
      <c r="E4" s="635" t="str">
        <f>'Ref-1'!Q39</f>
        <v>2015/16</v>
      </c>
      <c r="F4" s="635" t="str">
        <f>'Ref-1'!R39</f>
        <v>2016/17</v>
      </c>
      <c r="G4" s="635" t="str">
        <f>'Ref-1'!S39</f>
        <v>2017/18</v>
      </c>
      <c r="H4" s="635" t="str">
        <f>'Ref-1'!T39</f>
        <v>2018/19</v>
      </c>
      <c r="I4" s="635" t="str">
        <f>'Ref-1'!U39</f>
        <v>2019/20</v>
      </c>
      <c r="J4" s="635" t="s">
        <v>75</v>
      </c>
      <c r="K4" s="76" t="s">
        <v>124</v>
      </c>
      <c r="L4" s="732"/>
      <c r="M4" s="732"/>
    </row>
    <row r="5" spans="1:21" ht="18" outlineLevel="1">
      <c r="A5" s="207" t="s">
        <v>125</v>
      </c>
      <c r="B5" s="78"/>
      <c r="C5" s="78"/>
      <c r="D5" s="79"/>
      <c r="E5" s="78"/>
      <c r="F5" s="78"/>
      <c r="G5" s="78"/>
      <c r="H5" s="78"/>
      <c r="I5" s="78"/>
      <c r="J5" s="78"/>
      <c r="K5" s="42"/>
    </row>
    <row r="6" spans="1:21" outlineLevel="1">
      <c r="B6" s="80"/>
      <c r="C6" s="80"/>
      <c r="D6" s="80"/>
      <c r="E6" s="80"/>
      <c r="F6" s="80"/>
      <c r="G6" s="80"/>
      <c r="H6" s="80"/>
      <c r="I6" s="80"/>
      <c r="J6" s="80"/>
      <c r="K6" s="36"/>
      <c r="L6" s="732"/>
      <c r="M6" s="732"/>
    </row>
    <row r="7" spans="1:21" s="64" customFormat="1" ht="14.25" outlineLevel="1">
      <c r="A7" s="306" t="s">
        <v>126</v>
      </c>
      <c r="B7" s="793"/>
      <c r="C7" s="793"/>
      <c r="D7" s="793"/>
      <c r="E7" s="793"/>
      <c r="F7" s="78"/>
      <c r="G7" s="78"/>
      <c r="H7" s="78"/>
      <c r="I7" s="78"/>
      <c r="J7" s="78"/>
      <c r="K7" s="36"/>
      <c r="L7" s="63"/>
      <c r="M7" s="63"/>
    </row>
    <row r="8" spans="1:21" outlineLevel="1">
      <c r="A8" s="61" t="s">
        <v>68</v>
      </c>
      <c r="B8" s="285"/>
      <c r="C8" s="285"/>
      <c r="D8" s="285"/>
      <c r="E8" s="796">
        <f ca="1">'R2 ($2015)'!E8+'R3 ($2015)'!E8</f>
        <v>106.85039225600114</v>
      </c>
      <c r="F8" s="796">
        <f ca="1">'R2 ($2015)'!F8+'R3 ($2015)'!F8</f>
        <v>106.85039225600114</v>
      </c>
      <c r="G8" s="796">
        <f ca="1">'R2 ($2015)'!G8+'R3 ($2015)'!G8</f>
        <v>106.85039225600114</v>
      </c>
      <c r="H8" s="796">
        <f ca="1">'R2 ($2015)'!H8+'R3 ($2015)'!H8</f>
        <v>106.85039225600114</v>
      </c>
      <c r="I8" s="796">
        <f ca="1">'R2 ($2015)'!I8+'R3 ($2015)'!I8</f>
        <v>106.85039225600114</v>
      </c>
      <c r="J8" s="861">
        <f ca="1">SUM(E8:I8)/$J$14</f>
        <v>0.44696141591063998</v>
      </c>
      <c r="K8" s="81"/>
      <c r="L8" s="732"/>
      <c r="M8" s="732"/>
    </row>
    <row r="9" spans="1:21" outlineLevel="1">
      <c r="A9" s="61" t="s">
        <v>69</v>
      </c>
      <c r="B9" s="285"/>
      <c r="C9" s="285"/>
      <c r="D9" s="285"/>
      <c r="E9" s="796">
        <f ca="1">'R2 ($2015)'!E9+'R3 ($2015)'!E9</f>
        <v>1.4912061862675832</v>
      </c>
      <c r="F9" s="796">
        <f ca="1">'R2 ($2015)'!F9+'R3 ($2015)'!F9</f>
        <v>1.4912061862675832</v>
      </c>
      <c r="G9" s="796">
        <f ca="1">'R2 ($2015)'!G9+'R3 ($2015)'!G9</f>
        <v>1.4912061862675832</v>
      </c>
      <c r="H9" s="796">
        <f ca="1">'R2 ($2015)'!H9+'R3 ($2015)'!H9</f>
        <v>1.4912061862675832</v>
      </c>
      <c r="I9" s="796">
        <f ca="1">'R2 ($2015)'!I9+'R3 ($2015)'!I9</f>
        <v>1.4912061862675832</v>
      </c>
      <c r="J9" s="861">
        <f t="shared" ref="J9:J13" ca="1" si="0">SUM(E9:I9)/$J$14</f>
        <v>6.2378023548287963E-3</v>
      </c>
      <c r="K9" s="36"/>
      <c r="L9" s="732"/>
      <c r="M9" s="732"/>
    </row>
    <row r="10" spans="1:21" outlineLevel="1">
      <c r="A10" s="61" t="s">
        <v>646</v>
      </c>
      <c r="B10" s="285"/>
      <c r="C10" s="285"/>
      <c r="D10" s="285"/>
      <c r="E10" s="796">
        <f ca="1">'R2 ($2015)'!E10+'R3 ($2015)'!E10</f>
        <v>56.438301211250341</v>
      </c>
      <c r="F10" s="796">
        <f ca="1">'R2 ($2015)'!F10+'R3 ($2015)'!F10</f>
        <v>56.438301211250341</v>
      </c>
      <c r="G10" s="796">
        <f ca="1">'R2 ($2015)'!G10+'R3 ($2015)'!G10</f>
        <v>56.438301211250341</v>
      </c>
      <c r="H10" s="796">
        <f ca="1">'R2 ($2015)'!H10+'R3 ($2015)'!H10</f>
        <v>56.438301211250341</v>
      </c>
      <c r="I10" s="796">
        <f ca="1">'R2 ($2015)'!I10+'R3 ($2015)'!I10</f>
        <v>56.438301211250341</v>
      </c>
      <c r="J10" s="861">
        <f t="shared" ca="1" si="0"/>
        <v>0.23608470206205406</v>
      </c>
      <c r="K10" s="36"/>
      <c r="L10" s="732"/>
      <c r="M10" s="732"/>
    </row>
    <row r="11" spans="1:21" outlineLevel="1">
      <c r="A11" s="61" t="s">
        <v>647</v>
      </c>
      <c r="B11" s="285"/>
      <c r="C11" s="285"/>
      <c r="D11" s="285"/>
      <c r="E11" s="796">
        <f ca="1">'R2 ($2015)'!E11+'R3 ($2015)'!E11</f>
        <v>47.501262504882817</v>
      </c>
      <c r="F11" s="796">
        <f ca="1">'R2 ($2015)'!F11+'R3 ($2015)'!F11</f>
        <v>47.501262504882817</v>
      </c>
      <c r="G11" s="796">
        <f ca="1">'R2 ($2015)'!G11+'R3 ($2015)'!G11</f>
        <v>47.501262504882817</v>
      </c>
      <c r="H11" s="796">
        <f ca="1">'R2 ($2015)'!H11+'R3 ($2015)'!H11</f>
        <v>47.501262504882817</v>
      </c>
      <c r="I11" s="796">
        <f ca="1">'R2 ($2015)'!I11+'R3 ($2015)'!I11</f>
        <v>47.501262504882817</v>
      </c>
      <c r="J11" s="861">
        <f t="shared" ca="1" si="0"/>
        <v>0.19870054848144919</v>
      </c>
      <c r="K11" s="36"/>
      <c r="L11" s="732"/>
      <c r="M11" s="732"/>
    </row>
    <row r="12" spans="1:21" outlineLevel="1">
      <c r="A12" s="61" t="s">
        <v>575</v>
      </c>
      <c r="B12" s="285"/>
      <c r="C12" s="285"/>
      <c r="D12" s="285"/>
      <c r="E12" s="796">
        <f ca="1">'R2 ($2015)'!E12+'R3 ($2015)'!E12</f>
        <v>3.3596250000000003</v>
      </c>
      <c r="F12" s="796">
        <f ca="1">'R2 ($2015)'!F12+'R3 ($2015)'!F12</f>
        <v>3.3596250000000003</v>
      </c>
      <c r="G12" s="796">
        <f ca="1">'R2 ($2015)'!G12+'R3 ($2015)'!G12</f>
        <v>3.3596250000000003</v>
      </c>
      <c r="H12" s="796">
        <f ca="1">'R2 ($2015)'!H12+'R3 ($2015)'!H12</f>
        <v>3.3596250000000003</v>
      </c>
      <c r="I12" s="796">
        <f ca="1">'R2 ($2015)'!I12+'R3 ($2015)'!I12</f>
        <v>3.3596250000000003</v>
      </c>
      <c r="J12" s="861">
        <f t="shared" ca="1" si="0"/>
        <v>1.4053507106750438E-2</v>
      </c>
      <c r="K12" s="36"/>
      <c r="L12" s="732"/>
      <c r="M12" s="732"/>
    </row>
    <row r="13" spans="1:21" outlineLevel="1">
      <c r="A13" s="83" t="s">
        <v>70</v>
      </c>
      <c r="B13" s="286"/>
      <c r="C13" s="286"/>
      <c r="D13" s="286"/>
      <c r="E13" s="796">
        <f ca="1">'R2 ($2015)'!E13+'R3 ($2015)'!E13</f>
        <v>23.418756803136617</v>
      </c>
      <c r="F13" s="796">
        <f ca="1">'R2 ($2015)'!F13+'R3 ($2015)'!F13</f>
        <v>23.418756803136617</v>
      </c>
      <c r="G13" s="796">
        <f ca="1">'R2 ($2015)'!G13+'R3 ($2015)'!G13</f>
        <v>23.418756803136617</v>
      </c>
      <c r="H13" s="796">
        <f ca="1">'R2 ($2015)'!H13+'R3 ($2015)'!H13</f>
        <v>23.418756803136617</v>
      </c>
      <c r="I13" s="796">
        <f ca="1">'R2 ($2015)'!I13+'R3 ($2015)'!I13</f>
        <v>23.418756803136617</v>
      </c>
      <c r="J13" s="861">
        <f t="shared" ca="1" si="0"/>
        <v>9.7962024084277441E-2</v>
      </c>
      <c r="K13" s="36"/>
      <c r="L13" s="732"/>
      <c r="M13" s="732"/>
    </row>
    <row r="14" spans="1:21" s="560" customFormat="1" ht="18" customHeight="1">
      <c r="A14" s="84" t="s">
        <v>71</v>
      </c>
      <c r="B14" s="287"/>
      <c r="C14" s="287"/>
      <c r="D14" s="287"/>
      <c r="E14" s="859">
        <f t="shared" ref="E14:I14" ca="1" si="1">SUM(E8:E13)</f>
        <v>239.05954396153851</v>
      </c>
      <c r="F14" s="859">
        <f t="shared" ca="1" si="1"/>
        <v>239.05954396153851</v>
      </c>
      <c r="G14" s="859">
        <f t="shared" ca="1" si="1"/>
        <v>239.05954396153851</v>
      </c>
      <c r="H14" s="859">
        <f t="shared" ca="1" si="1"/>
        <v>239.05954396153851</v>
      </c>
      <c r="I14" s="860">
        <f t="shared" ca="1" si="1"/>
        <v>239.05954396153851</v>
      </c>
      <c r="J14" s="858">
        <f ca="1">SUM(E14:I14)</f>
        <v>1195.2977198076926</v>
      </c>
      <c r="K14" s="308">
        <f ca="1">+K78</f>
        <v>0</v>
      </c>
      <c r="L14" s="536"/>
      <c r="M14" s="536"/>
    </row>
    <row r="15" spans="1:21" outlineLevel="1">
      <c r="A15" s="88"/>
      <c r="B15" s="89"/>
      <c r="C15" s="89"/>
      <c r="D15" s="89"/>
      <c r="E15" s="800"/>
      <c r="F15" s="800"/>
      <c r="G15" s="800"/>
      <c r="H15" s="800"/>
      <c r="I15" s="800"/>
      <c r="J15" s="801"/>
      <c r="L15" s="732"/>
      <c r="M15" s="732"/>
    </row>
    <row r="16" spans="1:21" ht="18" outlineLevel="1">
      <c r="A16" s="207" t="s">
        <v>291</v>
      </c>
      <c r="B16" s="78"/>
      <c r="C16" s="78"/>
      <c r="D16" s="78"/>
      <c r="E16" s="796"/>
      <c r="F16" s="796"/>
      <c r="G16" s="796"/>
      <c r="H16" s="796"/>
      <c r="I16" s="796"/>
      <c r="J16" s="796"/>
      <c r="K16" s="42"/>
    </row>
    <row r="17" spans="1:13" ht="18" outlineLevel="1">
      <c r="A17" s="77"/>
      <c r="B17" s="78"/>
      <c r="C17" s="78"/>
      <c r="D17" s="78"/>
      <c r="E17" s="796"/>
      <c r="F17" s="796"/>
      <c r="G17" s="796"/>
      <c r="H17" s="796"/>
      <c r="I17" s="796"/>
      <c r="J17" s="796"/>
      <c r="K17" s="42"/>
    </row>
    <row r="18" spans="1:13" s="632" customFormat="1" outlineLevel="1">
      <c r="A18" s="306" t="s">
        <v>126</v>
      </c>
      <c r="B18" s="59"/>
      <c r="C18" s="59"/>
      <c r="D18" s="59"/>
      <c r="E18" s="801"/>
      <c r="F18" s="801"/>
      <c r="G18" s="801"/>
      <c r="H18" s="801"/>
      <c r="I18" s="801"/>
      <c r="J18" s="801"/>
      <c r="K18" s="621"/>
      <c r="L18" s="621"/>
      <c r="M18" s="621"/>
    </row>
    <row r="19" spans="1:13" outlineLevel="1">
      <c r="A19" s="61" t="s">
        <v>68</v>
      </c>
      <c r="B19" s="288"/>
      <c r="C19" s="285"/>
      <c r="D19" s="285"/>
      <c r="E19" s="796">
        <f>'R2 ($2015)'!E19+'R3 ($2015)'!E19</f>
        <v>3.4330198846153852</v>
      </c>
      <c r="F19" s="796">
        <f>'R2 ($2015)'!F19+'R3 ($2015)'!F19</f>
        <v>5.6286640384615385</v>
      </c>
      <c r="G19" s="796">
        <f>'R2 ($2015)'!G19+'R3 ($2015)'!G19</f>
        <v>7.9493896153846171</v>
      </c>
      <c r="H19" s="796">
        <f>'R2 ($2015)'!H19+'R3 ($2015)'!H19</f>
        <v>7.833611769230771</v>
      </c>
      <c r="I19" s="796">
        <f>'R2 ($2015)'!I19+'R3 ($2015)'!I19</f>
        <v>8.0765385000000016</v>
      </c>
      <c r="J19" s="796"/>
      <c r="K19" s="42"/>
      <c r="L19" s="732"/>
      <c r="M19" s="732"/>
    </row>
    <row r="20" spans="1:13" outlineLevel="1">
      <c r="A20" s="61" t="s">
        <v>69</v>
      </c>
      <c r="B20" s="289"/>
      <c r="C20" s="285"/>
      <c r="D20" s="285"/>
      <c r="E20" s="796">
        <f>'R2 ($2015)'!E20+'R3 ($2015)'!E20</f>
        <v>0.12508142307692308</v>
      </c>
      <c r="F20" s="796">
        <f>'R2 ($2015)'!F20+'R3 ($2015)'!F20</f>
        <v>0.32562519230769238</v>
      </c>
      <c r="G20" s="796">
        <f>'R2 ($2015)'!G20+'R3 ($2015)'!G20</f>
        <v>0.34216488461538463</v>
      </c>
      <c r="H20" s="796">
        <f>'R2 ($2015)'!H20+'R3 ($2015)'!H20</f>
        <v>0.37110934615384616</v>
      </c>
      <c r="I20" s="796">
        <f>'R2 ($2015)'!I20+'R3 ($2015)'!I20</f>
        <v>0.36697442307692307</v>
      </c>
      <c r="J20" s="796"/>
      <c r="K20" s="42"/>
      <c r="L20" s="732"/>
      <c r="M20" s="732"/>
    </row>
    <row r="21" spans="1:13" outlineLevel="1">
      <c r="A21" s="61" t="s">
        <v>646</v>
      </c>
      <c r="B21" s="289"/>
      <c r="C21" s="285"/>
      <c r="D21" s="285"/>
      <c r="E21" s="796">
        <f>'R2 ($2015)'!E21+'R3 ($2015)'!E21</f>
        <v>14.614885615384615</v>
      </c>
      <c r="F21" s="796">
        <f>'R2 ($2015)'!F21+'R3 ($2015)'!F21</f>
        <v>12.938174307692307</v>
      </c>
      <c r="G21" s="796">
        <f>'R2 ($2015)'!G21+'R3 ($2015)'!G21</f>
        <v>12.986759653846157</v>
      </c>
      <c r="H21" s="796">
        <f>'R2 ($2015)'!H21+'R3 ($2015)'!H21</f>
        <v>12.899926269230772</v>
      </c>
      <c r="I21" s="796">
        <f>'R2 ($2015)'!I21+'R3 ($2015)'!I21</f>
        <v>10.813857576923079</v>
      </c>
      <c r="J21" s="796"/>
      <c r="K21" s="42"/>
      <c r="L21" s="732"/>
      <c r="M21" s="732"/>
    </row>
    <row r="22" spans="1:13" outlineLevel="1">
      <c r="A22" s="61" t="s">
        <v>647</v>
      </c>
      <c r="B22" s="289"/>
      <c r="C22" s="285"/>
      <c r="D22" s="285"/>
      <c r="E22" s="796">
        <f>'R2 ($2015)'!E22+'R3 ($2015)'!E22</f>
        <v>7.0882918846153853</v>
      </c>
      <c r="F22" s="796">
        <f>'R2 ($2015)'!F22+'R3 ($2015)'!F22</f>
        <v>12.283822730769231</v>
      </c>
      <c r="G22" s="796">
        <f>'R2 ($2015)'!G22+'R3 ($2015)'!G22</f>
        <v>7.6361691923076931</v>
      </c>
      <c r="H22" s="796">
        <f>'R2 ($2015)'!H22+'R3 ($2015)'!H22</f>
        <v>7.2226768846153844</v>
      </c>
      <c r="I22" s="796">
        <f>'R2 ($2015)'!I22+'R3 ($2015)'!I22</f>
        <v>7.0655498076923084</v>
      </c>
      <c r="J22" s="796"/>
      <c r="K22" s="42"/>
      <c r="L22" s="732"/>
      <c r="M22" s="732"/>
    </row>
    <row r="23" spans="1:13" outlineLevel="1">
      <c r="A23" s="61" t="s">
        <v>575</v>
      </c>
      <c r="B23" s="289"/>
      <c r="C23" s="285"/>
      <c r="D23" s="285"/>
      <c r="E23" s="796">
        <f>'R2 ($2015)'!E23+'R3 ($2015)'!E23</f>
        <v>0</v>
      </c>
      <c r="F23" s="796">
        <f>'R2 ($2015)'!F23+'R3 ($2015)'!F23</f>
        <v>0</v>
      </c>
      <c r="G23" s="796">
        <f>'R2 ($2015)'!G23+'R3 ($2015)'!G23</f>
        <v>0</v>
      </c>
      <c r="H23" s="796">
        <f>'R2 ($2015)'!H23+'R3 ($2015)'!H23</f>
        <v>0</v>
      </c>
      <c r="I23" s="796">
        <f>'R2 ($2015)'!I23+'R3 ($2015)'!I23</f>
        <v>0</v>
      </c>
      <c r="J23" s="796"/>
      <c r="K23" s="42"/>
      <c r="L23" s="732"/>
      <c r="M23" s="732"/>
    </row>
    <row r="24" spans="1:13" outlineLevel="1">
      <c r="A24" s="83" t="s">
        <v>70</v>
      </c>
      <c r="B24" s="290"/>
      <c r="C24" s="285"/>
      <c r="D24" s="285"/>
      <c r="E24" s="796">
        <f>'R2 ($2015)'!E24+'R3 ($2015)'!E24</f>
        <v>0</v>
      </c>
      <c r="F24" s="796">
        <f>'R2 ($2015)'!F24+'R3 ($2015)'!F24</f>
        <v>0</v>
      </c>
      <c r="G24" s="796">
        <f>'R2 ($2015)'!G24+'R3 ($2015)'!G24</f>
        <v>0</v>
      </c>
      <c r="H24" s="796">
        <f>'R2 ($2015)'!H24+'R3 ($2015)'!H24</f>
        <v>0</v>
      </c>
      <c r="I24" s="796">
        <f>'R2 ($2015)'!I24+'R3 ($2015)'!I24</f>
        <v>0</v>
      </c>
      <c r="J24" s="796"/>
      <c r="K24" s="42"/>
      <c r="L24" s="732"/>
      <c r="M24" s="732"/>
    </row>
    <row r="25" spans="1:13" s="560" customFormat="1" ht="18" customHeight="1">
      <c r="A25" s="84" t="s">
        <v>72</v>
      </c>
      <c r="B25" s="291"/>
      <c r="C25" s="295"/>
      <c r="D25" s="295"/>
      <c r="E25" s="859">
        <f t="shared" ref="E25:I25" si="2">SUM(E19:E24)</f>
        <v>25.261278807692307</v>
      </c>
      <c r="F25" s="859">
        <f t="shared" si="2"/>
        <v>31.176286269230769</v>
      </c>
      <c r="G25" s="859">
        <f t="shared" si="2"/>
        <v>28.914483346153855</v>
      </c>
      <c r="H25" s="859">
        <f t="shared" si="2"/>
        <v>28.327324269230775</v>
      </c>
      <c r="I25" s="860">
        <f t="shared" si="2"/>
        <v>26.322920307692314</v>
      </c>
      <c r="J25" s="860">
        <f>SUM(E25:I25)</f>
        <v>140.00229300000001</v>
      </c>
      <c r="K25" s="308">
        <f>+K79</f>
        <v>0</v>
      </c>
      <c r="L25" s="536"/>
      <c r="M25" s="536"/>
    </row>
    <row r="26" spans="1:13" outlineLevel="1">
      <c r="A26" s="88"/>
      <c r="B26" s="292"/>
      <c r="C26" s="292"/>
      <c r="D26" s="292"/>
      <c r="E26" s="800"/>
      <c r="F26" s="800"/>
      <c r="G26" s="800"/>
      <c r="H26" s="800"/>
      <c r="I26" s="800"/>
      <c r="J26" s="801"/>
      <c r="K26" s="42"/>
      <c r="L26" s="732"/>
      <c r="M26" s="732"/>
    </row>
    <row r="27" spans="1:13" ht="18.75" customHeight="1" outlineLevel="1">
      <c r="A27" s="207" t="s">
        <v>127</v>
      </c>
      <c r="B27" s="285"/>
      <c r="C27" s="285"/>
      <c r="D27" s="285"/>
      <c r="E27" s="796"/>
      <c r="F27" s="796"/>
      <c r="G27" s="796"/>
      <c r="H27" s="796"/>
      <c r="I27" s="796"/>
      <c r="J27" s="796"/>
      <c r="K27" s="42"/>
    </row>
    <row r="28" spans="1:13" outlineLevel="1">
      <c r="A28" s="92"/>
      <c r="B28" s="293"/>
      <c r="C28" s="293"/>
      <c r="D28" s="293"/>
      <c r="E28" s="802"/>
      <c r="F28" s="802"/>
      <c r="G28" s="802"/>
      <c r="H28" s="802"/>
      <c r="I28" s="802"/>
      <c r="J28" s="802"/>
      <c r="K28" s="42"/>
      <c r="L28" s="732"/>
      <c r="M28" s="732"/>
    </row>
    <row r="29" spans="1:13" s="64" customFormat="1" ht="14.25" outlineLevel="2">
      <c r="A29" s="306" t="s">
        <v>126</v>
      </c>
      <c r="B29" s="285"/>
      <c r="C29" s="285"/>
      <c r="D29" s="285"/>
      <c r="E29" s="796"/>
      <c r="F29" s="796"/>
      <c r="G29" s="796"/>
      <c r="H29" s="796"/>
      <c r="I29" s="796"/>
      <c r="J29" s="796"/>
      <c r="K29" s="63"/>
      <c r="L29" s="63"/>
      <c r="M29" s="63"/>
    </row>
    <row r="30" spans="1:13" outlineLevel="2">
      <c r="A30" s="61" t="s">
        <v>68</v>
      </c>
      <c r="B30" s="285"/>
      <c r="C30" s="285"/>
      <c r="D30" s="285"/>
      <c r="E30" s="796">
        <f ca="1">+'R7 ($2015)'!E8+'R7 ($2015)'!E19</f>
        <v>110.28341214061653</v>
      </c>
      <c r="F30" s="796">
        <f ca="1">+'R7 ($2015)'!F8+'R7 ($2015)'!F19</f>
        <v>112.47905629446268</v>
      </c>
      <c r="G30" s="796">
        <f ca="1">+'R7 ($2015)'!G8+'R7 ($2015)'!G19</f>
        <v>114.79978187138576</v>
      </c>
      <c r="H30" s="796">
        <f ca="1">+'R7 ($2015)'!H8+'R7 ($2015)'!H19</f>
        <v>114.68400402523191</v>
      </c>
      <c r="I30" s="796">
        <f ca="1">+'R7 ($2015)'!I8+'R7 ($2015)'!I19</f>
        <v>114.92693075600114</v>
      </c>
      <c r="J30" s="796"/>
      <c r="K30" s="42"/>
      <c r="L30" s="732"/>
      <c r="M30" s="732"/>
    </row>
    <row r="31" spans="1:13" outlineLevel="2">
      <c r="A31" s="61" t="s">
        <v>69</v>
      </c>
      <c r="B31" s="285"/>
      <c r="C31" s="285"/>
      <c r="D31" s="285"/>
      <c r="E31" s="796">
        <f ca="1">+'R7 ($2015)'!E9+'R7 ($2015)'!E20</f>
        <v>1.6162876093445062</v>
      </c>
      <c r="F31" s="796">
        <f ca="1">+'R7 ($2015)'!F9+'R7 ($2015)'!F20</f>
        <v>1.8168313785752757</v>
      </c>
      <c r="G31" s="796">
        <f ca="1">+'R7 ($2015)'!G9+'R7 ($2015)'!G20</f>
        <v>1.8333710708829678</v>
      </c>
      <c r="H31" s="796">
        <f ca="1">+'R7 ($2015)'!H9+'R7 ($2015)'!H20</f>
        <v>1.8623155324214293</v>
      </c>
      <c r="I31" s="796">
        <f ca="1">+'R7 ($2015)'!I9+'R7 ($2015)'!I20</f>
        <v>1.8581806093445064</v>
      </c>
      <c r="J31" s="796"/>
      <c r="K31" s="42"/>
      <c r="L31" s="732"/>
      <c r="M31" s="732"/>
    </row>
    <row r="32" spans="1:13" outlineLevel="2">
      <c r="A32" s="61" t="s">
        <v>646</v>
      </c>
      <c r="B32" s="285"/>
      <c r="C32" s="285"/>
      <c r="D32" s="285"/>
      <c r="E32" s="796">
        <f ca="1">+'R7 ($2015)'!E10+'R7 ($2015)'!E21</f>
        <v>71.053186826634956</v>
      </c>
      <c r="F32" s="796">
        <f ca="1">+'R7 ($2015)'!F10+'R7 ($2015)'!F21</f>
        <v>69.376475518942641</v>
      </c>
      <c r="G32" s="796">
        <f ca="1">+'R7 ($2015)'!G10+'R7 ($2015)'!G21</f>
        <v>69.425060865096498</v>
      </c>
      <c r="H32" s="796">
        <f ca="1">+'R7 ($2015)'!H10+'R7 ($2015)'!H21</f>
        <v>69.338227480481109</v>
      </c>
      <c r="I32" s="796">
        <f ca="1">+'R7 ($2015)'!I10+'R7 ($2015)'!I21</f>
        <v>67.252158788173418</v>
      </c>
      <c r="J32" s="796"/>
      <c r="K32" s="42"/>
      <c r="L32" s="732"/>
      <c r="M32" s="732"/>
    </row>
    <row r="33" spans="1:13" outlineLevel="2">
      <c r="A33" s="61" t="s">
        <v>647</v>
      </c>
      <c r="B33" s="285"/>
      <c r="C33" s="285"/>
      <c r="D33" s="285"/>
      <c r="E33" s="796">
        <f ca="1">+'R7 ($2015)'!E11+'R7 ($2015)'!E22</f>
        <v>54.589554389498204</v>
      </c>
      <c r="F33" s="796">
        <f ca="1">+'R7 ($2015)'!F11+'R7 ($2015)'!F22</f>
        <v>59.785085235652048</v>
      </c>
      <c r="G33" s="796">
        <f ca="1">+'R7 ($2015)'!G11+'R7 ($2015)'!G22</f>
        <v>55.137431697190507</v>
      </c>
      <c r="H33" s="796">
        <f ca="1">+'R7 ($2015)'!H11+'R7 ($2015)'!H22</f>
        <v>54.723939389498199</v>
      </c>
      <c r="I33" s="796">
        <f ca="1">+'R7 ($2015)'!I11+'R7 ($2015)'!I22</f>
        <v>54.566812312575124</v>
      </c>
      <c r="J33" s="796"/>
      <c r="K33" s="42"/>
      <c r="L33" s="732"/>
      <c r="M33" s="732"/>
    </row>
    <row r="34" spans="1:13" outlineLevel="2">
      <c r="A34" s="61" t="s">
        <v>575</v>
      </c>
      <c r="B34" s="285"/>
      <c r="C34" s="285"/>
      <c r="D34" s="285"/>
      <c r="E34" s="796">
        <f ca="1">+'R7 ($2015)'!E12+'R7 ($2015)'!E23</f>
        <v>3.3596250000000003</v>
      </c>
      <c r="F34" s="796">
        <f ca="1">+'R7 ($2015)'!F12+'R7 ($2015)'!F23</f>
        <v>3.3596250000000003</v>
      </c>
      <c r="G34" s="796">
        <f ca="1">+'R7 ($2015)'!G12+'R7 ($2015)'!G23</f>
        <v>3.3596250000000003</v>
      </c>
      <c r="H34" s="796">
        <f ca="1">+'R7 ($2015)'!H12+'R7 ($2015)'!H23</f>
        <v>3.3596250000000003</v>
      </c>
      <c r="I34" s="796">
        <f ca="1">+'R7 ($2015)'!I12+'R7 ($2015)'!I23</f>
        <v>3.3596250000000003</v>
      </c>
      <c r="J34" s="796"/>
      <c r="K34" s="42"/>
      <c r="L34" s="732"/>
      <c r="M34" s="732"/>
    </row>
    <row r="35" spans="1:13" outlineLevel="2">
      <c r="A35" s="83" t="s">
        <v>70</v>
      </c>
      <c r="B35" s="285"/>
      <c r="C35" s="285"/>
      <c r="D35" s="285"/>
      <c r="E35" s="796">
        <f ca="1">+'R7 ($2015)'!E13+'R7 ($2015)'!E24</f>
        <v>23.418756803136617</v>
      </c>
      <c r="F35" s="796">
        <f ca="1">+'R7 ($2015)'!F13+'R7 ($2015)'!F24</f>
        <v>23.418756803136617</v>
      </c>
      <c r="G35" s="796">
        <f ca="1">+'R7 ($2015)'!G13+'R7 ($2015)'!G24</f>
        <v>23.418756803136617</v>
      </c>
      <c r="H35" s="796">
        <f ca="1">+'R7 ($2015)'!H13+'R7 ($2015)'!H24</f>
        <v>23.418756803136617</v>
      </c>
      <c r="I35" s="796">
        <f ca="1">+'R7 ($2015)'!I13+'R7 ($2015)'!I24</f>
        <v>23.418756803136617</v>
      </c>
      <c r="J35" s="796"/>
      <c r="K35" s="93"/>
      <c r="L35" s="732"/>
      <c r="M35" s="732"/>
    </row>
    <row r="36" spans="1:13" s="560" customFormat="1" ht="20.25" customHeight="1">
      <c r="A36" s="94" t="s">
        <v>128</v>
      </c>
      <c r="B36" s="294"/>
      <c r="C36" s="294"/>
      <c r="D36" s="294"/>
      <c r="E36" s="803">
        <f t="shared" ref="E36:I36" ca="1" si="3">SUM(E30:E35)</f>
        <v>264.3208227692308</v>
      </c>
      <c r="F36" s="803">
        <f t="shared" ca="1" si="3"/>
        <v>270.23583023076924</v>
      </c>
      <c r="G36" s="803">
        <f t="shared" ca="1" si="3"/>
        <v>267.97402730769232</v>
      </c>
      <c r="H36" s="803">
        <f t="shared" ca="1" si="3"/>
        <v>267.38686823076927</v>
      </c>
      <c r="I36" s="803">
        <f t="shared" ca="1" si="3"/>
        <v>265.38246426923075</v>
      </c>
      <c r="J36" s="799">
        <f ca="1">SUM(E36:I36)</f>
        <v>1335.3000128076924</v>
      </c>
      <c r="K36" s="308">
        <f ca="1">+K80</f>
        <v>0</v>
      </c>
      <c r="M36" s="536"/>
    </row>
    <row r="37" spans="1:13" ht="2.25" customHeight="1">
      <c r="A37" s="92"/>
      <c r="B37" s="95"/>
      <c r="C37" s="95"/>
      <c r="D37" s="95"/>
      <c r="E37" s="801"/>
      <c r="F37" s="801"/>
      <c r="G37" s="801"/>
      <c r="H37" s="801"/>
      <c r="I37" s="801"/>
      <c r="J37" s="801"/>
      <c r="K37" s="96"/>
      <c r="M37" s="732"/>
    </row>
    <row r="38" spans="1:13" outlineLevel="1">
      <c r="A38" s="88"/>
      <c r="B38" s="89"/>
      <c r="C38" s="89"/>
      <c r="D38" s="89"/>
      <c r="E38" s="800"/>
      <c r="F38" s="800"/>
      <c r="G38" s="800"/>
      <c r="H38" s="800"/>
      <c r="I38" s="800"/>
      <c r="J38" s="801"/>
      <c r="L38" s="42"/>
      <c r="M38" s="732"/>
    </row>
    <row r="39" spans="1:13" ht="18" outlineLevel="1">
      <c r="A39" s="207" t="s">
        <v>293</v>
      </c>
      <c r="B39" s="78"/>
      <c r="C39" s="78"/>
      <c r="D39" s="78"/>
      <c r="E39" s="796"/>
      <c r="F39" s="796"/>
      <c r="G39" s="796"/>
      <c r="H39" s="796"/>
      <c r="I39" s="796"/>
      <c r="J39" s="796"/>
      <c r="L39" s="42"/>
    </row>
    <row r="40" spans="1:13" ht="18" outlineLevel="1">
      <c r="A40" s="77"/>
      <c r="B40" s="78"/>
      <c r="C40" s="78"/>
      <c r="D40" s="78"/>
      <c r="E40" s="796"/>
      <c r="F40" s="796"/>
      <c r="G40" s="796"/>
      <c r="H40" s="796"/>
      <c r="I40" s="796"/>
      <c r="J40" s="796"/>
      <c r="L40" s="42"/>
    </row>
    <row r="41" spans="1:13" s="632" customFormat="1" outlineLevel="1">
      <c r="A41" s="306" t="s">
        <v>126</v>
      </c>
      <c r="B41" s="78"/>
      <c r="C41" s="78"/>
      <c r="D41" s="78"/>
      <c r="E41" s="796"/>
      <c r="F41" s="796"/>
      <c r="G41" s="796"/>
      <c r="H41" s="796"/>
      <c r="I41" s="796"/>
      <c r="J41" s="796"/>
      <c r="L41" s="621"/>
      <c r="M41" s="621"/>
    </row>
    <row r="42" spans="1:13" s="64" customFormat="1" ht="14.25" outlineLevel="1">
      <c r="A42" s="61" t="s">
        <v>68</v>
      </c>
      <c r="B42" s="82"/>
      <c r="C42" s="285"/>
      <c r="D42" s="285"/>
      <c r="E42" s="796">
        <f ca="1">'R2 ($2015)'!E42+'R3 ($2015)'!E42</f>
        <v>1.1336782041697804</v>
      </c>
      <c r="F42" s="796">
        <f ca="1">'R2 ($2015)'!F42+'R3 ($2015)'!F42</f>
        <v>2.1841283470609216</v>
      </c>
      <c r="G42" s="796">
        <f ca="1">'R2 ($2015)'!G42+'R3 ($2015)'!G42</f>
        <v>3.2224866488694719</v>
      </c>
      <c r="H42" s="796">
        <f ca="1">'R2 ($2015)'!H42+'R3 ($2015)'!H42</f>
        <v>4.3490220100505006</v>
      </c>
      <c r="I42" s="796">
        <f ca="1">'R2 ($2015)'!I42+'R3 ($2015)'!I42</f>
        <v>5.3809368319190405</v>
      </c>
      <c r="J42" s="796"/>
      <c r="L42" s="63"/>
      <c r="M42" s="63"/>
    </row>
    <row r="43" spans="1:13" outlineLevel="1">
      <c r="A43" s="61" t="s">
        <v>69</v>
      </c>
      <c r="B43" s="82"/>
      <c r="C43" s="285"/>
      <c r="D43" s="285"/>
      <c r="E43" s="796">
        <f ca="1">'R2 ($2015)'!E43+'R3 ($2015)'!E43</f>
        <v>1.5821635425018788E-2</v>
      </c>
      <c r="F43" s="796">
        <f ca="1">'R2 ($2015)'!F43+'R3 ($2015)'!F43</f>
        <v>3.0481738381795347E-2</v>
      </c>
      <c r="G43" s="796">
        <f ca="1">'R2 ($2015)'!G43+'R3 ($2015)'!G43</f>
        <v>4.4973087365422923E-2</v>
      </c>
      <c r="H43" s="796">
        <f ca="1">'R2 ($2015)'!H43+'R3 ($2015)'!H43</f>
        <v>6.0695037132509427E-2</v>
      </c>
      <c r="I43" s="796">
        <f ca="1">'R2 ($2015)'!I43+'R3 ($2015)'!I43</f>
        <v>7.5096460782736157E-2</v>
      </c>
      <c r="J43" s="796"/>
      <c r="L43" s="42"/>
      <c r="M43" s="732"/>
    </row>
    <row r="44" spans="1:13" outlineLevel="1">
      <c r="A44" s="61" t="s">
        <v>646</v>
      </c>
      <c r="B44" s="82"/>
      <c r="C44" s="285"/>
      <c r="D44" s="285"/>
      <c r="E44" s="796">
        <f ca="1">'R2 ($2015)'!E44+'R3 ($2015)'!E44</f>
        <v>0.59880802131514765</v>
      </c>
      <c r="F44" s="796">
        <f ca="1">'R2 ($2015)'!F44+'R3 ($2015)'!F44</f>
        <v>1.153655039844099</v>
      </c>
      <c r="G44" s="796">
        <f ca="1">'R2 ($2015)'!G44+'R3 ($2015)'!G44</f>
        <v>1.7021151565114003</v>
      </c>
      <c r="H44" s="796">
        <f ca="1">'R2 ($2015)'!H44+'R3 ($2015)'!H44</f>
        <v>2.2971503332389682</v>
      </c>
      <c r="I44" s="796">
        <f ca="1">'R2 ($2015)'!I44+'R3 ($2015)'!I44</f>
        <v>2.8422070083837379</v>
      </c>
      <c r="J44" s="796"/>
      <c r="L44" s="42"/>
      <c r="M44" s="732"/>
    </row>
    <row r="45" spans="1:13" outlineLevel="1">
      <c r="A45" s="61" t="s">
        <v>647</v>
      </c>
      <c r="B45" s="82"/>
      <c r="C45" s="285"/>
      <c r="D45" s="285"/>
      <c r="E45" s="796">
        <f ca="1">'R2 ($2015)'!E45+'R3 ($2015)'!E45</f>
        <v>0.50398641348280482</v>
      </c>
      <c r="F45" s="796">
        <f ca="1">'R2 ($2015)'!F45+'R3 ($2015)'!F45</f>
        <v>0.97097307522771126</v>
      </c>
      <c r="G45" s="796">
        <f ca="1">'R2 ($2015)'!G45+'R3 ($2015)'!G45</f>
        <v>1.4325842048355395</v>
      </c>
      <c r="H45" s="796">
        <f ca="1">'R2 ($2015)'!H45+'R3 ($2015)'!H45</f>
        <v>1.9333952059246586</v>
      </c>
      <c r="I45" s="796">
        <f ca="1">'R2 ($2015)'!I45+'R3 ($2015)'!I45</f>
        <v>2.3921418310078613</v>
      </c>
      <c r="J45" s="796"/>
      <c r="L45" s="42"/>
      <c r="M45" s="732"/>
    </row>
    <row r="46" spans="1:13" outlineLevel="1">
      <c r="A46" s="61" t="s">
        <v>575</v>
      </c>
      <c r="B46" s="82"/>
      <c r="C46" s="285"/>
      <c r="D46" s="285"/>
      <c r="E46" s="796">
        <f ca="1">'R2 ($2015)'!E46+'R3 ($2015)'!E46</f>
        <v>3.5645481090594539E-2</v>
      </c>
      <c r="F46" s="796">
        <f ca="1">'R2 ($2015)'!F46+'R3 ($2015)'!F46</f>
        <v>6.8674078242164149E-2</v>
      </c>
      <c r="G46" s="796">
        <f ca="1">'R2 ($2015)'!G46+'R3 ($2015)'!G46</f>
        <v>0.10132247976937156</v>
      </c>
      <c r="H46" s="796">
        <f ca="1">'R2 ($2015)'!H46+'R3 ($2015)'!H46</f>
        <v>0.13674337325322544</v>
      </c>
      <c r="I46" s="796">
        <f ca="1">'R2 ($2015)'!I46+'R3 ($2015)'!I46</f>
        <v>0.16918917677553658</v>
      </c>
      <c r="J46" s="796"/>
      <c r="L46" s="42"/>
      <c r="M46" s="732"/>
    </row>
    <row r="47" spans="1:13" outlineLevel="1">
      <c r="A47" s="83" t="s">
        <v>70</v>
      </c>
      <c r="B47" s="82"/>
      <c r="C47" s="285"/>
      <c r="D47" s="285"/>
      <c r="E47" s="796">
        <f ca="1">'R2 ($2015)'!E47+'R3 ($2015)'!E47</f>
        <v>0.24847203267967075</v>
      </c>
      <c r="F47" s="796">
        <f ca="1">'R2 ($2015)'!F47+'R3 ($2015)'!F47</f>
        <v>0.47870269361396517</v>
      </c>
      <c r="G47" s="796">
        <f ca="1">'R2 ($2015)'!G47+'R3 ($2015)'!G47</f>
        <v>0.70628314541344472</v>
      </c>
      <c r="H47" s="796">
        <f ca="1">'R2 ($2015)'!H47+'R3 ($2015)'!H47</f>
        <v>0.9531896573748031</v>
      </c>
      <c r="I47" s="796">
        <f ca="1">'R2 ($2015)'!I47+'R3 ($2015)'!I47</f>
        <v>1.1793578701876497</v>
      </c>
      <c r="J47" s="796"/>
      <c r="L47" s="42"/>
      <c r="M47" s="732"/>
    </row>
    <row r="48" spans="1:13" s="560" customFormat="1" ht="18" customHeight="1">
      <c r="A48" s="94" t="s">
        <v>74</v>
      </c>
      <c r="B48" s="294"/>
      <c r="C48" s="294"/>
      <c r="D48" s="294"/>
      <c r="E48" s="827">
        <f t="shared" ref="E48:I48" ca="1" si="4">SUM(E42:E47)</f>
        <v>2.5364117881630168</v>
      </c>
      <c r="F48" s="827">
        <f t="shared" ca="1" si="4"/>
        <v>4.8866149723706567</v>
      </c>
      <c r="G48" s="827">
        <f t="shared" ca="1" si="4"/>
        <v>7.2097647227646515</v>
      </c>
      <c r="H48" s="827">
        <f t="shared" ca="1" si="4"/>
        <v>9.7301956169746653</v>
      </c>
      <c r="I48" s="827">
        <f t="shared" ca="1" si="4"/>
        <v>12.038929179056561</v>
      </c>
      <c r="J48" s="860">
        <f ca="1">SUM(E48:I48)</f>
        <v>36.401916279329548</v>
      </c>
      <c r="K48" s="308">
        <f ca="1">+K81</f>
        <v>0</v>
      </c>
      <c r="M48" s="536"/>
    </row>
    <row r="49" spans="1:13" outlineLevel="1">
      <c r="A49" s="88"/>
      <c r="B49" s="89"/>
      <c r="C49" s="89"/>
      <c r="D49" s="89"/>
      <c r="E49" s="864"/>
      <c r="F49" s="864"/>
      <c r="G49" s="864"/>
      <c r="H49" s="864"/>
      <c r="I49" s="864"/>
      <c r="J49" s="865"/>
      <c r="L49" s="42"/>
      <c r="M49" s="732"/>
    </row>
    <row r="50" spans="1:13" ht="18" outlineLevel="1">
      <c r="A50" s="207" t="s">
        <v>294</v>
      </c>
      <c r="B50" s="78"/>
      <c r="C50" s="78"/>
      <c r="D50" s="78"/>
      <c r="E50" s="863"/>
      <c r="F50" s="863"/>
      <c r="G50" s="863"/>
      <c r="H50" s="863"/>
      <c r="I50" s="863"/>
      <c r="J50" s="866"/>
      <c r="L50" s="42"/>
    </row>
    <row r="51" spans="1:13" ht="18" outlineLevel="1">
      <c r="A51" s="77"/>
      <c r="B51" s="78"/>
      <c r="C51" s="78"/>
      <c r="D51" s="78"/>
      <c r="E51" s="796"/>
      <c r="F51" s="796"/>
      <c r="G51" s="796"/>
      <c r="H51" s="796"/>
      <c r="I51" s="796"/>
      <c r="J51" s="866"/>
      <c r="L51" s="42"/>
    </row>
    <row r="52" spans="1:13" s="632" customFormat="1" outlineLevel="1">
      <c r="A52" s="306" t="s">
        <v>126</v>
      </c>
      <c r="B52" s="78"/>
      <c r="C52" s="78"/>
      <c r="D52" s="78"/>
      <c r="E52" s="796"/>
      <c r="F52" s="796"/>
      <c r="G52" s="796"/>
      <c r="H52" s="796"/>
      <c r="I52" s="796"/>
      <c r="J52" s="866"/>
      <c r="L52" s="621"/>
      <c r="M52" s="621"/>
    </row>
    <row r="53" spans="1:13" s="64" customFormat="1" ht="14.25" outlineLevel="1">
      <c r="A53" s="61" t="s">
        <v>68</v>
      </c>
      <c r="B53" s="285"/>
      <c r="C53" s="285"/>
      <c r="D53" s="285"/>
      <c r="E53" s="796">
        <f ca="1">'R2 ($2015)'!E53+'R3 ($2015)'!E53</f>
        <v>2.3171185019378226</v>
      </c>
      <c r="F53" s="796">
        <f ca="1">'R2 ($2015)'!F53+'R3 ($2015)'!F53</f>
        <v>4.7295223741601875</v>
      </c>
      <c r="G53" s="796">
        <f ca="1">'R2 ($2015)'!G53+'R3 ($2015)'!G53</f>
        <v>7.3739902826466306</v>
      </c>
      <c r="H53" s="796">
        <f ca="1">'R2 ($2015)'!H53+'R3 ($2015)'!H53</f>
        <v>10.134927341861133</v>
      </c>
      <c r="I53" s="796">
        <f ca="1">'R2 ($2015)'!I53+'R3 ($2015)'!I53</f>
        <v>13.000713379143733</v>
      </c>
      <c r="J53" s="866"/>
      <c r="L53" s="63"/>
      <c r="M53" s="63"/>
    </row>
    <row r="54" spans="1:13" outlineLevel="1">
      <c r="A54" s="61" t="s">
        <v>69</v>
      </c>
      <c r="B54" s="285"/>
      <c r="C54" s="285"/>
      <c r="D54" s="285"/>
      <c r="E54" s="796">
        <f ca="1">'R2 ($2015)'!E54+'R3 ($2015)'!E54</f>
        <v>0</v>
      </c>
      <c r="F54" s="796">
        <f ca="1">'R2 ($2015)'!F54+'R3 ($2015)'!F54</f>
        <v>0</v>
      </c>
      <c r="G54" s="796">
        <f ca="1">'R2 ($2015)'!G54+'R3 ($2015)'!G54</f>
        <v>0</v>
      </c>
      <c r="H54" s="796">
        <f ca="1">'R2 ($2015)'!H54+'R3 ($2015)'!H54</f>
        <v>0</v>
      </c>
      <c r="I54" s="796">
        <f ca="1">'R2 ($2015)'!I54+'R3 ($2015)'!I54</f>
        <v>0</v>
      </c>
      <c r="J54" s="866"/>
      <c r="L54" s="42"/>
      <c r="M54" s="732"/>
    </row>
    <row r="55" spans="1:13" outlineLevel="1">
      <c r="A55" s="61" t="s">
        <v>646</v>
      </c>
      <c r="B55" s="285"/>
      <c r="C55" s="285"/>
      <c r="D55" s="285"/>
      <c r="E55" s="796">
        <f ca="1">'R2 ($2015)'!E55+'R3 ($2015)'!E55</f>
        <v>0.28518554616282138</v>
      </c>
      <c r="F55" s="796">
        <f ca="1">'R2 ($2015)'!F55+'R3 ($2015)'!F55</f>
        <v>0.57735936141720612</v>
      </c>
      <c r="G55" s="796">
        <f ca="1">'R2 ($2015)'!G55+'R3 ($2015)'!G55</f>
        <v>1.1113671404634202</v>
      </c>
      <c r="H55" s="796">
        <f ca="1">'R2 ($2015)'!H55+'R3 ($2015)'!H55</f>
        <v>1.7512523973699921</v>
      </c>
      <c r="I55" s="796">
        <f ca="1">'R2 ($2015)'!I55+'R3 ($2015)'!I55</f>
        <v>2.5306039215840626</v>
      </c>
      <c r="J55" s="866"/>
      <c r="L55" s="42"/>
      <c r="M55" s="732"/>
    </row>
    <row r="56" spans="1:13" outlineLevel="1">
      <c r="A56" s="61" t="s">
        <v>647</v>
      </c>
      <c r="B56" s="285"/>
      <c r="C56" s="285"/>
      <c r="D56" s="285"/>
      <c r="E56" s="796">
        <f ca="1">'R2 ($2015)'!E56+'R3 ($2015)'!E56</f>
        <v>0.24002624459182298</v>
      </c>
      <c r="F56" s="796">
        <f ca="1">'R2 ($2015)'!F56+'R3 ($2015)'!F56</f>
        <v>0.48593416169059489</v>
      </c>
      <c r="G56" s="796">
        <f ca="1">'R2 ($2015)'!G56+'R3 ($2015)'!G56</f>
        <v>0.93538148997175219</v>
      </c>
      <c r="H56" s="796">
        <f ca="1">'R2 ($2015)'!H56+'R3 ($2015)'!H56</f>
        <v>1.4739405342553973</v>
      </c>
      <c r="I56" s="796">
        <f ca="1">'R2 ($2015)'!I56+'R3 ($2015)'!I56</f>
        <v>2.1298812791177451</v>
      </c>
      <c r="J56" s="866"/>
      <c r="L56" s="42"/>
      <c r="M56" s="732"/>
    </row>
    <row r="57" spans="1:13" outlineLevel="1">
      <c r="A57" s="61" t="s">
        <v>575</v>
      </c>
      <c r="B57" s="285"/>
      <c r="C57" s="285"/>
      <c r="D57" s="285"/>
      <c r="E57" s="796">
        <f ca="1">'R2 ($2015)'!E57+'R3 ($2015)'!E57</f>
        <v>7.2855598212702322E-2</v>
      </c>
      <c r="F57" s="796">
        <f ca="1">'R2 ($2015)'!F57+'R3 ($2015)'!F57</f>
        <v>0.14870719021993589</v>
      </c>
      <c r="G57" s="796">
        <f ca="1">'R2 ($2015)'!G57+'R3 ($2015)'!G57</f>
        <v>0.23185541559811446</v>
      </c>
      <c r="H57" s="796">
        <f ca="1">'R2 ($2015)'!H57+'R3 ($2015)'!H57</f>
        <v>0.3186657021279008</v>
      </c>
      <c r="I57" s="796">
        <f ca="1">'R2 ($2015)'!I57+'R3 ($2015)'!I57</f>
        <v>0.40877268453783022</v>
      </c>
      <c r="J57" s="866"/>
      <c r="L57" s="42"/>
      <c r="M57" s="732"/>
    </row>
    <row r="58" spans="1:13" outlineLevel="1">
      <c r="A58" s="83" t="s">
        <v>70</v>
      </c>
      <c r="B58" s="286"/>
      <c r="C58" s="286"/>
      <c r="D58" s="286"/>
      <c r="E58" s="796">
        <f ca="1">'R2 ($2015)'!E58+'R3 ($2015)'!E58</f>
        <v>0</v>
      </c>
      <c r="F58" s="796">
        <f ca="1">'R2 ($2015)'!F58+'R3 ($2015)'!F58</f>
        <v>0</v>
      </c>
      <c r="G58" s="796">
        <f ca="1">'R2 ($2015)'!G58+'R3 ($2015)'!G58</f>
        <v>0</v>
      </c>
      <c r="H58" s="796">
        <f ca="1">'R2 ($2015)'!H58+'R3 ($2015)'!H58</f>
        <v>0</v>
      </c>
      <c r="I58" s="796">
        <f ca="1">'R2 ($2015)'!I58+'R3 ($2015)'!I58</f>
        <v>0</v>
      </c>
      <c r="J58" s="866"/>
      <c r="L58" s="42"/>
      <c r="M58" s="732"/>
    </row>
    <row r="59" spans="1:13" s="560" customFormat="1" ht="18" customHeight="1">
      <c r="A59" s="97" t="s">
        <v>73</v>
      </c>
      <c r="B59" s="295"/>
      <c r="C59" s="295"/>
      <c r="D59" s="295"/>
      <c r="E59" s="868">
        <f t="shared" ref="E59:I59" ca="1" si="5">SUM(E53:E58)</f>
        <v>2.9151858909051693</v>
      </c>
      <c r="F59" s="868">
        <f t="shared" ca="1" si="5"/>
        <v>5.9415230874879237</v>
      </c>
      <c r="G59" s="868">
        <f t="shared" ca="1" si="5"/>
        <v>9.6525943286799158</v>
      </c>
      <c r="H59" s="868">
        <f t="shared" ca="1" si="5"/>
        <v>13.678785975614423</v>
      </c>
      <c r="I59" s="869">
        <f t="shared" ca="1" si="5"/>
        <v>18.069971264383369</v>
      </c>
      <c r="J59" s="860">
        <f ca="1">SUM(E59:I59)</f>
        <v>50.258060547070805</v>
      </c>
      <c r="K59" s="308">
        <f ca="1">+K82</f>
        <v>0</v>
      </c>
      <c r="M59" s="536"/>
    </row>
    <row r="60" spans="1:13" outlineLevel="1">
      <c r="A60" s="88"/>
      <c r="B60" s="89"/>
      <c r="C60" s="89"/>
      <c r="D60" s="89"/>
      <c r="E60" s="800"/>
      <c r="F60" s="800"/>
      <c r="G60" s="800"/>
      <c r="H60" s="800"/>
      <c r="I60" s="800"/>
      <c r="J60" s="801"/>
      <c r="L60" s="42"/>
      <c r="M60" s="732"/>
    </row>
    <row r="61" spans="1:13" ht="18.75" customHeight="1" outlineLevel="1">
      <c r="A61" s="207" t="s">
        <v>129</v>
      </c>
      <c r="B61" s="635"/>
      <c r="C61" s="635"/>
      <c r="D61" s="635"/>
      <c r="E61" s="804" t="str">
        <f>'Ref-1'!Q39</f>
        <v>2015/16</v>
      </c>
      <c r="F61" s="804" t="str">
        <f>'Ref-1'!R39</f>
        <v>2016/17</v>
      </c>
      <c r="G61" s="804" t="str">
        <f>'Ref-1'!S39</f>
        <v>2017/18</v>
      </c>
      <c r="H61" s="804" t="str">
        <f>'Ref-1'!T39</f>
        <v>2018/19</v>
      </c>
      <c r="I61" s="804" t="str">
        <f>'Ref-1'!U39</f>
        <v>2019/20</v>
      </c>
      <c r="J61" s="804"/>
      <c r="K61" s="98"/>
      <c r="L61" s="42"/>
    </row>
    <row r="62" spans="1:13" ht="10.5" customHeight="1" outlineLevel="1">
      <c r="A62" s="207"/>
      <c r="B62" s="76"/>
      <c r="C62" s="76"/>
      <c r="D62" s="76"/>
      <c r="E62" s="802"/>
      <c r="F62" s="802"/>
      <c r="G62" s="802"/>
      <c r="H62" s="802"/>
      <c r="I62" s="802"/>
      <c r="J62" s="802"/>
      <c r="K62" s="98"/>
      <c r="L62" s="42"/>
    </row>
    <row r="63" spans="1:13" ht="18.75" customHeight="1" outlineLevel="1">
      <c r="A63" s="306" t="s">
        <v>126</v>
      </c>
      <c r="B63" s="76"/>
      <c r="C63" s="76"/>
      <c r="D63" s="76"/>
      <c r="E63" s="802"/>
      <c r="F63" s="802"/>
      <c r="G63" s="802"/>
      <c r="H63" s="802"/>
      <c r="I63" s="802"/>
      <c r="J63" s="802"/>
      <c r="L63" s="42"/>
    </row>
    <row r="64" spans="1:13" ht="18.75" customHeight="1" outlineLevel="1">
      <c r="A64" s="61" t="s">
        <v>68</v>
      </c>
      <c r="B64" s="285"/>
      <c r="C64" s="285"/>
      <c r="D64" s="285"/>
      <c r="E64" s="796">
        <f t="shared" ref="E64:I69" ca="1" si="6">+E42+E30+E53</f>
        <v>113.73420884672414</v>
      </c>
      <c r="F64" s="796">
        <f t="shared" ca="1" si="6"/>
        <v>119.39270701568378</v>
      </c>
      <c r="G64" s="796">
        <f t="shared" ca="1" si="6"/>
        <v>125.39625880290187</v>
      </c>
      <c r="H64" s="796">
        <f t="shared" ca="1" si="6"/>
        <v>129.16795337714356</v>
      </c>
      <c r="I64" s="796">
        <f t="shared" ca="1" si="6"/>
        <v>133.3085809670639</v>
      </c>
      <c r="J64" s="796"/>
      <c r="L64" s="42"/>
    </row>
    <row r="65" spans="1:12" ht="18.75" customHeight="1" outlineLevel="1">
      <c r="A65" s="61" t="s">
        <v>69</v>
      </c>
      <c r="B65" s="285"/>
      <c r="C65" s="285"/>
      <c r="D65" s="285"/>
      <c r="E65" s="796">
        <f t="shared" ca="1" si="6"/>
        <v>1.6321092447695249</v>
      </c>
      <c r="F65" s="796">
        <f t="shared" ca="1" si="6"/>
        <v>1.8473131169570709</v>
      </c>
      <c r="G65" s="796">
        <f t="shared" ca="1" si="6"/>
        <v>1.8783441582483906</v>
      </c>
      <c r="H65" s="796">
        <f t="shared" ca="1" si="6"/>
        <v>1.9230105695539388</v>
      </c>
      <c r="I65" s="796">
        <f t="shared" ca="1" si="6"/>
        <v>1.9332770701272426</v>
      </c>
      <c r="J65" s="796"/>
      <c r="L65" s="42"/>
    </row>
    <row r="66" spans="1:12" ht="18.75" customHeight="1" outlineLevel="1">
      <c r="A66" s="61" t="s">
        <v>646</v>
      </c>
      <c r="B66" s="285"/>
      <c r="C66" s="285"/>
      <c r="D66" s="285"/>
      <c r="E66" s="796">
        <f t="shared" ca="1" si="6"/>
        <v>71.937180394112929</v>
      </c>
      <c r="F66" s="796">
        <f t="shared" ca="1" si="6"/>
        <v>71.107489920203946</v>
      </c>
      <c r="G66" s="796">
        <f t="shared" ca="1" si="6"/>
        <v>72.238543162071309</v>
      </c>
      <c r="H66" s="796">
        <f t="shared" ca="1" si="6"/>
        <v>73.386630211090079</v>
      </c>
      <c r="I66" s="796">
        <f t="shared" ca="1" si="6"/>
        <v>72.624969718141216</v>
      </c>
      <c r="J66" s="796"/>
      <c r="L66" s="42"/>
    </row>
    <row r="67" spans="1:12" ht="18.75" customHeight="1" outlineLevel="1">
      <c r="A67" s="61" t="s">
        <v>647</v>
      </c>
      <c r="B67" s="285"/>
      <c r="C67" s="285"/>
      <c r="D67" s="285"/>
      <c r="E67" s="796">
        <f t="shared" ca="1" si="6"/>
        <v>55.333567047572835</v>
      </c>
      <c r="F67" s="796">
        <f t="shared" ca="1" si="6"/>
        <v>61.241992472570352</v>
      </c>
      <c r="G67" s="796">
        <f t="shared" ca="1" si="6"/>
        <v>57.505397391997803</v>
      </c>
      <c r="H67" s="796">
        <f t="shared" ca="1" si="6"/>
        <v>58.131275129678258</v>
      </c>
      <c r="I67" s="796">
        <f t="shared" ca="1" si="6"/>
        <v>59.088835422700733</v>
      </c>
      <c r="J67" s="796"/>
      <c r="L67" s="42"/>
    </row>
    <row r="68" spans="1:12" ht="18.75" customHeight="1" outlineLevel="1">
      <c r="A68" s="61" t="s">
        <v>575</v>
      </c>
      <c r="B68" s="285"/>
      <c r="C68" s="285"/>
      <c r="D68" s="285"/>
      <c r="E68" s="796">
        <f t="shared" ca="1" si="6"/>
        <v>3.4681260793032971</v>
      </c>
      <c r="F68" s="796">
        <f t="shared" ca="1" si="6"/>
        <v>3.5770062684621</v>
      </c>
      <c r="G68" s="796">
        <f t="shared" ca="1" si="6"/>
        <v>3.6928028953674863</v>
      </c>
      <c r="H68" s="796">
        <f t="shared" ca="1" si="6"/>
        <v>3.8150340753811265</v>
      </c>
      <c r="I68" s="796">
        <f t="shared" ca="1" si="6"/>
        <v>3.9375868613133673</v>
      </c>
      <c r="J68" s="796"/>
      <c r="L68" s="42"/>
    </row>
    <row r="69" spans="1:12" ht="18.75" customHeight="1" outlineLevel="1">
      <c r="A69" s="83" t="s">
        <v>70</v>
      </c>
      <c r="B69" s="285"/>
      <c r="C69" s="285"/>
      <c r="D69" s="285"/>
      <c r="E69" s="796">
        <f t="shared" ca="1" si="6"/>
        <v>23.667228835816289</v>
      </c>
      <c r="F69" s="796">
        <f t="shared" ca="1" si="6"/>
        <v>23.897459496750582</v>
      </c>
      <c r="G69" s="796">
        <f t="shared" ca="1" si="6"/>
        <v>24.125039948550061</v>
      </c>
      <c r="H69" s="796">
        <f t="shared" ca="1" si="6"/>
        <v>24.37194646051142</v>
      </c>
      <c r="I69" s="796">
        <f t="shared" ca="1" si="6"/>
        <v>24.598114673324268</v>
      </c>
      <c r="J69" s="796"/>
      <c r="L69" s="42"/>
    </row>
    <row r="70" spans="1:12" ht="18.75" customHeight="1">
      <c r="A70" s="99" t="s">
        <v>129</v>
      </c>
      <c r="B70" s="295"/>
      <c r="C70" s="295"/>
      <c r="D70" s="295"/>
      <c r="E70" s="859">
        <f t="shared" ref="E70:I70" ca="1" si="7">SUM(E64:E69)</f>
        <v>269.77242044829904</v>
      </c>
      <c r="F70" s="859">
        <f t="shared" ca="1" si="7"/>
        <v>281.06396829062783</v>
      </c>
      <c r="G70" s="859">
        <f t="shared" ca="1" si="7"/>
        <v>284.83638635913695</v>
      </c>
      <c r="H70" s="859">
        <f t="shared" ca="1" si="7"/>
        <v>290.79584982335837</v>
      </c>
      <c r="I70" s="859">
        <f t="shared" ca="1" si="7"/>
        <v>295.49136471267076</v>
      </c>
      <c r="J70" s="860">
        <f ca="1">SUM(E70:I70)</f>
        <v>1421.9599896340928</v>
      </c>
      <c r="K70" s="308">
        <f ca="1">+K83</f>
        <v>0</v>
      </c>
      <c r="L70" s="42"/>
    </row>
    <row r="71" spans="1:12" ht="18.75" customHeight="1">
      <c r="A71" s="77"/>
      <c r="B71" s="76"/>
      <c r="C71" s="76"/>
      <c r="D71" s="76"/>
      <c r="E71" s="76"/>
      <c r="F71" s="76"/>
      <c r="G71" s="76"/>
      <c r="H71" s="76"/>
      <c r="I71" s="76"/>
      <c r="J71" s="76"/>
      <c r="L71" s="42"/>
    </row>
    <row r="74" spans="1:12">
      <c r="A74" s="307" t="s">
        <v>288</v>
      </c>
      <c r="B74" s="544"/>
      <c r="C74" s="544"/>
      <c r="D74" s="544"/>
      <c r="E74" s="544"/>
      <c r="F74" s="544"/>
      <c r="G74" s="544"/>
      <c r="H74" s="544"/>
      <c r="I74" s="544"/>
      <c r="J74" s="544"/>
    </row>
    <row r="75" spans="1:12">
      <c r="A75" s="307"/>
      <c r="B75" s="544"/>
      <c r="C75" s="544"/>
      <c r="D75" s="544"/>
      <c r="E75" s="544"/>
      <c r="F75" s="544"/>
      <c r="G75" s="544"/>
      <c r="H75" s="544"/>
      <c r="I75" s="544"/>
      <c r="J75" s="544"/>
    </row>
    <row r="76" spans="1:12">
      <c r="A76" s="632" t="s">
        <v>289</v>
      </c>
    </row>
    <row r="78" spans="1:12">
      <c r="A78" s="306" t="s">
        <v>290</v>
      </c>
      <c r="E78" s="286">
        <f ca="1">'R2 ($2015)'!E14+'R3 ($2015)'!E14-'R7 ($2015)'!E14</f>
        <v>0</v>
      </c>
      <c r="F78" s="286">
        <f ca="1">'R2 ($2015)'!F14+'R3 ($2015)'!F14-'R7 ($2015)'!F14</f>
        <v>0</v>
      </c>
      <c r="G78" s="286">
        <f ca="1">'R2 ($2015)'!G14+'R3 ($2015)'!G14-'R7 ($2015)'!G14</f>
        <v>0</v>
      </c>
      <c r="H78" s="286">
        <f ca="1">'R2 ($2015)'!H14+'R3 ($2015)'!H14-'R7 ($2015)'!H14</f>
        <v>0</v>
      </c>
      <c r="I78" s="286">
        <f ca="1">'R2 ($2015)'!I14+'R3 ($2015)'!I14-'R7 ($2015)'!I14</f>
        <v>0</v>
      </c>
      <c r="J78" s="286"/>
      <c r="K78" s="286">
        <f t="shared" ref="K78:K83" ca="1" si="8">SUM(B78:I78)</f>
        <v>0</v>
      </c>
    </row>
    <row r="79" spans="1:12">
      <c r="A79" s="306" t="s">
        <v>291</v>
      </c>
      <c r="E79" s="286">
        <f>'R2 ($2015)'!E25+'R3 ($2015)'!E25-'R7 ($2015)'!E25</f>
        <v>0</v>
      </c>
      <c r="F79" s="286">
        <f>'R2 ($2015)'!F25+'R3 ($2015)'!F25-'R7 ($2015)'!F25</f>
        <v>0</v>
      </c>
      <c r="G79" s="286">
        <f>'R2 ($2015)'!G25+'R3 ($2015)'!G25-'R7 ($2015)'!G25</f>
        <v>0</v>
      </c>
      <c r="H79" s="286">
        <f>'R2 ($2015)'!H25+'R3 ($2015)'!H25-'R7 ($2015)'!H25</f>
        <v>0</v>
      </c>
      <c r="I79" s="286">
        <f>'R2 ($2015)'!I25+'R3 ($2015)'!I25-'R7 ($2015)'!I25</f>
        <v>0</v>
      </c>
      <c r="J79" s="286"/>
      <c r="K79" s="286">
        <f t="shared" si="8"/>
        <v>0</v>
      </c>
    </row>
    <row r="80" spans="1:12">
      <c r="A80" s="306" t="s">
        <v>292</v>
      </c>
      <c r="E80" s="286">
        <f ca="1">'R2 ($2015)'!E36+'R3 ($2015)'!E36-'R7 ($2015)'!E36</f>
        <v>0</v>
      </c>
      <c r="F80" s="286">
        <f ca="1">'R2 ($2015)'!F36+'R3 ($2015)'!F36-'R7 ($2015)'!F36</f>
        <v>0</v>
      </c>
      <c r="G80" s="286">
        <f ca="1">'R2 ($2015)'!G36+'R3 ($2015)'!G36-'R7 ($2015)'!G36</f>
        <v>0</v>
      </c>
      <c r="H80" s="286">
        <f ca="1">'R2 ($2015)'!H36+'R3 ($2015)'!H36-'R7 ($2015)'!H36</f>
        <v>0</v>
      </c>
      <c r="I80" s="286">
        <f ca="1">'R2 ($2015)'!I36+'R3 ($2015)'!I36-'R7 ($2015)'!I36</f>
        <v>0</v>
      </c>
      <c r="J80" s="286"/>
      <c r="K80" s="286">
        <f t="shared" ca="1" si="8"/>
        <v>0</v>
      </c>
    </row>
    <row r="81" spans="1:12">
      <c r="A81" s="306" t="s">
        <v>293</v>
      </c>
      <c r="E81" s="286">
        <f ca="1">'R2 ($2015)'!E48+'R3 ($2015)'!E48-'R7 ($2015)'!E48</f>
        <v>0</v>
      </c>
      <c r="F81" s="286">
        <f ca="1">'R2 ($2015)'!F48+'R3 ($2015)'!F48-'R7 ($2015)'!F48</f>
        <v>0</v>
      </c>
      <c r="G81" s="286">
        <f ca="1">'R2 ($2015)'!G48+'R3 ($2015)'!G48-'R7 ($2015)'!G48</f>
        <v>0</v>
      </c>
      <c r="H81" s="286">
        <f ca="1">'R2 ($2015)'!H48+'R3 ($2015)'!H48-'R7 ($2015)'!H48</f>
        <v>0</v>
      </c>
      <c r="I81" s="286">
        <f ca="1">'R2 ($2015)'!I48+'R3 ($2015)'!I48-'R7 ($2015)'!I48</f>
        <v>0</v>
      </c>
      <c r="J81" s="286"/>
      <c r="K81" s="286">
        <f t="shared" ca="1" si="8"/>
        <v>0</v>
      </c>
    </row>
    <row r="82" spans="1:12">
      <c r="A82" s="306" t="s">
        <v>294</v>
      </c>
      <c r="E82" s="286">
        <f ca="1">'R2 ($2015)'!E59+'R3 ($2015)'!E59-'R7 ($2015)'!E59</f>
        <v>0</v>
      </c>
      <c r="F82" s="286">
        <f ca="1">'R2 ($2015)'!F59+'R3 ($2015)'!F59-'R7 ($2015)'!F59</f>
        <v>0</v>
      </c>
      <c r="G82" s="286">
        <f ca="1">'R2 ($2015)'!G59+'R3 ($2015)'!G59-'R7 ($2015)'!G59</f>
        <v>0</v>
      </c>
      <c r="H82" s="286">
        <f ca="1">'R2 ($2015)'!H59+'R3 ($2015)'!H59-'R7 ($2015)'!H59</f>
        <v>0</v>
      </c>
      <c r="I82" s="286">
        <f ca="1">'R2 ($2015)'!I59+'R3 ($2015)'!I59-'R7 ($2015)'!I59</f>
        <v>0</v>
      </c>
      <c r="J82" s="286"/>
      <c r="K82" s="286">
        <f t="shared" ca="1" si="8"/>
        <v>0</v>
      </c>
    </row>
    <row r="83" spans="1:12">
      <c r="A83" s="306" t="s">
        <v>129</v>
      </c>
      <c r="E83" s="286">
        <f ca="1">'R2 ($2015)'!E70+'R3 ($2015)'!E70-'R7 ($2015)'!E70</f>
        <v>0</v>
      </c>
      <c r="F83" s="286">
        <f ca="1">'R2 ($2015)'!F70+'R3 ($2015)'!F70-'R7 ($2015)'!F70</f>
        <v>0</v>
      </c>
      <c r="G83" s="286">
        <f ca="1">'R2 ($2015)'!G70+'R3 ($2015)'!G70-'R7 ($2015)'!G70</f>
        <v>0</v>
      </c>
      <c r="H83" s="286">
        <f ca="1">'R2 ($2015)'!H70+'R3 ($2015)'!H70-'R7 ($2015)'!H70</f>
        <v>0</v>
      </c>
      <c r="I83" s="286">
        <f ca="1">'R2 ($2015)'!I70+'R3 ($2015)'!I70-'R7 ($2015)'!I70</f>
        <v>0</v>
      </c>
      <c r="J83" s="286"/>
      <c r="K83" s="286">
        <f t="shared" ca="1" si="8"/>
        <v>0</v>
      </c>
    </row>
    <row r="86" spans="1:12">
      <c r="A86" s="306" t="s">
        <v>126</v>
      </c>
      <c r="E86" s="76"/>
      <c r="F86" s="76"/>
      <c r="G86" s="76"/>
      <c r="H86" s="76"/>
      <c r="I86" s="76"/>
      <c r="J86" s="76"/>
    </row>
    <row r="87" spans="1:12" ht="18.75" customHeight="1" outlineLevel="1">
      <c r="A87" s="61" t="s">
        <v>68</v>
      </c>
      <c r="E87" s="285">
        <f ca="1">'R2 ($2015)'!E64+'R3 ($2015)'!E64-'R7 ($2015)'!E64</f>
        <v>0</v>
      </c>
      <c r="F87" s="285">
        <f ca="1">'R2 ($2015)'!F64+'R3 ($2015)'!F64-'R7 ($2015)'!F64</f>
        <v>0</v>
      </c>
      <c r="G87" s="285">
        <f ca="1">'R2 ($2015)'!G64+'R3 ($2015)'!G64-'R7 ($2015)'!G64</f>
        <v>0</v>
      </c>
      <c r="H87" s="285">
        <f ca="1">'R2 ($2015)'!H64+'R3 ($2015)'!H64-'R7 ($2015)'!H64</f>
        <v>0</v>
      </c>
      <c r="I87" s="285">
        <f ca="1">'R2 ($2015)'!I64+'R3 ($2015)'!I64-'R7 ($2015)'!I64</f>
        <v>0</v>
      </c>
      <c r="J87" s="285"/>
      <c r="K87" s="285">
        <f t="shared" ref="K87:K93" ca="1" si="9">SUM(B87:I87)</f>
        <v>0</v>
      </c>
      <c r="L87" s="42"/>
    </row>
    <row r="88" spans="1:12" ht="18.75" customHeight="1" outlineLevel="1">
      <c r="A88" s="61" t="s">
        <v>69</v>
      </c>
      <c r="E88" s="285">
        <f ca="1">'R2 ($2015)'!E65+'R3 ($2015)'!E65-'R7 ($2015)'!E65</f>
        <v>0</v>
      </c>
      <c r="F88" s="285">
        <f ca="1">'R2 ($2015)'!F65+'R3 ($2015)'!F65-'R7 ($2015)'!F65</f>
        <v>0</v>
      </c>
      <c r="G88" s="285">
        <f ca="1">'R2 ($2015)'!G65+'R3 ($2015)'!G65-'R7 ($2015)'!G65</f>
        <v>0</v>
      </c>
      <c r="H88" s="285">
        <f ca="1">'R2 ($2015)'!H65+'R3 ($2015)'!H65-'R7 ($2015)'!H65</f>
        <v>0</v>
      </c>
      <c r="I88" s="285">
        <f ca="1">'R2 ($2015)'!I65+'R3 ($2015)'!I65-'R7 ($2015)'!I65</f>
        <v>0</v>
      </c>
      <c r="J88" s="285"/>
      <c r="K88" s="285">
        <f t="shared" ca="1" si="9"/>
        <v>0</v>
      </c>
      <c r="L88" s="42"/>
    </row>
    <row r="89" spans="1:12" ht="18.75" customHeight="1" outlineLevel="1">
      <c r="A89" s="61" t="s">
        <v>646</v>
      </c>
      <c r="E89" s="285">
        <f ca="1">'R2 ($2015)'!E66+'R3 ($2015)'!E66-'R7 ($2015)'!E66</f>
        <v>0</v>
      </c>
      <c r="F89" s="285">
        <f ca="1">'R2 ($2015)'!F66+'R3 ($2015)'!F66-'R7 ($2015)'!F66</f>
        <v>0</v>
      </c>
      <c r="G89" s="285">
        <f ca="1">'R2 ($2015)'!G66+'R3 ($2015)'!G66-'R7 ($2015)'!G66</f>
        <v>0</v>
      </c>
      <c r="H89" s="285">
        <f ca="1">'R2 ($2015)'!H66+'R3 ($2015)'!H66-'R7 ($2015)'!H66</f>
        <v>0</v>
      </c>
      <c r="I89" s="285">
        <f ca="1">'R2 ($2015)'!I66+'R3 ($2015)'!I66-'R7 ($2015)'!I66</f>
        <v>0</v>
      </c>
      <c r="J89" s="285"/>
      <c r="K89" s="285">
        <f t="shared" ca="1" si="9"/>
        <v>0</v>
      </c>
      <c r="L89" s="42"/>
    </row>
    <row r="90" spans="1:12" ht="18.75" customHeight="1" outlineLevel="1">
      <c r="A90" s="61" t="s">
        <v>647</v>
      </c>
      <c r="E90" s="285">
        <f ca="1">'R2 ($2015)'!E67+'R3 ($2015)'!E67-'R7 ($2015)'!E67</f>
        <v>0</v>
      </c>
      <c r="F90" s="285">
        <f ca="1">'R2 ($2015)'!F67+'R3 ($2015)'!F67-'R7 ($2015)'!F67</f>
        <v>0</v>
      </c>
      <c r="G90" s="285">
        <f ca="1">'R2 ($2015)'!G67+'R3 ($2015)'!G67-'R7 ($2015)'!G67</f>
        <v>0</v>
      </c>
      <c r="H90" s="285">
        <f ca="1">'R2 ($2015)'!H67+'R3 ($2015)'!H67-'R7 ($2015)'!H67</f>
        <v>0</v>
      </c>
      <c r="I90" s="285">
        <f ca="1">'R2 ($2015)'!I67+'R3 ($2015)'!I67-'R7 ($2015)'!I67</f>
        <v>0</v>
      </c>
      <c r="J90" s="285"/>
      <c r="K90" s="285">
        <f t="shared" ca="1" si="9"/>
        <v>0</v>
      </c>
      <c r="L90" s="42"/>
    </row>
    <row r="91" spans="1:12" ht="18.75" customHeight="1" outlineLevel="1">
      <c r="A91" s="61" t="s">
        <v>575</v>
      </c>
      <c r="E91" s="285">
        <f ca="1">'R2 ($2015)'!E68+'R3 ($2015)'!E68-'R7 ($2015)'!E68</f>
        <v>0</v>
      </c>
      <c r="F91" s="285">
        <f ca="1">'R2 ($2015)'!F68+'R3 ($2015)'!F68-'R7 ($2015)'!F68</f>
        <v>0</v>
      </c>
      <c r="G91" s="285">
        <f ca="1">'R2 ($2015)'!G68+'R3 ($2015)'!G68-'R7 ($2015)'!G68</f>
        <v>0</v>
      </c>
      <c r="H91" s="285">
        <f ca="1">'R2 ($2015)'!H68+'R3 ($2015)'!H68-'R7 ($2015)'!H68</f>
        <v>0</v>
      </c>
      <c r="I91" s="285">
        <f ca="1">'R2 ($2015)'!I68+'R3 ($2015)'!I68-'R7 ($2015)'!I68</f>
        <v>0</v>
      </c>
      <c r="J91" s="285"/>
      <c r="K91" s="285">
        <f t="shared" ca="1" si="9"/>
        <v>0</v>
      </c>
      <c r="L91" s="42"/>
    </row>
    <row r="92" spans="1:12" ht="18.75" customHeight="1" outlineLevel="1">
      <c r="A92" s="83" t="s">
        <v>70</v>
      </c>
      <c r="E92" s="285">
        <f ca="1">'R2 ($2015)'!E69+'R3 ($2015)'!E69-'R7 ($2015)'!E69</f>
        <v>0</v>
      </c>
      <c r="F92" s="285">
        <f ca="1">'R2 ($2015)'!F69+'R3 ($2015)'!F69-'R7 ($2015)'!F69</f>
        <v>0</v>
      </c>
      <c r="G92" s="285">
        <f ca="1">'R2 ($2015)'!G69+'R3 ($2015)'!G69-'R7 ($2015)'!G69</f>
        <v>0</v>
      </c>
      <c r="H92" s="285">
        <f ca="1">'R2 ($2015)'!H69+'R3 ($2015)'!H69-'R7 ($2015)'!H69</f>
        <v>0</v>
      </c>
      <c r="I92" s="285">
        <f ca="1">'R2 ($2015)'!I69+'R3 ($2015)'!I69-'R7 ($2015)'!I69</f>
        <v>0</v>
      </c>
      <c r="J92" s="285"/>
      <c r="K92" s="285">
        <f t="shared" ca="1" si="9"/>
        <v>0</v>
      </c>
      <c r="L92" s="42"/>
    </row>
    <row r="93" spans="1:12" ht="18.75" customHeight="1" outlineLevel="1">
      <c r="A93" s="99" t="s">
        <v>129</v>
      </c>
      <c r="E93" s="295">
        <f t="shared" ref="E93" ca="1" si="10">SUM(E87:E92)</f>
        <v>0</v>
      </c>
      <c r="F93" s="295">
        <f t="shared" ref="F93:I93" ca="1" si="11">SUM(F87:F92)</f>
        <v>0</v>
      </c>
      <c r="G93" s="295">
        <f t="shared" ca="1" si="11"/>
        <v>0</v>
      </c>
      <c r="H93" s="295">
        <f t="shared" ca="1" si="11"/>
        <v>0</v>
      </c>
      <c r="I93" s="295">
        <f t="shared" ca="1" si="11"/>
        <v>0</v>
      </c>
      <c r="J93" s="295"/>
      <c r="K93" s="295">
        <f t="shared" ca="1" si="9"/>
        <v>0</v>
      </c>
      <c r="L93" s="42"/>
    </row>
    <row r="94" spans="1:12" ht="18.75" customHeight="1" outlineLevel="1">
      <c r="L94" s="42"/>
    </row>
  </sheetData>
  <sheetProtection formatColumns="0" formatRows="0"/>
  <dataConsolidate>
    <dataRefs count="5">
      <dataRef ref="B17" sheet="Template (2)" r:id="rId1"/>
      <dataRef ref="B17" sheet="Template (3)" r:id="rId2"/>
      <dataRef ref="B17" sheet="Template (4)" r:id="rId3"/>
      <dataRef ref="B17" sheet="Template (5)" r:id="rId4"/>
      <dataRef ref="B17" sheet="Template (6)" r:id="rId5"/>
    </dataRefs>
  </dataConsolidate>
  <conditionalFormatting sqref="K14 K37">
    <cfRule type="cellIs" dxfId="17" priority="5" stopIfTrue="1" operator="equal">
      <formula>"OK"</formula>
    </cfRule>
    <cfRule type="cellIs" dxfId="16" priority="6" stopIfTrue="1" operator="equal">
      <formula>"Warning Check Escalations"</formula>
    </cfRule>
  </conditionalFormatting>
  <conditionalFormatting sqref="K14 K70 K59 K48 K36 K25 E78:K83 E87:K93">
    <cfRule type="cellIs" dxfId="15" priority="3" stopIfTrue="1" operator="equal">
      <formula>0</formula>
    </cfRule>
    <cfRule type="cellIs" dxfId="14" priority="4" stopIfTrue="1" operator="notEqual">
      <formula>0</formula>
    </cfRule>
  </conditionalFormatting>
  <conditionalFormatting sqref="E78:J83 E87:J93">
    <cfRule type="cellIs" dxfId="13" priority="1" stopIfTrue="1" operator="equal">
      <formula>0</formula>
    </cfRule>
    <cfRule type="cellIs" dxfId="12" priority="2" stopIfTrue="1" operator="notEqual">
      <formula>0</formula>
    </cfRule>
  </conditionalFormatting>
  <dataValidations disablePrompts="1" count="1">
    <dataValidation type="list" allowBlank="1" showInputMessage="1" showErrorMessage="1" sqref="D5">
      <formula1>"2007/08 Regulatory Accounts, Bottom Up"</formula1>
    </dataValidation>
  </dataValidations>
  <pageMargins left="0.46" right="0.28999999999999998" top="0.39" bottom="0.35" header="0.24" footer="0.2"/>
  <pageSetup paperSize="9" scale="79" fitToHeight="0" orientation="portrait" r:id="rId6"/>
  <headerFooter alignWithMargins="0">
    <oddFooter>&amp;L&amp;8&amp;F
&amp;A
Printed: &amp;T on &amp;D&amp;C&amp;8Page &amp;P of &amp;N</oddFooter>
  </headerFooter>
</worksheet>
</file>

<file path=xl/worksheets/sheet93.xml><?xml version="1.0" encoding="utf-8"?>
<worksheet xmlns="http://schemas.openxmlformats.org/spreadsheetml/2006/main" xmlns:r="http://schemas.openxmlformats.org/officeDocument/2006/relationships">
  <sheetPr codeName="Sheet6" enableFormatConditionsCalculation="0">
    <tabColor indexed="58"/>
    <pageSetUpPr fitToPage="1"/>
  </sheetPr>
  <dimension ref="C11:F22"/>
  <sheetViews>
    <sheetView showGridLines="0" workbookViewId="0">
      <selection activeCell="C12" sqref="C12:D12"/>
    </sheetView>
  </sheetViews>
  <sheetFormatPr defaultRowHeight="12.75"/>
  <sheetData>
    <row r="11" spans="3:6" ht="18">
      <c r="C11" s="144" t="s">
        <v>440</v>
      </c>
    </row>
    <row r="12" spans="3:6" ht="16.5">
      <c r="C12" s="176" t="s">
        <v>4</v>
      </c>
      <c r="D12" s="730">
        <v>7</v>
      </c>
    </row>
    <row r="13" spans="3:6" ht="15.75">
      <c r="C13" s="177"/>
    </row>
    <row r="14" spans="3:6">
      <c r="C14" s="882"/>
      <c r="D14" s="882"/>
      <c r="E14" s="882"/>
      <c r="F14" s="882"/>
    </row>
    <row r="15" spans="3:6">
      <c r="C15" s="182"/>
      <c r="D15" s="182"/>
    </row>
    <row r="19" spans="3:3">
      <c r="C19" s="147" t="s">
        <v>22</v>
      </c>
    </row>
    <row r="20" spans="3:3">
      <c r="C20" s="148" t="s">
        <v>441</v>
      </c>
    </row>
    <row r="21" spans="3:3">
      <c r="C21" s="148"/>
    </row>
    <row r="22" spans="3:3">
      <c r="C22" s="148"/>
    </row>
  </sheetData>
  <sheetProtection formatColumns="0" formatRows="0"/>
  <mergeCells count="1">
    <mergeCell ref="C14:F14"/>
  </mergeCells>
  <phoneticPr fontId="10" type="noConversion"/>
  <pageMargins left="0.75" right="0.75" top="1" bottom="1" header="0.5" footer="0.5"/>
  <pageSetup paperSize="9" orientation="landscape" r:id="rId1"/>
  <headerFooter alignWithMargins="0">
    <oddFooter>&amp;L&amp;8&amp;F
&amp;A
Printed: &amp;T on &amp;D&amp;C&amp;8Page &amp;P of &amp;N</oddFooter>
  </headerFooter>
</worksheet>
</file>

<file path=xl/worksheets/sheet94.xml><?xml version="1.0" encoding="utf-8"?>
<worksheet xmlns="http://schemas.openxmlformats.org/spreadsheetml/2006/main" xmlns:r="http://schemas.openxmlformats.org/officeDocument/2006/relationships">
  <sheetPr codeName="Sheet99">
    <pageSetUpPr fitToPage="1"/>
  </sheetPr>
  <dimension ref="A1:W650"/>
  <sheetViews>
    <sheetView showGridLines="0" topLeftCell="A558" zoomScale="75" zoomScaleNormal="75" workbookViewId="0">
      <selection activeCell="V569" sqref="V569"/>
    </sheetView>
  </sheetViews>
  <sheetFormatPr defaultRowHeight="12.75"/>
  <cols>
    <col min="1" max="1" width="6" customWidth="1"/>
    <col min="2" max="2" width="9.85546875" customWidth="1"/>
    <col min="3" max="3" width="41.85546875" customWidth="1"/>
    <col min="4" max="12" width="9.28515625" hidden="1" customWidth="1"/>
    <col min="13" max="13" width="11.140625" hidden="1" customWidth="1"/>
    <col min="14" max="19" width="11.140625" customWidth="1"/>
  </cols>
  <sheetData>
    <row r="1" spans="1:23" ht="18">
      <c r="A1" s="183" t="s">
        <v>1</v>
      </c>
      <c r="B1" s="183" t="s">
        <v>450</v>
      </c>
      <c r="E1" s="528"/>
      <c r="F1" s="529"/>
      <c r="G1" s="529"/>
      <c r="H1" s="530" t="s">
        <v>451</v>
      </c>
      <c r="I1" s="529"/>
      <c r="J1" s="529"/>
      <c r="K1" s="529"/>
      <c r="L1" s="707" t="s">
        <v>605</v>
      </c>
      <c r="M1" s="769"/>
      <c r="N1" s="787">
        <f>LU_Escalation</f>
        <v>1.0337307692307693</v>
      </c>
      <c r="O1" s="787">
        <f>LU_Escalation</f>
        <v>1.0337307692307693</v>
      </c>
      <c r="P1" s="769">
        <f>+O1</f>
        <v>1.0337307692307693</v>
      </c>
      <c r="Q1" s="769">
        <f>+P1</f>
        <v>1.0337307692307693</v>
      </c>
      <c r="R1" s="769">
        <f>+Q1</f>
        <v>1.0337307692307693</v>
      </c>
      <c r="S1" s="531">
        <f>+R1</f>
        <v>1.0337307692307693</v>
      </c>
    </row>
    <row r="2" spans="1:23" ht="13.5" thickBot="1">
      <c r="B2" s="2" t="s">
        <v>452</v>
      </c>
      <c r="E2" s="539"/>
      <c r="F2" s="540"/>
      <c r="G2" s="540"/>
      <c r="H2" s="540"/>
      <c r="I2" s="540"/>
      <c r="J2" s="540"/>
      <c r="K2" s="540"/>
      <c r="L2" s="708" t="s">
        <v>606</v>
      </c>
      <c r="M2" s="524">
        <f>'I-1'!H18/'I-1'!$H$18</f>
        <v>1</v>
      </c>
      <c r="N2" s="524"/>
      <c r="O2" s="525"/>
      <c r="P2" s="526"/>
      <c r="Q2" s="526"/>
      <c r="R2" s="526"/>
      <c r="S2" s="527"/>
    </row>
    <row r="3" spans="1:23" ht="13.5" thickBot="1">
      <c r="D3" s="8" t="s">
        <v>269</v>
      </c>
      <c r="E3" s="9"/>
      <c r="F3" s="9"/>
      <c r="G3" s="9"/>
      <c r="H3" s="9"/>
      <c r="I3" s="9"/>
      <c r="J3" s="9"/>
      <c r="K3" s="9"/>
      <c r="L3" s="9"/>
      <c r="M3" s="9"/>
      <c r="N3" s="642" t="s">
        <v>533</v>
      </c>
      <c r="O3" s="9"/>
      <c r="P3" s="9"/>
      <c r="Q3" s="9"/>
      <c r="R3" s="9"/>
      <c r="S3" s="643" t="str">
        <f>+LU_PTRMDollarDenomination</f>
        <v>$'M June 2015</v>
      </c>
    </row>
    <row r="4" spans="1:23" ht="13.5" thickBot="1">
      <c r="B4" s="253" t="s">
        <v>265</v>
      </c>
      <c r="C4" s="436"/>
      <c r="D4" s="439" t="str">
        <f>+'Ref-1'!F39</f>
        <v>2004/05</v>
      </c>
      <c r="E4" s="439" t="str">
        <f>+'Ref-1'!G39</f>
        <v>2005/06</v>
      </c>
      <c r="F4" s="439" t="str">
        <f>+'Ref-1'!H39</f>
        <v>2006/07</v>
      </c>
      <c r="G4" s="439" t="str">
        <f>+'Ref-1'!I39</f>
        <v>2007/08</v>
      </c>
      <c r="H4" s="439" t="str">
        <f>+'Ref-1'!J39</f>
        <v>2008/09</v>
      </c>
      <c r="I4" s="439" t="str">
        <f>+'Ref-1'!K39</f>
        <v>2009/10</v>
      </c>
      <c r="J4" s="439" t="str">
        <f>+'Ref-1'!L39</f>
        <v>2010/11</v>
      </c>
      <c r="K4" s="439" t="str">
        <f>+'Ref-1'!M39</f>
        <v>2011/12</v>
      </c>
      <c r="L4" s="439" t="str">
        <f>+'Ref-1'!N39</f>
        <v>2012/13</v>
      </c>
      <c r="M4" s="439" t="str">
        <f>+'Ref-1'!O39</f>
        <v>2013/14</v>
      </c>
      <c r="N4" s="439" t="str">
        <f>+'Ref-1'!P39</f>
        <v>2014/15</v>
      </c>
      <c r="O4" s="439" t="str">
        <f>+'Ref-1'!Q39</f>
        <v>2015/16</v>
      </c>
      <c r="P4" s="439" t="str">
        <f>+'Ref-1'!R39</f>
        <v>2016/17</v>
      </c>
      <c r="Q4" s="439" t="str">
        <f>+'Ref-1'!S39</f>
        <v>2017/18</v>
      </c>
      <c r="R4" s="439" t="str">
        <f>+'Ref-1'!T39</f>
        <v>2018/19</v>
      </c>
      <c r="S4" s="439" t="str">
        <f>+'Ref-1'!U39</f>
        <v>2019/20</v>
      </c>
    </row>
    <row r="5" spans="1:23" ht="18">
      <c r="B5" s="259"/>
      <c r="C5" s="454" t="s">
        <v>266</v>
      </c>
      <c r="D5" s="261"/>
      <c r="E5" s="302"/>
      <c r="F5" s="302"/>
      <c r="G5" s="302"/>
      <c r="H5" s="302"/>
      <c r="I5" s="302"/>
      <c r="J5" s="302"/>
      <c r="K5" s="302"/>
      <c r="L5" s="302"/>
      <c r="M5" s="302"/>
      <c r="N5" s="302"/>
      <c r="O5" s="302"/>
      <c r="P5" s="302"/>
      <c r="Q5" s="302"/>
      <c r="R5" s="302"/>
      <c r="S5" s="302"/>
    </row>
    <row r="6" spans="1:23" ht="18">
      <c r="B6" s="252"/>
      <c r="C6" s="248" t="s">
        <v>95</v>
      </c>
      <c r="D6" s="244"/>
      <c r="E6" s="244"/>
      <c r="F6" s="244"/>
      <c r="G6" s="244"/>
      <c r="H6" s="244"/>
      <c r="I6" s="244"/>
      <c r="J6" s="244"/>
      <c r="K6" s="244"/>
      <c r="L6" s="244"/>
      <c r="M6" s="244"/>
      <c r="N6" s="244"/>
      <c r="O6" s="244"/>
      <c r="P6" s="244"/>
      <c r="Q6" s="244"/>
      <c r="R6" s="244"/>
      <c r="S6" s="244"/>
    </row>
    <row r="7" spans="1:23">
      <c r="A7" s="5"/>
      <c r="B7" s="249" t="str">
        <f ca="1">+'I-4 History'!B7</f>
        <v>DA-1</v>
      </c>
      <c r="C7" s="14" t="str">
        <f ca="1">+'I-4 History'!C7</f>
        <v>Distribution Licence Fee</v>
      </c>
      <c r="D7" s="11"/>
      <c r="E7" s="11"/>
      <c r="F7" s="11"/>
      <c r="G7" s="11"/>
      <c r="H7" s="11"/>
      <c r="I7" s="11"/>
      <c r="J7" s="11"/>
      <c r="K7" s="11"/>
      <c r="L7" s="11"/>
      <c r="M7" s="11"/>
      <c r="N7" s="11"/>
      <c r="O7" s="11"/>
      <c r="P7" s="11"/>
      <c r="Q7" s="11"/>
      <c r="R7" s="11"/>
      <c r="S7" s="11"/>
    </row>
    <row r="8" spans="1:23">
      <c r="A8" s="5"/>
      <c r="B8" s="249"/>
      <c r="C8" s="13" t="s">
        <v>68</v>
      </c>
      <c r="D8" s="312">
        <f>+'R1 Opex Detail'!D8</f>
        <v>0</v>
      </c>
      <c r="E8" s="310">
        <f>+'R1 Opex Detail'!E8</f>
        <v>0</v>
      </c>
      <c r="F8" s="310">
        <f>+'R1 Opex Detail'!F8</f>
        <v>0</v>
      </c>
      <c r="G8" s="310">
        <f>+'R1 Opex Detail'!G8</f>
        <v>0</v>
      </c>
      <c r="H8" s="310">
        <f>+'R1 Opex Detail'!H8</f>
        <v>0</v>
      </c>
      <c r="I8" s="310">
        <f>+'R1 Opex Detail'!I8</f>
        <v>0</v>
      </c>
      <c r="J8" s="310">
        <f>+'R1 Opex Detail'!J8</f>
        <v>0</v>
      </c>
      <c r="K8" s="310">
        <f>+'R1 Opex Detail'!K8</f>
        <v>0</v>
      </c>
      <c r="L8" s="310">
        <f ca="1">+'R1 Opex Detail'!L8</f>
        <v>0</v>
      </c>
      <c r="M8" s="835">
        <f ca="1">+'R1 Opex Detail'!M8*M$2</f>
        <v>0</v>
      </c>
      <c r="N8" s="312">
        <f ca="1">+'R1 Opex Detail'!N8*N$1</f>
        <v>0</v>
      </c>
      <c r="O8" s="310">
        <f ca="1">+'R1 Opex Detail'!O8*O$1</f>
        <v>0</v>
      </c>
      <c r="P8" s="310">
        <f ca="1">+'R1 Opex Detail'!P8*P$1</f>
        <v>0</v>
      </c>
      <c r="Q8" s="310">
        <f ca="1">+'R1 Opex Detail'!Q8*Q$1</f>
        <v>0</v>
      </c>
      <c r="R8" s="310">
        <f ca="1">+'R1 Opex Detail'!R8*R$1</f>
        <v>0</v>
      </c>
      <c r="S8" s="310">
        <f ca="1">+'R1 Opex Detail'!S8*S$1</f>
        <v>0</v>
      </c>
    </row>
    <row r="9" spans="1:23">
      <c r="A9" s="5"/>
      <c r="B9" s="249"/>
      <c r="C9" s="13" t="s">
        <v>69</v>
      </c>
      <c r="D9" s="312">
        <f>+'R1 Opex Detail'!D9</f>
        <v>0</v>
      </c>
      <c r="E9" s="310">
        <f>+'R1 Opex Detail'!E9</f>
        <v>0</v>
      </c>
      <c r="F9" s="310">
        <f>+'R1 Opex Detail'!F9</f>
        <v>0</v>
      </c>
      <c r="G9" s="310">
        <f>+'R1 Opex Detail'!G9</f>
        <v>0</v>
      </c>
      <c r="H9" s="310">
        <f>+'R1 Opex Detail'!H9</f>
        <v>0</v>
      </c>
      <c r="I9" s="310">
        <f>+'R1 Opex Detail'!I9</f>
        <v>0</v>
      </c>
      <c r="J9" s="310">
        <f>+'R1 Opex Detail'!J9</f>
        <v>0</v>
      </c>
      <c r="K9" s="310">
        <f>+'R1 Opex Detail'!K9</f>
        <v>0</v>
      </c>
      <c r="L9" s="310">
        <f ca="1">+'R1 Opex Detail'!L9</f>
        <v>0</v>
      </c>
      <c r="M9" s="835">
        <f ca="1">+'R1 Opex Detail'!M9*M$2</f>
        <v>0</v>
      </c>
      <c r="N9" s="312">
        <f ca="1">+'R1 Opex Detail'!N9*N$1</f>
        <v>0</v>
      </c>
      <c r="O9" s="310">
        <f ca="1">+'R1 Opex Detail'!O9*O$1</f>
        <v>0</v>
      </c>
      <c r="P9" s="310">
        <f ca="1">+'R1 Opex Detail'!P9*P$1</f>
        <v>0</v>
      </c>
      <c r="Q9" s="310">
        <f ca="1">+'R1 Opex Detail'!Q9*Q$1</f>
        <v>0</v>
      </c>
      <c r="R9" s="310">
        <f ca="1">+'R1 Opex Detail'!R9*R$1</f>
        <v>0</v>
      </c>
      <c r="S9" s="310">
        <f ca="1">+'R1 Opex Detail'!S9*S$1</f>
        <v>0</v>
      </c>
    </row>
    <row r="10" spans="1:23" s="759" customFormat="1">
      <c r="A10" s="5"/>
      <c r="B10" s="249"/>
      <c r="C10" s="13" t="s">
        <v>646</v>
      </c>
      <c r="D10" s="312">
        <f>+'R1 Opex Detail'!D10</f>
        <v>0</v>
      </c>
      <c r="E10" s="310">
        <f>+'R1 Opex Detail'!E10</f>
        <v>0</v>
      </c>
      <c r="F10" s="310">
        <f>+'R1 Opex Detail'!F10</f>
        <v>0</v>
      </c>
      <c r="G10" s="310">
        <f>+'R1 Opex Detail'!G10</f>
        <v>0</v>
      </c>
      <c r="H10" s="310">
        <f>+'R1 Opex Detail'!H10</f>
        <v>0</v>
      </c>
      <c r="I10" s="310">
        <f>+'R1 Opex Detail'!I10</f>
        <v>0</v>
      </c>
      <c r="J10" s="310">
        <f>+'R1 Opex Detail'!J10</f>
        <v>0</v>
      </c>
      <c r="K10" s="310">
        <f>+'R1 Opex Detail'!K10</f>
        <v>0</v>
      </c>
      <c r="L10" s="310">
        <f ca="1">+'R1 Opex Detail'!L10</f>
        <v>0</v>
      </c>
      <c r="M10" s="835">
        <f ca="1">+'R1 Opex Detail'!M10*M$2</f>
        <v>0</v>
      </c>
      <c r="N10" s="312">
        <f ca="1">+'R1 Opex Detail'!N10*N$1</f>
        <v>0</v>
      </c>
      <c r="O10" s="310">
        <f ca="1">+'R1 Opex Detail'!O10*O$1</f>
        <v>0</v>
      </c>
      <c r="P10" s="310">
        <f ca="1">+'R1 Opex Detail'!P10*P$1</f>
        <v>0</v>
      </c>
      <c r="Q10" s="310">
        <f ca="1">+'R1 Opex Detail'!Q10*Q$1</f>
        <v>0</v>
      </c>
      <c r="R10" s="310">
        <f ca="1">+'R1 Opex Detail'!R10*R$1</f>
        <v>0</v>
      </c>
      <c r="S10" s="310">
        <f ca="1">+'R1 Opex Detail'!S10*S$1</f>
        <v>0</v>
      </c>
    </row>
    <row r="11" spans="1:23">
      <c r="A11" s="5"/>
      <c r="B11" s="249"/>
      <c r="C11" s="13" t="s">
        <v>647</v>
      </c>
      <c r="D11" s="312">
        <f>+'R1 Opex Detail'!D11</f>
        <v>0</v>
      </c>
      <c r="E11" s="310">
        <f>+'R1 Opex Detail'!E11</f>
        <v>0</v>
      </c>
      <c r="F11" s="310">
        <f>+'R1 Opex Detail'!F11</f>
        <v>0</v>
      </c>
      <c r="G11" s="310">
        <f>+'R1 Opex Detail'!G11</f>
        <v>0</v>
      </c>
      <c r="H11" s="310">
        <f>+'R1 Opex Detail'!H11</f>
        <v>0</v>
      </c>
      <c r="I11" s="310">
        <f>+'R1 Opex Detail'!I11</f>
        <v>0</v>
      </c>
      <c r="J11" s="310">
        <f>+'R1 Opex Detail'!J11</f>
        <v>0</v>
      </c>
      <c r="K11" s="310">
        <f>+'R1 Opex Detail'!K11</f>
        <v>0</v>
      </c>
      <c r="L11" s="310">
        <f ca="1">+'R1 Opex Detail'!L11</f>
        <v>0</v>
      </c>
      <c r="M11" s="835">
        <f ca="1">+'R1 Opex Detail'!M11*M$2</f>
        <v>0</v>
      </c>
      <c r="N11" s="312">
        <f ca="1">+'R1 Opex Detail'!N11*N$1</f>
        <v>0</v>
      </c>
      <c r="O11" s="310">
        <f ca="1">+'R1 Opex Detail'!O11*O$1</f>
        <v>-0.76599450000000002</v>
      </c>
      <c r="P11" s="310">
        <f ca="1">+'R1 Opex Detail'!P11*P$1</f>
        <v>-1.0626752307692309</v>
      </c>
      <c r="Q11" s="310">
        <f ca="1">+'R1 Opex Detail'!Q11*Q$1</f>
        <v>-1.0626752307692309</v>
      </c>
      <c r="R11" s="310">
        <f ca="1">+'R1 Opex Detail'!R11*R$1</f>
        <v>-1.0626752307692309</v>
      </c>
      <c r="S11" s="310">
        <f ca="1">+'R1 Opex Detail'!S11*S$1</f>
        <v>-1.0626752307692309</v>
      </c>
    </row>
    <row r="12" spans="1:23" s="759" customFormat="1">
      <c r="A12" s="5"/>
      <c r="B12" s="249"/>
      <c r="C12" s="13" t="s">
        <v>575</v>
      </c>
      <c r="D12" s="312">
        <f>+'R1 Opex Detail'!D12</f>
        <v>0</v>
      </c>
      <c r="E12" s="310">
        <f>+'R1 Opex Detail'!E12</f>
        <v>0</v>
      </c>
      <c r="F12" s="310">
        <f>+'R1 Opex Detail'!F12</f>
        <v>0</v>
      </c>
      <c r="G12" s="310">
        <f>+'R1 Opex Detail'!G12</f>
        <v>0</v>
      </c>
      <c r="H12" s="310">
        <f>+'R1 Opex Detail'!H12</f>
        <v>0</v>
      </c>
      <c r="I12" s="310">
        <f>+'R1 Opex Detail'!I12</f>
        <v>0</v>
      </c>
      <c r="J12" s="310">
        <f>+'R1 Opex Detail'!J12</f>
        <v>0</v>
      </c>
      <c r="K12" s="310">
        <f>+'R1 Opex Detail'!K12</f>
        <v>0</v>
      </c>
      <c r="L12" s="310">
        <f ca="1">+'R1 Opex Detail'!L12</f>
        <v>0</v>
      </c>
      <c r="M12" s="835">
        <f ca="1">+'R1 Opex Detail'!M12*M$2</f>
        <v>0</v>
      </c>
      <c r="N12" s="312">
        <f ca="1">+'R1 Opex Detail'!N12*N$1</f>
        <v>0</v>
      </c>
      <c r="O12" s="310">
        <f ca="1">+'R1 Opex Detail'!O12*O$1</f>
        <v>0</v>
      </c>
      <c r="P12" s="310">
        <f ca="1">+'R1 Opex Detail'!P12*P$1</f>
        <v>0</v>
      </c>
      <c r="Q12" s="310">
        <f ca="1">+'R1 Opex Detail'!Q12*Q$1</f>
        <v>0</v>
      </c>
      <c r="R12" s="310">
        <f ca="1">+'R1 Opex Detail'!R12*R$1</f>
        <v>0</v>
      </c>
      <c r="S12" s="310">
        <f ca="1">+'R1 Opex Detail'!S12*S$1</f>
        <v>0</v>
      </c>
    </row>
    <row r="13" spans="1:23">
      <c r="A13" s="5"/>
      <c r="B13" s="249"/>
      <c r="C13" s="13" t="s">
        <v>70</v>
      </c>
      <c r="D13" s="312">
        <f>+'R1 Opex Detail'!D13</f>
        <v>0</v>
      </c>
      <c r="E13" s="310">
        <f>+'R1 Opex Detail'!E13</f>
        <v>0</v>
      </c>
      <c r="F13" s="310">
        <f>+'R1 Opex Detail'!F13</f>
        <v>0</v>
      </c>
      <c r="G13" s="310">
        <f>+'R1 Opex Detail'!G13</f>
        <v>0</v>
      </c>
      <c r="H13" s="310">
        <f>+'R1 Opex Detail'!H13</f>
        <v>0</v>
      </c>
      <c r="I13" s="310">
        <f>+'R1 Opex Detail'!I13</f>
        <v>0</v>
      </c>
      <c r="J13" s="310">
        <f>+'R1 Opex Detail'!J13</f>
        <v>0</v>
      </c>
      <c r="K13" s="310">
        <f>+'R1 Opex Detail'!K13</f>
        <v>0</v>
      </c>
      <c r="L13" s="310">
        <f ca="1">+'R1 Opex Detail'!L13</f>
        <v>0</v>
      </c>
      <c r="M13" s="835">
        <f ca="1">+'R1 Opex Detail'!M13*M$2</f>
        <v>0</v>
      </c>
      <c r="N13" s="312">
        <f ca="1">+'R1 Opex Detail'!N13*N$1</f>
        <v>3.4361210769230772</v>
      </c>
      <c r="O13" s="310">
        <f ca="1">+'R1 Opex Detail'!O13*O$1</f>
        <v>3.4725781781985039</v>
      </c>
      <c r="P13" s="310">
        <f ca="1">+'R1 Opex Detail'!P13*P$1</f>
        <v>3.506358811100601</v>
      </c>
      <c r="Q13" s="310">
        <f ca="1">+'R1 Opex Detail'!Q13*Q$1</f>
        <v>3.539750591616428</v>
      </c>
      <c r="R13" s="310">
        <f ca="1">+'R1 Opex Detail'!R13*R$1</f>
        <v>3.5759779915980681</v>
      </c>
      <c r="S13" s="310">
        <f ca="1">+'R1 Opex Detail'!S13*S$1</f>
        <v>3.6091625611082718</v>
      </c>
    </row>
    <row r="14" spans="1:23">
      <c r="A14" s="5"/>
      <c r="B14" s="249"/>
      <c r="C14" s="12" t="s">
        <v>75</v>
      </c>
      <c r="D14" s="313">
        <f t="shared" ref="D14:S14" si="0">SUBTOTAL(9,D8:D13)</f>
        <v>0</v>
      </c>
      <c r="E14" s="311">
        <f t="shared" si="0"/>
        <v>0</v>
      </c>
      <c r="F14" s="311">
        <f t="shared" si="0"/>
        <v>0</v>
      </c>
      <c r="G14" s="311">
        <f t="shared" si="0"/>
        <v>0</v>
      </c>
      <c r="H14" s="311">
        <f t="shared" si="0"/>
        <v>0</v>
      </c>
      <c r="I14" s="311">
        <f t="shared" si="0"/>
        <v>0</v>
      </c>
      <c r="J14" s="311">
        <f t="shared" si="0"/>
        <v>0</v>
      </c>
      <c r="K14" s="311">
        <f t="shared" si="0"/>
        <v>0</v>
      </c>
      <c r="L14" s="311">
        <f t="shared" ca="1" si="0"/>
        <v>0</v>
      </c>
      <c r="M14" s="513">
        <f t="shared" ca="1" si="0"/>
        <v>0</v>
      </c>
      <c r="N14" s="313">
        <f t="shared" ca="1" si="0"/>
        <v>3.4361210769230772</v>
      </c>
      <c r="O14" s="311">
        <f t="shared" ca="1" si="0"/>
        <v>2.7065836781985038</v>
      </c>
      <c r="P14" s="311">
        <f t="shared" ca="1" si="0"/>
        <v>2.4436835803313701</v>
      </c>
      <c r="Q14" s="311">
        <f t="shared" ca="1" si="0"/>
        <v>2.4770753608471971</v>
      </c>
      <c r="R14" s="311">
        <f t="shared" ca="1" si="0"/>
        <v>2.5133027608288372</v>
      </c>
      <c r="S14" s="311">
        <f t="shared" ca="1" si="0"/>
        <v>2.546487330339041</v>
      </c>
    </row>
    <row r="15" spans="1:23">
      <c r="A15" s="5"/>
      <c r="B15" s="249"/>
      <c r="C15" s="12"/>
      <c r="D15" s="263"/>
      <c r="E15" s="263"/>
      <c r="F15" s="263"/>
      <c r="G15" s="263"/>
      <c r="H15" s="263"/>
      <c r="I15" s="263"/>
      <c r="J15" s="263"/>
      <c r="K15" s="263"/>
      <c r="L15" s="263"/>
      <c r="M15" s="836"/>
      <c r="N15" s="263"/>
      <c r="O15" s="263"/>
      <c r="P15" s="263"/>
      <c r="Q15" s="263"/>
      <c r="R15" s="263"/>
      <c r="S15" s="263"/>
      <c r="W15" s="589"/>
    </row>
    <row r="16" spans="1:23">
      <c r="A16" s="5"/>
      <c r="B16" s="249" t="str">
        <f ca="1">+'I-4 History'!B16</f>
        <v>DA-2</v>
      </c>
      <c r="C16" s="14" t="str">
        <f ca="1">+'I-4 History'!C16</f>
        <v>Network Access, Monitoring and Control</v>
      </c>
      <c r="D16" s="11"/>
      <c r="E16" s="11"/>
      <c r="F16" s="11"/>
      <c r="G16" s="11"/>
      <c r="H16" s="11"/>
      <c r="I16" s="11"/>
      <c r="J16" s="11"/>
      <c r="K16" s="11"/>
      <c r="L16" s="11"/>
      <c r="M16" s="507"/>
      <c r="N16" s="11"/>
      <c r="O16" s="11"/>
      <c r="P16" s="11"/>
      <c r="Q16" s="11"/>
      <c r="R16" s="11"/>
      <c r="S16" s="11"/>
    </row>
    <row r="17" spans="1:19">
      <c r="A17" s="5"/>
      <c r="B17" s="249"/>
      <c r="C17" s="13" t="s">
        <v>68</v>
      </c>
      <c r="D17" s="312">
        <f>+'R1 Opex Detail'!D17</f>
        <v>0</v>
      </c>
      <c r="E17" s="310">
        <f>+'R1 Opex Detail'!E17</f>
        <v>0</v>
      </c>
      <c r="F17" s="310">
        <f>+'R1 Opex Detail'!F17</f>
        <v>0</v>
      </c>
      <c r="G17" s="310">
        <f>+'R1 Opex Detail'!G17</f>
        <v>0</v>
      </c>
      <c r="H17" s="310">
        <f>+'R1 Opex Detail'!H17</f>
        <v>0</v>
      </c>
      <c r="I17" s="310">
        <f>+'R1 Opex Detail'!I17</f>
        <v>0</v>
      </c>
      <c r="J17" s="310">
        <f>+'R1 Opex Detail'!J17</f>
        <v>0</v>
      </c>
      <c r="K17" s="310">
        <f>+'R1 Opex Detail'!K17</f>
        <v>0</v>
      </c>
      <c r="L17" s="310">
        <f ca="1">+'R1 Opex Detail'!L17</f>
        <v>0</v>
      </c>
      <c r="M17" s="835">
        <f ca="1">+'R1 Opex Detail'!M17*M$2</f>
        <v>0</v>
      </c>
      <c r="N17" s="312">
        <f ca="1">+'R1 Opex Detail'!N17*N$1</f>
        <v>8.1947601240955876</v>
      </c>
      <c r="O17" s="310">
        <f ca="1">+'R1 Opex Detail'!O17*O$1</f>
        <v>8.4594147561143362</v>
      </c>
      <c r="P17" s="310">
        <f ca="1">+'R1 Opex Detail'!P17*P$1</f>
        <v>8.7249941086975973</v>
      </c>
      <c r="Q17" s="310">
        <f ca="1">+'R1 Opex Detail'!Q17*Q$1</f>
        <v>9.0074439596985396</v>
      </c>
      <c r="R17" s="310">
        <f ca="1">+'R1 Opex Detail'!R17*R$1</f>
        <v>9.3055889014396342</v>
      </c>
      <c r="S17" s="310">
        <f ca="1">+'R1 Opex Detail'!S17*S$1</f>
        <v>9.6045183007786523</v>
      </c>
    </row>
    <row r="18" spans="1:19">
      <c r="A18" s="5"/>
      <c r="B18" s="249"/>
      <c r="C18" s="13" t="s">
        <v>69</v>
      </c>
      <c r="D18" s="312">
        <f>+'R1 Opex Detail'!D18</f>
        <v>0</v>
      </c>
      <c r="E18" s="310">
        <f>+'R1 Opex Detail'!E18</f>
        <v>0</v>
      </c>
      <c r="F18" s="310">
        <f>+'R1 Opex Detail'!F18</f>
        <v>0</v>
      </c>
      <c r="G18" s="310">
        <f>+'R1 Opex Detail'!G18</f>
        <v>0</v>
      </c>
      <c r="H18" s="310">
        <f>+'R1 Opex Detail'!H18</f>
        <v>0</v>
      </c>
      <c r="I18" s="310">
        <f>+'R1 Opex Detail'!I18</f>
        <v>0</v>
      </c>
      <c r="J18" s="310">
        <f>+'R1 Opex Detail'!J18</f>
        <v>0</v>
      </c>
      <c r="K18" s="310">
        <f>+'R1 Opex Detail'!K18</f>
        <v>0</v>
      </c>
      <c r="L18" s="310">
        <f ca="1">+'R1 Opex Detail'!L18</f>
        <v>0</v>
      </c>
      <c r="M18" s="835">
        <f ca="1">+'R1 Opex Detail'!M18*M$2</f>
        <v>0</v>
      </c>
      <c r="N18" s="312">
        <f ca="1">+'R1 Opex Detail'!N18*N$1</f>
        <v>-3.3546698347801718E-2</v>
      </c>
      <c r="O18" s="310">
        <f ca="1">+'R1 Opex Detail'!O18*O$1</f>
        <v>-3.3902627417745079E-2</v>
      </c>
      <c r="P18" s="310">
        <f ca="1">+'R1 Opex Detail'!P18*P$1</f>
        <v>-3.423242624514241E-2</v>
      </c>
      <c r="Q18" s="310">
        <f ca="1">+'R1 Opex Detail'!Q18*Q$1</f>
        <v>-3.455842872386284E-2</v>
      </c>
      <c r="R18" s="310">
        <f ca="1">+'R1 Opex Detail'!R18*R$1</f>
        <v>-3.4912115230217707E-2</v>
      </c>
      <c r="S18" s="310">
        <f ca="1">+'R1 Opex Detail'!S18*S$1</f>
        <v>-3.5236094717039902E-2</v>
      </c>
    </row>
    <row r="19" spans="1:19" s="759" customFormat="1">
      <c r="A19" s="5"/>
      <c r="B19" s="249"/>
      <c r="C19" s="13" t="s">
        <v>646</v>
      </c>
      <c r="D19" s="312">
        <f>+'R1 Opex Detail'!D19</f>
        <v>0</v>
      </c>
      <c r="E19" s="310">
        <f>+'R1 Opex Detail'!E19</f>
        <v>0</v>
      </c>
      <c r="F19" s="310">
        <f>+'R1 Opex Detail'!F19</f>
        <v>0</v>
      </c>
      <c r="G19" s="310">
        <f>+'R1 Opex Detail'!G19</f>
        <v>0</v>
      </c>
      <c r="H19" s="310">
        <f>+'R1 Opex Detail'!H19</f>
        <v>0</v>
      </c>
      <c r="I19" s="310">
        <f>+'R1 Opex Detail'!I19</f>
        <v>0</v>
      </c>
      <c r="J19" s="310">
        <f>+'R1 Opex Detail'!J19</f>
        <v>0</v>
      </c>
      <c r="K19" s="310">
        <f>+'R1 Opex Detail'!K19</f>
        <v>0</v>
      </c>
      <c r="L19" s="310">
        <f ca="1">+'R1 Opex Detail'!L19</f>
        <v>0</v>
      </c>
      <c r="M19" s="835">
        <f ca="1">+'R1 Opex Detail'!M19*M$2</f>
        <v>0</v>
      </c>
      <c r="N19" s="312">
        <f ca="1">+'R1 Opex Detail'!N19*N$1</f>
        <v>-1.4681161399824462E-2</v>
      </c>
      <c r="O19" s="310">
        <f ca="1">+'R1 Opex Detail'!O19*O$1</f>
        <v>-1.491111254934566E-2</v>
      </c>
      <c r="P19" s="310">
        <f ca="1">+'R1 Opex Detail'!P19*P$1</f>
        <v>-1.5131446069365008E-2</v>
      </c>
      <c r="Q19" s="310">
        <f ca="1">+'R1 Opex Detail'!Q19*Q$1</f>
        <v>-1.5413025875029511E-2</v>
      </c>
      <c r="R19" s="310">
        <f ca="1">+'R1 Opex Detail'!R19*R$1</f>
        <v>-1.5734262797704814E-2</v>
      </c>
      <c r="S19" s="310">
        <f ca="1">+'R1 Opex Detail'!S19*S$1</f>
        <v>-1.6078777960577263E-2</v>
      </c>
    </row>
    <row r="20" spans="1:19">
      <c r="A20" s="5"/>
      <c r="B20" s="249"/>
      <c r="C20" s="13" t="s">
        <v>647</v>
      </c>
      <c r="D20" s="312">
        <f>+'R1 Opex Detail'!D20</f>
        <v>0</v>
      </c>
      <c r="E20" s="310">
        <f>+'R1 Opex Detail'!E20</f>
        <v>0</v>
      </c>
      <c r="F20" s="310">
        <f>+'R1 Opex Detail'!F20</f>
        <v>0</v>
      </c>
      <c r="G20" s="310">
        <f>+'R1 Opex Detail'!G20</f>
        <v>0</v>
      </c>
      <c r="H20" s="310">
        <f>+'R1 Opex Detail'!H20</f>
        <v>0</v>
      </c>
      <c r="I20" s="310">
        <f>+'R1 Opex Detail'!I20</f>
        <v>0</v>
      </c>
      <c r="J20" s="310">
        <f>+'R1 Opex Detail'!J20</f>
        <v>0</v>
      </c>
      <c r="K20" s="310">
        <f>+'R1 Opex Detail'!K20</f>
        <v>0</v>
      </c>
      <c r="L20" s="310">
        <f ca="1">+'R1 Opex Detail'!L20</f>
        <v>0</v>
      </c>
      <c r="M20" s="835">
        <f ca="1">+'R1 Opex Detail'!M20*M$2</f>
        <v>0</v>
      </c>
      <c r="N20" s="312">
        <f ca="1">+'R1 Opex Detail'!N20*N$1</f>
        <v>0.77042935103665544</v>
      </c>
      <c r="O20" s="310">
        <f ca="1">+'R1 Opex Detail'!O20*O$1</f>
        <v>0.78249659218134227</v>
      </c>
      <c r="P20" s="310">
        <f ca="1">+'R1 Opex Detail'!P20*P$1</f>
        <v>0.79405912502306675</v>
      </c>
      <c r="Q20" s="310">
        <f ca="1">+'R1 Opex Detail'!Q20*Q$1</f>
        <v>0.80883570441178754</v>
      </c>
      <c r="R20" s="310">
        <f ca="1">+'R1 Opex Detail'!R20*R$1</f>
        <v>0.82569338665678393</v>
      </c>
      <c r="S20" s="310">
        <f ca="1">+'R1 Opex Detail'!S20*S$1</f>
        <v>0.84377265069629515</v>
      </c>
    </row>
    <row r="21" spans="1:19" s="759" customFormat="1">
      <c r="A21" s="5"/>
      <c r="B21" s="249"/>
      <c r="C21" s="13" t="s">
        <v>575</v>
      </c>
      <c r="D21" s="312">
        <f>+'R1 Opex Detail'!D21</f>
        <v>0</v>
      </c>
      <c r="E21" s="310">
        <f>+'R1 Opex Detail'!E21</f>
        <v>0</v>
      </c>
      <c r="F21" s="310">
        <f>+'R1 Opex Detail'!F21</f>
        <v>0</v>
      </c>
      <c r="G21" s="310">
        <f>+'R1 Opex Detail'!G21</f>
        <v>0</v>
      </c>
      <c r="H21" s="310">
        <f>+'R1 Opex Detail'!H21</f>
        <v>0</v>
      </c>
      <c r="I21" s="310">
        <f>+'R1 Opex Detail'!I21</f>
        <v>0</v>
      </c>
      <c r="J21" s="310">
        <f>+'R1 Opex Detail'!J21</f>
        <v>0</v>
      </c>
      <c r="K21" s="310">
        <f>+'R1 Opex Detail'!K21</f>
        <v>0</v>
      </c>
      <c r="L21" s="310">
        <f ca="1">+'R1 Opex Detail'!L21</f>
        <v>0</v>
      </c>
      <c r="M21" s="835">
        <f ca="1">+'R1 Opex Detail'!M21*M$2</f>
        <v>0</v>
      </c>
      <c r="N21" s="312">
        <f ca="1">+'R1 Opex Detail'!N21*N$1</f>
        <v>0.59853011538461542</v>
      </c>
      <c r="O21" s="310">
        <f ca="1">+'R1 Opex Detail'!O21*O$1</f>
        <v>0.61785999997434127</v>
      </c>
      <c r="P21" s="310">
        <f ca="1">+'R1 Opex Detail'!P21*P$1</f>
        <v>0.63725742444294031</v>
      </c>
      <c r="Q21" s="310">
        <f ca="1">+'R1 Opex Detail'!Q21*Q$1</f>
        <v>0.65788703889777678</v>
      </c>
      <c r="R21" s="310">
        <f ca="1">+'R1 Opex Detail'!R21*R$1</f>
        <v>0.67966299373712979</v>
      </c>
      <c r="S21" s="310">
        <f ca="1">+'R1 Opex Detail'!S21*S$1</f>
        <v>0.7014962439078275</v>
      </c>
    </row>
    <row r="22" spans="1:19">
      <c r="A22" s="5"/>
      <c r="B22" s="249"/>
      <c r="C22" s="13" t="s">
        <v>70</v>
      </c>
      <c r="D22" s="312">
        <f>+'R1 Opex Detail'!D22</f>
        <v>0</v>
      </c>
      <c r="E22" s="310">
        <f>+'R1 Opex Detail'!E22</f>
        <v>0</v>
      </c>
      <c r="F22" s="310">
        <f>+'R1 Opex Detail'!F22</f>
        <v>0</v>
      </c>
      <c r="G22" s="310">
        <f>+'R1 Opex Detail'!G22</f>
        <v>0</v>
      </c>
      <c r="H22" s="310">
        <f>+'R1 Opex Detail'!H22</f>
        <v>0</v>
      </c>
      <c r="I22" s="310">
        <f>+'R1 Opex Detail'!I22</f>
        <v>0</v>
      </c>
      <c r="J22" s="310">
        <f>+'R1 Opex Detail'!J22</f>
        <v>0</v>
      </c>
      <c r="K22" s="310">
        <f>+'R1 Opex Detail'!K22</f>
        <v>0</v>
      </c>
      <c r="L22" s="310">
        <f ca="1">+'R1 Opex Detail'!L22</f>
        <v>0</v>
      </c>
      <c r="M22" s="835">
        <f ca="1">+'R1 Opex Detail'!M22*M$2</f>
        <v>0</v>
      </c>
      <c r="N22" s="312">
        <f ca="1">+'R1 Opex Detail'!N22*N$1</f>
        <v>0</v>
      </c>
      <c r="O22" s="310">
        <f ca="1">+'R1 Opex Detail'!O22*O$1</f>
        <v>0</v>
      </c>
      <c r="P22" s="310">
        <f ca="1">+'R1 Opex Detail'!P22*P$1</f>
        <v>0</v>
      </c>
      <c r="Q22" s="310">
        <f ca="1">+'R1 Opex Detail'!Q22*Q$1</f>
        <v>0</v>
      </c>
      <c r="R22" s="310">
        <f ca="1">+'R1 Opex Detail'!R22*R$1</f>
        <v>0</v>
      </c>
      <c r="S22" s="310">
        <f ca="1">+'R1 Opex Detail'!S22*S$1</f>
        <v>0</v>
      </c>
    </row>
    <row r="23" spans="1:19">
      <c r="A23" s="5"/>
      <c r="B23" s="249"/>
      <c r="C23" s="12" t="s">
        <v>75</v>
      </c>
      <c r="D23" s="313">
        <f t="shared" ref="D23:S23" si="1">SUBTOTAL(9,D17:D22)</f>
        <v>0</v>
      </c>
      <c r="E23" s="311">
        <f t="shared" si="1"/>
        <v>0</v>
      </c>
      <c r="F23" s="311">
        <f t="shared" si="1"/>
        <v>0</v>
      </c>
      <c r="G23" s="311">
        <f t="shared" si="1"/>
        <v>0</v>
      </c>
      <c r="H23" s="311">
        <f t="shared" si="1"/>
        <v>0</v>
      </c>
      <c r="I23" s="311">
        <f t="shared" si="1"/>
        <v>0</v>
      </c>
      <c r="J23" s="311">
        <f t="shared" si="1"/>
        <v>0</v>
      </c>
      <c r="K23" s="311">
        <f t="shared" si="1"/>
        <v>0</v>
      </c>
      <c r="L23" s="311">
        <f t="shared" ca="1" si="1"/>
        <v>0</v>
      </c>
      <c r="M23" s="513">
        <f t="shared" ca="1" si="1"/>
        <v>0</v>
      </c>
      <c r="N23" s="313">
        <f t="shared" ca="1" si="1"/>
        <v>9.5154917307692326</v>
      </c>
      <c r="O23" s="311">
        <f t="shared" ca="1" si="1"/>
        <v>9.8109576083029282</v>
      </c>
      <c r="P23" s="311">
        <f t="shared" ca="1" si="1"/>
        <v>10.106946785849097</v>
      </c>
      <c r="Q23" s="311">
        <f t="shared" ca="1" si="1"/>
        <v>10.424195248409212</v>
      </c>
      <c r="R23" s="311">
        <f t="shared" ca="1" si="1"/>
        <v>10.760298903805625</v>
      </c>
      <c r="S23" s="311">
        <f t="shared" ca="1" si="1"/>
        <v>11.098472322705156</v>
      </c>
    </row>
    <row r="24" spans="1:19">
      <c r="A24" s="5"/>
      <c r="B24" s="249"/>
      <c r="C24" s="12"/>
      <c r="D24" s="263"/>
      <c r="E24" s="263"/>
      <c r="F24" s="263"/>
      <c r="G24" s="263"/>
      <c r="H24" s="263"/>
      <c r="I24" s="263"/>
      <c r="J24" s="263"/>
      <c r="K24" s="263"/>
      <c r="L24" s="263"/>
      <c r="M24" s="836"/>
      <c r="N24" s="263"/>
      <c r="O24" s="263"/>
      <c r="P24" s="263"/>
      <c r="Q24" s="263"/>
      <c r="R24" s="263"/>
      <c r="S24" s="263"/>
    </row>
    <row r="25" spans="1:19">
      <c r="A25" s="5"/>
      <c r="B25" s="249" t="str">
        <f ca="1">+'I-4 History'!B25</f>
        <v>DA-3</v>
      </c>
      <c r="C25" s="14" t="str">
        <f ca="1">+'I-4 History'!C25</f>
        <v>Customer Service</v>
      </c>
      <c r="D25" s="11"/>
      <c r="E25" s="11"/>
      <c r="F25" s="11"/>
      <c r="G25" s="11"/>
      <c r="H25" s="11"/>
      <c r="I25" s="11"/>
      <c r="J25" s="11"/>
      <c r="K25" s="11"/>
      <c r="L25" s="11"/>
      <c r="M25" s="507"/>
      <c r="N25" s="11"/>
      <c r="O25" s="11"/>
      <c r="P25" s="11"/>
      <c r="Q25" s="11"/>
      <c r="R25" s="11"/>
      <c r="S25" s="11"/>
    </row>
    <row r="26" spans="1:19">
      <c r="A26" s="5"/>
      <c r="B26" s="249"/>
      <c r="C26" s="13" t="s">
        <v>68</v>
      </c>
      <c r="D26" s="312">
        <f>+'R1 Opex Detail'!D26</f>
        <v>0</v>
      </c>
      <c r="E26" s="310">
        <f>+'R1 Opex Detail'!E26</f>
        <v>0</v>
      </c>
      <c r="F26" s="310">
        <f>+'R1 Opex Detail'!F26</f>
        <v>0</v>
      </c>
      <c r="G26" s="310">
        <f>+'R1 Opex Detail'!G26</f>
        <v>0</v>
      </c>
      <c r="H26" s="310">
        <f>+'R1 Opex Detail'!H26</f>
        <v>0</v>
      </c>
      <c r="I26" s="310">
        <f>+'R1 Opex Detail'!I26</f>
        <v>0</v>
      </c>
      <c r="J26" s="310">
        <f>+'R1 Opex Detail'!J26</f>
        <v>0</v>
      </c>
      <c r="K26" s="310">
        <f>+'R1 Opex Detail'!K26</f>
        <v>0</v>
      </c>
      <c r="L26" s="310">
        <f ca="1">+'R1 Opex Detail'!L26</f>
        <v>0</v>
      </c>
      <c r="M26" s="835">
        <f ca="1">+'R1 Opex Detail'!M26*M$2</f>
        <v>0</v>
      </c>
      <c r="N26" s="312">
        <f ca="1">+'R1 Opex Detail'!N26*N$1</f>
        <v>2.7847456538461546</v>
      </c>
      <c r="O26" s="310">
        <f ca="1">+'R1 Opex Detail'!O26*O$1</f>
        <v>3.0660141429683003</v>
      </c>
      <c r="P26" s="310">
        <f ca="1">+'R1 Opex Detail'!P26*P$1</f>
        <v>3.1541568437919345</v>
      </c>
      <c r="Q26" s="310">
        <f ca="1">+'R1 Opex Detail'!Q26*Q$1</f>
        <v>3.2478986669882639</v>
      </c>
      <c r="R26" s="310">
        <f ca="1">+'R1 Opex Detail'!R26*R$1</f>
        <v>3.3468495084085363</v>
      </c>
      <c r="S26" s="310">
        <f ca="1">+'R1 Opex Detail'!S26*S$1</f>
        <v>3.4460607021893757</v>
      </c>
    </row>
    <row r="27" spans="1:19">
      <c r="A27" s="5"/>
      <c r="B27" s="249"/>
      <c r="C27" s="13" t="s">
        <v>69</v>
      </c>
      <c r="D27" s="312">
        <f>+'R1 Opex Detail'!D27</f>
        <v>0</v>
      </c>
      <c r="E27" s="310">
        <f>+'R1 Opex Detail'!E27</f>
        <v>0</v>
      </c>
      <c r="F27" s="310">
        <f>+'R1 Opex Detail'!F27</f>
        <v>0</v>
      </c>
      <c r="G27" s="310">
        <f>+'R1 Opex Detail'!G27</f>
        <v>0</v>
      </c>
      <c r="H27" s="310">
        <f>+'R1 Opex Detail'!H27</f>
        <v>0</v>
      </c>
      <c r="I27" s="310">
        <f>+'R1 Opex Detail'!I27</f>
        <v>0</v>
      </c>
      <c r="J27" s="310">
        <f>+'R1 Opex Detail'!J27</f>
        <v>0</v>
      </c>
      <c r="K27" s="310">
        <f>+'R1 Opex Detail'!K27</f>
        <v>0</v>
      </c>
      <c r="L27" s="310">
        <f ca="1">+'R1 Opex Detail'!L27</f>
        <v>0</v>
      </c>
      <c r="M27" s="835">
        <f ca="1">+'R1 Opex Detail'!M27*M$2</f>
        <v>0</v>
      </c>
      <c r="N27" s="312">
        <f ca="1">+'R1 Opex Detail'!N27*N$1</f>
        <v>-3.514684615384616E-2</v>
      </c>
      <c r="O27" s="310">
        <f ca="1">+'R1 Opex Detail'!O27*O$1</f>
        <v>-3.5519752725255455E-2</v>
      </c>
      <c r="P27" s="310">
        <f ca="1">+'R1 Opex Detail'!P27*P$1</f>
        <v>-3.5865282664687262E-2</v>
      </c>
      <c r="Q27" s="310">
        <f ca="1">+'R1 Opex Detail'!Q27*Q$1</f>
        <v>-3.62068351729719E-2</v>
      </c>
      <c r="R27" s="310">
        <f ca="1">+'R1 Opex Detail'!R27*R$1</f>
        <v>-3.6577392212495285E-2</v>
      </c>
      <c r="S27" s="310">
        <f ca="1">+'R1 Opex Detail'!S27*S$1</f>
        <v>-3.691682523395947E-2</v>
      </c>
    </row>
    <row r="28" spans="1:19" s="759" customFormat="1">
      <c r="A28" s="5"/>
      <c r="B28" s="249"/>
      <c r="C28" s="13" t="s">
        <v>646</v>
      </c>
      <c r="D28" s="312">
        <f>+'R1 Opex Detail'!D28</f>
        <v>0</v>
      </c>
      <c r="E28" s="310">
        <f>+'R1 Opex Detail'!E28</f>
        <v>0</v>
      </c>
      <c r="F28" s="310">
        <f>+'R1 Opex Detail'!F28</f>
        <v>0</v>
      </c>
      <c r="G28" s="310">
        <f>+'R1 Opex Detail'!G28</f>
        <v>0</v>
      </c>
      <c r="H28" s="310">
        <f>+'R1 Opex Detail'!H28</f>
        <v>0</v>
      </c>
      <c r="I28" s="310">
        <f>+'R1 Opex Detail'!I28</f>
        <v>0</v>
      </c>
      <c r="J28" s="310">
        <f>+'R1 Opex Detail'!J28</f>
        <v>0</v>
      </c>
      <c r="K28" s="310">
        <f>+'R1 Opex Detail'!K28</f>
        <v>0</v>
      </c>
      <c r="L28" s="310">
        <f ca="1">+'R1 Opex Detail'!L28</f>
        <v>0</v>
      </c>
      <c r="M28" s="835">
        <f ca="1">+'R1 Opex Detail'!M28*M$2</f>
        <v>0</v>
      </c>
      <c r="N28" s="312">
        <f ca="1">+'R1 Opex Detail'!N28*N$1</f>
        <v>0</v>
      </c>
      <c r="O28" s="310">
        <f ca="1">+'R1 Opex Detail'!O28*O$1</f>
        <v>0</v>
      </c>
      <c r="P28" s="310">
        <f ca="1">+'R1 Opex Detail'!P28*P$1</f>
        <v>0</v>
      </c>
      <c r="Q28" s="310">
        <f ca="1">+'R1 Opex Detail'!Q28*Q$1</f>
        <v>0</v>
      </c>
      <c r="R28" s="310">
        <f ca="1">+'R1 Opex Detail'!R28*R$1</f>
        <v>0</v>
      </c>
      <c r="S28" s="310">
        <f ca="1">+'R1 Opex Detail'!S28*S$1</f>
        <v>0</v>
      </c>
    </row>
    <row r="29" spans="1:19">
      <c r="A29" s="5"/>
      <c r="B29" s="249"/>
      <c r="C29" s="13" t="s">
        <v>647</v>
      </c>
      <c r="D29" s="312">
        <f>+'R1 Opex Detail'!D29</f>
        <v>0</v>
      </c>
      <c r="E29" s="310">
        <f>+'R1 Opex Detail'!E29</f>
        <v>0</v>
      </c>
      <c r="F29" s="310">
        <f>+'R1 Opex Detail'!F29</f>
        <v>0</v>
      </c>
      <c r="G29" s="310">
        <f>+'R1 Opex Detail'!G29</f>
        <v>0</v>
      </c>
      <c r="H29" s="310">
        <f>+'R1 Opex Detail'!H29</f>
        <v>0</v>
      </c>
      <c r="I29" s="310">
        <f>+'R1 Opex Detail'!I29</f>
        <v>0</v>
      </c>
      <c r="J29" s="310">
        <f>+'R1 Opex Detail'!J29</f>
        <v>0</v>
      </c>
      <c r="K29" s="310">
        <f>+'R1 Opex Detail'!K29</f>
        <v>0</v>
      </c>
      <c r="L29" s="310">
        <f ca="1">+'R1 Opex Detail'!L29</f>
        <v>0</v>
      </c>
      <c r="M29" s="835">
        <f ca="1">+'R1 Opex Detail'!M29*M$2</f>
        <v>0</v>
      </c>
      <c r="N29" s="312">
        <f ca="1">+'R1 Opex Detail'!N29*N$1</f>
        <v>6.6158769230769243E-2</v>
      </c>
      <c r="O29" s="310">
        <f ca="1">+'R1 Opex Detail'!O29*O$1</f>
        <v>6.7195014567306782E-2</v>
      </c>
      <c r="P29" s="310">
        <f ca="1">+'R1 Opex Detail'!P29*P$1</f>
        <v>6.8187919291107291E-2</v>
      </c>
      <c r="Q29" s="310">
        <f ca="1">+'R1 Opex Detail'!Q29*Q$1</f>
        <v>6.9456822538995114E-2</v>
      </c>
      <c r="R29" s="310">
        <f ca="1">+'R1 Opex Detail'!R29*R$1</f>
        <v>7.0904435493916507E-2</v>
      </c>
      <c r="S29" s="310">
        <f ca="1">+'R1 Opex Detail'!S29*S$1</f>
        <v>7.2456948850063624E-2</v>
      </c>
    </row>
    <row r="30" spans="1:19" s="759" customFormat="1">
      <c r="A30" s="5"/>
      <c r="B30" s="249"/>
      <c r="C30" s="13" t="s">
        <v>575</v>
      </c>
      <c r="D30" s="312">
        <f>+'R1 Opex Detail'!D30</f>
        <v>0</v>
      </c>
      <c r="E30" s="310">
        <f>+'R1 Opex Detail'!E30</f>
        <v>0</v>
      </c>
      <c r="F30" s="310">
        <f>+'R1 Opex Detail'!F30</f>
        <v>0</v>
      </c>
      <c r="G30" s="310">
        <f>+'R1 Opex Detail'!G30</f>
        <v>0</v>
      </c>
      <c r="H30" s="310">
        <f>+'R1 Opex Detail'!H30</f>
        <v>0</v>
      </c>
      <c r="I30" s="310">
        <f>+'R1 Opex Detail'!I30</f>
        <v>0</v>
      </c>
      <c r="J30" s="310">
        <f>+'R1 Opex Detail'!J30</f>
        <v>0</v>
      </c>
      <c r="K30" s="310">
        <f>+'R1 Opex Detail'!K30</f>
        <v>0</v>
      </c>
      <c r="L30" s="310">
        <f ca="1">+'R1 Opex Detail'!L30</f>
        <v>0</v>
      </c>
      <c r="M30" s="835">
        <f ca="1">+'R1 Opex Detail'!M30*M$2</f>
        <v>0</v>
      </c>
      <c r="N30" s="312">
        <f ca="1">+'R1 Opex Detail'!N30*N$1</f>
        <v>0.26877000000000006</v>
      </c>
      <c r="O30" s="310">
        <f ca="1">+'R1 Opex Detail'!O30*O$1</f>
        <v>0.27745008634426377</v>
      </c>
      <c r="P30" s="310">
        <f ca="1">+'R1 Opex Detail'!P30*P$1</f>
        <v>0.28616050147696803</v>
      </c>
      <c r="Q30" s="310">
        <f ca="1">+'R1 Opex Detail'!Q30*Q$1</f>
        <v>0.2954242316293989</v>
      </c>
      <c r="R30" s="310">
        <f ca="1">+'R1 Opex Detail'!R30*R$1</f>
        <v>0.30520272603049015</v>
      </c>
      <c r="S30" s="310">
        <f ca="1">+'R1 Opex Detail'!S30*S$1</f>
        <v>0.31500694890506936</v>
      </c>
    </row>
    <row r="31" spans="1:19">
      <c r="A31" s="5"/>
      <c r="B31" s="249"/>
      <c r="C31" s="13" t="s">
        <v>70</v>
      </c>
      <c r="D31" s="312">
        <f>+'R1 Opex Detail'!D31</f>
        <v>0</v>
      </c>
      <c r="E31" s="310">
        <f>+'R1 Opex Detail'!E31</f>
        <v>0</v>
      </c>
      <c r="F31" s="310">
        <f>+'R1 Opex Detail'!F31</f>
        <v>0</v>
      </c>
      <c r="G31" s="310">
        <f>+'R1 Opex Detail'!G31</f>
        <v>0</v>
      </c>
      <c r="H31" s="310">
        <f>+'R1 Opex Detail'!H31</f>
        <v>0</v>
      </c>
      <c r="I31" s="310">
        <f>+'R1 Opex Detail'!I31</f>
        <v>0</v>
      </c>
      <c r="J31" s="310">
        <f>+'R1 Opex Detail'!J31</f>
        <v>0</v>
      </c>
      <c r="K31" s="310">
        <f>+'R1 Opex Detail'!K31</f>
        <v>0</v>
      </c>
      <c r="L31" s="310">
        <f ca="1">+'R1 Opex Detail'!L31</f>
        <v>0</v>
      </c>
      <c r="M31" s="835">
        <f ca="1">+'R1 Opex Detail'!M31*M$2</f>
        <v>0</v>
      </c>
      <c r="N31" s="312">
        <f ca="1">+'R1 Opex Detail'!N31*N$1</f>
        <v>0</v>
      </c>
      <c r="O31" s="310">
        <f ca="1">+'R1 Opex Detail'!O31*O$1</f>
        <v>0</v>
      </c>
      <c r="P31" s="310">
        <f ca="1">+'R1 Opex Detail'!P31*P$1</f>
        <v>0</v>
      </c>
      <c r="Q31" s="310">
        <f ca="1">+'R1 Opex Detail'!Q31*Q$1</f>
        <v>0</v>
      </c>
      <c r="R31" s="310">
        <f ca="1">+'R1 Opex Detail'!R31*R$1</f>
        <v>0</v>
      </c>
      <c r="S31" s="310">
        <f ca="1">+'R1 Opex Detail'!S31*S$1</f>
        <v>0</v>
      </c>
    </row>
    <row r="32" spans="1:19">
      <c r="A32" s="5"/>
      <c r="B32" s="249"/>
      <c r="C32" s="12" t="s">
        <v>75</v>
      </c>
      <c r="D32" s="313">
        <f t="shared" ref="D32:S32" si="2">SUBTOTAL(9,D26:D31)</f>
        <v>0</v>
      </c>
      <c r="E32" s="311">
        <f t="shared" si="2"/>
        <v>0</v>
      </c>
      <c r="F32" s="311">
        <f t="shared" si="2"/>
        <v>0</v>
      </c>
      <c r="G32" s="311">
        <f t="shared" si="2"/>
        <v>0</v>
      </c>
      <c r="H32" s="311">
        <f t="shared" si="2"/>
        <v>0</v>
      </c>
      <c r="I32" s="311">
        <f t="shared" si="2"/>
        <v>0</v>
      </c>
      <c r="J32" s="311">
        <f t="shared" si="2"/>
        <v>0</v>
      </c>
      <c r="K32" s="311">
        <f t="shared" si="2"/>
        <v>0</v>
      </c>
      <c r="L32" s="311">
        <f t="shared" ca="1" si="2"/>
        <v>0</v>
      </c>
      <c r="M32" s="513">
        <f t="shared" ca="1" si="2"/>
        <v>0</v>
      </c>
      <c r="N32" s="313">
        <f t="shared" ca="1" si="2"/>
        <v>3.0845275769230778</v>
      </c>
      <c r="O32" s="311">
        <f t="shared" ca="1" si="2"/>
        <v>3.3751394911546155</v>
      </c>
      <c r="P32" s="311">
        <f t="shared" ca="1" si="2"/>
        <v>3.4726399818953224</v>
      </c>
      <c r="Q32" s="311">
        <f t="shared" ca="1" si="2"/>
        <v>3.5765728859836861</v>
      </c>
      <c r="R32" s="311">
        <f t="shared" ca="1" si="2"/>
        <v>3.686379277720448</v>
      </c>
      <c r="S32" s="311">
        <f t="shared" ca="1" si="2"/>
        <v>3.7966077747105493</v>
      </c>
    </row>
    <row r="33" spans="1:19">
      <c r="A33" s="5"/>
      <c r="B33" s="249"/>
      <c r="C33" s="12"/>
      <c r="D33" s="263"/>
      <c r="E33" s="263"/>
      <c r="F33" s="263"/>
      <c r="G33" s="263"/>
      <c r="H33" s="263"/>
      <c r="I33" s="263"/>
      <c r="J33" s="263"/>
      <c r="K33" s="263"/>
      <c r="L33" s="263"/>
      <c r="M33" s="836"/>
      <c r="N33" s="263"/>
      <c r="O33" s="263"/>
      <c r="P33" s="263"/>
      <c r="Q33" s="263"/>
      <c r="R33" s="263"/>
      <c r="S33" s="263"/>
    </row>
    <row r="34" spans="1:19">
      <c r="A34" s="5"/>
      <c r="B34" s="249" t="str">
        <f ca="1">+'I-4 History'!B34</f>
        <v>DA-4</v>
      </c>
      <c r="C34" s="14" t="str">
        <f ca="1">+'I-4 History'!C34</f>
        <v>Standards Development and Maintenance</v>
      </c>
      <c r="D34" s="11"/>
      <c r="E34" s="11"/>
      <c r="F34" s="11"/>
      <c r="G34" s="11"/>
      <c r="H34" s="11"/>
      <c r="I34" s="11"/>
      <c r="J34" s="11"/>
      <c r="K34" s="11"/>
      <c r="L34" s="11"/>
      <c r="M34" s="507"/>
      <c r="N34" s="11"/>
      <c r="O34" s="11"/>
      <c r="P34" s="11"/>
      <c r="Q34" s="11"/>
      <c r="R34" s="11"/>
      <c r="S34" s="11"/>
    </row>
    <row r="35" spans="1:19">
      <c r="A35" s="5"/>
      <c r="B35" s="249"/>
      <c r="C35" s="13" t="s">
        <v>68</v>
      </c>
      <c r="D35" s="312">
        <f>+'R1 Opex Detail'!D35</f>
        <v>0</v>
      </c>
      <c r="E35" s="310">
        <f>+'R1 Opex Detail'!E35</f>
        <v>0</v>
      </c>
      <c r="F35" s="310">
        <f>+'R1 Opex Detail'!F35</f>
        <v>0</v>
      </c>
      <c r="G35" s="310">
        <f>+'R1 Opex Detail'!G35</f>
        <v>0</v>
      </c>
      <c r="H35" s="310">
        <f>+'R1 Opex Detail'!H35</f>
        <v>0</v>
      </c>
      <c r="I35" s="310">
        <f>+'R1 Opex Detail'!I35</f>
        <v>0</v>
      </c>
      <c r="J35" s="310">
        <f>+'R1 Opex Detail'!J35</f>
        <v>0</v>
      </c>
      <c r="K35" s="310">
        <f>+'R1 Opex Detail'!K35</f>
        <v>0</v>
      </c>
      <c r="L35" s="310">
        <f ca="1">+'R1 Opex Detail'!L35</f>
        <v>0</v>
      </c>
      <c r="M35" s="835">
        <f ca="1">+'R1 Opex Detail'!M35*M$2</f>
        <v>0</v>
      </c>
      <c r="N35" s="312">
        <f ca="1">+'R1 Opex Detail'!N35*N$1</f>
        <v>0.66675634615384627</v>
      </c>
      <c r="O35" s="310">
        <f ca="1">+'R1 Opex Detail'!O35*O$1</f>
        <v>0.6882896372771159</v>
      </c>
      <c r="P35" s="310">
        <f ca="1">+'R1 Opex Detail'!P35*P$1</f>
        <v>0.70989816712555531</v>
      </c>
      <c r="Q35" s="310">
        <f ca="1">+'R1 Opex Detail'!Q35*Q$1</f>
        <v>0.73287934384985498</v>
      </c>
      <c r="R35" s="310">
        <f ca="1">+'R1 Opex Detail'!R35*R$1</f>
        <v>0.75713753188333122</v>
      </c>
      <c r="S35" s="310">
        <f ca="1">+'R1 Opex Detail'!S35*S$1</f>
        <v>0.78145954632219139</v>
      </c>
    </row>
    <row r="36" spans="1:19">
      <c r="A36" s="5"/>
      <c r="B36" s="249"/>
      <c r="C36" s="13" t="s">
        <v>69</v>
      </c>
      <c r="D36" s="312">
        <f>+'R1 Opex Detail'!D36</f>
        <v>0</v>
      </c>
      <c r="E36" s="310">
        <f>+'R1 Opex Detail'!E36</f>
        <v>0</v>
      </c>
      <c r="F36" s="310">
        <f>+'R1 Opex Detail'!F36</f>
        <v>0</v>
      </c>
      <c r="G36" s="310">
        <f>+'R1 Opex Detail'!G36</f>
        <v>0</v>
      </c>
      <c r="H36" s="310">
        <f>+'R1 Opex Detail'!H36</f>
        <v>0</v>
      </c>
      <c r="I36" s="310">
        <f>+'R1 Opex Detail'!I36</f>
        <v>0</v>
      </c>
      <c r="J36" s="310">
        <f>+'R1 Opex Detail'!J36</f>
        <v>0</v>
      </c>
      <c r="K36" s="310">
        <f>+'R1 Opex Detail'!K36</f>
        <v>0</v>
      </c>
      <c r="L36" s="310">
        <f ca="1">+'R1 Opex Detail'!L36</f>
        <v>0</v>
      </c>
      <c r="M36" s="835">
        <f ca="1">+'R1 Opex Detail'!M36*M$2</f>
        <v>0</v>
      </c>
      <c r="N36" s="312">
        <f ca="1">+'R1 Opex Detail'!N36*N$1</f>
        <v>1.8607153846153846E-2</v>
      </c>
      <c r="O36" s="310">
        <f ca="1">+'R1 Opex Detail'!O36*O$1</f>
        <v>1.8804574972194062E-2</v>
      </c>
      <c r="P36" s="310">
        <f ca="1">+'R1 Opex Detail'!P36*P$1</f>
        <v>1.8987502587187371E-2</v>
      </c>
      <c r="Q36" s="310">
        <f ca="1">+'R1 Opex Detail'!Q36*Q$1</f>
        <v>1.9168324503338056E-2</v>
      </c>
      <c r="R36" s="310">
        <f ca="1">+'R1 Opex Detail'!R36*R$1</f>
        <v>1.9364501759556323E-2</v>
      </c>
      <c r="S36" s="310">
        <f ca="1">+'R1 Opex Detail'!S36*S$1</f>
        <v>1.9544201594449126E-2</v>
      </c>
    </row>
    <row r="37" spans="1:19" s="759" customFormat="1">
      <c r="A37" s="5"/>
      <c r="B37" s="249"/>
      <c r="C37" s="13" t="s">
        <v>646</v>
      </c>
      <c r="D37" s="312">
        <f>+'R1 Opex Detail'!D37</f>
        <v>0</v>
      </c>
      <c r="E37" s="310">
        <f>+'R1 Opex Detail'!E37</f>
        <v>0</v>
      </c>
      <c r="F37" s="310">
        <f>+'R1 Opex Detail'!F37</f>
        <v>0</v>
      </c>
      <c r="G37" s="310">
        <f>+'R1 Opex Detail'!G37</f>
        <v>0</v>
      </c>
      <c r="H37" s="310">
        <f>+'R1 Opex Detail'!H37</f>
        <v>0</v>
      </c>
      <c r="I37" s="310">
        <f>+'R1 Opex Detail'!I37</f>
        <v>0</v>
      </c>
      <c r="J37" s="310">
        <f>+'R1 Opex Detail'!J37</f>
        <v>0</v>
      </c>
      <c r="K37" s="310">
        <f>+'R1 Opex Detail'!K37</f>
        <v>0</v>
      </c>
      <c r="L37" s="310">
        <f ca="1">+'R1 Opex Detail'!L37</f>
        <v>0</v>
      </c>
      <c r="M37" s="835">
        <f ca="1">+'R1 Opex Detail'!M37*M$2</f>
        <v>0</v>
      </c>
      <c r="N37" s="312">
        <f ca="1">+'R1 Opex Detail'!N37*N$1</f>
        <v>0</v>
      </c>
      <c r="O37" s="310">
        <f ca="1">+'R1 Opex Detail'!O37*O$1</f>
        <v>0</v>
      </c>
      <c r="P37" s="310">
        <f ca="1">+'R1 Opex Detail'!P37*P$1</f>
        <v>0</v>
      </c>
      <c r="Q37" s="310">
        <f ca="1">+'R1 Opex Detail'!Q37*Q$1</f>
        <v>0</v>
      </c>
      <c r="R37" s="310">
        <f ca="1">+'R1 Opex Detail'!R37*R$1</f>
        <v>0</v>
      </c>
      <c r="S37" s="310">
        <f ca="1">+'R1 Opex Detail'!S37*S$1</f>
        <v>0</v>
      </c>
    </row>
    <row r="38" spans="1:19">
      <c r="A38" s="5"/>
      <c r="B38" s="249"/>
      <c r="C38" s="13" t="s">
        <v>647</v>
      </c>
      <c r="D38" s="312">
        <f>+'R1 Opex Detail'!D38</f>
        <v>0</v>
      </c>
      <c r="E38" s="310">
        <f>+'R1 Opex Detail'!E38</f>
        <v>0</v>
      </c>
      <c r="F38" s="310">
        <f>+'R1 Opex Detail'!F38</f>
        <v>0</v>
      </c>
      <c r="G38" s="310">
        <f>+'R1 Opex Detail'!G38</f>
        <v>0</v>
      </c>
      <c r="H38" s="310">
        <f>+'R1 Opex Detail'!H38</f>
        <v>0</v>
      </c>
      <c r="I38" s="310">
        <f>+'R1 Opex Detail'!I38</f>
        <v>0</v>
      </c>
      <c r="J38" s="310">
        <f>+'R1 Opex Detail'!J38</f>
        <v>0</v>
      </c>
      <c r="K38" s="310">
        <f>+'R1 Opex Detail'!K38</f>
        <v>0</v>
      </c>
      <c r="L38" s="310">
        <f ca="1">+'R1 Opex Detail'!L38</f>
        <v>0</v>
      </c>
      <c r="M38" s="835">
        <f ca="1">+'R1 Opex Detail'!M38*M$2</f>
        <v>0</v>
      </c>
      <c r="N38" s="312">
        <f ca="1">+'R1 Opex Detail'!N38*N$1</f>
        <v>3.2045653846153849E-2</v>
      </c>
      <c r="O38" s="310">
        <f ca="1">+'R1 Opex Detail'!O38*O$1</f>
        <v>3.2547585181039229E-2</v>
      </c>
      <c r="P38" s="310">
        <f ca="1">+'R1 Opex Detail'!P38*P$1</f>
        <v>3.3028523406630088E-2</v>
      </c>
      <c r="Q38" s="310">
        <f ca="1">+'R1 Opex Detail'!Q38*Q$1</f>
        <v>3.3643148417325748E-2</v>
      </c>
      <c r="R38" s="310">
        <f ca="1">+'R1 Opex Detail'!R38*R$1</f>
        <v>3.4344335942365807E-2</v>
      </c>
      <c r="S38" s="310">
        <f ca="1">+'R1 Opex Detail'!S38*S$1</f>
        <v>3.5096334599249566E-2</v>
      </c>
    </row>
    <row r="39" spans="1:19" s="759" customFormat="1">
      <c r="A39" s="5"/>
      <c r="B39" s="249"/>
      <c r="C39" s="13" t="s">
        <v>575</v>
      </c>
      <c r="D39" s="312">
        <f>+'R1 Opex Detail'!D39</f>
        <v>0</v>
      </c>
      <c r="E39" s="310">
        <f>+'R1 Opex Detail'!E39</f>
        <v>0</v>
      </c>
      <c r="F39" s="310">
        <f>+'R1 Opex Detail'!F39</f>
        <v>0</v>
      </c>
      <c r="G39" s="310">
        <f>+'R1 Opex Detail'!G39</f>
        <v>0</v>
      </c>
      <c r="H39" s="310">
        <f>+'R1 Opex Detail'!H39</f>
        <v>0</v>
      </c>
      <c r="I39" s="310">
        <f>+'R1 Opex Detail'!I39</f>
        <v>0</v>
      </c>
      <c r="J39" s="310">
        <f>+'R1 Opex Detail'!J39</f>
        <v>0</v>
      </c>
      <c r="K39" s="310">
        <f>+'R1 Opex Detail'!K39</f>
        <v>0</v>
      </c>
      <c r="L39" s="310">
        <f ca="1">+'R1 Opex Detail'!L39</f>
        <v>0</v>
      </c>
      <c r="M39" s="835">
        <f ca="1">+'R1 Opex Detail'!M39*M$2</f>
        <v>0</v>
      </c>
      <c r="N39" s="312">
        <f ca="1">+'R1 Opex Detail'!N39*N$1</f>
        <v>6.7192500000000016E-2</v>
      </c>
      <c r="O39" s="310">
        <f ca="1">+'R1 Opex Detail'!O39*O$1</f>
        <v>6.9362521586065942E-2</v>
      </c>
      <c r="P39" s="310">
        <f ca="1">+'R1 Opex Detail'!P39*P$1</f>
        <v>7.1540125369242008E-2</v>
      </c>
      <c r="Q39" s="310">
        <f ca="1">+'R1 Opex Detail'!Q39*Q$1</f>
        <v>7.3856057907349726E-2</v>
      </c>
      <c r="R39" s="310">
        <f ca="1">+'R1 Opex Detail'!R39*R$1</f>
        <v>7.6300681507622536E-2</v>
      </c>
      <c r="S39" s="310">
        <f ca="1">+'R1 Opex Detail'!S39*S$1</f>
        <v>7.875173722626734E-2</v>
      </c>
    </row>
    <row r="40" spans="1:19">
      <c r="A40" s="5"/>
      <c r="B40" s="249"/>
      <c r="C40" s="13" t="s">
        <v>70</v>
      </c>
      <c r="D40" s="312">
        <f>+'R1 Opex Detail'!D40</f>
        <v>0</v>
      </c>
      <c r="E40" s="310">
        <f>+'R1 Opex Detail'!E40</f>
        <v>0</v>
      </c>
      <c r="F40" s="310">
        <f>+'R1 Opex Detail'!F40</f>
        <v>0</v>
      </c>
      <c r="G40" s="310">
        <f>+'R1 Opex Detail'!G40</f>
        <v>0</v>
      </c>
      <c r="H40" s="310">
        <f>+'R1 Opex Detail'!H40</f>
        <v>0</v>
      </c>
      <c r="I40" s="310">
        <f>+'R1 Opex Detail'!I40</f>
        <v>0</v>
      </c>
      <c r="J40" s="310">
        <f>+'R1 Opex Detail'!J40</f>
        <v>0</v>
      </c>
      <c r="K40" s="310">
        <f>+'R1 Opex Detail'!K40</f>
        <v>0</v>
      </c>
      <c r="L40" s="310">
        <f ca="1">+'R1 Opex Detail'!L40</f>
        <v>0</v>
      </c>
      <c r="M40" s="835">
        <f ca="1">+'R1 Opex Detail'!M40*M$2</f>
        <v>0</v>
      </c>
      <c r="N40" s="312">
        <f ca="1">+'R1 Opex Detail'!N40*N$1</f>
        <v>0</v>
      </c>
      <c r="O40" s="310">
        <f ca="1">+'R1 Opex Detail'!O40*O$1</f>
        <v>0</v>
      </c>
      <c r="P40" s="310">
        <f ca="1">+'R1 Opex Detail'!P40*P$1</f>
        <v>0</v>
      </c>
      <c r="Q40" s="310">
        <f ca="1">+'R1 Opex Detail'!Q40*Q$1</f>
        <v>0</v>
      </c>
      <c r="R40" s="310">
        <f ca="1">+'R1 Opex Detail'!R40*R$1</f>
        <v>0</v>
      </c>
      <c r="S40" s="310">
        <f ca="1">+'R1 Opex Detail'!S40*S$1</f>
        <v>0</v>
      </c>
    </row>
    <row r="41" spans="1:19">
      <c r="A41" s="5"/>
      <c r="B41" s="249"/>
      <c r="C41" s="12" t="s">
        <v>75</v>
      </c>
      <c r="D41" s="313">
        <f t="shared" ref="D41:S41" si="3">SUBTOTAL(9,D35:D40)</f>
        <v>0</v>
      </c>
      <c r="E41" s="311">
        <f t="shared" si="3"/>
        <v>0</v>
      </c>
      <c r="F41" s="311">
        <f t="shared" si="3"/>
        <v>0</v>
      </c>
      <c r="G41" s="311">
        <f t="shared" si="3"/>
        <v>0</v>
      </c>
      <c r="H41" s="311">
        <f t="shared" si="3"/>
        <v>0</v>
      </c>
      <c r="I41" s="311">
        <f t="shared" si="3"/>
        <v>0</v>
      </c>
      <c r="J41" s="311">
        <f t="shared" si="3"/>
        <v>0</v>
      </c>
      <c r="K41" s="311">
        <f t="shared" si="3"/>
        <v>0</v>
      </c>
      <c r="L41" s="311">
        <f t="shared" ca="1" si="3"/>
        <v>0</v>
      </c>
      <c r="M41" s="513">
        <f t="shared" ca="1" si="3"/>
        <v>0</v>
      </c>
      <c r="N41" s="313">
        <f t="shared" ca="1" si="3"/>
        <v>0.78460165384615399</v>
      </c>
      <c r="O41" s="311">
        <f t="shared" ca="1" si="3"/>
        <v>0.80900431901641501</v>
      </c>
      <c r="P41" s="311">
        <f t="shared" ca="1" si="3"/>
        <v>0.83345431848861484</v>
      </c>
      <c r="Q41" s="311">
        <f t="shared" ca="1" si="3"/>
        <v>0.8595468746778685</v>
      </c>
      <c r="R41" s="311">
        <f t="shared" ca="1" si="3"/>
        <v>0.88714705109287584</v>
      </c>
      <c r="S41" s="311">
        <f t="shared" ca="1" si="3"/>
        <v>0.91485181974215746</v>
      </c>
    </row>
    <row r="42" spans="1:19">
      <c r="A42" s="5"/>
      <c r="B42" s="249"/>
      <c r="C42" s="12"/>
      <c r="D42" s="263"/>
      <c r="E42" s="263"/>
      <c r="F42" s="263"/>
      <c r="G42" s="263"/>
      <c r="H42" s="263"/>
      <c r="I42" s="263"/>
      <c r="J42" s="263"/>
      <c r="K42" s="263"/>
      <c r="L42" s="263"/>
      <c r="M42" s="836"/>
      <c r="N42" s="263"/>
      <c r="O42" s="263"/>
      <c r="P42" s="263"/>
      <c r="Q42" s="263"/>
      <c r="R42" s="263"/>
      <c r="S42" s="263"/>
    </row>
    <row r="43" spans="1:19">
      <c r="A43" s="5"/>
      <c r="B43" s="249" t="str">
        <f ca="1">+'I-4 History'!B43</f>
        <v>DA-5</v>
      </c>
      <c r="C43" s="14" t="str">
        <f ca="1">+'I-4 History'!C43</f>
        <v>Strategic Asset Management</v>
      </c>
      <c r="D43" s="11"/>
      <c r="E43" s="11"/>
      <c r="F43" s="11"/>
      <c r="G43" s="11"/>
      <c r="H43" s="11"/>
      <c r="I43" s="11"/>
      <c r="J43" s="11"/>
      <c r="K43" s="11"/>
      <c r="L43" s="11"/>
      <c r="M43" s="507"/>
      <c r="N43" s="11"/>
      <c r="O43" s="11"/>
      <c r="P43" s="11"/>
      <c r="Q43" s="11"/>
      <c r="R43" s="11"/>
      <c r="S43" s="11"/>
    </row>
    <row r="44" spans="1:19">
      <c r="A44" s="5"/>
      <c r="B44" s="249"/>
      <c r="C44" s="13" t="s">
        <v>68</v>
      </c>
      <c r="D44" s="312">
        <f>+'R1 Opex Detail'!D44</f>
        <v>0</v>
      </c>
      <c r="E44" s="310">
        <f>+'R1 Opex Detail'!E44</f>
        <v>0</v>
      </c>
      <c r="F44" s="310">
        <f>+'R1 Opex Detail'!F44</f>
        <v>0</v>
      </c>
      <c r="G44" s="310">
        <f>+'R1 Opex Detail'!G44</f>
        <v>0</v>
      </c>
      <c r="H44" s="310">
        <f>+'R1 Opex Detail'!H44</f>
        <v>0</v>
      </c>
      <c r="I44" s="310">
        <f>+'R1 Opex Detail'!I44</f>
        <v>0</v>
      </c>
      <c r="J44" s="310">
        <f>+'R1 Opex Detail'!J44</f>
        <v>0</v>
      </c>
      <c r="K44" s="310">
        <f>+'R1 Opex Detail'!K44</f>
        <v>0</v>
      </c>
      <c r="L44" s="310">
        <f ca="1">+'R1 Opex Detail'!L44</f>
        <v>0</v>
      </c>
      <c r="M44" s="835">
        <f ca="1">+'R1 Opex Detail'!M44*M$2</f>
        <v>0</v>
      </c>
      <c r="N44" s="312">
        <f ca="1">+'R1 Opex Detail'!N44*N$1</f>
        <v>1.2177348461538462</v>
      </c>
      <c r="O44" s="310">
        <f ca="1">+'R1 Opex Detail'!O44*O$1</f>
        <v>1.2570623142828565</v>
      </c>
      <c r="P44" s="310">
        <f ca="1">+'R1 Opex Detail'!P44*P$1</f>
        <v>1.2965271951533397</v>
      </c>
      <c r="Q44" s="310">
        <f ca="1">+'R1 Opex Detail'!Q44*Q$1</f>
        <v>1.3384990186901227</v>
      </c>
      <c r="R44" s="310">
        <f ca="1">+'R1 Opex Detail'!R44*R$1</f>
        <v>1.382803120245836</v>
      </c>
      <c r="S44" s="310">
        <f ca="1">+'R1 Opex Detail'!S44*S$1</f>
        <v>1.4272237915775834</v>
      </c>
    </row>
    <row r="45" spans="1:19">
      <c r="A45" s="5"/>
      <c r="B45" s="249"/>
      <c r="C45" s="13" t="s">
        <v>69</v>
      </c>
      <c r="D45" s="312">
        <f>+'R1 Opex Detail'!D45</f>
        <v>0</v>
      </c>
      <c r="E45" s="310">
        <f>+'R1 Opex Detail'!E45</f>
        <v>0</v>
      </c>
      <c r="F45" s="310">
        <f>+'R1 Opex Detail'!F45</f>
        <v>0</v>
      </c>
      <c r="G45" s="310">
        <f>+'R1 Opex Detail'!G45</f>
        <v>0</v>
      </c>
      <c r="H45" s="310">
        <f>+'R1 Opex Detail'!H45</f>
        <v>0</v>
      </c>
      <c r="I45" s="310">
        <f>+'R1 Opex Detail'!I45</f>
        <v>0</v>
      </c>
      <c r="J45" s="310">
        <f>+'R1 Opex Detail'!J45</f>
        <v>0</v>
      </c>
      <c r="K45" s="310">
        <f>+'R1 Opex Detail'!K45</f>
        <v>0</v>
      </c>
      <c r="L45" s="310">
        <f ca="1">+'R1 Opex Detail'!L45</f>
        <v>0</v>
      </c>
      <c r="M45" s="835">
        <f ca="1">+'R1 Opex Detail'!M45*M$2</f>
        <v>0</v>
      </c>
      <c r="N45" s="312">
        <f ca="1">+'R1 Opex Detail'!N45*N$1</f>
        <v>1.0337307692307694E-3</v>
      </c>
      <c r="O45" s="310">
        <f ca="1">+'R1 Opex Detail'!O45*O$1</f>
        <v>1.044698609566337E-3</v>
      </c>
      <c r="P45" s="310">
        <f ca="1">+'R1 Opex Detail'!P45*P$1</f>
        <v>1.0548612548437429E-3</v>
      </c>
      <c r="Q45" s="310">
        <f ca="1">+'R1 Opex Detail'!Q45*Q$1</f>
        <v>1.0649069168521146E-3</v>
      </c>
      <c r="R45" s="310">
        <f ca="1">+'R1 Opex Detail'!R45*R$1</f>
        <v>1.0758056533086849E-3</v>
      </c>
      <c r="S45" s="310">
        <f ca="1">+'R1 Opex Detail'!S45*S$1</f>
        <v>1.0857889774693959E-3</v>
      </c>
    </row>
    <row r="46" spans="1:19" s="759" customFormat="1">
      <c r="A46" s="5"/>
      <c r="B46" s="249"/>
      <c r="C46" s="13" t="s">
        <v>646</v>
      </c>
      <c r="D46" s="312">
        <f>+'R1 Opex Detail'!D46</f>
        <v>0</v>
      </c>
      <c r="E46" s="310">
        <f>+'R1 Opex Detail'!E46</f>
        <v>0</v>
      </c>
      <c r="F46" s="310">
        <f>+'R1 Opex Detail'!F46</f>
        <v>0</v>
      </c>
      <c r="G46" s="310">
        <f>+'R1 Opex Detail'!G46</f>
        <v>0</v>
      </c>
      <c r="H46" s="310">
        <f>+'R1 Opex Detail'!H46</f>
        <v>0</v>
      </c>
      <c r="I46" s="310">
        <f>+'R1 Opex Detail'!I46</f>
        <v>0</v>
      </c>
      <c r="J46" s="310">
        <f>+'R1 Opex Detail'!J46</f>
        <v>0</v>
      </c>
      <c r="K46" s="310">
        <f>+'R1 Opex Detail'!K46</f>
        <v>0</v>
      </c>
      <c r="L46" s="310">
        <f ca="1">+'R1 Opex Detail'!L46</f>
        <v>0</v>
      </c>
      <c r="M46" s="835">
        <f ca="1">+'R1 Opex Detail'!M46*M$2</f>
        <v>0</v>
      </c>
      <c r="N46" s="312">
        <f ca="1">+'R1 Opex Detail'!N46*N$1</f>
        <v>0.28324223076923083</v>
      </c>
      <c r="O46" s="310">
        <f ca="1">+'R1 Opex Detail'!O46*O$1</f>
        <v>0.28767865611628218</v>
      </c>
      <c r="P46" s="310">
        <f ca="1">+'R1 Opex Detail'!P46*P$1</f>
        <v>0.29192952946505307</v>
      </c>
      <c r="Q46" s="310">
        <f ca="1">+'R1 Opex Detail'!Q46*Q$1</f>
        <v>0.29736202149507279</v>
      </c>
      <c r="R46" s="310">
        <f ca="1">+'R1 Opex Detail'!R46*R$1</f>
        <v>0.30355961445833007</v>
      </c>
      <c r="S46" s="310">
        <f ca="1">+'R1 Opex Detail'!S46*S$1</f>
        <v>0.31020631226433493</v>
      </c>
    </row>
    <row r="47" spans="1:19">
      <c r="A47" s="5"/>
      <c r="B47" s="249"/>
      <c r="C47" s="13" t="s">
        <v>647</v>
      </c>
      <c r="D47" s="312">
        <f>+'R1 Opex Detail'!D47</f>
        <v>0</v>
      </c>
      <c r="E47" s="310">
        <f>+'R1 Opex Detail'!E47</f>
        <v>0</v>
      </c>
      <c r="F47" s="310">
        <f>+'R1 Opex Detail'!F47</f>
        <v>0</v>
      </c>
      <c r="G47" s="310">
        <f>+'R1 Opex Detail'!G47</f>
        <v>0</v>
      </c>
      <c r="H47" s="310">
        <f>+'R1 Opex Detail'!H47</f>
        <v>0</v>
      </c>
      <c r="I47" s="310">
        <f>+'R1 Opex Detail'!I47</f>
        <v>0</v>
      </c>
      <c r="J47" s="310">
        <f>+'R1 Opex Detail'!J47</f>
        <v>0</v>
      </c>
      <c r="K47" s="310">
        <f>+'R1 Opex Detail'!K47</f>
        <v>0</v>
      </c>
      <c r="L47" s="310">
        <f ca="1">+'R1 Opex Detail'!L47</f>
        <v>0</v>
      </c>
      <c r="M47" s="835">
        <f ca="1">+'R1 Opex Detail'!M47*M$2</f>
        <v>0</v>
      </c>
      <c r="N47" s="312">
        <f ca="1">+'R1 Opex Detail'!N47*N$1</f>
        <v>0.25119657692307695</v>
      </c>
      <c r="O47" s="310">
        <f ca="1">+'R1 Opex Detail'!O47*O$1</f>
        <v>0.25513107093524295</v>
      </c>
      <c r="P47" s="310">
        <f ca="1">+'R1 Opex Detail'!P47*P$1</f>
        <v>0.25890100605842292</v>
      </c>
      <c r="Q47" s="310">
        <f ca="1">+'R1 Opex Detail'!Q47*Q$1</f>
        <v>0.263718873077747</v>
      </c>
      <c r="R47" s="310">
        <f ca="1">+'R1 Opex Detail'!R47*R$1</f>
        <v>0.26921527851596422</v>
      </c>
      <c r="S47" s="310">
        <f ca="1">+'R1 Opex Detail'!S47*S$1</f>
        <v>0.27510997766508527</v>
      </c>
    </row>
    <row r="48" spans="1:19" s="759" customFormat="1">
      <c r="A48" s="5"/>
      <c r="B48" s="249"/>
      <c r="C48" s="13" t="s">
        <v>575</v>
      </c>
      <c r="D48" s="312">
        <f>+'R1 Opex Detail'!D48</f>
        <v>0</v>
      </c>
      <c r="E48" s="310">
        <f>+'R1 Opex Detail'!E48</f>
        <v>0</v>
      </c>
      <c r="F48" s="310">
        <f>+'R1 Opex Detail'!F48</f>
        <v>0</v>
      </c>
      <c r="G48" s="310">
        <f>+'R1 Opex Detail'!G48</f>
        <v>0</v>
      </c>
      <c r="H48" s="310">
        <f>+'R1 Opex Detail'!H48</f>
        <v>0</v>
      </c>
      <c r="I48" s="310">
        <f>+'R1 Opex Detail'!I48</f>
        <v>0</v>
      </c>
      <c r="J48" s="310">
        <f>+'R1 Opex Detail'!J48</f>
        <v>0</v>
      </c>
      <c r="K48" s="310">
        <f>+'R1 Opex Detail'!K48</f>
        <v>0</v>
      </c>
      <c r="L48" s="310">
        <f ca="1">+'R1 Opex Detail'!L48</f>
        <v>0</v>
      </c>
      <c r="M48" s="835">
        <f ca="1">+'R1 Opex Detail'!M48*M$2</f>
        <v>0</v>
      </c>
      <c r="N48" s="312">
        <f ca="1">+'R1 Opex Detail'!N48*N$1</f>
        <v>0.17676796153846158</v>
      </c>
      <c r="O48" s="310">
        <f ca="1">+'R1 Opex Detail'!O48*O$1</f>
        <v>0.18247678755718891</v>
      </c>
      <c r="P48" s="310">
        <f ca="1">+'R1 Opex Detail'!P48*P$1</f>
        <v>0.18820556058677515</v>
      </c>
      <c r="Q48" s="310">
        <f ca="1">+'R1 Opex Detail'!Q48*Q$1</f>
        <v>0.19429824464856624</v>
      </c>
      <c r="R48" s="310">
        <f ca="1">+'R1 Opex Detail'!R48*R$1</f>
        <v>0.2007294851969762</v>
      </c>
      <c r="S48" s="310">
        <f ca="1">+'R1 Opex Detail'!S48*S$1</f>
        <v>0.20717764716448797</v>
      </c>
    </row>
    <row r="49" spans="1:19">
      <c r="A49" s="5"/>
      <c r="B49" s="249"/>
      <c r="C49" s="13" t="s">
        <v>70</v>
      </c>
      <c r="D49" s="312">
        <f>+'R1 Opex Detail'!D49</f>
        <v>0</v>
      </c>
      <c r="E49" s="310">
        <f>+'R1 Opex Detail'!E49</f>
        <v>0</v>
      </c>
      <c r="F49" s="310">
        <f>+'R1 Opex Detail'!F49</f>
        <v>0</v>
      </c>
      <c r="G49" s="310">
        <f>+'R1 Opex Detail'!G49</f>
        <v>0</v>
      </c>
      <c r="H49" s="310">
        <f>+'R1 Opex Detail'!H49</f>
        <v>0</v>
      </c>
      <c r="I49" s="310">
        <f>+'R1 Opex Detail'!I49</f>
        <v>0</v>
      </c>
      <c r="J49" s="310">
        <f>+'R1 Opex Detail'!J49</f>
        <v>0</v>
      </c>
      <c r="K49" s="310">
        <f>+'R1 Opex Detail'!K49</f>
        <v>0</v>
      </c>
      <c r="L49" s="310">
        <f ca="1">+'R1 Opex Detail'!L49</f>
        <v>0</v>
      </c>
      <c r="M49" s="835">
        <f ca="1">+'R1 Opex Detail'!M49*M$2</f>
        <v>0</v>
      </c>
      <c r="N49" s="312">
        <f ca="1">+'R1 Opex Detail'!N49*N$1</f>
        <v>0</v>
      </c>
      <c r="O49" s="310">
        <f ca="1">+'R1 Opex Detail'!O49*O$1</f>
        <v>0</v>
      </c>
      <c r="P49" s="310">
        <f ca="1">+'R1 Opex Detail'!P49*P$1</f>
        <v>0</v>
      </c>
      <c r="Q49" s="310">
        <f ca="1">+'R1 Opex Detail'!Q49*Q$1</f>
        <v>0</v>
      </c>
      <c r="R49" s="310">
        <f ca="1">+'R1 Opex Detail'!R49*R$1</f>
        <v>0</v>
      </c>
      <c r="S49" s="310">
        <f ca="1">+'R1 Opex Detail'!S49*S$1</f>
        <v>0</v>
      </c>
    </row>
    <row r="50" spans="1:19">
      <c r="A50" s="5"/>
      <c r="B50" s="249"/>
      <c r="C50" s="12" t="s">
        <v>75</v>
      </c>
      <c r="D50" s="313">
        <f t="shared" ref="D50:S50" si="4">SUBTOTAL(9,D44:D49)</f>
        <v>0</v>
      </c>
      <c r="E50" s="311">
        <f t="shared" si="4"/>
        <v>0</v>
      </c>
      <c r="F50" s="311">
        <f t="shared" si="4"/>
        <v>0</v>
      </c>
      <c r="G50" s="311">
        <f t="shared" si="4"/>
        <v>0</v>
      </c>
      <c r="H50" s="311">
        <f t="shared" si="4"/>
        <v>0</v>
      </c>
      <c r="I50" s="311">
        <f t="shared" si="4"/>
        <v>0</v>
      </c>
      <c r="J50" s="311">
        <f t="shared" si="4"/>
        <v>0</v>
      </c>
      <c r="K50" s="311">
        <f t="shared" si="4"/>
        <v>0</v>
      </c>
      <c r="L50" s="311">
        <f t="shared" ca="1" si="4"/>
        <v>0</v>
      </c>
      <c r="M50" s="513">
        <f t="shared" ca="1" si="4"/>
        <v>0</v>
      </c>
      <c r="N50" s="313">
        <f t="shared" ca="1" si="4"/>
        <v>1.9299753461538462</v>
      </c>
      <c r="O50" s="311">
        <f t="shared" ca="1" si="4"/>
        <v>1.9833935275011367</v>
      </c>
      <c r="P50" s="311">
        <f t="shared" ca="1" si="4"/>
        <v>2.0366181525184346</v>
      </c>
      <c r="Q50" s="311">
        <f t="shared" ca="1" si="4"/>
        <v>2.0949430648283607</v>
      </c>
      <c r="R50" s="311">
        <f t="shared" ca="1" si="4"/>
        <v>2.1573833040704153</v>
      </c>
      <c r="S50" s="311">
        <f t="shared" ca="1" si="4"/>
        <v>2.2208035176489611</v>
      </c>
    </row>
    <row r="51" spans="1:19">
      <c r="A51" s="5"/>
      <c r="B51" s="249"/>
      <c r="C51" s="12"/>
      <c r="D51" s="263"/>
      <c r="E51" s="263"/>
      <c r="F51" s="263"/>
      <c r="G51" s="263"/>
      <c r="H51" s="263"/>
      <c r="I51" s="263"/>
      <c r="J51" s="263"/>
      <c r="K51" s="263"/>
      <c r="L51" s="263"/>
      <c r="M51" s="836"/>
      <c r="N51" s="263"/>
      <c r="O51" s="263"/>
      <c r="P51" s="263"/>
      <c r="Q51" s="263"/>
      <c r="R51" s="263"/>
      <c r="S51" s="263"/>
    </row>
    <row r="52" spans="1:19" ht="14.25" customHeight="1">
      <c r="A52" s="5"/>
      <c r="B52" s="249" t="str">
        <f ca="1">+'I-4 History'!B52</f>
        <v>DA-6</v>
      </c>
      <c r="C52" s="14" t="str">
        <f ca="1">+'I-4 History'!C52</f>
        <v>Operational Asset Management</v>
      </c>
      <c r="D52" s="11"/>
      <c r="E52" s="11"/>
      <c r="F52" s="11"/>
      <c r="G52" s="11"/>
      <c r="H52" s="11"/>
      <c r="I52" s="11"/>
      <c r="J52" s="11"/>
      <c r="K52" s="11"/>
      <c r="L52" s="11"/>
      <c r="M52" s="507"/>
      <c r="N52" s="11"/>
      <c r="O52" s="11"/>
      <c r="P52" s="11"/>
      <c r="Q52" s="11"/>
      <c r="R52" s="11"/>
      <c r="S52" s="11"/>
    </row>
    <row r="53" spans="1:19">
      <c r="A53" s="5"/>
      <c r="B53" s="249"/>
      <c r="C53" s="13" t="s">
        <v>68</v>
      </c>
      <c r="D53" s="312">
        <f>+'R1 Opex Detail'!D53</f>
        <v>0</v>
      </c>
      <c r="E53" s="310">
        <f>+'R1 Opex Detail'!E53</f>
        <v>0</v>
      </c>
      <c r="F53" s="310">
        <f>+'R1 Opex Detail'!F53</f>
        <v>0</v>
      </c>
      <c r="G53" s="310">
        <f>+'R1 Opex Detail'!G53</f>
        <v>0</v>
      </c>
      <c r="H53" s="310">
        <f>+'R1 Opex Detail'!H53</f>
        <v>0</v>
      </c>
      <c r="I53" s="310">
        <f>+'R1 Opex Detail'!I53</f>
        <v>0</v>
      </c>
      <c r="J53" s="310">
        <f>+'R1 Opex Detail'!J53</f>
        <v>0</v>
      </c>
      <c r="K53" s="310">
        <f>+'R1 Opex Detail'!K53</f>
        <v>0</v>
      </c>
      <c r="L53" s="310">
        <f ca="1">+'R1 Opex Detail'!L53</f>
        <v>0</v>
      </c>
      <c r="M53" s="835">
        <f ca="1">+'R1 Opex Detail'!M53*M$2</f>
        <v>0</v>
      </c>
      <c r="N53" s="312">
        <f ca="1">+'R1 Opex Detail'!N53*N$1</f>
        <v>0.19020646153846155</v>
      </c>
      <c r="O53" s="310">
        <f ca="1">+'R1 Opex Detail'!O53*O$1</f>
        <v>0.19634929187440206</v>
      </c>
      <c r="P53" s="310">
        <f ca="1">+'R1 Opex Detail'!P53*P$1</f>
        <v>0.20251358566062352</v>
      </c>
      <c r="Q53" s="310">
        <f ca="1">+'R1 Opex Detail'!Q53*Q$1</f>
        <v>0.20906945623003617</v>
      </c>
      <c r="R53" s="310">
        <f ca="1">+'R1 Opex Detail'!R53*R$1</f>
        <v>0.21598962149850068</v>
      </c>
      <c r="S53" s="310">
        <f ca="1">+'R1 Opex Detail'!S53*S$1</f>
        <v>0.22292799460974139</v>
      </c>
    </row>
    <row r="54" spans="1:19">
      <c r="A54" s="5"/>
      <c r="B54" s="249"/>
      <c r="C54" s="13" t="s">
        <v>69</v>
      </c>
      <c r="D54" s="312">
        <f>+'R1 Opex Detail'!D54</f>
        <v>0</v>
      </c>
      <c r="E54" s="310">
        <f>+'R1 Opex Detail'!E54</f>
        <v>0</v>
      </c>
      <c r="F54" s="310">
        <f>+'R1 Opex Detail'!F54</f>
        <v>0</v>
      </c>
      <c r="G54" s="310">
        <f>+'R1 Opex Detail'!G54</f>
        <v>0</v>
      </c>
      <c r="H54" s="310">
        <f>+'R1 Opex Detail'!H54</f>
        <v>0</v>
      </c>
      <c r="I54" s="310">
        <f>+'R1 Opex Detail'!I54</f>
        <v>0</v>
      </c>
      <c r="J54" s="310">
        <f>+'R1 Opex Detail'!J54</f>
        <v>0</v>
      </c>
      <c r="K54" s="310">
        <f>+'R1 Opex Detail'!K54</f>
        <v>0</v>
      </c>
      <c r="L54" s="310">
        <f ca="1">+'R1 Opex Detail'!L54</f>
        <v>0</v>
      </c>
      <c r="M54" s="835">
        <f ca="1">+'R1 Opex Detail'!M54*M$2</f>
        <v>0</v>
      </c>
      <c r="N54" s="312">
        <f ca="1">+'R1 Opex Detail'!N54*N$1</f>
        <v>0</v>
      </c>
      <c r="O54" s="310">
        <f ca="1">+'R1 Opex Detail'!O54*O$1</f>
        <v>0</v>
      </c>
      <c r="P54" s="310">
        <f ca="1">+'R1 Opex Detail'!P54*P$1</f>
        <v>0</v>
      </c>
      <c r="Q54" s="310">
        <f ca="1">+'R1 Opex Detail'!Q54*Q$1</f>
        <v>0</v>
      </c>
      <c r="R54" s="310">
        <f ca="1">+'R1 Opex Detail'!R54*R$1</f>
        <v>0</v>
      </c>
      <c r="S54" s="310">
        <f ca="1">+'R1 Opex Detail'!S54*S$1</f>
        <v>0</v>
      </c>
    </row>
    <row r="55" spans="1:19" s="759" customFormat="1">
      <c r="A55" s="5"/>
      <c r="B55" s="249"/>
      <c r="C55" s="13" t="s">
        <v>646</v>
      </c>
      <c r="D55" s="312">
        <f>+'R1 Opex Detail'!D55</f>
        <v>0</v>
      </c>
      <c r="E55" s="310">
        <f>+'R1 Opex Detail'!E55</f>
        <v>0</v>
      </c>
      <c r="F55" s="310">
        <f>+'R1 Opex Detail'!F55</f>
        <v>0</v>
      </c>
      <c r="G55" s="310">
        <f>+'R1 Opex Detail'!G55</f>
        <v>0</v>
      </c>
      <c r="H55" s="310">
        <f>+'R1 Opex Detail'!H55</f>
        <v>0</v>
      </c>
      <c r="I55" s="310">
        <f>+'R1 Opex Detail'!I55</f>
        <v>0</v>
      </c>
      <c r="J55" s="310">
        <f>+'R1 Opex Detail'!J55</f>
        <v>0</v>
      </c>
      <c r="K55" s="310">
        <f>+'R1 Opex Detail'!K55</f>
        <v>0</v>
      </c>
      <c r="L55" s="310">
        <f ca="1">+'R1 Opex Detail'!L55</f>
        <v>0</v>
      </c>
      <c r="M55" s="835">
        <f ca="1">+'R1 Opex Detail'!M55*M$2</f>
        <v>0</v>
      </c>
      <c r="N55" s="312">
        <f ca="1">+'R1 Opex Detail'!N55*N$1</f>
        <v>0</v>
      </c>
      <c r="O55" s="310">
        <f ca="1">+'R1 Opex Detail'!O55*O$1</f>
        <v>0</v>
      </c>
      <c r="P55" s="310">
        <f ca="1">+'R1 Opex Detail'!P55*P$1</f>
        <v>0</v>
      </c>
      <c r="Q55" s="310">
        <f ca="1">+'R1 Opex Detail'!Q55*Q$1</f>
        <v>0</v>
      </c>
      <c r="R55" s="310">
        <f ca="1">+'R1 Opex Detail'!R55*R$1</f>
        <v>0</v>
      </c>
      <c r="S55" s="310">
        <f ca="1">+'R1 Opex Detail'!S55*S$1</f>
        <v>0</v>
      </c>
    </row>
    <row r="56" spans="1:19">
      <c r="A56" s="5"/>
      <c r="B56" s="249"/>
      <c r="C56" s="13" t="s">
        <v>647</v>
      </c>
      <c r="D56" s="312">
        <f>+'R1 Opex Detail'!D56</f>
        <v>0</v>
      </c>
      <c r="E56" s="310">
        <f>+'R1 Opex Detail'!E56</f>
        <v>0</v>
      </c>
      <c r="F56" s="310">
        <f>+'R1 Opex Detail'!F56</f>
        <v>0</v>
      </c>
      <c r="G56" s="310">
        <f>+'R1 Opex Detail'!G56</f>
        <v>0</v>
      </c>
      <c r="H56" s="310">
        <f>+'R1 Opex Detail'!H56</f>
        <v>0</v>
      </c>
      <c r="I56" s="310">
        <f>+'R1 Opex Detail'!I56</f>
        <v>0</v>
      </c>
      <c r="J56" s="310">
        <f>+'R1 Opex Detail'!J56</f>
        <v>0</v>
      </c>
      <c r="K56" s="310">
        <f>+'R1 Opex Detail'!K56</f>
        <v>0</v>
      </c>
      <c r="L56" s="310">
        <f ca="1">+'R1 Opex Detail'!L56</f>
        <v>0</v>
      </c>
      <c r="M56" s="835">
        <f ca="1">+'R1 Opex Detail'!M56*M$2</f>
        <v>0</v>
      </c>
      <c r="N56" s="312">
        <f ca="1">+'R1 Opex Detail'!N56*N$1</f>
        <v>0</v>
      </c>
      <c r="O56" s="310">
        <f ca="1">+'R1 Opex Detail'!O56*O$1</f>
        <v>0</v>
      </c>
      <c r="P56" s="310">
        <f ca="1">+'R1 Opex Detail'!P56*P$1</f>
        <v>0</v>
      </c>
      <c r="Q56" s="310">
        <f ca="1">+'R1 Opex Detail'!Q56*Q$1</f>
        <v>0</v>
      </c>
      <c r="R56" s="310">
        <f ca="1">+'R1 Opex Detail'!R56*R$1</f>
        <v>0</v>
      </c>
      <c r="S56" s="310">
        <f ca="1">+'R1 Opex Detail'!S56*S$1</f>
        <v>0</v>
      </c>
    </row>
    <row r="57" spans="1:19" s="759" customFormat="1">
      <c r="A57" s="5"/>
      <c r="B57" s="249"/>
      <c r="C57" s="13" t="s">
        <v>575</v>
      </c>
      <c r="D57" s="312">
        <f>+'R1 Opex Detail'!D57</f>
        <v>0</v>
      </c>
      <c r="E57" s="310">
        <f>+'R1 Opex Detail'!E57</f>
        <v>0</v>
      </c>
      <c r="F57" s="310">
        <f>+'R1 Opex Detail'!F57</f>
        <v>0</v>
      </c>
      <c r="G57" s="310">
        <f>+'R1 Opex Detail'!G57</f>
        <v>0</v>
      </c>
      <c r="H57" s="310">
        <f>+'R1 Opex Detail'!H57</f>
        <v>0</v>
      </c>
      <c r="I57" s="310">
        <f>+'R1 Opex Detail'!I57</f>
        <v>0</v>
      </c>
      <c r="J57" s="310">
        <f>+'R1 Opex Detail'!J57</f>
        <v>0</v>
      </c>
      <c r="K57" s="310">
        <f>+'R1 Opex Detail'!K57</f>
        <v>0</v>
      </c>
      <c r="L57" s="310">
        <f ca="1">+'R1 Opex Detail'!L57</f>
        <v>0</v>
      </c>
      <c r="M57" s="835">
        <f ca="1">+'R1 Opex Detail'!M57*M$2</f>
        <v>0</v>
      </c>
      <c r="N57" s="312">
        <f ca="1">+'R1 Opex Detail'!N57*N$1</f>
        <v>1.6539692307692311E-2</v>
      </c>
      <c r="O57" s="310">
        <f ca="1">+'R1 Opex Detail'!O57*O$1</f>
        <v>1.7073851467339311E-2</v>
      </c>
      <c r="P57" s="310">
        <f ca="1">+'R1 Opex Detail'!P57*P$1</f>
        <v>1.7609877013967268E-2</v>
      </c>
      <c r="Q57" s="310">
        <f ca="1">+'R1 Opex Detail'!Q57*Q$1</f>
        <v>1.8179952715655319E-2</v>
      </c>
      <c r="R57" s="310">
        <f ca="1">+'R1 Opex Detail'!R57*R$1</f>
        <v>1.878170621726093E-2</v>
      </c>
      <c r="S57" s="310">
        <f ca="1">+'R1 Opex Detail'!S57*S$1</f>
        <v>1.9385043009542729E-2</v>
      </c>
    </row>
    <row r="58" spans="1:19">
      <c r="A58" s="5"/>
      <c r="B58" s="249"/>
      <c r="C58" s="13" t="s">
        <v>70</v>
      </c>
      <c r="D58" s="312">
        <f>+'R1 Opex Detail'!D58</f>
        <v>0</v>
      </c>
      <c r="E58" s="310">
        <f>+'R1 Opex Detail'!E58</f>
        <v>0</v>
      </c>
      <c r="F58" s="310">
        <f>+'R1 Opex Detail'!F58</f>
        <v>0</v>
      </c>
      <c r="G58" s="310">
        <f>+'R1 Opex Detail'!G58</f>
        <v>0</v>
      </c>
      <c r="H58" s="310">
        <f>+'R1 Opex Detail'!H58</f>
        <v>0</v>
      </c>
      <c r="I58" s="310">
        <f>+'R1 Opex Detail'!I58</f>
        <v>0</v>
      </c>
      <c r="J58" s="310">
        <f>+'R1 Opex Detail'!J58</f>
        <v>0</v>
      </c>
      <c r="K58" s="310">
        <f>+'R1 Opex Detail'!K58</f>
        <v>0</v>
      </c>
      <c r="L58" s="310">
        <f ca="1">+'R1 Opex Detail'!L58</f>
        <v>0</v>
      </c>
      <c r="M58" s="835">
        <f ca="1">+'R1 Opex Detail'!M58*M$2</f>
        <v>0</v>
      </c>
      <c r="N58" s="312">
        <f ca="1">+'R1 Opex Detail'!N58*N$1</f>
        <v>0</v>
      </c>
      <c r="O58" s="310">
        <f ca="1">+'R1 Opex Detail'!O58*O$1</f>
        <v>0</v>
      </c>
      <c r="P58" s="310">
        <f ca="1">+'R1 Opex Detail'!P58*P$1</f>
        <v>0</v>
      </c>
      <c r="Q58" s="310">
        <f ca="1">+'R1 Opex Detail'!Q58*Q$1</f>
        <v>0</v>
      </c>
      <c r="R58" s="310">
        <f ca="1">+'R1 Opex Detail'!R58*R$1</f>
        <v>0</v>
      </c>
      <c r="S58" s="310">
        <f ca="1">+'R1 Opex Detail'!S58*S$1</f>
        <v>0</v>
      </c>
    </row>
    <row r="59" spans="1:19">
      <c r="A59" s="5"/>
      <c r="B59" s="249"/>
      <c r="C59" s="12" t="s">
        <v>75</v>
      </c>
      <c r="D59" s="313">
        <f t="shared" ref="D59:S59" si="5">SUBTOTAL(9,D53:D58)</f>
        <v>0</v>
      </c>
      <c r="E59" s="311">
        <f t="shared" si="5"/>
        <v>0</v>
      </c>
      <c r="F59" s="311">
        <f t="shared" si="5"/>
        <v>0</v>
      </c>
      <c r="G59" s="311">
        <f t="shared" si="5"/>
        <v>0</v>
      </c>
      <c r="H59" s="311">
        <f t="shared" si="5"/>
        <v>0</v>
      </c>
      <c r="I59" s="311">
        <f t="shared" si="5"/>
        <v>0</v>
      </c>
      <c r="J59" s="311">
        <f t="shared" si="5"/>
        <v>0</v>
      </c>
      <c r="K59" s="311">
        <f t="shared" si="5"/>
        <v>0</v>
      </c>
      <c r="L59" s="311">
        <f t="shared" ca="1" si="5"/>
        <v>0</v>
      </c>
      <c r="M59" s="513">
        <f t="shared" ca="1" si="5"/>
        <v>0</v>
      </c>
      <c r="N59" s="313">
        <f t="shared" ca="1" si="5"/>
        <v>0.20674615384615386</v>
      </c>
      <c r="O59" s="311">
        <f t="shared" ca="1" si="5"/>
        <v>0.21342314334174137</v>
      </c>
      <c r="P59" s="311">
        <f t="shared" ca="1" si="5"/>
        <v>0.22012346267459079</v>
      </c>
      <c r="Q59" s="311">
        <f t="shared" ca="1" si="5"/>
        <v>0.22724940894569148</v>
      </c>
      <c r="R59" s="311">
        <f t="shared" ca="1" si="5"/>
        <v>0.23477132771576162</v>
      </c>
      <c r="S59" s="311">
        <f t="shared" ca="1" si="5"/>
        <v>0.24231303761928411</v>
      </c>
    </row>
    <row r="60" spans="1:19">
      <c r="A60" s="5"/>
      <c r="B60" s="249"/>
      <c r="C60" s="12"/>
      <c r="D60" s="263"/>
      <c r="E60" s="263"/>
      <c r="F60" s="263"/>
      <c r="G60" s="263"/>
      <c r="H60" s="263"/>
      <c r="I60" s="263"/>
      <c r="J60" s="263"/>
      <c r="K60" s="263"/>
      <c r="L60" s="263"/>
      <c r="M60" s="836"/>
      <c r="N60" s="263"/>
      <c r="O60" s="263"/>
      <c r="P60" s="263"/>
      <c r="Q60" s="263"/>
      <c r="R60" s="263"/>
      <c r="S60" s="263"/>
    </row>
    <row r="61" spans="1:19">
      <c r="A61" s="5"/>
      <c r="B61" s="249" t="str">
        <f ca="1">+'I-4 History'!B61</f>
        <v>DA-7</v>
      </c>
      <c r="C61" s="14" t="str">
        <f ca="1">+'I-4 History'!C61</f>
        <v>Maintenance of Asset Information</v>
      </c>
      <c r="D61" s="11"/>
      <c r="E61" s="11"/>
      <c r="F61" s="11"/>
      <c r="G61" s="11"/>
      <c r="H61" s="11"/>
      <c r="I61" s="11"/>
      <c r="J61" s="11"/>
      <c r="K61" s="11"/>
      <c r="L61" s="11"/>
      <c r="M61" s="507"/>
      <c r="N61" s="11"/>
      <c r="O61" s="11"/>
      <c r="P61" s="11"/>
      <c r="Q61" s="11"/>
      <c r="R61" s="11"/>
      <c r="S61" s="11"/>
    </row>
    <row r="62" spans="1:19">
      <c r="A62" s="5"/>
      <c r="B62" s="249"/>
      <c r="C62" s="13" t="s">
        <v>68</v>
      </c>
      <c r="D62" s="312">
        <f>+'R1 Opex Detail'!D62</f>
        <v>0</v>
      </c>
      <c r="E62" s="310">
        <f>+'R1 Opex Detail'!E62</f>
        <v>0</v>
      </c>
      <c r="F62" s="310">
        <f>+'R1 Opex Detail'!F62</f>
        <v>0</v>
      </c>
      <c r="G62" s="310">
        <f>+'R1 Opex Detail'!G62</f>
        <v>0</v>
      </c>
      <c r="H62" s="310">
        <f>+'R1 Opex Detail'!H62</f>
        <v>0</v>
      </c>
      <c r="I62" s="310">
        <f>+'R1 Opex Detail'!I62</f>
        <v>0</v>
      </c>
      <c r="J62" s="310">
        <f>+'R1 Opex Detail'!J62</f>
        <v>0</v>
      </c>
      <c r="K62" s="310">
        <f>+'R1 Opex Detail'!K62</f>
        <v>0</v>
      </c>
      <c r="L62" s="310">
        <f ca="1">+'R1 Opex Detail'!L62</f>
        <v>0</v>
      </c>
      <c r="M62" s="835">
        <f ca="1">+'R1 Opex Detail'!M62*M$2</f>
        <v>0</v>
      </c>
      <c r="N62" s="312">
        <f ca="1">+'R1 Opex Detail'!N62*N$1</f>
        <v>2.1336203076923081</v>
      </c>
      <c r="O62" s="310">
        <f ca="1">+'R1 Opex Detail'!O62*O$1</f>
        <v>2.202526839286771</v>
      </c>
      <c r="P62" s="310">
        <f ca="1">+'R1 Opex Detail'!P62*P$1</f>
        <v>2.2716741348017773</v>
      </c>
      <c r="Q62" s="310">
        <f ca="1">+'R1 Opex Detail'!Q62*Q$1</f>
        <v>2.3452139003195365</v>
      </c>
      <c r="R62" s="310">
        <f ca="1">+'R1 Opex Detail'!R62*R$1</f>
        <v>2.4228401020266603</v>
      </c>
      <c r="S62" s="310">
        <f ca="1">+'R1 Opex Detail'!S62*S$1</f>
        <v>2.500670548231013</v>
      </c>
    </row>
    <row r="63" spans="1:19">
      <c r="A63" s="5"/>
      <c r="B63" s="249"/>
      <c r="C63" s="13" t="s">
        <v>69</v>
      </c>
      <c r="D63" s="312">
        <f>+'R1 Opex Detail'!D63</f>
        <v>0</v>
      </c>
      <c r="E63" s="310">
        <f>+'R1 Opex Detail'!E63</f>
        <v>0</v>
      </c>
      <c r="F63" s="310">
        <f>+'R1 Opex Detail'!F63</f>
        <v>0</v>
      </c>
      <c r="G63" s="310">
        <f>+'R1 Opex Detail'!G63</f>
        <v>0</v>
      </c>
      <c r="H63" s="310">
        <f>+'R1 Opex Detail'!H63</f>
        <v>0</v>
      </c>
      <c r="I63" s="310">
        <f>+'R1 Opex Detail'!I63</f>
        <v>0</v>
      </c>
      <c r="J63" s="310">
        <f>+'R1 Opex Detail'!J63</f>
        <v>0</v>
      </c>
      <c r="K63" s="310">
        <f>+'R1 Opex Detail'!K63</f>
        <v>0</v>
      </c>
      <c r="L63" s="310">
        <f ca="1">+'R1 Opex Detail'!L63</f>
        <v>0</v>
      </c>
      <c r="M63" s="835">
        <f ca="1">+'R1 Opex Detail'!M63*M$2</f>
        <v>0</v>
      </c>
      <c r="N63" s="312">
        <f ca="1">+'R1 Opex Detail'!N63*N$1</f>
        <v>6.2023846153846166E-3</v>
      </c>
      <c r="O63" s="310">
        <f ca="1">+'R1 Opex Detail'!O63*O$1</f>
        <v>6.2681916573980217E-3</v>
      </c>
      <c r="P63" s="310">
        <f ca="1">+'R1 Opex Detail'!P63*P$1</f>
        <v>6.3291675290624572E-3</v>
      </c>
      <c r="Q63" s="310">
        <f ca="1">+'R1 Opex Detail'!Q63*Q$1</f>
        <v>6.389441501112687E-3</v>
      </c>
      <c r="R63" s="310">
        <f ca="1">+'R1 Opex Detail'!R63*R$1</f>
        <v>6.4548339198521095E-3</v>
      </c>
      <c r="S63" s="310">
        <f ca="1">+'R1 Opex Detail'!S63*S$1</f>
        <v>6.5147338648163765E-3</v>
      </c>
    </row>
    <row r="64" spans="1:19" s="759" customFormat="1">
      <c r="A64" s="5"/>
      <c r="B64" s="249"/>
      <c r="C64" s="13" t="s">
        <v>646</v>
      </c>
      <c r="D64" s="312">
        <f>+'R1 Opex Detail'!D64</f>
        <v>0</v>
      </c>
      <c r="E64" s="310">
        <f>+'R1 Opex Detail'!E64</f>
        <v>0</v>
      </c>
      <c r="F64" s="310">
        <f>+'R1 Opex Detail'!F64</f>
        <v>0</v>
      </c>
      <c r="G64" s="310">
        <f>+'R1 Opex Detail'!G64</f>
        <v>0</v>
      </c>
      <c r="H64" s="310">
        <f>+'R1 Opex Detail'!H64</f>
        <v>0</v>
      </c>
      <c r="I64" s="310">
        <f>+'R1 Opex Detail'!I64</f>
        <v>0</v>
      </c>
      <c r="J64" s="310">
        <f>+'R1 Opex Detail'!J64</f>
        <v>0</v>
      </c>
      <c r="K64" s="310">
        <f>+'R1 Opex Detail'!K64</f>
        <v>0</v>
      </c>
      <c r="L64" s="310">
        <f ca="1">+'R1 Opex Detail'!L64</f>
        <v>0</v>
      </c>
      <c r="M64" s="835">
        <f ca="1">+'R1 Opex Detail'!M64*M$2</f>
        <v>0</v>
      </c>
      <c r="N64" s="312">
        <f ca="1">+'R1 Opex Detail'!N64*N$1</f>
        <v>0</v>
      </c>
      <c r="O64" s="310">
        <f ca="1">+'R1 Opex Detail'!O64*O$1</f>
        <v>0</v>
      </c>
      <c r="P64" s="310">
        <f ca="1">+'R1 Opex Detail'!P64*P$1</f>
        <v>0</v>
      </c>
      <c r="Q64" s="310">
        <f ca="1">+'R1 Opex Detail'!Q64*Q$1</f>
        <v>0</v>
      </c>
      <c r="R64" s="310">
        <f ca="1">+'R1 Opex Detail'!R64*R$1</f>
        <v>0</v>
      </c>
      <c r="S64" s="310">
        <f ca="1">+'R1 Opex Detail'!S64*S$1</f>
        <v>0</v>
      </c>
    </row>
    <row r="65" spans="1:19">
      <c r="A65" s="5"/>
      <c r="B65" s="249"/>
      <c r="C65" s="13" t="s">
        <v>647</v>
      </c>
      <c r="D65" s="312">
        <f>+'R1 Opex Detail'!D65</f>
        <v>0</v>
      </c>
      <c r="E65" s="310">
        <f>+'R1 Opex Detail'!E65</f>
        <v>0</v>
      </c>
      <c r="F65" s="310">
        <f>+'R1 Opex Detail'!F65</f>
        <v>0</v>
      </c>
      <c r="G65" s="310">
        <f>+'R1 Opex Detail'!G65</f>
        <v>0</v>
      </c>
      <c r="H65" s="310">
        <f>+'R1 Opex Detail'!H65</f>
        <v>0</v>
      </c>
      <c r="I65" s="310">
        <f>+'R1 Opex Detail'!I65</f>
        <v>0</v>
      </c>
      <c r="J65" s="310">
        <f>+'R1 Opex Detail'!J65</f>
        <v>0</v>
      </c>
      <c r="K65" s="310">
        <f>+'R1 Opex Detail'!K65</f>
        <v>0</v>
      </c>
      <c r="L65" s="310">
        <f ca="1">+'R1 Opex Detail'!L65</f>
        <v>0</v>
      </c>
      <c r="M65" s="835">
        <f ca="1">+'R1 Opex Detail'!M65*M$2</f>
        <v>0</v>
      </c>
      <c r="N65" s="312">
        <f ca="1">+'R1 Opex Detail'!N65*N$1</f>
        <v>0.13541873076923078</v>
      </c>
      <c r="O65" s="310">
        <f ca="1">+'R1 Opex Detail'!O65*O$1</f>
        <v>0.13753979544245609</v>
      </c>
      <c r="P65" s="310">
        <f ca="1">+'R1 Opex Detail'!P65*P$1</f>
        <v>0.13957214729898521</v>
      </c>
      <c r="Q65" s="310">
        <f ca="1">+'R1 Opex Detail'!Q65*Q$1</f>
        <v>0.14216943363450557</v>
      </c>
      <c r="R65" s="310">
        <f ca="1">+'R1 Opex Detail'!R65*R$1</f>
        <v>0.14513251640161035</v>
      </c>
      <c r="S65" s="310">
        <f ca="1">+'R1 Opex Detail'!S65*S$1</f>
        <v>0.148310317177474</v>
      </c>
    </row>
    <row r="66" spans="1:19" s="759" customFormat="1">
      <c r="A66" s="5"/>
      <c r="B66" s="249"/>
      <c r="C66" s="13" t="s">
        <v>575</v>
      </c>
      <c r="D66" s="312">
        <f>+'R1 Opex Detail'!D66</f>
        <v>0</v>
      </c>
      <c r="E66" s="310">
        <f>+'R1 Opex Detail'!E66</f>
        <v>0</v>
      </c>
      <c r="F66" s="310">
        <f>+'R1 Opex Detail'!F66</f>
        <v>0</v>
      </c>
      <c r="G66" s="310">
        <f>+'R1 Opex Detail'!G66</f>
        <v>0</v>
      </c>
      <c r="H66" s="310">
        <f>+'R1 Opex Detail'!H66</f>
        <v>0</v>
      </c>
      <c r="I66" s="310">
        <f>+'R1 Opex Detail'!I66</f>
        <v>0</v>
      </c>
      <c r="J66" s="310">
        <f>+'R1 Opex Detail'!J66</f>
        <v>0</v>
      </c>
      <c r="K66" s="310">
        <f>+'R1 Opex Detail'!K66</f>
        <v>0</v>
      </c>
      <c r="L66" s="310">
        <f ca="1">+'R1 Opex Detail'!L66</f>
        <v>0</v>
      </c>
      <c r="M66" s="835">
        <f ca="1">+'R1 Opex Detail'!M66*M$2</f>
        <v>0</v>
      </c>
      <c r="N66" s="312">
        <f ca="1">+'R1 Opex Detail'!N66*N$1</f>
        <v>0.14885723076923077</v>
      </c>
      <c r="O66" s="310">
        <f ca="1">+'R1 Opex Detail'!O66*O$1</f>
        <v>0.15366466320605379</v>
      </c>
      <c r="P66" s="310">
        <f ca="1">+'R1 Opex Detail'!P66*P$1</f>
        <v>0.15848889312570538</v>
      </c>
      <c r="Q66" s="310">
        <f ca="1">+'R1 Opex Detail'!Q66*Q$1</f>
        <v>0.16361957444089784</v>
      </c>
      <c r="R66" s="310">
        <f ca="1">+'R1 Opex Detail'!R66*R$1</f>
        <v>0.16903535595534835</v>
      </c>
      <c r="S66" s="310">
        <f ca="1">+'R1 Opex Detail'!S66*S$1</f>
        <v>0.17446538708588458</v>
      </c>
    </row>
    <row r="67" spans="1:19">
      <c r="A67" s="5"/>
      <c r="B67" s="249"/>
      <c r="C67" s="13" t="s">
        <v>70</v>
      </c>
      <c r="D67" s="312">
        <f>+'R1 Opex Detail'!D67</f>
        <v>0</v>
      </c>
      <c r="E67" s="310">
        <f>+'R1 Opex Detail'!E67</f>
        <v>0</v>
      </c>
      <c r="F67" s="310">
        <f>+'R1 Opex Detail'!F67</f>
        <v>0</v>
      </c>
      <c r="G67" s="310">
        <f>+'R1 Opex Detail'!G67</f>
        <v>0</v>
      </c>
      <c r="H67" s="310">
        <f>+'R1 Opex Detail'!H67</f>
        <v>0</v>
      </c>
      <c r="I67" s="310">
        <f>+'R1 Opex Detail'!I67</f>
        <v>0</v>
      </c>
      <c r="J67" s="310">
        <f>+'R1 Opex Detail'!J67</f>
        <v>0</v>
      </c>
      <c r="K67" s="310">
        <f>+'R1 Opex Detail'!K67</f>
        <v>0</v>
      </c>
      <c r="L67" s="310">
        <f ca="1">+'R1 Opex Detail'!L67</f>
        <v>0</v>
      </c>
      <c r="M67" s="835">
        <f ca="1">+'R1 Opex Detail'!M67*M$2</f>
        <v>0</v>
      </c>
      <c r="N67" s="312">
        <f ca="1">+'R1 Opex Detail'!N67*N$1</f>
        <v>0</v>
      </c>
      <c r="O67" s="310">
        <f ca="1">+'R1 Opex Detail'!O67*O$1</f>
        <v>0</v>
      </c>
      <c r="P67" s="310">
        <f ca="1">+'R1 Opex Detail'!P67*P$1</f>
        <v>0</v>
      </c>
      <c r="Q67" s="310">
        <f ca="1">+'R1 Opex Detail'!Q67*Q$1</f>
        <v>0</v>
      </c>
      <c r="R67" s="310">
        <f ca="1">+'R1 Opex Detail'!R67*R$1</f>
        <v>0</v>
      </c>
      <c r="S67" s="310">
        <f ca="1">+'R1 Opex Detail'!S67*S$1</f>
        <v>0</v>
      </c>
    </row>
    <row r="68" spans="1:19">
      <c r="A68" s="5"/>
      <c r="B68" s="249"/>
      <c r="C68" s="12" t="s">
        <v>75</v>
      </c>
      <c r="D68" s="313">
        <f t="shared" ref="D68:S68" si="6">SUBTOTAL(9,D62:D67)</f>
        <v>0</v>
      </c>
      <c r="E68" s="311">
        <f t="shared" si="6"/>
        <v>0</v>
      </c>
      <c r="F68" s="311">
        <f t="shared" si="6"/>
        <v>0</v>
      </c>
      <c r="G68" s="311">
        <f t="shared" si="6"/>
        <v>0</v>
      </c>
      <c r="H68" s="311">
        <f t="shared" si="6"/>
        <v>0</v>
      </c>
      <c r="I68" s="311">
        <f t="shared" si="6"/>
        <v>0</v>
      </c>
      <c r="J68" s="311">
        <f t="shared" si="6"/>
        <v>0</v>
      </c>
      <c r="K68" s="311">
        <f t="shared" si="6"/>
        <v>0</v>
      </c>
      <c r="L68" s="311">
        <f t="shared" ca="1" si="6"/>
        <v>0</v>
      </c>
      <c r="M68" s="513">
        <f t="shared" ca="1" si="6"/>
        <v>0</v>
      </c>
      <c r="N68" s="313">
        <f t="shared" ca="1" si="6"/>
        <v>2.4240986538461544</v>
      </c>
      <c r="O68" s="311">
        <f t="shared" ca="1" si="6"/>
        <v>2.4999994895926787</v>
      </c>
      <c r="P68" s="311">
        <f t="shared" ca="1" si="6"/>
        <v>2.5760643427555308</v>
      </c>
      <c r="Q68" s="311">
        <f t="shared" ca="1" si="6"/>
        <v>2.6573923498960523</v>
      </c>
      <c r="R68" s="311">
        <f t="shared" ca="1" si="6"/>
        <v>2.7434628083034709</v>
      </c>
      <c r="S68" s="311">
        <f t="shared" ca="1" si="6"/>
        <v>2.8299609863591879</v>
      </c>
    </row>
    <row r="69" spans="1:19">
      <c r="A69" s="5"/>
      <c r="B69" s="249"/>
      <c r="C69" s="12"/>
      <c r="D69" s="263"/>
      <c r="E69" s="263"/>
      <c r="F69" s="263"/>
      <c r="G69" s="263"/>
      <c r="H69" s="263"/>
      <c r="I69" s="263"/>
      <c r="J69" s="263"/>
      <c r="K69" s="263"/>
      <c r="L69" s="263"/>
      <c r="M69" s="836"/>
      <c r="N69" s="263"/>
      <c r="O69" s="263"/>
      <c r="P69" s="263"/>
      <c r="Q69" s="263"/>
      <c r="R69" s="263"/>
      <c r="S69" s="263"/>
    </row>
    <row r="70" spans="1:19">
      <c r="A70" s="5"/>
      <c r="B70" s="249" t="str">
        <f ca="1">+'I-4 History'!B70</f>
        <v>DA-8</v>
      </c>
      <c r="C70" s="14" t="str">
        <f ca="1">+'I-4 History'!C70</f>
        <v>Network Telephony</v>
      </c>
      <c r="D70" s="11"/>
      <c r="E70" s="11"/>
      <c r="F70" s="11"/>
      <c r="G70" s="11"/>
      <c r="H70" s="11"/>
      <c r="I70" s="11"/>
      <c r="J70" s="11"/>
      <c r="K70" s="11"/>
      <c r="L70" s="11"/>
      <c r="M70" s="507"/>
      <c r="N70" s="11"/>
      <c r="O70" s="11"/>
      <c r="P70" s="11"/>
      <c r="Q70" s="11"/>
      <c r="R70" s="11"/>
      <c r="S70" s="11"/>
    </row>
    <row r="71" spans="1:19">
      <c r="A71" s="5"/>
      <c r="B71" s="249"/>
      <c r="C71" s="13" t="s">
        <v>68</v>
      </c>
      <c r="D71" s="312">
        <f>+'R1 Opex Detail'!D71</f>
        <v>0</v>
      </c>
      <c r="E71" s="310">
        <f>+'R1 Opex Detail'!E71</f>
        <v>0</v>
      </c>
      <c r="F71" s="310">
        <f>+'R1 Opex Detail'!F71</f>
        <v>0</v>
      </c>
      <c r="G71" s="310">
        <f>+'R1 Opex Detail'!G71</f>
        <v>0</v>
      </c>
      <c r="H71" s="310">
        <f>+'R1 Opex Detail'!H71</f>
        <v>0</v>
      </c>
      <c r="I71" s="310">
        <f>+'R1 Opex Detail'!I71</f>
        <v>0</v>
      </c>
      <c r="J71" s="310">
        <f>+'R1 Opex Detail'!J71</f>
        <v>0</v>
      </c>
      <c r="K71" s="310">
        <f>+'R1 Opex Detail'!K71</f>
        <v>0</v>
      </c>
      <c r="L71" s="310">
        <f ca="1">+'R1 Opex Detail'!L71</f>
        <v>0</v>
      </c>
      <c r="M71" s="835">
        <f ca="1">+'R1 Opex Detail'!M71*M$2</f>
        <v>0</v>
      </c>
      <c r="N71" s="312">
        <f ca="1">+'R1 Opex Detail'!N71*N$1</f>
        <v>1.9268741538461545</v>
      </c>
      <c r="O71" s="310">
        <f ca="1">+'R1 Opex Detail'!O71*O$1</f>
        <v>2.1431295805604145</v>
      </c>
      <c r="P71" s="310">
        <f ca="1">+'R1 Opex Detail'!P71*P$1</f>
        <v>2.6004617105887253</v>
      </c>
      <c r="Q71" s="310">
        <f ca="1">+'R1 Opex Detail'!Q71*Q$1</f>
        <v>2.754742645219999</v>
      </c>
      <c r="R71" s="310">
        <f ca="1">+'R1 Opex Detail'!R71*R$1</f>
        <v>2.7163051973878223</v>
      </c>
      <c r="S71" s="310">
        <f ca="1">+'R1 Opex Detail'!S71*S$1</f>
        <v>2.8217407798424978</v>
      </c>
    </row>
    <row r="72" spans="1:19">
      <c r="A72" s="5"/>
      <c r="B72" s="249"/>
      <c r="C72" s="13" t="s">
        <v>69</v>
      </c>
      <c r="D72" s="312">
        <f>+'R1 Opex Detail'!D72</f>
        <v>0</v>
      </c>
      <c r="E72" s="310">
        <f>+'R1 Opex Detail'!E72</f>
        <v>0</v>
      </c>
      <c r="F72" s="310">
        <f>+'R1 Opex Detail'!F72</f>
        <v>0</v>
      </c>
      <c r="G72" s="310">
        <f>+'R1 Opex Detail'!G72</f>
        <v>0</v>
      </c>
      <c r="H72" s="310">
        <f>+'R1 Opex Detail'!H72</f>
        <v>0</v>
      </c>
      <c r="I72" s="310">
        <f>+'R1 Opex Detail'!I72</f>
        <v>0</v>
      </c>
      <c r="J72" s="310">
        <f>+'R1 Opex Detail'!J72</f>
        <v>0</v>
      </c>
      <c r="K72" s="310">
        <f>+'R1 Opex Detail'!K72</f>
        <v>0</v>
      </c>
      <c r="L72" s="310">
        <f ca="1">+'R1 Opex Detail'!L72</f>
        <v>0</v>
      </c>
      <c r="M72" s="835">
        <f ca="1">+'R1 Opex Detail'!M72*M$2</f>
        <v>0</v>
      </c>
      <c r="N72" s="312">
        <f ca="1">+'R1 Opex Detail'!N72*N$1</f>
        <v>0.11577784615384615</v>
      </c>
      <c r="O72" s="310">
        <f ca="1">+'R1 Opex Detail'!O72*O$1</f>
        <v>0.11700624427142972</v>
      </c>
      <c r="P72" s="310">
        <f ca="1">+'R1 Opex Detail'!P72*P$1</f>
        <v>0.14295399900403766</v>
      </c>
      <c r="Q72" s="310">
        <f ca="1">+'R1 Opex Detail'!Q72*Q$1</f>
        <v>0.14511284391820603</v>
      </c>
      <c r="R72" s="310">
        <f ca="1">+'R1 Opex Detail'!R72*R$1</f>
        <v>0.15770454086288041</v>
      </c>
      <c r="S72" s="310">
        <f ca="1">+'R1 Opex Detail'!S72*S$1</f>
        <v>0.15158655778426464</v>
      </c>
    </row>
    <row r="73" spans="1:19" s="759" customFormat="1">
      <c r="A73" s="5"/>
      <c r="B73" s="249"/>
      <c r="C73" s="13" t="s">
        <v>646</v>
      </c>
      <c r="D73" s="312">
        <f>+'R1 Opex Detail'!D73</f>
        <v>0</v>
      </c>
      <c r="E73" s="310">
        <f>+'R1 Opex Detail'!E73</f>
        <v>0</v>
      </c>
      <c r="F73" s="310">
        <f>+'R1 Opex Detail'!F73</f>
        <v>0</v>
      </c>
      <c r="G73" s="310">
        <f>+'R1 Opex Detail'!G73</f>
        <v>0</v>
      </c>
      <c r="H73" s="310">
        <f>+'R1 Opex Detail'!H73</f>
        <v>0</v>
      </c>
      <c r="I73" s="310">
        <f>+'R1 Opex Detail'!I73</f>
        <v>0</v>
      </c>
      <c r="J73" s="310">
        <f>+'R1 Opex Detail'!J73</f>
        <v>0</v>
      </c>
      <c r="K73" s="310">
        <f>+'R1 Opex Detail'!K73</f>
        <v>0</v>
      </c>
      <c r="L73" s="310">
        <f ca="1">+'R1 Opex Detail'!L73</f>
        <v>0</v>
      </c>
      <c r="M73" s="835">
        <f ca="1">+'R1 Opex Detail'!M73*M$2</f>
        <v>0</v>
      </c>
      <c r="N73" s="312">
        <f ca="1">+'R1 Opex Detail'!N73*N$1</f>
        <v>3.4888413461538463</v>
      </c>
      <c r="O73" s="310">
        <f ca="1">+'R1 Opex Detail'!O73*O$1</f>
        <v>3.5434870963228189</v>
      </c>
      <c r="P73" s="310">
        <f ca="1">+'R1 Opex Detail'!P73*P$1</f>
        <v>3.5958473063669851</v>
      </c>
      <c r="Q73" s="310">
        <f ca="1">+'R1 Opex Detail'!Q73*Q$1</f>
        <v>3.6627621260798193</v>
      </c>
      <c r="R73" s="310">
        <f ca="1">+'R1 Opex Detail'!R73*R$1</f>
        <v>3.7391010904995028</v>
      </c>
      <c r="S73" s="310">
        <f ca="1">+'R1 Opex Detail'!S73*S$1</f>
        <v>3.8209719120150738</v>
      </c>
    </row>
    <row r="74" spans="1:19">
      <c r="A74" s="5"/>
      <c r="B74" s="249"/>
      <c r="C74" s="13" t="s">
        <v>647</v>
      </c>
      <c r="D74" s="312">
        <f>+'R1 Opex Detail'!D74</f>
        <v>0</v>
      </c>
      <c r="E74" s="310">
        <f>+'R1 Opex Detail'!E74</f>
        <v>0</v>
      </c>
      <c r="F74" s="310">
        <f>+'R1 Opex Detail'!F74</f>
        <v>0</v>
      </c>
      <c r="G74" s="310">
        <f>+'R1 Opex Detail'!G74</f>
        <v>0</v>
      </c>
      <c r="H74" s="310">
        <f>+'R1 Opex Detail'!H74</f>
        <v>0</v>
      </c>
      <c r="I74" s="310">
        <f>+'R1 Opex Detail'!I74</f>
        <v>0</v>
      </c>
      <c r="J74" s="310">
        <f>+'R1 Opex Detail'!J74</f>
        <v>0</v>
      </c>
      <c r="K74" s="310">
        <f>+'R1 Opex Detail'!K74</f>
        <v>0</v>
      </c>
      <c r="L74" s="310">
        <f ca="1">+'R1 Opex Detail'!L74</f>
        <v>0</v>
      </c>
      <c r="M74" s="835">
        <f ca="1">+'R1 Opex Detail'!M74*M$2</f>
        <v>0</v>
      </c>
      <c r="N74" s="312">
        <f ca="1">+'R1 Opex Detail'!N74*N$1</f>
        <v>0.3793791923076924</v>
      </c>
      <c r="O74" s="310">
        <f ca="1">+'R1 Opex Detail'!O74*O$1</f>
        <v>0.40806348858247682</v>
      </c>
      <c r="P74" s="310">
        <f ca="1">+'R1 Opex Detail'!P74*P$1</f>
        <v>7.4152156766080202</v>
      </c>
      <c r="Q74" s="310">
        <f ca="1">+'R1 Opex Detail'!Q74*Q$1</f>
        <v>2.4264712359778198</v>
      </c>
      <c r="R74" s="310">
        <f ca="1">+'R1 Opex Detail'!R74*R$1</f>
        <v>2.5319430838238892</v>
      </c>
      <c r="S74" s="310">
        <f ca="1">+'R1 Opex Detail'!S74*S$1</f>
        <v>2.513968777600545</v>
      </c>
    </row>
    <row r="75" spans="1:19" s="759" customFormat="1">
      <c r="A75" s="5"/>
      <c r="B75" s="249"/>
      <c r="C75" s="13" t="s">
        <v>575</v>
      </c>
      <c r="D75" s="312">
        <f>+'R1 Opex Detail'!D75</f>
        <v>0</v>
      </c>
      <c r="E75" s="310">
        <f>+'R1 Opex Detail'!E75</f>
        <v>0</v>
      </c>
      <c r="F75" s="310">
        <f>+'R1 Opex Detail'!F75</f>
        <v>0</v>
      </c>
      <c r="G75" s="310">
        <f>+'R1 Opex Detail'!G75</f>
        <v>0</v>
      </c>
      <c r="H75" s="310">
        <f>+'R1 Opex Detail'!H75</f>
        <v>0</v>
      </c>
      <c r="I75" s="310">
        <f>+'R1 Opex Detail'!I75</f>
        <v>0</v>
      </c>
      <c r="J75" s="310">
        <f>+'R1 Opex Detail'!J75</f>
        <v>0</v>
      </c>
      <c r="K75" s="310">
        <f>+'R1 Opex Detail'!K75</f>
        <v>0</v>
      </c>
      <c r="L75" s="310">
        <f ca="1">+'R1 Opex Detail'!L75</f>
        <v>0</v>
      </c>
      <c r="M75" s="835">
        <f ca="1">+'R1 Opex Detail'!M75*M$2</f>
        <v>0</v>
      </c>
      <c r="N75" s="312">
        <f ca="1">+'R1 Opex Detail'!N75*N$1</f>
        <v>0.45690900000000007</v>
      </c>
      <c r="O75" s="310">
        <f ca="1">+'R1 Opex Detail'!O75*O$1</f>
        <v>0.4716651467852484</v>
      </c>
      <c r="P75" s="310">
        <f ca="1">+'R1 Opex Detail'!P75*P$1</f>
        <v>0.48647285251084565</v>
      </c>
      <c r="Q75" s="310">
        <f ca="1">+'R1 Opex Detail'!Q75*Q$1</f>
        <v>0.50222119376997809</v>
      </c>
      <c r="R75" s="310">
        <f ca="1">+'R1 Opex Detail'!R75*R$1</f>
        <v>0.51884463425183314</v>
      </c>
      <c r="S75" s="310">
        <f ca="1">+'R1 Opex Detail'!S75*S$1</f>
        <v>0.53551181313861795</v>
      </c>
    </row>
    <row r="76" spans="1:19">
      <c r="A76" s="5"/>
      <c r="B76" s="249"/>
      <c r="C76" s="13" t="s">
        <v>70</v>
      </c>
      <c r="D76" s="312">
        <f>+'R1 Opex Detail'!D76</f>
        <v>0</v>
      </c>
      <c r="E76" s="310">
        <f>+'R1 Opex Detail'!E76</f>
        <v>0</v>
      </c>
      <c r="F76" s="310">
        <f>+'R1 Opex Detail'!F76</f>
        <v>0</v>
      </c>
      <c r="G76" s="310">
        <f>+'R1 Opex Detail'!G76</f>
        <v>0</v>
      </c>
      <c r="H76" s="310">
        <f>+'R1 Opex Detail'!H76</f>
        <v>0</v>
      </c>
      <c r="I76" s="310">
        <f>+'R1 Opex Detail'!I76</f>
        <v>0</v>
      </c>
      <c r="J76" s="310">
        <f>+'R1 Opex Detail'!J76</f>
        <v>0</v>
      </c>
      <c r="K76" s="310">
        <f>+'R1 Opex Detail'!K76</f>
        <v>0</v>
      </c>
      <c r="L76" s="310">
        <f ca="1">+'R1 Opex Detail'!L76</f>
        <v>0</v>
      </c>
      <c r="M76" s="835">
        <f ca="1">+'R1 Opex Detail'!M76*M$2</f>
        <v>0</v>
      </c>
      <c r="N76" s="312">
        <f ca="1">+'R1 Opex Detail'!N76*N$1</f>
        <v>0</v>
      </c>
      <c r="O76" s="310">
        <f ca="1">+'R1 Opex Detail'!O76*O$1</f>
        <v>0</v>
      </c>
      <c r="P76" s="310">
        <f ca="1">+'R1 Opex Detail'!P76*P$1</f>
        <v>0</v>
      </c>
      <c r="Q76" s="310">
        <f ca="1">+'R1 Opex Detail'!Q76*Q$1</f>
        <v>0</v>
      </c>
      <c r="R76" s="310">
        <f ca="1">+'R1 Opex Detail'!R76*R$1</f>
        <v>0</v>
      </c>
      <c r="S76" s="310">
        <f ca="1">+'R1 Opex Detail'!S76*S$1</f>
        <v>0</v>
      </c>
    </row>
    <row r="77" spans="1:19">
      <c r="A77" s="5"/>
      <c r="B77" s="249"/>
      <c r="C77" s="12" t="s">
        <v>75</v>
      </c>
      <c r="D77" s="313">
        <f t="shared" ref="D77:S77" si="7">SUBTOTAL(9,D71:D76)</f>
        <v>0</v>
      </c>
      <c r="E77" s="311">
        <f t="shared" si="7"/>
        <v>0</v>
      </c>
      <c r="F77" s="311">
        <f t="shared" si="7"/>
        <v>0</v>
      </c>
      <c r="G77" s="311">
        <f t="shared" si="7"/>
        <v>0</v>
      </c>
      <c r="H77" s="311">
        <f t="shared" si="7"/>
        <v>0</v>
      </c>
      <c r="I77" s="311">
        <f t="shared" si="7"/>
        <v>0</v>
      </c>
      <c r="J77" s="311">
        <f t="shared" si="7"/>
        <v>0</v>
      </c>
      <c r="K77" s="311">
        <f t="shared" si="7"/>
        <v>0</v>
      </c>
      <c r="L77" s="311">
        <f t="shared" ca="1" si="7"/>
        <v>0</v>
      </c>
      <c r="M77" s="513">
        <f t="shared" ca="1" si="7"/>
        <v>0</v>
      </c>
      <c r="N77" s="313">
        <f t="shared" ca="1" si="7"/>
        <v>6.3677815384615402</v>
      </c>
      <c r="O77" s="311">
        <f t="shared" ca="1" si="7"/>
        <v>6.6833515565223882</v>
      </c>
      <c r="P77" s="311">
        <f t="shared" ca="1" si="7"/>
        <v>14.240951545078614</v>
      </c>
      <c r="Q77" s="311">
        <f t="shared" ca="1" si="7"/>
        <v>9.4913100449658234</v>
      </c>
      <c r="R77" s="311">
        <f t="shared" ca="1" si="7"/>
        <v>9.6638985468259282</v>
      </c>
      <c r="S77" s="311">
        <f t="shared" ca="1" si="7"/>
        <v>9.8437798403809982</v>
      </c>
    </row>
    <row r="78" spans="1:19">
      <c r="A78" s="5"/>
      <c r="B78" s="249"/>
      <c r="C78" s="12"/>
      <c r="D78" s="263"/>
      <c r="E78" s="263"/>
      <c r="F78" s="263"/>
      <c r="G78" s="263"/>
      <c r="H78" s="263"/>
      <c r="I78" s="263"/>
      <c r="J78" s="263"/>
      <c r="K78" s="263"/>
      <c r="L78" s="263"/>
      <c r="M78" s="836"/>
      <c r="N78" s="263"/>
      <c r="O78" s="263"/>
      <c r="P78" s="263"/>
      <c r="Q78" s="263"/>
      <c r="R78" s="263"/>
      <c r="S78" s="263"/>
    </row>
    <row r="79" spans="1:19">
      <c r="A79" s="5"/>
      <c r="B79" s="249" t="str">
        <f ca="1">+'I-4 History'!B79</f>
        <v>DA-9</v>
      </c>
      <c r="C79" s="14" t="str">
        <f ca="1">+'I-4 History'!C79</f>
        <v>Feed-in Tariffs</v>
      </c>
      <c r="D79" s="11"/>
      <c r="E79" s="11"/>
      <c r="F79" s="11"/>
      <c r="G79" s="11"/>
      <c r="H79" s="11"/>
      <c r="I79" s="11"/>
      <c r="J79" s="11"/>
      <c r="K79" s="11"/>
      <c r="L79" s="11"/>
      <c r="M79" s="507"/>
      <c r="N79" s="11"/>
      <c r="O79" s="11"/>
      <c r="P79" s="11"/>
      <c r="Q79" s="11"/>
      <c r="R79" s="11"/>
      <c r="S79" s="11"/>
    </row>
    <row r="80" spans="1:19">
      <c r="A80" s="5"/>
      <c r="B80" s="249"/>
      <c r="C80" s="13" t="s">
        <v>68</v>
      </c>
      <c r="D80" s="312">
        <f>+'R1 Opex Detail'!D80</f>
        <v>0</v>
      </c>
      <c r="E80" s="310">
        <f>+'R1 Opex Detail'!E80</f>
        <v>0</v>
      </c>
      <c r="F80" s="310">
        <f>+'R1 Opex Detail'!F80</f>
        <v>0</v>
      </c>
      <c r="G80" s="310">
        <f>+'R1 Opex Detail'!G80</f>
        <v>0</v>
      </c>
      <c r="H80" s="310">
        <f>+'R1 Opex Detail'!H80</f>
        <v>0</v>
      </c>
      <c r="I80" s="310">
        <f>+'R1 Opex Detail'!I80</f>
        <v>0</v>
      </c>
      <c r="J80" s="310">
        <f>+'R1 Opex Detail'!J80</f>
        <v>0</v>
      </c>
      <c r="K80" s="310">
        <f>+'R1 Opex Detail'!K80</f>
        <v>0</v>
      </c>
      <c r="L80" s="310">
        <f ca="1">+'R1 Opex Detail'!L80</f>
        <v>0</v>
      </c>
      <c r="M80" s="835">
        <f ca="1">+'R1 Opex Detail'!M80*M$2</f>
        <v>0</v>
      </c>
      <c r="N80" s="312">
        <f ca="1">+'R1 Opex Detail'!N80*N$1</f>
        <v>0</v>
      </c>
      <c r="O80" s="310">
        <f ca="1">+'R1 Opex Detail'!O80*O$1</f>
        <v>0</v>
      </c>
      <c r="P80" s="310">
        <f ca="1">+'R1 Opex Detail'!P80*P$1</f>
        <v>0</v>
      </c>
      <c r="Q80" s="310">
        <f ca="1">+'R1 Opex Detail'!Q80*Q$1</f>
        <v>0</v>
      </c>
      <c r="R80" s="310">
        <f ca="1">+'R1 Opex Detail'!R80*R$1</f>
        <v>0</v>
      </c>
      <c r="S80" s="310">
        <f ca="1">+'R1 Opex Detail'!S80*S$1</f>
        <v>0</v>
      </c>
    </row>
    <row r="81" spans="1:19">
      <c r="A81" s="5"/>
      <c r="B81" s="249"/>
      <c r="C81" s="13" t="s">
        <v>69</v>
      </c>
      <c r="D81" s="312">
        <f>+'R1 Opex Detail'!D81</f>
        <v>0</v>
      </c>
      <c r="E81" s="310">
        <f>+'R1 Opex Detail'!E81</f>
        <v>0</v>
      </c>
      <c r="F81" s="310">
        <f>+'R1 Opex Detail'!F81</f>
        <v>0</v>
      </c>
      <c r="G81" s="310">
        <f>+'R1 Opex Detail'!G81</f>
        <v>0</v>
      </c>
      <c r="H81" s="310">
        <f>+'R1 Opex Detail'!H81</f>
        <v>0</v>
      </c>
      <c r="I81" s="310">
        <f>+'R1 Opex Detail'!I81</f>
        <v>0</v>
      </c>
      <c r="J81" s="310">
        <f>+'R1 Opex Detail'!J81</f>
        <v>0</v>
      </c>
      <c r="K81" s="310">
        <f>+'R1 Opex Detail'!K81</f>
        <v>0</v>
      </c>
      <c r="L81" s="310">
        <f ca="1">+'R1 Opex Detail'!L81</f>
        <v>0</v>
      </c>
      <c r="M81" s="835">
        <f ca="1">+'R1 Opex Detail'!M81*M$2</f>
        <v>0</v>
      </c>
      <c r="N81" s="312">
        <f ca="1">+'R1 Opex Detail'!N81*N$1</f>
        <v>0</v>
      </c>
      <c r="O81" s="310">
        <f ca="1">+'R1 Opex Detail'!O81*O$1</f>
        <v>0</v>
      </c>
      <c r="P81" s="310">
        <f ca="1">+'R1 Opex Detail'!P81*P$1</f>
        <v>0</v>
      </c>
      <c r="Q81" s="310">
        <f ca="1">+'R1 Opex Detail'!Q81*Q$1</f>
        <v>0</v>
      </c>
      <c r="R81" s="310">
        <f ca="1">+'R1 Opex Detail'!R81*R$1</f>
        <v>0</v>
      </c>
      <c r="S81" s="310">
        <f ca="1">+'R1 Opex Detail'!S81*S$1</f>
        <v>0</v>
      </c>
    </row>
    <row r="82" spans="1:19" s="759" customFormat="1">
      <c r="A82" s="5"/>
      <c r="B82" s="249"/>
      <c r="C82" s="13" t="s">
        <v>646</v>
      </c>
      <c r="D82" s="312">
        <f>+'R1 Opex Detail'!D82</f>
        <v>0</v>
      </c>
      <c r="E82" s="310">
        <f>+'R1 Opex Detail'!E82</f>
        <v>0</v>
      </c>
      <c r="F82" s="310">
        <f>+'R1 Opex Detail'!F82</f>
        <v>0</v>
      </c>
      <c r="G82" s="310">
        <f>+'R1 Opex Detail'!G82</f>
        <v>0</v>
      </c>
      <c r="H82" s="310">
        <f>+'R1 Opex Detail'!H82</f>
        <v>0</v>
      </c>
      <c r="I82" s="310">
        <f>+'R1 Opex Detail'!I82</f>
        <v>0</v>
      </c>
      <c r="J82" s="310">
        <f>+'R1 Opex Detail'!J82</f>
        <v>0</v>
      </c>
      <c r="K82" s="310">
        <f>+'R1 Opex Detail'!K82</f>
        <v>0</v>
      </c>
      <c r="L82" s="310">
        <f ca="1">+'R1 Opex Detail'!L82</f>
        <v>0</v>
      </c>
      <c r="M82" s="835">
        <f ca="1">+'R1 Opex Detail'!M82*M$2</f>
        <v>0</v>
      </c>
      <c r="N82" s="312">
        <f ca="1">+'R1 Opex Detail'!N82*N$1</f>
        <v>0</v>
      </c>
      <c r="O82" s="310">
        <f ca="1">+'R1 Opex Detail'!O82*O$1</f>
        <v>0</v>
      </c>
      <c r="P82" s="310">
        <f ca="1">+'R1 Opex Detail'!P82*P$1</f>
        <v>0</v>
      </c>
      <c r="Q82" s="310">
        <f ca="1">+'R1 Opex Detail'!Q82*Q$1</f>
        <v>0</v>
      </c>
      <c r="R82" s="310">
        <f ca="1">+'R1 Opex Detail'!R82*R$1</f>
        <v>0</v>
      </c>
      <c r="S82" s="310">
        <f ca="1">+'R1 Opex Detail'!S82*S$1</f>
        <v>0</v>
      </c>
    </row>
    <row r="83" spans="1:19">
      <c r="A83" s="5"/>
      <c r="B83" s="249"/>
      <c r="C83" s="13" t="s">
        <v>647</v>
      </c>
      <c r="D83" s="312">
        <f>+'R1 Opex Detail'!D83</f>
        <v>0</v>
      </c>
      <c r="E83" s="310">
        <f>+'R1 Opex Detail'!E83</f>
        <v>0</v>
      </c>
      <c r="F83" s="310">
        <f>+'R1 Opex Detail'!F83</f>
        <v>0</v>
      </c>
      <c r="G83" s="310">
        <f>+'R1 Opex Detail'!G83</f>
        <v>0</v>
      </c>
      <c r="H83" s="310">
        <f>+'R1 Opex Detail'!H83</f>
        <v>0</v>
      </c>
      <c r="I83" s="310">
        <f>+'R1 Opex Detail'!I83</f>
        <v>0</v>
      </c>
      <c r="J83" s="310">
        <f>+'R1 Opex Detail'!J83</f>
        <v>0</v>
      </c>
      <c r="K83" s="310">
        <f>+'R1 Opex Detail'!K83</f>
        <v>0</v>
      </c>
      <c r="L83" s="310">
        <f ca="1">+'R1 Opex Detail'!L83</f>
        <v>0</v>
      </c>
      <c r="M83" s="835">
        <f ca="1">+'R1 Opex Detail'!M83*M$2</f>
        <v>0</v>
      </c>
      <c r="N83" s="312">
        <f ca="1">+'R1 Opex Detail'!N83*N$1</f>
        <v>0</v>
      </c>
      <c r="O83" s="310">
        <f ca="1">+'R1 Opex Detail'!O83*O$1</f>
        <v>0</v>
      </c>
      <c r="P83" s="310">
        <f ca="1">+'R1 Opex Detail'!P83*P$1</f>
        <v>0</v>
      </c>
      <c r="Q83" s="310">
        <f ca="1">+'R1 Opex Detail'!Q83*Q$1</f>
        <v>0</v>
      </c>
      <c r="R83" s="310">
        <f ca="1">+'R1 Opex Detail'!R83*R$1</f>
        <v>0</v>
      </c>
      <c r="S83" s="310">
        <f ca="1">+'R1 Opex Detail'!S83*S$1</f>
        <v>0</v>
      </c>
    </row>
    <row r="84" spans="1:19" s="759" customFormat="1">
      <c r="A84" s="5"/>
      <c r="B84" s="249"/>
      <c r="C84" s="13" t="s">
        <v>575</v>
      </c>
      <c r="D84" s="312">
        <f>+'R1 Opex Detail'!D84</f>
        <v>0</v>
      </c>
      <c r="E84" s="310">
        <f>+'R1 Opex Detail'!E84</f>
        <v>0</v>
      </c>
      <c r="F84" s="310">
        <f>+'R1 Opex Detail'!F84</f>
        <v>0</v>
      </c>
      <c r="G84" s="310">
        <f>+'R1 Opex Detail'!G84</f>
        <v>0</v>
      </c>
      <c r="H84" s="310">
        <f>+'R1 Opex Detail'!H84</f>
        <v>0</v>
      </c>
      <c r="I84" s="310">
        <f>+'R1 Opex Detail'!I84</f>
        <v>0</v>
      </c>
      <c r="J84" s="310">
        <f>+'R1 Opex Detail'!J84</f>
        <v>0</v>
      </c>
      <c r="K84" s="310">
        <f>+'R1 Opex Detail'!K84</f>
        <v>0</v>
      </c>
      <c r="L84" s="310">
        <f ca="1">+'R1 Opex Detail'!L84</f>
        <v>0</v>
      </c>
      <c r="M84" s="835">
        <f ca="1">+'R1 Opex Detail'!M84*M$2</f>
        <v>0</v>
      </c>
      <c r="N84" s="312">
        <f ca="1">+'R1 Opex Detail'!N84*N$1</f>
        <v>0</v>
      </c>
      <c r="O84" s="310">
        <f ca="1">+'R1 Opex Detail'!O84*O$1</f>
        <v>0</v>
      </c>
      <c r="P84" s="310">
        <f ca="1">+'R1 Opex Detail'!P84*P$1</f>
        <v>0</v>
      </c>
      <c r="Q84" s="310">
        <f ca="1">+'R1 Opex Detail'!Q84*Q$1</f>
        <v>0</v>
      </c>
      <c r="R84" s="310">
        <f ca="1">+'R1 Opex Detail'!R84*R$1</f>
        <v>0</v>
      </c>
      <c r="S84" s="310">
        <f ca="1">+'R1 Opex Detail'!S84*S$1</f>
        <v>0</v>
      </c>
    </row>
    <row r="85" spans="1:19">
      <c r="A85" s="5"/>
      <c r="B85" s="249"/>
      <c r="C85" s="13" t="s">
        <v>70</v>
      </c>
      <c r="D85" s="312">
        <f>+'R1 Opex Detail'!D85</f>
        <v>0</v>
      </c>
      <c r="E85" s="310">
        <f>+'R1 Opex Detail'!E85</f>
        <v>0</v>
      </c>
      <c r="F85" s="310">
        <f>+'R1 Opex Detail'!F85</f>
        <v>0</v>
      </c>
      <c r="G85" s="310">
        <f>+'R1 Opex Detail'!G85</f>
        <v>0</v>
      </c>
      <c r="H85" s="310">
        <f>+'R1 Opex Detail'!H85</f>
        <v>0</v>
      </c>
      <c r="I85" s="310">
        <f>+'R1 Opex Detail'!I85</f>
        <v>0</v>
      </c>
      <c r="J85" s="310">
        <f>+'R1 Opex Detail'!J85</f>
        <v>0</v>
      </c>
      <c r="K85" s="310">
        <f>+'R1 Opex Detail'!K85</f>
        <v>0</v>
      </c>
      <c r="L85" s="310">
        <f ca="1">+'R1 Opex Detail'!L85</f>
        <v>0</v>
      </c>
      <c r="M85" s="835">
        <f ca="1">+'R1 Opex Detail'!M85*M$2</f>
        <v>0</v>
      </c>
      <c r="N85" s="312">
        <f ca="1">+'R1 Opex Detail'!N85*N$1</f>
        <v>0</v>
      </c>
      <c r="O85" s="310">
        <f ca="1">+'R1 Opex Detail'!O85*O$1</f>
        <v>0</v>
      </c>
      <c r="P85" s="310">
        <f ca="1">+'R1 Opex Detail'!P85*P$1</f>
        <v>0</v>
      </c>
      <c r="Q85" s="310">
        <f ca="1">+'R1 Opex Detail'!Q85*Q$1</f>
        <v>0</v>
      </c>
      <c r="R85" s="310">
        <f ca="1">+'R1 Opex Detail'!R85*R$1</f>
        <v>0</v>
      </c>
      <c r="S85" s="310">
        <f ca="1">+'R1 Opex Detail'!S85*S$1</f>
        <v>0</v>
      </c>
    </row>
    <row r="86" spans="1:19">
      <c r="A86" s="5"/>
      <c r="B86" s="249"/>
      <c r="C86" s="12" t="s">
        <v>75</v>
      </c>
      <c r="D86" s="313">
        <f t="shared" ref="D86:S86" si="8">SUBTOTAL(9,D80:D85)</f>
        <v>0</v>
      </c>
      <c r="E86" s="311">
        <f t="shared" si="8"/>
        <v>0</v>
      </c>
      <c r="F86" s="311">
        <f t="shared" si="8"/>
        <v>0</v>
      </c>
      <c r="G86" s="311">
        <f t="shared" si="8"/>
        <v>0</v>
      </c>
      <c r="H86" s="311">
        <f t="shared" si="8"/>
        <v>0</v>
      </c>
      <c r="I86" s="311">
        <f t="shared" si="8"/>
        <v>0</v>
      </c>
      <c r="J86" s="311">
        <f t="shared" si="8"/>
        <v>0</v>
      </c>
      <c r="K86" s="311">
        <f t="shared" si="8"/>
        <v>0</v>
      </c>
      <c r="L86" s="311">
        <f t="shared" ca="1" si="8"/>
        <v>0</v>
      </c>
      <c r="M86" s="513">
        <f t="shared" ca="1" si="8"/>
        <v>0</v>
      </c>
      <c r="N86" s="313">
        <f t="shared" ca="1" si="8"/>
        <v>0</v>
      </c>
      <c r="O86" s="311">
        <f t="shared" ca="1" si="8"/>
        <v>0</v>
      </c>
      <c r="P86" s="311">
        <f t="shared" ca="1" si="8"/>
        <v>0</v>
      </c>
      <c r="Q86" s="311">
        <f t="shared" ca="1" si="8"/>
        <v>0</v>
      </c>
      <c r="R86" s="311">
        <f t="shared" ca="1" si="8"/>
        <v>0</v>
      </c>
      <c r="S86" s="311">
        <f t="shared" ca="1" si="8"/>
        <v>0</v>
      </c>
    </row>
    <row r="87" spans="1:19">
      <c r="A87" s="5"/>
      <c r="B87" s="249"/>
      <c r="C87" s="12"/>
      <c r="D87" s="263"/>
      <c r="E87" s="263"/>
      <c r="F87" s="263"/>
      <c r="G87" s="263"/>
      <c r="H87" s="263"/>
      <c r="I87" s="263"/>
      <c r="J87" s="263"/>
      <c r="K87" s="263"/>
      <c r="L87" s="263"/>
      <c r="M87" s="836"/>
      <c r="N87" s="263"/>
      <c r="O87" s="263"/>
      <c r="P87" s="263"/>
      <c r="Q87" s="263"/>
      <c r="R87" s="263"/>
      <c r="S87" s="263"/>
    </row>
    <row r="88" spans="1:19">
      <c r="A88" s="5"/>
      <c r="B88" s="249" t="str">
        <f ca="1">+'I-4 History'!B88</f>
        <v>DA-10</v>
      </c>
      <c r="C88" s="14" t="str">
        <f ca="1">+'I-4 History'!C88</f>
        <v>Regulatory Compliance</v>
      </c>
      <c r="D88" s="11"/>
      <c r="E88" s="11"/>
      <c r="F88" s="11"/>
      <c r="G88" s="11"/>
      <c r="H88" s="11"/>
      <c r="I88" s="11"/>
      <c r="J88" s="11"/>
      <c r="K88" s="11"/>
      <c r="L88" s="11"/>
      <c r="M88" s="507"/>
      <c r="N88" s="11"/>
      <c r="O88" s="11"/>
      <c r="P88" s="11"/>
      <c r="Q88" s="11"/>
      <c r="R88" s="11"/>
      <c r="S88" s="11"/>
    </row>
    <row r="89" spans="1:19">
      <c r="A89" s="5"/>
      <c r="B89" s="249"/>
      <c r="C89" s="13" t="s">
        <v>68</v>
      </c>
      <c r="D89" s="312">
        <f>+'R1 Opex Detail'!D89</f>
        <v>0</v>
      </c>
      <c r="E89" s="310">
        <f>+'R1 Opex Detail'!E89</f>
        <v>0</v>
      </c>
      <c r="F89" s="310">
        <f>+'R1 Opex Detail'!F89</f>
        <v>0</v>
      </c>
      <c r="G89" s="310">
        <f>+'R1 Opex Detail'!G89</f>
        <v>0</v>
      </c>
      <c r="H89" s="310">
        <f>+'R1 Opex Detail'!H89</f>
        <v>0</v>
      </c>
      <c r="I89" s="310">
        <f>+'R1 Opex Detail'!I89</f>
        <v>0</v>
      </c>
      <c r="J89" s="310">
        <f>+'R1 Opex Detail'!J89</f>
        <v>0</v>
      </c>
      <c r="K89" s="310">
        <f>+'R1 Opex Detail'!K89</f>
        <v>0</v>
      </c>
      <c r="L89" s="310">
        <f ca="1">+'R1 Opex Detail'!L89</f>
        <v>0</v>
      </c>
      <c r="M89" s="835">
        <f ca="1">+'R1 Opex Detail'!M89*M$2</f>
        <v>0</v>
      </c>
      <c r="N89" s="312">
        <f ca="1">+'R1 Opex Detail'!N89*N$1</f>
        <v>3.141507807692308</v>
      </c>
      <c r="O89" s="310">
        <f ca="1">+'R1 Opex Detail'!O89*O$1</f>
        <v>3.24296466307776</v>
      </c>
      <c r="P89" s="310">
        <f ca="1">+'R1 Opex Detail'!P89*P$1</f>
        <v>3.3447760153404076</v>
      </c>
      <c r="Q89" s="310">
        <f ca="1">+'R1 Opex Detail'!Q89*Q$1</f>
        <v>3.4530547689297824</v>
      </c>
      <c r="R89" s="310">
        <f ca="1">+'R1 Opex Detail'!R89*R$1</f>
        <v>3.5673503246409979</v>
      </c>
      <c r="S89" s="310">
        <f ca="1">+'R1 Opex Detail'!S89*S$1</f>
        <v>3.6819466066250226</v>
      </c>
    </row>
    <row r="90" spans="1:19">
      <c r="A90" s="5"/>
      <c r="B90" s="249"/>
      <c r="C90" s="13" t="s">
        <v>69</v>
      </c>
      <c r="D90" s="312">
        <f>+'R1 Opex Detail'!D90</f>
        <v>0</v>
      </c>
      <c r="E90" s="310">
        <f>+'R1 Opex Detail'!E90</f>
        <v>0</v>
      </c>
      <c r="F90" s="310">
        <f>+'R1 Opex Detail'!F90</f>
        <v>0</v>
      </c>
      <c r="G90" s="310">
        <f>+'R1 Opex Detail'!G90</f>
        <v>0</v>
      </c>
      <c r="H90" s="310">
        <f>+'R1 Opex Detail'!H90</f>
        <v>0</v>
      </c>
      <c r="I90" s="310">
        <f>+'R1 Opex Detail'!I90</f>
        <v>0</v>
      </c>
      <c r="J90" s="310">
        <f>+'R1 Opex Detail'!J90</f>
        <v>0</v>
      </c>
      <c r="K90" s="310">
        <f>+'R1 Opex Detail'!K90</f>
        <v>0</v>
      </c>
      <c r="L90" s="310">
        <f ca="1">+'R1 Opex Detail'!L90</f>
        <v>0</v>
      </c>
      <c r="M90" s="835">
        <f ca="1">+'R1 Opex Detail'!M90*M$2</f>
        <v>0</v>
      </c>
      <c r="N90" s="312">
        <f ca="1">+'R1 Opex Detail'!N90*N$1</f>
        <v>5.3754000000000003E-2</v>
      </c>
      <c r="O90" s="310">
        <f ca="1">+'R1 Opex Detail'!O90*O$1</f>
        <v>5.432432769744952E-2</v>
      </c>
      <c r="P90" s="310">
        <f ca="1">+'R1 Opex Detail'!P90*P$1</f>
        <v>5.4852785251874633E-2</v>
      </c>
      <c r="Q90" s="310">
        <f ca="1">+'R1 Opex Detail'!Q90*Q$1</f>
        <v>5.5375159676309946E-2</v>
      </c>
      <c r="R90" s="310">
        <f ca="1">+'R1 Opex Detail'!R90*R$1</f>
        <v>5.5941893972051612E-2</v>
      </c>
      <c r="S90" s="310">
        <f ca="1">+'R1 Opex Detail'!S90*S$1</f>
        <v>5.6461026828408589E-2</v>
      </c>
    </row>
    <row r="91" spans="1:19" s="759" customFormat="1">
      <c r="A91" s="5"/>
      <c r="B91" s="249"/>
      <c r="C91" s="13" t="s">
        <v>646</v>
      </c>
      <c r="D91" s="312">
        <f>+'R1 Opex Detail'!D91</f>
        <v>0</v>
      </c>
      <c r="E91" s="310">
        <f>+'R1 Opex Detail'!E91</f>
        <v>0</v>
      </c>
      <c r="F91" s="310">
        <f>+'R1 Opex Detail'!F91</f>
        <v>0</v>
      </c>
      <c r="G91" s="310">
        <f>+'R1 Opex Detail'!G91</f>
        <v>0</v>
      </c>
      <c r="H91" s="310">
        <f>+'R1 Opex Detail'!H91</f>
        <v>0</v>
      </c>
      <c r="I91" s="310">
        <f>+'R1 Opex Detail'!I91</f>
        <v>0</v>
      </c>
      <c r="J91" s="310">
        <f>+'R1 Opex Detail'!J91</f>
        <v>0</v>
      </c>
      <c r="K91" s="310">
        <f>+'R1 Opex Detail'!K91</f>
        <v>0</v>
      </c>
      <c r="L91" s="310">
        <f ca="1">+'R1 Opex Detail'!L91</f>
        <v>0</v>
      </c>
      <c r="M91" s="835">
        <f ca="1">+'R1 Opex Detail'!M91*M$2</f>
        <v>0</v>
      </c>
      <c r="N91" s="312">
        <f ca="1">+'R1 Opex Detail'!N91*N$1</f>
        <v>1.0337307692307694E-3</v>
      </c>
      <c r="O91" s="310">
        <f ca="1">+'R1 Opex Detail'!O91*O$1</f>
        <v>1.0499221026141685E-3</v>
      </c>
      <c r="P91" s="310">
        <f ca="1">+'R1 Opex Detail'!P91*P$1</f>
        <v>1.0654362389235514E-3</v>
      </c>
      <c r="Q91" s="310">
        <f ca="1">+'R1 Opex Detail'!Q91*Q$1</f>
        <v>1.0852628521717987E-3</v>
      </c>
      <c r="R91" s="310">
        <f ca="1">+'R1 Opex Detail'!R91*R$1</f>
        <v>1.1078818045924454E-3</v>
      </c>
      <c r="S91" s="310">
        <f ca="1">+'R1 Opex Detail'!S91*S$1</f>
        <v>1.1321398257822441E-3</v>
      </c>
    </row>
    <row r="92" spans="1:19">
      <c r="A92" s="5"/>
      <c r="B92" s="249"/>
      <c r="C92" s="13" t="s">
        <v>647</v>
      </c>
      <c r="D92" s="312">
        <f>+'R1 Opex Detail'!D92</f>
        <v>0</v>
      </c>
      <c r="E92" s="310">
        <f>+'R1 Opex Detail'!E92</f>
        <v>0</v>
      </c>
      <c r="F92" s="310">
        <f>+'R1 Opex Detail'!F92</f>
        <v>0</v>
      </c>
      <c r="G92" s="310">
        <f>+'R1 Opex Detail'!G92</f>
        <v>0</v>
      </c>
      <c r="H92" s="310">
        <f>+'R1 Opex Detail'!H92</f>
        <v>0</v>
      </c>
      <c r="I92" s="310">
        <f>+'R1 Opex Detail'!I92</f>
        <v>0</v>
      </c>
      <c r="J92" s="310">
        <f>+'R1 Opex Detail'!J92</f>
        <v>0</v>
      </c>
      <c r="K92" s="310">
        <f>+'R1 Opex Detail'!K92</f>
        <v>0</v>
      </c>
      <c r="L92" s="310">
        <f ca="1">+'R1 Opex Detail'!L92</f>
        <v>0</v>
      </c>
      <c r="M92" s="835">
        <f ca="1">+'R1 Opex Detail'!M92*M$2</f>
        <v>0</v>
      </c>
      <c r="N92" s="312">
        <f ca="1">+'R1 Opex Detail'!N92*N$1</f>
        <v>0.35560338461538471</v>
      </c>
      <c r="O92" s="310">
        <f ca="1">+'R1 Opex Detail'!O92*O$1</f>
        <v>0.36117320329927394</v>
      </c>
      <c r="P92" s="310">
        <f ca="1">+'R1 Opex Detail'!P92*P$1</f>
        <v>0.36651006618970167</v>
      </c>
      <c r="Q92" s="310">
        <f ca="1">+'R1 Opex Detail'!Q92*Q$1</f>
        <v>0.37333042114709869</v>
      </c>
      <c r="R92" s="310">
        <f ca="1">+'R1 Opex Detail'!R92*R$1</f>
        <v>0.38111134077980124</v>
      </c>
      <c r="S92" s="310">
        <f ca="1">+'R1 Opex Detail'!S92*S$1</f>
        <v>0.38945610006909204</v>
      </c>
    </row>
    <row r="93" spans="1:19" s="759" customFormat="1">
      <c r="A93" s="5"/>
      <c r="B93" s="249"/>
      <c r="C93" s="13" t="s">
        <v>575</v>
      </c>
      <c r="D93" s="312">
        <f>+'R1 Opex Detail'!D93</f>
        <v>0</v>
      </c>
      <c r="E93" s="310">
        <f>+'R1 Opex Detail'!E93</f>
        <v>0</v>
      </c>
      <c r="F93" s="310">
        <f>+'R1 Opex Detail'!F93</f>
        <v>0</v>
      </c>
      <c r="G93" s="310">
        <f>+'R1 Opex Detail'!G93</f>
        <v>0</v>
      </c>
      <c r="H93" s="310">
        <f>+'R1 Opex Detail'!H93</f>
        <v>0</v>
      </c>
      <c r="I93" s="310">
        <f>+'R1 Opex Detail'!I93</f>
        <v>0</v>
      </c>
      <c r="J93" s="310">
        <f>+'R1 Opex Detail'!J93</f>
        <v>0</v>
      </c>
      <c r="K93" s="310">
        <f>+'R1 Opex Detail'!K93</f>
        <v>0</v>
      </c>
      <c r="L93" s="310">
        <f ca="1">+'R1 Opex Detail'!L93</f>
        <v>0</v>
      </c>
      <c r="M93" s="835">
        <f ca="1">+'R1 Opex Detail'!M93*M$2</f>
        <v>0</v>
      </c>
      <c r="N93" s="312">
        <f ca="1">+'R1 Opex Detail'!N93*N$1</f>
        <v>0.24912911538461541</v>
      </c>
      <c r="O93" s="310">
        <f ca="1">+'R1 Opex Detail'!O93*O$1</f>
        <v>0.25717488772679831</v>
      </c>
      <c r="P93" s="310">
        <f ca="1">+'R1 Opex Detail'!P93*P$1</f>
        <v>0.26524877252288193</v>
      </c>
      <c r="Q93" s="310">
        <f ca="1">+'R1 Opex Detail'!Q93*Q$1</f>
        <v>0.27383553777955821</v>
      </c>
      <c r="R93" s="310">
        <f ca="1">+'R1 Opex Detail'!R93*R$1</f>
        <v>0.28289944989749277</v>
      </c>
      <c r="S93" s="310">
        <f ca="1">+'R1 Opex Detail'!S93*S$1</f>
        <v>0.29198721033123731</v>
      </c>
    </row>
    <row r="94" spans="1:19">
      <c r="A94" s="5"/>
      <c r="B94" s="249"/>
      <c r="C94" s="13" t="s">
        <v>70</v>
      </c>
      <c r="D94" s="312">
        <f>+'R1 Opex Detail'!D94</f>
        <v>0</v>
      </c>
      <c r="E94" s="310">
        <f>+'R1 Opex Detail'!E94</f>
        <v>0</v>
      </c>
      <c r="F94" s="310">
        <f>+'R1 Opex Detail'!F94</f>
        <v>0</v>
      </c>
      <c r="G94" s="310">
        <f>+'R1 Opex Detail'!G94</f>
        <v>0</v>
      </c>
      <c r="H94" s="310">
        <f>+'R1 Opex Detail'!H94</f>
        <v>0</v>
      </c>
      <c r="I94" s="310">
        <f>+'R1 Opex Detail'!I94</f>
        <v>0</v>
      </c>
      <c r="J94" s="310">
        <f>+'R1 Opex Detail'!J94</f>
        <v>0</v>
      </c>
      <c r="K94" s="310">
        <f>+'R1 Opex Detail'!K94</f>
        <v>0</v>
      </c>
      <c r="L94" s="310">
        <f ca="1">+'R1 Opex Detail'!L94</f>
        <v>0</v>
      </c>
      <c r="M94" s="835">
        <f ca="1">+'R1 Opex Detail'!M94*M$2</f>
        <v>0</v>
      </c>
      <c r="N94" s="312">
        <f ca="1">+'R1 Opex Detail'!N94*N$1</f>
        <v>0</v>
      </c>
      <c r="O94" s="310">
        <f ca="1">+'R1 Opex Detail'!O94*O$1</f>
        <v>0</v>
      </c>
      <c r="P94" s="310">
        <f ca="1">+'R1 Opex Detail'!P94*P$1</f>
        <v>0</v>
      </c>
      <c r="Q94" s="310">
        <f ca="1">+'R1 Opex Detail'!Q94*Q$1</f>
        <v>0</v>
      </c>
      <c r="R94" s="310">
        <f ca="1">+'R1 Opex Detail'!R94*R$1</f>
        <v>0</v>
      </c>
      <c r="S94" s="310">
        <f ca="1">+'R1 Opex Detail'!S94*S$1</f>
        <v>0</v>
      </c>
    </row>
    <row r="95" spans="1:19">
      <c r="A95" s="5"/>
      <c r="B95" s="249"/>
      <c r="C95" s="12" t="s">
        <v>75</v>
      </c>
      <c r="D95" s="313">
        <f t="shared" ref="D95:S95" si="9">SUBTOTAL(9,D89:D94)</f>
        <v>0</v>
      </c>
      <c r="E95" s="311">
        <f t="shared" si="9"/>
        <v>0</v>
      </c>
      <c r="F95" s="311">
        <f t="shared" si="9"/>
        <v>0</v>
      </c>
      <c r="G95" s="311">
        <f t="shared" si="9"/>
        <v>0</v>
      </c>
      <c r="H95" s="311">
        <f t="shared" si="9"/>
        <v>0</v>
      </c>
      <c r="I95" s="311">
        <f t="shared" si="9"/>
        <v>0</v>
      </c>
      <c r="J95" s="311">
        <f t="shared" si="9"/>
        <v>0</v>
      </c>
      <c r="K95" s="311">
        <f t="shared" si="9"/>
        <v>0</v>
      </c>
      <c r="L95" s="311">
        <f t="shared" ca="1" si="9"/>
        <v>0</v>
      </c>
      <c r="M95" s="513">
        <f t="shared" ca="1" si="9"/>
        <v>0</v>
      </c>
      <c r="N95" s="313">
        <f t="shared" ca="1" si="9"/>
        <v>3.8010280384615394</v>
      </c>
      <c r="O95" s="311">
        <f t="shared" ca="1" si="9"/>
        <v>3.9166870039038959</v>
      </c>
      <c r="P95" s="311">
        <f t="shared" ca="1" si="9"/>
        <v>4.0324530755437893</v>
      </c>
      <c r="Q95" s="311">
        <f t="shared" ca="1" si="9"/>
        <v>4.1566811503849213</v>
      </c>
      <c r="R95" s="311">
        <f t="shared" ca="1" si="9"/>
        <v>4.2884108910949363</v>
      </c>
      <c r="S95" s="311">
        <f t="shared" ca="1" si="9"/>
        <v>4.420983083679543</v>
      </c>
    </row>
    <row r="96" spans="1:19">
      <c r="A96" s="5"/>
      <c r="B96" s="249"/>
      <c r="C96" s="12"/>
      <c r="D96" s="264"/>
      <c r="E96" s="264"/>
      <c r="F96" s="264"/>
      <c r="G96" s="264"/>
      <c r="H96" s="264"/>
      <c r="I96" s="264"/>
      <c r="J96" s="264"/>
      <c r="K96" s="264"/>
      <c r="L96" s="264"/>
      <c r="M96" s="837"/>
      <c r="N96" s="264"/>
      <c r="O96" s="264"/>
      <c r="P96" s="264"/>
      <c r="Q96" s="264"/>
      <c r="R96" s="264"/>
      <c r="S96" s="264"/>
    </row>
    <row r="97" spans="1:19" ht="13.5" thickBot="1">
      <c r="A97" s="5"/>
      <c r="B97" s="250"/>
      <c r="C97" s="269" t="s">
        <v>270</v>
      </c>
      <c r="D97" s="267">
        <f t="shared" ref="D97:S97" si="10">SUBTOTAL(9,D7:D95)</f>
        <v>0</v>
      </c>
      <c r="E97" s="267">
        <f t="shared" si="10"/>
        <v>0</v>
      </c>
      <c r="F97" s="267">
        <f t="shared" si="10"/>
        <v>0</v>
      </c>
      <c r="G97" s="267">
        <f t="shared" si="10"/>
        <v>0</v>
      </c>
      <c r="H97" s="267">
        <f t="shared" si="10"/>
        <v>0</v>
      </c>
      <c r="I97" s="267">
        <f t="shared" si="10"/>
        <v>0</v>
      </c>
      <c r="J97" s="267">
        <f t="shared" si="10"/>
        <v>0</v>
      </c>
      <c r="K97" s="267">
        <f t="shared" si="10"/>
        <v>0</v>
      </c>
      <c r="L97" s="267">
        <f t="shared" ca="1" si="10"/>
        <v>0</v>
      </c>
      <c r="M97" s="838">
        <f t="shared" ca="1" si="10"/>
        <v>0</v>
      </c>
      <c r="N97" s="267">
        <f t="shared" ca="1" si="10"/>
        <v>31.550371769230782</v>
      </c>
      <c r="O97" s="267">
        <f t="shared" ca="1" si="10"/>
        <v>31.998539817534308</v>
      </c>
      <c r="P97" s="267">
        <f t="shared" ca="1" si="10"/>
        <v>39.962935245135363</v>
      </c>
      <c r="Q97" s="267">
        <f t="shared" ca="1" si="10"/>
        <v>35.964966388938805</v>
      </c>
      <c r="R97" s="267">
        <f t="shared" ca="1" si="10"/>
        <v>36.935054871458298</v>
      </c>
      <c r="S97" s="267">
        <f t="shared" ca="1" si="10"/>
        <v>37.914259713184876</v>
      </c>
    </row>
    <row r="98" spans="1:19" ht="18">
      <c r="A98" s="5"/>
      <c r="B98" s="252"/>
      <c r="C98" s="248" t="s">
        <v>168</v>
      </c>
      <c r="D98" s="265"/>
      <c r="E98" s="265"/>
      <c r="F98" s="265"/>
      <c r="G98" s="265"/>
      <c r="H98" s="265"/>
      <c r="I98" s="265"/>
      <c r="J98" s="265"/>
      <c r="K98" s="265"/>
      <c r="L98" s="265"/>
      <c r="M98" s="839"/>
      <c r="N98" s="265"/>
      <c r="O98" s="265"/>
      <c r="P98" s="265"/>
      <c r="Q98" s="265"/>
      <c r="R98" s="265"/>
      <c r="S98" s="265"/>
    </row>
    <row r="99" spans="1:19">
      <c r="A99" s="5"/>
      <c r="B99" s="249" t="str">
        <f ca="1">+'I-4 History'!B97</f>
        <v>DA-11</v>
      </c>
      <c r="C99" s="14" t="str">
        <f ca="1">+'I-4 History'!C97</f>
        <v>Outage Management System</v>
      </c>
      <c r="D99" s="11"/>
      <c r="E99" s="11"/>
      <c r="F99" s="11"/>
      <c r="G99" s="11"/>
      <c r="H99" s="11"/>
      <c r="I99" s="11"/>
      <c r="J99" s="11"/>
      <c r="K99" s="11"/>
      <c r="L99" s="11"/>
      <c r="M99" s="507"/>
      <c r="N99" s="11"/>
      <c r="O99" s="11"/>
      <c r="P99" s="11"/>
      <c r="Q99" s="11"/>
      <c r="R99" s="11"/>
      <c r="S99" s="11"/>
    </row>
    <row r="100" spans="1:19">
      <c r="A100" s="5"/>
      <c r="B100" s="249"/>
      <c r="C100" s="13" t="s">
        <v>68</v>
      </c>
      <c r="D100" s="312">
        <f>+'R1 Opex Detail'!D100</f>
        <v>0</v>
      </c>
      <c r="E100" s="310">
        <f>+'R1 Opex Detail'!E100</f>
        <v>0</v>
      </c>
      <c r="F100" s="310">
        <f>+'R1 Opex Detail'!F100</f>
        <v>0</v>
      </c>
      <c r="G100" s="310">
        <f>+'R1 Opex Detail'!G100</f>
        <v>0</v>
      </c>
      <c r="H100" s="310">
        <f>+'R1 Opex Detail'!H100</f>
        <v>0</v>
      </c>
      <c r="I100" s="310">
        <f>+'R1 Opex Detail'!I100</f>
        <v>0</v>
      </c>
      <c r="J100" s="310">
        <f>+'R1 Opex Detail'!J100</f>
        <v>0</v>
      </c>
      <c r="K100" s="310">
        <f>+'R1 Opex Detail'!K100</f>
        <v>0</v>
      </c>
      <c r="L100" s="310">
        <f ca="1">+'R1 Opex Detail'!L100</f>
        <v>0</v>
      </c>
      <c r="M100" s="835">
        <f ca="1">+'R1 Opex Detail'!M100*M$2</f>
        <v>0</v>
      </c>
      <c r="N100" s="312">
        <f ca="1">+'R1 Opex Detail'!N100*N$1</f>
        <v>0.30495057692307692</v>
      </c>
      <c r="O100" s="310">
        <f ca="1">+'R1 Opex Detail'!O100*O$1</f>
        <v>0.31479913642906854</v>
      </c>
      <c r="P100" s="310">
        <f ca="1">+'R1 Opex Detail'!P100*P$1</f>
        <v>0.32468210744502135</v>
      </c>
      <c r="Q100" s="310">
        <f ca="1">+'R1 Opex Detail'!Q100*Q$1</f>
        <v>0.33519287819489491</v>
      </c>
      <c r="R100" s="310">
        <f ca="1">+'R1 Opex Detail'!R100*R$1</f>
        <v>0.3462877083807484</v>
      </c>
      <c r="S100" s="310">
        <f ca="1">+'R1 Opex Detail'!S100*S$1</f>
        <v>0.35741173048844405</v>
      </c>
    </row>
    <row r="101" spans="1:19">
      <c r="B101" s="249"/>
      <c r="C101" s="13" t="s">
        <v>69</v>
      </c>
      <c r="D101" s="312">
        <f>+'R1 Opex Detail'!D101</f>
        <v>0</v>
      </c>
      <c r="E101" s="310">
        <f>+'R1 Opex Detail'!E101</f>
        <v>0</v>
      </c>
      <c r="F101" s="310">
        <f>+'R1 Opex Detail'!F101</f>
        <v>0</v>
      </c>
      <c r="G101" s="310">
        <f>+'R1 Opex Detail'!G101</f>
        <v>0</v>
      </c>
      <c r="H101" s="310">
        <f>+'R1 Opex Detail'!H101</f>
        <v>0</v>
      </c>
      <c r="I101" s="310">
        <f>+'R1 Opex Detail'!I101</f>
        <v>0</v>
      </c>
      <c r="J101" s="310">
        <f>+'R1 Opex Detail'!J101</f>
        <v>0</v>
      </c>
      <c r="K101" s="310">
        <f>+'R1 Opex Detail'!K101</f>
        <v>0</v>
      </c>
      <c r="L101" s="310">
        <f ca="1">+'R1 Opex Detail'!L101</f>
        <v>0</v>
      </c>
      <c r="M101" s="835">
        <f ca="1">+'R1 Opex Detail'!M101*M$2</f>
        <v>0</v>
      </c>
      <c r="N101" s="312">
        <f ca="1">+'R1 Opex Detail'!N101*N$1</f>
        <v>0</v>
      </c>
      <c r="O101" s="310">
        <f ca="1">+'R1 Opex Detail'!O101*O$1</f>
        <v>0</v>
      </c>
      <c r="P101" s="310">
        <f ca="1">+'R1 Opex Detail'!P101*P$1</f>
        <v>0</v>
      </c>
      <c r="Q101" s="310">
        <f ca="1">+'R1 Opex Detail'!Q101*Q$1</f>
        <v>0</v>
      </c>
      <c r="R101" s="310">
        <f ca="1">+'R1 Opex Detail'!R101*R$1</f>
        <v>0</v>
      </c>
      <c r="S101" s="310">
        <f ca="1">+'R1 Opex Detail'!S101*S$1</f>
        <v>0</v>
      </c>
    </row>
    <row r="102" spans="1:19" s="759" customFormat="1">
      <c r="B102" s="249"/>
      <c r="C102" s="13" t="s">
        <v>646</v>
      </c>
      <c r="D102" s="312">
        <f>+'R1 Opex Detail'!D102</f>
        <v>0</v>
      </c>
      <c r="E102" s="310">
        <f>+'R1 Opex Detail'!E102</f>
        <v>0</v>
      </c>
      <c r="F102" s="310">
        <f>+'R1 Opex Detail'!F102</f>
        <v>0</v>
      </c>
      <c r="G102" s="310">
        <f>+'R1 Opex Detail'!G102</f>
        <v>0</v>
      </c>
      <c r="H102" s="310">
        <f>+'R1 Opex Detail'!H102</f>
        <v>0</v>
      </c>
      <c r="I102" s="310">
        <f>+'R1 Opex Detail'!I102</f>
        <v>0</v>
      </c>
      <c r="J102" s="310">
        <f>+'R1 Opex Detail'!J102</f>
        <v>0</v>
      </c>
      <c r="K102" s="310">
        <f>+'R1 Opex Detail'!K102</f>
        <v>0</v>
      </c>
      <c r="L102" s="310">
        <f ca="1">+'R1 Opex Detail'!L102</f>
        <v>0</v>
      </c>
      <c r="M102" s="835">
        <f ca="1">+'R1 Opex Detail'!M102*M$2</f>
        <v>0</v>
      </c>
      <c r="N102" s="312">
        <f ca="1">+'R1 Opex Detail'!N102*N$1</f>
        <v>0</v>
      </c>
      <c r="O102" s="310">
        <f ca="1">+'R1 Opex Detail'!O102*O$1</f>
        <v>0</v>
      </c>
      <c r="P102" s="310">
        <f ca="1">+'R1 Opex Detail'!P102*P$1</f>
        <v>0</v>
      </c>
      <c r="Q102" s="310">
        <f ca="1">+'R1 Opex Detail'!Q102*Q$1</f>
        <v>0</v>
      </c>
      <c r="R102" s="310">
        <f ca="1">+'R1 Opex Detail'!R102*R$1</f>
        <v>0</v>
      </c>
      <c r="S102" s="310">
        <f ca="1">+'R1 Opex Detail'!S102*S$1</f>
        <v>0</v>
      </c>
    </row>
    <row r="103" spans="1:19">
      <c r="B103" s="249"/>
      <c r="C103" s="13" t="s">
        <v>647</v>
      </c>
      <c r="D103" s="312">
        <f>+'R1 Opex Detail'!D103</f>
        <v>0</v>
      </c>
      <c r="E103" s="310">
        <f>+'R1 Opex Detail'!E103</f>
        <v>0</v>
      </c>
      <c r="F103" s="310">
        <f>+'R1 Opex Detail'!F103</f>
        <v>0</v>
      </c>
      <c r="G103" s="310">
        <f>+'R1 Opex Detail'!G103</f>
        <v>0</v>
      </c>
      <c r="H103" s="310">
        <f>+'R1 Opex Detail'!H103</f>
        <v>0</v>
      </c>
      <c r="I103" s="310">
        <f>+'R1 Opex Detail'!I103</f>
        <v>0</v>
      </c>
      <c r="J103" s="310">
        <f>+'R1 Opex Detail'!J103</f>
        <v>0</v>
      </c>
      <c r="K103" s="310">
        <f>+'R1 Opex Detail'!K103</f>
        <v>0</v>
      </c>
      <c r="L103" s="310">
        <f ca="1">+'R1 Opex Detail'!L103</f>
        <v>0</v>
      </c>
      <c r="M103" s="835">
        <f ca="1">+'R1 Opex Detail'!M103*M$2</f>
        <v>0</v>
      </c>
      <c r="N103" s="312">
        <f ca="1">+'R1 Opex Detail'!N103*N$1</f>
        <v>0.72154407692307698</v>
      </c>
      <c r="O103" s="310">
        <f ca="1">+'R1 Opex Detail'!O103*O$1</f>
        <v>0.73284562762468963</v>
      </c>
      <c r="P103" s="310">
        <f ca="1">+'R1 Opex Detail'!P103*P$1</f>
        <v>0.74367449476863867</v>
      </c>
      <c r="Q103" s="310">
        <f ca="1">+'R1 Opex Detail'!Q103*Q$1</f>
        <v>0.75751347081591525</v>
      </c>
      <c r="R103" s="310">
        <f ca="1">+'R1 Opex Detail'!R103*R$1</f>
        <v>0.77330149960552674</v>
      </c>
      <c r="S103" s="310">
        <f ca="1">+'R1 Opex Detail'!S103*S$1</f>
        <v>0.79023359839600626</v>
      </c>
    </row>
    <row r="104" spans="1:19" s="759" customFormat="1">
      <c r="B104" s="249"/>
      <c r="C104" s="13" t="s">
        <v>575</v>
      </c>
      <c r="D104" s="312">
        <f>+'R1 Opex Detail'!D104</f>
        <v>0</v>
      </c>
      <c r="E104" s="310">
        <f>+'R1 Opex Detail'!E104</f>
        <v>0</v>
      </c>
      <c r="F104" s="310">
        <f>+'R1 Opex Detail'!F104</f>
        <v>0</v>
      </c>
      <c r="G104" s="310">
        <f>+'R1 Opex Detail'!G104</f>
        <v>0</v>
      </c>
      <c r="H104" s="310">
        <f>+'R1 Opex Detail'!H104</f>
        <v>0</v>
      </c>
      <c r="I104" s="310">
        <f>+'R1 Opex Detail'!I104</f>
        <v>0</v>
      </c>
      <c r="J104" s="310">
        <f>+'R1 Opex Detail'!J104</f>
        <v>0</v>
      </c>
      <c r="K104" s="310">
        <f>+'R1 Opex Detail'!K104</f>
        <v>0</v>
      </c>
      <c r="L104" s="310">
        <f ca="1">+'R1 Opex Detail'!L104</f>
        <v>0</v>
      </c>
      <c r="M104" s="835">
        <f ca="1">+'R1 Opex Detail'!M104*M$2</f>
        <v>0</v>
      </c>
      <c r="N104" s="312">
        <f ca="1">+'R1 Opex Detail'!N104*N$1</f>
        <v>3.4113115384615388E-2</v>
      </c>
      <c r="O104" s="310">
        <f ca="1">+'R1 Opex Detail'!O104*O$1</f>
        <v>3.5214818651387328E-2</v>
      </c>
      <c r="P104" s="310">
        <f ca="1">+'R1 Opex Detail'!P104*P$1</f>
        <v>3.6320371341307486E-2</v>
      </c>
      <c r="Q104" s="310">
        <f ca="1">+'R1 Opex Detail'!Q104*Q$1</f>
        <v>3.7496152476039102E-2</v>
      </c>
      <c r="R104" s="310">
        <f ca="1">+'R1 Opex Detail'!R104*R$1</f>
        <v>3.8737269073100669E-2</v>
      </c>
      <c r="S104" s="310">
        <f ca="1">+'R1 Opex Detail'!S104*S$1</f>
        <v>3.9981651207181883E-2</v>
      </c>
    </row>
    <row r="105" spans="1:19">
      <c r="B105" s="249"/>
      <c r="C105" s="13" t="s">
        <v>70</v>
      </c>
      <c r="D105" s="312">
        <f>+'R1 Opex Detail'!D105</f>
        <v>0</v>
      </c>
      <c r="E105" s="310">
        <f>+'R1 Opex Detail'!E105</f>
        <v>0</v>
      </c>
      <c r="F105" s="310">
        <f>+'R1 Opex Detail'!F105</f>
        <v>0</v>
      </c>
      <c r="G105" s="310">
        <f>+'R1 Opex Detail'!G105</f>
        <v>0</v>
      </c>
      <c r="H105" s="310">
        <f>+'R1 Opex Detail'!H105</f>
        <v>0</v>
      </c>
      <c r="I105" s="310">
        <f>+'R1 Opex Detail'!I105</f>
        <v>0</v>
      </c>
      <c r="J105" s="310">
        <f>+'R1 Opex Detail'!J105</f>
        <v>0</v>
      </c>
      <c r="K105" s="310">
        <f>+'R1 Opex Detail'!K105</f>
        <v>0</v>
      </c>
      <c r="L105" s="310">
        <f ca="1">+'R1 Opex Detail'!L105</f>
        <v>0</v>
      </c>
      <c r="M105" s="835">
        <f ca="1">+'R1 Opex Detail'!M105*M$2</f>
        <v>0</v>
      </c>
      <c r="N105" s="312">
        <f ca="1">+'R1 Opex Detail'!N105*N$1</f>
        <v>0</v>
      </c>
      <c r="O105" s="310">
        <f ca="1">+'R1 Opex Detail'!O105*O$1</f>
        <v>0</v>
      </c>
      <c r="P105" s="310">
        <f ca="1">+'R1 Opex Detail'!P105*P$1</f>
        <v>0</v>
      </c>
      <c r="Q105" s="310">
        <f ca="1">+'R1 Opex Detail'!Q105*Q$1</f>
        <v>0</v>
      </c>
      <c r="R105" s="310">
        <f ca="1">+'R1 Opex Detail'!R105*R$1</f>
        <v>0</v>
      </c>
      <c r="S105" s="310">
        <f ca="1">+'R1 Opex Detail'!S105*S$1</f>
        <v>0</v>
      </c>
    </row>
    <row r="106" spans="1:19">
      <c r="B106" s="249"/>
      <c r="C106" s="12" t="s">
        <v>75</v>
      </c>
      <c r="D106" s="313">
        <f t="shared" ref="D106:S106" si="11">SUBTOTAL(9,D100:D105)</f>
        <v>0</v>
      </c>
      <c r="E106" s="311">
        <f t="shared" si="11"/>
        <v>0</v>
      </c>
      <c r="F106" s="311">
        <f t="shared" si="11"/>
        <v>0</v>
      </c>
      <c r="G106" s="311">
        <f t="shared" si="11"/>
        <v>0</v>
      </c>
      <c r="H106" s="311">
        <f t="shared" si="11"/>
        <v>0</v>
      </c>
      <c r="I106" s="311">
        <f t="shared" si="11"/>
        <v>0</v>
      </c>
      <c r="J106" s="311">
        <f t="shared" si="11"/>
        <v>0</v>
      </c>
      <c r="K106" s="311">
        <f t="shared" si="11"/>
        <v>0</v>
      </c>
      <c r="L106" s="311">
        <f t="shared" ca="1" si="11"/>
        <v>0</v>
      </c>
      <c r="M106" s="513">
        <f t="shared" ca="1" si="11"/>
        <v>0</v>
      </c>
      <c r="N106" s="313">
        <f t="shared" ca="1" si="11"/>
        <v>1.0606077692307694</v>
      </c>
      <c r="O106" s="311">
        <f t="shared" ca="1" si="11"/>
        <v>1.0828595827051455</v>
      </c>
      <c r="P106" s="311">
        <f t="shared" ca="1" si="11"/>
        <v>1.1046769735549673</v>
      </c>
      <c r="Q106" s="311">
        <f t="shared" ca="1" si="11"/>
        <v>1.1302025014868493</v>
      </c>
      <c r="R106" s="311">
        <f t="shared" ca="1" si="11"/>
        <v>1.158326477059376</v>
      </c>
      <c r="S106" s="311">
        <f t="shared" ca="1" si="11"/>
        <v>1.1876269800916321</v>
      </c>
    </row>
    <row r="107" spans="1:19">
      <c r="B107" s="249"/>
      <c r="C107" s="12"/>
      <c r="D107" s="263"/>
      <c r="E107" s="263"/>
      <c r="F107" s="263"/>
      <c r="G107" s="263"/>
      <c r="H107" s="263"/>
      <c r="I107" s="263"/>
      <c r="J107" s="263"/>
      <c r="K107" s="263"/>
      <c r="L107" s="263"/>
      <c r="M107" s="836"/>
      <c r="N107" s="263"/>
      <c r="O107" s="263"/>
      <c r="P107" s="263"/>
      <c r="Q107" s="263"/>
      <c r="R107" s="263"/>
      <c r="S107" s="263"/>
    </row>
    <row r="108" spans="1:19">
      <c r="A108" s="5"/>
      <c r="B108" s="249" t="str">
        <f ca="1">+'I-4 History'!B106</f>
        <v>DA-12</v>
      </c>
      <c r="C108" s="14" t="str">
        <f ca="1">+'I-4 History'!C106</f>
        <v>Asset Assessment</v>
      </c>
      <c r="D108" s="11"/>
      <c r="E108" s="11"/>
      <c r="F108" s="11"/>
      <c r="G108" s="11"/>
      <c r="H108" s="11"/>
      <c r="I108" s="11"/>
      <c r="J108" s="11"/>
      <c r="K108" s="11"/>
      <c r="L108" s="11"/>
      <c r="M108" s="507"/>
      <c r="N108" s="11"/>
      <c r="O108" s="11"/>
      <c r="P108" s="11"/>
      <c r="Q108" s="11"/>
      <c r="R108" s="11"/>
      <c r="S108" s="11"/>
    </row>
    <row r="109" spans="1:19">
      <c r="B109" s="249"/>
      <c r="C109" s="13" t="s">
        <v>68</v>
      </c>
      <c r="D109" s="312">
        <f>+'R1 Opex Detail'!D109</f>
        <v>0</v>
      </c>
      <c r="E109" s="310">
        <f>+'R1 Opex Detail'!E109</f>
        <v>0</v>
      </c>
      <c r="F109" s="310">
        <f>+'R1 Opex Detail'!F109</f>
        <v>0</v>
      </c>
      <c r="G109" s="310">
        <f>+'R1 Opex Detail'!G109</f>
        <v>0</v>
      </c>
      <c r="H109" s="310">
        <f>+'R1 Opex Detail'!H109</f>
        <v>0</v>
      </c>
      <c r="I109" s="310">
        <f>+'R1 Opex Detail'!I109</f>
        <v>0</v>
      </c>
      <c r="J109" s="310">
        <f>+'R1 Opex Detail'!J109</f>
        <v>0</v>
      </c>
      <c r="K109" s="310">
        <f>+'R1 Opex Detail'!K109</f>
        <v>0</v>
      </c>
      <c r="L109" s="310">
        <f ca="1">+'R1 Opex Detail'!L109</f>
        <v>0</v>
      </c>
      <c r="M109" s="835">
        <f ca="1">+'R1 Opex Detail'!M109*M$2</f>
        <v>0</v>
      </c>
      <c r="N109" s="312">
        <f ca="1">+'R1 Opex Detail'!N109*N$1</f>
        <v>2.5026621923076924</v>
      </c>
      <c r="O109" s="310">
        <f ca="1">+'R1 Opex Detail'!O109*O$1</f>
        <v>2.6920288809210096</v>
      </c>
      <c r="P109" s="310">
        <f ca="1">+'R1 Opex Detail'!P109*P$1</f>
        <v>2.7865747464451522</v>
      </c>
      <c r="Q109" s="310">
        <f ca="1">+'R1 Opex Detail'!Q109*Q$1</f>
        <v>2.8769692491337491</v>
      </c>
      <c r="R109" s="310">
        <f ca="1">+'R1 Opex Detail'!R109*R$1</f>
        <v>2.9690558066146786</v>
      </c>
      <c r="S109" s="310">
        <f ca="1">+'R1 Opex Detail'!S109*S$1</f>
        <v>3.058280743458357</v>
      </c>
    </row>
    <row r="110" spans="1:19">
      <c r="B110" s="249"/>
      <c r="C110" s="13" t="s">
        <v>69</v>
      </c>
      <c r="D110" s="312">
        <f>+'R1 Opex Detail'!D110</f>
        <v>0</v>
      </c>
      <c r="E110" s="310">
        <f>+'R1 Opex Detail'!E110</f>
        <v>0</v>
      </c>
      <c r="F110" s="310">
        <f>+'R1 Opex Detail'!F110</f>
        <v>0</v>
      </c>
      <c r="G110" s="310">
        <f>+'R1 Opex Detail'!G110</f>
        <v>0</v>
      </c>
      <c r="H110" s="310">
        <f>+'R1 Opex Detail'!H110</f>
        <v>0</v>
      </c>
      <c r="I110" s="310">
        <f>+'R1 Opex Detail'!I110</f>
        <v>0</v>
      </c>
      <c r="J110" s="310">
        <f>+'R1 Opex Detail'!J110</f>
        <v>0</v>
      </c>
      <c r="K110" s="310">
        <f>+'R1 Opex Detail'!K110</f>
        <v>0</v>
      </c>
      <c r="L110" s="310">
        <f ca="1">+'R1 Opex Detail'!L110</f>
        <v>0</v>
      </c>
      <c r="M110" s="835">
        <f ca="1">+'R1 Opex Detail'!M110*M$2</f>
        <v>0</v>
      </c>
      <c r="N110" s="312">
        <f ca="1">+'R1 Opex Detail'!N110*N$1</f>
        <v>5.9956384615384627E-2</v>
      </c>
      <c r="O110" s="310">
        <f ca="1">+'R1 Opex Detail'!O110*O$1</f>
        <v>6.0592519354847545E-2</v>
      </c>
      <c r="P110" s="310">
        <f ca="1">+'R1 Opex Detail'!P110*P$1</f>
        <v>6.1181952780937097E-2</v>
      </c>
      <c r="Q110" s="310">
        <f ca="1">+'R1 Opex Detail'!Q110*Q$1</f>
        <v>6.1764601177422641E-2</v>
      </c>
      <c r="R110" s="310">
        <f ca="1">+'R1 Opex Detail'!R110*R$1</f>
        <v>6.239672789190373E-2</v>
      </c>
      <c r="S110" s="310">
        <f ca="1">+'R1 Opex Detail'!S110*S$1</f>
        <v>6.2975760693224969E-2</v>
      </c>
    </row>
    <row r="111" spans="1:19" s="759" customFormat="1">
      <c r="B111" s="249"/>
      <c r="C111" s="13" t="s">
        <v>646</v>
      </c>
      <c r="D111" s="312">
        <f>+'R1 Opex Detail'!D111</f>
        <v>0</v>
      </c>
      <c r="E111" s="310">
        <f>+'R1 Opex Detail'!E111</f>
        <v>0</v>
      </c>
      <c r="F111" s="310">
        <f>+'R1 Opex Detail'!F111</f>
        <v>0</v>
      </c>
      <c r="G111" s="310">
        <f>+'R1 Opex Detail'!G111</f>
        <v>0</v>
      </c>
      <c r="H111" s="310">
        <f>+'R1 Opex Detail'!H111</f>
        <v>0</v>
      </c>
      <c r="I111" s="310">
        <f>+'R1 Opex Detail'!I111</f>
        <v>0</v>
      </c>
      <c r="J111" s="310">
        <f>+'R1 Opex Detail'!J111</f>
        <v>0</v>
      </c>
      <c r="K111" s="310">
        <f>+'R1 Opex Detail'!K111</f>
        <v>0</v>
      </c>
      <c r="L111" s="310">
        <f ca="1">+'R1 Opex Detail'!L111</f>
        <v>0</v>
      </c>
      <c r="M111" s="835">
        <f ca="1">+'R1 Opex Detail'!M111*M$2</f>
        <v>0</v>
      </c>
      <c r="N111" s="312">
        <f ca="1">+'R1 Opex Detail'!N111*N$1</f>
        <v>10.662932884615385</v>
      </c>
      <c r="O111" s="310">
        <f ca="1">+'R1 Opex Detail'!O111*O$1</f>
        <v>16.05365877943423</v>
      </c>
      <c r="P111" s="310">
        <f ca="1">+'R1 Opex Detail'!P111*P$1</f>
        <v>16.445938453547406</v>
      </c>
      <c r="Q111" s="310">
        <f ca="1">+'R1 Opex Detail'!Q111*Q$1</f>
        <v>16.675969675035585</v>
      </c>
      <c r="R111" s="310">
        <f ca="1">+'R1 Opex Detail'!R111*R$1</f>
        <v>16.891574868817411</v>
      </c>
      <c r="S111" s="310">
        <f ca="1">+'R1 Opex Detail'!S111*S$1</f>
        <v>15.219525618208895</v>
      </c>
    </row>
    <row r="112" spans="1:19">
      <c r="B112" s="249"/>
      <c r="C112" s="13" t="s">
        <v>647</v>
      </c>
      <c r="D112" s="312">
        <f>+'R1 Opex Detail'!D112</f>
        <v>0</v>
      </c>
      <c r="E112" s="310">
        <f>+'R1 Opex Detail'!E112</f>
        <v>0</v>
      </c>
      <c r="F112" s="310">
        <f>+'R1 Opex Detail'!F112</f>
        <v>0</v>
      </c>
      <c r="G112" s="310">
        <f>+'R1 Opex Detail'!G112</f>
        <v>0</v>
      </c>
      <c r="H112" s="310">
        <f>+'R1 Opex Detail'!H112</f>
        <v>0</v>
      </c>
      <c r="I112" s="310">
        <f>+'R1 Opex Detail'!I112</f>
        <v>0</v>
      </c>
      <c r="J112" s="310">
        <f>+'R1 Opex Detail'!J112</f>
        <v>0</v>
      </c>
      <c r="K112" s="310">
        <f>+'R1 Opex Detail'!K112</f>
        <v>0</v>
      </c>
      <c r="L112" s="310">
        <f ca="1">+'R1 Opex Detail'!L112</f>
        <v>0</v>
      </c>
      <c r="M112" s="835">
        <f ca="1">+'R1 Opex Detail'!M112*M$2</f>
        <v>0</v>
      </c>
      <c r="N112" s="312">
        <f ca="1">+'R1 Opex Detail'!N112*N$1</f>
        <v>0.31425415384615385</v>
      </c>
      <c r="O112" s="310">
        <f ca="1">+'R1 Opex Detail'!O112*O$1</f>
        <v>0.34501958842547648</v>
      </c>
      <c r="P112" s="310">
        <f ca="1">+'R1 Opex Detail'!P112*P$1</f>
        <v>0.34973588586352877</v>
      </c>
      <c r="Q112" s="310">
        <f ca="1">+'R1 Opex Detail'!Q112*Q$1</f>
        <v>0.35576317629099596</v>
      </c>
      <c r="R112" s="310">
        <f ca="1">+'R1 Opex Detail'!R112*R$1</f>
        <v>0.36263933782687263</v>
      </c>
      <c r="S112" s="310">
        <f ca="1">+'R1 Opex Detail'!S112*S$1</f>
        <v>0.37001377626857146</v>
      </c>
    </row>
    <row r="113" spans="1:19" s="759" customFormat="1">
      <c r="B113" s="249"/>
      <c r="C113" s="13" t="s">
        <v>575</v>
      </c>
      <c r="D113" s="312">
        <f>+'R1 Opex Detail'!D113</f>
        <v>0</v>
      </c>
      <c r="E113" s="310">
        <f>+'R1 Opex Detail'!E113</f>
        <v>0</v>
      </c>
      <c r="F113" s="310">
        <f>+'R1 Opex Detail'!F113</f>
        <v>0</v>
      </c>
      <c r="G113" s="310">
        <f>+'R1 Opex Detail'!G113</f>
        <v>0</v>
      </c>
      <c r="H113" s="310">
        <f>+'R1 Opex Detail'!H113</f>
        <v>0</v>
      </c>
      <c r="I113" s="310">
        <f>+'R1 Opex Detail'!I113</f>
        <v>0</v>
      </c>
      <c r="J113" s="310">
        <f>+'R1 Opex Detail'!J113</f>
        <v>0</v>
      </c>
      <c r="K113" s="310">
        <f>+'R1 Opex Detail'!K113</f>
        <v>0</v>
      </c>
      <c r="L113" s="310">
        <f ca="1">+'R1 Opex Detail'!L113</f>
        <v>0</v>
      </c>
      <c r="M113" s="835">
        <f ca="1">+'R1 Opex Detail'!M113*M$2</f>
        <v>0</v>
      </c>
      <c r="N113" s="312">
        <f ca="1">+'R1 Opex Detail'!N113*N$1</f>
        <v>1.0606077692307694</v>
      </c>
      <c r="O113" s="310">
        <f ca="1">+'R1 Opex Detail'!O113*O$1</f>
        <v>1.0948607253431333</v>
      </c>
      <c r="P113" s="310">
        <f ca="1">+'R1 Opex Detail'!P113*P$1</f>
        <v>1.1292333635206508</v>
      </c>
      <c r="Q113" s="310">
        <f ca="1">+'R1 Opex Detail'!Q113*Q$1</f>
        <v>1.1657894678913974</v>
      </c>
      <c r="R113" s="310">
        <f ca="1">+'R1 Opex Detail'!R113*R$1</f>
        <v>1.2043769111818572</v>
      </c>
      <c r="S113" s="310">
        <f ca="1">+'R1 Opex Detail'!S113*S$1</f>
        <v>1.2430658829869277</v>
      </c>
    </row>
    <row r="114" spans="1:19">
      <c r="B114" s="249"/>
      <c r="C114" s="13" t="s">
        <v>70</v>
      </c>
      <c r="D114" s="312">
        <f>+'R1 Opex Detail'!D114</f>
        <v>0</v>
      </c>
      <c r="E114" s="310">
        <f>+'R1 Opex Detail'!E114</f>
        <v>0</v>
      </c>
      <c r="F114" s="310">
        <f>+'R1 Opex Detail'!F114</f>
        <v>0</v>
      </c>
      <c r="G114" s="310">
        <f>+'R1 Opex Detail'!G114</f>
        <v>0</v>
      </c>
      <c r="H114" s="310">
        <f>+'R1 Opex Detail'!H114</f>
        <v>0</v>
      </c>
      <c r="I114" s="310">
        <f>+'R1 Opex Detail'!I114</f>
        <v>0</v>
      </c>
      <c r="J114" s="310">
        <f>+'R1 Opex Detail'!J114</f>
        <v>0</v>
      </c>
      <c r="K114" s="310">
        <f>+'R1 Opex Detail'!K114</f>
        <v>0</v>
      </c>
      <c r="L114" s="310">
        <f ca="1">+'R1 Opex Detail'!L114</f>
        <v>0</v>
      </c>
      <c r="M114" s="835">
        <f ca="1">+'R1 Opex Detail'!M114*M$2</f>
        <v>0</v>
      </c>
      <c r="N114" s="312">
        <f ca="1">+'R1 Opex Detail'!N114*N$1</f>
        <v>0</v>
      </c>
      <c r="O114" s="310">
        <f ca="1">+'R1 Opex Detail'!O114*O$1</f>
        <v>0</v>
      </c>
      <c r="P114" s="310">
        <f ca="1">+'R1 Opex Detail'!P114*P$1</f>
        <v>0</v>
      </c>
      <c r="Q114" s="310">
        <f ca="1">+'R1 Opex Detail'!Q114*Q$1</f>
        <v>0</v>
      </c>
      <c r="R114" s="310">
        <f ca="1">+'R1 Opex Detail'!R114*R$1</f>
        <v>0</v>
      </c>
      <c r="S114" s="310">
        <f ca="1">+'R1 Opex Detail'!S114*S$1</f>
        <v>0</v>
      </c>
    </row>
    <row r="115" spans="1:19">
      <c r="B115" s="249"/>
      <c r="C115" s="12" t="s">
        <v>75</v>
      </c>
      <c r="D115" s="313">
        <f t="shared" ref="D115:S115" si="12">SUBTOTAL(9,D109:D114)</f>
        <v>0</v>
      </c>
      <c r="E115" s="311">
        <f t="shared" si="12"/>
        <v>0</v>
      </c>
      <c r="F115" s="311">
        <f t="shared" si="12"/>
        <v>0</v>
      </c>
      <c r="G115" s="311">
        <f t="shared" si="12"/>
        <v>0</v>
      </c>
      <c r="H115" s="311">
        <f t="shared" si="12"/>
        <v>0</v>
      </c>
      <c r="I115" s="311">
        <f t="shared" si="12"/>
        <v>0</v>
      </c>
      <c r="J115" s="311">
        <f t="shared" si="12"/>
        <v>0</v>
      </c>
      <c r="K115" s="311">
        <f t="shared" si="12"/>
        <v>0</v>
      </c>
      <c r="L115" s="311">
        <f t="shared" ca="1" si="12"/>
        <v>0</v>
      </c>
      <c r="M115" s="513">
        <f t="shared" ca="1" si="12"/>
        <v>0</v>
      </c>
      <c r="N115" s="313">
        <f t="shared" ca="1" si="12"/>
        <v>14.600413384615385</v>
      </c>
      <c r="O115" s="311">
        <f t="shared" ca="1" si="12"/>
        <v>20.246160493478694</v>
      </c>
      <c r="P115" s="311">
        <f t="shared" ca="1" si="12"/>
        <v>20.772664402157673</v>
      </c>
      <c r="Q115" s="311">
        <f t="shared" ca="1" si="12"/>
        <v>21.136256169529148</v>
      </c>
      <c r="R115" s="311">
        <f t="shared" ca="1" si="12"/>
        <v>21.490043652332723</v>
      </c>
      <c r="S115" s="311">
        <f t="shared" ca="1" si="12"/>
        <v>19.953861781615977</v>
      </c>
    </row>
    <row r="116" spans="1:19">
      <c r="B116" s="249"/>
      <c r="C116" s="12"/>
      <c r="D116" s="263"/>
      <c r="E116" s="263"/>
      <c r="F116" s="263"/>
      <c r="G116" s="263"/>
      <c r="H116" s="263"/>
      <c r="I116" s="263"/>
      <c r="J116" s="263"/>
      <c r="K116" s="263"/>
      <c r="L116" s="263"/>
      <c r="M116" s="836"/>
      <c r="N116" s="263"/>
      <c r="O116" s="263"/>
      <c r="P116" s="263"/>
      <c r="Q116" s="263"/>
      <c r="R116" s="263"/>
      <c r="S116" s="263"/>
    </row>
    <row r="117" spans="1:19">
      <c r="A117" s="5"/>
      <c r="B117" s="249" t="str">
        <f ca="1">+'I-4 History'!B115</f>
        <v>DA-13</v>
      </c>
      <c r="C117" s="14" t="str">
        <f ca="1">+'I-4 History'!C115</f>
        <v>Asset Maintenance</v>
      </c>
      <c r="D117" s="11"/>
      <c r="E117" s="11"/>
      <c r="F117" s="11"/>
      <c r="G117" s="11"/>
      <c r="H117" s="11"/>
      <c r="I117" s="11"/>
      <c r="J117" s="11"/>
      <c r="K117" s="11"/>
      <c r="L117" s="11"/>
      <c r="M117" s="507"/>
      <c r="N117" s="11"/>
      <c r="O117" s="11"/>
      <c r="P117" s="11"/>
      <c r="Q117" s="11"/>
      <c r="R117" s="11"/>
      <c r="S117" s="11"/>
    </row>
    <row r="118" spans="1:19">
      <c r="B118" s="249"/>
      <c r="C118" s="13" t="s">
        <v>68</v>
      </c>
      <c r="D118" s="312">
        <f>+'R1 Opex Detail'!D118</f>
        <v>0</v>
      </c>
      <c r="E118" s="310">
        <f>+'R1 Opex Detail'!E118</f>
        <v>0</v>
      </c>
      <c r="F118" s="310">
        <f>+'R1 Opex Detail'!F118</f>
        <v>0</v>
      </c>
      <c r="G118" s="310">
        <f>+'R1 Opex Detail'!G118</f>
        <v>0</v>
      </c>
      <c r="H118" s="310">
        <f>+'R1 Opex Detail'!H118</f>
        <v>0</v>
      </c>
      <c r="I118" s="310">
        <f>+'R1 Opex Detail'!I118</f>
        <v>0</v>
      </c>
      <c r="J118" s="310">
        <f>+'R1 Opex Detail'!J118</f>
        <v>0</v>
      </c>
      <c r="K118" s="310">
        <f>+'R1 Opex Detail'!K118</f>
        <v>0</v>
      </c>
      <c r="L118" s="310">
        <f ca="1">+'R1 Opex Detail'!L118</f>
        <v>0</v>
      </c>
      <c r="M118" s="835">
        <f ca="1">+'R1 Opex Detail'!M118*M$2</f>
        <v>0</v>
      </c>
      <c r="N118" s="312">
        <f ca="1">+'R1 Opex Detail'!N118*N$1</f>
        <v>8.6730011538461529</v>
      </c>
      <c r="O118" s="310">
        <f ca="1">+'R1 Opex Detail'!O118*O$1</f>
        <v>8.953100863186048</v>
      </c>
      <c r="P118" s="310">
        <f ca="1">+'R1 Opex Detail'!P118*P$1</f>
        <v>9.2341792591990828</v>
      </c>
      <c r="Q118" s="310">
        <f ca="1">+'R1 Opex Detail'!Q118*Q$1</f>
        <v>9.5331127052717548</v>
      </c>
      <c r="R118" s="310">
        <f ca="1">+'R1 Opex Detail'!R118*R$1</f>
        <v>9.8486571976762001</v>
      </c>
      <c r="S118" s="310">
        <f ca="1">+'R1 Opex Detail'!S118*S$1</f>
        <v>10.165031928128968</v>
      </c>
    </row>
    <row r="119" spans="1:19">
      <c r="B119" s="249"/>
      <c r="C119" s="13" t="s">
        <v>69</v>
      </c>
      <c r="D119" s="312">
        <f>+'R1 Opex Detail'!D119</f>
        <v>0</v>
      </c>
      <c r="E119" s="310">
        <f>+'R1 Opex Detail'!E119</f>
        <v>0</v>
      </c>
      <c r="F119" s="310">
        <f>+'R1 Opex Detail'!F119</f>
        <v>0</v>
      </c>
      <c r="G119" s="310">
        <f>+'R1 Opex Detail'!G119</f>
        <v>0</v>
      </c>
      <c r="H119" s="310">
        <f>+'R1 Opex Detail'!H119</f>
        <v>0</v>
      </c>
      <c r="I119" s="310">
        <f>+'R1 Opex Detail'!I119</f>
        <v>0</v>
      </c>
      <c r="J119" s="310">
        <f>+'R1 Opex Detail'!J119</f>
        <v>0</v>
      </c>
      <c r="K119" s="310">
        <f>+'R1 Opex Detail'!K119</f>
        <v>0</v>
      </c>
      <c r="L119" s="310">
        <f ca="1">+'R1 Opex Detail'!L119</f>
        <v>0</v>
      </c>
      <c r="M119" s="835">
        <f ca="1">+'R1 Opex Detail'!M119*M$2</f>
        <v>0</v>
      </c>
      <c r="N119" s="312">
        <f ca="1">+'R1 Opex Detail'!N119*N$1</f>
        <v>1.2353082692307695</v>
      </c>
      <c r="O119" s="310">
        <f ca="1">+'R1 Opex Detail'!O119*O$1</f>
        <v>1.2484148384317726</v>
      </c>
      <c r="P119" s="310">
        <f ca="1">+'R1 Opex Detail'!P119*P$1</f>
        <v>1.2605591995382728</v>
      </c>
      <c r="Q119" s="310">
        <f ca="1">+'R1 Opex Detail'!Q119*Q$1</f>
        <v>1.2725637656382769</v>
      </c>
      <c r="R119" s="310">
        <f ca="1">+'R1 Opex Detail'!R119*R$1</f>
        <v>1.2855877557038784</v>
      </c>
      <c r="S119" s="310">
        <f ca="1">+'R1 Opex Detail'!S119*S$1</f>
        <v>1.2975178280759283</v>
      </c>
    </row>
    <row r="120" spans="1:19" s="759" customFormat="1">
      <c r="B120" s="249"/>
      <c r="C120" s="13" t="s">
        <v>646</v>
      </c>
      <c r="D120" s="312">
        <f>+'R1 Opex Detail'!D120</f>
        <v>0</v>
      </c>
      <c r="E120" s="310">
        <f>+'R1 Opex Detail'!E120</f>
        <v>0</v>
      </c>
      <c r="F120" s="310">
        <f>+'R1 Opex Detail'!F120</f>
        <v>0</v>
      </c>
      <c r="G120" s="310">
        <f>+'R1 Opex Detail'!G120</f>
        <v>0</v>
      </c>
      <c r="H120" s="310">
        <f>+'R1 Opex Detail'!H120</f>
        <v>0</v>
      </c>
      <c r="I120" s="310">
        <f>+'R1 Opex Detail'!I120</f>
        <v>0</v>
      </c>
      <c r="J120" s="310">
        <f>+'R1 Opex Detail'!J120</f>
        <v>0</v>
      </c>
      <c r="K120" s="310">
        <f>+'R1 Opex Detail'!K120</f>
        <v>0</v>
      </c>
      <c r="L120" s="310">
        <f ca="1">+'R1 Opex Detail'!L120</f>
        <v>0</v>
      </c>
      <c r="M120" s="835">
        <f ca="1">+'R1 Opex Detail'!M120*M$2</f>
        <v>0</v>
      </c>
      <c r="N120" s="312">
        <f ca="1">+'R1 Opex Detail'!N120*N$1</f>
        <v>0.14162111538461541</v>
      </c>
      <c r="O120" s="310">
        <f ca="1">+'R1 Opex Detail'!O120*O$1</f>
        <v>0.14383932805814109</v>
      </c>
      <c r="P120" s="310">
        <f ca="1">+'R1 Opex Detail'!P120*P$1</f>
        <v>0.14596476473252654</v>
      </c>
      <c r="Q120" s="310">
        <f ca="1">+'R1 Opex Detail'!Q120*Q$1</f>
        <v>0.1486810107475364</v>
      </c>
      <c r="R120" s="310">
        <f ca="1">+'R1 Opex Detail'!R120*R$1</f>
        <v>0.15177980722916504</v>
      </c>
      <c r="S120" s="310">
        <f ca="1">+'R1 Opex Detail'!S120*S$1</f>
        <v>0.15510315613216746</v>
      </c>
    </row>
    <row r="121" spans="1:19">
      <c r="B121" s="249"/>
      <c r="C121" s="13" t="s">
        <v>647</v>
      </c>
      <c r="D121" s="312">
        <f>+'R1 Opex Detail'!D121</f>
        <v>0</v>
      </c>
      <c r="E121" s="310">
        <f>+'R1 Opex Detail'!E121</f>
        <v>0</v>
      </c>
      <c r="F121" s="310">
        <f>+'R1 Opex Detail'!F121</f>
        <v>0</v>
      </c>
      <c r="G121" s="310">
        <f>+'R1 Opex Detail'!G121</f>
        <v>0</v>
      </c>
      <c r="H121" s="310">
        <f>+'R1 Opex Detail'!H121</f>
        <v>0</v>
      </c>
      <c r="I121" s="310">
        <f>+'R1 Opex Detail'!I121</f>
        <v>0</v>
      </c>
      <c r="J121" s="310">
        <f>+'R1 Opex Detail'!J121</f>
        <v>0</v>
      </c>
      <c r="K121" s="310">
        <f>+'R1 Opex Detail'!K121</f>
        <v>0</v>
      </c>
      <c r="L121" s="310">
        <f ca="1">+'R1 Opex Detail'!L121</f>
        <v>0</v>
      </c>
      <c r="M121" s="835">
        <f ca="1">+'R1 Opex Detail'!M121*M$2</f>
        <v>0</v>
      </c>
      <c r="N121" s="312">
        <f ca="1">+'R1 Opex Detail'!N121*N$1</f>
        <v>3.5198532692307696</v>
      </c>
      <c r="O121" s="310">
        <f ca="1">+'R1 Opex Detail'!O121*O$1</f>
        <v>3.5749847594012434</v>
      </c>
      <c r="P121" s="310">
        <f ca="1">+'R1 Opex Detail'!P121*P$1</f>
        <v>3.6278103935346913</v>
      </c>
      <c r="Q121" s="310">
        <f ca="1">+'R1 Opex Detail'!Q121*Q$1</f>
        <v>3.6953200116449731</v>
      </c>
      <c r="R121" s="310">
        <f ca="1">+'R1 Opex Detail'!R121*R$1</f>
        <v>3.7723375446372764</v>
      </c>
      <c r="S121" s="310">
        <f ca="1">+'R1 Opex Detail'!S121*S$1</f>
        <v>3.8549361067885406</v>
      </c>
    </row>
    <row r="122" spans="1:19" s="759" customFormat="1">
      <c r="B122" s="249"/>
      <c r="C122" s="13" t="s">
        <v>575</v>
      </c>
      <c r="D122" s="312">
        <f>+'R1 Opex Detail'!D122</f>
        <v>0</v>
      </c>
      <c r="E122" s="310">
        <f>+'R1 Opex Detail'!E122</f>
        <v>0</v>
      </c>
      <c r="F122" s="310">
        <f>+'R1 Opex Detail'!F122</f>
        <v>0</v>
      </c>
      <c r="G122" s="310">
        <f>+'R1 Opex Detail'!G122</f>
        <v>0</v>
      </c>
      <c r="H122" s="310">
        <f>+'R1 Opex Detail'!H122</f>
        <v>0</v>
      </c>
      <c r="I122" s="310">
        <f>+'R1 Opex Detail'!I122</f>
        <v>0</v>
      </c>
      <c r="J122" s="310">
        <f>+'R1 Opex Detail'!J122</f>
        <v>0</v>
      </c>
      <c r="K122" s="310">
        <f>+'R1 Opex Detail'!K122</f>
        <v>0</v>
      </c>
      <c r="L122" s="310">
        <f ca="1">+'R1 Opex Detail'!L122</f>
        <v>0</v>
      </c>
      <c r="M122" s="835">
        <f ca="1">+'R1 Opex Detail'!M122*M$2</f>
        <v>0</v>
      </c>
      <c r="N122" s="312">
        <f ca="1">+'R1 Opex Detail'!N122*N$1</f>
        <v>0.88694100000000009</v>
      </c>
      <c r="O122" s="310">
        <f ca="1">+'R1 Opex Detail'!O122*O$1</f>
        <v>0.91558528493607039</v>
      </c>
      <c r="P122" s="310">
        <f ca="1">+'R1 Opex Detail'!P122*P$1</f>
        <v>0.94432965487399445</v>
      </c>
      <c r="Q122" s="310">
        <f ca="1">+'R1 Opex Detail'!Q122*Q$1</f>
        <v>0.97489996437701643</v>
      </c>
      <c r="R122" s="310">
        <f ca="1">+'R1 Opex Detail'!R122*R$1</f>
        <v>1.0071689959006174</v>
      </c>
      <c r="S122" s="310">
        <f ca="1">+'R1 Opex Detail'!S122*S$1</f>
        <v>1.0395229313867291</v>
      </c>
    </row>
    <row r="123" spans="1:19">
      <c r="B123" s="249"/>
      <c r="C123" s="13" t="s">
        <v>70</v>
      </c>
      <c r="D123" s="312">
        <f>+'R1 Opex Detail'!D123</f>
        <v>0</v>
      </c>
      <c r="E123" s="310">
        <f>+'R1 Opex Detail'!E123</f>
        <v>0</v>
      </c>
      <c r="F123" s="310">
        <f>+'R1 Opex Detail'!F123</f>
        <v>0</v>
      </c>
      <c r="G123" s="310">
        <f>+'R1 Opex Detail'!G123</f>
        <v>0</v>
      </c>
      <c r="H123" s="310">
        <f>+'R1 Opex Detail'!H123</f>
        <v>0</v>
      </c>
      <c r="I123" s="310">
        <f>+'R1 Opex Detail'!I123</f>
        <v>0</v>
      </c>
      <c r="J123" s="310">
        <f>+'R1 Opex Detail'!J123</f>
        <v>0</v>
      </c>
      <c r="K123" s="310">
        <f>+'R1 Opex Detail'!K123</f>
        <v>0</v>
      </c>
      <c r="L123" s="310">
        <f ca="1">+'R1 Opex Detail'!L123</f>
        <v>0</v>
      </c>
      <c r="M123" s="835">
        <f ca="1">+'R1 Opex Detail'!M123*M$2</f>
        <v>0</v>
      </c>
      <c r="N123" s="312">
        <f ca="1">+'R1 Opex Detail'!N123*N$1</f>
        <v>0</v>
      </c>
      <c r="O123" s="310">
        <f ca="1">+'R1 Opex Detail'!O123*O$1</f>
        <v>0</v>
      </c>
      <c r="P123" s="310">
        <f ca="1">+'R1 Opex Detail'!P123*P$1</f>
        <v>0</v>
      </c>
      <c r="Q123" s="310">
        <f ca="1">+'R1 Opex Detail'!Q123*Q$1</f>
        <v>0</v>
      </c>
      <c r="R123" s="310">
        <f ca="1">+'R1 Opex Detail'!R123*R$1</f>
        <v>0</v>
      </c>
      <c r="S123" s="310">
        <f ca="1">+'R1 Opex Detail'!S123*S$1</f>
        <v>0</v>
      </c>
    </row>
    <row r="124" spans="1:19">
      <c r="B124" s="249"/>
      <c r="C124" s="12" t="s">
        <v>75</v>
      </c>
      <c r="D124" s="313">
        <f t="shared" ref="D124:S124" si="13">SUBTOTAL(9,D118:D123)</f>
        <v>0</v>
      </c>
      <c r="E124" s="311">
        <f t="shared" si="13"/>
        <v>0</v>
      </c>
      <c r="F124" s="311">
        <f t="shared" si="13"/>
        <v>0</v>
      </c>
      <c r="G124" s="311">
        <f t="shared" si="13"/>
        <v>0</v>
      </c>
      <c r="H124" s="311">
        <f t="shared" si="13"/>
        <v>0</v>
      </c>
      <c r="I124" s="311">
        <f t="shared" si="13"/>
        <v>0</v>
      </c>
      <c r="J124" s="311">
        <f t="shared" si="13"/>
        <v>0</v>
      </c>
      <c r="K124" s="311">
        <f t="shared" si="13"/>
        <v>0</v>
      </c>
      <c r="L124" s="311">
        <f t="shared" ca="1" si="13"/>
        <v>0</v>
      </c>
      <c r="M124" s="513">
        <f t="shared" ca="1" si="13"/>
        <v>0</v>
      </c>
      <c r="N124" s="313">
        <f t="shared" ca="1" si="13"/>
        <v>14.456724807692307</v>
      </c>
      <c r="O124" s="311">
        <f t="shared" ca="1" si="13"/>
        <v>14.835925074013275</v>
      </c>
      <c r="P124" s="311">
        <f t="shared" ca="1" si="13"/>
        <v>15.212843271878569</v>
      </c>
      <c r="Q124" s="311">
        <f t="shared" ca="1" si="13"/>
        <v>15.624577457679557</v>
      </c>
      <c r="R124" s="311">
        <f t="shared" ca="1" si="13"/>
        <v>16.065531301147136</v>
      </c>
      <c r="S124" s="311">
        <f t="shared" ca="1" si="13"/>
        <v>16.512111950512335</v>
      </c>
    </row>
    <row r="125" spans="1:19">
      <c r="B125" s="249"/>
      <c r="C125" s="12"/>
      <c r="D125" s="263"/>
      <c r="E125" s="263"/>
      <c r="F125" s="263"/>
      <c r="G125" s="263"/>
      <c r="H125" s="263"/>
      <c r="I125" s="263"/>
      <c r="J125" s="263"/>
      <c r="K125" s="263"/>
      <c r="L125" s="263"/>
      <c r="M125" s="836"/>
      <c r="N125" s="263"/>
      <c r="O125" s="263"/>
      <c r="P125" s="263"/>
      <c r="Q125" s="263"/>
      <c r="R125" s="263"/>
      <c r="S125" s="263"/>
    </row>
    <row r="126" spans="1:19">
      <c r="A126" s="5"/>
      <c r="B126" s="249" t="str">
        <f ca="1">+'I-4 History'!B124</f>
        <v>DA-14</v>
      </c>
      <c r="C126" s="14" t="str">
        <f ca="1">+'I-4 History'!C124</f>
        <v>Vegetation Management</v>
      </c>
      <c r="D126" s="11"/>
      <c r="E126" s="11"/>
      <c r="F126" s="11"/>
      <c r="G126" s="11"/>
      <c r="H126" s="11"/>
      <c r="I126" s="11"/>
      <c r="J126" s="11"/>
      <c r="K126" s="11"/>
      <c r="L126" s="11"/>
      <c r="M126" s="507"/>
      <c r="N126" s="11"/>
      <c r="O126" s="11"/>
      <c r="P126" s="11"/>
      <c r="Q126" s="11"/>
      <c r="R126" s="11"/>
      <c r="S126" s="11"/>
    </row>
    <row r="127" spans="1:19">
      <c r="A127" s="5"/>
      <c r="B127" s="249"/>
      <c r="C127" s="13" t="s">
        <v>68</v>
      </c>
      <c r="D127" s="312">
        <f>+'R1 Opex Detail'!D127</f>
        <v>0</v>
      </c>
      <c r="E127" s="310">
        <f>+'R1 Opex Detail'!E127</f>
        <v>0</v>
      </c>
      <c r="F127" s="310">
        <f>+'R1 Opex Detail'!F127</f>
        <v>0</v>
      </c>
      <c r="G127" s="310">
        <f>+'R1 Opex Detail'!G127</f>
        <v>0</v>
      </c>
      <c r="H127" s="310">
        <f>+'R1 Opex Detail'!H127</f>
        <v>0</v>
      </c>
      <c r="I127" s="310">
        <f>+'R1 Opex Detail'!I127</f>
        <v>0</v>
      </c>
      <c r="J127" s="310">
        <f>+'R1 Opex Detail'!J127</f>
        <v>0</v>
      </c>
      <c r="K127" s="310">
        <f>+'R1 Opex Detail'!K127</f>
        <v>0</v>
      </c>
      <c r="L127" s="310">
        <f ca="1">+'R1 Opex Detail'!L127</f>
        <v>0</v>
      </c>
      <c r="M127" s="835">
        <f ca="1">+'R1 Opex Detail'!M127*M$2</f>
        <v>0</v>
      </c>
      <c r="N127" s="312">
        <f ca="1">+'R1 Opex Detail'!N127*N$1</f>
        <v>1.7563085769230771</v>
      </c>
      <c r="O127" s="310">
        <f ca="1">+'R1 Opex Detail'!O127*O$1</f>
        <v>2.1851726796111701</v>
      </c>
      <c r="P127" s="310">
        <f ca="1">+'R1 Opex Detail'!P127*P$1</f>
        <v>2.2420918923437259</v>
      </c>
      <c r="Q127" s="310">
        <f ca="1">+'R1 Opex Detail'!Q127*Q$1</f>
        <v>2.3026268059167263</v>
      </c>
      <c r="R127" s="310">
        <f ca="1">+'R1 Opex Detail'!R127*R$1</f>
        <v>2.3665255058684718</v>
      </c>
      <c r="S127" s="310">
        <f ca="1">+'R1 Opex Detail'!S127*S$1</f>
        <v>2.4305923314988962</v>
      </c>
    </row>
    <row r="128" spans="1:19">
      <c r="A128" s="5"/>
      <c r="B128" s="249"/>
      <c r="C128" s="13" t="s">
        <v>69</v>
      </c>
      <c r="D128" s="312">
        <f>+'R1 Opex Detail'!D128</f>
        <v>0</v>
      </c>
      <c r="E128" s="310">
        <f>+'R1 Opex Detail'!E128</f>
        <v>0</v>
      </c>
      <c r="F128" s="310">
        <f>+'R1 Opex Detail'!F128</f>
        <v>0</v>
      </c>
      <c r="G128" s="310">
        <f>+'R1 Opex Detail'!G128</f>
        <v>0</v>
      </c>
      <c r="H128" s="310">
        <f>+'R1 Opex Detail'!H128</f>
        <v>0</v>
      </c>
      <c r="I128" s="310">
        <f>+'R1 Opex Detail'!I128</f>
        <v>0</v>
      </c>
      <c r="J128" s="310">
        <f>+'R1 Opex Detail'!J128</f>
        <v>0</v>
      </c>
      <c r="K128" s="310">
        <f>+'R1 Opex Detail'!K128</f>
        <v>0</v>
      </c>
      <c r="L128" s="310">
        <f ca="1">+'R1 Opex Detail'!L128</f>
        <v>0</v>
      </c>
      <c r="M128" s="835">
        <f ca="1">+'R1 Opex Detail'!M128*M$2</f>
        <v>0</v>
      </c>
      <c r="N128" s="312">
        <f ca="1">+'R1 Opex Detail'!N128*N$1</f>
        <v>4.1349230769230777E-3</v>
      </c>
      <c r="O128" s="310">
        <f ca="1">+'R1 Opex Detail'!O128*O$1</f>
        <v>4.1787944382653481E-3</v>
      </c>
      <c r="P128" s="310">
        <f ca="1">+'R1 Opex Detail'!P128*P$1</f>
        <v>4.2194450193749717E-3</v>
      </c>
      <c r="Q128" s="310">
        <f ca="1">+'R1 Opex Detail'!Q128*Q$1</f>
        <v>4.2596276674084586E-3</v>
      </c>
      <c r="R128" s="310">
        <f ca="1">+'R1 Opex Detail'!R128*R$1</f>
        <v>4.3032226132347397E-3</v>
      </c>
      <c r="S128" s="310">
        <f ca="1">+'R1 Opex Detail'!S128*S$1</f>
        <v>4.3431559098775835E-3</v>
      </c>
    </row>
    <row r="129" spans="1:19" s="759" customFormat="1">
      <c r="A129" s="5"/>
      <c r="B129" s="249"/>
      <c r="C129" s="13" t="s">
        <v>646</v>
      </c>
      <c r="D129" s="312">
        <f>+'R1 Opex Detail'!D129</f>
        <v>0</v>
      </c>
      <c r="E129" s="310">
        <f>+'R1 Opex Detail'!E129</f>
        <v>0</v>
      </c>
      <c r="F129" s="310">
        <f>+'R1 Opex Detail'!F129</f>
        <v>0</v>
      </c>
      <c r="G129" s="310">
        <f>+'R1 Opex Detail'!G129</f>
        <v>0</v>
      </c>
      <c r="H129" s="310">
        <f>+'R1 Opex Detail'!H129</f>
        <v>0</v>
      </c>
      <c r="I129" s="310">
        <f>+'R1 Opex Detail'!I129</f>
        <v>0</v>
      </c>
      <c r="J129" s="310">
        <f>+'R1 Opex Detail'!J129</f>
        <v>0</v>
      </c>
      <c r="K129" s="310">
        <f>+'R1 Opex Detail'!K129</f>
        <v>0</v>
      </c>
      <c r="L129" s="310">
        <f ca="1">+'R1 Opex Detail'!L129</f>
        <v>0</v>
      </c>
      <c r="M129" s="835">
        <f ca="1">+'R1 Opex Detail'!M129*M$2</f>
        <v>0</v>
      </c>
      <c r="N129" s="312">
        <f ca="1">+'R1 Opex Detail'!N129*N$1</f>
        <v>33.261321230769234</v>
      </c>
      <c r="O129" s="310">
        <f ca="1">+'R1 Opex Detail'!O129*O$1</f>
        <v>37.201059442400421</v>
      </c>
      <c r="P129" s="310">
        <f ca="1">+'R1 Opex Detail'!P129*P$1</f>
        <v>35.557275922771531</v>
      </c>
      <c r="Q129" s="310">
        <f ca="1">+'R1 Opex Detail'!Q129*Q$1</f>
        <v>35.926269895731586</v>
      </c>
      <c r="R129" s="310">
        <f ca="1">+'R1 Opex Detail'!R129*R$1</f>
        <v>36.378693943760034</v>
      </c>
      <c r="S129" s="310">
        <f ca="1">+'R1 Opex Detail'!S129*S$1</f>
        <v>36.878449902259376</v>
      </c>
    </row>
    <row r="130" spans="1:19">
      <c r="A130" s="5"/>
      <c r="B130" s="249"/>
      <c r="C130" s="13" t="s">
        <v>647</v>
      </c>
      <c r="D130" s="312">
        <f>+'R1 Opex Detail'!D130</f>
        <v>0</v>
      </c>
      <c r="E130" s="310">
        <f>+'R1 Opex Detail'!E130</f>
        <v>0</v>
      </c>
      <c r="F130" s="310">
        <f>+'R1 Opex Detail'!F130</f>
        <v>0</v>
      </c>
      <c r="G130" s="310">
        <f>+'R1 Opex Detail'!G130</f>
        <v>0</v>
      </c>
      <c r="H130" s="310">
        <f>+'R1 Opex Detail'!H130</f>
        <v>0</v>
      </c>
      <c r="I130" s="310">
        <f>+'R1 Opex Detail'!I130</f>
        <v>0</v>
      </c>
      <c r="J130" s="310">
        <f>+'R1 Opex Detail'!J130</f>
        <v>0</v>
      </c>
      <c r="K130" s="310">
        <f>+'R1 Opex Detail'!K130</f>
        <v>0</v>
      </c>
      <c r="L130" s="310">
        <f ca="1">+'R1 Opex Detail'!L130</f>
        <v>0</v>
      </c>
      <c r="M130" s="835">
        <f ca="1">+'R1 Opex Detail'!M130*M$2</f>
        <v>0</v>
      </c>
      <c r="N130" s="312">
        <f ca="1">+'R1 Opex Detail'!N130*N$1</f>
        <v>0.36490696153846158</v>
      </c>
      <c r="O130" s="310">
        <f ca="1">+'R1 Opex Detail'!O130*O$1</f>
        <v>3.4418366176074167</v>
      </c>
      <c r="P130" s="310">
        <f ca="1">+'R1 Opex Detail'!P130*P$1</f>
        <v>2.9614596461861677</v>
      </c>
      <c r="Q130" s="310">
        <f ca="1">+'R1 Opex Detail'!Q130*Q$1</f>
        <v>2.4836387098935679</v>
      </c>
      <c r="R130" s="310">
        <f ca="1">+'R1 Opex Detail'!R130*R$1</f>
        <v>2.0068034693288257</v>
      </c>
      <c r="S130" s="310">
        <f ca="1">+'R1 Opex Detail'!S130*S$1</f>
        <v>1.529513089270363</v>
      </c>
    </row>
    <row r="131" spans="1:19" s="759" customFormat="1">
      <c r="A131" s="5"/>
      <c r="B131" s="249"/>
      <c r="C131" s="13" t="s">
        <v>575</v>
      </c>
      <c r="D131" s="312">
        <f>+'R1 Opex Detail'!D131</f>
        <v>0</v>
      </c>
      <c r="E131" s="310">
        <f>+'R1 Opex Detail'!E131</f>
        <v>0</v>
      </c>
      <c r="F131" s="310">
        <f>+'R1 Opex Detail'!F131</f>
        <v>0</v>
      </c>
      <c r="G131" s="310">
        <f>+'R1 Opex Detail'!G131</f>
        <v>0</v>
      </c>
      <c r="H131" s="310">
        <f>+'R1 Opex Detail'!H131</f>
        <v>0</v>
      </c>
      <c r="I131" s="310">
        <f>+'R1 Opex Detail'!I131</f>
        <v>0</v>
      </c>
      <c r="J131" s="310">
        <f>+'R1 Opex Detail'!J131</f>
        <v>0</v>
      </c>
      <c r="K131" s="310">
        <f>+'R1 Opex Detail'!K131</f>
        <v>0</v>
      </c>
      <c r="L131" s="310">
        <f ca="1">+'R1 Opex Detail'!L131</f>
        <v>0</v>
      </c>
      <c r="M131" s="835">
        <f ca="1">+'R1 Opex Detail'!M131*M$2</f>
        <v>0</v>
      </c>
      <c r="N131" s="312">
        <f ca="1">+'R1 Opex Detail'!N131*N$1</f>
        <v>1.9361777307692309</v>
      </c>
      <c r="O131" s="310">
        <f ca="1">+'R1 Opex Detail'!O131*O$1</f>
        <v>1.9987077373954079</v>
      </c>
      <c r="P131" s="310">
        <f ca="1">+'R1 Opex Detail'!P131*P$1</f>
        <v>2.0614562279475428</v>
      </c>
      <c r="Q131" s="310">
        <f ca="1">+'R1 Opex Detail'!Q131*Q$1</f>
        <v>2.1281907147764003</v>
      </c>
      <c r="R131" s="310">
        <f ca="1">+'R1 Opex Detail'!R131*R$1</f>
        <v>2.1986334840581079</v>
      </c>
      <c r="S131" s="310">
        <f ca="1">+'R1 Opex Detail'!S131*S$1</f>
        <v>2.2692615973045962</v>
      </c>
    </row>
    <row r="132" spans="1:19">
      <c r="A132" s="5"/>
      <c r="B132" s="249"/>
      <c r="C132" s="13" t="s">
        <v>70</v>
      </c>
      <c r="D132" s="312">
        <f>+'R1 Opex Detail'!D132</f>
        <v>0</v>
      </c>
      <c r="E132" s="310">
        <f>+'R1 Opex Detail'!E132</f>
        <v>0</v>
      </c>
      <c r="F132" s="310">
        <f>+'R1 Opex Detail'!F132</f>
        <v>0</v>
      </c>
      <c r="G132" s="310">
        <f>+'R1 Opex Detail'!G132</f>
        <v>0</v>
      </c>
      <c r="H132" s="310">
        <f>+'R1 Opex Detail'!H132</f>
        <v>0</v>
      </c>
      <c r="I132" s="310">
        <f>+'R1 Opex Detail'!I132</f>
        <v>0</v>
      </c>
      <c r="J132" s="310">
        <f>+'R1 Opex Detail'!J132</f>
        <v>0</v>
      </c>
      <c r="K132" s="310">
        <f>+'R1 Opex Detail'!K132</f>
        <v>0</v>
      </c>
      <c r="L132" s="310">
        <f ca="1">+'R1 Opex Detail'!L132</f>
        <v>0</v>
      </c>
      <c r="M132" s="835">
        <f ca="1">+'R1 Opex Detail'!M132*M$2</f>
        <v>0</v>
      </c>
      <c r="N132" s="312">
        <f ca="1">+'R1 Opex Detail'!N132*N$1</f>
        <v>0</v>
      </c>
      <c r="O132" s="310">
        <f ca="1">+'R1 Opex Detail'!O132*O$1</f>
        <v>0</v>
      </c>
      <c r="P132" s="310">
        <f ca="1">+'R1 Opex Detail'!P132*P$1</f>
        <v>0</v>
      </c>
      <c r="Q132" s="310">
        <f ca="1">+'R1 Opex Detail'!Q132*Q$1</f>
        <v>0</v>
      </c>
      <c r="R132" s="310">
        <f ca="1">+'R1 Opex Detail'!R132*R$1</f>
        <v>0</v>
      </c>
      <c r="S132" s="310">
        <f ca="1">+'R1 Opex Detail'!S132*S$1</f>
        <v>0</v>
      </c>
    </row>
    <row r="133" spans="1:19">
      <c r="A133" s="5"/>
      <c r="B133" s="249"/>
      <c r="C133" s="12" t="s">
        <v>75</v>
      </c>
      <c r="D133" s="313">
        <f t="shared" ref="D133:S133" si="14">SUBTOTAL(9,D127:D132)</f>
        <v>0</v>
      </c>
      <c r="E133" s="311">
        <f t="shared" si="14"/>
        <v>0</v>
      </c>
      <c r="F133" s="311">
        <f t="shared" si="14"/>
        <v>0</v>
      </c>
      <c r="G133" s="311">
        <f t="shared" si="14"/>
        <v>0</v>
      </c>
      <c r="H133" s="311">
        <f t="shared" si="14"/>
        <v>0</v>
      </c>
      <c r="I133" s="311">
        <f t="shared" si="14"/>
        <v>0</v>
      </c>
      <c r="J133" s="311">
        <f t="shared" si="14"/>
        <v>0</v>
      </c>
      <c r="K133" s="311">
        <f t="shared" si="14"/>
        <v>0</v>
      </c>
      <c r="L133" s="311">
        <f t="shared" ca="1" si="14"/>
        <v>0</v>
      </c>
      <c r="M133" s="513">
        <f t="shared" ca="1" si="14"/>
        <v>0</v>
      </c>
      <c r="N133" s="313">
        <f t="shared" ca="1" si="14"/>
        <v>37.322849423076924</v>
      </c>
      <c r="O133" s="311">
        <f t="shared" ca="1" si="14"/>
        <v>44.83095527145268</v>
      </c>
      <c r="P133" s="311">
        <f t="shared" ca="1" si="14"/>
        <v>42.82650313426835</v>
      </c>
      <c r="Q133" s="311">
        <f t="shared" ca="1" si="14"/>
        <v>42.844985753985689</v>
      </c>
      <c r="R133" s="311">
        <f t="shared" ca="1" si="14"/>
        <v>42.954959625628668</v>
      </c>
      <c r="S133" s="311">
        <f t="shared" ca="1" si="14"/>
        <v>43.112160076243107</v>
      </c>
    </row>
    <row r="134" spans="1:19">
      <c r="A134" s="5"/>
      <c r="B134" s="249"/>
      <c r="C134" s="12"/>
      <c r="D134" s="263"/>
      <c r="E134" s="263"/>
      <c r="F134" s="263"/>
      <c r="G134" s="263"/>
      <c r="H134" s="263"/>
      <c r="I134" s="263"/>
      <c r="J134" s="263"/>
      <c r="K134" s="263"/>
      <c r="L134" s="263"/>
      <c r="M134" s="836"/>
      <c r="N134" s="263"/>
      <c r="O134" s="263"/>
      <c r="P134" s="263"/>
      <c r="Q134" s="263"/>
      <c r="R134" s="263"/>
      <c r="S134" s="263"/>
    </row>
    <row r="135" spans="1:19">
      <c r="A135" s="5"/>
      <c r="B135" s="249" t="str">
        <f ca="1">+'I-4 History'!B133</f>
        <v>DA-15</v>
      </c>
      <c r="C135" s="14" t="str">
        <f ca="1">+'I-4 History'!C133</f>
        <v>Emergency Response</v>
      </c>
      <c r="D135" s="11"/>
      <c r="E135" s="11"/>
      <c r="F135" s="11"/>
      <c r="G135" s="11"/>
      <c r="H135" s="11"/>
      <c r="I135" s="11"/>
      <c r="J135" s="11"/>
      <c r="K135" s="11"/>
      <c r="L135" s="11"/>
      <c r="M135" s="507"/>
      <c r="N135" s="11"/>
      <c r="O135" s="11"/>
      <c r="P135" s="11"/>
      <c r="Q135" s="11"/>
      <c r="R135" s="11"/>
      <c r="S135" s="11"/>
    </row>
    <row r="136" spans="1:19">
      <c r="A136" s="5"/>
      <c r="B136" s="249"/>
      <c r="C136" s="13" t="s">
        <v>68</v>
      </c>
      <c r="D136" s="312">
        <f>+'R1 Opex Detail'!D136</f>
        <v>0</v>
      </c>
      <c r="E136" s="310">
        <f>+'R1 Opex Detail'!E136</f>
        <v>0</v>
      </c>
      <c r="F136" s="310">
        <f>+'R1 Opex Detail'!F136</f>
        <v>0</v>
      </c>
      <c r="G136" s="310">
        <f>+'R1 Opex Detail'!G136</f>
        <v>0</v>
      </c>
      <c r="H136" s="310">
        <f>+'R1 Opex Detail'!H136</f>
        <v>0</v>
      </c>
      <c r="I136" s="310">
        <f>+'R1 Opex Detail'!I136</f>
        <v>0</v>
      </c>
      <c r="J136" s="310">
        <f>+'R1 Opex Detail'!J136</f>
        <v>0</v>
      </c>
      <c r="K136" s="310">
        <f>+'R1 Opex Detail'!K136</f>
        <v>0</v>
      </c>
      <c r="L136" s="310">
        <f ca="1">+'R1 Opex Detail'!L136</f>
        <v>0</v>
      </c>
      <c r="M136" s="835">
        <f ca="1">+'R1 Opex Detail'!M136*M$2</f>
        <v>0</v>
      </c>
      <c r="N136" s="312">
        <f ca="1">+'R1 Opex Detail'!N136*N$1</f>
        <v>22.663513384615388</v>
      </c>
      <c r="O136" s="310">
        <f ca="1">+'R1 Opex Detail'!O136*O$1</f>
        <v>23.395444973121695</v>
      </c>
      <c r="P136" s="310">
        <f ca="1">+'R1 Opex Detail'!P136*P$1</f>
        <v>24.129933978388646</v>
      </c>
      <c r="Q136" s="310">
        <f ca="1">+'R1 Opex Detail'!Q136*Q$1</f>
        <v>24.9110802086267</v>
      </c>
      <c r="R136" s="310">
        <f ca="1">+'R1 Opex Detail'!R136*R$1</f>
        <v>25.735632944201793</v>
      </c>
      <c r="S136" s="310">
        <f ca="1">+'R1 Opex Detail'!S136*S$1</f>
        <v>26.562355183825932</v>
      </c>
    </row>
    <row r="137" spans="1:19">
      <c r="A137" s="5"/>
      <c r="B137" s="249"/>
      <c r="C137" s="13" t="s">
        <v>69</v>
      </c>
      <c r="D137" s="312">
        <f>+'R1 Opex Detail'!D137</f>
        <v>0</v>
      </c>
      <c r="E137" s="310">
        <f>+'R1 Opex Detail'!E137</f>
        <v>0</v>
      </c>
      <c r="F137" s="310">
        <f>+'R1 Opex Detail'!F137</f>
        <v>0</v>
      </c>
      <c r="G137" s="310">
        <f>+'R1 Opex Detail'!G137</f>
        <v>0</v>
      </c>
      <c r="H137" s="310">
        <f>+'R1 Opex Detail'!H137</f>
        <v>0</v>
      </c>
      <c r="I137" s="310">
        <f>+'R1 Opex Detail'!I137</f>
        <v>0</v>
      </c>
      <c r="J137" s="310">
        <f>+'R1 Opex Detail'!J137</f>
        <v>0</v>
      </c>
      <c r="K137" s="310">
        <f>+'R1 Opex Detail'!K137</f>
        <v>0</v>
      </c>
      <c r="L137" s="310">
        <f ca="1">+'R1 Opex Detail'!L137</f>
        <v>0</v>
      </c>
      <c r="M137" s="835">
        <f ca="1">+'R1 Opex Detail'!M137*M$2</f>
        <v>0</v>
      </c>
      <c r="N137" s="312">
        <f ca="1">+'R1 Opex Detail'!N137*N$1</f>
        <v>-1.5630009230769233</v>
      </c>
      <c r="O137" s="310">
        <f ca="1">+'R1 Opex Detail'!O137*O$1</f>
        <v>-1.5795842976643013</v>
      </c>
      <c r="P137" s="310">
        <f ca="1">+'R1 Opex Detail'!P137*P$1</f>
        <v>-1.5949502173237393</v>
      </c>
      <c r="Q137" s="310">
        <f ca="1">+'R1 Opex Detail'!Q137*Q$1</f>
        <v>-1.6101392582803971</v>
      </c>
      <c r="R137" s="310">
        <f ca="1">+'R1 Opex Detail'!R137*R$1</f>
        <v>-1.6266181478027317</v>
      </c>
      <c r="S137" s="310">
        <f ca="1">+'R1 Opex Detail'!S137*S$1</f>
        <v>-1.6417129339337266</v>
      </c>
    </row>
    <row r="138" spans="1:19" s="759" customFormat="1">
      <c r="A138" s="5"/>
      <c r="B138" s="249"/>
      <c r="C138" s="13" t="s">
        <v>646</v>
      </c>
      <c r="D138" s="312">
        <f>+'R1 Opex Detail'!D138</f>
        <v>0</v>
      </c>
      <c r="E138" s="310">
        <f>+'R1 Opex Detail'!E138</f>
        <v>0</v>
      </c>
      <c r="F138" s="310">
        <f>+'R1 Opex Detail'!F138</f>
        <v>0</v>
      </c>
      <c r="G138" s="310">
        <f>+'R1 Opex Detail'!G138</f>
        <v>0</v>
      </c>
      <c r="H138" s="310">
        <f>+'R1 Opex Detail'!H138</f>
        <v>0</v>
      </c>
      <c r="I138" s="310">
        <f>+'R1 Opex Detail'!I138</f>
        <v>0</v>
      </c>
      <c r="J138" s="310">
        <f>+'R1 Opex Detail'!J138</f>
        <v>0</v>
      </c>
      <c r="K138" s="310">
        <f>+'R1 Opex Detail'!K138</f>
        <v>0</v>
      </c>
      <c r="L138" s="310">
        <f ca="1">+'R1 Opex Detail'!L138</f>
        <v>0</v>
      </c>
      <c r="M138" s="835">
        <f ca="1">+'R1 Opex Detail'!M138*M$2</f>
        <v>0</v>
      </c>
      <c r="N138" s="312">
        <f ca="1">+'R1 Opex Detail'!N138*N$1</f>
        <v>1.4616953076923078</v>
      </c>
      <c r="O138" s="310">
        <f ca="1">+'R1 Opex Detail'!O138*O$1</f>
        <v>1.4845898530964343</v>
      </c>
      <c r="P138" s="310">
        <f ca="1">+'R1 Opex Detail'!P138*P$1</f>
        <v>1.5065268418379014</v>
      </c>
      <c r="Q138" s="310">
        <f ca="1">+'R1 Opex Detail'!Q138*Q$1</f>
        <v>1.5345616729709231</v>
      </c>
      <c r="R138" s="310">
        <f ca="1">+'R1 Opex Detail'!R138*R$1</f>
        <v>1.5665448716937178</v>
      </c>
      <c r="S138" s="310">
        <f ca="1">+'R1 Opex Detail'!S138*S$1</f>
        <v>1.600845713656093</v>
      </c>
    </row>
    <row r="139" spans="1:19">
      <c r="A139" s="5"/>
      <c r="B139" s="249"/>
      <c r="C139" s="13" t="s">
        <v>647</v>
      </c>
      <c r="D139" s="312">
        <f>+'R1 Opex Detail'!D139</f>
        <v>0</v>
      </c>
      <c r="E139" s="310">
        <f>+'R1 Opex Detail'!E139</f>
        <v>0</v>
      </c>
      <c r="F139" s="310">
        <f>+'R1 Opex Detail'!F139</f>
        <v>0</v>
      </c>
      <c r="G139" s="310">
        <f>+'R1 Opex Detail'!G139</f>
        <v>0</v>
      </c>
      <c r="H139" s="310">
        <f>+'R1 Opex Detail'!H139</f>
        <v>0</v>
      </c>
      <c r="I139" s="310">
        <f>+'R1 Opex Detail'!I139</f>
        <v>0</v>
      </c>
      <c r="J139" s="310">
        <f>+'R1 Opex Detail'!J139</f>
        <v>0</v>
      </c>
      <c r="K139" s="310">
        <f>+'R1 Opex Detail'!K139</f>
        <v>0</v>
      </c>
      <c r="L139" s="310">
        <f ca="1">+'R1 Opex Detail'!L139</f>
        <v>0</v>
      </c>
      <c r="M139" s="835">
        <f ca="1">+'R1 Opex Detail'!M139*M$2</f>
        <v>0</v>
      </c>
      <c r="N139" s="312">
        <f ca="1">+'R1 Opex Detail'!N139*N$1</f>
        <v>7.5121215000000001</v>
      </c>
      <c r="O139" s="310">
        <f ca="1">+'R1 Opex Detail'!O139*O$1</f>
        <v>7.6297839196971617</v>
      </c>
      <c r="P139" s="310">
        <f ca="1">+'R1 Opex Detail'!P139*P$1</f>
        <v>7.742525148257446</v>
      </c>
      <c r="Q139" s="310">
        <f ca="1">+'R1 Opex Detail'!Q139*Q$1</f>
        <v>7.8866051467324576</v>
      </c>
      <c r="R139" s="310">
        <f ca="1">+'R1 Opex Detail'!R139*R$1</f>
        <v>8.0509770739733</v>
      </c>
      <c r="S139" s="310">
        <f ca="1">+'R1 Opex Detail'!S139*S$1</f>
        <v>8.2272601139595665</v>
      </c>
    </row>
    <row r="140" spans="1:19" s="759" customFormat="1">
      <c r="A140" s="5"/>
      <c r="B140" s="249"/>
      <c r="C140" s="13" t="s">
        <v>575</v>
      </c>
      <c r="D140" s="312">
        <f>+'R1 Opex Detail'!D140</f>
        <v>0</v>
      </c>
      <c r="E140" s="310">
        <f>+'R1 Opex Detail'!E140</f>
        <v>0</v>
      </c>
      <c r="F140" s="310">
        <f>+'R1 Opex Detail'!F140</f>
        <v>0</v>
      </c>
      <c r="G140" s="310">
        <f>+'R1 Opex Detail'!G140</f>
        <v>0</v>
      </c>
      <c r="H140" s="310">
        <f>+'R1 Opex Detail'!H140</f>
        <v>0</v>
      </c>
      <c r="I140" s="310">
        <f>+'R1 Opex Detail'!I140</f>
        <v>0</v>
      </c>
      <c r="J140" s="310">
        <f>+'R1 Opex Detail'!J140</f>
        <v>0</v>
      </c>
      <c r="K140" s="310">
        <f>+'R1 Opex Detail'!K140</f>
        <v>0</v>
      </c>
      <c r="L140" s="310">
        <f ca="1">+'R1 Opex Detail'!L140</f>
        <v>0</v>
      </c>
      <c r="M140" s="835">
        <f ca="1">+'R1 Opex Detail'!M140*M$2</f>
        <v>0</v>
      </c>
      <c r="N140" s="312">
        <f ca="1">+'R1 Opex Detail'!N140*N$1</f>
        <v>4.4460760384615394</v>
      </c>
      <c r="O140" s="310">
        <f ca="1">+'R1 Opex Detail'!O140*O$1</f>
        <v>4.5896646975641486</v>
      </c>
      <c r="P140" s="310">
        <f ca="1">+'R1 Opex Detail'!P140*P$1</f>
        <v>4.7337550648170756</v>
      </c>
      <c r="Q140" s="310">
        <f ca="1">+'R1 Opex Detail'!Q140*Q$1</f>
        <v>4.8869985393770961</v>
      </c>
      <c r="R140" s="310">
        <f ca="1">+'R1 Opex Detail'!R140*R$1</f>
        <v>5.0487574025274533</v>
      </c>
      <c r="S140" s="310">
        <f ca="1">+'R1 Opex Detail'!S140*S$1</f>
        <v>5.2109418740027058</v>
      </c>
    </row>
    <row r="141" spans="1:19">
      <c r="A141" s="5"/>
      <c r="B141" s="249"/>
      <c r="C141" s="13" t="s">
        <v>70</v>
      </c>
      <c r="D141" s="312">
        <f>+'R1 Opex Detail'!D141</f>
        <v>0</v>
      </c>
      <c r="E141" s="310">
        <f>+'R1 Opex Detail'!E141</f>
        <v>0</v>
      </c>
      <c r="F141" s="310">
        <f>+'R1 Opex Detail'!F141</f>
        <v>0</v>
      </c>
      <c r="G141" s="310">
        <f>+'R1 Opex Detail'!G141</f>
        <v>0</v>
      </c>
      <c r="H141" s="310">
        <f>+'R1 Opex Detail'!H141</f>
        <v>0</v>
      </c>
      <c r="I141" s="310">
        <f>+'R1 Opex Detail'!I141</f>
        <v>0</v>
      </c>
      <c r="J141" s="310">
        <f>+'R1 Opex Detail'!J141</f>
        <v>0</v>
      </c>
      <c r="K141" s="310">
        <f>+'R1 Opex Detail'!K141</f>
        <v>0</v>
      </c>
      <c r="L141" s="310">
        <f ca="1">+'R1 Opex Detail'!L141</f>
        <v>0</v>
      </c>
      <c r="M141" s="835">
        <f ca="1">+'R1 Opex Detail'!M141*M$2</f>
        <v>0</v>
      </c>
      <c r="N141" s="312">
        <f ca="1">+'R1 Opex Detail'!N141*N$1</f>
        <v>0</v>
      </c>
      <c r="O141" s="310">
        <f ca="1">+'R1 Opex Detail'!O141*O$1</f>
        <v>0</v>
      </c>
      <c r="P141" s="310">
        <f ca="1">+'R1 Opex Detail'!P141*P$1</f>
        <v>0</v>
      </c>
      <c r="Q141" s="310">
        <f ca="1">+'R1 Opex Detail'!Q141*Q$1</f>
        <v>0</v>
      </c>
      <c r="R141" s="310">
        <f ca="1">+'R1 Opex Detail'!R141*R$1</f>
        <v>0</v>
      </c>
      <c r="S141" s="310">
        <f ca="1">+'R1 Opex Detail'!S141*S$1</f>
        <v>0</v>
      </c>
    </row>
    <row r="142" spans="1:19">
      <c r="A142" s="5"/>
      <c r="B142" s="249"/>
      <c r="C142" s="12" t="s">
        <v>75</v>
      </c>
      <c r="D142" s="313">
        <f t="shared" ref="D142:S142" si="15">SUBTOTAL(9,D136:D141)</f>
        <v>0</v>
      </c>
      <c r="E142" s="311">
        <f t="shared" si="15"/>
        <v>0</v>
      </c>
      <c r="F142" s="311">
        <f t="shared" si="15"/>
        <v>0</v>
      </c>
      <c r="G142" s="311">
        <f t="shared" si="15"/>
        <v>0</v>
      </c>
      <c r="H142" s="311">
        <f t="shared" si="15"/>
        <v>0</v>
      </c>
      <c r="I142" s="311">
        <f t="shared" si="15"/>
        <v>0</v>
      </c>
      <c r="J142" s="311">
        <f t="shared" si="15"/>
        <v>0</v>
      </c>
      <c r="K142" s="311">
        <f t="shared" si="15"/>
        <v>0</v>
      </c>
      <c r="L142" s="311">
        <f t="shared" ca="1" si="15"/>
        <v>0</v>
      </c>
      <c r="M142" s="513">
        <f t="shared" ca="1" si="15"/>
        <v>0</v>
      </c>
      <c r="N142" s="313">
        <f t="shared" ca="1" si="15"/>
        <v>34.520405307692315</v>
      </c>
      <c r="O142" s="311">
        <f t="shared" ca="1" si="15"/>
        <v>35.519899145815138</v>
      </c>
      <c r="P142" s="311">
        <f t="shared" ca="1" si="15"/>
        <v>36.517790815977328</v>
      </c>
      <c r="Q142" s="311">
        <f t="shared" ca="1" si="15"/>
        <v>37.609106309426778</v>
      </c>
      <c r="R142" s="311">
        <f t="shared" ca="1" si="15"/>
        <v>38.775294144593531</v>
      </c>
      <c r="S142" s="311">
        <f t="shared" ca="1" si="15"/>
        <v>39.959689951510576</v>
      </c>
    </row>
    <row r="143" spans="1:19">
      <c r="A143" s="5"/>
      <c r="B143" s="249"/>
      <c r="C143" s="12"/>
      <c r="D143" s="263"/>
      <c r="E143" s="263"/>
      <c r="F143" s="263"/>
      <c r="G143" s="263"/>
      <c r="H143" s="263"/>
      <c r="I143" s="263"/>
      <c r="J143" s="263"/>
      <c r="K143" s="263"/>
      <c r="L143" s="263"/>
      <c r="M143" s="836"/>
      <c r="N143" s="263"/>
      <c r="O143" s="263"/>
      <c r="P143" s="263"/>
      <c r="Q143" s="263"/>
      <c r="R143" s="263"/>
      <c r="S143" s="263"/>
    </row>
    <row r="144" spans="1:19">
      <c r="A144" s="5"/>
      <c r="B144" s="249" t="str">
        <f ca="1">+'I-4 History'!B142</f>
        <v>DA-16</v>
      </c>
      <c r="C144" s="14" t="str">
        <f ca="1">+'I-4 History'!C142</f>
        <v>Meter Reading Charges</v>
      </c>
      <c r="D144" s="11"/>
      <c r="E144" s="11"/>
      <c r="F144" s="11"/>
      <c r="G144" s="11"/>
      <c r="H144" s="11"/>
      <c r="I144" s="11"/>
      <c r="J144" s="11"/>
      <c r="K144" s="11"/>
      <c r="L144" s="11"/>
      <c r="M144" s="507"/>
      <c r="N144" s="11"/>
      <c r="O144" s="11"/>
      <c r="P144" s="11"/>
      <c r="Q144" s="11"/>
      <c r="R144" s="11"/>
      <c r="S144" s="11"/>
    </row>
    <row r="145" spans="1:19">
      <c r="A145" s="5"/>
      <c r="B145" s="249"/>
      <c r="C145" s="13" t="s">
        <v>68</v>
      </c>
      <c r="D145" s="312">
        <f>+'R1 Opex Detail'!D145</f>
        <v>0</v>
      </c>
      <c r="E145" s="310">
        <f>+'R1 Opex Detail'!E145</f>
        <v>0</v>
      </c>
      <c r="F145" s="310">
        <f>+'R1 Opex Detail'!F145</f>
        <v>0</v>
      </c>
      <c r="G145" s="310">
        <f>+'R1 Opex Detail'!G145</f>
        <v>0</v>
      </c>
      <c r="H145" s="310">
        <f>+'R1 Opex Detail'!H145</f>
        <v>0</v>
      </c>
      <c r="I145" s="310">
        <f>+'R1 Opex Detail'!I145</f>
        <v>0</v>
      </c>
      <c r="J145" s="310">
        <f>+'R1 Opex Detail'!J145</f>
        <v>0</v>
      </c>
      <c r="K145" s="310">
        <f>+'R1 Opex Detail'!K145</f>
        <v>0</v>
      </c>
      <c r="L145" s="310">
        <f ca="1">+'R1 Opex Detail'!L145</f>
        <v>0</v>
      </c>
      <c r="M145" s="835">
        <f ca="1">+'R1 Opex Detail'!M145*M$2</f>
        <v>0</v>
      </c>
      <c r="N145" s="312">
        <f ca="1">+'R1 Opex Detail'!N145*N$1</f>
        <v>0</v>
      </c>
      <c r="O145" s="310">
        <f ca="1">+'R1 Opex Detail'!O145*O$1</f>
        <v>0</v>
      </c>
      <c r="P145" s="310">
        <f ca="1">+'R1 Opex Detail'!P145*P$1</f>
        <v>0</v>
      </c>
      <c r="Q145" s="310">
        <f ca="1">+'R1 Opex Detail'!Q145*Q$1</f>
        <v>0</v>
      </c>
      <c r="R145" s="310">
        <f ca="1">+'R1 Opex Detail'!R145*R$1</f>
        <v>0</v>
      </c>
      <c r="S145" s="310">
        <f ca="1">+'R1 Opex Detail'!S145*S$1</f>
        <v>0</v>
      </c>
    </row>
    <row r="146" spans="1:19">
      <c r="A146" s="5"/>
      <c r="B146" s="249"/>
      <c r="C146" s="13" t="s">
        <v>69</v>
      </c>
      <c r="D146" s="312">
        <f>+'R1 Opex Detail'!D146</f>
        <v>0</v>
      </c>
      <c r="E146" s="310">
        <f>+'R1 Opex Detail'!E146</f>
        <v>0</v>
      </c>
      <c r="F146" s="310">
        <f>+'R1 Opex Detail'!F146</f>
        <v>0</v>
      </c>
      <c r="G146" s="310">
        <f>+'R1 Opex Detail'!G146</f>
        <v>0</v>
      </c>
      <c r="H146" s="310">
        <f>+'R1 Opex Detail'!H146</f>
        <v>0</v>
      </c>
      <c r="I146" s="310">
        <f>+'R1 Opex Detail'!I146</f>
        <v>0</v>
      </c>
      <c r="J146" s="310">
        <f>+'R1 Opex Detail'!J146</f>
        <v>0</v>
      </c>
      <c r="K146" s="310">
        <f>+'R1 Opex Detail'!K146</f>
        <v>0</v>
      </c>
      <c r="L146" s="310">
        <f ca="1">+'R1 Opex Detail'!L146</f>
        <v>0</v>
      </c>
      <c r="M146" s="835">
        <f ca="1">+'R1 Opex Detail'!M146*M$2</f>
        <v>0</v>
      </c>
      <c r="N146" s="312">
        <f ca="1">+'R1 Opex Detail'!N146*N$1</f>
        <v>0</v>
      </c>
      <c r="O146" s="310">
        <f ca="1">+'R1 Opex Detail'!O146*O$1</f>
        <v>0</v>
      </c>
      <c r="P146" s="310">
        <f ca="1">+'R1 Opex Detail'!P146*P$1</f>
        <v>0</v>
      </c>
      <c r="Q146" s="310">
        <f ca="1">+'R1 Opex Detail'!Q146*Q$1</f>
        <v>0</v>
      </c>
      <c r="R146" s="310">
        <f ca="1">+'R1 Opex Detail'!R146*R$1</f>
        <v>0</v>
      </c>
      <c r="S146" s="310">
        <f ca="1">+'R1 Opex Detail'!S146*S$1</f>
        <v>0</v>
      </c>
    </row>
    <row r="147" spans="1:19" s="759" customFormat="1">
      <c r="A147" s="5"/>
      <c r="B147" s="249"/>
      <c r="C147" s="13" t="s">
        <v>646</v>
      </c>
      <c r="D147" s="312">
        <f>+'R1 Opex Detail'!D147</f>
        <v>0</v>
      </c>
      <c r="E147" s="310">
        <f>+'R1 Opex Detail'!E147</f>
        <v>0</v>
      </c>
      <c r="F147" s="310">
        <f>+'R1 Opex Detail'!F147</f>
        <v>0</v>
      </c>
      <c r="G147" s="310">
        <f>+'R1 Opex Detail'!G147</f>
        <v>0</v>
      </c>
      <c r="H147" s="310">
        <f>+'R1 Opex Detail'!H147</f>
        <v>0</v>
      </c>
      <c r="I147" s="310">
        <f>+'R1 Opex Detail'!I147</f>
        <v>0</v>
      </c>
      <c r="J147" s="310">
        <f>+'R1 Opex Detail'!J147</f>
        <v>0</v>
      </c>
      <c r="K147" s="310">
        <f>+'R1 Opex Detail'!K147</f>
        <v>0</v>
      </c>
      <c r="L147" s="310">
        <f ca="1">+'R1 Opex Detail'!L147</f>
        <v>0</v>
      </c>
      <c r="M147" s="835">
        <f ca="1">+'R1 Opex Detail'!M147*M$2</f>
        <v>0</v>
      </c>
      <c r="N147" s="312">
        <f ca="1">+'R1 Opex Detail'!N147*N$1</f>
        <v>0</v>
      </c>
      <c r="O147" s="310">
        <f ca="1">+'R1 Opex Detail'!O147*O$1</f>
        <v>0</v>
      </c>
      <c r="P147" s="310">
        <f ca="1">+'R1 Opex Detail'!P147*P$1</f>
        <v>0</v>
      </c>
      <c r="Q147" s="310">
        <f ca="1">+'R1 Opex Detail'!Q147*Q$1</f>
        <v>0</v>
      </c>
      <c r="R147" s="310">
        <f ca="1">+'R1 Opex Detail'!R147*R$1</f>
        <v>0</v>
      </c>
      <c r="S147" s="310">
        <f ca="1">+'R1 Opex Detail'!S147*S$1</f>
        <v>0</v>
      </c>
    </row>
    <row r="148" spans="1:19">
      <c r="A148" s="5"/>
      <c r="B148" s="249"/>
      <c r="C148" s="13" t="s">
        <v>647</v>
      </c>
      <c r="D148" s="312">
        <f>+'R1 Opex Detail'!D148</f>
        <v>0</v>
      </c>
      <c r="E148" s="310">
        <f>+'R1 Opex Detail'!E148</f>
        <v>0</v>
      </c>
      <c r="F148" s="310">
        <f>+'R1 Opex Detail'!F148</f>
        <v>0</v>
      </c>
      <c r="G148" s="310">
        <f>+'R1 Opex Detail'!G148</f>
        <v>0</v>
      </c>
      <c r="H148" s="310">
        <f>+'R1 Opex Detail'!H148</f>
        <v>0</v>
      </c>
      <c r="I148" s="310">
        <f>+'R1 Opex Detail'!I148</f>
        <v>0</v>
      </c>
      <c r="J148" s="310">
        <f>+'R1 Opex Detail'!J148</f>
        <v>0</v>
      </c>
      <c r="K148" s="310">
        <f>+'R1 Opex Detail'!K148</f>
        <v>0</v>
      </c>
      <c r="L148" s="310">
        <f ca="1">+'R1 Opex Detail'!L148</f>
        <v>0</v>
      </c>
      <c r="M148" s="835">
        <f ca="1">+'R1 Opex Detail'!M148*M$2</f>
        <v>0</v>
      </c>
      <c r="N148" s="312">
        <f ca="1">+'R1 Opex Detail'!N148*N$1</f>
        <v>0</v>
      </c>
      <c r="O148" s="310">
        <f ca="1">+'R1 Opex Detail'!O148*O$1</f>
        <v>0</v>
      </c>
      <c r="P148" s="310">
        <f ca="1">+'R1 Opex Detail'!P148*P$1</f>
        <v>0</v>
      </c>
      <c r="Q148" s="310">
        <f ca="1">+'R1 Opex Detail'!Q148*Q$1</f>
        <v>0</v>
      </c>
      <c r="R148" s="310">
        <f ca="1">+'R1 Opex Detail'!R148*R$1</f>
        <v>0</v>
      </c>
      <c r="S148" s="310">
        <f ca="1">+'R1 Opex Detail'!S148*S$1</f>
        <v>0</v>
      </c>
    </row>
    <row r="149" spans="1:19" s="759" customFormat="1">
      <c r="A149" s="5"/>
      <c r="B149" s="249"/>
      <c r="C149" s="13" t="s">
        <v>575</v>
      </c>
      <c r="D149" s="312">
        <f>+'R1 Opex Detail'!D149</f>
        <v>0</v>
      </c>
      <c r="E149" s="310">
        <f>+'R1 Opex Detail'!E149</f>
        <v>0</v>
      </c>
      <c r="F149" s="310">
        <f>+'R1 Opex Detail'!F149</f>
        <v>0</v>
      </c>
      <c r="G149" s="310">
        <f>+'R1 Opex Detail'!G149</f>
        <v>0</v>
      </c>
      <c r="H149" s="310">
        <f>+'R1 Opex Detail'!H149</f>
        <v>0</v>
      </c>
      <c r="I149" s="310">
        <f>+'R1 Opex Detail'!I149</f>
        <v>0</v>
      </c>
      <c r="J149" s="310">
        <f>+'R1 Opex Detail'!J149</f>
        <v>0</v>
      </c>
      <c r="K149" s="310">
        <f>+'R1 Opex Detail'!K149</f>
        <v>0</v>
      </c>
      <c r="L149" s="310">
        <f ca="1">+'R1 Opex Detail'!L149</f>
        <v>0</v>
      </c>
      <c r="M149" s="835">
        <f ca="1">+'R1 Opex Detail'!M149*M$2</f>
        <v>0</v>
      </c>
      <c r="N149" s="312">
        <f ca="1">+'R1 Opex Detail'!N149*N$1</f>
        <v>0</v>
      </c>
      <c r="O149" s="310">
        <f ca="1">+'R1 Opex Detail'!O149*O$1</f>
        <v>0</v>
      </c>
      <c r="P149" s="310">
        <f ca="1">+'R1 Opex Detail'!P149*P$1</f>
        <v>0</v>
      </c>
      <c r="Q149" s="310">
        <f ca="1">+'R1 Opex Detail'!Q149*Q$1</f>
        <v>0</v>
      </c>
      <c r="R149" s="310">
        <f ca="1">+'R1 Opex Detail'!R149*R$1</f>
        <v>0</v>
      </c>
      <c r="S149" s="310">
        <f ca="1">+'R1 Opex Detail'!S149*S$1</f>
        <v>0</v>
      </c>
    </row>
    <row r="150" spans="1:19">
      <c r="A150" s="5"/>
      <c r="B150" s="249"/>
      <c r="C150" s="13" t="s">
        <v>70</v>
      </c>
      <c r="D150" s="312">
        <f>+'R1 Opex Detail'!D150</f>
        <v>0</v>
      </c>
      <c r="E150" s="310">
        <f>+'R1 Opex Detail'!E150</f>
        <v>0</v>
      </c>
      <c r="F150" s="310">
        <f>+'R1 Opex Detail'!F150</f>
        <v>0</v>
      </c>
      <c r="G150" s="310">
        <f>+'R1 Opex Detail'!G150</f>
        <v>0</v>
      </c>
      <c r="H150" s="310">
        <f>+'R1 Opex Detail'!H150</f>
        <v>0</v>
      </c>
      <c r="I150" s="310">
        <f>+'R1 Opex Detail'!I150</f>
        <v>0</v>
      </c>
      <c r="J150" s="310">
        <f>+'R1 Opex Detail'!J150</f>
        <v>0</v>
      </c>
      <c r="K150" s="310">
        <f>+'R1 Opex Detail'!K150</f>
        <v>0</v>
      </c>
      <c r="L150" s="310">
        <f ca="1">+'R1 Opex Detail'!L150</f>
        <v>0</v>
      </c>
      <c r="M150" s="835">
        <f ca="1">+'R1 Opex Detail'!M150*M$2</f>
        <v>0</v>
      </c>
      <c r="N150" s="312">
        <f ca="1">+'R1 Opex Detail'!N150*N$1</f>
        <v>0</v>
      </c>
      <c r="O150" s="310">
        <f ca="1">+'R1 Opex Detail'!O150*O$1</f>
        <v>0</v>
      </c>
      <c r="P150" s="310">
        <f ca="1">+'R1 Opex Detail'!P150*P$1</f>
        <v>0</v>
      </c>
      <c r="Q150" s="310">
        <f ca="1">+'R1 Opex Detail'!Q150*Q$1</f>
        <v>0</v>
      </c>
      <c r="R150" s="310">
        <f ca="1">+'R1 Opex Detail'!R150*R$1</f>
        <v>0</v>
      </c>
      <c r="S150" s="310">
        <f ca="1">+'R1 Opex Detail'!S150*S$1</f>
        <v>0</v>
      </c>
    </row>
    <row r="151" spans="1:19">
      <c r="A151" s="5"/>
      <c r="B151" s="249"/>
      <c r="C151" s="12" t="s">
        <v>75</v>
      </c>
      <c r="D151" s="313">
        <f t="shared" ref="D151:S151" si="16">SUBTOTAL(9,D145:D150)</f>
        <v>0</v>
      </c>
      <c r="E151" s="311">
        <f t="shared" si="16"/>
        <v>0</v>
      </c>
      <c r="F151" s="311">
        <f t="shared" si="16"/>
        <v>0</v>
      </c>
      <c r="G151" s="311">
        <f t="shared" si="16"/>
        <v>0</v>
      </c>
      <c r="H151" s="311">
        <f t="shared" si="16"/>
        <v>0</v>
      </c>
      <c r="I151" s="311">
        <f t="shared" si="16"/>
        <v>0</v>
      </c>
      <c r="J151" s="311">
        <f t="shared" si="16"/>
        <v>0</v>
      </c>
      <c r="K151" s="311">
        <f t="shared" si="16"/>
        <v>0</v>
      </c>
      <c r="L151" s="311">
        <f t="shared" ca="1" si="16"/>
        <v>0</v>
      </c>
      <c r="M151" s="513">
        <f t="shared" ca="1" si="16"/>
        <v>0</v>
      </c>
      <c r="N151" s="313">
        <f t="shared" ca="1" si="16"/>
        <v>0</v>
      </c>
      <c r="O151" s="311">
        <f t="shared" ca="1" si="16"/>
        <v>0</v>
      </c>
      <c r="P151" s="311">
        <f t="shared" ca="1" si="16"/>
        <v>0</v>
      </c>
      <c r="Q151" s="311">
        <f t="shared" ca="1" si="16"/>
        <v>0</v>
      </c>
      <c r="R151" s="311">
        <f t="shared" ca="1" si="16"/>
        <v>0</v>
      </c>
      <c r="S151" s="311">
        <f t="shared" ca="1" si="16"/>
        <v>0</v>
      </c>
    </row>
    <row r="152" spans="1:19">
      <c r="A152" s="5"/>
      <c r="B152" s="249"/>
      <c r="C152" s="12"/>
      <c r="D152" s="263"/>
      <c r="E152" s="263"/>
      <c r="F152" s="263"/>
      <c r="G152" s="263"/>
      <c r="H152" s="263"/>
      <c r="I152" s="263"/>
      <c r="J152" s="263"/>
      <c r="K152" s="263"/>
      <c r="L152" s="263"/>
      <c r="M152" s="836"/>
      <c r="N152" s="263"/>
      <c r="O152" s="263"/>
      <c r="P152" s="263"/>
      <c r="Q152" s="263"/>
      <c r="R152" s="263"/>
      <c r="S152" s="263"/>
    </row>
    <row r="153" spans="1:19">
      <c r="A153" s="5"/>
      <c r="B153" s="249" t="str">
        <f ca="1">+'I-4 History'!B151</f>
        <v>DA-17</v>
      </c>
      <c r="C153" s="14" t="str">
        <f ca="1">+'I-4 History'!C151</f>
        <v>Call Centre Charges</v>
      </c>
      <c r="D153" s="11"/>
      <c r="E153" s="11"/>
      <c r="F153" s="11"/>
      <c r="G153" s="11"/>
      <c r="H153" s="11"/>
      <c r="I153" s="11"/>
      <c r="J153" s="11"/>
      <c r="K153" s="11"/>
      <c r="L153" s="11"/>
      <c r="M153" s="507"/>
      <c r="N153" s="11"/>
      <c r="O153" s="11"/>
      <c r="P153" s="11"/>
      <c r="Q153" s="11"/>
      <c r="R153" s="11"/>
      <c r="S153" s="11"/>
    </row>
    <row r="154" spans="1:19">
      <c r="A154" s="5"/>
      <c r="B154" s="249"/>
      <c r="C154" s="13" t="s">
        <v>68</v>
      </c>
      <c r="D154" s="312">
        <f>+'R1 Opex Detail'!D154</f>
        <v>0</v>
      </c>
      <c r="E154" s="310">
        <f>+'R1 Opex Detail'!E154</f>
        <v>0</v>
      </c>
      <c r="F154" s="310">
        <f>+'R1 Opex Detail'!F154</f>
        <v>0</v>
      </c>
      <c r="G154" s="310">
        <f>+'R1 Opex Detail'!G154</f>
        <v>0</v>
      </c>
      <c r="H154" s="310">
        <f>+'R1 Opex Detail'!H154</f>
        <v>0</v>
      </c>
      <c r="I154" s="310">
        <f>+'R1 Opex Detail'!I154</f>
        <v>0</v>
      </c>
      <c r="J154" s="310">
        <f>+'R1 Opex Detail'!J154</f>
        <v>0</v>
      </c>
      <c r="K154" s="310">
        <f>+'R1 Opex Detail'!K154</f>
        <v>0</v>
      </c>
      <c r="L154" s="310">
        <f ca="1">+'R1 Opex Detail'!L154</f>
        <v>0</v>
      </c>
      <c r="M154" s="835">
        <f ca="1">+'R1 Opex Detail'!M154*M$2</f>
        <v>0</v>
      </c>
      <c r="N154" s="312">
        <f ca="1">+'R1 Opex Detail'!N154*N$1</f>
        <v>0</v>
      </c>
      <c r="O154" s="310">
        <f ca="1">+'R1 Opex Detail'!O154*O$1</f>
        <v>0</v>
      </c>
      <c r="P154" s="310">
        <f ca="1">+'R1 Opex Detail'!P154*P$1</f>
        <v>0</v>
      </c>
      <c r="Q154" s="310">
        <f ca="1">+'R1 Opex Detail'!Q154*Q$1</f>
        <v>0</v>
      </c>
      <c r="R154" s="310">
        <f ca="1">+'R1 Opex Detail'!R154*R$1</f>
        <v>0</v>
      </c>
      <c r="S154" s="310">
        <f ca="1">+'R1 Opex Detail'!S154*S$1</f>
        <v>0</v>
      </c>
    </row>
    <row r="155" spans="1:19">
      <c r="A155" s="5"/>
      <c r="B155" s="249"/>
      <c r="C155" s="13" t="s">
        <v>69</v>
      </c>
      <c r="D155" s="312">
        <f>+'R1 Opex Detail'!D155</f>
        <v>0</v>
      </c>
      <c r="E155" s="310">
        <f>+'R1 Opex Detail'!E155</f>
        <v>0</v>
      </c>
      <c r="F155" s="310">
        <f>+'R1 Opex Detail'!F155</f>
        <v>0</v>
      </c>
      <c r="G155" s="310">
        <f>+'R1 Opex Detail'!G155</f>
        <v>0</v>
      </c>
      <c r="H155" s="310">
        <f>+'R1 Opex Detail'!H155</f>
        <v>0</v>
      </c>
      <c r="I155" s="310">
        <f>+'R1 Opex Detail'!I155</f>
        <v>0</v>
      </c>
      <c r="J155" s="310">
        <f>+'R1 Opex Detail'!J155</f>
        <v>0</v>
      </c>
      <c r="K155" s="310">
        <f>+'R1 Opex Detail'!K155</f>
        <v>0</v>
      </c>
      <c r="L155" s="310">
        <f ca="1">+'R1 Opex Detail'!L155</f>
        <v>0</v>
      </c>
      <c r="M155" s="835">
        <f ca="1">+'R1 Opex Detail'!M155*M$2</f>
        <v>0</v>
      </c>
      <c r="N155" s="312">
        <f ca="1">+'R1 Opex Detail'!N155*N$1</f>
        <v>0</v>
      </c>
      <c r="O155" s="310">
        <f ca="1">+'R1 Opex Detail'!O155*O$1</f>
        <v>0</v>
      </c>
      <c r="P155" s="310">
        <f ca="1">+'R1 Opex Detail'!P155*P$1</f>
        <v>0</v>
      </c>
      <c r="Q155" s="310">
        <f ca="1">+'R1 Opex Detail'!Q155*Q$1</f>
        <v>0</v>
      </c>
      <c r="R155" s="310">
        <f ca="1">+'R1 Opex Detail'!R155*R$1</f>
        <v>0</v>
      </c>
      <c r="S155" s="310">
        <f ca="1">+'R1 Opex Detail'!S155*S$1</f>
        <v>0</v>
      </c>
    </row>
    <row r="156" spans="1:19" s="759" customFormat="1">
      <c r="A156" s="5"/>
      <c r="B156" s="249"/>
      <c r="C156" s="13" t="s">
        <v>646</v>
      </c>
      <c r="D156" s="312">
        <f>+'R1 Opex Detail'!D156</f>
        <v>0</v>
      </c>
      <c r="E156" s="310">
        <f>+'R1 Opex Detail'!E156</f>
        <v>0</v>
      </c>
      <c r="F156" s="310">
        <f>+'R1 Opex Detail'!F156</f>
        <v>0</v>
      </c>
      <c r="G156" s="310">
        <f>+'R1 Opex Detail'!G156</f>
        <v>0</v>
      </c>
      <c r="H156" s="310">
        <f>+'R1 Opex Detail'!H156</f>
        <v>0</v>
      </c>
      <c r="I156" s="310">
        <f>+'R1 Opex Detail'!I156</f>
        <v>0</v>
      </c>
      <c r="J156" s="310">
        <f>+'R1 Opex Detail'!J156</f>
        <v>0</v>
      </c>
      <c r="K156" s="310">
        <f>+'R1 Opex Detail'!K156</f>
        <v>0</v>
      </c>
      <c r="L156" s="310">
        <f ca="1">+'R1 Opex Detail'!L156</f>
        <v>0</v>
      </c>
      <c r="M156" s="835">
        <f ca="1">+'R1 Opex Detail'!M156*M$2</f>
        <v>0</v>
      </c>
      <c r="N156" s="312">
        <f ca="1">+'R1 Opex Detail'!N156*N$1</f>
        <v>0</v>
      </c>
      <c r="O156" s="310">
        <f ca="1">+'R1 Opex Detail'!O156*O$1</f>
        <v>0</v>
      </c>
      <c r="P156" s="310">
        <f ca="1">+'R1 Opex Detail'!P156*P$1</f>
        <v>0</v>
      </c>
      <c r="Q156" s="310">
        <f ca="1">+'R1 Opex Detail'!Q156*Q$1</f>
        <v>0</v>
      </c>
      <c r="R156" s="310">
        <f ca="1">+'R1 Opex Detail'!R156*R$1</f>
        <v>0</v>
      </c>
      <c r="S156" s="310">
        <f ca="1">+'R1 Opex Detail'!S156*S$1</f>
        <v>0</v>
      </c>
    </row>
    <row r="157" spans="1:19">
      <c r="A157" s="5"/>
      <c r="B157" s="249"/>
      <c r="C157" s="13" t="s">
        <v>647</v>
      </c>
      <c r="D157" s="312">
        <f>+'R1 Opex Detail'!D157</f>
        <v>0</v>
      </c>
      <c r="E157" s="310">
        <f>+'R1 Opex Detail'!E157</f>
        <v>0</v>
      </c>
      <c r="F157" s="310">
        <f>+'R1 Opex Detail'!F157</f>
        <v>0</v>
      </c>
      <c r="G157" s="310">
        <f>+'R1 Opex Detail'!G157</f>
        <v>0</v>
      </c>
      <c r="H157" s="310">
        <f>+'R1 Opex Detail'!H157</f>
        <v>0</v>
      </c>
      <c r="I157" s="310">
        <f>+'R1 Opex Detail'!I157</f>
        <v>0</v>
      </c>
      <c r="J157" s="310">
        <f>+'R1 Opex Detail'!J157</f>
        <v>0</v>
      </c>
      <c r="K157" s="310">
        <f>+'R1 Opex Detail'!K157</f>
        <v>0</v>
      </c>
      <c r="L157" s="310">
        <f ca="1">+'R1 Opex Detail'!L157</f>
        <v>0</v>
      </c>
      <c r="M157" s="835">
        <f ca="1">+'R1 Opex Detail'!M157*M$2</f>
        <v>0</v>
      </c>
      <c r="N157" s="312">
        <f ca="1">+'R1 Opex Detail'!N157*N$1</f>
        <v>3.0546744230769236</v>
      </c>
      <c r="O157" s="310">
        <f ca="1">+'R1 Opex Detail'!O157*O$1</f>
        <v>3.1025198132248679</v>
      </c>
      <c r="P157" s="310">
        <f ca="1">+'R1 Opex Detail'!P157*P$1</f>
        <v>3.1483640860190936</v>
      </c>
      <c r="Q157" s="310">
        <f ca="1">+'R1 Opex Detail'!Q157*Q$1</f>
        <v>3.2069517281676645</v>
      </c>
      <c r="R157" s="310">
        <f ca="1">+'R1 Opex Detail'!R157*R$1</f>
        <v>3.2737907325706761</v>
      </c>
      <c r="S157" s="310">
        <f ca="1">+'R1 Opex Detail'!S157*S$1</f>
        <v>3.3454731851865316</v>
      </c>
    </row>
    <row r="158" spans="1:19" s="759" customFormat="1">
      <c r="A158" s="5"/>
      <c r="B158" s="249"/>
      <c r="C158" s="13" t="s">
        <v>575</v>
      </c>
      <c r="D158" s="312">
        <f>+'R1 Opex Detail'!D158</f>
        <v>0</v>
      </c>
      <c r="E158" s="310">
        <f>+'R1 Opex Detail'!E158</f>
        <v>0</v>
      </c>
      <c r="F158" s="310">
        <f>+'R1 Opex Detail'!F158</f>
        <v>0</v>
      </c>
      <c r="G158" s="310">
        <f>+'R1 Opex Detail'!G158</f>
        <v>0</v>
      </c>
      <c r="H158" s="310">
        <f>+'R1 Opex Detail'!H158</f>
        <v>0</v>
      </c>
      <c r="I158" s="310">
        <f>+'R1 Opex Detail'!I158</f>
        <v>0</v>
      </c>
      <c r="J158" s="310">
        <f>+'R1 Opex Detail'!J158</f>
        <v>0</v>
      </c>
      <c r="K158" s="310">
        <f>+'R1 Opex Detail'!K158</f>
        <v>0</v>
      </c>
      <c r="L158" s="310">
        <f ca="1">+'R1 Opex Detail'!L158</f>
        <v>0</v>
      </c>
      <c r="M158" s="835">
        <f ca="1">+'R1 Opex Detail'!M158*M$2</f>
        <v>0</v>
      </c>
      <c r="N158" s="312">
        <f ca="1">+'R1 Opex Detail'!N158*N$1</f>
        <v>0</v>
      </c>
      <c r="O158" s="310">
        <f ca="1">+'R1 Opex Detail'!O158*O$1</f>
        <v>0</v>
      </c>
      <c r="P158" s="310">
        <f ca="1">+'R1 Opex Detail'!P158*P$1</f>
        <v>0</v>
      </c>
      <c r="Q158" s="310">
        <f ca="1">+'R1 Opex Detail'!Q158*Q$1</f>
        <v>0</v>
      </c>
      <c r="R158" s="310">
        <f ca="1">+'R1 Opex Detail'!R158*R$1</f>
        <v>0</v>
      </c>
      <c r="S158" s="310">
        <f ca="1">+'R1 Opex Detail'!S158*S$1</f>
        <v>0</v>
      </c>
    </row>
    <row r="159" spans="1:19">
      <c r="A159" s="5"/>
      <c r="B159" s="249"/>
      <c r="C159" s="13" t="s">
        <v>70</v>
      </c>
      <c r="D159" s="312">
        <f>+'R1 Opex Detail'!D159</f>
        <v>0</v>
      </c>
      <c r="E159" s="310">
        <f>+'R1 Opex Detail'!E159</f>
        <v>0</v>
      </c>
      <c r="F159" s="310">
        <f>+'R1 Opex Detail'!F159</f>
        <v>0</v>
      </c>
      <c r="G159" s="310">
        <f>+'R1 Opex Detail'!G159</f>
        <v>0</v>
      </c>
      <c r="H159" s="310">
        <f>+'R1 Opex Detail'!H159</f>
        <v>0</v>
      </c>
      <c r="I159" s="310">
        <f>+'R1 Opex Detail'!I159</f>
        <v>0</v>
      </c>
      <c r="J159" s="310">
        <f>+'R1 Opex Detail'!J159</f>
        <v>0</v>
      </c>
      <c r="K159" s="310">
        <f>+'R1 Opex Detail'!K159</f>
        <v>0</v>
      </c>
      <c r="L159" s="310">
        <f ca="1">+'R1 Opex Detail'!L159</f>
        <v>0</v>
      </c>
      <c r="M159" s="835">
        <f ca="1">+'R1 Opex Detail'!M159*M$2</f>
        <v>0</v>
      </c>
      <c r="N159" s="312">
        <f ca="1">+'R1 Opex Detail'!N159*N$1</f>
        <v>0</v>
      </c>
      <c r="O159" s="310">
        <f ca="1">+'R1 Opex Detail'!O159*O$1</f>
        <v>0</v>
      </c>
      <c r="P159" s="310">
        <f ca="1">+'R1 Opex Detail'!P159*P$1</f>
        <v>0</v>
      </c>
      <c r="Q159" s="310">
        <f ca="1">+'R1 Opex Detail'!Q159*Q$1</f>
        <v>0</v>
      </c>
      <c r="R159" s="310">
        <f ca="1">+'R1 Opex Detail'!R159*R$1</f>
        <v>0</v>
      </c>
      <c r="S159" s="310">
        <f ca="1">+'R1 Opex Detail'!S159*S$1</f>
        <v>0</v>
      </c>
    </row>
    <row r="160" spans="1:19">
      <c r="A160" s="5"/>
      <c r="B160" s="249"/>
      <c r="C160" s="12" t="s">
        <v>75</v>
      </c>
      <c r="D160" s="313">
        <f t="shared" ref="D160:S160" si="17">SUBTOTAL(9,D154:D159)</f>
        <v>0</v>
      </c>
      <c r="E160" s="311">
        <f t="shared" si="17"/>
        <v>0</v>
      </c>
      <c r="F160" s="311">
        <f t="shared" si="17"/>
        <v>0</v>
      </c>
      <c r="G160" s="311">
        <f t="shared" si="17"/>
        <v>0</v>
      </c>
      <c r="H160" s="311">
        <f t="shared" si="17"/>
        <v>0</v>
      </c>
      <c r="I160" s="311">
        <f t="shared" si="17"/>
        <v>0</v>
      </c>
      <c r="J160" s="311">
        <f t="shared" si="17"/>
        <v>0</v>
      </c>
      <c r="K160" s="311">
        <f t="shared" si="17"/>
        <v>0</v>
      </c>
      <c r="L160" s="311">
        <f t="shared" ca="1" si="17"/>
        <v>0</v>
      </c>
      <c r="M160" s="513">
        <f t="shared" ca="1" si="17"/>
        <v>0</v>
      </c>
      <c r="N160" s="313">
        <f t="shared" ca="1" si="17"/>
        <v>3.0546744230769236</v>
      </c>
      <c r="O160" s="311">
        <f t="shared" ca="1" si="17"/>
        <v>3.1025198132248679</v>
      </c>
      <c r="P160" s="311">
        <f t="shared" ca="1" si="17"/>
        <v>3.1483640860190936</v>
      </c>
      <c r="Q160" s="311">
        <f t="shared" ca="1" si="17"/>
        <v>3.2069517281676645</v>
      </c>
      <c r="R160" s="311">
        <f t="shared" ca="1" si="17"/>
        <v>3.2737907325706761</v>
      </c>
      <c r="S160" s="311">
        <f t="shared" ca="1" si="17"/>
        <v>3.3454731851865316</v>
      </c>
    </row>
    <row r="161" spans="1:19">
      <c r="A161" s="5"/>
      <c r="B161" s="249"/>
      <c r="C161" s="12"/>
      <c r="D161" s="263"/>
      <c r="E161" s="263"/>
      <c r="F161" s="263"/>
      <c r="G161" s="263"/>
      <c r="H161" s="263"/>
      <c r="I161" s="263"/>
      <c r="J161" s="263"/>
      <c r="K161" s="263"/>
      <c r="L161" s="263"/>
      <c r="M161" s="836"/>
      <c r="N161" s="263"/>
      <c r="O161" s="263"/>
      <c r="P161" s="263"/>
      <c r="Q161" s="263"/>
      <c r="R161" s="263"/>
      <c r="S161" s="263"/>
    </row>
    <row r="162" spans="1:19">
      <c r="A162" s="5"/>
      <c r="B162" s="249" t="str">
        <f ca="1">+'I-4 History'!B160</f>
        <v>DA-18</v>
      </c>
      <c r="C162" s="14" t="str">
        <f ca="1">+'I-4 History'!C160</f>
        <v>Demand Management</v>
      </c>
      <c r="D162" s="11"/>
      <c r="E162" s="11"/>
      <c r="F162" s="11"/>
      <c r="G162" s="11"/>
      <c r="H162" s="11"/>
      <c r="I162" s="11"/>
      <c r="J162" s="11"/>
      <c r="K162" s="11"/>
      <c r="L162" s="11"/>
      <c r="M162" s="507"/>
      <c r="N162" s="11"/>
      <c r="O162" s="11"/>
      <c r="P162" s="11"/>
      <c r="Q162" s="11"/>
      <c r="R162" s="11"/>
      <c r="S162" s="11"/>
    </row>
    <row r="163" spans="1:19">
      <c r="B163" s="249"/>
      <c r="C163" s="13" t="s">
        <v>68</v>
      </c>
      <c r="D163" s="312">
        <f>+'R1 Opex Detail'!D163</f>
        <v>0</v>
      </c>
      <c r="E163" s="310">
        <f>+'R1 Opex Detail'!E163</f>
        <v>0</v>
      </c>
      <c r="F163" s="310">
        <f>+'R1 Opex Detail'!F163</f>
        <v>0</v>
      </c>
      <c r="G163" s="310">
        <f>+'R1 Opex Detail'!G163</f>
        <v>0</v>
      </c>
      <c r="H163" s="310">
        <f>+'R1 Opex Detail'!H163</f>
        <v>0</v>
      </c>
      <c r="I163" s="310">
        <f>+'R1 Opex Detail'!I163</f>
        <v>0</v>
      </c>
      <c r="J163" s="310">
        <f>+'R1 Opex Detail'!J163</f>
        <v>0</v>
      </c>
      <c r="K163" s="310">
        <f>+'R1 Opex Detail'!K163</f>
        <v>0</v>
      </c>
      <c r="L163" s="310">
        <f ca="1">+'R1 Opex Detail'!L163</f>
        <v>0</v>
      </c>
      <c r="M163" s="835">
        <f ca="1">+'R1 Opex Detail'!M163*M$2</f>
        <v>0</v>
      </c>
      <c r="N163" s="312">
        <f ca="1">+'R1 Opex Detail'!N163*N$1</f>
        <v>0.73394884615384615</v>
      </c>
      <c r="O163" s="310">
        <f ca="1">+'R1 Opex Detail'!O163*O$1</f>
        <v>0.75765215886318182</v>
      </c>
      <c r="P163" s="310">
        <f ca="1">+'R1 Opex Detail'!P163*P$1</f>
        <v>0.78143829249479735</v>
      </c>
      <c r="Q163" s="310">
        <f ca="1">+'R1 Opex Detail'!Q163*Q$1</f>
        <v>0.8067354017572046</v>
      </c>
      <c r="R163" s="310">
        <f ca="1">+'R1 Opex Detail'!R163*R$1</f>
        <v>0.8334382133909537</v>
      </c>
      <c r="S163" s="310">
        <f ca="1">+'R1 Opex Detail'!S163*S$1</f>
        <v>0.86021128354845877</v>
      </c>
    </row>
    <row r="164" spans="1:19">
      <c r="B164" s="249"/>
      <c r="C164" s="13" t="s">
        <v>69</v>
      </c>
      <c r="D164" s="312">
        <f>+'R1 Opex Detail'!D164</f>
        <v>0</v>
      </c>
      <c r="E164" s="310">
        <f>+'R1 Opex Detail'!E164</f>
        <v>0</v>
      </c>
      <c r="F164" s="310">
        <f>+'R1 Opex Detail'!F164</f>
        <v>0</v>
      </c>
      <c r="G164" s="310">
        <f>+'R1 Opex Detail'!G164</f>
        <v>0</v>
      </c>
      <c r="H164" s="310">
        <f>+'R1 Opex Detail'!H164</f>
        <v>0</v>
      </c>
      <c r="I164" s="310">
        <f>+'R1 Opex Detail'!I164</f>
        <v>0</v>
      </c>
      <c r="J164" s="310">
        <f>+'R1 Opex Detail'!J164</f>
        <v>0</v>
      </c>
      <c r="K164" s="310">
        <f>+'R1 Opex Detail'!K164</f>
        <v>0</v>
      </c>
      <c r="L164" s="310">
        <f ca="1">+'R1 Opex Detail'!L164</f>
        <v>0</v>
      </c>
      <c r="M164" s="835">
        <f ca="1">+'R1 Opex Detail'!M164*M$2</f>
        <v>0</v>
      </c>
      <c r="N164" s="312">
        <f ca="1">+'R1 Opex Detail'!N164*N$1</f>
        <v>0.21604973076923079</v>
      </c>
      <c r="O164" s="310">
        <f ca="1">+'R1 Opex Detail'!O164*O$1</f>
        <v>0.21834200939936441</v>
      </c>
      <c r="P164" s="310">
        <f ca="1">+'R1 Opex Detail'!P164*P$1</f>
        <v>0.22046600226234225</v>
      </c>
      <c r="Q164" s="310">
        <f ca="1">+'R1 Opex Detail'!Q164*Q$1</f>
        <v>0.22256554562209191</v>
      </c>
      <c r="R164" s="310">
        <f ca="1">+'R1 Opex Detail'!R164*R$1</f>
        <v>0.22484338154151512</v>
      </c>
      <c r="S164" s="310">
        <f ca="1">+'R1 Opex Detail'!S164*S$1</f>
        <v>0.22692989629110374</v>
      </c>
    </row>
    <row r="165" spans="1:19" s="759" customFormat="1">
      <c r="B165" s="249"/>
      <c r="C165" s="13" t="s">
        <v>646</v>
      </c>
      <c r="D165" s="312">
        <f>+'R1 Opex Detail'!D165</f>
        <v>0</v>
      </c>
      <c r="E165" s="310">
        <f>+'R1 Opex Detail'!E165</f>
        <v>0</v>
      </c>
      <c r="F165" s="310">
        <f>+'R1 Opex Detail'!F165</f>
        <v>0</v>
      </c>
      <c r="G165" s="310">
        <f>+'R1 Opex Detail'!G165</f>
        <v>0</v>
      </c>
      <c r="H165" s="310">
        <f>+'R1 Opex Detail'!H165</f>
        <v>0</v>
      </c>
      <c r="I165" s="310">
        <f>+'R1 Opex Detail'!I165</f>
        <v>0</v>
      </c>
      <c r="J165" s="310">
        <f>+'R1 Opex Detail'!J165</f>
        <v>0</v>
      </c>
      <c r="K165" s="310">
        <f>+'R1 Opex Detail'!K165</f>
        <v>0</v>
      </c>
      <c r="L165" s="310">
        <f ca="1">+'R1 Opex Detail'!L165</f>
        <v>0</v>
      </c>
      <c r="M165" s="835">
        <f ca="1">+'R1 Opex Detail'!M165*M$2</f>
        <v>0</v>
      </c>
      <c r="N165" s="312">
        <f ca="1">+'R1 Opex Detail'!N165*N$1</f>
        <v>7.7529807692307703E-2</v>
      </c>
      <c r="O165" s="310">
        <f ca="1">+'R1 Opex Detail'!O165*O$1</f>
        <v>7.8744157696062619E-2</v>
      </c>
      <c r="P165" s="310">
        <f ca="1">+'R1 Opex Detail'!P165*P$1</f>
        <v>7.9907717919266347E-2</v>
      </c>
      <c r="Q165" s="310">
        <f ca="1">+'R1 Opex Detail'!Q165*Q$1</f>
        <v>8.1394713912884886E-2</v>
      </c>
      <c r="R165" s="310">
        <f ca="1">+'R1 Opex Detail'!R165*R$1</f>
        <v>8.3091135344433395E-2</v>
      </c>
      <c r="S165" s="310">
        <f ca="1">+'R1 Opex Detail'!S165*S$1</f>
        <v>8.4910486933668303E-2</v>
      </c>
    </row>
    <row r="166" spans="1:19">
      <c r="B166" s="249"/>
      <c r="C166" s="13" t="s">
        <v>647</v>
      </c>
      <c r="D166" s="312">
        <f>+'R1 Opex Detail'!D166</f>
        <v>0</v>
      </c>
      <c r="E166" s="310">
        <f>+'R1 Opex Detail'!E166</f>
        <v>0</v>
      </c>
      <c r="F166" s="310">
        <f>+'R1 Opex Detail'!F166</f>
        <v>0</v>
      </c>
      <c r="G166" s="310">
        <f>+'R1 Opex Detail'!G166</f>
        <v>0</v>
      </c>
      <c r="H166" s="310">
        <f>+'R1 Opex Detail'!H166</f>
        <v>0</v>
      </c>
      <c r="I166" s="310">
        <f>+'R1 Opex Detail'!I166</f>
        <v>0</v>
      </c>
      <c r="J166" s="310">
        <f>+'R1 Opex Detail'!J166</f>
        <v>0</v>
      </c>
      <c r="K166" s="310">
        <f>+'R1 Opex Detail'!K166</f>
        <v>0</v>
      </c>
      <c r="L166" s="310">
        <f ca="1">+'R1 Opex Detail'!L166</f>
        <v>0</v>
      </c>
      <c r="M166" s="835">
        <f ca="1">+'R1 Opex Detail'!M166*M$2</f>
        <v>0</v>
      </c>
      <c r="N166" s="312">
        <f ca="1">+'R1 Opex Detail'!N166*N$1</f>
        <v>0.33492876923076925</v>
      </c>
      <c r="O166" s="310">
        <f ca="1">+'R1 Opex Detail'!O166*O$1</f>
        <v>0.34017476124699064</v>
      </c>
      <c r="P166" s="310">
        <f ca="1">+'R1 Opex Detail'!P166*P$1</f>
        <v>0.3452013414112306</v>
      </c>
      <c r="Q166" s="310">
        <f ca="1">+'R1 Opex Detail'!Q166*Q$1</f>
        <v>0.35162516410366268</v>
      </c>
      <c r="R166" s="310">
        <f ca="1">+'R1 Opex Detail'!R166*R$1</f>
        <v>0.35895370468795235</v>
      </c>
      <c r="S166" s="310">
        <f ca="1">+'R1 Opex Detail'!S166*S$1</f>
        <v>0.36681330355344705</v>
      </c>
    </row>
    <row r="167" spans="1:19" s="759" customFormat="1">
      <c r="B167" s="249"/>
      <c r="C167" s="13" t="s">
        <v>575</v>
      </c>
      <c r="D167" s="312">
        <f>+'R1 Opex Detail'!D167</f>
        <v>0</v>
      </c>
      <c r="E167" s="310">
        <f>+'R1 Opex Detail'!E167</f>
        <v>0</v>
      </c>
      <c r="F167" s="310">
        <f>+'R1 Opex Detail'!F167</f>
        <v>0</v>
      </c>
      <c r="G167" s="310">
        <f>+'R1 Opex Detail'!G167</f>
        <v>0</v>
      </c>
      <c r="H167" s="310">
        <f>+'R1 Opex Detail'!H167</f>
        <v>0</v>
      </c>
      <c r="I167" s="310">
        <f>+'R1 Opex Detail'!I167</f>
        <v>0</v>
      </c>
      <c r="J167" s="310">
        <f>+'R1 Opex Detail'!J167</f>
        <v>0</v>
      </c>
      <c r="K167" s="310">
        <f>+'R1 Opex Detail'!K167</f>
        <v>0</v>
      </c>
      <c r="L167" s="310">
        <f ca="1">+'R1 Opex Detail'!L167</f>
        <v>0</v>
      </c>
      <c r="M167" s="835">
        <f ca="1">+'R1 Opex Detail'!M167*M$2</f>
        <v>0</v>
      </c>
      <c r="N167" s="312">
        <f ca="1">+'R1 Opex Detail'!N167*N$1</f>
        <v>-0.12611515384615385</v>
      </c>
      <c r="O167" s="310">
        <f ca="1">+'R1 Opex Detail'!O167*O$1</f>
        <v>-0.13018811743846223</v>
      </c>
      <c r="P167" s="310">
        <f ca="1">+'R1 Opex Detail'!P167*P$1</f>
        <v>-0.13427531223150038</v>
      </c>
      <c r="Q167" s="310">
        <f ca="1">+'R1 Opex Detail'!Q167*Q$1</f>
        <v>-0.1386221394568718</v>
      </c>
      <c r="R167" s="310">
        <f ca="1">+'R1 Opex Detail'!R167*R$1</f>
        <v>-0.1432105099066146</v>
      </c>
      <c r="S167" s="310">
        <f ca="1">+'R1 Opex Detail'!S167*S$1</f>
        <v>-0.14781095294776334</v>
      </c>
    </row>
    <row r="168" spans="1:19">
      <c r="B168" s="249"/>
      <c r="C168" s="13" t="s">
        <v>70</v>
      </c>
      <c r="D168" s="312">
        <f>+'R1 Opex Detail'!D168</f>
        <v>0</v>
      </c>
      <c r="E168" s="310">
        <f>+'R1 Opex Detail'!E168</f>
        <v>0</v>
      </c>
      <c r="F168" s="310">
        <f>+'R1 Opex Detail'!F168</f>
        <v>0</v>
      </c>
      <c r="G168" s="310">
        <f>+'R1 Opex Detail'!G168</f>
        <v>0</v>
      </c>
      <c r="H168" s="310">
        <f>+'R1 Opex Detail'!H168</f>
        <v>0</v>
      </c>
      <c r="I168" s="310">
        <f>+'R1 Opex Detail'!I168</f>
        <v>0</v>
      </c>
      <c r="J168" s="310">
        <f>+'R1 Opex Detail'!J168</f>
        <v>0</v>
      </c>
      <c r="K168" s="310">
        <f>+'R1 Opex Detail'!K168</f>
        <v>0</v>
      </c>
      <c r="L168" s="310">
        <f ca="1">+'R1 Opex Detail'!L168</f>
        <v>0</v>
      </c>
      <c r="M168" s="835">
        <f ca="1">+'R1 Opex Detail'!M168*M$2</f>
        <v>0</v>
      </c>
      <c r="N168" s="312">
        <f ca="1">+'R1 Opex Detail'!N168*N$1</f>
        <v>0</v>
      </c>
      <c r="O168" s="310">
        <f ca="1">+'R1 Opex Detail'!O168*O$1</f>
        <v>0</v>
      </c>
      <c r="P168" s="310">
        <f ca="1">+'R1 Opex Detail'!P168*P$1</f>
        <v>0</v>
      </c>
      <c r="Q168" s="310">
        <f ca="1">+'R1 Opex Detail'!Q168*Q$1</f>
        <v>0</v>
      </c>
      <c r="R168" s="310">
        <f ca="1">+'R1 Opex Detail'!R168*R$1</f>
        <v>0</v>
      </c>
      <c r="S168" s="310">
        <f ca="1">+'R1 Opex Detail'!S168*S$1</f>
        <v>0</v>
      </c>
    </row>
    <row r="169" spans="1:19">
      <c r="B169" s="249"/>
      <c r="C169" s="12" t="s">
        <v>75</v>
      </c>
      <c r="D169" s="313">
        <f t="shared" ref="D169:S169" si="18">SUBTOTAL(9,D163:D168)</f>
        <v>0</v>
      </c>
      <c r="E169" s="311">
        <f t="shared" si="18"/>
        <v>0</v>
      </c>
      <c r="F169" s="311">
        <f t="shared" si="18"/>
        <v>0</v>
      </c>
      <c r="G169" s="311">
        <f t="shared" si="18"/>
        <v>0</v>
      </c>
      <c r="H169" s="311">
        <f t="shared" si="18"/>
        <v>0</v>
      </c>
      <c r="I169" s="311">
        <f t="shared" si="18"/>
        <v>0</v>
      </c>
      <c r="J169" s="311">
        <f t="shared" si="18"/>
        <v>0</v>
      </c>
      <c r="K169" s="311">
        <f t="shared" si="18"/>
        <v>0</v>
      </c>
      <c r="L169" s="311">
        <f t="shared" ca="1" si="18"/>
        <v>0</v>
      </c>
      <c r="M169" s="513">
        <f t="shared" ca="1" si="18"/>
        <v>0</v>
      </c>
      <c r="N169" s="313">
        <f t="shared" ca="1" si="18"/>
        <v>1.2363420000000001</v>
      </c>
      <c r="O169" s="311">
        <f t="shared" ca="1" si="18"/>
        <v>1.2647249697671372</v>
      </c>
      <c r="P169" s="311">
        <f t="shared" ca="1" si="18"/>
        <v>1.2927380418561363</v>
      </c>
      <c r="Q169" s="311">
        <f t="shared" ca="1" si="18"/>
        <v>1.3236986859389721</v>
      </c>
      <c r="R169" s="311">
        <f t="shared" ca="1" si="18"/>
        <v>1.3571159250582401</v>
      </c>
      <c r="S169" s="311">
        <f t="shared" ca="1" si="18"/>
        <v>1.3910540173789145</v>
      </c>
    </row>
    <row r="170" spans="1:19">
      <c r="B170" s="249"/>
      <c r="C170" s="12"/>
      <c r="D170" s="263"/>
      <c r="E170" s="263"/>
      <c r="F170" s="263"/>
      <c r="G170" s="263"/>
      <c r="H170" s="263"/>
      <c r="I170" s="263"/>
      <c r="J170" s="263"/>
      <c r="K170" s="263"/>
      <c r="L170" s="263"/>
      <c r="M170" s="836"/>
      <c r="N170" s="263"/>
      <c r="O170" s="263"/>
      <c r="P170" s="263"/>
      <c r="Q170" s="263"/>
      <c r="R170" s="263"/>
      <c r="S170" s="263"/>
    </row>
    <row r="171" spans="1:19">
      <c r="A171" s="5"/>
      <c r="B171" s="249" t="str">
        <f ca="1">+'I-4 History'!B169</f>
        <v>DA-19</v>
      </c>
      <c r="C171" s="14" t="str">
        <f ca="1">+'I-4 History'!C169</f>
        <v>Demand Management Innovation Fund</v>
      </c>
      <c r="D171" s="11"/>
      <c r="E171" s="11"/>
      <c r="F171" s="11"/>
      <c r="G171" s="11"/>
      <c r="H171" s="11"/>
      <c r="I171" s="11"/>
      <c r="J171" s="11"/>
      <c r="K171" s="11"/>
      <c r="L171" s="11"/>
      <c r="M171" s="507"/>
      <c r="N171" s="11"/>
      <c r="O171" s="11"/>
      <c r="P171" s="11"/>
      <c r="Q171" s="11"/>
      <c r="R171" s="11"/>
      <c r="S171" s="11"/>
    </row>
    <row r="172" spans="1:19">
      <c r="A172" s="5"/>
      <c r="B172" s="249"/>
      <c r="C172" s="13" t="s">
        <v>68</v>
      </c>
      <c r="D172" s="312">
        <f>+'R1 Opex Detail'!D172</f>
        <v>0</v>
      </c>
      <c r="E172" s="310">
        <f>+'R1 Opex Detail'!E172</f>
        <v>0</v>
      </c>
      <c r="F172" s="310">
        <f>+'R1 Opex Detail'!F172</f>
        <v>0</v>
      </c>
      <c r="G172" s="310">
        <f>+'R1 Opex Detail'!G172</f>
        <v>0</v>
      </c>
      <c r="H172" s="310">
        <f>+'R1 Opex Detail'!H172</f>
        <v>0</v>
      </c>
      <c r="I172" s="310">
        <f>+'R1 Opex Detail'!I172</f>
        <v>0</v>
      </c>
      <c r="J172" s="310">
        <f>+'R1 Opex Detail'!J172</f>
        <v>0</v>
      </c>
      <c r="K172" s="310">
        <f>+'R1 Opex Detail'!K172</f>
        <v>0</v>
      </c>
      <c r="L172" s="310">
        <f ca="1">+'R1 Opex Detail'!L172</f>
        <v>0</v>
      </c>
      <c r="M172" s="835">
        <f ca="1">+'R1 Opex Detail'!M172*M$2</f>
        <v>0</v>
      </c>
      <c r="N172" s="312">
        <f ca="1">+'R1 Opex Detail'!N172*N$1</f>
        <v>0</v>
      </c>
      <c r="O172" s="310">
        <f ca="1">+'R1 Opex Detail'!O172*O$1</f>
        <v>0</v>
      </c>
      <c r="P172" s="310">
        <f ca="1">+'R1 Opex Detail'!P172*P$1</f>
        <v>0</v>
      </c>
      <c r="Q172" s="310">
        <f ca="1">+'R1 Opex Detail'!Q172*Q$1</f>
        <v>0</v>
      </c>
      <c r="R172" s="310">
        <f ca="1">+'R1 Opex Detail'!R172*R$1</f>
        <v>0</v>
      </c>
      <c r="S172" s="310">
        <f ca="1">+'R1 Opex Detail'!S172*S$1</f>
        <v>0</v>
      </c>
    </row>
    <row r="173" spans="1:19">
      <c r="A173" s="5"/>
      <c r="B173" s="249"/>
      <c r="C173" s="13" t="s">
        <v>69</v>
      </c>
      <c r="D173" s="312">
        <f>+'R1 Opex Detail'!D173</f>
        <v>0</v>
      </c>
      <c r="E173" s="310">
        <f>+'R1 Opex Detail'!E173</f>
        <v>0</v>
      </c>
      <c r="F173" s="310">
        <f>+'R1 Opex Detail'!F173</f>
        <v>0</v>
      </c>
      <c r="G173" s="310">
        <f>+'R1 Opex Detail'!G173</f>
        <v>0</v>
      </c>
      <c r="H173" s="310">
        <f>+'R1 Opex Detail'!H173</f>
        <v>0</v>
      </c>
      <c r="I173" s="310">
        <f>+'R1 Opex Detail'!I173</f>
        <v>0</v>
      </c>
      <c r="J173" s="310">
        <f>+'R1 Opex Detail'!J173</f>
        <v>0</v>
      </c>
      <c r="K173" s="310">
        <f>+'R1 Opex Detail'!K173</f>
        <v>0</v>
      </c>
      <c r="L173" s="310">
        <f ca="1">+'R1 Opex Detail'!L173</f>
        <v>0</v>
      </c>
      <c r="M173" s="835">
        <f ca="1">+'R1 Opex Detail'!M173*M$2</f>
        <v>0</v>
      </c>
      <c r="N173" s="312">
        <f ca="1">+'R1 Opex Detail'!N173*N$1</f>
        <v>0</v>
      </c>
      <c r="O173" s="310">
        <f ca="1">+'R1 Opex Detail'!O173*O$1</f>
        <v>0</v>
      </c>
      <c r="P173" s="310">
        <f ca="1">+'R1 Opex Detail'!P173*P$1</f>
        <v>0</v>
      </c>
      <c r="Q173" s="310">
        <f ca="1">+'R1 Opex Detail'!Q173*Q$1</f>
        <v>0</v>
      </c>
      <c r="R173" s="310">
        <f ca="1">+'R1 Opex Detail'!R173*R$1</f>
        <v>0</v>
      </c>
      <c r="S173" s="310">
        <f ca="1">+'R1 Opex Detail'!S173*S$1</f>
        <v>0</v>
      </c>
    </row>
    <row r="174" spans="1:19" s="759" customFormat="1">
      <c r="A174" s="5"/>
      <c r="B174" s="249"/>
      <c r="C174" s="13" t="s">
        <v>646</v>
      </c>
      <c r="D174" s="312">
        <f>+'R1 Opex Detail'!D174</f>
        <v>0</v>
      </c>
      <c r="E174" s="310">
        <f>+'R1 Opex Detail'!E174</f>
        <v>0</v>
      </c>
      <c r="F174" s="310">
        <f>+'R1 Opex Detail'!F174</f>
        <v>0</v>
      </c>
      <c r="G174" s="310">
        <f>+'R1 Opex Detail'!G174</f>
        <v>0</v>
      </c>
      <c r="H174" s="310">
        <f>+'R1 Opex Detail'!H174</f>
        <v>0</v>
      </c>
      <c r="I174" s="310">
        <f>+'R1 Opex Detail'!I174</f>
        <v>0</v>
      </c>
      <c r="J174" s="310">
        <f>+'R1 Opex Detail'!J174</f>
        <v>0</v>
      </c>
      <c r="K174" s="310">
        <f>+'R1 Opex Detail'!K174</f>
        <v>0</v>
      </c>
      <c r="L174" s="310">
        <f ca="1">+'R1 Opex Detail'!L174</f>
        <v>0</v>
      </c>
      <c r="M174" s="835">
        <f ca="1">+'R1 Opex Detail'!M174*M$2</f>
        <v>0</v>
      </c>
      <c r="N174" s="312">
        <f ca="1">+'R1 Opex Detail'!N174*N$1</f>
        <v>0</v>
      </c>
      <c r="O174" s="310">
        <f ca="1">+'R1 Opex Detail'!O174*O$1</f>
        <v>0</v>
      </c>
      <c r="P174" s="310">
        <f ca="1">+'R1 Opex Detail'!P174*P$1</f>
        <v>0</v>
      </c>
      <c r="Q174" s="310">
        <f ca="1">+'R1 Opex Detail'!Q174*Q$1</f>
        <v>0</v>
      </c>
      <c r="R174" s="310">
        <f ca="1">+'R1 Opex Detail'!R174*R$1</f>
        <v>0</v>
      </c>
      <c r="S174" s="310">
        <f ca="1">+'R1 Opex Detail'!S174*S$1</f>
        <v>0</v>
      </c>
    </row>
    <row r="175" spans="1:19">
      <c r="A175" s="5"/>
      <c r="B175" s="249"/>
      <c r="C175" s="13" t="s">
        <v>647</v>
      </c>
      <c r="D175" s="312">
        <f>+'R1 Opex Detail'!D175</f>
        <v>0</v>
      </c>
      <c r="E175" s="310">
        <f>+'R1 Opex Detail'!E175</f>
        <v>0</v>
      </c>
      <c r="F175" s="310">
        <f>+'R1 Opex Detail'!F175</f>
        <v>0</v>
      </c>
      <c r="G175" s="310">
        <f>+'R1 Opex Detail'!G175</f>
        <v>0</v>
      </c>
      <c r="H175" s="310">
        <f>+'R1 Opex Detail'!H175</f>
        <v>0</v>
      </c>
      <c r="I175" s="310">
        <f>+'R1 Opex Detail'!I175</f>
        <v>0</v>
      </c>
      <c r="J175" s="310">
        <f>+'R1 Opex Detail'!J175</f>
        <v>0</v>
      </c>
      <c r="K175" s="310">
        <f>+'R1 Opex Detail'!K175</f>
        <v>0</v>
      </c>
      <c r="L175" s="310">
        <f ca="1">+'R1 Opex Detail'!L175</f>
        <v>0</v>
      </c>
      <c r="M175" s="835">
        <f ca="1">+'R1 Opex Detail'!M175*M$2</f>
        <v>0</v>
      </c>
      <c r="N175" s="312">
        <f ca="1">+'R1 Opex Detail'!N175*N$1</f>
        <v>0</v>
      </c>
      <c r="O175" s="310">
        <f ca="1">+'R1 Opex Detail'!O175*O$1</f>
        <v>0</v>
      </c>
      <c r="P175" s="310">
        <f ca="1">+'R1 Opex Detail'!P175*P$1</f>
        <v>0</v>
      </c>
      <c r="Q175" s="310">
        <f ca="1">+'R1 Opex Detail'!Q175*Q$1</f>
        <v>0</v>
      </c>
      <c r="R175" s="310">
        <f ca="1">+'R1 Opex Detail'!R175*R$1</f>
        <v>0</v>
      </c>
      <c r="S175" s="310">
        <f ca="1">+'R1 Opex Detail'!S175*S$1</f>
        <v>0</v>
      </c>
    </row>
    <row r="176" spans="1:19" s="759" customFormat="1">
      <c r="A176" s="5"/>
      <c r="B176" s="249"/>
      <c r="C176" s="13" t="s">
        <v>575</v>
      </c>
      <c r="D176" s="312">
        <f>+'R1 Opex Detail'!D176</f>
        <v>0</v>
      </c>
      <c r="E176" s="310">
        <f>+'R1 Opex Detail'!E176</f>
        <v>0</v>
      </c>
      <c r="F176" s="310">
        <f>+'R1 Opex Detail'!F176</f>
        <v>0</v>
      </c>
      <c r="G176" s="310">
        <f>+'R1 Opex Detail'!G176</f>
        <v>0</v>
      </c>
      <c r="H176" s="310">
        <f>+'R1 Opex Detail'!H176</f>
        <v>0</v>
      </c>
      <c r="I176" s="310">
        <f>+'R1 Opex Detail'!I176</f>
        <v>0</v>
      </c>
      <c r="J176" s="310">
        <f>+'R1 Opex Detail'!J176</f>
        <v>0</v>
      </c>
      <c r="K176" s="310">
        <f>+'R1 Opex Detail'!K176</f>
        <v>0</v>
      </c>
      <c r="L176" s="310">
        <f ca="1">+'R1 Opex Detail'!L176</f>
        <v>0</v>
      </c>
      <c r="M176" s="835">
        <f ca="1">+'R1 Opex Detail'!M176*M$2</f>
        <v>0</v>
      </c>
      <c r="N176" s="312">
        <f ca="1">+'R1 Opex Detail'!N176*N$1</f>
        <v>0</v>
      </c>
      <c r="O176" s="310">
        <f ca="1">+'R1 Opex Detail'!O176*O$1</f>
        <v>0</v>
      </c>
      <c r="P176" s="310">
        <f ca="1">+'R1 Opex Detail'!P176*P$1</f>
        <v>0</v>
      </c>
      <c r="Q176" s="310">
        <f ca="1">+'R1 Opex Detail'!Q176*Q$1</f>
        <v>0</v>
      </c>
      <c r="R176" s="310">
        <f ca="1">+'R1 Opex Detail'!R176*R$1</f>
        <v>0</v>
      </c>
      <c r="S176" s="310">
        <f ca="1">+'R1 Opex Detail'!S176*S$1</f>
        <v>0</v>
      </c>
    </row>
    <row r="177" spans="1:19">
      <c r="A177" s="5"/>
      <c r="B177" s="249"/>
      <c r="C177" s="13" t="s">
        <v>70</v>
      </c>
      <c r="D177" s="312">
        <f>+'R1 Opex Detail'!D177</f>
        <v>0</v>
      </c>
      <c r="E177" s="310">
        <f>+'R1 Opex Detail'!E177</f>
        <v>0</v>
      </c>
      <c r="F177" s="310">
        <f>+'R1 Opex Detail'!F177</f>
        <v>0</v>
      </c>
      <c r="G177" s="310">
        <f>+'R1 Opex Detail'!G177</f>
        <v>0</v>
      </c>
      <c r="H177" s="310">
        <f>+'R1 Opex Detail'!H177</f>
        <v>0</v>
      </c>
      <c r="I177" s="310">
        <f>+'R1 Opex Detail'!I177</f>
        <v>0</v>
      </c>
      <c r="J177" s="310">
        <f>+'R1 Opex Detail'!J177</f>
        <v>0</v>
      </c>
      <c r="K177" s="310">
        <f>+'R1 Opex Detail'!K177</f>
        <v>0</v>
      </c>
      <c r="L177" s="310">
        <f ca="1">+'R1 Opex Detail'!L177</f>
        <v>0</v>
      </c>
      <c r="M177" s="835">
        <f ca="1">+'R1 Opex Detail'!M177*M$2</f>
        <v>0</v>
      </c>
      <c r="N177" s="312">
        <f ca="1">+'R1 Opex Detail'!N177*N$1</f>
        <v>0</v>
      </c>
      <c r="O177" s="310">
        <f ca="1">+'R1 Opex Detail'!O177*O$1</f>
        <v>0</v>
      </c>
      <c r="P177" s="310">
        <f ca="1">+'R1 Opex Detail'!P177*P$1</f>
        <v>0</v>
      </c>
      <c r="Q177" s="310">
        <f ca="1">+'R1 Opex Detail'!Q177*Q$1</f>
        <v>0</v>
      </c>
      <c r="R177" s="310">
        <f ca="1">+'R1 Opex Detail'!R177*R$1</f>
        <v>0</v>
      </c>
      <c r="S177" s="310">
        <f ca="1">+'R1 Opex Detail'!S177*S$1</f>
        <v>0</v>
      </c>
    </row>
    <row r="178" spans="1:19">
      <c r="A178" s="5"/>
      <c r="B178" s="249"/>
      <c r="C178" s="12" t="s">
        <v>75</v>
      </c>
      <c r="D178" s="313">
        <f t="shared" ref="D178:S178" si="19">SUBTOTAL(9,D172:D177)</f>
        <v>0</v>
      </c>
      <c r="E178" s="311">
        <f t="shared" si="19"/>
        <v>0</v>
      </c>
      <c r="F178" s="311">
        <f t="shared" si="19"/>
        <v>0</v>
      </c>
      <c r="G178" s="311">
        <f t="shared" si="19"/>
        <v>0</v>
      </c>
      <c r="H178" s="311">
        <f t="shared" si="19"/>
        <v>0</v>
      </c>
      <c r="I178" s="311">
        <f t="shared" si="19"/>
        <v>0</v>
      </c>
      <c r="J178" s="311">
        <f t="shared" si="19"/>
        <v>0</v>
      </c>
      <c r="K178" s="311">
        <f t="shared" si="19"/>
        <v>0</v>
      </c>
      <c r="L178" s="311">
        <f t="shared" ca="1" si="19"/>
        <v>0</v>
      </c>
      <c r="M178" s="513">
        <f t="shared" ca="1" si="19"/>
        <v>0</v>
      </c>
      <c r="N178" s="313">
        <f t="shared" ca="1" si="19"/>
        <v>0</v>
      </c>
      <c r="O178" s="311">
        <f t="shared" ca="1" si="19"/>
        <v>0</v>
      </c>
      <c r="P178" s="311">
        <f t="shared" ca="1" si="19"/>
        <v>0</v>
      </c>
      <c r="Q178" s="311">
        <f t="shared" ca="1" si="19"/>
        <v>0</v>
      </c>
      <c r="R178" s="311">
        <f t="shared" ca="1" si="19"/>
        <v>0</v>
      </c>
      <c r="S178" s="311">
        <f t="shared" ca="1" si="19"/>
        <v>0</v>
      </c>
    </row>
    <row r="179" spans="1:19">
      <c r="A179" s="5"/>
      <c r="B179" s="249"/>
      <c r="C179" s="12"/>
      <c r="D179" s="263"/>
      <c r="E179" s="263"/>
      <c r="F179" s="263"/>
      <c r="G179" s="263"/>
      <c r="H179" s="263"/>
      <c r="I179" s="263"/>
      <c r="J179" s="263"/>
      <c r="K179" s="263"/>
      <c r="L179" s="263"/>
      <c r="M179" s="836"/>
      <c r="N179" s="263"/>
      <c r="O179" s="263"/>
      <c r="P179" s="263"/>
      <c r="Q179" s="263"/>
      <c r="R179" s="263"/>
      <c r="S179" s="263"/>
    </row>
    <row r="180" spans="1:19">
      <c r="A180" s="5"/>
      <c r="B180" s="249" t="str">
        <f ca="1">+'I-4 History'!B178</f>
        <v>DA-20</v>
      </c>
      <c r="C180" s="14" t="str">
        <f ca="1">+'I-4 History'!C178</f>
        <v>Guaranteed Service Level Payments</v>
      </c>
      <c r="D180" s="11"/>
      <c r="E180" s="11"/>
      <c r="F180" s="11"/>
      <c r="G180" s="11"/>
      <c r="H180" s="11"/>
      <c r="I180" s="11"/>
      <c r="J180" s="11"/>
      <c r="K180" s="11"/>
      <c r="L180" s="11"/>
      <c r="M180" s="507"/>
      <c r="N180" s="11"/>
      <c r="O180" s="11"/>
      <c r="P180" s="11"/>
      <c r="Q180" s="11"/>
      <c r="R180" s="11"/>
      <c r="S180" s="11"/>
    </row>
    <row r="181" spans="1:19">
      <c r="A181" s="5"/>
      <c r="B181" s="249"/>
      <c r="C181" s="13" t="s">
        <v>68</v>
      </c>
      <c r="D181" s="312">
        <f>+'R1 Opex Detail'!D181</f>
        <v>0</v>
      </c>
      <c r="E181" s="310">
        <f>+'R1 Opex Detail'!E181</f>
        <v>0</v>
      </c>
      <c r="F181" s="310">
        <f>+'R1 Opex Detail'!F181</f>
        <v>0</v>
      </c>
      <c r="G181" s="310">
        <f>+'R1 Opex Detail'!G181</f>
        <v>0</v>
      </c>
      <c r="H181" s="310">
        <f>+'R1 Opex Detail'!H181</f>
        <v>0</v>
      </c>
      <c r="I181" s="310">
        <f>+'R1 Opex Detail'!I181</f>
        <v>0</v>
      </c>
      <c r="J181" s="310">
        <f>+'R1 Opex Detail'!J181</f>
        <v>0</v>
      </c>
      <c r="K181" s="310">
        <f>+'R1 Opex Detail'!K181</f>
        <v>0</v>
      </c>
      <c r="L181" s="310">
        <f ca="1">+'R1 Opex Detail'!L181</f>
        <v>0</v>
      </c>
      <c r="M181" s="835">
        <f ca="1">+'R1 Opex Detail'!M181*M$2</f>
        <v>0</v>
      </c>
      <c r="N181" s="312">
        <f ca="1">+'R1 Opex Detail'!N181*N$1</f>
        <v>0</v>
      </c>
      <c r="O181" s="310">
        <f ca="1">+'R1 Opex Detail'!O181*O$1</f>
        <v>0</v>
      </c>
      <c r="P181" s="310">
        <f ca="1">+'R1 Opex Detail'!P181*P$1</f>
        <v>0</v>
      </c>
      <c r="Q181" s="310">
        <f ca="1">+'R1 Opex Detail'!Q181*Q$1</f>
        <v>0</v>
      </c>
      <c r="R181" s="310">
        <f ca="1">+'R1 Opex Detail'!R181*R$1</f>
        <v>0</v>
      </c>
      <c r="S181" s="310">
        <f ca="1">+'R1 Opex Detail'!S181*S$1</f>
        <v>0</v>
      </c>
    </row>
    <row r="182" spans="1:19">
      <c r="A182" s="5"/>
      <c r="B182" s="249"/>
      <c r="C182" s="13" t="s">
        <v>69</v>
      </c>
      <c r="D182" s="312">
        <f>+'R1 Opex Detail'!D182</f>
        <v>0</v>
      </c>
      <c r="E182" s="310">
        <f>+'R1 Opex Detail'!E182</f>
        <v>0</v>
      </c>
      <c r="F182" s="310">
        <f>+'R1 Opex Detail'!F182</f>
        <v>0</v>
      </c>
      <c r="G182" s="310">
        <f>+'R1 Opex Detail'!G182</f>
        <v>0</v>
      </c>
      <c r="H182" s="310">
        <f>+'R1 Opex Detail'!H182</f>
        <v>0</v>
      </c>
      <c r="I182" s="310">
        <f>+'R1 Opex Detail'!I182</f>
        <v>0</v>
      </c>
      <c r="J182" s="310">
        <f>+'R1 Opex Detail'!J182</f>
        <v>0</v>
      </c>
      <c r="K182" s="310">
        <f>+'R1 Opex Detail'!K182</f>
        <v>0</v>
      </c>
      <c r="L182" s="310">
        <f ca="1">+'R1 Opex Detail'!L182</f>
        <v>0</v>
      </c>
      <c r="M182" s="835">
        <f ca="1">+'R1 Opex Detail'!M182*M$2</f>
        <v>0</v>
      </c>
      <c r="N182" s="312">
        <f ca="1">+'R1 Opex Detail'!N182*N$1</f>
        <v>0</v>
      </c>
      <c r="O182" s="310">
        <f ca="1">+'R1 Opex Detail'!O182*O$1</f>
        <v>0</v>
      </c>
      <c r="P182" s="310">
        <f ca="1">+'R1 Opex Detail'!P182*P$1</f>
        <v>0</v>
      </c>
      <c r="Q182" s="310">
        <f ca="1">+'R1 Opex Detail'!Q182*Q$1</f>
        <v>0</v>
      </c>
      <c r="R182" s="310">
        <f ca="1">+'R1 Opex Detail'!R182*R$1</f>
        <v>0</v>
      </c>
      <c r="S182" s="310">
        <f ca="1">+'R1 Opex Detail'!S182*S$1</f>
        <v>0</v>
      </c>
    </row>
    <row r="183" spans="1:19" s="759" customFormat="1">
      <c r="A183" s="5"/>
      <c r="B183" s="249"/>
      <c r="C183" s="13" t="s">
        <v>646</v>
      </c>
      <c r="D183" s="312">
        <f>+'R1 Opex Detail'!D183</f>
        <v>0</v>
      </c>
      <c r="E183" s="310">
        <f>+'R1 Opex Detail'!E183</f>
        <v>0</v>
      </c>
      <c r="F183" s="310">
        <f>+'R1 Opex Detail'!F183</f>
        <v>0</v>
      </c>
      <c r="G183" s="310">
        <f>+'R1 Opex Detail'!G183</f>
        <v>0</v>
      </c>
      <c r="H183" s="310">
        <f>+'R1 Opex Detail'!H183</f>
        <v>0</v>
      </c>
      <c r="I183" s="310">
        <f>+'R1 Opex Detail'!I183</f>
        <v>0</v>
      </c>
      <c r="J183" s="310">
        <f>+'R1 Opex Detail'!J183</f>
        <v>0</v>
      </c>
      <c r="K183" s="310">
        <f>+'R1 Opex Detail'!K183</f>
        <v>0</v>
      </c>
      <c r="L183" s="310">
        <f ca="1">+'R1 Opex Detail'!L183</f>
        <v>0</v>
      </c>
      <c r="M183" s="835">
        <f ca="1">+'R1 Opex Detail'!M183*M$2</f>
        <v>0</v>
      </c>
      <c r="N183" s="312">
        <f ca="1">+'R1 Opex Detail'!N183*N$1</f>
        <v>0</v>
      </c>
      <c r="O183" s="310">
        <f ca="1">+'R1 Opex Detail'!O183*O$1</f>
        <v>0</v>
      </c>
      <c r="P183" s="310">
        <f ca="1">+'R1 Opex Detail'!P183*P$1</f>
        <v>0</v>
      </c>
      <c r="Q183" s="310">
        <f ca="1">+'R1 Opex Detail'!Q183*Q$1</f>
        <v>0</v>
      </c>
      <c r="R183" s="310">
        <f ca="1">+'R1 Opex Detail'!R183*R$1</f>
        <v>0</v>
      </c>
      <c r="S183" s="310">
        <f ca="1">+'R1 Opex Detail'!S183*S$1</f>
        <v>0</v>
      </c>
    </row>
    <row r="184" spans="1:19">
      <c r="A184" s="5"/>
      <c r="B184" s="249"/>
      <c r="C184" s="13" t="s">
        <v>647</v>
      </c>
      <c r="D184" s="312">
        <f>+'R1 Opex Detail'!D184</f>
        <v>0</v>
      </c>
      <c r="E184" s="310">
        <f>+'R1 Opex Detail'!E184</f>
        <v>0</v>
      </c>
      <c r="F184" s="310">
        <f>+'R1 Opex Detail'!F184</f>
        <v>0</v>
      </c>
      <c r="G184" s="310">
        <f>+'R1 Opex Detail'!G184</f>
        <v>0</v>
      </c>
      <c r="H184" s="310">
        <f>+'R1 Opex Detail'!H184</f>
        <v>0</v>
      </c>
      <c r="I184" s="310">
        <f>+'R1 Opex Detail'!I184</f>
        <v>0</v>
      </c>
      <c r="J184" s="310">
        <f>+'R1 Opex Detail'!J184</f>
        <v>0</v>
      </c>
      <c r="K184" s="310">
        <f>+'R1 Opex Detail'!K184</f>
        <v>0</v>
      </c>
      <c r="L184" s="310">
        <f ca="1">+'R1 Opex Detail'!L184</f>
        <v>0</v>
      </c>
      <c r="M184" s="835">
        <f ca="1">+'R1 Opex Detail'!M184*M$2</f>
        <v>0</v>
      </c>
      <c r="N184" s="312">
        <f ca="1">+'R1 Opex Detail'!N184*N$1</f>
        <v>0</v>
      </c>
      <c r="O184" s="310">
        <f ca="1">+'R1 Opex Detail'!O184*O$1</f>
        <v>0</v>
      </c>
      <c r="P184" s="310">
        <f ca="1">+'R1 Opex Detail'!P184*P$1</f>
        <v>0</v>
      </c>
      <c r="Q184" s="310">
        <f ca="1">+'R1 Opex Detail'!Q184*Q$1</f>
        <v>0</v>
      </c>
      <c r="R184" s="310">
        <f ca="1">+'R1 Opex Detail'!R184*R$1</f>
        <v>0</v>
      </c>
      <c r="S184" s="310">
        <f ca="1">+'R1 Opex Detail'!S184*S$1</f>
        <v>0</v>
      </c>
    </row>
    <row r="185" spans="1:19" s="759" customFormat="1">
      <c r="A185" s="5"/>
      <c r="B185" s="249"/>
      <c r="C185" s="13" t="s">
        <v>575</v>
      </c>
      <c r="D185" s="312">
        <f>+'R1 Opex Detail'!D185</f>
        <v>0</v>
      </c>
      <c r="E185" s="310">
        <f>+'R1 Opex Detail'!E185</f>
        <v>0</v>
      </c>
      <c r="F185" s="310">
        <f>+'R1 Opex Detail'!F185</f>
        <v>0</v>
      </c>
      <c r="G185" s="310">
        <f>+'R1 Opex Detail'!G185</f>
        <v>0</v>
      </c>
      <c r="H185" s="310">
        <f>+'R1 Opex Detail'!H185</f>
        <v>0</v>
      </c>
      <c r="I185" s="310">
        <f>+'R1 Opex Detail'!I185</f>
        <v>0</v>
      </c>
      <c r="J185" s="310">
        <f>+'R1 Opex Detail'!J185</f>
        <v>0</v>
      </c>
      <c r="K185" s="310">
        <f>+'R1 Opex Detail'!K185</f>
        <v>0</v>
      </c>
      <c r="L185" s="310">
        <f ca="1">+'R1 Opex Detail'!L185</f>
        <v>0</v>
      </c>
      <c r="M185" s="835">
        <f ca="1">+'R1 Opex Detail'!M185*M$2</f>
        <v>0</v>
      </c>
      <c r="N185" s="312">
        <f ca="1">+'R1 Opex Detail'!N185*N$1</f>
        <v>0</v>
      </c>
      <c r="O185" s="310">
        <f ca="1">+'R1 Opex Detail'!O185*O$1</f>
        <v>0</v>
      </c>
      <c r="P185" s="310">
        <f ca="1">+'R1 Opex Detail'!P185*P$1</f>
        <v>0</v>
      </c>
      <c r="Q185" s="310">
        <f ca="1">+'R1 Opex Detail'!Q185*Q$1</f>
        <v>0</v>
      </c>
      <c r="R185" s="310">
        <f ca="1">+'R1 Opex Detail'!R185*R$1</f>
        <v>0</v>
      </c>
      <c r="S185" s="310">
        <f ca="1">+'R1 Opex Detail'!S185*S$1</f>
        <v>0</v>
      </c>
    </row>
    <row r="186" spans="1:19">
      <c r="A186" s="5"/>
      <c r="B186" s="249"/>
      <c r="C186" s="13" t="s">
        <v>70</v>
      </c>
      <c r="D186" s="312">
        <f>+'R1 Opex Detail'!D186</f>
        <v>0</v>
      </c>
      <c r="E186" s="310">
        <f>+'R1 Opex Detail'!E186</f>
        <v>0</v>
      </c>
      <c r="F186" s="310">
        <f>+'R1 Opex Detail'!F186</f>
        <v>0</v>
      </c>
      <c r="G186" s="310">
        <f>+'R1 Opex Detail'!G186</f>
        <v>0</v>
      </c>
      <c r="H186" s="310">
        <f>+'R1 Opex Detail'!H186</f>
        <v>0</v>
      </c>
      <c r="I186" s="310">
        <f>+'R1 Opex Detail'!I186</f>
        <v>0</v>
      </c>
      <c r="J186" s="310">
        <f>+'R1 Opex Detail'!J186</f>
        <v>0</v>
      </c>
      <c r="K186" s="310">
        <f>+'R1 Opex Detail'!K186</f>
        <v>0</v>
      </c>
      <c r="L186" s="310">
        <f ca="1">+'R1 Opex Detail'!L186</f>
        <v>0</v>
      </c>
      <c r="M186" s="835">
        <f ca="1">+'R1 Opex Detail'!M186*M$2</f>
        <v>0</v>
      </c>
      <c r="N186" s="312">
        <f ca="1">+'R1 Opex Detail'!N186*N$1</f>
        <v>10.268047730769231</v>
      </c>
      <c r="O186" s="310">
        <f ca="1">+'R1 Opex Detail'!O186*O$1</f>
        <v>10.376991288822424</v>
      </c>
      <c r="P186" s="310">
        <f ca="1">+'R1 Opex Detail'!P186*P$1</f>
        <v>10.477936844362899</v>
      </c>
      <c r="Q186" s="310">
        <f ca="1">+'R1 Opex Detail'!Q186*Q$1</f>
        <v>10.577720405092052</v>
      </c>
      <c r="R186" s="310">
        <f ca="1">+'R1 Opex Detail'!R186*R$1</f>
        <v>10.685977554315167</v>
      </c>
      <c r="S186" s="310">
        <f ca="1">+'R1 Opex Detail'!S186*S$1</f>
        <v>10.78514191320351</v>
      </c>
    </row>
    <row r="187" spans="1:19">
      <c r="A187" s="5"/>
      <c r="B187" s="249"/>
      <c r="C187" s="12" t="s">
        <v>75</v>
      </c>
      <c r="D187" s="313">
        <f t="shared" ref="D187:S187" si="20">SUBTOTAL(9,D181:D186)</f>
        <v>0</v>
      </c>
      <c r="E187" s="311">
        <f t="shared" si="20"/>
        <v>0</v>
      </c>
      <c r="F187" s="311">
        <f t="shared" si="20"/>
        <v>0</v>
      </c>
      <c r="G187" s="311">
        <f t="shared" si="20"/>
        <v>0</v>
      </c>
      <c r="H187" s="311">
        <f t="shared" si="20"/>
        <v>0</v>
      </c>
      <c r="I187" s="311">
        <f t="shared" si="20"/>
        <v>0</v>
      </c>
      <c r="J187" s="311">
        <f t="shared" si="20"/>
        <v>0</v>
      </c>
      <c r="K187" s="311">
        <f t="shared" si="20"/>
        <v>0</v>
      </c>
      <c r="L187" s="311">
        <f t="shared" ca="1" si="20"/>
        <v>0</v>
      </c>
      <c r="M187" s="513">
        <f t="shared" ca="1" si="20"/>
        <v>0</v>
      </c>
      <c r="N187" s="313">
        <f t="shared" ca="1" si="20"/>
        <v>10.268047730769231</v>
      </c>
      <c r="O187" s="311">
        <f t="shared" ca="1" si="20"/>
        <v>10.376991288822424</v>
      </c>
      <c r="P187" s="311">
        <f t="shared" ca="1" si="20"/>
        <v>10.477936844362899</v>
      </c>
      <c r="Q187" s="311">
        <f t="shared" ca="1" si="20"/>
        <v>10.577720405092052</v>
      </c>
      <c r="R187" s="311">
        <f t="shared" ca="1" si="20"/>
        <v>10.685977554315167</v>
      </c>
      <c r="S187" s="311">
        <f t="shared" ca="1" si="20"/>
        <v>10.78514191320351</v>
      </c>
    </row>
    <row r="188" spans="1:19">
      <c r="A188" s="5"/>
      <c r="B188" s="249"/>
      <c r="C188" s="12"/>
      <c r="D188" s="263"/>
      <c r="E188" s="263"/>
      <c r="F188" s="263"/>
      <c r="G188" s="263"/>
      <c r="H188" s="263"/>
      <c r="I188" s="263"/>
      <c r="J188" s="263"/>
      <c r="K188" s="263"/>
      <c r="L188" s="263"/>
      <c r="M188" s="836"/>
      <c r="N188" s="263"/>
      <c r="O188" s="263"/>
      <c r="P188" s="263"/>
      <c r="Q188" s="263"/>
      <c r="R188" s="263"/>
      <c r="S188" s="263"/>
    </row>
    <row r="189" spans="1:19">
      <c r="A189" s="5"/>
      <c r="B189" s="249" t="str">
        <f ca="1">+'I-4 History'!B187</f>
        <v>DA-21</v>
      </c>
      <c r="C189" s="14" t="str">
        <f ca="1">+'I-4 History'!C187</f>
        <v>Property – Substation Sites</v>
      </c>
      <c r="D189" s="11"/>
      <c r="E189" s="11"/>
      <c r="F189" s="11"/>
      <c r="G189" s="11"/>
      <c r="H189" s="11"/>
      <c r="I189" s="11"/>
      <c r="J189" s="11"/>
      <c r="K189" s="11"/>
      <c r="L189" s="11"/>
      <c r="M189" s="507"/>
      <c r="N189" s="11"/>
      <c r="O189" s="11"/>
      <c r="P189" s="11"/>
      <c r="Q189" s="11"/>
      <c r="R189" s="11"/>
      <c r="S189" s="11"/>
    </row>
    <row r="190" spans="1:19">
      <c r="A190" s="5"/>
      <c r="B190" s="249"/>
      <c r="C190" s="13" t="s">
        <v>68</v>
      </c>
      <c r="D190" s="312">
        <f>+'R1 Opex Detail'!D190</f>
        <v>0</v>
      </c>
      <c r="E190" s="310">
        <f>+'R1 Opex Detail'!E190</f>
        <v>0</v>
      </c>
      <c r="F190" s="310">
        <f>+'R1 Opex Detail'!F190</f>
        <v>0</v>
      </c>
      <c r="G190" s="310">
        <f>+'R1 Opex Detail'!G190</f>
        <v>0</v>
      </c>
      <c r="H190" s="310">
        <f>+'R1 Opex Detail'!H190</f>
        <v>0</v>
      </c>
      <c r="I190" s="310">
        <f>+'R1 Opex Detail'!I190</f>
        <v>0</v>
      </c>
      <c r="J190" s="310">
        <f>+'R1 Opex Detail'!J190</f>
        <v>0</v>
      </c>
      <c r="K190" s="310">
        <f>+'R1 Opex Detail'!K190</f>
        <v>0</v>
      </c>
      <c r="L190" s="310">
        <f ca="1">+'R1 Opex Detail'!L190</f>
        <v>0</v>
      </c>
      <c r="M190" s="835">
        <f ca="1">+'R1 Opex Detail'!M190*M$2</f>
        <v>0</v>
      </c>
      <c r="N190" s="312">
        <f ca="1">+'R1 Opex Detail'!N190*N$1</f>
        <v>0.66158769230769243</v>
      </c>
      <c r="O190" s="310">
        <f ca="1">+'R1 Opex Detail'!O190*O$1</f>
        <v>0.68295405869357229</v>
      </c>
      <c r="P190" s="310">
        <f ca="1">+'R1 Opex Detail'!P190*P$1</f>
        <v>0.70439508055869049</v>
      </c>
      <c r="Q190" s="310">
        <f ca="1">+'R1 Opex Detail'!Q190*Q$1</f>
        <v>0.7271981086262127</v>
      </c>
      <c r="R190" s="310">
        <f ca="1">+'R1 Opex Detail'!R190*R$1</f>
        <v>0.75126824869043729</v>
      </c>
      <c r="S190" s="310">
        <f ca="1">+'R1 Opex Detail'!S190*S$1</f>
        <v>0.77540172038170929</v>
      </c>
    </row>
    <row r="191" spans="1:19">
      <c r="A191" s="5"/>
      <c r="B191" s="249"/>
      <c r="C191" s="13" t="s">
        <v>69</v>
      </c>
      <c r="D191" s="312">
        <f>+'R1 Opex Detail'!D191</f>
        <v>0</v>
      </c>
      <c r="E191" s="310">
        <f>+'R1 Opex Detail'!E191</f>
        <v>0</v>
      </c>
      <c r="F191" s="310">
        <f>+'R1 Opex Detail'!F191</f>
        <v>0</v>
      </c>
      <c r="G191" s="310">
        <f>+'R1 Opex Detail'!G191</f>
        <v>0</v>
      </c>
      <c r="H191" s="310">
        <f>+'R1 Opex Detail'!H191</f>
        <v>0</v>
      </c>
      <c r="I191" s="310">
        <f>+'R1 Opex Detail'!I191</f>
        <v>0</v>
      </c>
      <c r="J191" s="310">
        <f>+'R1 Opex Detail'!J191</f>
        <v>0</v>
      </c>
      <c r="K191" s="310">
        <f>+'R1 Opex Detail'!K191</f>
        <v>0</v>
      </c>
      <c r="L191" s="310">
        <f ca="1">+'R1 Opex Detail'!L191</f>
        <v>0</v>
      </c>
      <c r="M191" s="835">
        <f ca="1">+'R1 Opex Detail'!M191*M$2</f>
        <v>0</v>
      </c>
      <c r="N191" s="312">
        <f ca="1">+'R1 Opex Detail'!N191*N$1</f>
        <v>0.15402588461538463</v>
      </c>
      <c r="O191" s="310">
        <f ca="1">+'R1 Opex Detail'!O191*O$1</f>
        <v>0.15566009282538418</v>
      </c>
      <c r="P191" s="310">
        <f ca="1">+'R1 Opex Detail'!P191*P$1</f>
        <v>0.15717432697171768</v>
      </c>
      <c r="Q191" s="310">
        <f ca="1">+'R1 Opex Detail'!Q191*Q$1</f>
        <v>0.15867113061096505</v>
      </c>
      <c r="R191" s="310">
        <f ca="1">+'R1 Opex Detail'!R191*R$1</f>
        <v>0.16029504234299405</v>
      </c>
      <c r="S191" s="310">
        <f ca="1">+'R1 Opex Detail'!S191*S$1</f>
        <v>0.16178255764293997</v>
      </c>
    </row>
    <row r="192" spans="1:19" s="759" customFormat="1">
      <c r="A192" s="5"/>
      <c r="B192" s="249"/>
      <c r="C192" s="13" t="s">
        <v>646</v>
      </c>
      <c r="D192" s="312">
        <f>+'R1 Opex Detail'!D192</f>
        <v>0</v>
      </c>
      <c r="E192" s="310">
        <f>+'R1 Opex Detail'!E192</f>
        <v>0</v>
      </c>
      <c r="F192" s="310">
        <f>+'R1 Opex Detail'!F192</f>
        <v>0</v>
      </c>
      <c r="G192" s="310">
        <f>+'R1 Opex Detail'!G192</f>
        <v>0</v>
      </c>
      <c r="H192" s="310">
        <f>+'R1 Opex Detail'!H192</f>
        <v>0</v>
      </c>
      <c r="I192" s="310">
        <f>+'R1 Opex Detail'!I192</f>
        <v>0</v>
      </c>
      <c r="J192" s="310">
        <f>+'R1 Opex Detail'!J192</f>
        <v>0</v>
      </c>
      <c r="K192" s="310">
        <f>+'R1 Opex Detail'!K192</f>
        <v>0</v>
      </c>
      <c r="L192" s="310">
        <f ca="1">+'R1 Opex Detail'!L192</f>
        <v>0</v>
      </c>
      <c r="M192" s="835">
        <f ca="1">+'R1 Opex Detail'!M192*M$2</f>
        <v>0</v>
      </c>
      <c r="N192" s="312">
        <f ca="1">+'R1 Opex Detail'!N192*N$1</f>
        <v>5.1686538461538471E-3</v>
      </c>
      <c r="O192" s="310">
        <f ca="1">+'R1 Opex Detail'!O192*O$1</f>
        <v>5.2496105130708419E-3</v>
      </c>
      <c r="P192" s="310">
        <f ca="1">+'R1 Opex Detail'!P192*P$1</f>
        <v>5.3271811946177553E-3</v>
      </c>
      <c r="Q192" s="310">
        <f ca="1">+'R1 Opex Detail'!Q192*Q$1</f>
        <v>5.4263142608589922E-3</v>
      </c>
      <c r="R192" s="310">
        <f ca="1">+'R1 Opex Detail'!R192*R$1</f>
        <v>5.5394090229622271E-3</v>
      </c>
      <c r="S192" s="310">
        <f ca="1">+'R1 Opex Detail'!S192*S$1</f>
        <v>5.6606991289112202E-3</v>
      </c>
    </row>
    <row r="193" spans="1:19">
      <c r="A193" s="5"/>
      <c r="B193" s="249"/>
      <c r="C193" s="13" t="s">
        <v>647</v>
      </c>
      <c r="D193" s="312">
        <f>+'R1 Opex Detail'!D193</f>
        <v>0</v>
      </c>
      <c r="E193" s="310">
        <f>+'R1 Opex Detail'!E193</f>
        <v>0</v>
      </c>
      <c r="F193" s="310">
        <f>+'R1 Opex Detail'!F193</f>
        <v>0</v>
      </c>
      <c r="G193" s="310">
        <f>+'R1 Opex Detail'!G193</f>
        <v>0</v>
      </c>
      <c r="H193" s="310">
        <f>+'R1 Opex Detail'!H193</f>
        <v>0</v>
      </c>
      <c r="I193" s="310">
        <f>+'R1 Opex Detail'!I193</f>
        <v>0</v>
      </c>
      <c r="J193" s="310">
        <f>+'R1 Opex Detail'!J193</f>
        <v>0</v>
      </c>
      <c r="K193" s="310">
        <f>+'R1 Opex Detail'!K193</f>
        <v>0</v>
      </c>
      <c r="L193" s="310">
        <f ca="1">+'R1 Opex Detail'!L193</f>
        <v>0</v>
      </c>
      <c r="M193" s="835">
        <f ca="1">+'R1 Opex Detail'!M193*M$2</f>
        <v>0</v>
      </c>
      <c r="N193" s="312">
        <f ca="1">+'R1 Opex Detail'!N193*N$1</f>
        <v>4.5453141923076918</v>
      </c>
      <c r="O193" s="310">
        <f ca="1">+'R1 Opex Detail'!O193*O$1</f>
        <v>4.6165074851944983</v>
      </c>
      <c r="P193" s="310">
        <f ca="1">+'R1 Opex Detail'!P193*P$1</f>
        <v>4.6847231425468543</v>
      </c>
      <c r="Q193" s="310">
        <f ca="1">+'R1 Opex Detail'!Q193*Q$1</f>
        <v>4.7719007609993964</v>
      </c>
      <c r="R193" s="310">
        <f ca="1">+'R1 Opex Detail'!R193*R$1</f>
        <v>4.8713562947929816</v>
      </c>
      <c r="S193" s="310">
        <f ca="1">+'R1 Opex Detail'!S193*S$1</f>
        <v>4.9780188139645265</v>
      </c>
    </row>
    <row r="194" spans="1:19" s="759" customFormat="1">
      <c r="A194" s="5"/>
      <c r="B194" s="249"/>
      <c r="C194" s="13" t="s">
        <v>575</v>
      </c>
      <c r="D194" s="312">
        <f>+'R1 Opex Detail'!D194</f>
        <v>0</v>
      </c>
      <c r="E194" s="310">
        <f>+'R1 Opex Detail'!E194</f>
        <v>0</v>
      </c>
      <c r="F194" s="310">
        <f>+'R1 Opex Detail'!F194</f>
        <v>0</v>
      </c>
      <c r="G194" s="310">
        <f>+'R1 Opex Detail'!G194</f>
        <v>0</v>
      </c>
      <c r="H194" s="310">
        <f>+'R1 Opex Detail'!H194</f>
        <v>0</v>
      </c>
      <c r="I194" s="310">
        <f>+'R1 Opex Detail'!I194</f>
        <v>0</v>
      </c>
      <c r="J194" s="310">
        <f>+'R1 Opex Detail'!J194</f>
        <v>0</v>
      </c>
      <c r="K194" s="310">
        <f>+'R1 Opex Detail'!K194</f>
        <v>0</v>
      </c>
      <c r="L194" s="310">
        <f ca="1">+'R1 Opex Detail'!L194</f>
        <v>0</v>
      </c>
      <c r="M194" s="835">
        <f ca="1">+'R1 Opex Detail'!M194*M$2</f>
        <v>0</v>
      </c>
      <c r="N194" s="312">
        <f ca="1">+'R1 Opex Detail'!N194*N$1</f>
        <v>0</v>
      </c>
      <c r="O194" s="310">
        <f ca="1">+'R1 Opex Detail'!O194*O$1</f>
        <v>0</v>
      </c>
      <c r="P194" s="310">
        <f ca="1">+'R1 Opex Detail'!P194*P$1</f>
        <v>0</v>
      </c>
      <c r="Q194" s="310">
        <f ca="1">+'R1 Opex Detail'!Q194*Q$1</f>
        <v>0</v>
      </c>
      <c r="R194" s="310">
        <f ca="1">+'R1 Opex Detail'!R194*R$1</f>
        <v>0</v>
      </c>
      <c r="S194" s="310">
        <f ca="1">+'R1 Opex Detail'!S194*S$1</f>
        <v>0</v>
      </c>
    </row>
    <row r="195" spans="1:19">
      <c r="A195" s="5"/>
      <c r="B195" s="249"/>
      <c r="C195" s="13" t="s">
        <v>70</v>
      </c>
      <c r="D195" s="312">
        <f>+'R1 Opex Detail'!D195</f>
        <v>0</v>
      </c>
      <c r="E195" s="310">
        <f>+'R1 Opex Detail'!E195</f>
        <v>0</v>
      </c>
      <c r="F195" s="310">
        <f>+'R1 Opex Detail'!F195</f>
        <v>0</v>
      </c>
      <c r="G195" s="310">
        <f>+'R1 Opex Detail'!G195</f>
        <v>0</v>
      </c>
      <c r="H195" s="310">
        <f>+'R1 Opex Detail'!H195</f>
        <v>0</v>
      </c>
      <c r="I195" s="310">
        <f>+'R1 Opex Detail'!I195</f>
        <v>0</v>
      </c>
      <c r="J195" s="310">
        <f>+'R1 Opex Detail'!J195</f>
        <v>0</v>
      </c>
      <c r="K195" s="310">
        <f>+'R1 Opex Detail'!K195</f>
        <v>0</v>
      </c>
      <c r="L195" s="310">
        <f ca="1">+'R1 Opex Detail'!L195</f>
        <v>0</v>
      </c>
      <c r="M195" s="835">
        <f ca="1">+'R1 Opex Detail'!M195*M$2</f>
        <v>0</v>
      </c>
      <c r="N195" s="312">
        <f ca="1">+'R1 Opex Detail'!N195*N$1</f>
        <v>1.5981477692307695</v>
      </c>
      <c r="O195" s="310">
        <f ca="1">+'R1 Opex Detail'!O195*O$1</f>
        <v>1.6151040503895568</v>
      </c>
      <c r="P195" s="310">
        <f ca="1">+'R1 Opex Detail'!P195*P$1</f>
        <v>1.6308154999884266</v>
      </c>
      <c r="Q195" s="310">
        <f ca="1">+'R1 Opex Detail'!Q195*Q$1</f>
        <v>1.6463460934533691</v>
      </c>
      <c r="R195" s="310">
        <f ca="1">+'R1 Opex Detail'!R195*R$1</f>
        <v>1.6631955400152267</v>
      </c>
      <c r="S195" s="310">
        <f ca="1">+'R1 Opex Detail'!S195*S$1</f>
        <v>1.6786297591676862</v>
      </c>
    </row>
    <row r="196" spans="1:19">
      <c r="A196" s="5"/>
      <c r="B196" s="249"/>
      <c r="C196" s="12" t="s">
        <v>75</v>
      </c>
      <c r="D196" s="313">
        <f t="shared" ref="D196:S196" si="21">SUBTOTAL(9,D190:D195)</f>
        <v>0</v>
      </c>
      <c r="E196" s="311">
        <f t="shared" si="21"/>
        <v>0</v>
      </c>
      <c r="F196" s="311">
        <f t="shared" si="21"/>
        <v>0</v>
      </c>
      <c r="G196" s="311">
        <f t="shared" si="21"/>
        <v>0</v>
      </c>
      <c r="H196" s="311">
        <f t="shared" si="21"/>
        <v>0</v>
      </c>
      <c r="I196" s="311">
        <f t="shared" si="21"/>
        <v>0</v>
      </c>
      <c r="J196" s="311">
        <f t="shared" si="21"/>
        <v>0</v>
      </c>
      <c r="K196" s="311">
        <f t="shared" si="21"/>
        <v>0</v>
      </c>
      <c r="L196" s="311">
        <f t="shared" ca="1" si="21"/>
        <v>0</v>
      </c>
      <c r="M196" s="513">
        <f t="shared" ca="1" si="21"/>
        <v>0</v>
      </c>
      <c r="N196" s="313">
        <f t="shared" ca="1" si="21"/>
        <v>6.9642441923076923</v>
      </c>
      <c r="O196" s="311">
        <f t="shared" ca="1" si="21"/>
        <v>7.0754752976160828</v>
      </c>
      <c r="P196" s="311">
        <f t="shared" ca="1" si="21"/>
        <v>7.1824352312603068</v>
      </c>
      <c r="Q196" s="311">
        <f t="shared" ca="1" si="21"/>
        <v>7.3095424079508025</v>
      </c>
      <c r="R196" s="311">
        <f t="shared" ca="1" si="21"/>
        <v>7.4516545348646019</v>
      </c>
      <c r="S196" s="311">
        <f t="shared" ca="1" si="21"/>
        <v>7.5994935502857732</v>
      </c>
    </row>
    <row r="197" spans="1:19">
      <c r="A197" s="5"/>
      <c r="B197" s="249"/>
      <c r="C197" s="12"/>
      <c r="D197" s="263"/>
      <c r="E197" s="263"/>
      <c r="F197" s="263"/>
      <c r="G197" s="263"/>
      <c r="H197" s="263"/>
      <c r="I197" s="263"/>
      <c r="J197" s="263"/>
      <c r="K197" s="263"/>
      <c r="L197" s="263"/>
      <c r="M197" s="836"/>
      <c r="N197" s="263"/>
      <c r="O197" s="263"/>
      <c r="P197" s="263"/>
      <c r="Q197" s="263"/>
      <c r="R197" s="263"/>
      <c r="S197" s="263"/>
    </row>
    <row r="198" spans="1:19">
      <c r="A198" s="5"/>
      <c r="B198" s="249" t="str">
        <f ca="1">+'I-4 History'!B196</f>
        <v>DA-22</v>
      </c>
      <c r="C198" s="14" t="str">
        <f ca="1">+'I-4 History'!C196</f>
        <v>Network Insurance</v>
      </c>
      <c r="D198" s="11"/>
      <c r="E198" s="11"/>
      <c r="F198" s="11"/>
      <c r="G198" s="11"/>
      <c r="H198" s="11"/>
      <c r="I198" s="11"/>
      <c r="J198" s="11"/>
      <c r="K198" s="11"/>
      <c r="L198" s="11"/>
      <c r="M198" s="507"/>
      <c r="N198" s="11"/>
      <c r="O198" s="11"/>
      <c r="P198" s="11"/>
      <c r="Q198" s="11"/>
      <c r="R198" s="11"/>
      <c r="S198" s="11"/>
    </row>
    <row r="199" spans="1:19">
      <c r="A199" s="5"/>
      <c r="B199" s="249"/>
      <c r="C199" s="13" t="s">
        <v>68</v>
      </c>
      <c r="D199" s="312">
        <f>+'R1 Opex Detail'!D199</f>
        <v>0</v>
      </c>
      <c r="E199" s="310">
        <f>+'R1 Opex Detail'!E199</f>
        <v>0</v>
      </c>
      <c r="F199" s="310">
        <f>+'R1 Opex Detail'!F199</f>
        <v>0</v>
      </c>
      <c r="G199" s="310">
        <f>+'R1 Opex Detail'!G199</f>
        <v>0</v>
      </c>
      <c r="H199" s="310">
        <f>+'R1 Opex Detail'!H199</f>
        <v>0</v>
      </c>
      <c r="I199" s="310">
        <f>+'R1 Opex Detail'!I199</f>
        <v>0</v>
      </c>
      <c r="J199" s="310">
        <f>+'R1 Opex Detail'!J199</f>
        <v>0</v>
      </c>
      <c r="K199" s="310">
        <f>+'R1 Opex Detail'!K199</f>
        <v>0</v>
      </c>
      <c r="L199" s="310">
        <f ca="1">+'R1 Opex Detail'!L199</f>
        <v>0</v>
      </c>
      <c r="M199" s="835">
        <f ca="1">+'R1 Opex Detail'!M199*M$2</f>
        <v>0</v>
      </c>
      <c r="N199" s="312">
        <f ca="1">+'R1 Opex Detail'!N199*N$1</f>
        <v>0.4749848626747657</v>
      </c>
      <c r="O199" s="310">
        <f ca="1">+'R1 Opex Detail'!O199*O$1</f>
        <v>0.49032478015154968</v>
      </c>
      <c r="P199" s="310">
        <f ca="1">+'R1 Opex Detail'!P199*P$1</f>
        <v>0.50571829630159515</v>
      </c>
      <c r="Q199" s="310">
        <f ca="1">+'R1 Opex Detail'!Q199*Q$1</f>
        <v>0.52208966064400131</v>
      </c>
      <c r="R199" s="310">
        <f ca="1">+'R1 Opex Detail'!R199*R$1</f>
        <v>0.53937074417366704</v>
      </c>
      <c r="S199" s="310">
        <f ca="1">+'R1 Opex Detail'!S199*S$1</f>
        <v>0.55669729645150612</v>
      </c>
    </row>
    <row r="200" spans="1:19">
      <c r="A200" s="5"/>
      <c r="B200" s="249"/>
      <c r="C200" s="13" t="s">
        <v>69</v>
      </c>
      <c r="D200" s="312">
        <f>+'R1 Opex Detail'!D200</f>
        <v>0</v>
      </c>
      <c r="E200" s="310">
        <f>+'R1 Opex Detail'!E200</f>
        <v>0</v>
      </c>
      <c r="F200" s="310">
        <f>+'R1 Opex Detail'!F200</f>
        <v>0</v>
      </c>
      <c r="G200" s="310">
        <f>+'R1 Opex Detail'!G200</f>
        <v>0</v>
      </c>
      <c r="H200" s="310">
        <f>+'R1 Opex Detail'!H200</f>
        <v>0</v>
      </c>
      <c r="I200" s="310">
        <f>+'R1 Opex Detail'!I200</f>
        <v>0</v>
      </c>
      <c r="J200" s="310">
        <f>+'R1 Opex Detail'!J200</f>
        <v>0</v>
      </c>
      <c r="K200" s="310">
        <f>+'R1 Opex Detail'!K200</f>
        <v>0</v>
      </c>
      <c r="L200" s="310">
        <f ca="1">+'R1 Opex Detail'!L200</f>
        <v>0</v>
      </c>
      <c r="M200" s="835">
        <f ca="1">+'R1 Opex Detail'!M200*M$2</f>
        <v>0</v>
      </c>
      <c r="N200" s="312">
        <f ca="1">+'R1 Opex Detail'!N200*N$1</f>
        <v>0</v>
      </c>
      <c r="O200" s="310">
        <f ca="1">+'R1 Opex Detail'!O200*O$1</f>
        <v>0</v>
      </c>
      <c r="P200" s="310">
        <f ca="1">+'R1 Opex Detail'!P200*P$1</f>
        <v>0</v>
      </c>
      <c r="Q200" s="310">
        <f ca="1">+'R1 Opex Detail'!Q200*Q$1</f>
        <v>0</v>
      </c>
      <c r="R200" s="310">
        <f ca="1">+'R1 Opex Detail'!R200*R$1</f>
        <v>0</v>
      </c>
      <c r="S200" s="310">
        <f ca="1">+'R1 Opex Detail'!S200*S$1</f>
        <v>0</v>
      </c>
    </row>
    <row r="201" spans="1:19" s="759" customFormat="1">
      <c r="A201" s="5"/>
      <c r="B201" s="249"/>
      <c r="C201" s="13" t="s">
        <v>646</v>
      </c>
      <c r="D201" s="312">
        <f>+'R1 Opex Detail'!D201</f>
        <v>0</v>
      </c>
      <c r="E201" s="310">
        <f>+'R1 Opex Detail'!E201</f>
        <v>0</v>
      </c>
      <c r="F201" s="310">
        <f>+'R1 Opex Detail'!F201</f>
        <v>0</v>
      </c>
      <c r="G201" s="310">
        <f>+'R1 Opex Detail'!G201</f>
        <v>0</v>
      </c>
      <c r="H201" s="310">
        <f>+'R1 Opex Detail'!H201</f>
        <v>0</v>
      </c>
      <c r="I201" s="310">
        <f>+'R1 Opex Detail'!I201</f>
        <v>0</v>
      </c>
      <c r="J201" s="310">
        <f>+'R1 Opex Detail'!J201</f>
        <v>0</v>
      </c>
      <c r="K201" s="310">
        <f>+'R1 Opex Detail'!K201</f>
        <v>0</v>
      </c>
      <c r="L201" s="310">
        <f ca="1">+'R1 Opex Detail'!L201</f>
        <v>0</v>
      </c>
      <c r="M201" s="835">
        <f ca="1">+'R1 Opex Detail'!M201*M$2</f>
        <v>0</v>
      </c>
      <c r="N201" s="312">
        <f ca="1">+'R1 Opex Detail'!N201*N$1</f>
        <v>7.1474495732313983E-3</v>
      </c>
      <c r="O201" s="310">
        <f ca="1">+'R1 Opex Detail'!O201*O$1</f>
        <v>7.2594001335957179E-3</v>
      </c>
      <c r="P201" s="310">
        <f ca="1">+'R1 Opex Detail'!P201*P$1</f>
        <v>7.3666683994189986E-3</v>
      </c>
      <c r="Q201" s="310">
        <f ca="1">+'R1 Opex Detail'!Q201*Q$1</f>
        <v>7.5037541113063015E-3</v>
      </c>
      <c r="R201" s="310">
        <f ca="1">+'R1 Opex Detail'!R201*R$1</f>
        <v>7.6601466911133198E-3</v>
      </c>
      <c r="S201" s="310">
        <f ca="1">+'R1 Opex Detail'!S201*S$1</f>
        <v>7.8278721650580346E-3</v>
      </c>
    </row>
    <row r="202" spans="1:19">
      <c r="A202" s="5"/>
      <c r="B202" s="249"/>
      <c r="C202" s="13" t="s">
        <v>647</v>
      </c>
      <c r="D202" s="312">
        <f>+'R1 Opex Detail'!D202</f>
        <v>0</v>
      </c>
      <c r="E202" s="310">
        <f>+'R1 Opex Detail'!E202</f>
        <v>0</v>
      </c>
      <c r="F202" s="310">
        <f>+'R1 Opex Detail'!F202</f>
        <v>0</v>
      </c>
      <c r="G202" s="310">
        <f>+'R1 Opex Detail'!G202</f>
        <v>0</v>
      </c>
      <c r="H202" s="310">
        <f>+'R1 Opex Detail'!H202</f>
        <v>0</v>
      </c>
      <c r="I202" s="310">
        <f>+'R1 Opex Detail'!I202</f>
        <v>0</v>
      </c>
      <c r="J202" s="310">
        <f>+'R1 Opex Detail'!J202</f>
        <v>0</v>
      </c>
      <c r="K202" s="310">
        <f>+'R1 Opex Detail'!K202</f>
        <v>0</v>
      </c>
      <c r="L202" s="310">
        <f ca="1">+'R1 Opex Detail'!L202</f>
        <v>0</v>
      </c>
      <c r="M202" s="835">
        <f ca="1">+'R1 Opex Detail'!M202*M$2</f>
        <v>0</v>
      </c>
      <c r="N202" s="312">
        <f ca="1">+'R1 Opex Detail'!N202*N$1</f>
        <v>0</v>
      </c>
      <c r="O202" s="310">
        <f ca="1">+'R1 Opex Detail'!O202*O$1</f>
        <v>0</v>
      </c>
      <c r="P202" s="310">
        <f ca="1">+'R1 Opex Detail'!P202*P$1</f>
        <v>0</v>
      </c>
      <c r="Q202" s="310">
        <f ca="1">+'R1 Opex Detail'!Q202*Q$1</f>
        <v>0</v>
      </c>
      <c r="R202" s="310">
        <f ca="1">+'R1 Opex Detail'!R202*R$1</f>
        <v>0</v>
      </c>
      <c r="S202" s="310">
        <f ca="1">+'R1 Opex Detail'!S202*S$1</f>
        <v>0</v>
      </c>
    </row>
    <row r="203" spans="1:19" s="759" customFormat="1">
      <c r="A203" s="5"/>
      <c r="B203" s="249"/>
      <c r="C203" s="13" t="s">
        <v>575</v>
      </c>
      <c r="D203" s="312">
        <f>+'R1 Opex Detail'!D203</f>
        <v>0</v>
      </c>
      <c r="E203" s="310">
        <f>+'R1 Opex Detail'!E203</f>
        <v>0</v>
      </c>
      <c r="F203" s="310">
        <f>+'R1 Opex Detail'!F203</f>
        <v>0</v>
      </c>
      <c r="G203" s="310">
        <f>+'R1 Opex Detail'!G203</f>
        <v>0</v>
      </c>
      <c r="H203" s="310">
        <f>+'R1 Opex Detail'!H203</f>
        <v>0</v>
      </c>
      <c r="I203" s="310">
        <f>+'R1 Opex Detail'!I203</f>
        <v>0</v>
      </c>
      <c r="J203" s="310">
        <f>+'R1 Opex Detail'!J203</f>
        <v>0</v>
      </c>
      <c r="K203" s="310">
        <f>+'R1 Opex Detail'!K203</f>
        <v>0</v>
      </c>
      <c r="L203" s="310">
        <f ca="1">+'R1 Opex Detail'!L203</f>
        <v>0</v>
      </c>
      <c r="M203" s="835">
        <f ca="1">+'R1 Opex Detail'!M203*M$2</f>
        <v>0</v>
      </c>
      <c r="N203" s="312">
        <f ca="1">+'R1 Opex Detail'!N203*N$1</f>
        <v>0</v>
      </c>
      <c r="O203" s="310">
        <f ca="1">+'R1 Opex Detail'!O203*O$1</f>
        <v>0</v>
      </c>
      <c r="P203" s="310">
        <f ca="1">+'R1 Opex Detail'!P203*P$1</f>
        <v>0</v>
      </c>
      <c r="Q203" s="310">
        <f ca="1">+'R1 Opex Detail'!Q203*Q$1</f>
        <v>0</v>
      </c>
      <c r="R203" s="310">
        <f ca="1">+'R1 Opex Detail'!R203*R$1</f>
        <v>0</v>
      </c>
      <c r="S203" s="310">
        <f ca="1">+'R1 Opex Detail'!S203*S$1</f>
        <v>0</v>
      </c>
    </row>
    <row r="204" spans="1:19">
      <c r="A204" s="5"/>
      <c r="B204" s="249"/>
      <c r="C204" s="13" t="s">
        <v>70</v>
      </c>
      <c r="D204" s="312">
        <f>+'R1 Opex Detail'!D204</f>
        <v>0</v>
      </c>
      <c r="E204" s="310">
        <f>+'R1 Opex Detail'!E204</f>
        <v>0</v>
      </c>
      <c r="F204" s="310">
        <f>+'R1 Opex Detail'!F204</f>
        <v>0</v>
      </c>
      <c r="G204" s="310">
        <f>+'R1 Opex Detail'!G204</f>
        <v>0</v>
      </c>
      <c r="H204" s="310">
        <f>+'R1 Opex Detail'!H204</f>
        <v>0</v>
      </c>
      <c r="I204" s="310">
        <f>+'R1 Opex Detail'!I204</f>
        <v>0</v>
      </c>
      <c r="J204" s="310">
        <f>+'R1 Opex Detail'!J204</f>
        <v>0</v>
      </c>
      <c r="K204" s="310">
        <f>+'R1 Opex Detail'!K204</f>
        <v>0</v>
      </c>
      <c r="L204" s="310">
        <f ca="1">+'R1 Opex Detail'!L204</f>
        <v>0</v>
      </c>
      <c r="M204" s="835">
        <f ca="1">+'R1 Opex Detail'!M204*M$2</f>
        <v>0</v>
      </c>
      <c r="N204" s="312">
        <f ca="1">+'R1 Opex Detail'!N204*N$1</f>
        <v>2.622161187752003</v>
      </c>
      <c r="O204" s="310">
        <f ca="1">+'R1 Opex Detail'!O204*O$1</f>
        <v>2.6499822085607256</v>
      </c>
      <c r="P204" s="310">
        <f ca="1">+'R1 Opex Detail'!P204*P$1</f>
        <v>2.6757607718041658</v>
      </c>
      <c r="Q204" s="310">
        <f ca="1">+'R1 Opex Detail'!Q204*Q$1</f>
        <v>2.7012425953192265</v>
      </c>
      <c r="R204" s="310">
        <f ca="1">+'R1 Opex Detail'!R204*R$1</f>
        <v>2.7288883272473017</v>
      </c>
      <c r="S204" s="310">
        <f ca="1">+'R1 Opex Detail'!S204*S$1</f>
        <v>2.7542120245949611</v>
      </c>
    </row>
    <row r="205" spans="1:19">
      <c r="A205" s="5"/>
      <c r="B205" s="249"/>
      <c r="C205" s="12" t="s">
        <v>75</v>
      </c>
      <c r="D205" s="313">
        <f t="shared" ref="D205:S205" si="22">SUBTOTAL(9,D199:D204)</f>
        <v>0</v>
      </c>
      <c r="E205" s="311">
        <f t="shared" si="22"/>
        <v>0</v>
      </c>
      <c r="F205" s="311">
        <f t="shared" si="22"/>
        <v>0</v>
      </c>
      <c r="G205" s="311">
        <f t="shared" si="22"/>
        <v>0</v>
      </c>
      <c r="H205" s="311">
        <f t="shared" si="22"/>
        <v>0</v>
      </c>
      <c r="I205" s="311">
        <f t="shared" si="22"/>
        <v>0</v>
      </c>
      <c r="J205" s="311">
        <f t="shared" si="22"/>
        <v>0</v>
      </c>
      <c r="K205" s="311">
        <f t="shared" si="22"/>
        <v>0</v>
      </c>
      <c r="L205" s="311">
        <f t="shared" ca="1" si="22"/>
        <v>0</v>
      </c>
      <c r="M205" s="513">
        <f t="shared" ca="1" si="22"/>
        <v>0</v>
      </c>
      <c r="N205" s="313">
        <f t="shared" ca="1" si="22"/>
        <v>3.1042935000000003</v>
      </c>
      <c r="O205" s="311">
        <f t="shared" ca="1" si="22"/>
        <v>3.1475663888458709</v>
      </c>
      <c r="P205" s="311">
        <f t="shared" ca="1" si="22"/>
        <v>3.1888457365051801</v>
      </c>
      <c r="Q205" s="311">
        <f t="shared" ca="1" si="22"/>
        <v>3.2308360100745341</v>
      </c>
      <c r="R205" s="311">
        <f t="shared" ca="1" si="22"/>
        <v>3.2759192181120822</v>
      </c>
      <c r="S205" s="311">
        <f t="shared" ca="1" si="22"/>
        <v>3.318737193211525</v>
      </c>
    </row>
    <row r="206" spans="1:19">
      <c r="A206" s="5"/>
      <c r="B206" s="249"/>
      <c r="C206" s="12"/>
      <c r="D206" s="263"/>
      <c r="E206" s="263"/>
      <c r="F206" s="263"/>
      <c r="G206" s="263"/>
      <c r="H206" s="263"/>
      <c r="I206" s="263"/>
      <c r="J206" s="263"/>
      <c r="K206" s="263"/>
      <c r="L206" s="263"/>
      <c r="M206" s="836"/>
      <c r="N206" s="263"/>
      <c r="O206" s="263"/>
      <c r="P206" s="263"/>
      <c r="Q206" s="263"/>
      <c r="R206" s="263"/>
      <c r="S206" s="263"/>
    </row>
    <row r="207" spans="1:19">
      <c r="A207" s="5"/>
      <c r="B207" s="249" t="str">
        <f ca="1">+'I-4 History'!B205</f>
        <v>DA-23</v>
      </c>
      <c r="C207" s="14" t="str">
        <f ca="1">+'I-4 History'!C205</f>
        <v>Retail Contestability</v>
      </c>
      <c r="D207" s="11"/>
      <c r="E207" s="11"/>
      <c r="F207" s="11"/>
      <c r="G207" s="11"/>
      <c r="H207" s="11"/>
      <c r="I207" s="11"/>
      <c r="J207" s="11"/>
      <c r="K207" s="11"/>
      <c r="L207" s="11"/>
      <c r="M207" s="507"/>
      <c r="N207" s="11"/>
      <c r="O207" s="11"/>
      <c r="P207" s="11"/>
      <c r="Q207" s="11"/>
      <c r="R207" s="11"/>
      <c r="S207" s="11"/>
    </row>
    <row r="208" spans="1:19">
      <c r="B208" s="249"/>
      <c r="C208" s="13" t="s">
        <v>68</v>
      </c>
      <c r="D208" s="312">
        <f>+'R1 Opex Detail'!D208</f>
        <v>0</v>
      </c>
      <c r="E208" s="310">
        <f>+'R1 Opex Detail'!E208</f>
        <v>0</v>
      </c>
      <c r="F208" s="310">
        <f>+'R1 Opex Detail'!F208</f>
        <v>0</v>
      </c>
      <c r="G208" s="310">
        <f>+'R1 Opex Detail'!G208</f>
        <v>0</v>
      </c>
      <c r="H208" s="310">
        <f>+'R1 Opex Detail'!H208</f>
        <v>0</v>
      </c>
      <c r="I208" s="310">
        <f>+'R1 Opex Detail'!I208</f>
        <v>0</v>
      </c>
      <c r="J208" s="310">
        <f>+'R1 Opex Detail'!J208</f>
        <v>0</v>
      </c>
      <c r="K208" s="310">
        <f>+'R1 Opex Detail'!K208</f>
        <v>0</v>
      </c>
      <c r="L208" s="310">
        <f ca="1">+'R1 Opex Detail'!L208</f>
        <v>0</v>
      </c>
      <c r="M208" s="835">
        <f ca="1">+'R1 Opex Detail'!M208*M$2</f>
        <v>0</v>
      </c>
      <c r="N208" s="312">
        <f ca="1">+'R1 Opex Detail'!N208*N$1</f>
        <v>4.2899826923076922</v>
      </c>
      <c r="O208" s="310">
        <f ca="1">+'R1 Opex Detail'!O208*O$1</f>
        <v>5.4746657628026707</v>
      </c>
      <c r="P208" s="310">
        <f ca="1">+'R1 Opex Detail'!P208*P$1</f>
        <v>5.9786043504977586</v>
      </c>
      <c r="Q208" s="310">
        <f ca="1">+'R1 Opex Detail'!Q208*Q$1</f>
        <v>6.4231484663923277</v>
      </c>
      <c r="R208" s="310">
        <f ca="1">+'R1 Opex Detail'!R208*R$1</f>
        <v>6.5709584347174381</v>
      </c>
      <c r="S208" s="310">
        <f ca="1">+'R1 Opex Detail'!S208*S$1</f>
        <v>6.8328894536770681</v>
      </c>
    </row>
    <row r="209" spans="1:19">
      <c r="B209" s="249"/>
      <c r="C209" s="13" t="s">
        <v>69</v>
      </c>
      <c r="D209" s="312">
        <f>+'R1 Opex Detail'!D209</f>
        <v>0</v>
      </c>
      <c r="E209" s="310">
        <f>+'R1 Opex Detail'!E209</f>
        <v>0</v>
      </c>
      <c r="F209" s="310">
        <f>+'R1 Opex Detail'!F209</f>
        <v>0</v>
      </c>
      <c r="G209" s="310">
        <f>+'R1 Opex Detail'!G209</f>
        <v>0</v>
      </c>
      <c r="H209" s="310">
        <f>+'R1 Opex Detail'!H209</f>
        <v>0</v>
      </c>
      <c r="I209" s="310">
        <f>+'R1 Opex Detail'!I209</f>
        <v>0</v>
      </c>
      <c r="J209" s="310">
        <f>+'R1 Opex Detail'!J209</f>
        <v>0</v>
      </c>
      <c r="K209" s="310">
        <f>+'R1 Opex Detail'!K209</f>
        <v>0</v>
      </c>
      <c r="L209" s="310">
        <f ca="1">+'R1 Opex Detail'!L209</f>
        <v>0</v>
      </c>
      <c r="M209" s="835">
        <f ca="1">+'R1 Opex Detail'!M209*M$2</f>
        <v>0</v>
      </c>
      <c r="N209" s="312">
        <f ca="1">+'R1 Opex Detail'!N209*N$1</f>
        <v>5.4787730769230776E-2</v>
      </c>
      <c r="O209" s="310">
        <f ca="1">+'R1 Opex Detail'!O209*O$1</f>
        <v>5.5369026307015859E-2</v>
      </c>
      <c r="P209" s="310">
        <f ca="1">+'R1 Opex Detail'!P209*P$1</f>
        <v>5.5907646506718374E-2</v>
      </c>
      <c r="Q209" s="310">
        <f ca="1">+'R1 Opex Detail'!Q209*Q$1</f>
        <v>6.2642451208546682E-2</v>
      </c>
      <c r="R209" s="310">
        <f ca="1">+'R1 Opex Detail'!R209*R$1</f>
        <v>6.7355007317667998E-2</v>
      </c>
      <c r="S209" s="310">
        <f ca="1">+'R1 Opex Detail'!S209*S$1</f>
        <v>7.0985315805877983E-2</v>
      </c>
    </row>
    <row r="210" spans="1:19" s="759" customFormat="1">
      <c r="B210" s="249"/>
      <c r="C210" s="13" t="s">
        <v>646</v>
      </c>
      <c r="D210" s="312">
        <f>+'R1 Opex Detail'!D210</f>
        <v>0</v>
      </c>
      <c r="E210" s="310">
        <f>+'R1 Opex Detail'!E210</f>
        <v>0</v>
      </c>
      <c r="F210" s="310">
        <f>+'R1 Opex Detail'!F210</f>
        <v>0</v>
      </c>
      <c r="G210" s="310">
        <f>+'R1 Opex Detail'!G210</f>
        <v>0</v>
      </c>
      <c r="H210" s="310">
        <f>+'R1 Opex Detail'!H210</f>
        <v>0</v>
      </c>
      <c r="I210" s="310">
        <f>+'R1 Opex Detail'!I210</f>
        <v>0</v>
      </c>
      <c r="J210" s="310">
        <f>+'R1 Opex Detail'!J210</f>
        <v>0</v>
      </c>
      <c r="K210" s="310">
        <f>+'R1 Opex Detail'!K210</f>
        <v>0</v>
      </c>
      <c r="L210" s="310">
        <f ca="1">+'R1 Opex Detail'!L210</f>
        <v>0</v>
      </c>
      <c r="M210" s="835">
        <f ca="1">+'R1 Opex Detail'!M210*M$2</f>
        <v>0</v>
      </c>
      <c r="N210" s="312">
        <f ca="1">+'R1 Opex Detail'!N210*N$1</f>
        <v>11.941657846153847</v>
      </c>
      <c r="O210" s="310">
        <f ca="1">+'R1 Opex Detail'!O210*O$1</f>
        <v>12.128700129398872</v>
      </c>
      <c r="P210" s="310">
        <f ca="1">+'R1 Opex Detail'!P210*P$1</f>
        <v>12.307919432044862</v>
      </c>
      <c r="Q210" s="310">
        <f ca="1">+'R1 Opex Detail'!Q210*Q$1</f>
        <v>12.536956468288615</v>
      </c>
      <c r="R210" s="310">
        <f ca="1">+'R1 Opex Detail'!R210*R$1</f>
        <v>12.798250606651928</v>
      </c>
      <c r="S210" s="310">
        <f ca="1">+'R1 Opex Detail'!S210*S$1</f>
        <v>13.078479267436482</v>
      </c>
    </row>
    <row r="211" spans="1:19">
      <c r="B211" s="249"/>
      <c r="C211" s="13" t="s">
        <v>647</v>
      </c>
      <c r="D211" s="312">
        <f>+'R1 Opex Detail'!D211</f>
        <v>0</v>
      </c>
      <c r="E211" s="310">
        <f>+'R1 Opex Detail'!E211</f>
        <v>0</v>
      </c>
      <c r="F211" s="310">
        <f>+'R1 Opex Detail'!F211</f>
        <v>0</v>
      </c>
      <c r="G211" s="310">
        <f>+'R1 Opex Detail'!G211</f>
        <v>0</v>
      </c>
      <c r="H211" s="310">
        <f>+'R1 Opex Detail'!H211</f>
        <v>0</v>
      </c>
      <c r="I211" s="310">
        <f>+'R1 Opex Detail'!I211</f>
        <v>0</v>
      </c>
      <c r="J211" s="310">
        <f>+'R1 Opex Detail'!J211</f>
        <v>0</v>
      </c>
      <c r="K211" s="310">
        <f>+'R1 Opex Detail'!K211</f>
        <v>0</v>
      </c>
      <c r="L211" s="310">
        <f ca="1">+'R1 Opex Detail'!L211</f>
        <v>0</v>
      </c>
      <c r="M211" s="835">
        <f ca="1">+'R1 Opex Detail'!M211*M$2</f>
        <v>0</v>
      </c>
      <c r="N211" s="312">
        <f ca="1">+'R1 Opex Detail'!N211*N$1</f>
        <v>-0.8435243076923078</v>
      </c>
      <c r="O211" s="310">
        <f ca="1">+'R1 Opex Detail'!O211*O$1</f>
        <v>-0.6479228203485462</v>
      </c>
      <c r="P211" s="310">
        <f ca="1">+'R1 Opex Detail'!P211*P$1</f>
        <v>-0.67091966326931018</v>
      </c>
      <c r="Q211" s="310">
        <f ca="1">+'R1 Opex Detail'!Q211*Q$1</f>
        <v>-0.57648898737218757</v>
      </c>
      <c r="R211" s="310">
        <f ca="1">+'R1 Opex Detail'!R211*R$1</f>
        <v>-0.59804724485512772</v>
      </c>
      <c r="S211" s="310">
        <f ca="1">+'R1 Opex Detail'!S211*S$1</f>
        <v>-0.61267313629984965</v>
      </c>
    </row>
    <row r="212" spans="1:19" s="759" customFormat="1">
      <c r="B212" s="249"/>
      <c r="C212" s="13" t="s">
        <v>575</v>
      </c>
      <c r="D212" s="312">
        <f>+'R1 Opex Detail'!D212</f>
        <v>0</v>
      </c>
      <c r="E212" s="310">
        <f>+'R1 Opex Detail'!E212</f>
        <v>0</v>
      </c>
      <c r="F212" s="310">
        <f>+'R1 Opex Detail'!F212</f>
        <v>0</v>
      </c>
      <c r="G212" s="310">
        <f>+'R1 Opex Detail'!G212</f>
        <v>0</v>
      </c>
      <c r="H212" s="310">
        <f>+'R1 Opex Detail'!H212</f>
        <v>0</v>
      </c>
      <c r="I212" s="310">
        <f>+'R1 Opex Detail'!I212</f>
        <v>0</v>
      </c>
      <c r="J212" s="310">
        <f>+'R1 Opex Detail'!J212</f>
        <v>0</v>
      </c>
      <c r="K212" s="310">
        <f>+'R1 Opex Detail'!K212</f>
        <v>0</v>
      </c>
      <c r="L212" s="310">
        <f ca="1">+'R1 Opex Detail'!L212</f>
        <v>0</v>
      </c>
      <c r="M212" s="835">
        <f ca="1">+'R1 Opex Detail'!M212*M$2</f>
        <v>0</v>
      </c>
      <c r="N212" s="312">
        <f ca="1">+'R1 Opex Detail'!N212*N$1</f>
        <v>-7.6496076923076931E-2</v>
      </c>
      <c r="O212" s="310">
        <f ca="1">+'R1 Opex Detail'!O212*O$1</f>
        <v>-7.8966563036444309E-2</v>
      </c>
      <c r="P212" s="310">
        <f ca="1">+'R1 Opex Detail'!P212*P$1</f>
        <v>-8.1445681189598593E-2</v>
      </c>
      <c r="Q212" s="310">
        <f ca="1">+'R1 Opex Detail'!Q212*Q$1</f>
        <v>-8.4082281309905846E-2</v>
      </c>
      <c r="R212" s="310">
        <f ca="1">+'R1 Opex Detail'!R212*R$1</f>
        <v>-8.6865391254831795E-2</v>
      </c>
      <c r="S212" s="310">
        <f ca="1">+'R1 Opex Detail'!S212*S$1</f>
        <v>-8.9655823919135125E-2</v>
      </c>
    </row>
    <row r="213" spans="1:19">
      <c r="B213" s="249"/>
      <c r="C213" s="13" t="s">
        <v>70</v>
      </c>
      <c r="D213" s="312">
        <f>+'R1 Opex Detail'!D213</f>
        <v>0</v>
      </c>
      <c r="E213" s="310">
        <f>+'R1 Opex Detail'!E213</f>
        <v>0</v>
      </c>
      <c r="F213" s="310">
        <f>+'R1 Opex Detail'!F213</f>
        <v>0</v>
      </c>
      <c r="G213" s="310">
        <f>+'R1 Opex Detail'!G213</f>
        <v>0</v>
      </c>
      <c r="H213" s="310">
        <f>+'R1 Opex Detail'!H213</f>
        <v>0</v>
      </c>
      <c r="I213" s="310">
        <f>+'R1 Opex Detail'!I213</f>
        <v>0</v>
      </c>
      <c r="J213" s="310">
        <f>+'R1 Opex Detail'!J213</f>
        <v>0</v>
      </c>
      <c r="K213" s="310">
        <f>+'R1 Opex Detail'!K213</f>
        <v>0</v>
      </c>
      <c r="L213" s="310">
        <f ca="1">+'R1 Opex Detail'!L213</f>
        <v>0</v>
      </c>
      <c r="M213" s="835">
        <f ca="1">+'R1 Opex Detail'!M213*M$2</f>
        <v>0</v>
      </c>
      <c r="N213" s="312">
        <f ca="1">+'R1 Opex Detail'!N213*N$1</f>
        <v>0</v>
      </c>
      <c r="O213" s="310">
        <f ca="1">+'R1 Opex Detail'!O213*O$1</f>
        <v>0</v>
      </c>
      <c r="P213" s="310">
        <f ca="1">+'R1 Opex Detail'!P213*P$1</f>
        <v>0</v>
      </c>
      <c r="Q213" s="310">
        <f ca="1">+'R1 Opex Detail'!Q213*Q$1</f>
        <v>0</v>
      </c>
      <c r="R213" s="310">
        <f ca="1">+'R1 Opex Detail'!R213*R$1</f>
        <v>0</v>
      </c>
      <c r="S213" s="310">
        <f ca="1">+'R1 Opex Detail'!S213*S$1</f>
        <v>0</v>
      </c>
    </row>
    <row r="214" spans="1:19">
      <c r="B214" s="249"/>
      <c r="C214" s="301" t="s">
        <v>75</v>
      </c>
      <c r="D214" s="313">
        <f t="shared" ref="D214:S214" si="23">SUBTOTAL(9,D208:D213)</f>
        <v>0</v>
      </c>
      <c r="E214" s="311">
        <f t="shared" si="23"/>
        <v>0</v>
      </c>
      <c r="F214" s="311">
        <f t="shared" si="23"/>
        <v>0</v>
      </c>
      <c r="G214" s="311">
        <f t="shared" si="23"/>
        <v>0</v>
      </c>
      <c r="H214" s="311">
        <f t="shared" si="23"/>
        <v>0</v>
      </c>
      <c r="I214" s="311">
        <f t="shared" si="23"/>
        <v>0</v>
      </c>
      <c r="J214" s="311">
        <f t="shared" si="23"/>
        <v>0</v>
      </c>
      <c r="K214" s="311">
        <f t="shared" si="23"/>
        <v>0</v>
      </c>
      <c r="L214" s="311">
        <f t="shared" ca="1" si="23"/>
        <v>0</v>
      </c>
      <c r="M214" s="513">
        <f t="shared" ca="1" si="23"/>
        <v>0</v>
      </c>
      <c r="N214" s="313">
        <f t="shared" ca="1" si="23"/>
        <v>15.366407884615384</v>
      </c>
      <c r="O214" s="311">
        <f t="shared" ca="1" si="23"/>
        <v>16.931845535123564</v>
      </c>
      <c r="P214" s="311">
        <f t="shared" ca="1" si="23"/>
        <v>17.590066084590433</v>
      </c>
      <c r="Q214" s="311">
        <f t="shared" ca="1" si="23"/>
        <v>18.362176117207394</v>
      </c>
      <c r="R214" s="311">
        <f t="shared" ca="1" si="23"/>
        <v>18.751651412577075</v>
      </c>
      <c r="S214" s="311">
        <f t="shared" ca="1" si="23"/>
        <v>19.280025076700444</v>
      </c>
    </row>
    <row r="215" spans="1:19" ht="18">
      <c r="B215" s="252"/>
      <c r="C215" s="297" t="s">
        <v>70</v>
      </c>
      <c r="D215" s="265"/>
      <c r="E215" s="265"/>
      <c r="F215" s="265"/>
      <c r="G215" s="265"/>
      <c r="H215" s="265"/>
      <c r="I215" s="265"/>
      <c r="J215" s="265"/>
      <c r="K215" s="265"/>
      <c r="L215" s="265"/>
      <c r="M215" s="839"/>
      <c r="N215" s="265"/>
      <c r="O215" s="265"/>
      <c r="P215" s="265"/>
      <c r="Q215" s="265"/>
      <c r="R215" s="265"/>
      <c r="S215" s="265"/>
    </row>
    <row r="216" spans="1:19">
      <c r="A216" s="5"/>
      <c r="B216" s="249" t="str">
        <f ca="1">+'I-4 History'!B214</f>
        <v>DA-24</v>
      </c>
      <c r="C216" s="14" t="str">
        <f ca="1">+'I-4 History'!C214</f>
        <v>Non Network Solutions</v>
      </c>
      <c r="D216" s="11"/>
      <c r="E216" s="11"/>
      <c r="F216" s="11"/>
      <c r="G216" s="11"/>
      <c r="H216" s="11"/>
      <c r="I216" s="11"/>
      <c r="J216" s="11"/>
      <c r="K216" s="11"/>
      <c r="L216" s="11"/>
      <c r="M216" s="507"/>
      <c r="N216" s="11"/>
      <c r="O216" s="11"/>
      <c r="P216" s="11"/>
      <c r="Q216" s="11"/>
      <c r="R216" s="11"/>
      <c r="S216" s="11"/>
    </row>
    <row r="217" spans="1:19">
      <c r="B217" s="249"/>
      <c r="C217" s="13" t="s">
        <v>68</v>
      </c>
      <c r="D217" s="312">
        <f>+'R1 Opex Detail'!D217</f>
        <v>0</v>
      </c>
      <c r="E217" s="310">
        <f>+'R1 Opex Detail'!E217</f>
        <v>0</v>
      </c>
      <c r="F217" s="310">
        <f>+'R1 Opex Detail'!F217</f>
        <v>0</v>
      </c>
      <c r="G217" s="310">
        <f>+'R1 Opex Detail'!G217</f>
        <v>0</v>
      </c>
      <c r="H217" s="310">
        <f>+'R1 Opex Detail'!H217</f>
        <v>0</v>
      </c>
      <c r="I217" s="310">
        <f>+'R1 Opex Detail'!I217</f>
        <v>0</v>
      </c>
      <c r="J217" s="310">
        <f>+'R1 Opex Detail'!J217</f>
        <v>0</v>
      </c>
      <c r="K217" s="310">
        <f>+'R1 Opex Detail'!K217</f>
        <v>0</v>
      </c>
      <c r="L217" s="310">
        <f ca="1">+'R1 Opex Detail'!L217</f>
        <v>0</v>
      </c>
      <c r="M217" s="835">
        <f ca="1">+'R1 Opex Detail'!M217*M$2</f>
        <v>0</v>
      </c>
      <c r="N217" s="312">
        <f ca="1">+'R1 Opex Detail'!N217*N$1</f>
        <v>0</v>
      </c>
      <c r="O217" s="310">
        <f ca="1">+'R1 Opex Detail'!O217*O$1</f>
        <v>0</v>
      </c>
      <c r="P217" s="310">
        <f ca="1">+'R1 Opex Detail'!P217*P$1</f>
        <v>0</v>
      </c>
      <c r="Q217" s="310">
        <f ca="1">+'R1 Opex Detail'!Q217*Q$1</f>
        <v>0</v>
      </c>
      <c r="R217" s="310">
        <f ca="1">+'R1 Opex Detail'!R217*R$1</f>
        <v>0</v>
      </c>
      <c r="S217" s="310">
        <f ca="1">+'R1 Opex Detail'!S217*S$1</f>
        <v>0</v>
      </c>
    </row>
    <row r="218" spans="1:19">
      <c r="B218" s="249"/>
      <c r="C218" s="13" t="s">
        <v>69</v>
      </c>
      <c r="D218" s="312">
        <f>+'R1 Opex Detail'!D218</f>
        <v>0</v>
      </c>
      <c r="E218" s="310">
        <f>+'R1 Opex Detail'!E218</f>
        <v>0</v>
      </c>
      <c r="F218" s="310">
        <f>+'R1 Opex Detail'!F218</f>
        <v>0</v>
      </c>
      <c r="G218" s="310">
        <f>+'R1 Opex Detail'!G218</f>
        <v>0</v>
      </c>
      <c r="H218" s="310">
        <f>+'R1 Opex Detail'!H218</f>
        <v>0</v>
      </c>
      <c r="I218" s="310">
        <f>+'R1 Opex Detail'!I218</f>
        <v>0</v>
      </c>
      <c r="J218" s="310">
        <f>+'R1 Opex Detail'!J218</f>
        <v>0</v>
      </c>
      <c r="K218" s="310">
        <f>+'R1 Opex Detail'!K218</f>
        <v>0</v>
      </c>
      <c r="L218" s="310">
        <f ca="1">+'R1 Opex Detail'!L218</f>
        <v>0</v>
      </c>
      <c r="M218" s="835">
        <f ca="1">+'R1 Opex Detail'!M218*M$2</f>
        <v>0</v>
      </c>
      <c r="N218" s="312">
        <f ca="1">+'R1 Opex Detail'!N218*N$1</f>
        <v>0</v>
      </c>
      <c r="O218" s="310">
        <f ca="1">+'R1 Opex Detail'!O218*O$1</f>
        <v>0</v>
      </c>
      <c r="P218" s="310">
        <f ca="1">+'R1 Opex Detail'!P218*P$1</f>
        <v>0</v>
      </c>
      <c r="Q218" s="310">
        <f ca="1">+'R1 Opex Detail'!Q218*Q$1</f>
        <v>0</v>
      </c>
      <c r="R218" s="310">
        <f ca="1">+'R1 Opex Detail'!R218*R$1</f>
        <v>0</v>
      </c>
      <c r="S218" s="310">
        <f ca="1">+'R1 Opex Detail'!S218*S$1</f>
        <v>0</v>
      </c>
    </row>
    <row r="219" spans="1:19" s="759" customFormat="1">
      <c r="B219" s="249"/>
      <c r="C219" s="13" t="s">
        <v>646</v>
      </c>
      <c r="D219" s="312">
        <f>+'R1 Opex Detail'!D219</f>
        <v>0</v>
      </c>
      <c r="E219" s="310">
        <f>+'R1 Opex Detail'!E219</f>
        <v>0</v>
      </c>
      <c r="F219" s="310">
        <f>+'R1 Opex Detail'!F219</f>
        <v>0</v>
      </c>
      <c r="G219" s="310">
        <f>+'R1 Opex Detail'!G219</f>
        <v>0</v>
      </c>
      <c r="H219" s="310">
        <f>+'R1 Opex Detail'!H219</f>
        <v>0</v>
      </c>
      <c r="I219" s="310">
        <f>+'R1 Opex Detail'!I219</f>
        <v>0</v>
      </c>
      <c r="J219" s="310">
        <f>+'R1 Opex Detail'!J219</f>
        <v>0</v>
      </c>
      <c r="K219" s="310">
        <f>+'R1 Opex Detail'!K219</f>
        <v>0</v>
      </c>
      <c r="L219" s="310">
        <f ca="1">+'R1 Opex Detail'!L219</f>
        <v>0</v>
      </c>
      <c r="M219" s="835">
        <f ca="1">+'R1 Opex Detail'!M219*M$2</f>
        <v>0</v>
      </c>
      <c r="N219" s="312">
        <f ca="1">+'R1 Opex Detail'!N219*N$1</f>
        <v>0</v>
      </c>
      <c r="O219" s="310">
        <f ca="1">+'R1 Opex Detail'!O219*O$1</f>
        <v>0</v>
      </c>
      <c r="P219" s="310">
        <f ca="1">+'R1 Opex Detail'!P219*P$1</f>
        <v>0</v>
      </c>
      <c r="Q219" s="310">
        <f ca="1">+'R1 Opex Detail'!Q219*Q$1</f>
        <v>0</v>
      </c>
      <c r="R219" s="310">
        <f ca="1">+'R1 Opex Detail'!R219*R$1</f>
        <v>0</v>
      </c>
      <c r="S219" s="310">
        <f ca="1">+'R1 Opex Detail'!S219*S$1</f>
        <v>0</v>
      </c>
    </row>
    <row r="220" spans="1:19">
      <c r="B220" s="249"/>
      <c r="C220" s="13" t="s">
        <v>647</v>
      </c>
      <c r="D220" s="312">
        <f>+'R1 Opex Detail'!D220</f>
        <v>0</v>
      </c>
      <c r="E220" s="310">
        <f>+'R1 Opex Detail'!E220</f>
        <v>0</v>
      </c>
      <c r="F220" s="310">
        <f>+'R1 Opex Detail'!F220</f>
        <v>0</v>
      </c>
      <c r="G220" s="310">
        <f>+'R1 Opex Detail'!G220</f>
        <v>0</v>
      </c>
      <c r="H220" s="310">
        <f>+'R1 Opex Detail'!H220</f>
        <v>0</v>
      </c>
      <c r="I220" s="310">
        <f>+'R1 Opex Detail'!I220</f>
        <v>0</v>
      </c>
      <c r="J220" s="310">
        <f>+'R1 Opex Detail'!J220</f>
        <v>0</v>
      </c>
      <c r="K220" s="310">
        <f>+'R1 Opex Detail'!K220</f>
        <v>0</v>
      </c>
      <c r="L220" s="310">
        <f ca="1">+'R1 Opex Detail'!L220</f>
        <v>0</v>
      </c>
      <c r="M220" s="835">
        <f ca="1">+'R1 Opex Detail'!M220*M$2</f>
        <v>0</v>
      </c>
      <c r="N220" s="312">
        <f ca="1">+'R1 Opex Detail'!N220*N$1</f>
        <v>0.1</v>
      </c>
      <c r="O220" s="310">
        <f ca="1">+'R1 Opex Detail'!O220*O$1</f>
        <v>0.15505961538461541</v>
      </c>
      <c r="P220" s="310">
        <f ca="1">+'R1 Opex Detail'!P220*P$1</f>
        <v>0.20674615384615389</v>
      </c>
      <c r="Q220" s="310">
        <f ca="1">+'R1 Opex Detail'!Q220*Q$1</f>
        <v>0.25843269230769234</v>
      </c>
      <c r="R220" s="310">
        <f ca="1">+'R1 Opex Detail'!R220*R$1</f>
        <v>0.31011923076923081</v>
      </c>
      <c r="S220" s="310">
        <f ca="1">+'R1 Opex Detail'!S220*S$1</f>
        <v>0.36180576923076924</v>
      </c>
    </row>
    <row r="221" spans="1:19" s="759" customFormat="1">
      <c r="B221" s="249"/>
      <c r="C221" s="13" t="s">
        <v>575</v>
      </c>
      <c r="D221" s="312">
        <f>+'R1 Opex Detail'!D221</f>
        <v>0</v>
      </c>
      <c r="E221" s="310">
        <f>+'R1 Opex Detail'!E221</f>
        <v>0</v>
      </c>
      <c r="F221" s="310">
        <f>+'R1 Opex Detail'!F221</f>
        <v>0</v>
      </c>
      <c r="G221" s="310">
        <f>+'R1 Opex Detail'!G221</f>
        <v>0</v>
      </c>
      <c r="H221" s="310">
        <f>+'R1 Opex Detail'!H221</f>
        <v>0</v>
      </c>
      <c r="I221" s="310">
        <f>+'R1 Opex Detail'!I221</f>
        <v>0</v>
      </c>
      <c r="J221" s="310">
        <f>+'R1 Opex Detail'!J221</f>
        <v>0</v>
      </c>
      <c r="K221" s="310">
        <f>+'R1 Opex Detail'!K221</f>
        <v>0</v>
      </c>
      <c r="L221" s="310">
        <f ca="1">+'R1 Opex Detail'!L221</f>
        <v>0</v>
      </c>
      <c r="M221" s="835">
        <f ca="1">+'R1 Opex Detail'!M221*M$2</f>
        <v>0</v>
      </c>
      <c r="N221" s="312">
        <f ca="1">+'R1 Opex Detail'!N221*N$1</f>
        <v>0</v>
      </c>
      <c r="O221" s="310">
        <f ca="1">+'R1 Opex Detail'!O221*O$1</f>
        <v>0</v>
      </c>
      <c r="P221" s="310">
        <f ca="1">+'R1 Opex Detail'!P221*P$1</f>
        <v>0</v>
      </c>
      <c r="Q221" s="310">
        <f ca="1">+'R1 Opex Detail'!Q221*Q$1</f>
        <v>0</v>
      </c>
      <c r="R221" s="310">
        <f ca="1">+'R1 Opex Detail'!R221*R$1</f>
        <v>0</v>
      </c>
      <c r="S221" s="310">
        <f ca="1">+'R1 Opex Detail'!S221*S$1</f>
        <v>0</v>
      </c>
    </row>
    <row r="222" spans="1:19">
      <c r="B222" s="249"/>
      <c r="C222" s="13" t="s">
        <v>70</v>
      </c>
      <c r="D222" s="312">
        <f>+'R1 Opex Detail'!D222</f>
        <v>0</v>
      </c>
      <c r="E222" s="310">
        <f>+'R1 Opex Detail'!E222</f>
        <v>0</v>
      </c>
      <c r="F222" s="310">
        <f>+'R1 Opex Detail'!F222</f>
        <v>0</v>
      </c>
      <c r="G222" s="310">
        <f>+'R1 Opex Detail'!G222</f>
        <v>0</v>
      </c>
      <c r="H222" s="310">
        <f>+'R1 Opex Detail'!H222</f>
        <v>0</v>
      </c>
      <c r="I222" s="310">
        <f>+'R1 Opex Detail'!I222</f>
        <v>0</v>
      </c>
      <c r="J222" s="310">
        <f>+'R1 Opex Detail'!J222</f>
        <v>0</v>
      </c>
      <c r="K222" s="310">
        <f>+'R1 Opex Detail'!K222</f>
        <v>0</v>
      </c>
      <c r="L222" s="310">
        <f ca="1">+'R1 Opex Detail'!L222</f>
        <v>0</v>
      </c>
      <c r="M222" s="835">
        <f ca="1">+'R1 Opex Detail'!M222*M$2</f>
        <v>0</v>
      </c>
      <c r="N222" s="312">
        <f ca="1">+'R1 Opex Detail'!N222*N$1</f>
        <v>0</v>
      </c>
      <c r="O222" s="310">
        <f ca="1">+'R1 Opex Detail'!O222*O$1</f>
        <v>0</v>
      </c>
      <c r="P222" s="310">
        <f ca="1">+'R1 Opex Detail'!P222*P$1</f>
        <v>0</v>
      </c>
      <c r="Q222" s="310">
        <f ca="1">+'R1 Opex Detail'!Q222*Q$1</f>
        <v>0</v>
      </c>
      <c r="R222" s="310">
        <f ca="1">+'R1 Opex Detail'!R222*R$1</f>
        <v>0</v>
      </c>
      <c r="S222" s="310">
        <f ca="1">+'R1 Opex Detail'!S222*S$1</f>
        <v>0</v>
      </c>
    </row>
    <row r="223" spans="1:19">
      <c r="B223" s="249"/>
      <c r="C223" s="12" t="s">
        <v>75</v>
      </c>
      <c r="D223" s="313">
        <f t="shared" ref="D223:S223" si="24">SUBTOTAL(9,D217:D222)</f>
        <v>0</v>
      </c>
      <c r="E223" s="311">
        <f t="shared" si="24"/>
        <v>0</v>
      </c>
      <c r="F223" s="311">
        <f t="shared" si="24"/>
        <v>0</v>
      </c>
      <c r="G223" s="311">
        <f t="shared" si="24"/>
        <v>0</v>
      </c>
      <c r="H223" s="311">
        <f t="shared" si="24"/>
        <v>0</v>
      </c>
      <c r="I223" s="311">
        <f t="shared" si="24"/>
        <v>0</v>
      </c>
      <c r="J223" s="311">
        <f t="shared" si="24"/>
        <v>0</v>
      </c>
      <c r="K223" s="311">
        <f t="shared" si="24"/>
        <v>0</v>
      </c>
      <c r="L223" s="311">
        <f t="shared" ca="1" si="24"/>
        <v>0</v>
      </c>
      <c r="M223" s="513">
        <f t="shared" ca="1" si="24"/>
        <v>0</v>
      </c>
      <c r="N223" s="313">
        <f t="shared" ca="1" si="24"/>
        <v>0.1</v>
      </c>
      <c r="O223" s="311">
        <f t="shared" ca="1" si="24"/>
        <v>0.15505961538461541</v>
      </c>
      <c r="P223" s="311">
        <f t="shared" ca="1" si="24"/>
        <v>0.20674615384615389</v>
      </c>
      <c r="Q223" s="311">
        <f t="shared" ca="1" si="24"/>
        <v>0.25843269230769234</v>
      </c>
      <c r="R223" s="311">
        <f t="shared" ca="1" si="24"/>
        <v>0.31011923076923081</v>
      </c>
      <c r="S223" s="311">
        <f t="shared" ca="1" si="24"/>
        <v>0.36180576923076924</v>
      </c>
    </row>
    <row r="224" spans="1:19">
      <c r="B224" s="249"/>
      <c r="C224" s="13"/>
      <c r="D224" s="264"/>
      <c r="E224" s="264"/>
      <c r="F224" s="264"/>
      <c r="G224" s="264"/>
      <c r="H224" s="264"/>
      <c r="I224" s="264"/>
      <c r="J224" s="264"/>
      <c r="K224" s="264"/>
      <c r="L224" s="264"/>
      <c r="M224" s="837"/>
      <c r="N224" s="264"/>
      <c r="O224" s="264"/>
      <c r="P224" s="264"/>
      <c r="Q224" s="264"/>
      <c r="R224" s="264"/>
      <c r="S224" s="264"/>
    </row>
    <row r="225" spans="1:19" ht="26.25" thickBot="1">
      <c r="B225" s="250"/>
      <c r="C225" s="269" t="s">
        <v>271</v>
      </c>
      <c r="D225" s="313">
        <f t="shared" ref="D225:S225" si="25">SUBTOTAL(9,D99:D224)</f>
        <v>0</v>
      </c>
      <c r="E225" s="311">
        <f t="shared" si="25"/>
        <v>0</v>
      </c>
      <c r="F225" s="311">
        <f t="shared" si="25"/>
        <v>0</v>
      </c>
      <c r="G225" s="311">
        <f t="shared" si="25"/>
        <v>0</v>
      </c>
      <c r="H225" s="311">
        <f t="shared" si="25"/>
        <v>0</v>
      </c>
      <c r="I225" s="311">
        <f t="shared" si="25"/>
        <v>0</v>
      </c>
      <c r="J225" s="311">
        <f t="shared" si="25"/>
        <v>0</v>
      </c>
      <c r="K225" s="311">
        <f t="shared" si="25"/>
        <v>0</v>
      </c>
      <c r="L225" s="311">
        <f t="shared" ca="1" si="25"/>
        <v>0</v>
      </c>
      <c r="M225" s="513">
        <f t="shared" ca="1" si="25"/>
        <v>0</v>
      </c>
      <c r="N225" s="313">
        <f t="shared" ca="1" si="25"/>
        <v>142.05501042307688</v>
      </c>
      <c r="O225" s="311">
        <f t="shared" ca="1" si="25"/>
        <v>158.56998247624946</v>
      </c>
      <c r="P225" s="311">
        <f t="shared" ca="1" si="25"/>
        <v>159.5216107762771</v>
      </c>
      <c r="Q225" s="311">
        <f t="shared" ca="1" si="25"/>
        <v>162.61448623884709</v>
      </c>
      <c r="R225" s="311">
        <f t="shared" ca="1" si="25"/>
        <v>165.55038380902852</v>
      </c>
      <c r="S225" s="311">
        <f t="shared" ca="1" si="25"/>
        <v>166.80718144517104</v>
      </c>
    </row>
    <row r="226" spans="1:19" ht="15.75">
      <c r="B226" s="270"/>
      <c r="C226" s="455" t="s">
        <v>272</v>
      </c>
      <c r="D226" s="456">
        <f t="shared" ref="D226:S226" si="26">SUBTOTAL(9,D8:D225)</f>
        <v>0</v>
      </c>
      <c r="E226" s="456">
        <f t="shared" si="26"/>
        <v>0</v>
      </c>
      <c r="F226" s="456">
        <f t="shared" si="26"/>
        <v>0</v>
      </c>
      <c r="G226" s="456">
        <f t="shared" si="26"/>
        <v>0</v>
      </c>
      <c r="H226" s="456">
        <f t="shared" si="26"/>
        <v>0</v>
      </c>
      <c r="I226" s="456">
        <f t="shared" si="26"/>
        <v>0</v>
      </c>
      <c r="J226" s="456">
        <f t="shared" si="26"/>
        <v>0</v>
      </c>
      <c r="K226" s="456">
        <f t="shared" si="26"/>
        <v>0</v>
      </c>
      <c r="L226" s="456">
        <f t="shared" ca="1" si="26"/>
        <v>0</v>
      </c>
      <c r="M226" s="840">
        <f t="shared" ca="1" si="26"/>
        <v>0</v>
      </c>
      <c r="N226" s="456">
        <f t="shared" ca="1" si="26"/>
        <v>173.60538219230776</v>
      </c>
      <c r="O226" s="456">
        <f t="shared" ca="1" si="26"/>
        <v>190.56852229378376</v>
      </c>
      <c r="P226" s="456">
        <f t="shared" ca="1" si="26"/>
        <v>199.48454602141246</v>
      </c>
      <c r="Q226" s="456">
        <f t="shared" ca="1" si="26"/>
        <v>198.57945262778591</v>
      </c>
      <c r="R226" s="456">
        <f t="shared" ca="1" si="26"/>
        <v>202.48543868048679</v>
      </c>
      <c r="S226" s="456">
        <f t="shared" ca="1" si="26"/>
        <v>204.72144115835596</v>
      </c>
    </row>
    <row r="227" spans="1:19">
      <c r="B227" s="274"/>
      <c r="C227" s="457"/>
      <c r="D227" s="458"/>
      <c r="E227" s="458"/>
      <c r="F227" s="458"/>
      <c r="G227" s="458"/>
      <c r="H227" s="458"/>
      <c r="I227" s="458"/>
      <c r="J227" s="458"/>
      <c r="K227" s="458"/>
      <c r="L227" s="458"/>
      <c r="M227" s="458"/>
      <c r="N227" s="844"/>
      <c r="O227" s="458"/>
      <c r="P227" s="458"/>
      <c r="Q227" s="458"/>
      <c r="R227" s="458"/>
      <c r="S227" s="458"/>
    </row>
    <row r="228" spans="1:19" ht="18">
      <c r="B228" s="270"/>
      <c r="C228" s="459" t="s">
        <v>268</v>
      </c>
      <c r="D228" s="460"/>
      <c r="E228" s="460"/>
      <c r="F228" s="460"/>
      <c r="G228" s="460"/>
      <c r="H228" s="460"/>
      <c r="I228" s="460"/>
      <c r="J228" s="460"/>
      <c r="K228" s="460"/>
      <c r="L228" s="460"/>
      <c r="M228" s="841"/>
      <c r="N228" s="460"/>
      <c r="O228" s="460"/>
      <c r="P228" s="460"/>
      <c r="Q228" s="460"/>
      <c r="R228" s="460"/>
      <c r="S228" s="460"/>
    </row>
    <row r="229" spans="1:19" ht="18">
      <c r="B229" s="252"/>
      <c r="C229" s="248" t="str">
        <f>+'I-3 Allocated'!A5</f>
        <v>Office of the CEO</v>
      </c>
      <c r="D229" s="265"/>
      <c r="E229" s="265"/>
      <c r="F229" s="265"/>
      <c r="G229" s="265"/>
      <c r="H229" s="265"/>
      <c r="I229" s="265"/>
      <c r="J229" s="265"/>
      <c r="K229" s="265"/>
      <c r="L229" s="265"/>
      <c r="M229" s="839"/>
      <c r="N229" s="265"/>
      <c r="O229" s="265"/>
      <c r="P229" s="265"/>
      <c r="Q229" s="265"/>
      <c r="R229" s="265"/>
      <c r="S229" s="265"/>
    </row>
    <row r="230" spans="1:19">
      <c r="A230" s="5"/>
      <c r="B230" s="249" t="str">
        <f ca="1">+'I-4 History'!B228</f>
        <v>A-1</v>
      </c>
      <c r="C230" s="14" t="str">
        <f ca="1">+'I-4 History'!C228</f>
        <v>CEO</v>
      </c>
      <c r="D230" s="11"/>
      <c r="E230" s="11"/>
      <c r="F230" s="11"/>
      <c r="G230" s="11"/>
      <c r="H230" s="11"/>
      <c r="I230" s="11"/>
      <c r="J230" s="11"/>
      <c r="K230" s="11"/>
      <c r="L230" s="11"/>
      <c r="M230" s="507"/>
      <c r="N230" s="11"/>
      <c r="O230" s="11"/>
      <c r="P230" s="11"/>
      <c r="Q230" s="11"/>
      <c r="R230" s="11"/>
      <c r="S230" s="11"/>
    </row>
    <row r="231" spans="1:19">
      <c r="A231" s="5"/>
      <c r="B231" s="249"/>
      <c r="C231" s="13" t="s">
        <v>68</v>
      </c>
      <c r="D231" s="312">
        <f>+'R1 Opex Detail'!D231</f>
        <v>0</v>
      </c>
      <c r="E231" s="310">
        <f>+'R1 Opex Detail'!E231</f>
        <v>0</v>
      </c>
      <c r="F231" s="310">
        <f>+'R1 Opex Detail'!F231</f>
        <v>0</v>
      </c>
      <c r="G231" s="310">
        <f>+'R1 Opex Detail'!G231</f>
        <v>0</v>
      </c>
      <c r="H231" s="310">
        <f>+'R1 Opex Detail'!H231</f>
        <v>0</v>
      </c>
      <c r="I231" s="310">
        <f>+'R1 Opex Detail'!I231</f>
        <v>0</v>
      </c>
      <c r="J231" s="310">
        <f>+'R1 Opex Detail'!J231</f>
        <v>0</v>
      </c>
      <c r="K231" s="310">
        <f>+'R1 Opex Detail'!K231</f>
        <v>0</v>
      </c>
      <c r="L231" s="310">
        <f ca="1">+'R1 Opex Detail'!L231</f>
        <v>0</v>
      </c>
      <c r="M231" s="835">
        <f ca="1">+'R1 Opex Detail'!M231*M$2</f>
        <v>0</v>
      </c>
      <c r="N231" s="312">
        <f ca="1">+'R1 Opex Detail'!N231*N$1</f>
        <v>1.110226846153846</v>
      </c>
      <c r="O231" s="310">
        <f ca="1">+'R1 Opex Detail'!O231*O$1</f>
        <v>1.1460822797451509</v>
      </c>
      <c r="P231" s="310">
        <f ca="1">+'R1 Opex Detail'!P231*P$1</f>
        <v>1.1820629945625525</v>
      </c>
      <c r="Q231" s="310">
        <f ca="1">+'R1 Opex Detail'!Q231*Q$1</f>
        <v>1.220329326038363</v>
      </c>
      <c r="R231" s="310">
        <f ca="1">+'R1 Opex Detail'!R231*R$1</f>
        <v>1.2607220298336399</v>
      </c>
      <c r="S231" s="310">
        <f ca="1">+'R1 Opex Detail'!S231*S$1</f>
        <v>1.3012210120155556</v>
      </c>
    </row>
    <row r="232" spans="1:19">
      <c r="A232" s="5"/>
      <c r="B232" s="249"/>
      <c r="C232" s="13" t="s">
        <v>69</v>
      </c>
      <c r="D232" s="312">
        <f>+'R1 Opex Detail'!D232</f>
        <v>0</v>
      </c>
      <c r="E232" s="310">
        <f>+'R1 Opex Detail'!E232</f>
        <v>0</v>
      </c>
      <c r="F232" s="310">
        <f>+'R1 Opex Detail'!F232</f>
        <v>0</v>
      </c>
      <c r="G232" s="310">
        <f>+'R1 Opex Detail'!G232</f>
        <v>0</v>
      </c>
      <c r="H232" s="310">
        <f>+'R1 Opex Detail'!H232</f>
        <v>0</v>
      </c>
      <c r="I232" s="310">
        <f>+'R1 Opex Detail'!I232</f>
        <v>0</v>
      </c>
      <c r="J232" s="310">
        <f>+'R1 Opex Detail'!J232</f>
        <v>0</v>
      </c>
      <c r="K232" s="310">
        <f>+'R1 Opex Detail'!K232</f>
        <v>0</v>
      </c>
      <c r="L232" s="310">
        <f ca="1">+'R1 Opex Detail'!L232</f>
        <v>0</v>
      </c>
      <c r="M232" s="835">
        <f ca="1">+'R1 Opex Detail'!M232*M$2</f>
        <v>0</v>
      </c>
      <c r="N232" s="312">
        <f ca="1">+'R1 Opex Detail'!N232*N$1</f>
        <v>0.12301396153846156</v>
      </c>
      <c r="O232" s="310">
        <f ca="1">+'R1 Opex Detail'!O232*O$1</f>
        <v>0.12431913453839409</v>
      </c>
      <c r="P232" s="310">
        <f ca="1">+'R1 Opex Detail'!P232*P$1</f>
        <v>0.12552848932640542</v>
      </c>
      <c r="Q232" s="310">
        <f ca="1">+'R1 Opex Detail'!Q232*Q$1</f>
        <v>0.12672392310540162</v>
      </c>
      <c r="R232" s="310">
        <f ca="1">+'R1 Opex Detail'!R232*R$1</f>
        <v>0.1280208727437335</v>
      </c>
      <c r="S232" s="310">
        <f ca="1">+'R1 Opex Detail'!S232*S$1</f>
        <v>0.12920888831885813</v>
      </c>
    </row>
    <row r="233" spans="1:19" s="759" customFormat="1">
      <c r="A233" s="5"/>
      <c r="B233" s="249"/>
      <c r="C233" s="13" t="s">
        <v>646</v>
      </c>
      <c r="D233" s="312">
        <f>+'R1 Opex Detail'!D233</f>
        <v>0</v>
      </c>
      <c r="E233" s="310">
        <f>+'R1 Opex Detail'!E233</f>
        <v>0</v>
      </c>
      <c r="F233" s="310">
        <f>+'R1 Opex Detail'!F233</f>
        <v>0</v>
      </c>
      <c r="G233" s="310">
        <f>+'R1 Opex Detail'!G233</f>
        <v>0</v>
      </c>
      <c r="H233" s="310">
        <f>+'R1 Opex Detail'!H233</f>
        <v>0</v>
      </c>
      <c r="I233" s="310">
        <f>+'R1 Opex Detail'!I233</f>
        <v>0</v>
      </c>
      <c r="J233" s="310">
        <f>+'R1 Opex Detail'!J233</f>
        <v>0</v>
      </c>
      <c r="K233" s="310">
        <f>+'R1 Opex Detail'!K233</f>
        <v>0</v>
      </c>
      <c r="L233" s="310">
        <f ca="1">+'R1 Opex Detail'!L233</f>
        <v>0</v>
      </c>
      <c r="M233" s="835">
        <f ca="1">+'R1 Opex Detail'!M233*M$2</f>
        <v>0</v>
      </c>
      <c r="N233" s="312">
        <f ca="1">+'R1 Opex Detail'!N233*N$1</f>
        <v>0</v>
      </c>
      <c r="O233" s="310">
        <f ca="1">+'R1 Opex Detail'!O233*O$1</f>
        <v>0</v>
      </c>
      <c r="P233" s="310">
        <f ca="1">+'R1 Opex Detail'!P233*P$1</f>
        <v>0</v>
      </c>
      <c r="Q233" s="310">
        <f ca="1">+'R1 Opex Detail'!Q233*Q$1</f>
        <v>0</v>
      </c>
      <c r="R233" s="310">
        <f ca="1">+'R1 Opex Detail'!R233*R$1</f>
        <v>0</v>
      </c>
      <c r="S233" s="310">
        <f ca="1">+'R1 Opex Detail'!S233*S$1</f>
        <v>0</v>
      </c>
    </row>
    <row r="234" spans="1:19">
      <c r="A234" s="5"/>
      <c r="B234" s="249"/>
      <c r="C234" s="13" t="s">
        <v>647</v>
      </c>
      <c r="D234" s="312">
        <f>+'R1 Opex Detail'!D234</f>
        <v>0</v>
      </c>
      <c r="E234" s="310">
        <f>+'R1 Opex Detail'!E234</f>
        <v>0</v>
      </c>
      <c r="F234" s="310">
        <f>+'R1 Opex Detail'!F234</f>
        <v>0</v>
      </c>
      <c r="G234" s="310">
        <f>+'R1 Opex Detail'!G234</f>
        <v>0</v>
      </c>
      <c r="H234" s="310">
        <f>+'R1 Opex Detail'!H234</f>
        <v>0</v>
      </c>
      <c r="I234" s="310">
        <f>+'R1 Opex Detail'!I234</f>
        <v>0</v>
      </c>
      <c r="J234" s="310">
        <f>+'R1 Opex Detail'!J234</f>
        <v>0</v>
      </c>
      <c r="K234" s="310">
        <f>+'R1 Opex Detail'!K234</f>
        <v>0</v>
      </c>
      <c r="L234" s="310">
        <f ca="1">+'R1 Opex Detail'!L234</f>
        <v>0</v>
      </c>
      <c r="M234" s="835">
        <f ca="1">+'R1 Opex Detail'!M234*M$2</f>
        <v>0</v>
      </c>
      <c r="N234" s="312">
        <f ca="1">+'R1 Opex Detail'!N234*N$1</f>
        <v>0.87556996153846156</v>
      </c>
      <c r="O234" s="310">
        <f ca="1">+'R1 Opex Detail'!O234*O$1</f>
        <v>0.88928402091420067</v>
      </c>
      <c r="P234" s="310">
        <f ca="1">+'R1 Opex Detail'!P234*P$1</f>
        <v>0.90242449436824768</v>
      </c>
      <c r="Q234" s="310">
        <f ca="1">+'R1 Opex Detail'!Q234*Q$1</f>
        <v>0.91921763578951321</v>
      </c>
      <c r="R234" s="310">
        <f ca="1">+'R1 Opex Detail'!R234*R$1</f>
        <v>0.93837588848980125</v>
      </c>
      <c r="S234" s="310">
        <f ca="1">+'R1 Opex Detail'!S234*S$1</f>
        <v>0.9589224324375607</v>
      </c>
    </row>
    <row r="235" spans="1:19" s="759" customFormat="1">
      <c r="A235" s="5"/>
      <c r="B235" s="249"/>
      <c r="C235" s="13" t="s">
        <v>575</v>
      </c>
      <c r="D235" s="312">
        <f>+'R1 Opex Detail'!D235</f>
        <v>0</v>
      </c>
      <c r="E235" s="310">
        <f>+'R1 Opex Detail'!E235</f>
        <v>0</v>
      </c>
      <c r="F235" s="310">
        <f>+'R1 Opex Detail'!F235</f>
        <v>0</v>
      </c>
      <c r="G235" s="310">
        <f>+'R1 Opex Detail'!G235</f>
        <v>0</v>
      </c>
      <c r="H235" s="310">
        <f>+'R1 Opex Detail'!H235</f>
        <v>0</v>
      </c>
      <c r="I235" s="310">
        <f>+'R1 Opex Detail'!I235</f>
        <v>0</v>
      </c>
      <c r="J235" s="310">
        <f>+'R1 Opex Detail'!J235</f>
        <v>0</v>
      </c>
      <c r="K235" s="310">
        <f>+'R1 Opex Detail'!K235</f>
        <v>0</v>
      </c>
      <c r="L235" s="310">
        <f ca="1">+'R1 Opex Detail'!L235</f>
        <v>0</v>
      </c>
      <c r="M235" s="835">
        <f ca="1">+'R1 Opex Detail'!M235*M$2</f>
        <v>0</v>
      </c>
      <c r="N235" s="312">
        <f ca="1">+'R1 Opex Detail'!N235*N$1</f>
        <v>0</v>
      </c>
      <c r="O235" s="310">
        <f ca="1">+'R1 Opex Detail'!O235*O$1</f>
        <v>0</v>
      </c>
      <c r="P235" s="310">
        <f ca="1">+'R1 Opex Detail'!P235*P$1</f>
        <v>0</v>
      </c>
      <c r="Q235" s="310">
        <f ca="1">+'R1 Opex Detail'!Q235*Q$1</f>
        <v>0</v>
      </c>
      <c r="R235" s="310">
        <f ca="1">+'R1 Opex Detail'!R235*R$1</f>
        <v>0</v>
      </c>
      <c r="S235" s="310">
        <f ca="1">+'R1 Opex Detail'!S235*S$1</f>
        <v>0</v>
      </c>
    </row>
    <row r="236" spans="1:19">
      <c r="A236" s="5"/>
      <c r="B236" s="249"/>
      <c r="C236" s="13" t="s">
        <v>70</v>
      </c>
      <c r="D236" s="312">
        <f>+'R1 Opex Detail'!D236</f>
        <v>0</v>
      </c>
      <c r="E236" s="310">
        <f>+'R1 Opex Detail'!E236</f>
        <v>0</v>
      </c>
      <c r="F236" s="310">
        <f>+'R1 Opex Detail'!F236</f>
        <v>0</v>
      </c>
      <c r="G236" s="310">
        <f>+'R1 Opex Detail'!G236</f>
        <v>0</v>
      </c>
      <c r="H236" s="310">
        <f>+'R1 Opex Detail'!H236</f>
        <v>0</v>
      </c>
      <c r="I236" s="310">
        <f>+'R1 Opex Detail'!I236</f>
        <v>0</v>
      </c>
      <c r="J236" s="310">
        <f>+'R1 Opex Detail'!J236</f>
        <v>0</v>
      </c>
      <c r="K236" s="310">
        <f>+'R1 Opex Detail'!K236</f>
        <v>0</v>
      </c>
      <c r="L236" s="310">
        <f ca="1">+'R1 Opex Detail'!L236</f>
        <v>0</v>
      </c>
      <c r="M236" s="835">
        <f ca="1">+'R1 Opex Detail'!M236*M$2</f>
        <v>0</v>
      </c>
      <c r="N236" s="312">
        <f ca="1">+'R1 Opex Detail'!N236*N$1</f>
        <v>0</v>
      </c>
      <c r="O236" s="310">
        <f ca="1">+'R1 Opex Detail'!O236*O$1</f>
        <v>0</v>
      </c>
      <c r="P236" s="310">
        <f ca="1">+'R1 Opex Detail'!P236*P$1</f>
        <v>0</v>
      </c>
      <c r="Q236" s="310">
        <f ca="1">+'R1 Opex Detail'!Q236*Q$1</f>
        <v>0</v>
      </c>
      <c r="R236" s="310">
        <f ca="1">+'R1 Opex Detail'!R236*R$1</f>
        <v>0</v>
      </c>
      <c r="S236" s="310">
        <f ca="1">+'R1 Opex Detail'!S236*S$1</f>
        <v>0</v>
      </c>
    </row>
    <row r="237" spans="1:19">
      <c r="A237" s="5"/>
      <c r="B237" s="249"/>
      <c r="C237" s="12" t="s">
        <v>75</v>
      </c>
      <c r="D237" s="313">
        <f t="shared" ref="D237:S237" si="27">SUBTOTAL(9,D231:D236)</f>
        <v>0</v>
      </c>
      <c r="E237" s="311">
        <f t="shared" si="27"/>
        <v>0</v>
      </c>
      <c r="F237" s="311">
        <f t="shared" si="27"/>
        <v>0</v>
      </c>
      <c r="G237" s="311">
        <f t="shared" si="27"/>
        <v>0</v>
      </c>
      <c r="H237" s="311">
        <f t="shared" si="27"/>
        <v>0</v>
      </c>
      <c r="I237" s="311">
        <f t="shared" si="27"/>
        <v>0</v>
      </c>
      <c r="J237" s="311">
        <f t="shared" si="27"/>
        <v>0</v>
      </c>
      <c r="K237" s="311">
        <f t="shared" si="27"/>
        <v>0</v>
      </c>
      <c r="L237" s="311">
        <f t="shared" ca="1" si="27"/>
        <v>0</v>
      </c>
      <c r="M237" s="513">
        <f t="shared" ca="1" si="27"/>
        <v>0</v>
      </c>
      <c r="N237" s="313">
        <f t="shared" ca="1" si="27"/>
        <v>2.1088107692307689</v>
      </c>
      <c r="O237" s="311">
        <f t="shared" ca="1" si="27"/>
        <v>2.1596854351977455</v>
      </c>
      <c r="P237" s="311">
        <f t="shared" ca="1" si="27"/>
        <v>2.2100159782572057</v>
      </c>
      <c r="Q237" s="311">
        <f t="shared" ca="1" si="27"/>
        <v>2.2662708849332778</v>
      </c>
      <c r="R237" s="311">
        <f t="shared" ca="1" si="27"/>
        <v>2.3271187910671749</v>
      </c>
      <c r="S237" s="311">
        <f t="shared" ca="1" si="27"/>
        <v>2.3893523327719746</v>
      </c>
    </row>
    <row r="238" spans="1:19">
      <c r="A238" s="5"/>
      <c r="B238" s="249"/>
      <c r="C238" s="12"/>
      <c r="D238" s="263"/>
      <c r="E238" s="263"/>
      <c r="F238" s="263"/>
      <c r="G238" s="263"/>
      <c r="H238" s="263"/>
      <c r="I238" s="263"/>
      <c r="J238" s="263"/>
      <c r="K238" s="263"/>
      <c r="L238" s="263"/>
      <c r="M238" s="836"/>
      <c r="N238" s="263"/>
      <c r="O238" s="263"/>
      <c r="P238" s="263"/>
      <c r="Q238" s="263"/>
      <c r="R238" s="263"/>
      <c r="S238" s="263"/>
    </row>
    <row r="239" spans="1:19">
      <c r="A239" s="5"/>
      <c r="B239" s="249" t="str">
        <f ca="1">+'I-4 History'!B237</f>
        <v>A-2</v>
      </c>
      <c r="C239" s="14" t="str">
        <f ca="1">+'I-4 History'!C237</f>
        <v xml:space="preserve">Strategic Planning  </v>
      </c>
      <c r="D239" s="11"/>
      <c r="E239" s="11"/>
      <c r="F239" s="11"/>
      <c r="G239" s="11"/>
      <c r="H239" s="11"/>
      <c r="I239" s="11"/>
      <c r="J239" s="11"/>
      <c r="K239" s="11"/>
      <c r="L239" s="11"/>
      <c r="M239" s="507"/>
      <c r="N239" s="11"/>
      <c r="O239" s="11"/>
      <c r="P239" s="11"/>
      <c r="Q239" s="11"/>
      <c r="R239" s="11"/>
      <c r="S239" s="11"/>
    </row>
    <row r="240" spans="1:19">
      <c r="A240" s="5"/>
      <c r="B240" s="249"/>
      <c r="C240" s="13" t="s">
        <v>68</v>
      </c>
      <c r="D240" s="312">
        <f>+'R1 Opex Detail'!D240</f>
        <v>0</v>
      </c>
      <c r="E240" s="310">
        <f>+'R1 Opex Detail'!E240</f>
        <v>0</v>
      </c>
      <c r="F240" s="310">
        <f>+'R1 Opex Detail'!F240</f>
        <v>0</v>
      </c>
      <c r="G240" s="310">
        <f>+'R1 Opex Detail'!G240</f>
        <v>0</v>
      </c>
      <c r="H240" s="310">
        <f>+'R1 Opex Detail'!H240</f>
        <v>0</v>
      </c>
      <c r="I240" s="310">
        <f>+'R1 Opex Detail'!I240</f>
        <v>0</v>
      </c>
      <c r="J240" s="310">
        <f>+'R1 Opex Detail'!J240</f>
        <v>0</v>
      </c>
      <c r="K240" s="310">
        <f>+'R1 Opex Detail'!K240</f>
        <v>0</v>
      </c>
      <c r="L240" s="310">
        <f ca="1">+'R1 Opex Detail'!L240</f>
        <v>0</v>
      </c>
      <c r="M240" s="835">
        <f ca="1">+'R1 Opex Detail'!M240*M$2</f>
        <v>0</v>
      </c>
      <c r="N240" s="312">
        <f ca="1">+'R1 Opex Detail'!N240*N$1</f>
        <v>0</v>
      </c>
      <c r="O240" s="310">
        <f ca="1">+'R1 Opex Detail'!O240*O$1</f>
        <v>0</v>
      </c>
      <c r="P240" s="310">
        <f ca="1">+'R1 Opex Detail'!P240*P$1</f>
        <v>0</v>
      </c>
      <c r="Q240" s="310">
        <f ca="1">+'R1 Opex Detail'!Q240*Q$1</f>
        <v>0</v>
      </c>
      <c r="R240" s="310">
        <f ca="1">+'R1 Opex Detail'!R240*R$1</f>
        <v>0</v>
      </c>
      <c r="S240" s="310">
        <f ca="1">+'R1 Opex Detail'!S240*S$1</f>
        <v>0</v>
      </c>
    </row>
    <row r="241" spans="1:19">
      <c r="A241" s="5"/>
      <c r="B241" s="249"/>
      <c r="C241" s="13" t="s">
        <v>69</v>
      </c>
      <c r="D241" s="312">
        <f>+'R1 Opex Detail'!D241</f>
        <v>0</v>
      </c>
      <c r="E241" s="310">
        <f>+'R1 Opex Detail'!E241</f>
        <v>0</v>
      </c>
      <c r="F241" s="310">
        <f>+'R1 Opex Detail'!F241</f>
        <v>0</v>
      </c>
      <c r="G241" s="310">
        <f>+'R1 Opex Detail'!G241</f>
        <v>0</v>
      </c>
      <c r="H241" s="310">
        <f>+'R1 Opex Detail'!H241</f>
        <v>0</v>
      </c>
      <c r="I241" s="310">
        <f>+'R1 Opex Detail'!I241</f>
        <v>0</v>
      </c>
      <c r="J241" s="310">
        <f>+'R1 Opex Detail'!J241</f>
        <v>0</v>
      </c>
      <c r="K241" s="310">
        <f>+'R1 Opex Detail'!K241</f>
        <v>0</v>
      </c>
      <c r="L241" s="310">
        <f ca="1">+'R1 Opex Detail'!L241</f>
        <v>0</v>
      </c>
      <c r="M241" s="835">
        <f ca="1">+'R1 Opex Detail'!M241*M$2</f>
        <v>0</v>
      </c>
      <c r="N241" s="312">
        <f ca="1">+'R1 Opex Detail'!N241*N$1</f>
        <v>0</v>
      </c>
      <c r="O241" s="310">
        <f ca="1">+'R1 Opex Detail'!O241*O$1</f>
        <v>0</v>
      </c>
      <c r="P241" s="310">
        <f ca="1">+'R1 Opex Detail'!P241*P$1</f>
        <v>0</v>
      </c>
      <c r="Q241" s="310">
        <f ca="1">+'R1 Opex Detail'!Q241*Q$1</f>
        <v>0</v>
      </c>
      <c r="R241" s="310">
        <f ca="1">+'R1 Opex Detail'!R241*R$1</f>
        <v>0</v>
      </c>
      <c r="S241" s="310">
        <f ca="1">+'R1 Opex Detail'!S241*S$1</f>
        <v>0</v>
      </c>
    </row>
    <row r="242" spans="1:19" s="759" customFormat="1">
      <c r="A242" s="5"/>
      <c r="B242" s="249"/>
      <c r="C242" s="13" t="s">
        <v>646</v>
      </c>
      <c r="D242" s="312">
        <f>+'R1 Opex Detail'!D242</f>
        <v>0</v>
      </c>
      <c r="E242" s="310">
        <f>+'R1 Opex Detail'!E242</f>
        <v>0</v>
      </c>
      <c r="F242" s="310">
        <f>+'R1 Opex Detail'!F242</f>
        <v>0</v>
      </c>
      <c r="G242" s="310">
        <f>+'R1 Opex Detail'!G242</f>
        <v>0</v>
      </c>
      <c r="H242" s="310">
        <f>+'R1 Opex Detail'!H242</f>
        <v>0</v>
      </c>
      <c r="I242" s="310">
        <f>+'R1 Opex Detail'!I242</f>
        <v>0</v>
      </c>
      <c r="J242" s="310">
        <f>+'R1 Opex Detail'!J242</f>
        <v>0</v>
      </c>
      <c r="K242" s="310">
        <f>+'R1 Opex Detail'!K242</f>
        <v>0</v>
      </c>
      <c r="L242" s="310">
        <f ca="1">+'R1 Opex Detail'!L242</f>
        <v>0</v>
      </c>
      <c r="M242" s="835">
        <f ca="1">+'R1 Opex Detail'!M242*M$2</f>
        <v>0</v>
      </c>
      <c r="N242" s="312">
        <f ca="1">+'R1 Opex Detail'!N242*N$1</f>
        <v>0</v>
      </c>
      <c r="O242" s="310">
        <f ca="1">+'R1 Opex Detail'!O242*O$1</f>
        <v>0</v>
      </c>
      <c r="P242" s="310">
        <f ca="1">+'R1 Opex Detail'!P242*P$1</f>
        <v>0</v>
      </c>
      <c r="Q242" s="310">
        <f ca="1">+'R1 Opex Detail'!Q242*Q$1</f>
        <v>0</v>
      </c>
      <c r="R242" s="310">
        <f ca="1">+'R1 Opex Detail'!R242*R$1</f>
        <v>0</v>
      </c>
      <c r="S242" s="310">
        <f ca="1">+'R1 Opex Detail'!S242*S$1</f>
        <v>0</v>
      </c>
    </row>
    <row r="243" spans="1:19">
      <c r="A243" s="5"/>
      <c r="B243" s="249"/>
      <c r="C243" s="13" t="s">
        <v>647</v>
      </c>
      <c r="D243" s="312">
        <f>+'R1 Opex Detail'!D243</f>
        <v>0</v>
      </c>
      <c r="E243" s="310">
        <f>+'R1 Opex Detail'!E243</f>
        <v>0</v>
      </c>
      <c r="F243" s="310">
        <f>+'R1 Opex Detail'!F243</f>
        <v>0</v>
      </c>
      <c r="G243" s="310">
        <f>+'R1 Opex Detail'!G243</f>
        <v>0</v>
      </c>
      <c r="H243" s="310">
        <f>+'R1 Opex Detail'!H243</f>
        <v>0</v>
      </c>
      <c r="I243" s="310">
        <f>+'R1 Opex Detail'!I243</f>
        <v>0</v>
      </c>
      <c r="J243" s="310">
        <f>+'R1 Opex Detail'!J243</f>
        <v>0</v>
      </c>
      <c r="K243" s="310">
        <f>+'R1 Opex Detail'!K243</f>
        <v>0</v>
      </c>
      <c r="L243" s="310">
        <f ca="1">+'R1 Opex Detail'!L243</f>
        <v>0</v>
      </c>
      <c r="M243" s="835">
        <f ca="1">+'R1 Opex Detail'!M243*M$2</f>
        <v>0</v>
      </c>
      <c r="N243" s="312">
        <f ca="1">+'R1 Opex Detail'!N243*N$1</f>
        <v>0</v>
      </c>
      <c r="O243" s="310">
        <f ca="1">+'R1 Opex Detail'!O243*O$1</f>
        <v>0</v>
      </c>
      <c r="P243" s="310">
        <f ca="1">+'R1 Opex Detail'!P243*P$1</f>
        <v>0</v>
      </c>
      <c r="Q243" s="310">
        <f ca="1">+'R1 Opex Detail'!Q243*Q$1</f>
        <v>0</v>
      </c>
      <c r="R243" s="310">
        <f ca="1">+'R1 Opex Detail'!R243*R$1</f>
        <v>0</v>
      </c>
      <c r="S243" s="310">
        <f ca="1">+'R1 Opex Detail'!S243*S$1</f>
        <v>0</v>
      </c>
    </row>
    <row r="244" spans="1:19" s="759" customFormat="1">
      <c r="A244" s="5"/>
      <c r="B244" s="249"/>
      <c r="C244" s="13" t="s">
        <v>575</v>
      </c>
      <c r="D244" s="312">
        <f>+'R1 Opex Detail'!D244</f>
        <v>0</v>
      </c>
      <c r="E244" s="310">
        <f>+'R1 Opex Detail'!E244</f>
        <v>0</v>
      </c>
      <c r="F244" s="310">
        <f>+'R1 Opex Detail'!F244</f>
        <v>0</v>
      </c>
      <c r="G244" s="310">
        <f>+'R1 Opex Detail'!G244</f>
        <v>0</v>
      </c>
      <c r="H244" s="310">
        <f>+'R1 Opex Detail'!H244</f>
        <v>0</v>
      </c>
      <c r="I244" s="310">
        <f>+'R1 Opex Detail'!I244</f>
        <v>0</v>
      </c>
      <c r="J244" s="310">
        <f>+'R1 Opex Detail'!J244</f>
        <v>0</v>
      </c>
      <c r="K244" s="310">
        <f>+'R1 Opex Detail'!K244</f>
        <v>0</v>
      </c>
      <c r="L244" s="310">
        <f ca="1">+'R1 Opex Detail'!L244</f>
        <v>0</v>
      </c>
      <c r="M244" s="835">
        <f ca="1">+'R1 Opex Detail'!M244*M$2</f>
        <v>0</v>
      </c>
      <c r="N244" s="312">
        <f ca="1">+'R1 Opex Detail'!N244*N$1</f>
        <v>0</v>
      </c>
      <c r="O244" s="310">
        <f ca="1">+'R1 Opex Detail'!O244*O$1</f>
        <v>0</v>
      </c>
      <c r="P244" s="310">
        <f ca="1">+'R1 Opex Detail'!P244*P$1</f>
        <v>0</v>
      </c>
      <c r="Q244" s="310">
        <f ca="1">+'R1 Opex Detail'!Q244*Q$1</f>
        <v>0</v>
      </c>
      <c r="R244" s="310">
        <f ca="1">+'R1 Opex Detail'!R244*R$1</f>
        <v>0</v>
      </c>
      <c r="S244" s="310">
        <f ca="1">+'R1 Opex Detail'!S244*S$1</f>
        <v>0</v>
      </c>
    </row>
    <row r="245" spans="1:19">
      <c r="A245" s="5"/>
      <c r="B245" s="249"/>
      <c r="C245" s="13" t="s">
        <v>70</v>
      </c>
      <c r="D245" s="312">
        <f>+'R1 Opex Detail'!D245</f>
        <v>0</v>
      </c>
      <c r="E245" s="310">
        <f>+'R1 Opex Detail'!E245</f>
        <v>0</v>
      </c>
      <c r="F245" s="310">
        <f>+'R1 Opex Detail'!F245</f>
        <v>0</v>
      </c>
      <c r="G245" s="310">
        <f>+'R1 Opex Detail'!G245</f>
        <v>0</v>
      </c>
      <c r="H245" s="310">
        <f>+'R1 Opex Detail'!H245</f>
        <v>0</v>
      </c>
      <c r="I245" s="310">
        <f>+'R1 Opex Detail'!I245</f>
        <v>0</v>
      </c>
      <c r="J245" s="310">
        <f>+'R1 Opex Detail'!J245</f>
        <v>0</v>
      </c>
      <c r="K245" s="310">
        <f>+'R1 Opex Detail'!K245</f>
        <v>0</v>
      </c>
      <c r="L245" s="310">
        <f ca="1">+'R1 Opex Detail'!L245</f>
        <v>0</v>
      </c>
      <c r="M245" s="835">
        <f ca="1">+'R1 Opex Detail'!M245*M$2</f>
        <v>0</v>
      </c>
      <c r="N245" s="312">
        <f ca="1">+'R1 Opex Detail'!N245*N$1</f>
        <v>0</v>
      </c>
      <c r="O245" s="310">
        <f ca="1">+'R1 Opex Detail'!O245*O$1</f>
        <v>0</v>
      </c>
      <c r="P245" s="310">
        <f ca="1">+'R1 Opex Detail'!P245*P$1</f>
        <v>0</v>
      </c>
      <c r="Q245" s="310">
        <f ca="1">+'R1 Opex Detail'!Q245*Q$1</f>
        <v>0</v>
      </c>
      <c r="R245" s="310">
        <f ca="1">+'R1 Opex Detail'!R245*R$1</f>
        <v>0</v>
      </c>
      <c r="S245" s="310">
        <f ca="1">+'R1 Opex Detail'!S245*S$1</f>
        <v>0</v>
      </c>
    </row>
    <row r="246" spans="1:19">
      <c r="A246" s="5"/>
      <c r="B246" s="249"/>
      <c r="C246" s="12" t="s">
        <v>75</v>
      </c>
      <c r="D246" s="313">
        <f t="shared" ref="D246:S246" si="28">SUBTOTAL(9,D240:D245)</f>
        <v>0</v>
      </c>
      <c r="E246" s="311">
        <f t="shared" si="28"/>
        <v>0</v>
      </c>
      <c r="F246" s="311">
        <f t="shared" si="28"/>
        <v>0</v>
      </c>
      <c r="G246" s="311">
        <f t="shared" si="28"/>
        <v>0</v>
      </c>
      <c r="H246" s="311">
        <f t="shared" si="28"/>
        <v>0</v>
      </c>
      <c r="I246" s="311">
        <f t="shared" si="28"/>
        <v>0</v>
      </c>
      <c r="J246" s="311">
        <f t="shared" si="28"/>
        <v>0</v>
      </c>
      <c r="K246" s="311">
        <f t="shared" si="28"/>
        <v>0</v>
      </c>
      <c r="L246" s="311">
        <f t="shared" ca="1" si="28"/>
        <v>0</v>
      </c>
      <c r="M246" s="513">
        <f t="shared" ca="1" si="28"/>
        <v>0</v>
      </c>
      <c r="N246" s="313">
        <f t="shared" ca="1" si="28"/>
        <v>0</v>
      </c>
      <c r="O246" s="311">
        <f t="shared" ca="1" si="28"/>
        <v>0</v>
      </c>
      <c r="P246" s="311">
        <f t="shared" ca="1" si="28"/>
        <v>0</v>
      </c>
      <c r="Q246" s="311">
        <f t="shared" ca="1" si="28"/>
        <v>0</v>
      </c>
      <c r="R246" s="311">
        <f t="shared" ca="1" si="28"/>
        <v>0</v>
      </c>
      <c r="S246" s="311">
        <f t="shared" ca="1" si="28"/>
        <v>0</v>
      </c>
    </row>
    <row r="247" spans="1:19">
      <c r="A247" s="5"/>
      <c r="B247" s="249"/>
      <c r="C247" s="12"/>
      <c r="D247" s="263"/>
      <c r="E247" s="263"/>
      <c r="F247" s="263"/>
      <c r="G247" s="263"/>
      <c r="H247" s="263"/>
      <c r="I247" s="263"/>
      <c r="J247" s="263"/>
      <c r="K247" s="263"/>
      <c r="L247" s="263"/>
      <c r="M247" s="836"/>
      <c r="N247" s="263"/>
      <c r="O247" s="263"/>
      <c r="P247" s="263"/>
      <c r="Q247" s="263"/>
      <c r="R247" s="263"/>
      <c r="S247" s="263"/>
    </row>
    <row r="248" spans="1:19">
      <c r="A248" s="5"/>
      <c r="B248" s="249" t="str">
        <f ca="1">+'I-4 History'!B246</f>
        <v>A-3</v>
      </c>
      <c r="C248" s="14" t="str">
        <f ca="1">+'I-4 History'!C246</f>
        <v>Communications</v>
      </c>
      <c r="D248" s="11"/>
      <c r="E248" s="11"/>
      <c r="F248" s="11"/>
      <c r="G248" s="11"/>
      <c r="H248" s="11"/>
      <c r="I248" s="11"/>
      <c r="J248" s="11"/>
      <c r="K248" s="11"/>
      <c r="L248" s="11"/>
      <c r="M248" s="507"/>
      <c r="N248" s="11"/>
      <c r="O248" s="11"/>
      <c r="P248" s="11"/>
      <c r="Q248" s="11"/>
      <c r="R248" s="11"/>
      <c r="S248" s="11"/>
    </row>
    <row r="249" spans="1:19">
      <c r="A249" s="5"/>
      <c r="B249" s="249"/>
      <c r="C249" s="13" t="s">
        <v>68</v>
      </c>
      <c r="D249" s="312">
        <f>+'R1 Opex Detail'!D249</f>
        <v>0</v>
      </c>
      <c r="E249" s="310">
        <f>+'R1 Opex Detail'!E249</f>
        <v>0</v>
      </c>
      <c r="F249" s="310">
        <f>+'R1 Opex Detail'!F249</f>
        <v>0</v>
      </c>
      <c r="G249" s="310">
        <f>+'R1 Opex Detail'!G249</f>
        <v>0</v>
      </c>
      <c r="H249" s="310">
        <f>+'R1 Opex Detail'!H249</f>
        <v>0</v>
      </c>
      <c r="I249" s="310">
        <f>+'R1 Opex Detail'!I249</f>
        <v>0</v>
      </c>
      <c r="J249" s="310">
        <f>+'R1 Opex Detail'!J249</f>
        <v>0</v>
      </c>
      <c r="K249" s="310">
        <f>+'R1 Opex Detail'!K249</f>
        <v>0</v>
      </c>
      <c r="L249" s="310">
        <f ca="1">+'R1 Opex Detail'!L249</f>
        <v>0</v>
      </c>
      <c r="M249" s="835">
        <f ca="1">+'R1 Opex Detail'!M249*M$2</f>
        <v>0</v>
      </c>
      <c r="N249" s="312">
        <f ca="1">+'R1 Opex Detail'!N249*N$1</f>
        <v>0.78253419230769239</v>
      </c>
      <c r="O249" s="310">
        <f ca="1">+'R1 Opex Detail'!O249*O$1</f>
        <v>0.80780659754849116</v>
      </c>
      <c r="P249" s="310">
        <f ca="1">+'R1 Opex Detail'!P249*P$1</f>
        <v>0.83316730622332613</v>
      </c>
      <c r="Q249" s="310">
        <f ca="1">+'R1 Opex Detail'!Q249*Q$1</f>
        <v>0.86013901285944228</v>
      </c>
      <c r="R249" s="310">
        <f ca="1">+'R1 Opex Detail'!R249*R$1</f>
        <v>0.88860947540415769</v>
      </c>
      <c r="S249" s="310">
        <f ca="1">+'R1 Opex Detail'!S249*S$1</f>
        <v>0.91715484738899045</v>
      </c>
    </row>
    <row r="250" spans="1:19">
      <c r="A250" s="5"/>
      <c r="B250" s="249"/>
      <c r="C250" s="13" t="s">
        <v>69</v>
      </c>
      <c r="D250" s="312">
        <f>+'R1 Opex Detail'!D250</f>
        <v>0</v>
      </c>
      <c r="E250" s="310">
        <f>+'R1 Opex Detail'!E250</f>
        <v>0</v>
      </c>
      <c r="F250" s="310">
        <f>+'R1 Opex Detail'!F250</f>
        <v>0</v>
      </c>
      <c r="G250" s="310">
        <f>+'R1 Opex Detail'!G250</f>
        <v>0</v>
      </c>
      <c r="H250" s="310">
        <f>+'R1 Opex Detail'!H250</f>
        <v>0</v>
      </c>
      <c r="I250" s="310">
        <f>+'R1 Opex Detail'!I250</f>
        <v>0</v>
      </c>
      <c r="J250" s="310">
        <f>+'R1 Opex Detail'!J250</f>
        <v>0</v>
      </c>
      <c r="K250" s="310">
        <f>+'R1 Opex Detail'!K250</f>
        <v>0</v>
      </c>
      <c r="L250" s="310">
        <f ca="1">+'R1 Opex Detail'!L250</f>
        <v>0</v>
      </c>
      <c r="M250" s="835">
        <f ca="1">+'R1 Opex Detail'!M250*M$2</f>
        <v>0</v>
      </c>
      <c r="N250" s="312">
        <f ca="1">+'R1 Opex Detail'!N250*N$1</f>
        <v>0.48895465384615389</v>
      </c>
      <c r="O250" s="310">
        <f ca="1">+'R1 Opex Detail'!O250*O$1</f>
        <v>0.49414244232487731</v>
      </c>
      <c r="P250" s="310">
        <f ca="1">+'R1 Opex Detail'!P250*P$1</f>
        <v>0.49894937354109037</v>
      </c>
      <c r="Q250" s="310">
        <f ca="1">+'R1 Opex Detail'!Q250*Q$1</f>
        <v>0.5037009716710501</v>
      </c>
      <c r="R250" s="310">
        <f ca="1">+'R1 Opex Detail'!R250*R$1</f>
        <v>0.50885607401500799</v>
      </c>
      <c r="S250" s="310">
        <f ca="1">+'R1 Opex Detail'!S250*S$1</f>
        <v>0.51357818634302432</v>
      </c>
    </row>
    <row r="251" spans="1:19" s="759" customFormat="1">
      <c r="A251" s="5"/>
      <c r="B251" s="249"/>
      <c r="C251" s="13" t="s">
        <v>646</v>
      </c>
      <c r="D251" s="312">
        <f>+'R1 Opex Detail'!D251</f>
        <v>0</v>
      </c>
      <c r="E251" s="310">
        <f>+'R1 Opex Detail'!E251</f>
        <v>0</v>
      </c>
      <c r="F251" s="310">
        <f>+'R1 Opex Detail'!F251</f>
        <v>0</v>
      </c>
      <c r="G251" s="310">
        <f>+'R1 Opex Detail'!G251</f>
        <v>0</v>
      </c>
      <c r="H251" s="310">
        <f>+'R1 Opex Detail'!H251</f>
        <v>0</v>
      </c>
      <c r="I251" s="310">
        <f>+'R1 Opex Detail'!I251</f>
        <v>0</v>
      </c>
      <c r="J251" s="310">
        <f>+'R1 Opex Detail'!J251</f>
        <v>0</v>
      </c>
      <c r="K251" s="310">
        <f>+'R1 Opex Detail'!K251</f>
        <v>0</v>
      </c>
      <c r="L251" s="310">
        <f ca="1">+'R1 Opex Detail'!L251</f>
        <v>0</v>
      </c>
      <c r="M251" s="835">
        <f ca="1">+'R1 Opex Detail'!M251*M$2</f>
        <v>0</v>
      </c>
      <c r="N251" s="312">
        <f ca="1">+'R1 Opex Detail'!N251*N$1</f>
        <v>2.8944461538461544E-2</v>
      </c>
      <c r="O251" s="310">
        <f ca="1">+'R1 Opex Detail'!O251*O$1</f>
        <v>2.9397818873196715E-2</v>
      </c>
      <c r="P251" s="310">
        <f ca="1">+'R1 Opex Detail'!P251*P$1</f>
        <v>2.9832214689859433E-2</v>
      </c>
      <c r="Q251" s="310">
        <f ca="1">+'R1 Opex Detail'!Q251*Q$1</f>
        <v>3.0387359860810356E-2</v>
      </c>
      <c r="R251" s="310">
        <f ca="1">+'R1 Opex Detail'!R251*R$1</f>
        <v>3.1020690528588472E-2</v>
      </c>
      <c r="S251" s="310">
        <f ca="1">+'R1 Opex Detail'!S251*S$1</f>
        <v>3.1699915121902837E-2</v>
      </c>
    </row>
    <row r="252" spans="1:19">
      <c r="A252" s="5"/>
      <c r="B252" s="249"/>
      <c r="C252" s="13" t="s">
        <v>647</v>
      </c>
      <c r="D252" s="312">
        <f>+'R1 Opex Detail'!D252</f>
        <v>0</v>
      </c>
      <c r="E252" s="310">
        <f>+'R1 Opex Detail'!E252</f>
        <v>0</v>
      </c>
      <c r="F252" s="310">
        <f>+'R1 Opex Detail'!F252</f>
        <v>0</v>
      </c>
      <c r="G252" s="310">
        <f>+'R1 Opex Detail'!G252</f>
        <v>0</v>
      </c>
      <c r="H252" s="310">
        <f>+'R1 Opex Detail'!H252</f>
        <v>0</v>
      </c>
      <c r="I252" s="310">
        <f>+'R1 Opex Detail'!I252</f>
        <v>0</v>
      </c>
      <c r="J252" s="310">
        <f>+'R1 Opex Detail'!J252</f>
        <v>0</v>
      </c>
      <c r="K252" s="310">
        <f>+'R1 Opex Detail'!K252</f>
        <v>0</v>
      </c>
      <c r="L252" s="310">
        <f ca="1">+'R1 Opex Detail'!L252</f>
        <v>0</v>
      </c>
      <c r="M252" s="835">
        <f ca="1">+'R1 Opex Detail'!M252*M$2</f>
        <v>0</v>
      </c>
      <c r="N252" s="312">
        <f ca="1">+'R1 Opex Detail'!N252*N$1</f>
        <v>0.91381800000000013</v>
      </c>
      <c r="O252" s="310">
        <f ca="1">+'R1 Opex Detail'!O252*O$1</f>
        <v>3.9073432156340022</v>
      </c>
      <c r="P252" s="310">
        <f ca="1">+'R1 Opex Detail'!P252*P$1</f>
        <v>3.026880596746881</v>
      </c>
      <c r="Q252" s="310">
        <f ca="1">+'R1 Opex Detail'!Q252*Q$1</f>
        <v>2.9668775151660243</v>
      </c>
      <c r="R252" s="310">
        <f ca="1">+'R1 Opex Detail'!R252*R$1</f>
        <v>2.7708229383366452</v>
      </c>
      <c r="S252" s="310">
        <f ca="1">+'R1 Opex Detail'!S252*S$1</f>
        <v>3.0341600290684267</v>
      </c>
    </row>
    <row r="253" spans="1:19" s="759" customFormat="1">
      <c r="A253" s="5"/>
      <c r="B253" s="249"/>
      <c r="C253" s="13" t="s">
        <v>575</v>
      </c>
      <c r="D253" s="312">
        <f>+'R1 Opex Detail'!D253</f>
        <v>0</v>
      </c>
      <c r="E253" s="310">
        <f>+'R1 Opex Detail'!E253</f>
        <v>0</v>
      </c>
      <c r="F253" s="310">
        <f>+'R1 Opex Detail'!F253</f>
        <v>0</v>
      </c>
      <c r="G253" s="310">
        <f>+'R1 Opex Detail'!G253</f>
        <v>0</v>
      </c>
      <c r="H253" s="310">
        <f>+'R1 Opex Detail'!H253</f>
        <v>0</v>
      </c>
      <c r="I253" s="310">
        <f>+'R1 Opex Detail'!I253</f>
        <v>0</v>
      </c>
      <c r="J253" s="310">
        <f>+'R1 Opex Detail'!J253</f>
        <v>0</v>
      </c>
      <c r="K253" s="310">
        <f>+'R1 Opex Detail'!K253</f>
        <v>0</v>
      </c>
      <c r="L253" s="310">
        <f ca="1">+'R1 Opex Detail'!L253</f>
        <v>0</v>
      </c>
      <c r="M253" s="835">
        <f ca="1">+'R1 Opex Detail'!M253*M$2</f>
        <v>0</v>
      </c>
      <c r="N253" s="312">
        <f ca="1">+'R1 Opex Detail'!N253*N$1</f>
        <v>1.0337307692307694E-3</v>
      </c>
      <c r="O253" s="310">
        <f ca="1">+'R1 Opex Detail'!O253*O$1</f>
        <v>1.0671157167087069E-3</v>
      </c>
      <c r="P253" s="310">
        <f ca="1">+'R1 Opex Detail'!P253*P$1</f>
        <v>1.1006173133729542E-3</v>
      </c>
      <c r="Q253" s="310">
        <f ca="1">+'R1 Opex Detail'!Q253*Q$1</f>
        <v>1.1362470447284574E-3</v>
      </c>
      <c r="R253" s="310">
        <f ca="1">+'R1 Opex Detail'!R253*R$1</f>
        <v>1.1738566385788081E-3</v>
      </c>
      <c r="S253" s="310">
        <f ca="1">+'R1 Opex Detail'!S253*S$1</f>
        <v>1.2115651880964206E-3</v>
      </c>
    </row>
    <row r="254" spans="1:19">
      <c r="A254" s="5"/>
      <c r="B254" s="249"/>
      <c r="C254" s="13" t="s">
        <v>70</v>
      </c>
      <c r="D254" s="312">
        <f>+'R1 Opex Detail'!D254</f>
        <v>0</v>
      </c>
      <c r="E254" s="310">
        <f>+'R1 Opex Detail'!E254</f>
        <v>0</v>
      </c>
      <c r="F254" s="310">
        <f>+'R1 Opex Detail'!F254</f>
        <v>0</v>
      </c>
      <c r="G254" s="310">
        <f>+'R1 Opex Detail'!G254</f>
        <v>0</v>
      </c>
      <c r="H254" s="310">
        <f>+'R1 Opex Detail'!H254</f>
        <v>0</v>
      </c>
      <c r="I254" s="310">
        <f>+'R1 Opex Detail'!I254</f>
        <v>0</v>
      </c>
      <c r="J254" s="310">
        <f>+'R1 Opex Detail'!J254</f>
        <v>0</v>
      </c>
      <c r="K254" s="310">
        <f>+'R1 Opex Detail'!K254</f>
        <v>0</v>
      </c>
      <c r="L254" s="310">
        <f ca="1">+'R1 Opex Detail'!L254</f>
        <v>0</v>
      </c>
      <c r="M254" s="835">
        <f ca="1">+'R1 Opex Detail'!M254*M$2</f>
        <v>0</v>
      </c>
      <c r="N254" s="312">
        <f ca="1">+'R1 Opex Detail'!N254*N$1</f>
        <v>0</v>
      </c>
      <c r="O254" s="310">
        <f ca="1">+'R1 Opex Detail'!O254*O$1</f>
        <v>0</v>
      </c>
      <c r="P254" s="310">
        <f ca="1">+'R1 Opex Detail'!P254*P$1</f>
        <v>0</v>
      </c>
      <c r="Q254" s="310">
        <f ca="1">+'R1 Opex Detail'!Q254*Q$1</f>
        <v>0</v>
      </c>
      <c r="R254" s="310">
        <f ca="1">+'R1 Opex Detail'!R254*R$1</f>
        <v>0</v>
      </c>
      <c r="S254" s="310">
        <f ca="1">+'R1 Opex Detail'!S254*S$1</f>
        <v>0</v>
      </c>
    </row>
    <row r="255" spans="1:19">
      <c r="A255" s="5"/>
      <c r="B255" s="249"/>
      <c r="C255" s="12" t="s">
        <v>75</v>
      </c>
      <c r="D255" s="313">
        <f t="shared" ref="D255:S255" si="29">SUBTOTAL(9,D249:D254)</f>
        <v>0</v>
      </c>
      <c r="E255" s="311">
        <f t="shared" si="29"/>
        <v>0</v>
      </c>
      <c r="F255" s="311">
        <f t="shared" si="29"/>
        <v>0</v>
      </c>
      <c r="G255" s="311">
        <f t="shared" si="29"/>
        <v>0</v>
      </c>
      <c r="H255" s="311">
        <f t="shared" si="29"/>
        <v>0</v>
      </c>
      <c r="I255" s="311">
        <f t="shared" si="29"/>
        <v>0</v>
      </c>
      <c r="J255" s="311">
        <f t="shared" si="29"/>
        <v>0</v>
      </c>
      <c r="K255" s="311">
        <f t="shared" si="29"/>
        <v>0</v>
      </c>
      <c r="L255" s="311">
        <f t="shared" ca="1" si="29"/>
        <v>0</v>
      </c>
      <c r="M255" s="513">
        <f t="shared" ca="1" si="29"/>
        <v>0</v>
      </c>
      <c r="N255" s="313">
        <f t="shared" ca="1" si="29"/>
        <v>2.215285038461539</v>
      </c>
      <c r="O255" s="311">
        <f t="shared" ca="1" si="29"/>
        <v>5.2397571900972766</v>
      </c>
      <c r="P255" s="311">
        <f t="shared" ca="1" si="29"/>
        <v>4.3899301085145304</v>
      </c>
      <c r="Q255" s="311">
        <f t="shared" ca="1" si="29"/>
        <v>4.3622411066020552</v>
      </c>
      <c r="R255" s="311">
        <f t="shared" ca="1" si="29"/>
        <v>4.2004830349229776</v>
      </c>
      <c r="S255" s="311">
        <f t="shared" ca="1" si="29"/>
        <v>4.4978045431104414</v>
      </c>
    </row>
    <row r="256" spans="1:19">
      <c r="A256" s="5"/>
      <c r="B256" s="249"/>
      <c r="C256" s="12"/>
      <c r="D256" s="263"/>
      <c r="E256" s="263"/>
      <c r="F256" s="263"/>
      <c r="G256" s="263"/>
      <c r="H256" s="263"/>
      <c r="I256" s="263"/>
      <c r="J256" s="263"/>
      <c r="K256" s="263"/>
      <c r="L256" s="263"/>
      <c r="M256" s="836"/>
      <c r="N256" s="263"/>
      <c r="O256" s="263"/>
      <c r="P256" s="263"/>
      <c r="Q256" s="263"/>
      <c r="R256" s="263"/>
      <c r="S256" s="263"/>
    </row>
    <row r="257" spans="1:19">
      <c r="A257" s="5"/>
      <c r="B257" s="249" t="str">
        <f ca="1">+'I-4 History'!B255</f>
        <v>A-4</v>
      </c>
      <c r="C257" s="14" t="str">
        <f ca="1">+'I-4 History'!C255</f>
        <v>Audit Services</v>
      </c>
      <c r="D257" s="11"/>
      <c r="E257" s="11"/>
      <c r="F257" s="11"/>
      <c r="G257" s="11"/>
      <c r="H257" s="11"/>
      <c r="I257" s="11"/>
      <c r="J257" s="11"/>
      <c r="K257" s="11"/>
      <c r="L257" s="11"/>
      <c r="M257" s="507"/>
      <c r="N257" s="11"/>
      <c r="O257" s="11"/>
      <c r="P257" s="11"/>
      <c r="Q257" s="11"/>
      <c r="R257" s="11"/>
      <c r="S257" s="11"/>
    </row>
    <row r="258" spans="1:19">
      <c r="A258" s="5"/>
      <c r="B258" s="249"/>
      <c r="C258" s="13" t="s">
        <v>68</v>
      </c>
      <c r="D258" s="312">
        <f>+'R1 Opex Detail'!D258</f>
        <v>0</v>
      </c>
      <c r="E258" s="310">
        <f>+'R1 Opex Detail'!E258</f>
        <v>0</v>
      </c>
      <c r="F258" s="310">
        <f>+'R1 Opex Detail'!F258</f>
        <v>0</v>
      </c>
      <c r="G258" s="310">
        <f>+'R1 Opex Detail'!G258</f>
        <v>0</v>
      </c>
      <c r="H258" s="310">
        <f>+'R1 Opex Detail'!H258</f>
        <v>0</v>
      </c>
      <c r="I258" s="310">
        <f>+'R1 Opex Detail'!I258</f>
        <v>0</v>
      </c>
      <c r="J258" s="310">
        <f>+'R1 Opex Detail'!J258</f>
        <v>0</v>
      </c>
      <c r="K258" s="310">
        <f>+'R1 Opex Detail'!K258</f>
        <v>0</v>
      </c>
      <c r="L258" s="310">
        <f ca="1">+'R1 Opex Detail'!L258</f>
        <v>0</v>
      </c>
      <c r="M258" s="835">
        <f ca="1">+'R1 Opex Detail'!M258*M$2</f>
        <v>0</v>
      </c>
      <c r="N258" s="312">
        <f ca="1">+'R1 Opex Detail'!N258*N$1</f>
        <v>0.49619076923076927</v>
      </c>
      <c r="O258" s="310">
        <f ca="1">+'R1 Opex Detail'!O258*O$1</f>
        <v>0.72413035171248707</v>
      </c>
      <c r="P258" s="310">
        <f ca="1">+'R1 Opex Detail'!P258*P$1</f>
        <v>0.74021111811132556</v>
      </c>
      <c r="Q258" s="310">
        <f ca="1">+'R1 Opex Detail'!Q258*Q$1</f>
        <v>0.75731338916196722</v>
      </c>
      <c r="R258" s="310">
        <f ca="1">+'R1 Opex Detail'!R258*R$1</f>
        <v>0.77536599421013563</v>
      </c>
      <c r="S258" s="310">
        <f ca="1">+'R1 Opex Detail'!S258*S$1</f>
        <v>0.79346609797858958</v>
      </c>
    </row>
    <row r="259" spans="1:19">
      <c r="A259" s="5"/>
      <c r="B259" s="249"/>
      <c r="C259" s="13" t="s">
        <v>69</v>
      </c>
      <c r="D259" s="312">
        <f>+'R1 Opex Detail'!D259</f>
        <v>0</v>
      </c>
      <c r="E259" s="310">
        <f>+'R1 Opex Detail'!E259</f>
        <v>0</v>
      </c>
      <c r="F259" s="310">
        <f>+'R1 Opex Detail'!F259</f>
        <v>0</v>
      </c>
      <c r="G259" s="310">
        <f>+'R1 Opex Detail'!G259</f>
        <v>0</v>
      </c>
      <c r="H259" s="310">
        <f>+'R1 Opex Detail'!H259</f>
        <v>0</v>
      </c>
      <c r="I259" s="310">
        <f>+'R1 Opex Detail'!I259</f>
        <v>0</v>
      </c>
      <c r="J259" s="310">
        <f>+'R1 Opex Detail'!J259</f>
        <v>0</v>
      </c>
      <c r="K259" s="310">
        <f>+'R1 Opex Detail'!K259</f>
        <v>0</v>
      </c>
      <c r="L259" s="310">
        <f ca="1">+'R1 Opex Detail'!L259</f>
        <v>0</v>
      </c>
      <c r="M259" s="835">
        <f ca="1">+'R1 Opex Detail'!M259*M$2</f>
        <v>0</v>
      </c>
      <c r="N259" s="312">
        <f ca="1">+'R1 Opex Detail'!N259*N$1</f>
        <v>5.1686538461538471E-3</v>
      </c>
      <c r="O259" s="310">
        <f ca="1">+'R1 Opex Detail'!O259*O$1</f>
        <v>5.223493047831684E-3</v>
      </c>
      <c r="P259" s="310">
        <f ca="1">+'R1 Opex Detail'!P259*P$1</f>
        <v>5.274306274218714E-3</v>
      </c>
      <c r="Q259" s="310">
        <f ca="1">+'R1 Opex Detail'!Q259*Q$1</f>
        <v>5.3245345842605719E-3</v>
      </c>
      <c r="R259" s="310">
        <f ca="1">+'R1 Opex Detail'!R259*R$1</f>
        <v>5.3790282665434246E-3</v>
      </c>
      <c r="S259" s="310">
        <f ca="1">+'R1 Opex Detail'!S259*S$1</f>
        <v>5.4289448873469804E-3</v>
      </c>
    </row>
    <row r="260" spans="1:19" s="759" customFormat="1">
      <c r="A260" s="5"/>
      <c r="B260" s="249"/>
      <c r="C260" s="13" t="s">
        <v>646</v>
      </c>
      <c r="D260" s="312">
        <f>+'R1 Opex Detail'!D260</f>
        <v>0</v>
      </c>
      <c r="E260" s="310">
        <f>+'R1 Opex Detail'!E260</f>
        <v>0</v>
      </c>
      <c r="F260" s="310">
        <f>+'R1 Opex Detail'!F260</f>
        <v>0</v>
      </c>
      <c r="G260" s="310">
        <f>+'R1 Opex Detail'!G260</f>
        <v>0</v>
      </c>
      <c r="H260" s="310">
        <f>+'R1 Opex Detail'!H260</f>
        <v>0</v>
      </c>
      <c r="I260" s="310">
        <f>+'R1 Opex Detail'!I260</f>
        <v>0</v>
      </c>
      <c r="J260" s="310">
        <f>+'R1 Opex Detail'!J260</f>
        <v>0</v>
      </c>
      <c r="K260" s="310">
        <f>+'R1 Opex Detail'!K260</f>
        <v>0</v>
      </c>
      <c r="L260" s="310">
        <f ca="1">+'R1 Opex Detail'!L260</f>
        <v>0</v>
      </c>
      <c r="M260" s="835">
        <f ca="1">+'R1 Opex Detail'!M260*M$2</f>
        <v>0</v>
      </c>
      <c r="N260" s="312">
        <f ca="1">+'R1 Opex Detail'!N260*N$1</f>
        <v>0</v>
      </c>
      <c r="O260" s="310">
        <f ca="1">+'R1 Opex Detail'!O260*O$1</f>
        <v>0</v>
      </c>
      <c r="P260" s="310">
        <f ca="1">+'R1 Opex Detail'!P260*P$1</f>
        <v>0</v>
      </c>
      <c r="Q260" s="310">
        <f ca="1">+'R1 Opex Detail'!Q260*Q$1</f>
        <v>0</v>
      </c>
      <c r="R260" s="310">
        <f ca="1">+'R1 Opex Detail'!R260*R$1</f>
        <v>0</v>
      </c>
      <c r="S260" s="310">
        <f ca="1">+'R1 Opex Detail'!S260*S$1</f>
        <v>0</v>
      </c>
    </row>
    <row r="261" spans="1:19">
      <c r="A261" s="5"/>
      <c r="B261" s="249"/>
      <c r="C261" s="13" t="s">
        <v>647</v>
      </c>
      <c r="D261" s="312">
        <f>+'R1 Opex Detail'!D261</f>
        <v>0</v>
      </c>
      <c r="E261" s="310">
        <f>+'R1 Opex Detail'!E261</f>
        <v>0</v>
      </c>
      <c r="F261" s="310">
        <f>+'R1 Opex Detail'!F261</f>
        <v>0</v>
      </c>
      <c r="G261" s="310">
        <f>+'R1 Opex Detail'!G261</f>
        <v>0</v>
      </c>
      <c r="H261" s="310">
        <f>+'R1 Opex Detail'!H261</f>
        <v>0</v>
      </c>
      <c r="I261" s="310">
        <f>+'R1 Opex Detail'!I261</f>
        <v>0</v>
      </c>
      <c r="J261" s="310">
        <f>+'R1 Opex Detail'!J261</f>
        <v>0</v>
      </c>
      <c r="K261" s="310">
        <f>+'R1 Opex Detail'!K261</f>
        <v>0</v>
      </c>
      <c r="L261" s="310">
        <f ca="1">+'R1 Opex Detail'!L261</f>
        <v>0</v>
      </c>
      <c r="M261" s="835">
        <f ca="1">+'R1 Opex Detail'!M261*M$2</f>
        <v>0</v>
      </c>
      <c r="N261" s="312">
        <f ca="1">+'R1 Opex Detail'!N261*N$1</f>
        <v>0.31011923076923081</v>
      </c>
      <c r="O261" s="310">
        <f ca="1">+'R1 Opex Detail'!O261*O$1</f>
        <v>0.31497663078425048</v>
      </c>
      <c r="P261" s="310">
        <f ca="1">+'R1 Opex Detail'!P261*P$1</f>
        <v>0.31963087167706539</v>
      </c>
      <c r="Q261" s="310">
        <f ca="1">+'R1 Opex Detail'!Q261*Q$1</f>
        <v>0.32557885565153954</v>
      </c>
      <c r="R261" s="310">
        <f ca="1">+'R1 Opex Detail'!R261*R$1</f>
        <v>0.33236454137773358</v>
      </c>
      <c r="S261" s="310">
        <f ca="1">+'R1 Opex Detail'!S261*S$1</f>
        <v>0.33964194773467321</v>
      </c>
    </row>
    <row r="262" spans="1:19" s="759" customFormat="1">
      <c r="A262" s="5"/>
      <c r="B262" s="249"/>
      <c r="C262" s="13" t="s">
        <v>575</v>
      </c>
      <c r="D262" s="312">
        <f>+'R1 Opex Detail'!D262</f>
        <v>0</v>
      </c>
      <c r="E262" s="310">
        <f>+'R1 Opex Detail'!E262</f>
        <v>0</v>
      </c>
      <c r="F262" s="310">
        <f>+'R1 Opex Detail'!F262</f>
        <v>0</v>
      </c>
      <c r="G262" s="310">
        <f>+'R1 Opex Detail'!G262</f>
        <v>0</v>
      </c>
      <c r="H262" s="310">
        <f>+'R1 Opex Detail'!H262</f>
        <v>0</v>
      </c>
      <c r="I262" s="310">
        <f>+'R1 Opex Detail'!I262</f>
        <v>0</v>
      </c>
      <c r="J262" s="310">
        <f>+'R1 Opex Detail'!J262</f>
        <v>0</v>
      </c>
      <c r="K262" s="310">
        <f>+'R1 Opex Detail'!K262</f>
        <v>0</v>
      </c>
      <c r="L262" s="310">
        <f ca="1">+'R1 Opex Detail'!L262</f>
        <v>0</v>
      </c>
      <c r="M262" s="835">
        <f ca="1">+'R1 Opex Detail'!M262*M$2</f>
        <v>0</v>
      </c>
      <c r="N262" s="312">
        <f ca="1">+'R1 Opex Detail'!N262*N$1</f>
        <v>0</v>
      </c>
      <c r="O262" s="310">
        <f ca="1">+'R1 Opex Detail'!O262*O$1</f>
        <v>0</v>
      </c>
      <c r="P262" s="310">
        <f ca="1">+'R1 Opex Detail'!P262*P$1</f>
        <v>0</v>
      </c>
      <c r="Q262" s="310">
        <f ca="1">+'R1 Opex Detail'!Q262*Q$1</f>
        <v>0</v>
      </c>
      <c r="R262" s="310">
        <f ca="1">+'R1 Opex Detail'!R262*R$1</f>
        <v>0</v>
      </c>
      <c r="S262" s="310">
        <f ca="1">+'R1 Opex Detail'!S262*S$1</f>
        <v>0</v>
      </c>
    </row>
    <row r="263" spans="1:19">
      <c r="A263" s="5"/>
      <c r="B263" s="249"/>
      <c r="C263" s="13" t="s">
        <v>70</v>
      </c>
      <c r="D263" s="312">
        <f>+'R1 Opex Detail'!D263</f>
        <v>0</v>
      </c>
      <c r="E263" s="310">
        <f>+'R1 Opex Detail'!E263</f>
        <v>0</v>
      </c>
      <c r="F263" s="310">
        <f>+'R1 Opex Detail'!F263</f>
        <v>0</v>
      </c>
      <c r="G263" s="310">
        <f>+'R1 Opex Detail'!G263</f>
        <v>0</v>
      </c>
      <c r="H263" s="310">
        <f>+'R1 Opex Detail'!H263</f>
        <v>0</v>
      </c>
      <c r="I263" s="310">
        <f>+'R1 Opex Detail'!I263</f>
        <v>0</v>
      </c>
      <c r="J263" s="310">
        <f>+'R1 Opex Detail'!J263</f>
        <v>0</v>
      </c>
      <c r="K263" s="310">
        <f>+'R1 Opex Detail'!K263</f>
        <v>0</v>
      </c>
      <c r="L263" s="310">
        <f ca="1">+'R1 Opex Detail'!L263</f>
        <v>0</v>
      </c>
      <c r="M263" s="835">
        <f ca="1">+'R1 Opex Detail'!M263*M$2</f>
        <v>0</v>
      </c>
      <c r="N263" s="312">
        <f ca="1">+'R1 Opex Detail'!N263*N$1</f>
        <v>0</v>
      </c>
      <c r="O263" s="310">
        <f ca="1">+'R1 Opex Detail'!O263*O$1</f>
        <v>0</v>
      </c>
      <c r="P263" s="310">
        <f ca="1">+'R1 Opex Detail'!P263*P$1</f>
        <v>0</v>
      </c>
      <c r="Q263" s="310">
        <f ca="1">+'R1 Opex Detail'!Q263*Q$1</f>
        <v>0</v>
      </c>
      <c r="R263" s="310">
        <f ca="1">+'R1 Opex Detail'!R263*R$1</f>
        <v>0</v>
      </c>
      <c r="S263" s="310">
        <f ca="1">+'R1 Opex Detail'!S263*S$1</f>
        <v>0</v>
      </c>
    </row>
    <row r="264" spans="1:19">
      <c r="A264" s="5"/>
      <c r="B264" s="249"/>
      <c r="C264" s="12" t="s">
        <v>75</v>
      </c>
      <c r="D264" s="313">
        <f t="shared" ref="D264:S264" si="30">SUBTOTAL(9,D258:D263)</f>
        <v>0</v>
      </c>
      <c r="E264" s="311">
        <f t="shared" si="30"/>
        <v>0</v>
      </c>
      <c r="F264" s="311">
        <f t="shared" si="30"/>
        <v>0</v>
      </c>
      <c r="G264" s="311">
        <f t="shared" si="30"/>
        <v>0</v>
      </c>
      <c r="H264" s="311">
        <f t="shared" si="30"/>
        <v>0</v>
      </c>
      <c r="I264" s="311">
        <f t="shared" si="30"/>
        <v>0</v>
      </c>
      <c r="J264" s="311">
        <f t="shared" si="30"/>
        <v>0</v>
      </c>
      <c r="K264" s="311">
        <f t="shared" si="30"/>
        <v>0</v>
      </c>
      <c r="L264" s="311">
        <f t="shared" ca="1" si="30"/>
        <v>0</v>
      </c>
      <c r="M264" s="513">
        <f t="shared" ca="1" si="30"/>
        <v>0</v>
      </c>
      <c r="N264" s="313">
        <f t="shared" ca="1" si="30"/>
        <v>0.81147865384615403</v>
      </c>
      <c r="O264" s="311">
        <f t="shared" ca="1" si="30"/>
        <v>1.0443304755445693</v>
      </c>
      <c r="P264" s="311">
        <f t="shared" ca="1" si="30"/>
        <v>1.0651162960626097</v>
      </c>
      <c r="Q264" s="311">
        <f t="shared" ca="1" si="30"/>
        <v>1.0882167793977673</v>
      </c>
      <c r="R264" s="311">
        <f t="shared" ca="1" si="30"/>
        <v>1.1131095638544126</v>
      </c>
      <c r="S264" s="311">
        <f t="shared" ca="1" si="30"/>
        <v>1.1385369906006098</v>
      </c>
    </row>
    <row r="265" spans="1:19" ht="17.25" customHeight="1" thickBot="1">
      <c r="A265" s="5"/>
      <c r="B265" s="250"/>
      <c r="C265" s="269" t="str">
        <f>CONCATENATE("Total ", +C229)</f>
        <v>Total Office of the CEO</v>
      </c>
      <c r="D265" s="313">
        <f>SUBTOTAL(9,D231:D264)</f>
        <v>0</v>
      </c>
      <c r="E265" s="311">
        <f t="shared" ref="E265:S265" si="31">SUBTOTAL(9,E231:E264)</f>
        <v>0</v>
      </c>
      <c r="F265" s="311">
        <f t="shared" si="31"/>
        <v>0</v>
      </c>
      <c r="G265" s="311">
        <f t="shared" si="31"/>
        <v>0</v>
      </c>
      <c r="H265" s="311">
        <f t="shared" si="31"/>
        <v>0</v>
      </c>
      <c r="I265" s="311">
        <f t="shared" si="31"/>
        <v>0</v>
      </c>
      <c r="J265" s="311">
        <f t="shared" si="31"/>
        <v>0</v>
      </c>
      <c r="K265" s="311">
        <f t="shared" si="31"/>
        <v>0</v>
      </c>
      <c r="L265" s="311">
        <f t="shared" ca="1" si="31"/>
        <v>0</v>
      </c>
      <c r="M265" s="513">
        <f t="shared" ca="1" si="31"/>
        <v>0</v>
      </c>
      <c r="N265" s="313">
        <f t="shared" ca="1" si="31"/>
        <v>5.1355744615384609</v>
      </c>
      <c r="O265" s="311">
        <f t="shared" ca="1" si="31"/>
        <v>8.4437731008395911</v>
      </c>
      <c r="P265" s="311">
        <f t="shared" ca="1" si="31"/>
        <v>7.6650623828343454</v>
      </c>
      <c r="Q265" s="311">
        <f t="shared" ca="1" si="31"/>
        <v>7.7167287709331003</v>
      </c>
      <c r="R265" s="311">
        <f t="shared" ca="1" si="31"/>
        <v>7.6407113898445651</v>
      </c>
      <c r="S265" s="311">
        <f t="shared" ca="1" si="31"/>
        <v>8.0256938664830262</v>
      </c>
    </row>
    <row r="266" spans="1:19" ht="18">
      <c r="B266" s="251"/>
      <c r="C266" s="254" t="str">
        <f>+'I-3 Allocated'!A9</f>
        <v>Regulation and Company Secretary</v>
      </c>
      <c r="D266" s="266"/>
      <c r="E266" s="266"/>
      <c r="F266" s="266"/>
      <c r="G266" s="266"/>
      <c r="H266" s="266"/>
      <c r="I266" s="266"/>
      <c r="J266" s="266"/>
      <c r="K266" s="266"/>
      <c r="L266" s="266"/>
      <c r="M266" s="842"/>
      <c r="N266" s="266"/>
      <c r="O266" s="266"/>
      <c r="P266" s="266"/>
      <c r="Q266" s="266"/>
      <c r="R266" s="266"/>
      <c r="S266" s="266"/>
    </row>
    <row r="267" spans="1:19" ht="25.5">
      <c r="A267" s="5"/>
      <c r="B267" s="249" t="str">
        <f ca="1">+'I-4 History'!B264</f>
        <v>A-5</v>
      </c>
      <c r="C267" s="14" t="str">
        <f ca="1">+'I-4 History'!C264</f>
        <v>General Manager Regulation &amp; Company Secretary</v>
      </c>
      <c r="D267" s="11"/>
      <c r="E267" s="11"/>
      <c r="F267" s="11"/>
      <c r="G267" s="11"/>
      <c r="H267" s="11"/>
      <c r="I267" s="11"/>
      <c r="J267" s="11"/>
      <c r="K267" s="11"/>
      <c r="L267" s="11"/>
      <c r="M267" s="507"/>
      <c r="N267" s="11"/>
      <c r="O267" s="11"/>
      <c r="P267" s="11"/>
      <c r="Q267" s="11"/>
      <c r="R267" s="11"/>
      <c r="S267" s="11"/>
    </row>
    <row r="268" spans="1:19">
      <c r="A268" s="5"/>
      <c r="B268" s="249"/>
      <c r="C268" s="13" t="s">
        <v>68</v>
      </c>
      <c r="D268" s="312">
        <f>+'R1 Opex Detail'!D268</f>
        <v>0</v>
      </c>
      <c r="E268" s="310">
        <f>+'R1 Opex Detail'!E268</f>
        <v>0</v>
      </c>
      <c r="F268" s="310">
        <f>+'R1 Opex Detail'!F268</f>
        <v>0</v>
      </c>
      <c r="G268" s="310">
        <f>+'R1 Opex Detail'!G268</f>
        <v>0</v>
      </c>
      <c r="H268" s="310">
        <f>+'R1 Opex Detail'!H268</f>
        <v>0</v>
      </c>
      <c r="I268" s="310">
        <f>+'R1 Opex Detail'!I268</f>
        <v>0</v>
      </c>
      <c r="J268" s="310">
        <f>+'R1 Opex Detail'!J268</f>
        <v>0</v>
      </c>
      <c r="K268" s="310">
        <f>+'R1 Opex Detail'!K268</f>
        <v>0</v>
      </c>
      <c r="L268" s="310">
        <f ca="1">+'R1 Opex Detail'!L268</f>
        <v>0</v>
      </c>
      <c r="M268" s="835">
        <f ca="1">+'R1 Opex Detail'!M268*M$2</f>
        <v>0</v>
      </c>
      <c r="N268" s="312">
        <f ca="1">+'R1 Opex Detail'!N268*N$1</f>
        <v>1.5754056923076925</v>
      </c>
      <c r="O268" s="310">
        <f ca="1">+'R1 Opex Detail'!O268*O$1</f>
        <v>1.6262843522640691</v>
      </c>
      <c r="P268" s="310">
        <f ca="1">+'R1 Opex Detail'!P268*P$1</f>
        <v>1.6773407855803819</v>
      </c>
      <c r="Q268" s="310">
        <f ca="1">+'R1 Opex Detail'!Q268*Q$1</f>
        <v>1.7316404961661691</v>
      </c>
      <c r="R268" s="310">
        <f ca="1">+'R1 Opex Detail'!R268*R$1</f>
        <v>1.7889575171941039</v>
      </c>
      <c r="S268" s="310">
        <f ca="1">+'R1 Opex Detail'!S268*S$1</f>
        <v>1.8464253466589451</v>
      </c>
    </row>
    <row r="269" spans="1:19">
      <c r="A269" s="5"/>
      <c r="B269" s="249"/>
      <c r="C269" s="13" t="s">
        <v>69</v>
      </c>
      <c r="D269" s="312">
        <f>+'R1 Opex Detail'!D269</f>
        <v>0</v>
      </c>
      <c r="E269" s="310">
        <f>+'R1 Opex Detail'!E269</f>
        <v>0</v>
      </c>
      <c r="F269" s="310">
        <f>+'R1 Opex Detail'!F269</f>
        <v>0</v>
      </c>
      <c r="G269" s="310">
        <f>+'R1 Opex Detail'!G269</f>
        <v>0</v>
      </c>
      <c r="H269" s="310">
        <f>+'R1 Opex Detail'!H269</f>
        <v>0</v>
      </c>
      <c r="I269" s="310">
        <f>+'R1 Opex Detail'!I269</f>
        <v>0</v>
      </c>
      <c r="J269" s="310">
        <f>+'R1 Opex Detail'!J269</f>
        <v>0</v>
      </c>
      <c r="K269" s="310">
        <f>+'R1 Opex Detail'!K269</f>
        <v>0</v>
      </c>
      <c r="L269" s="310">
        <f ca="1">+'R1 Opex Detail'!L269</f>
        <v>0</v>
      </c>
      <c r="M269" s="835">
        <f ca="1">+'R1 Opex Detail'!M269*M$2</f>
        <v>0</v>
      </c>
      <c r="N269" s="312">
        <f ca="1">+'R1 Opex Detail'!N269*N$1</f>
        <v>3.514684615384616E-2</v>
      </c>
      <c r="O269" s="310">
        <f ca="1">+'R1 Opex Detail'!O269*O$1</f>
        <v>3.5519752725255455E-2</v>
      </c>
      <c r="P269" s="310">
        <f ca="1">+'R1 Opex Detail'!P269*P$1</f>
        <v>3.5865282664687262E-2</v>
      </c>
      <c r="Q269" s="310">
        <f ca="1">+'R1 Opex Detail'!Q269*Q$1</f>
        <v>3.62068351729719E-2</v>
      </c>
      <c r="R269" s="310">
        <f ca="1">+'R1 Opex Detail'!R269*R$1</f>
        <v>3.6577392212495285E-2</v>
      </c>
      <c r="S269" s="310">
        <f ca="1">+'R1 Opex Detail'!S269*S$1</f>
        <v>3.691682523395947E-2</v>
      </c>
    </row>
    <row r="270" spans="1:19" s="759" customFormat="1">
      <c r="A270" s="5"/>
      <c r="B270" s="249"/>
      <c r="C270" s="13" t="s">
        <v>646</v>
      </c>
      <c r="D270" s="312">
        <f>+'R1 Opex Detail'!D270</f>
        <v>0</v>
      </c>
      <c r="E270" s="310">
        <f>+'R1 Opex Detail'!E270</f>
        <v>0</v>
      </c>
      <c r="F270" s="310">
        <f>+'R1 Opex Detail'!F270</f>
        <v>0</v>
      </c>
      <c r="G270" s="310">
        <f>+'R1 Opex Detail'!G270</f>
        <v>0</v>
      </c>
      <c r="H270" s="310">
        <f>+'R1 Opex Detail'!H270</f>
        <v>0</v>
      </c>
      <c r="I270" s="310">
        <f>+'R1 Opex Detail'!I270</f>
        <v>0</v>
      </c>
      <c r="J270" s="310">
        <f>+'R1 Opex Detail'!J270</f>
        <v>0</v>
      </c>
      <c r="K270" s="310">
        <f>+'R1 Opex Detail'!K270</f>
        <v>0</v>
      </c>
      <c r="L270" s="310">
        <f ca="1">+'R1 Opex Detail'!L270</f>
        <v>0</v>
      </c>
      <c r="M270" s="835">
        <f ca="1">+'R1 Opex Detail'!M270*M$2</f>
        <v>0</v>
      </c>
      <c r="N270" s="312">
        <f ca="1">+'R1 Opex Detail'!N270*N$1</f>
        <v>3.8248038461538465E-2</v>
      </c>
      <c r="O270" s="310">
        <f ca="1">+'R1 Opex Detail'!O270*O$1</f>
        <v>3.8847117796724236E-2</v>
      </c>
      <c r="P270" s="310">
        <f ca="1">+'R1 Opex Detail'!P270*P$1</f>
        <v>3.9421140840171398E-2</v>
      </c>
      <c r="Q270" s="310">
        <f ca="1">+'R1 Opex Detail'!Q270*Q$1</f>
        <v>4.0154725530356532E-2</v>
      </c>
      <c r="R270" s="310">
        <f ca="1">+'R1 Opex Detail'!R270*R$1</f>
        <v>4.0991626769920478E-2</v>
      </c>
      <c r="S270" s="310">
        <f ca="1">+'R1 Opex Detail'!S270*S$1</f>
        <v>4.1889173553943025E-2</v>
      </c>
    </row>
    <row r="271" spans="1:19">
      <c r="A271" s="5"/>
      <c r="B271" s="249"/>
      <c r="C271" s="13" t="s">
        <v>647</v>
      </c>
      <c r="D271" s="312">
        <f>+'R1 Opex Detail'!D271</f>
        <v>0</v>
      </c>
      <c r="E271" s="310">
        <f>+'R1 Opex Detail'!E271</f>
        <v>0</v>
      </c>
      <c r="F271" s="310">
        <f>+'R1 Opex Detail'!F271</f>
        <v>0</v>
      </c>
      <c r="G271" s="310">
        <f>+'R1 Opex Detail'!G271</f>
        <v>0</v>
      </c>
      <c r="H271" s="310">
        <f>+'R1 Opex Detail'!H271</f>
        <v>0</v>
      </c>
      <c r="I271" s="310">
        <f>+'R1 Opex Detail'!I271</f>
        <v>0</v>
      </c>
      <c r="J271" s="310">
        <f>+'R1 Opex Detail'!J271</f>
        <v>0</v>
      </c>
      <c r="K271" s="310">
        <f>+'R1 Opex Detail'!K271</f>
        <v>0</v>
      </c>
      <c r="L271" s="310">
        <f ca="1">+'R1 Opex Detail'!L271</f>
        <v>0</v>
      </c>
      <c r="M271" s="835">
        <f ca="1">+'R1 Opex Detail'!M271*M$2</f>
        <v>0</v>
      </c>
      <c r="N271" s="312">
        <f ca="1">+'R1 Opex Detail'!N271*N$1</f>
        <v>0.13541873076923078</v>
      </c>
      <c r="O271" s="310">
        <f ca="1">+'R1 Opex Detail'!O271*O$1</f>
        <v>0.13753979544245609</v>
      </c>
      <c r="P271" s="310">
        <f ca="1">+'R1 Opex Detail'!P271*P$1</f>
        <v>0.13957214729898521</v>
      </c>
      <c r="Q271" s="310">
        <f ca="1">+'R1 Opex Detail'!Q271*Q$1</f>
        <v>0.14216943363450557</v>
      </c>
      <c r="R271" s="310">
        <f ca="1">+'R1 Opex Detail'!R271*R$1</f>
        <v>0.14513251640161035</v>
      </c>
      <c r="S271" s="310">
        <f ca="1">+'R1 Opex Detail'!S271*S$1</f>
        <v>0.148310317177474</v>
      </c>
    </row>
    <row r="272" spans="1:19" s="759" customFormat="1">
      <c r="A272" s="5"/>
      <c r="B272" s="249"/>
      <c r="C272" s="13" t="s">
        <v>575</v>
      </c>
      <c r="D272" s="312">
        <f>+'R1 Opex Detail'!D272</f>
        <v>0</v>
      </c>
      <c r="E272" s="310">
        <f>+'R1 Opex Detail'!E272</f>
        <v>0</v>
      </c>
      <c r="F272" s="310">
        <f>+'R1 Opex Detail'!F272</f>
        <v>0</v>
      </c>
      <c r="G272" s="310">
        <f>+'R1 Opex Detail'!G272</f>
        <v>0</v>
      </c>
      <c r="H272" s="310">
        <f>+'R1 Opex Detail'!H272</f>
        <v>0</v>
      </c>
      <c r="I272" s="310">
        <f>+'R1 Opex Detail'!I272</f>
        <v>0</v>
      </c>
      <c r="J272" s="310">
        <f>+'R1 Opex Detail'!J272</f>
        <v>0</v>
      </c>
      <c r="K272" s="310">
        <f>+'R1 Opex Detail'!K272</f>
        <v>0</v>
      </c>
      <c r="L272" s="310">
        <f ca="1">+'R1 Opex Detail'!L272</f>
        <v>0</v>
      </c>
      <c r="M272" s="835">
        <f ca="1">+'R1 Opex Detail'!M272*M$2</f>
        <v>0</v>
      </c>
      <c r="N272" s="312">
        <f ca="1">+'R1 Opex Detail'!N272*N$1</f>
        <v>0</v>
      </c>
      <c r="O272" s="310">
        <f ca="1">+'R1 Opex Detail'!O272*O$1</f>
        <v>0</v>
      </c>
      <c r="P272" s="310">
        <f ca="1">+'R1 Opex Detail'!P272*P$1</f>
        <v>0</v>
      </c>
      <c r="Q272" s="310">
        <f ca="1">+'R1 Opex Detail'!Q272*Q$1</f>
        <v>0</v>
      </c>
      <c r="R272" s="310">
        <f ca="1">+'R1 Opex Detail'!R272*R$1</f>
        <v>0</v>
      </c>
      <c r="S272" s="310">
        <f ca="1">+'R1 Opex Detail'!S272*S$1</f>
        <v>0</v>
      </c>
    </row>
    <row r="273" spans="1:19">
      <c r="A273" s="5"/>
      <c r="B273" s="249"/>
      <c r="C273" s="13" t="s">
        <v>70</v>
      </c>
      <c r="D273" s="312">
        <f>+'R1 Opex Detail'!D273</f>
        <v>0</v>
      </c>
      <c r="E273" s="310">
        <f>+'R1 Opex Detail'!E273</f>
        <v>0</v>
      </c>
      <c r="F273" s="310">
        <f>+'R1 Opex Detail'!F273</f>
        <v>0</v>
      </c>
      <c r="G273" s="310">
        <f>+'R1 Opex Detail'!G273</f>
        <v>0</v>
      </c>
      <c r="H273" s="310">
        <f>+'R1 Opex Detail'!H273</f>
        <v>0</v>
      </c>
      <c r="I273" s="310">
        <f>+'R1 Opex Detail'!I273</f>
        <v>0</v>
      </c>
      <c r="J273" s="310">
        <f>+'R1 Opex Detail'!J273</f>
        <v>0</v>
      </c>
      <c r="K273" s="310">
        <f>+'R1 Opex Detail'!K273</f>
        <v>0</v>
      </c>
      <c r="L273" s="310">
        <f ca="1">+'R1 Opex Detail'!L273</f>
        <v>0</v>
      </c>
      <c r="M273" s="835">
        <f ca="1">+'R1 Opex Detail'!M273*M$2</f>
        <v>0</v>
      </c>
      <c r="N273" s="312">
        <f ca="1">+'R1 Opex Detail'!N273*N$1</f>
        <v>0</v>
      </c>
      <c r="O273" s="310">
        <f ca="1">+'R1 Opex Detail'!O273*O$1</f>
        <v>0</v>
      </c>
      <c r="P273" s="310">
        <f ca="1">+'R1 Opex Detail'!P273*P$1</f>
        <v>0</v>
      </c>
      <c r="Q273" s="310">
        <f ca="1">+'R1 Opex Detail'!Q273*Q$1</f>
        <v>0</v>
      </c>
      <c r="R273" s="310">
        <f ca="1">+'R1 Opex Detail'!R273*R$1</f>
        <v>0</v>
      </c>
      <c r="S273" s="310">
        <f ca="1">+'R1 Opex Detail'!S273*S$1</f>
        <v>0</v>
      </c>
    </row>
    <row r="274" spans="1:19">
      <c r="A274" s="5"/>
      <c r="B274" s="249"/>
      <c r="C274" s="12" t="s">
        <v>75</v>
      </c>
      <c r="D274" s="313">
        <f t="shared" ref="D274:S274" si="32">SUBTOTAL(9,D268:D273)</f>
        <v>0</v>
      </c>
      <c r="E274" s="311">
        <f t="shared" si="32"/>
        <v>0</v>
      </c>
      <c r="F274" s="311">
        <f t="shared" si="32"/>
        <v>0</v>
      </c>
      <c r="G274" s="311">
        <f t="shared" si="32"/>
        <v>0</v>
      </c>
      <c r="H274" s="311">
        <f t="shared" si="32"/>
        <v>0</v>
      </c>
      <c r="I274" s="311">
        <f t="shared" si="32"/>
        <v>0</v>
      </c>
      <c r="J274" s="311">
        <f t="shared" si="32"/>
        <v>0</v>
      </c>
      <c r="K274" s="311">
        <f t="shared" si="32"/>
        <v>0</v>
      </c>
      <c r="L274" s="311">
        <f t="shared" ca="1" si="32"/>
        <v>0</v>
      </c>
      <c r="M274" s="513">
        <f t="shared" ca="1" si="32"/>
        <v>0</v>
      </c>
      <c r="N274" s="313">
        <f t="shared" ca="1" si="32"/>
        <v>1.7842193076923079</v>
      </c>
      <c r="O274" s="311">
        <f t="shared" ca="1" si="32"/>
        <v>1.8381910182285051</v>
      </c>
      <c r="P274" s="311">
        <f t="shared" ca="1" si="32"/>
        <v>1.8921993563842259</v>
      </c>
      <c r="Q274" s="311">
        <f t="shared" ca="1" si="32"/>
        <v>1.9501714905040031</v>
      </c>
      <c r="R274" s="311">
        <f t="shared" ca="1" si="32"/>
        <v>2.0116590525781297</v>
      </c>
      <c r="S274" s="311">
        <f t="shared" ca="1" si="32"/>
        <v>2.0735416626243217</v>
      </c>
    </row>
    <row r="275" spans="1:19">
      <c r="A275" s="5"/>
      <c r="B275" s="249"/>
      <c r="C275" s="14"/>
      <c r="D275" s="263"/>
      <c r="E275" s="263"/>
      <c r="F275" s="263"/>
      <c r="G275" s="263"/>
      <c r="H275" s="263"/>
      <c r="I275" s="263"/>
      <c r="J275" s="263"/>
      <c r="K275" s="263"/>
      <c r="L275" s="263"/>
      <c r="M275" s="836"/>
      <c r="N275" s="263"/>
      <c r="O275" s="263"/>
      <c r="P275" s="263"/>
      <c r="Q275" s="263"/>
      <c r="R275" s="263"/>
      <c r="S275" s="263"/>
    </row>
    <row r="276" spans="1:19">
      <c r="A276" s="5"/>
      <c r="B276" s="249" t="str">
        <f ca="1">+'I-4 History'!B273</f>
        <v>A-6</v>
      </c>
      <c r="C276" s="14" t="str">
        <f ca="1">+'I-4 History'!C273</f>
        <v>Regulation</v>
      </c>
      <c r="D276" s="11"/>
      <c r="E276" s="11"/>
      <c r="F276" s="11"/>
      <c r="G276" s="11"/>
      <c r="H276" s="11"/>
      <c r="I276" s="11"/>
      <c r="J276" s="11"/>
      <c r="K276" s="11"/>
      <c r="L276" s="11"/>
      <c r="M276" s="507"/>
      <c r="N276" s="11"/>
      <c r="O276" s="11"/>
      <c r="P276" s="11"/>
      <c r="Q276" s="11"/>
      <c r="R276" s="11"/>
      <c r="S276" s="11"/>
    </row>
    <row r="277" spans="1:19">
      <c r="A277" s="5"/>
      <c r="B277" s="249"/>
      <c r="C277" s="13" t="s">
        <v>68</v>
      </c>
      <c r="D277" s="312">
        <f>+'R1 Opex Detail'!D277</f>
        <v>0</v>
      </c>
      <c r="E277" s="310">
        <f>+'R1 Opex Detail'!E277</f>
        <v>0</v>
      </c>
      <c r="F277" s="310">
        <f>+'R1 Opex Detail'!F277</f>
        <v>0</v>
      </c>
      <c r="G277" s="310">
        <f>+'R1 Opex Detail'!G277</f>
        <v>0</v>
      </c>
      <c r="H277" s="310">
        <f>+'R1 Opex Detail'!H277</f>
        <v>0</v>
      </c>
      <c r="I277" s="310">
        <f>+'R1 Opex Detail'!I277</f>
        <v>0</v>
      </c>
      <c r="J277" s="310">
        <f>+'R1 Opex Detail'!J277</f>
        <v>0</v>
      </c>
      <c r="K277" s="310">
        <f>+'R1 Opex Detail'!K277</f>
        <v>0</v>
      </c>
      <c r="L277" s="310">
        <f ca="1">+'R1 Opex Detail'!L277</f>
        <v>0</v>
      </c>
      <c r="M277" s="835">
        <f ca="1">+'R1 Opex Detail'!M277*M$2</f>
        <v>0</v>
      </c>
      <c r="N277" s="312">
        <f ca="1">+'R1 Opex Detail'!N277*N$1</f>
        <v>5.037370038461539</v>
      </c>
      <c r="O277" s="310">
        <f ca="1">+'R1 Opex Detail'!O277*O$1</f>
        <v>5.200054887521528</v>
      </c>
      <c r="P277" s="310">
        <f ca="1">+'R1 Opex Detail'!P277*P$1</f>
        <v>5.3633081680664043</v>
      </c>
      <c r="Q277" s="310">
        <f ca="1">+'R1 Opex Detail'!Q277*Q$1</f>
        <v>6.7081488105002345</v>
      </c>
      <c r="R277" s="310">
        <f ca="1">+'R1 Opex Detail'!R277*R$1</f>
        <v>6.8914203613329938</v>
      </c>
      <c r="S277" s="310">
        <f ca="1">+'R1 Opex Detail'!S277*S$1</f>
        <v>7.07517412313232</v>
      </c>
    </row>
    <row r="278" spans="1:19">
      <c r="A278" s="5"/>
      <c r="B278" s="249"/>
      <c r="C278" s="13" t="s">
        <v>69</v>
      </c>
      <c r="D278" s="312">
        <f>+'R1 Opex Detail'!D278</f>
        <v>0</v>
      </c>
      <c r="E278" s="310">
        <f>+'R1 Opex Detail'!E278</f>
        <v>0</v>
      </c>
      <c r="F278" s="310">
        <f>+'R1 Opex Detail'!F278</f>
        <v>0</v>
      </c>
      <c r="G278" s="310">
        <f>+'R1 Opex Detail'!G278</f>
        <v>0</v>
      </c>
      <c r="H278" s="310">
        <f>+'R1 Opex Detail'!H278</f>
        <v>0</v>
      </c>
      <c r="I278" s="310">
        <f>+'R1 Opex Detail'!I278</f>
        <v>0</v>
      </c>
      <c r="J278" s="310">
        <f>+'R1 Opex Detail'!J278</f>
        <v>0</v>
      </c>
      <c r="K278" s="310">
        <f>+'R1 Opex Detail'!K278</f>
        <v>0</v>
      </c>
      <c r="L278" s="310">
        <f ca="1">+'R1 Opex Detail'!L278</f>
        <v>0</v>
      </c>
      <c r="M278" s="835">
        <f ca="1">+'R1 Opex Detail'!M278*M$2</f>
        <v>0</v>
      </c>
      <c r="N278" s="312">
        <f ca="1">+'R1 Opex Detail'!N278*N$1</f>
        <v>0.1684981153846154</v>
      </c>
      <c r="O278" s="310">
        <f ca="1">+'R1 Opex Detail'!O278*O$1</f>
        <v>0.17028587335931292</v>
      </c>
      <c r="P278" s="310">
        <f ca="1">+'R1 Opex Detail'!P278*P$1</f>
        <v>0.17194238453953009</v>
      </c>
      <c r="Q278" s="310">
        <f ca="1">+'R1 Opex Detail'!Q278*Q$1</f>
        <v>0.17357982744689468</v>
      </c>
      <c r="R278" s="310">
        <f ca="1">+'R1 Opex Detail'!R278*R$1</f>
        <v>0.17535632148931565</v>
      </c>
      <c r="S278" s="310">
        <f ca="1">+'R1 Opex Detail'!S278*S$1</f>
        <v>0.17698360332751154</v>
      </c>
    </row>
    <row r="279" spans="1:19" s="759" customFormat="1">
      <c r="A279" s="5"/>
      <c r="B279" s="249"/>
      <c r="C279" s="13" t="s">
        <v>646</v>
      </c>
      <c r="D279" s="312">
        <f>+'R1 Opex Detail'!D279</f>
        <v>0</v>
      </c>
      <c r="E279" s="310">
        <f>+'R1 Opex Detail'!E279</f>
        <v>0</v>
      </c>
      <c r="F279" s="310">
        <f>+'R1 Opex Detail'!F279</f>
        <v>0</v>
      </c>
      <c r="G279" s="310">
        <f>+'R1 Opex Detail'!G279</f>
        <v>0</v>
      </c>
      <c r="H279" s="310">
        <f>+'R1 Opex Detail'!H279</f>
        <v>0</v>
      </c>
      <c r="I279" s="310">
        <f>+'R1 Opex Detail'!I279</f>
        <v>0</v>
      </c>
      <c r="J279" s="310">
        <f>+'R1 Opex Detail'!J279</f>
        <v>0</v>
      </c>
      <c r="K279" s="310">
        <f>+'R1 Opex Detail'!K279</f>
        <v>0</v>
      </c>
      <c r="L279" s="310">
        <f ca="1">+'R1 Opex Detail'!L279</f>
        <v>0</v>
      </c>
      <c r="M279" s="835">
        <f ca="1">+'R1 Opex Detail'!M279*M$2</f>
        <v>0</v>
      </c>
      <c r="N279" s="312">
        <f ca="1">+'R1 Opex Detail'!N279*N$1</f>
        <v>0.1581608076923077</v>
      </c>
      <c r="O279" s="310">
        <f ca="1">+'R1 Opex Detail'!O279*O$1</f>
        <v>0.16063808169996777</v>
      </c>
      <c r="P279" s="310">
        <f ca="1">+'R1 Opex Detail'!P279*P$1</f>
        <v>0.16301174455530335</v>
      </c>
      <c r="Q279" s="310">
        <f ca="1">+'R1 Opex Detail'!Q279*Q$1</f>
        <v>0.16604521638228514</v>
      </c>
      <c r="R279" s="310">
        <f ca="1">+'R1 Opex Detail'!R279*R$1</f>
        <v>0.16950591610264415</v>
      </c>
      <c r="S279" s="310">
        <f ca="1">+'R1 Opex Detail'!S279*S$1</f>
        <v>0.17321739334468333</v>
      </c>
    </row>
    <row r="280" spans="1:19">
      <c r="A280" s="5"/>
      <c r="B280" s="249"/>
      <c r="C280" s="13" t="s">
        <v>647</v>
      </c>
      <c r="D280" s="312">
        <f>+'R1 Opex Detail'!D280</f>
        <v>0</v>
      </c>
      <c r="E280" s="310">
        <f>+'R1 Opex Detail'!E280</f>
        <v>0</v>
      </c>
      <c r="F280" s="310">
        <f>+'R1 Opex Detail'!F280</f>
        <v>0</v>
      </c>
      <c r="G280" s="310">
        <f>+'R1 Opex Detail'!G280</f>
        <v>0</v>
      </c>
      <c r="H280" s="310">
        <f>+'R1 Opex Detail'!H280</f>
        <v>0</v>
      </c>
      <c r="I280" s="310">
        <f>+'R1 Opex Detail'!I280</f>
        <v>0</v>
      </c>
      <c r="J280" s="310">
        <f>+'R1 Opex Detail'!J280</f>
        <v>0</v>
      </c>
      <c r="K280" s="310">
        <f>+'R1 Opex Detail'!K280</f>
        <v>0</v>
      </c>
      <c r="L280" s="310">
        <f ca="1">+'R1 Opex Detail'!L280</f>
        <v>0</v>
      </c>
      <c r="M280" s="835">
        <f ca="1">+'R1 Opex Detail'!M280*M$2</f>
        <v>0</v>
      </c>
      <c r="N280" s="312">
        <f ca="1">+'R1 Opex Detail'!N280*N$1</f>
        <v>0.87556996153846156</v>
      </c>
      <c r="O280" s="310">
        <f ca="1">+'R1 Opex Detail'!O280*O$1</f>
        <v>0.88928402091420067</v>
      </c>
      <c r="P280" s="310">
        <f ca="1">+'R1 Opex Detail'!P280*P$1</f>
        <v>0.90242449436824768</v>
      </c>
      <c r="Q280" s="310">
        <f ca="1">+'R1 Opex Detail'!Q280*Q$1</f>
        <v>0.91921763578951321</v>
      </c>
      <c r="R280" s="310">
        <f ca="1">+'R1 Opex Detail'!R280*R$1</f>
        <v>0.93837588848980125</v>
      </c>
      <c r="S280" s="310">
        <f ca="1">+'R1 Opex Detail'!S280*S$1</f>
        <v>0.9589224324375607</v>
      </c>
    </row>
    <row r="281" spans="1:19" s="759" customFormat="1">
      <c r="A281" s="5"/>
      <c r="B281" s="249"/>
      <c r="C281" s="13" t="s">
        <v>575</v>
      </c>
      <c r="D281" s="312">
        <f>+'R1 Opex Detail'!D281</f>
        <v>0</v>
      </c>
      <c r="E281" s="310">
        <f>+'R1 Opex Detail'!E281</f>
        <v>0</v>
      </c>
      <c r="F281" s="310">
        <f>+'R1 Opex Detail'!F281</f>
        <v>0</v>
      </c>
      <c r="G281" s="310">
        <f>+'R1 Opex Detail'!G281</f>
        <v>0</v>
      </c>
      <c r="H281" s="310">
        <f>+'R1 Opex Detail'!H281</f>
        <v>0</v>
      </c>
      <c r="I281" s="310">
        <f>+'R1 Opex Detail'!I281</f>
        <v>0</v>
      </c>
      <c r="J281" s="310">
        <f>+'R1 Opex Detail'!J281</f>
        <v>0</v>
      </c>
      <c r="K281" s="310">
        <f>+'R1 Opex Detail'!K281</f>
        <v>0</v>
      </c>
      <c r="L281" s="310">
        <f ca="1">+'R1 Opex Detail'!L281</f>
        <v>0</v>
      </c>
      <c r="M281" s="835">
        <f ca="1">+'R1 Opex Detail'!M281*M$2</f>
        <v>0</v>
      </c>
      <c r="N281" s="312">
        <f ca="1">+'R1 Opex Detail'!N281*N$1</f>
        <v>0</v>
      </c>
      <c r="O281" s="310">
        <f ca="1">+'R1 Opex Detail'!O281*O$1</f>
        <v>0</v>
      </c>
      <c r="P281" s="310">
        <f ca="1">+'R1 Opex Detail'!P281*P$1</f>
        <v>0</v>
      </c>
      <c r="Q281" s="310">
        <f ca="1">+'R1 Opex Detail'!Q281*Q$1</f>
        <v>0</v>
      </c>
      <c r="R281" s="310">
        <f ca="1">+'R1 Opex Detail'!R281*R$1</f>
        <v>0</v>
      </c>
      <c r="S281" s="310">
        <f ca="1">+'R1 Opex Detail'!S281*S$1</f>
        <v>0</v>
      </c>
    </row>
    <row r="282" spans="1:19">
      <c r="A282" s="5"/>
      <c r="B282" s="249"/>
      <c r="C282" s="13" t="s">
        <v>70</v>
      </c>
      <c r="D282" s="312">
        <f>+'R1 Opex Detail'!D282</f>
        <v>0</v>
      </c>
      <c r="E282" s="310">
        <f>+'R1 Opex Detail'!E282</f>
        <v>0</v>
      </c>
      <c r="F282" s="310">
        <f>+'R1 Opex Detail'!F282</f>
        <v>0</v>
      </c>
      <c r="G282" s="310">
        <f>+'R1 Opex Detail'!G282</f>
        <v>0</v>
      </c>
      <c r="H282" s="310">
        <f>+'R1 Opex Detail'!H282</f>
        <v>0</v>
      </c>
      <c r="I282" s="310">
        <f>+'R1 Opex Detail'!I282</f>
        <v>0</v>
      </c>
      <c r="J282" s="310">
        <f>+'R1 Opex Detail'!J282</f>
        <v>0</v>
      </c>
      <c r="K282" s="310">
        <f>+'R1 Opex Detail'!K282</f>
        <v>0</v>
      </c>
      <c r="L282" s="310">
        <f ca="1">+'R1 Opex Detail'!L282</f>
        <v>0</v>
      </c>
      <c r="M282" s="835">
        <f ca="1">+'R1 Opex Detail'!M282*M$2</f>
        <v>0</v>
      </c>
      <c r="N282" s="312">
        <f ca="1">+'R1 Opex Detail'!N282*N$1</f>
        <v>0</v>
      </c>
      <c r="O282" s="310">
        <f ca="1">+'R1 Opex Detail'!O282*O$1</f>
        <v>0</v>
      </c>
      <c r="P282" s="310">
        <f ca="1">+'R1 Opex Detail'!P282*P$1</f>
        <v>0</v>
      </c>
      <c r="Q282" s="310">
        <f ca="1">+'R1 Opex Detail'!Q282*Q$1</f>
        <v>0</v>
      </c>
      <c r="R282" s="310">
        <f ca="1">+'R1 Opex Detail'!R282*R$1</f>
        <v>0</v>
      </c>
      <c r="S282" s="310">
        <f ca="1">+'R1 Opex Detail'!S282*S$1</f>
        <v>0</v>
      </c>
    </row>
    <row r="283" spans="1:19">
      <c r="A283" s="5"/>
      <c r="B283" s="249"/>
      <c r="C283" s="12" t="s">
        <v>75</v>
      </c>
      <c r="D283" s="313">
        <f t="shared" ref="D283:K283" si="33">SUBTOTAL(9,D277:D282)</f>
        <v>0</v>
      </c>
      <c r="E283" s="311">
        <f t="shared" si="33"/>
        <v>0</v>
      </c>
      <c r="F283" s="311">
        <f t="shared" si="33"/>
        <v>0</v>
      </c>
      <c r="G283" s="311">
        <f t="shared" si="33"/>
        <v>0</v>
      </c>
      <c r="H283" s="311">
        <f t="shared" si="33"/>
        <v>0</v>
      </c>
      <c r="I283" s="311">
        <f t="shared" si="33"/>
        <v>0</v>
      </c>
      <c r="J283" s="311">
        <f t="shared" si="33"/>
        <v>0</v>
      </c>
      <c r="K283" s="311">
        <f t="shared" si="33"/>
        <v>0</v>
      </c>
      <c r="L283" s="311">
        <f t="shared" ref="L283:S283" ca="1" si="34">SUBTOTAL(9,L277:L282)</f>
        <v>0</v>
      </c>
      <c r="M283" s="513">
        <f t="shared" ca="1" si="34"/>
        <v>0</v>
      </c>
      <c r="N283" s="313">
        <f t="shared" ca="1" si="34"/>
        <v>6.2395989230769233</v>
      </c>
      <c r="O283" s="311">
        <f t="shared" ca="1" si="34"/>
        <v>6.4202628634950099</v>
      </c>
      <c r="P283" s="311">
        <f t="shared" ca="1" si="34"/>
        <v>6.600686791529486</v>
      </c>
      <c r="Q283" s="311">
        <f t="shared" ca="1" si="34"/>
        <v>7.9669914901189269</v>
      </c>
      <c r="R283" s="311">
        <f t="shared" ca="1" si="34"/>
        <v>8.1746584874147548</v>
      </c>
      <c r="S283" s="311">
        <f t="shared" ca="1" si="34"/>
        <v>8.3842975522420744</v>
      </c>
    </row>
    <row r="284" spans="1:19" ht="17.25" customHeight="1" thickBot="1">
      <c r="A284" s="5"/>
      <c r="B284" s="250"/>
      <c r="C284" s="269" t="str">
        <f>CONCATENATE("Total ", +C266)</f>
        <v>Total Regulation and Company Secretary</v>
      </c>
      <c r="D284" s="314">
        <f t="shared" ref="D284:S284" si="35">SUBTOTAL(9,D268:D282)</f>
        <v>0</v>
      </c>
      <c r="E284" s="315">
        <f t="shared" si="35"/>
        <v>0</v>
      </c>
      <c r="F284" s="315">
        <f t="shared" si="35"/>
        <v>0</v>
      </c>
      <c r="G284" s="315">
        <f t="shared" si="35"/>
        <v>0</v>
      </c>
      <c r="H284" s="315">
        <f t="shared" si="35"/>
        <v>0</v>
      </c>
      <c r="I284" s="315">
        <f t="shared" si="35"/>
        <v>0</v>
      </c>
      <c r="J284" s="315">
        <f t="shared" si="35"/>
        <v>0</v>
      </c>
      <c r="K284" s="315">
        <f t="shared" si="35"/>
        <v>0</v>
      </c>
      <c r="L284" s="315">
        <f t="shared" ca="1" si="35"/>
        <v>0</v>
      </c>
      <c r="M284" s="500">
        <f t="shared" ca="1" si="35"/>
        <v>0</v>
      </c>
      <c r="N284" s="314">
        <f t="shared" ca="1" si="35"/>
        <v>8.0238182307692298</v>
      </c>
      <c r="O284" s="315">
        <f t="shared" ca="1" si="35"/>
        <v>8.2584538817235149</v>
      </c>
      <c r="P284" s="315">
        <f t="shared" ca="1" si="35"/>
        <v>8.4928861479137119</v>
      </c>
      <c r="Q284" s="315">
        <f t="shared" ca="1" si="35"/>
        <v>9.9171629806229316</v>
      </c>
      <c r="R284" s="315">
        <f t="shared" ca="1" si="35"/>
        <v>10.186317539992885</v>
      </c>
      <c r="S284" s="315">
        <f t="shared" ca="1" si="35"/>
        <v>10.457839214866398</v>
      </c>
    </row>
    <row r="285" spans="1:19" ht="18">
      <c r="B285" s="251"/>
      <c r="C285" s="255" t="str">
        <f>+'I-3 Allocated'!A11</f>
        <v>Finance</v>
      </c>
      <c r="D285" s="266"/>
      <c r="E285" s="266"/>
      <c r="F285" s="266"/>
      <c r="G285" s="266"/>
      <c r="H285" s="266"/>
      <c r="I285" s="266"/>
      <c r="J285" s="266"/>
      <c r="K285" s="266"/>
      <c r="L285" s="266"/>
      <c r="M285" s="842"/>
      <c r="N285" s="266"/>
      <c r="O285" s="266"/>
      <c r="P285" s="266"/>
      <c r="Q285" s="266"/>
      <c r="R285" s="266"/>
      <c r="S285" s="266"/>
    </row>
    <row r="286" spans="1:19">
      <c r="A286" s="5"/>
      <c r="B286" s="249" t="str">
        <f ca="1">+'I-4 History'!B282</f>
        <v>A-7</v>
      </c>
      <c r="C286" s="14" t="str">
        <f ca="1">+'I-4 History'!C282</f>
        <v>CFO</v>
      </c>
      <c r="D286" s="11"/>
      <c r="E286" s="11"/>
      <c r="F286" s="11"/>
      <c r="G286" s="11"/>
      <c r="H286" s="11"/>
      <c r="I286" s="11"/>
      <c r="J286" s="11"/>
      <c r="K286" s="11"/>
      <c r="L286" s="11"/>
      <c r="M286" s="507"/>
      <c r="N286" s="11"/>
      <c r="O286" s="11"/>
      <c r="P286" s="11"/>
      <c r="Q286" s="11"/>
      <c r="R286" s="11"/>
      <c r="S286" s="11"/>
    </row>
    <row r="287" spans="1:19">
      <c r="A287" s="5"/>
      <c r="B287" s="249"/>
      <c r="C287" s="13" t="s">
        <v>68</v>
      </c>
      <c r="D287" s="312">
        <f>+'R1 Opex Detail'!D287</f>
        <v>0</v>
      </c>
      <c r="E287" s="310">
        <f>+'R1 Opex Detail'!E287</f>
        <v>0</v>
      </c>
      <c r="F287" s="310">
        <f>+'R1 Opex Detail'!F287</f>
        <v>0</v>
      </c>
      <c r="G287" s="310">
        <f>+'R1 Opex Detail'!G287</f>
        <v>0</v>
      </c>
      <c r="H287" s="310">
        <f>+'R1 Opex Detail'!H287</f>
        <v>0</v>
      </c>
      <c r="I287" s="310">
        <f>+'R1 Opex Detail'!I287</f>
        <v>0</v>
      </c>
      <c r="J287" s="310">
        <f>+'R1 Opex Detail'!J287</f>
        <v>0</v>
      </c>
      <c r="K287" s="310">
        <f>+'R1 Opex Detail'!K287</f>
        <v>0</v>
      </c>
      <c r="L287" s="310">
        <f ca="1">+'R1 Opex Detail'!L287</f>
        <v>0</v>
      </c>
      <c r="M287" s="835">
        <f ca="1">+'R1 Opex Detail'!M287*M$2</f>
        <v>0</v>
      </c>
      <c r="N287" s="312">
        <f ca="1">+'R1 Opex Detail'!N287*N$1</f>
        <v>0.59026026923076935</v>
      </c>
      <c r="O287" s="310">
        <f ca="1">+'R1 Opex Detail'!O287*O$1</f>
        <v>0.60932307424067178</v>
      </c>
      <c r="P287" s="310">
        <f ca="1">+'R1 Opex Detail'!P287*P$1</f>
        <v>0.62845248593595671</v>
      </c>
      <c r="Q287" s="310">
        <f ca="1">+'R1 Opex Detail'!Q287*Q$1</f>
        <v>0.64879706253994929</v>
      </c>
      <c r="R287" s="310">
        <f ca="1">+'R1 Opex Detail'!R287*R$1</f>
        <v>0.6702721406284996</v>
      </c>
      <c r="S287" s="310">
        <f ca="1">+'R1 Opex Detail'!S287*S$1</f>
        <v>0.69180372240305632</v>
      </c>
    </row>
    <row r="288" spans="1:19">
      <c r="A288" s="5"/>
      <c r="B288" s="249"/>
      <c r="C288" s="13" t="s">
        <v>69</v>
      </c>
      <c r="D288" s="312">
        <f>+'R1 Opex Detail'!D288</f>
        <v>0</v>
      </c>
      <c r="E288" s="310">
        <f>+'R1 Opex Detail'!E288</f>
        <v>0</v>
      </c>
      <c r="F288" s="310">
        <f>+'R1 Opex Detail'!F288</f>
        <v>0</v>
      </c>
      <c r="G288" s="310">
        <f>+'R1 Opex Detail'!G288</f>
        <v>0</v>
      </c>
      <c r="H288" s="310">
        <f>+'R1 Opex Detail'!H288</f>
        <v>0</v>
      </c>
      <c r="I288" s="310">
        <f>+'R1 Opex Detail'!I288</f>
        <v>0</v>
      </c>
      <c r="J288" s="310">
        <f>+'R1 Opex Detail'!J288</f>
        <v>0</v>
      </c>
      <c r="K288" s="310">
        <f>+'R1 Opex Detail'!K288</f>
        <v>0</v>
      </c>
      <c r="L288" s="310">
        <f ca="1">+'R1 Opex Detail'!L288</f>
        <v>0</v>
      </c>
      <c r="M288" s="835">
        <f ca="1">+'R1 Opex Detail'!M288*M$2</f>
        <v>0</v>
      </c>
      <c r="N288" s="312">
        <f ca="1">+'R1 Opex Detail'!N288*N$1</f>
        <v>8.2698461538461554E-3</v>
      </c>
      <c r="O288" s="310">
        <f ca="1">+'R1 Opex Detail'!O288*O$1</f>
        <v>8.3575888765306961E-3</v>
      </c>
      <c r="P288" s="310">
        <f ca="1">+'R1 Opex Detail'!P288*P$1</f>
        <v>8.4388900387499435E-3</v>
      </c>
      <c r="Q288" s="310">
        <f ca="1">+'R1 Opex Detail'!Q288*Q$1</f>
        <v>8.5192553348169171E-3</v>
      </c>
      <c r="R288" s="310">
        <f ca="1">+'R1 Opex Detail'!R288*R$1</f>
        <v>8.6064452264694793E-3</v>
      </c>
      <c r="S288" s="310">
        <f ca="1">+'R1 Opex Detail'!S288*S$1</f>
        <v>8.6863118197551669E-3</v>
      </c>
    </row>
    <row r="289" spans="1:19" s="759" customFormat="1">
      <c r="A289" s="5"/>
      <c r="B289" s="249"/>
      <c r="C289" s="13" t="s">
        <v>646</v>
      </c>
      <c r="D289" s="312">
        <f>+'R1 Opex Detail'!D289</f>
        <v>0</v>
      </c>
      <c r="E289" s="310">
        <f>+'R1 Opex Detail'!E289</f>
        <v>0</v>
      </c>
      <c r="F289" s="310">
        <f>+'R1 Opex Detail'!F289</f>
        <v>0</v>
      </c>
      <c r="G289" s="310">
        <f>+'R1 Opex Detail'!G289</f>
        <v>0</v>
      </c>
      <c r="H289" s="310">
        <f>+'R1 Opex Detail'!H289</f>
        <v>0</v>
      </c>
      <c r="I289" s="310">
        <f>+'R1 Opex Detail'!I289</f>
        <v>0</v>
      </c>
      <c r="J289" s="310">
        <f>+'R1 Opex Detail'!J289</f>
        <v>0</v>
      </c>
      <c r="K289" s="310">
        <f>+'R1 Opex Detail'!K289</f>
        <v>0</v>
      </c>
      <c r="L289" s="310">
        <f ca="1">+'R1 Opex Detail'!L289</f>
        <v>0</v>
      </c>
      <c r="M289" s="835">
        <f ca="1">+'R1 Opex Detail'!M289*M$2</f>
        <v>0</v>
      </c>
      <c r="N289" s="312">
        <f ca="1">+'R1 Opex Detail'!N289*N$1</f>
        <v>0</v>
      </c>
      <c r="O289" s="310">
        <f ca="1">+'R1 Opex Detail'!O289*O$1</f>
        <v>0</v>
      </c>
      <c r="P289" s="310">
        <f ca="1">+'R1 Opex Detail'!P289*P$1</f>
        <v>0</v>
      </c>
      <c r="Q289" s="310">
        <f ca="1">+'R1 Opex Detail'!Q289*Q$1</f>
        <v>0</v>
      </c>
      <c r="R289" s="310">
        <f ca="1">+'R1 Opex Detail'!R289*R$1</f>
        <v>0</v>
      </c>
      <c r="S289" s="310">
        <f ca="1">+'R1 Opex Detail'!S289*S$1</f>
        <v>0</v>
      </c>
    </row>
    <row r="290" spans="1:19">
      <c r="A290" s="5"/>
      <c r="B290" s="249"/>
      <c r="C290" s="13" t="s">
        <v>647</v>
      </c>
      <c r="D290" s="312">
        <f>+'R1 Opex Detail'!D290</f>
        <v>0</v>
      </c>
      <c r="E290" s="310">
        <f>+'R1 Opex Detail'!E290</f>
        <v>0</v>
      </c>
      <c r="F290" s="310">
        <f>+'R1 Opex Detail'!F290</f>
        <v>0</v>
      </c>
      <c r="G290" s="310">
        <f>+'R1 Opex Detail'!G290</f>
        <v>0</v>
      </c>
      <c r="H290" s="310">
        <f>+'R1 Opex Detail'!H290</f>
        <v>0</v>
      </c>
      <c r="I290" s="310">
        <f>+'R1 Opex Detail'!I290</f>
        <v>0</v>
      </c>
      <c r="J290" s="310">
        <f>+'R1 Opex Detail'!J290</f>
        <v>0</v>
      </c>
      <c r="K290" s="310">
        <f>+'R1 Opex Detail'!K290</f>
        <v>0</v>
      </c>
      <c r="L290" s="310">
        <f ca="1">+'R1 Opex Detail'!L290</f>
        <v>0</v>
      </c>
      <c r="M290" s="835">
        <f ca="1">+'R1 Opex Detail'!M290*M$2</f>
        <v>0</v>
      </c>
      <c r="N290" s="312">
        <f ca="1">+'R1 Opex Detail'!N290*N$1</f>
        <v>8.5799653846153859E-2</v>
      </c>
      <c r="O290" s="310">
        <f ca="1">+'R1 Opex Detail'!O290*O$1</f>
        <v>8.7143534516975985E-2</v>
      </c>
      <c r="P290" s="310">
        <f ca="1">+'R1 Opex Detail'!P290*P$1</f>
        <v>8.8431207830654751E-2</v>
      </c>
      <c r="Q290" s="310">
        <f ca="1">+'R1 Opex Detail'!Q290*Q$1</f>
        <v>9.0076816730259288E-2</v>
      </c>
      <c r="R290" s="310">
        <f ca="1">+'R1 Opex Detail'!R290*R$1</f>
        <v>9.1954189781172979E-2</v>
      </c>
      <c r="S290" s="310">
        <f ca="1">+'R1 Opex Detail'!S290*S$1</f>
        <v>9.3967605539926266E-2</v>
      </c>
    </row>
    <row r="291" spans="1:19" s="759" customFormat="1">
      <c r="A291" s="5"/>
      <c r="B291" s="249"/>
      <c r="C291" s="13" t="s">
        <v>575</v>
      </c>
      <c r="D291" s="312">
        <f>+'R1 Opex Detail'!D291</f>
        <v>0</v>
      </c>
      <c r="E291" s="310">
        <f>+'R1 Opex Detail'!E291</f>
        <v>0</v>
      </c>
      <c r="F291" s="310">
        <f>+'R1 Opex Detail'!F291</f>
        <v>0</v>
      </c>
      <c r="G291" s="310">
        <f>+'R1 Opex Detail'!G291</f>
        <v>0</v>
      </c>
      <c r="H291" s="310">
        <f>+'R1 Opex Detail'!H291</f>
        <v>0</v>
      </c>
      <c r="I291" s="310">
        <f>+'R1 Opex Detail'!I291</f>
        <v>0</v>
      </c>
      <c r="J291" s="310">
        <f>+'R1 Opex Detail'!J291</f>
        <v>0</v>
      </c>
      <c r="K291" s="310">
        <f>+'R1 Opex Detail'!K291</f>
        <v>0</v>
      </c>
      <c r="L291" s="310">
        <f ca="1">+'R1 Opex Detail'!L291</f>
        <v>0</v>
      </c>
      <c r="M291" s="835">
        <f ca="1">+'R1 Opex Detail'!M291*M$2</f>
        <v>0</v>
      </c>
      <c r="N291" s="312">
        <f ca="1">+'R1 Opex Detail'!N291*N$1</f>
        <v>0</v>
      </c>
      <c r="O291" s="310">
        <f ca="1">+'R1 Opex Detail'!O291*O$1</f>
        <v>0</v>
      </c>
      <c r="P291" s="310">
        <f ca="1">+'R1 Opex Detail'!P291*P$1</f>
        <v>0</v>
      </c>
      <c r="Q291" s="310">
        <f ca="1">+'R1 Opex Detail'!Q291*Q$1</f>
        <v>0</v>
      </c>
      <c r="R291" s="310">
        <f ca="1">+'R1 Opex Detail'!R291*R$1</f>
        <v>0</v>
      </c>
      <c r="S291" s="310">
        <f ca="1">+'R1 Opex Detail'!S291*S$1</f>
        <v>0</v>
      </c>
    </row>
    <row r="292" spans="1:19">
      <c r="A292" s="5"/>
      <c r="B292" s="249"/>
      <c r="C292" s="13" t="s">
        <v>70</v>
      </c>
      <c r="D292" s="312">
        <f>+'R1 Opex Detail'!D292</f>
        <v>0</v>
      </c>
      <c r="E292" s="310">
        <f>+'R1 Opex Detail'!E292</f>
        <v>0</v>
      </c>
      <c r="F292" s="310">
        <f>+'R1 Opex Detail'!F292</f>
        <v>0</v>
      </c>
      <c r="G292" s="310">
        <f>+'R1 Opex Detail'!G292</f>
        <v>0</v>
      </c>
      <c r="H292" s="310">
        <f>+'R1 Opex Detail'!H292</f>
        <v>0</v>
      </c>
      <c r="I292" s="310">
        <f>+'R1 Opex Detail'!I292</f>
        <v>0</v>
      </c>
      <c r="J292" s="310">
        <f>+'R1 Opex Detail'!J292</f>
        <v>0</v>
      </c>
      <c r="K292" s="310">
        <f>+'R1 Opex Detail'!K292</f>
        <v>0</v>
      </c>
      <c r="L292" s="310">
        <f ca="1">+'R1 Opex Detail'!L292</f>
        <v>0</v>
      </c>
      <c r="M292" s="835">
        <f ca="1">+'R1 Opex Detail'!M292*M$2</f>
        <v>0</v>
      </c>
      <c r="N292" s="312">
        <f ca="1">+'R1 Opex Detail'!N292*N$1</f>
        <v>0</v>
      </c>
      <c r="O292" s="310">
        <f ca="1">+'R1 Opex Detail'!O292*O$1</f>
        <v>0</v>
      </c>
      <c r="P292" s="310">
        <f ca="1">+'R1 Opex Detail'!P292*P$1</f>
        <v>0</v>
      </c>
      <c r="Q292" s="310">
        <f ca="1">+'R1 Opex Detail'!Q292*Q$1</f>
        <v>0</v>
      </c>
      <c r="R292" s="310">
        <f ca="1">+'R1 Opex Detail'!R292*R$1</f>
        <v>0</v>
      </c>
      <c r="S292" s="310">
        <f ca="1">+'R1 Opex Detail'!S292*S$1</f>
        <v>0</v>
      </c>
    </row>
    <row r="293" spans="1:19">
      <c r="A293" s="5"/>
      <c r="B293" s="249"/>
      <c r="C293" s="12" t="s">
        <v>75</v>
      </c>
      <c r="D293" s="313">
        <f t="shared" ref="D293:S293" si="36">SUBTOTAL(9,D287:D292)</f>
        <v>0</v>
      </c>
      <c r="E293" s="311">
        <f t="shared" si="36"/>
        <v>0</v>
      </c>
      <c r="F293" s="311">
        <f t="shared" si="36"/>
        <v>0</v>
      </c>
      <c r="G293" s="311">
        <f t="shared" si="36"/>
        <v>0</v>
      </c>
      <c r="H293" s="311">
        <f t="shared" si="36"/>
        <v>0</v>
      </c>
      <c r="I293" s="311">
        <f t="shared" si="36"/>
        <v>0</v>
      </c>
      <c r="J293" s="311">
        <f t="shared" si="36"/>
        <v>0</v>
      </c>
      <c r="K293" s="311">
        <f t="shared" si="36"/>
        <v>0</v>
      </c>
      <c r="L293" s="311">
        <f t="shared" ca="1" si="36"/>
        <v>0</v>
      </c>
      <c r="M293" s="513">
        <f t="shared" ca="1" si="36"/>
        <v>0</v>
      </c>
      <c r="N293" s="313">
        <f t="shared" ca="1" si="36"/>
        <v>0.68432976923076938</v>
      </c>
      <c r="O293" s="311">
        <f t="shared" ca="1" si="36"/>
        <v>0.70482419763417847</v>
      </c>
      <c r="P293" s="311">
        <f t="shared" ca="1" si="36"/>
        <v>0.72532258380536141</v>
      </c>
      <c r="Q293" s="311">
        <f t="shared" ca="1" si="36"/>
        <v>0.74739313460502543</v>
      </c>
      <c r="R293" s="311">
        <f t="shared" ca="1" si="36"/>
        <v>0.77083277563614205</v>
      </c>
      <c r="S293" s="311">
        <f t="shared" ca="1" si="36"/>
        <v>0.79445763976273776</v>
      </c>
    </row>
    <row r="294" spans="1:19">
      <c r="A294" s="5"/>
      <c r="B294" s="249"/>
      <c r="C294" s="12"/>
      <c r="D294" s="263"/>
      <c r="E294" s="263"/>
      <c r="F294" s="263"/>
      <c r="G294" s="263"/>
      <c r="H294" s="263"/>
      <c r="I294" s="263"/>
      <c r="J294" s="263"/>
      <c r="K294" s="263"/>
      <c r="L294" s="263"/>
      <c r="M294" s="836"/>
      <c r="N294" s="263"/>
      <c r="O294" s="263"/>
      <c r="P294" s="263"/>
      <c r="Q294" s="263"/>
      <c r="R294" s="263"/>
      <c r="S294" s="263"/>
    </row>
    <row r="295" spans="1:19">
      <c r="A295" s="5"/>
      <c r="B295" s="249" t="str">
        <f ca="1">+'I-4 History'!B291</f>
        <v>A-8</v>
      </c>
      <c r="C295" s="14" t="str">
        <f ca="1">+'I-4 History'!C291</f>
        <v>Accounts Receivable – Asset Damage</v>
      </c>
      <c r="D295" s="11"/>
      <c r="E295" s="11"/>
      <c r="F295" s="11"/>
      <c r="G295" s="11"/>
      <c r="H295" s="11"/>
      <c r="I295" s="11"/>
      <c r="J295" s="11"/>
      <c r="K295" s="11"/>
      <c r="L295" s="11"/>
      <c r="M295" s="507"/>
      <c r="N295" s="11"/>
      <c r="O295" s="11"/>
      <c r="P295" s="11"/>
      <c r="Q295" s="11"/>
      <c r="R295" s="11"/>
      <c r="S295" s="11"/>
    </row>
    <row r="296" spans="1:19">
      <c r="A296" s="5"/>
      <c r="B296" s="249"/>
      <c r="C296" s="13" t="s">
        <v>68</v>
      </c>
      <c r="D296" s="312">
        <f>+'R1 Opex Detail'!D296</f>
        <v>0</v>
      </c>
      <c r="E296" s="310">
        <f>+'R1 Opex Detail'!E296</f>
        <v>0</v>
      </c>
      <c r="F296" s="310">
        <f>+'R1 Opex Detail'!F296</f>
        <v>0</v>
      </c>
      <c r="G296" s="310">
        <f>+'R1 Opex Detail'!G296</f>
        <v>0</v>
      </c>
      <c r="H296" s="310">
        <f>+'R1 Opex Detail'!H296</f>
        <v>0</v>
      </c>
      <c r="I296" s="310">
        <f>+'R1 Opex Detail'!I296</f>
        <v>0</v>
      </c>
      <c r="J296" s="310">
        <f>+'R1 Opex Detail'!J296</f>
        <v>0</v>
      </c>
      <c r="K296" s="310">
        <f>+'R1 Opex Detail'!K296</f>
        <v>0</v>
      </c>
      <c r="L296" s="310">
        <f ca="1">+'R1 Opex Detail'!L296</f>
        <v>0</v>
      </c>
      <c r="M296" s="835">
        <f ca="1">+'R1 Opex Detail'!M296*M$2</f>
        <v>0</v>
      </c>
      <c r="N296" s="312">
        <f ca="1">+'R1 Opex Detail'!N296*N$1</f>
        <v>0</v>
      </c>
      <c r="O296" s="310">
        <f ca="1">+'R1 Opex Detail'!O296*O$1</f>
        <v>0</v>
      </c>
      <c r="P296" s="310">
        <f ca="1">+'R1 Opex Detail'!P296*P$1</f>
        <v>0</v>
      </c>
      <c r="Q296" s="310">
        <f ca="1">+'R1 Opex Detail'!Q296*Q$1</f>
        <v>0</v>
      </c>
      <c r="R296" s="310">
        <f ca="1">+'R1 Opex Detail'!R296*R$1</f>
        <v>0</v>
      </c>
      <c r="S296" s="310">
        <f ca="1">+'R1 Opex Detail'!S296*S$1</f>
        <v>0</v>
      </c>
    </row>
    <row r="297" spans="1:19">
      <c r="A297" s="5"/>
      <c r="B297" s="249"/>
      <c r="C297" s="13" t="s">
        <v>69</v>
      </c>
      <c r="D297" s="312">
        <f>+'R1 Opex Detail'!D297</f>
        <v>0</v>
      </c>
      <c r="E297" s="310">
        <f>+'R1 Opex Detail'!E297</f>
        <v>0</v>
      </c>
      <c r="F297" s="310">
        <f>+'R1 Opex Detail'!F297</f>
        <v>0</v>
      </c>
      <c r="G297" s="310">
        <f>+'R1 Opex Detail'!G297</f>
        <v>0</v>
      </c>
      <c r="H297" s="310">
        <f>+'R1 Opex Detail'!H297</f>
        <v>0</v>
      </c>
      <c r="I297" s="310">
        <f>+'R1 Opex Detail'!I297</f>
        <v>0</v>
      </c>
      <c r="J297" s="310">
        <f>+'R1 Opex Detail'!J297</f>
        <v>0</v>
      </c>
      <c r="K297" s="310">
        <f>+'R1 Opex Detail'!K297</f>
        <v>0</v>
      </c>
      <c r="L297" s="310">
        <f ca="1">+'R1 Opex Detail'!L297</f>
        <v>0</v>
      </c>
      <c r="M297" s="835">
        <f ca="1">+'R1 Opex Detail'!M297*M$2</f>
        <v>0</v>
      </c>
      <c r="N297" s="312">
        <f ca="1">+'R1 Opex Detail'!N297*N$1</f>
        <v>0</v>
      </c>
      <c r="O297" s="310">
        <f ca="1">+'R1 Opex Detail'!O297*O$1</f>
        <v>0</v>
      </c>
      <c r="P297" s="310">
        <f ca="1">+'R1 Opex Detail'!P297*P$1</f>
        <v>0</v>
      </c>
      <c r="Q297" s="310">
        <f ca="1">+'R1 Opex Detail'!Q297*Q$1</f>
        <v>0</v>
      </c>
      <c r="R297" s="310">
        <f ca="1">+'R1 Opex Detail'!R297*R$1</f>
        <v>0</v>
      </c>
      <c r="S297" s="310">
        <f ca="1">+'R1 Opex Detail'!S297*S$1</f>
        <v>0</v>
      </c>
    </row>
    <row r="298" spans="1:19" s="759" customFormat="1">
      <c r="A298" s="5"/>
      <c r="B298" s="249"/>
      <c r="C298" s="13" t="s">
        <v>646</v>
      </c>
      <c r="D298" s="312">
        <f>+'R1 Opex Detail'!D298</f>
        <v>0</v>
      </c>
      <c r="E298" s="310">
        <f>+'R1 Opex Detail'!E298</f>
        <v>0</v>
      </c>
      <c r="F298" s="310">
        <f>+'R1 Opex Detail'!F298</f>
        <v>0</v>
      </c>
      <c r="G298" s="310">
        <f>+'R1 Opex Detail'!G298</f>
        <v>0</v>
      </c>
      <c r="H298" s="310">
        <f>+'R1 Opex Detail'!H298</f>
        <v>0</v>
      </c>
      <c r="I298" s="310">
        <f>+'R1 Opex Detail'!I298</f>
        <v>0</v>
      </c>
      <c r="J298" s="310">
        <f>+'R1 Opex Detail'!J298</f>
        <v>0</v>
      </c>
      <c r="K298" s="310">
        <f>+'R1 Opex Detail'!K298</f>
        <v>0</v>
      </c>
      <c r="L298" s="310">
        <f ca="1">+'R1 Opex Detail'!L298</f>
        <v>0</v>
      </c>
      <c r="M298" s="835">
        <f ca="1">+'R1 Opex Detail'!M298*M$2</f>
        <v>0</v>
      </c>
      <c r="N298" s="312">
        <f ca="1">+'R1 Opex Detail'!N298*N$1</f>
        <v>0</v>
      </c>
      <c r="O298" s="310">
        <f ca="1">+'R1 Opex Detail'!O298*O$1</f>
        <v>0</v>
      </c>
      <c r="P298" s="310">
        <f ca="1">+'R1 Opex Detail'!P298*P$1</f>
        <v>0</v>
      </c>
      <c r="Q298" s="310">
        <f ca="1">+'R1 Opex Detail'!Q298*Q$1</f>
        <v>0</v>
      </c>
      <c r="R298" s="310">
        <f ca="1">+'R1 Opex Detail'!R298*R$1</f>
        <v>0</v>
      </c>
      <c r="S298" s="310">
        <f ca="1">+'R1 Opex Detail'!S298*S$1</f>
        <v>0</v>
      </c>
    </row>
    <row r="299" spans="1:19">
      <c r="A299" s="5"/>
      <c r="B299" s="249"/>
      <c r="C299" s="13" t="s">
        <v>647</v>
      </c>
      <c r="D299" s="312">
        <f>+'R1 Opex Detail'!D299</f>
        <v>0</v>
      </c>
      <c r="E299" s="310">
        <f>+'R1 Opex Detail'!E299</f>
        <v>0</v>
      </c>
      <c r="F299" s="310">
        <f>+'R1 Opex Detail'!F299</f>
        <v>0</v>
      </c>
      <c r="G299" s="310">
        <f>+'R1 Opex Detail'!G299</f>
        <v>0</v>
      </c>
      <c r="H299" s="310">
        <f>+'R1 Opex Detail'!H299</f>
        <v>0</v>
      </c>
      <c r="I299" s="310">
        <f>+'R1 Opex Detail'!I299</f>
        <v>0</v>
      </c>
      <c r="J299" s="310">
        <f>+'R1 Opex Detail'!J299</f>
        <v>0</v>
      </c>
      <c r="K299" s="310">
        <f>+'R1 Opex Detail'!K299</f>
        <v>0</v>
      </c>
      <c r="L299" s="310">
        <f ca="1">+'R1 Opex Detail'!L299</f>
        <v>0</v>
      </c>
      <c r="M299" s="835">
        <f ca="1">+'R1 Opex Detail'!M299*M$2</f>
        <v>0</v>
      </c>
      <c r="N299" s="312">
        <f ca="1">+'R1 Opex Detail'!N299*N$1</f>
        <v>0.358704576923077</v>
      </c>
      <c r="O299" s="310">
        <f ca="1">+'R1 Opex Detail'!O299*O$1</f>
        <v>0.36432296960711646</v>
      </c>
      <c r="P299" s="310">
        <f ca="1">+'R1 Opex Detail'!P299*P$1</f>
        <v>0.36970637490647229</v>
      </c>
      <c r="Q299" s="310">
        <f ca="1">+'R1 Opex Detail'!Q299*Q$1</f>
        <v>0.37658620970361406</v>
      </c>
      <c r="R299" s="310">
        <f ca="1">+'R1 Opex Detail'!R299*R$1</f>
        <v>0.38443498619357858</v>
      </c>
      <c r="S299" s="310">
        <f ca="1">+'R1 Opex Detail'!S299*S$1</f>
        <v>0.39285251954643874</v>
      </c>
    </row>
    <row r="300" spans="1:19" s="759" customFormat="1">
      <c r="A300" s="5"/>
      <c r="B300" s="249"/>
      <c r="C300" s="13" t="s">
        <v>575</v>
      </c>
      <c r="D300" s="312">
        <f>+'R1 Opex Detail'!D300</f>
        <v>0</v>
      </c>
      <c r="E300" s="310">
        <f>+'R1 Opex Detail'!E300</f>
        <v>0</v>
      </c>
      <c r="F300" s="310">
        <f>+'R1 Opex Detail'!F300</f>
        <v>0</v>
      </c>
      <c r="G300" s="310">
        <f>+'R1 Opex Detail'!G300</f>
        <v>0</v>
      </c>
      <c r="H300" s="310">
        <f>+'R1 Opex Detail'!H300</f>
        <v>0</v>
      </c>
      <c r="I300" s="310">
        <f>+'R1 Opex Detail'!I300</f>
        <v>0</v>
      </c>
      <c r="J300" s="310">
        <f>+'R1 Opex Detail'!J300</f>
        <v>0</v>
      </c>
      <c r="K300" s="310">
        <f>+'R1 Opex Detail'!K300</f>
        <v>0</v>
      </c>
      <c r="L300" s="310">
        <f ca="1">+'R1 Opex Detail'!L300</f>
        <v>0</v>
      </c>
      <c r="M300" s="835">
        <f ca="1">+'R1 Opex Detail'!M300*M$2</f>
        <v>0</v>
      </c>
      <c r="N300" s="312">
        <f ca="1">+'R1 Opex Detail'!N300*N$1</f>
        <v>0</v>
      </c>
      <c r="O300" s="310">
        <f ca="1">+'R1 Opex Detail'!O300*O$1</f>
        <v>0</v>
      </c>
      <c r="P300" s="310">
        <f ca="1">+'R1 Opex Detail'!P300*P$1</f>
        <v>0</v>
      </c>
      <c r="Q300" s="310">
        <f ca="1">+'R1 Opex Detail'!Q300*Q$1</f>
        <v>0</v>
      </c>
      <c r="R300" s="310">
        <f ca="1">+'R1 Opex Detail'!R300*R$1</f>
        <v>0</v>
      </c>
      <c r="S300" s="310">
        <f ca="1">+'R1 Opex Detail'!S300*S$1</f>
        <v>0</v>
      </c>
    </row>
    <row r="301" spans="1:19">
      <c r="A301" s="5"/>
      <c r="B301" s="249"/>
      <c r="C301" s="13" t="s">
        <v>70</v>
      </c>
      <c r="D301" s="312">
        <f>+'R1 Opex Detail'!D301</f>
        <v>0</v>
      </c>
      <c r="E301" s="310">
        <f>+'R1 Opex Detail'!E301</f>
        <v>0</v>
      </c>
      <c r="F301" s="310">
        <f>+'R1 Opex Detail'!F301</f>
        <v>0</v>
      </c>
      <c r="G301" s="310">
        <f>+'R1 Opex Detail'!G301</f>
        <v>0</v>
      </c>
      <c r="H301" s="310">
        <f>+'R1 Opex Detail'!H301</f>
        <v>0</v>
      </c>
      <c r="I301" s="310">
        <f>+'R1 Opex Detail'!I301</f>
        <v>0</v>
      </c>
      <c r="J301" s="310">
        <f>+'R1 Opex Detail'!J301</f>
        <v>0</v>
      </c>
      <c r="K301" s="310">
        <f>+'R1 Opex Detail'!K301</f>
        <v>0</v>
      </c>
      <c r="L301" s="310">
        <f ca="1">+'R1 Opex Detail'!L301</f>
        <v>0</v>
      </c>
      <c r="M301" s="835">
        <f ca="1">+'R1 Opex Detail'!M301*M$2</f>
        <v>0</v>
      </c>
      <c r="N301" s="312">
        <f ca="1">+'R1 Opex Detail'!N301*N$1</f>
        <v>0</v>
      </c>
      <c r="O301" s="310">
        <f ca="1">+'R1 Opex Detail'!O301*O$1</f>
        <v>0</v>
      </c>
      <c r="P301" s="310">
        <f ca="1">+'R1 Opex Detail'!P301*P$1</f>
        <v>0</v>
      </c>
      <c r="Q301" s="310">
        <f ca="1">+'R1 Opex Detail'!Q301*Q$1</f>
        <v>0</v>
      </c>
      <c r="R301" s="310">
        <f ca="1">+'R1 Opex Detail'!R301*R$1</f>
        <v>0</v>
      </c>
      <c r="S301" s="310">
        <f ca="1">+'R1 Opex Detail'!S301*S$1</f>
        <v>0</v>
      </c>
    </row>
    <row r="302" spans="1:19">
      <c r="A302" s="5"/>
      <c r="B302" s="249"/>
      <c r="C302" s="12" t="s">
        <v>75</v>
      </c>
      <c r="D302" s="313">
        <f t="shared" ref="D302:S302" si="37">SUBTOTAL(9,D296:D301)</f>
        <v>0</v>
      </c>
      <c r="E302" s="311">
        <f t="shared" si="37"/>
        <v>0</v>
      </c>
      <c r="F302" s="311">
        <f t="shared" si="37"/>
        <v>0</v>
      </c>
      <c r="G302" s="311">
        <f t="shared" si="37"/>
        <v>0</v>
      </c>
      <c r="H302" s="311">
        <f t="shared" si="37"/>
        <v>0</v>
      </c>
      <c r="I302" s="311">
        <f t="shared" si="37"/>
        <v>0</v>
      </c>
      <c r="J302" s="311">
        <f t="shared" si="37"/>
        <v>0</v>
      </c>
      <c r="K302" s="311">
        <f t="shared" si="37"/>
        <v>0</v>
      </c>
      <c r="L302" s="311">
        <f t="shared" ca="1" si="37"/>
        <v>0</v>
      </c>
      <c r="M302" s="513">
        <f t="shared" ca="1" si="37"/>
        <v>0</v>
      </c>
      <c r="N302" s="313">
        <f t="shared" ca="1" si="37"/>
        <v>0.358704576923077</v>
      </c>
      <c r="O302" s="311">
        <f t="shared" ca="1" si="37"/>
        <v>0.36432296960711646</v>
      </c>
      <c r="P302" s="311">
        <f t="shared" ca="1" si="37"/>
        <v>0.36970637490647229</v>
      </c>
      <c r="Q302" s="311">
        <f t="shared" ca="1" si="37"/>
        <v>0.37658620970361406</v>
      </c>
      <c r="R302" s="311">
        <f t="shared" ca="1" si="37"/>
        <v>0.38443498619357858</v>
      </c>
      <c r="S302" s="311">
        <f t="shared" ca="1" si="37"/>
        <v>0.39285251954643874</v>
      </c>
    </row>
    <row r="303" spans="1:19">
      <c r="A303" s="5"/>
      <c r="B303" s="249"/>
      <c r="C303" s="12"/>
      <c r="D303" s="263"/>
      <c r="E303" s="263"/>
      <c r="F303" s="263"/>
      <c r="G303" s="263"/>
      <c r="H303" s="263"/>
      <c r="I303" s="263"/>
      <c r="J303" s="263"/>
      <c r="K303" s="263"/>
      <c r="L303" s="263"/>
      <c r="M303" s="836"/>
      <c r="N303" s="263"/>
      <c r="O303" s="263"/>
      <c r="P303" s="263"/>
      <c r="Q303" s="263"/>
      <c r="R303" s="263"/>
      <c r="S303" s="263"/>
    </row>
    <row r="304" spans="1:19">
      <c r="A304" s="5"/>
      <c r="B304" s="249" t="str">
        <f ca="1">+'I-4 History'!B300</f>
        <v>A-9</v>
      </c>
      <c r="C304" s="14" t="str">
        <f ca="1">+'I-4 History'!C300</f>
        <v>Taxation – Specific Allocation</v>
      </c>
      <c r="D304" s="11"/>
      <c r="E304" s="11"/>
      <c r="F304" s="11"/>
      <c r="G304" s="11"/>
      <c r="H304" s="11"/>
      <c r="I304" s="11"/>
      <c r="J304" s="11"/>
      <c r="K304" s="11"/>
      <c r="L304" s="11"/>
      <c r="M304" s="507"/>
      <c r="N304" s="11"/>
      <c r="O304" s="11"/>
      <c r="P304" s="11"/>
      <c r="Q304" s="11"/>
      <c r="R304" s="11"/>
      <c r="S304" s="11"/>
    </row>
    <row r="305" spans="1:19">
      <c r="A305" s="5"/>
      <c r="B305" s="249"/>
      <c r="C305" s="13" t="s">
        <v>68</v>
      </c>
      <c r="D305" s="312">
        <f>+'R1 Opex Detail'!D305</f>
        <v>0</v>
      </c>
      <c r="E305" s="310">
        <f>+'R1 Opex Detail'!E305</f>
        <v>0</v>
      </c>
      <c r="F305" s="310">
        <f>+'R1 Opex Detail'!F305</f>
        <v>0</v>
      </c>
      <c r="G305" s="310">
        <f>+'R1 Opex Detail'!G305</f>
        <v>0</v>
      </c>
      <c r="H305" s="310">
        <f>+'R1 Opex Detail'!H305</f>
        <v>0</v>
      </c>
      <c r="I305" s="310">
        <f>+'R1 Opex Detail'!I305</f>
        <v>0</v>
      </c>
      <c r="J305" s="310">
        <f>+'R1 Opex Detail'!J305</f>
        <v>0</v>
      </c>
      <c r="K305" s="310">
        <f>+'R1 Opex Detail'!K305</f>
        <v>0</v>
      </c>
      <c r="L305" s="310">
        <f ca="1">+'R1 Opex Detail'!L305</f>
        <v>0</v>
      </c>
      <c r="M305" s="835">
        <f ca="1">+'R1 Opex Detail'!M305*M$2</f>
        <v>0</v>
      </c>
      <c r="N305" s="312">
        <f ca="1">+'R1 Opex Detail'!N305*N$1</f>
        <v>0.3173553461538462</v>
      </c>
      <c r="O305" s="310">
        <f ca="1">+'R1 Opex Detail'!O305*O$1</f>
        <v>0.32760452502957299</v>
      </c>
      <c r="P305" s="310">
        <f ca="1">+'R1 Opex Detail'!P305*P$1</f>
        <v>0.33788951520549687</v>
      </c>
      <c r="Q305" s="310">
        <f ca="1">+'R1 Opex Detail'!Q305*Q$1</f>
        <v>0.34882784273163647</v>
      </c>
      <c r="R305" s="310">
        <f ca="1">+'R1 Opex Detail'!R305*R$1</f>
        <v>0.36037398804369408</v>
      </c>
      <c r="S305" s="310">
        <f ca="1">+'R1 Opex Detail'!S305*S$1</f>
        <v>0.37195051274560115</v>
      </c>
    </row>
    <row r="306" spans="1:19">
      <c r="A306" s="5"/>
      <c r="B306" s="249"/>
      <c r="C306" s="13" t="s">
        <v>69</v>
      </c>
      <c r="D306" s="312">
        <f>+'R1 Opex Detail'!D306</f>
        <v>0</v>
      </c>
      <c r="E306" s="310">
        <f>+'R1 Opex Detail'!E306</f>
        <v>0</v>
      </c>
      <c r="F306" s="310">
        <f>+'R1 Opex Detail'!F306</f>
        <v>0</v>
      </c>
      <c r="G306" s="310">
        <f>+'R1 Opex Detail'!G306</f>
        <v>0</v>
      </c>
      <c r="H306" s="310">
        <f>+'R1 Opex Detail'!H306</f>
        <v>0</v>
      </c>
      <c r="I306" s="310">
        <f>+'R1 Opex Detail'!I306</f>
        <v>0</v>
      </c>
      <c r="J306" s="310">
        <f>+'R1 Opex Detail'!J306</f>
        <v>0</v>
      </c>
      <c r="K306" s="310">
        <f>+'R1 Opex Detail'!K306</f>
        <v>0</v>
      </c>
      <c r="L306" s="310">
        <f ca="1">+'R1 Opex Detail'!L306</f>
        <v>0</v>
      </c>
      <c r="M306" s="835">
        <f ca="1">+'R1 Opex Detail'!M306*M$2</f>
        <v>0</v>
      </c>
      <c r="N306" s="312">
        <f ca="1">+'R1 Opex Detail'!N306*N$1</f>
        <v>0</v>
      </c>
      <c r="O306" s="310">
        <f ca="1">+'R1 Opex Detail'!O306*O$1</f>
        <v>0</v>
      </c>
      <c r="P306" s="310">
        <f ca="1">+'R1 Opex Detail'!P306*P$1</f>
        <v>0</v>
      </c>
      <c r="Q306" s="310">
        <f ca="1">+'R1 Opex Detail'!Q306*Q$1</f>
        <v>0</v>
      </c>
      <c r="R306" s="310">
        <f ca="1">+'R1 Opex Detail'!R306*R$1</f>
        <v>0</v>
      </c>
      <c r="S306" s="310">
        <f ca="1">+'R1 Opex Detail'!S306*S$1</f>
        <v>0</v>
      </c>
    </row>
    <row r="307" spans="1:19" s="759" customFormat="1">
      <c r="A307" s="5"/>
      <c r="B307" s="249"/>
      <c r="C307" s="13" t="s">
        <v>646</v>
      </c>
      <c r="D307" s="312">
        <f>+'R1 Opex Detail'!D307</f>
        <v>0</v>
      </c>
      <c r="E307" s="310">
        <f>+'R1 Opex Detail'!E307</f>
        <v>0</v>
      </c>
      <c r="F307" s="310">
        <f>+'R1 Opex Detail'!F307</f>
        <v>0</v>
      </c>
      <c r="G307" s="310">
        <f>+'R1 Opex Detail'!G307</f>
        <v>0</v>
      </c>
      <c r="H307" s="310">
        <f>+'R1 Opex Detail'!H307</f>
        <v>0</v>
      </c>
      <c r="I307" s="310">
        <f>+'R1 Opex Detail'!I307</f>
        <v>0</v>
      </c>
      <c r="J307" s="310">
        <f>+'R1 Opex Detail'!J307</f>
        <v>0</v>
      </c>
      <c r="K307" s="310">
        <f>+'R1 Opex Detail'!K307</f>
        <v>0</v>
      </c>
      <c r="L307" s="310">
        <f ca="1">+'R1 Opex Detail'!L307</f>
        <v>0</v>
      </c>
      <c r="M307" s="835">
        <f ca="1">+'R1 Opex Detail'!M307*M$2</f>
        <v>0</v>
      </c>
      <c r="N307" s="312">
        <f ca="1">+'R1 Opex Detail'!N307*N$1</f>
        <v>0</v>
      </c>
      <c r="O307" s="310">
        <f ca="1">+'R1 Opex Detail'!O307*O$1</f>
        <v>0</v>
      </c>
      <c r="P307" s="310">
        <f ca="1">+'R1 Opex Detail'!P307*P$1</f>
        <v>0</v>
      </c>
      <c r="Q307" s="310">
        <f ca="1">+'R1 Opex Detail'!Q307*Q$1</f>
        <v>0</v>
      </c>
      <c r="R307" s="310">
        <f ca="1">+'R1 Opex Detail'!R307*R$1</f>
        <v>0</v>
      </c>
      <c r="S307" s="310">
        <f ca="1">+'R1 Opex Detail'!S307*S$1</f>
        <v>0</v>
      </c>
    </row>
    <row r="308" spans="1:19">
      <c r="A308" s="5"/>
      <c r="B308" s="249"/>
      <c r="C308" s="13" t="s">
        <v>647</v>
      </c>
      <c r="D308" s="312">
        <f>+'R1 Opex Detail'!D308</f>
        <v>0</v>
      </c>
      <c r="E308" s="310">
        <f>+'R1 Opex Detail'!E308</f>
        <v>0</v>
      </c>
      <c r="F308" s="310">
        <f>+'R1 Opex Detail'!F308</f>
        <v>0</v>
      </c>
      <c r="G308" s="310">
        <f>+'R1 Opex Detail'!G308</f>
        <v>0</v>
      </c>
      <c r="H308" s="310">
        <f>+'R1 Opex Detail'!H308</f>
        <v>0</v>
      </c>
      <c r="I308" s="310">
        <f>+'R1 Opex Detail'!I308</f>
        <v>0</v>
      </c>
      <c r="J308" s="310">
        <f>+'R1 Opex Detail'!J308</f>
        <v>0</v>
      </c>
      <c r="K308" s="310">
        <f>+'R1 Opex Detail'!K308</f>
        <v>0</v>
      </c>
      <c r="L308" s="310">
        <f ca="1">+'R1 Opex Detail'!L308</f>
        <v>0</v>
      </c>
      <c r="M308" s="835">
        <f ca="1">+'R1 Opex Detail'!M308*M$2</f>
        <v>0</v>
      </c>
      <c r="N308" s="312">
        <f ca="1">+'R1 Opex Detail'!N308*N$1</f>
        <v>0</v>
      </c>
      <c r="O308" s="310">
        <f ca="1">+'R1 Opex Detail'!O308*O$1</f>
        <v>0</v>
      </c>
      <c r="P308" s="310">
        <f ca="1">+'R1 Opex Detail'!P308*P$1</f>
        <v>0</v>
      </c>
      <c r="Q308" s="310">
        <f ca="1">+'R1 Opex Detail'!Q308*Q$1</f>
        <v>0</v>
      </c>
      <c r="R308" s="310">
        <f ca="1">+'R1 Opex Detail'!R308*R$1</f>
        <v>0</v>
      </c>
      <c r="S308" s="310">
        <f ca="1">+'R1 Opex Detail'!S308*S$1</f>
        <v>0</v>
      </c>
    </row>
    <row r="309" spans="1:19" s="759" customFormat="1">
      <c r="A309" s="5"/>
      <c r="B309" s="249"/>
      <c r="C309" s="13" t="s">
        <v>575</v>
      </c>
      <c r="D309" s="312">
        <f>+'R1 Opex Detail'!D309</f>
        <v>0</v>
      </c>
      <c r="E309" s="310">
        <f>+'R1 Opex Detail'!E309</f>
        <v>0</v>
      </c>
      <c r="F309" s="310">
        <f>+'R1 Opex Detail'!F309</f>
        <v>0</v>
      </c>
      <c r="G309" s="310">
        <f>+'R1 Opex Detail'!G309</f>
        <v>0</v>
      </c>
      <c r="H309" s="310">
        <f>+'R1 Opex Detail'!H309</f>
        <v>0</v>
      </c>
      <c r="I309" s="310">
        <f>+'R1 Opex Detail'!I309</f>
        <v>0</v>
      </c>
      <c r="J309" s="310">
        <f>+'R1 Opex Detail'!J309</f>
        <v>0</v>
      </c>
      <c r="K309" s="310">
        <f>+'R1 Opex Detail'!K309</f>
        <v>0</v>
      </c>
      <c r="L309" s="310">
        <f ca="1">+'R1 Opex Detail'!L309</f>
        <v>0</v>
      </c>
      <c r="M309" s="835">
        <f ca="1">+'R1 Opex Detail'!M309*M$2</f>
        <v>0</v>
      </c>
      <c r="N309" s="312">
        <f ca="1">+'R1 Opex Detail'!N309*N$1</f>
        <v>0</v>
      </c>
      <c r="O309" s="310">
        <f ca="1">+'R1 Opex Detail'!O309*O$1</f>
        <v>0</v>
      </c>
      <c r="P309" s="310">
        <f ca="1">+'R1 Opex Detail'!P309*P$1</f>
        <v>0</v>
      </c>
      <c r="Q309" s="310">
        <f ca="1">+'R1 Opex Detail'!Q309*Q$1</f>
        <v>0</v>
      </c>
      <c r="R309" s="310">
        <f ca="1">+'R1 Opex Detail'!R309*R$1</f>
        <v>0</v>
      </c>
      <c r="S309" s="310">
        <f ca="1">+'R1 Opex Detail'!S309*S$1</f>
        <v>0</v>
      </c>
    </row>
    <row r="310" spans="1:19">
      <c r="A310" s="5"/>
      <c r="B310" s="249"/>
      <c r="C310" s="13" t="s">
        <v>70</v>
      </c>
      <c r="D310" s="312">
        <f>+'R1 Opex Detail'!D310</f>
        <v>0</v>
      </c>
      <c r="E310" s="310">
        <f>+'R1 Opex Detail'!E310</f>
        <v>0</v>
      </c>
      <c r="F310" s="310">
        <f>+'R1 Opex Detail'!F310</f>
        <v>0</v>
      </c>
      <c r="G310" s="310">
        <f>+'R1 Opex Detail'!G310</f>
        <v>0</v>
      </c>
      <c r="H310" s="310">
        <f>+'R1 Opex Detail'!H310</f>
        <v>0</v>
      </c>
      <c r="I310" s="310">
        <f>+'R1 Opex Detail'!I310</f>
        <v>0</v>
      </c>
      <c r="J310" s="310">
        <f>+'R1 Opex Detail'!J310</f>
        <v>0</v>
      </c>
      <c r="K310" s="310">
        <f>+'R1 Opex Detail'!K310</f>
        <v>0</v>
      </c>
      <c r="L310" s="310">
        <f ca="1">+'R1 Opex Detail'!L310</f>
        <v>0</v>
      </c>
      <c r="M310" s="835">
        <f ca="1">+'R1 Opex Detail'!M310*M$2</f>
        <v>0</v>
      </c>
      <c r="N310" s="312">
        <f ca="1">+'R1 Opex Detail'!N310*N$1</f>
        <v>0</v>
      </c>
      <c r="O310" s="310">
        <f ca="1">+'R1 Opex Detail'!O310*O$1</f>
        <v>0</v>
      </c>
      <c r="P310" s="310">
        <f ca="1">+'R1 Opex Detail'!P310*P$1</f>
        <v>0</v>
      </c>
      <c r="Q310" s="310">
        <f ca="1">+'R1 Opex Detail'!Q310*Q$1</f>
        <v>0</v>
      </c>
      <c r="R310" s="310">
        <f ca="1">+'R1 Opex Detail'!R310*R$1</f>
        <v>0</v>
      </c>
      <c r="S310" s="310">
        <f ca="1">+'R1 Opex Detail'!S310*S$1</f>
        <v>0</v>
      </c>
    </row>
    <row r="311" spans="1:19">
      <c r="A311" s="5"/>
      <c r="B311" s="249"/>
      <c r="C311" s="12" t="s">
        <v>75</v>
      </c>
      <c r="D311" s="313">
        <f t="shared" ref="D311:S311" si="38">SUBTOTAL(9,D305:D310)</f>
        <v>0</v>
      </c>
      <c r="E311" s="311">
        <f t="shared" si="38"/>
        <v>0</v>
      </c>
      <c r="F311" s="311">
        <f t="shared" si="38"/>
        <v>0</v>
      </c>
      <c r="G311" s="311">
        <f t="shared" si="38"/>
        <v>0</v>
      </c>
      <c r="H311" s="311">
        <f t="shared" si="38"/>
        <v>0</v>
      </c>
      <c r="I311" s="311">
        <f t="shared" si="38"/>
        <v>0</v>
      </c>
      <c r="J311" s="311">
        <f t="shared" si="38"/>
        <v>0</v>
      </c>
      <c r="K311" s="311">
        <f t="shared" si="38"/>
        <v>0</v>
      </c>
      <c r="L311" s="311">
        <f t="shared" ca="1" si="38"/>
        <v>0</v>
      </c>
      <c r="M311" s="513">
        <f t="shared" ca="1" si="38"/>
        <v>0</v>
      </c>
      <c r="N311" s="313">
        <f t="shared" ca="1" si="38"/>
        <v>0.3173553461538462</v>
      </c>
      <c r="O311" s="311">
        <f t="shared" ca="1" si="38"/>
        <v>0.32760452502957299</v>
      </c>
      <c r="P311" s="311">
        <f t="shared" ca="1" si="38"/>
        <v>0.33788951520549687</v>
      </c>
      <c r="Q311" s="311">
        <f t="shared" ca="1" si="38"/>
        <v>0.34882784273163647</v>
      </c>
      <c r="R311" s="311">
        <f t="shared" ca="1" si="38"/>
        <v>0.36037398804369408</v>
      </c>
      <c r="S311" s="311">
        <f t="shared" ca="1" si="38"/>
        <v>0.37195051274560115</v>
      </c>
    </row>
    <row r="312" spans="1:19">
      <c r="A312" s="5"/>
      <c r="B312" s="249"/>
      <c r="C312" s="12"/>
      <c r="D312" s="263"/>
      <c r="E312" s="263"/>
      <c r="F312" s="263"/>
      <c r="G312" s="263"/>
      <c r="H312" s="263"/>
      <c r="I312" s="263"/>
      <c r="J312" s="263"/>
      <c r="K312" s="263"/>
      <c r="L312" s="263"/>
      <c r="M312" s="836"/>
      <c r="N312" s="263"/>
      <c r="O312" s="263"/>
      <c r="P312" s="263"/>
      <c r="Q312" s="263"/>
      <c r="R312" s="263"/>
      <c r="S312" s="263"/>
    </row>
    <row r="313" spans="1:19">
      <c r="A313" s="5"/>
      <c r="B313" s="249" t="str">
        <f ca="1">+'I-4 History'!B309</f>
        <v>A-10</v>
      </c>
      <c r="C313" s="14" t="str">
        <f ca="1">+'I-4 History'!C309</f>
        <v>Corporate Finance</v>
      </c>
      <c r="D313" s="11"/>
      <c r="E313" s="11"/>
      <c r="F313" s="11"/>
      <c r="G313" s="11"/>
      <c r="H313" s="11"/>
      <c r="I313" s="11"/>
      <c r="J313" s="11"/>
      <c r="K313" s="11"/>
      <c r="L313" s="11"/>
      <c r="M313" s="507"/>
      <c r="N313" s="11"/>
      <c r="O313" s="11"/>
      <c r="P313" s="11"/>
      <c r="Q313" s="11"/>
      <c r="R313" s="11"/>
      <c r="S313" s="11"/>
    </row>
    <row r="314" spans="1:19">
      <c r="B314" s="249"/>
      <c r="C314" s="13" t="s">
        <v>68</v>
      </c>
      <c r="D314" s="312">
        <f>+'R1 Opex Detail'!D314</f>
        <v>0</v>
      </c>
      <c r="E314" s="310">
        <f>+'R1 Opex Detail'!E314</f>
        <v>0</v>
      </c>
      <c r="F314" s="310">
        <f>+'R1 Opex Detail'!F314</f>
        <v>0</v>
      </c>
      <c r="G314" s="310">
        <f>+'R1 Opex Detail'!G314</f>
        <v>0</v>
      </c>
      <c r="H314" s="310">
        <f>+'R1 Opex Detail'!H314</f>
        <v>0</v>
      </c>
      <c r="I314" s="310">
        <f>+'R1 Opex Detail'!I314</f>
        <v>0</v>
      </c>
      <c r="J314" s="310">
        <f>+'R1 Opex Detail'!J314</f>
        <v>0</v>
      </c>
      <c r="K314" s="310">
        <f>+'R1 Opex Detail'!K314</f>
        <v>0</v>
      </c>
      <c r="L314" s="310">
        <f ca="1">+'R1 Opex Detail'!L314</f>
        <v>0</v>
      </c>
      <c r="M314" s="835">
        <f ca="1">+'R1 Opex Detail'!M314*M$2</f>
        <v>0</v>
      </c>
      <c r="N314" s="312">
        <f ca="1">+'R1 Opex Detail'!N314*N$1</f>
        <v>2.3403664615384621</v>
      </c>
      <c r="O314" s="310">
        <f ca="1">+'R1 Opex Detail'!O314*O$1</f>
        <v>2.4159499826285122</v>
      </c>
      <c r="P314" s="310">
        <f ca="1">+'R1 Opex Detail'!P314*P$1</f>
        <v>2.491797597476368</v>
      </c>
      <c r="Q314" s="310">
        <f ca="1">+'R1 Opex Detail'!Q314*Q$1</f>
        <v>2.572463309265228</v>
      </c>
      <c r="R314" s="310">
        <f ca="1">+'R1 Opex Detail'!R314*R$1</f>
        <v>2.6576114297424214</v>
      </c>
      <c r="S314" s="310">
        <f ca="1">+'R1 Opex Detail'!S314*S$1</f>
        <v>2.7429835858502964</v>
      </c>
    </row>
    <row r="315" spans="1:19">
      <c r="B315" s="249"/>
      <c r="C315" s="13" t="s">
        <v>69</v>
      </c>
      <c r="D315" s="312">
        <f>+'R1 Opex Detail'!D315</f>
        <v>0</v>
      </c>
      <c r="E315" s="310">
        <f>+'R1 Opex Detail'!E315</f>
        <v>0</v>
      </c>
      <c r="F315" s="310">
        <f>+'R1 Opex Detail'!F315</f>
        <v>0</v>
      </c>
      <c r="G315" s="310">
        <f>+'R1 Opex Detail'!G315</f>
        <v>0</v>
      </c>
      <c r="H315" s="310">
        <f>+'R1 Opex Detail'!H315</f>
        <v>0</v>
      </c>
      <c r="I315" s="310">
        <f>+'R1 Opex Detail'!I315</f>
        <v>0</v>
      </c>
      <c r="J315" s="310">
        <f>+'R1 Opex Detail'!J315</f>
        <v>0</v>
      </c>
      <c r="K315" s="310">
        <f>+'R1 Opex Detail'!K315</f>
        <v>0</v>
      </c>
      <c r="L315" s="310">
        <f ca="1">+'R1 Opex Detail'!L315</f>
        <v>0</v>
      </c>
      <c r="M315" s="835">
        <f ca="1">+'R1 Opex Detail'!M315*M$2</f>
        <v>0</v>
      </c>
      <c r="N315" s="312">
        <f ca="1">+'R1 Opex Detail'!N315*N$1</f>
        <v>5.4787730769230776E-2</v>
      </c>
      <c r="O315" s="310">
        <f ca="1">+'R1 Opex Detail'!O315*O$1</f>
        <v>5.5369026307015859E-2</v>
      </c>
      <c r="P315" s="310">
        <f ca="1">+'R1 Opex Detail'!P315*P$1</f>
        <v>5.5907646506718374E-2</v>
      </c>
      <c r="Q315" s="310">
        <f ca="1">+'R1 Opex Detail'!Q315*Q$1</f>
        <v>5.6440066593162065E-2</v>
      </c>
      <c r="R315" s="310">
        <f ca="1">+'R1 Opex Detail'!R315*R$1</f>
        <v>5.7017699625360296E-2</v>
      </c>
      <c r="S315" s="310">
        <f ca="1">+'R1 Opex Detail'!S315*S$1</f>
        <v>5.7546815805877991E-2</v>
      </c>
    </row>
    <row r="316" spans="1:19" s="759" customFormat="1">
      <c r="B316" s="249"/>
      <c r="C316" s="13" t="s">
        <v>646</v>
      </c>
      <c r="D316" s="312">
        <f>+'R1 Opex Detail'!D316</f>
        <v>0</v>
      </c>
      <c r="E316" s="310">
        <f>+'R1 Opex Detail'!E316</f>
        <v>0</v>
      </c>
      <c r="F316" s="310">
        <f>+'R1 Opex Detail'!F316</f>
        <v>0</v>
      </c>
      <c r="G316" s="310">
        <f>+'R1 Opex Detail'!G316</f>
        <v>0</v>
      </c>
      <c r="H316" s="310">
        <f>+'R1 Opex Detail'!H316</f>
        <v>0</v>
      </c>
      <c r="I316" s="310">
        <f>+'R1 Opex Detail'!I316</f>
        <v>0</v>
      </c>
      <c r="J316" s="310">
        <f>+'R1 Opex Detail'!J316</f>
        <v>0</v>
      </c>
      <c r="K316" s="310">
        <f>+'R1 Opex Detail'!K316</f>
        <v>0</v>
      </c>
      <c r="L316" s="310">
        <f ca="1">+'R1 Opex Detail'!L316</f>
        <v>0</v>
      </c>
      <c r="M316" s="835">
        <f ca="1">+'R1 Opex Detail'!M316*M$2</f>
        <v>0</v>
      </c>
      <c r="N316" s="312">
        <f ca="1">+'R1 Opex Detail'!N316*N$1</f>
        <v>1.550596153846154E-2</v>
      </c>
      <c r="O316" s="310">
        <f ca="1">+'R1 Opex Detail'!O316*O$1</f>
        <v>1.5748831539212527E-2</v>
      </c>
      <c r="P316" s="310">
        <f ca="1">+'R1 Opex Detail'!P316*P$1</f>
        <v>1.5981543583853269E-2</v>
      </c>
      <c r="Q316" s="310">
        <f ca="1">+'R1 Opex Detail'!Q316*Q$1</f>
        <v>1.6278942782576977E-2</v>
      </c>
      <c r="R316" s="310">
        <f ca="1">+'R1 Opex Detail'!R316*R$1</f>
        <v>1.661822706888668E-2</v>
      </c>
      <c r="S316" s="310">
        <f ca="1">+'R1 Opex Detail'!S316*S$1</f>
        <v>1.6982097386733657E-2</v>
      </c>
    </row>
    <row r="317" spans="1:19">
      <c r="B317" s="249"/>
      <c r="C317" s="13" t="s">
        <v>647</v>
      </c>
      <c r="D317" s="312">
        <f>+'R1 Opex Detail'!D317</f>
        <v>0</v>
      </c>
      <c r="E317" s="310">
        <f>+'R1 Opex Detail'!E317</f>
        <v>0</v>
      </c>
      <c r="F317" s="310">
        <f>+'R1 Opex Detail'!F317</f>
        <v>0</v>
      </c>
      <c r="G317" s="310">
        <f>+'R1 Opex Detail'!G317</f>
        <v>0</v>
      </c>
      <c r="H317" s="310">
        <f>+'R1 Opex Detail'!H317</f>
        <v>0</v>
      </c>
      <c r="I317" s="310">
        <f>+'R1 Opex Detail'!I317</f>
        <v>0</v>
      </c>
      <c r="J317" s="310">
        <f>+'R1 Opex Detail'!J317</f>
        <v>0</v>
      </c>
      <c r="K317" s="310">
        <f>+'R1 Opex Detail'!K317</f>
        <v>0</v>
      </c>
      <c r="L317" s="310">
        <f ca="1">+'R1 Opex Detail'!L317</f>
        <v>0</v>
      </c>
      <c r="M317" s="835">
        <f ca="1">+'R1 Opex Detail'!M317*M$2</f>
        <v>0</v>
      </c>
      <c r="N317" s="312">
        <f ca="1">+'R1 Opex Detail'!N317*N$1</f>
        <v>0.6285083076923077</v>
      </c>
      <c r="O317" s="310">
        <f ca="1">+'R1 Opex Detail'!O317*O$1</f>
        <v>0.63835263838941447</v>
      </c>
      <c r="P317" s="310">
        <f ca="1">+'R1 Opex Detail'!P317*P$1</f>
        <v>0.64778523326551896</v>
      </c>
      <c r="Q317" s="310">
        <f ca="1">+'R1 Opex Detail'!Q317*Q$1</f>
        <v>0.65983981412045334</v>
      </c>
      <c r="R317" s="310">
        <f ca="1">+'R1 Opex Detail'!R317*R$1</f>
        <v>0.67359213719220679</v>
      </c>
      <c r="S317" s="310">
        <f ca="1">+'R1 Opex Detail'!S317*S$1</f>
        <v>0.68834101407560444</v>
      </c>
    </row>
    <row r="318" spans="1:19" s="759" customFormat="1">
      <c r="B318" s="249"/>
      <c r="C318" s="13" t="s">
        <v>575</v>
      </c>
      <c r="D318" s="312">
        <f>+'R1 Opex Detail'!D318</f>
        <v>0</v>
      </c>
      <c r="E318" s="310">
        <f>+'R1 Opex Detail'!E318</f>
        <v>0</v>
      </c>
      <c r="F318" s="310">
        <f>+'R1 Opex Detail'!F318</f>
        <v>0</v>
      </c>
      <c r="G318" s="310">
        <f>+'R1 Opex Detail'!G318</f>
        <v>0</v>
      </c>
      <c r="H318" s="310">
        <f>+'R1 Opex Detail'!H318</f>
        <v>0</v>
      </c>
      <c r="I318" s="310">
        <f>+'R1 Opex Detail'!I318</f>
        <v>0</v>
      </c>
      <c r="J318" s="310">
        <f>+'R1 Opex Detail'!J318</f>
        <v>0</v>
      </c>
      <c r="K318" s="310">
        <f>+'R1 Opex Detail'!K318</f>
        <v>0</v>
      </c>
      <c r="L318" s="310">
        <f ca="1">+'R1 Opex Detail'!L318</f>
        <v>0</v>
      </c>
      <c r="M318" s="835">
        <f ca="1">+'R1 Opex Detail'!M318*M$2</f>
        <v>0</v>
      </c>
      <c r="N318" s="312">
        <f ca="1">+'R1 Opex Detail'!N318*N$1</f>
        <v>0</v>
      </c>
      <c r="O318" s="310">
        <f ca="1">+'R1 Opex Detail'!O318*O$1</f>
        <v>0</v>
      </c>
      <c r="P318" s="310">
        <f ca="1">+'R1 Opex Detail'!P318*P$1</f>
        <v>0</v>
      </c>
      <c r="Q318" s="310">
        <f ca="1">+'R1 Opex Detail'!Q318*Q$1</f>
        <v>0</v>
      </c>
      <c r="R318" s="310">
        <f ca="1">+'R1 Opex Detail'!R318*R$1</f>
        <v>0</v>
      </c>
      <c r="S318" s="310">
        <f ca="1">+'R1 Opex Detail'!S318*S$1</f>
        <v>0</v>
      </c>
    </row>
    <row r="319" spans="1:19">
      <c r="B319" s="249"/>
      <c r="C319" s="13" t="s">
        <v>70</v>
      </c>
      <c r="D319" s="312">
        <f>+'R1 Opex Detail'!D319</f>
        <v>0</v>
      </c>
      <c r="E319" s="310">
        <f>+'R1 Opex Detail'!E319</f>
        <v>0</v>
      </c>
      <c r="F319" s="310">
        <f>+'R1 Opex Detail'!F319</f>
        <v>0</v>
      </c>
      <c r="G319" s="310">
        <f>+'R1 Opex Detail'!G319</f>
        <v>0</v>
      </c>
      <c r="H319" s="310">
        <f>+'R1 Opex Detail'!H319</f>
        <v>0</v>
      </c>
      <c r="I319" s="310">
        <f>+'R1 Opex Detail'!I319</f>
        <v>0</v>
      </c>
      <c r="J319" s="310">
        <f>+'R1 Opex Detail'!J319</f>
        <v>0</v>
      </c>
      <c r="K319" s="310">
        <f>+'R1 Opex Detail'!K319</f>
        <v>0</v>
      </c>
      <c r="L319" s="310">
        <f ca="1">+'R1 Opex Detail'!L319</f>
        <v>0</v>
      </c>
      <c r="M319" s="835">
        <f ca="1">+'R1 Opex Detail'!M319*M$2</f>
        <v>0</v>
      </c>
      <c r="N319" s="312">
        <f ca="1">+'R1 Opex Detail'!N319*N$1</f>
        <v>0</v>
      </c>
      <c r="O319" s="310">
        <f ca="1">+'R1 Opex Detail'!O319*O$1</f>
        <v>0</v>
      </c>
      <c r="P319" s="310">
        <f ca="1">+'R1 Opex Detail'!P319*P$1</f>
        <v>0</v>
      </c>
      <c r="Q319" s="310">
        <f ca="1">+'R1 Opex Detail'!Q319*Q$1</f>
        <v>0</v>
      </c>
      <c r="R319" s="310">
        <f ca="1">+'R1 Opex Detail'!R319*R$1</f>
        <v>0</v>
      </c>
      <c r="S319" s="310">
        <f ca="1">+'R1 Opex Detail'!S319*S$1</f>
        <v>0</v>
      </c>
    </row>
    <row r="320" spans="1:19">
      <c r="B320" s="249"/>
      <c r="C320" s="12" t="s">
        <v>75</v>
      </c>
      <c r="D320" s="313">
        <f t="shared" ref="D320:S320" si="39">SUBTOTAL(9,D314:D319)</f>
        <v>0</v>
      </c>
      <c r="E320" s="311">
        <f t="shared" si="39"/>
        <v>0</v>
      </c>
      <c r="F320" s="311">
        <f t="shared" si="39"/>
        <v>0</v>
      </c>
      <c r="G320" s="311">
        <f t="shared" si="39"/>
        <v>0</v>
      </c>
      <c r="H320" s="311">
        <f t="shared" si="39"/>
        <v>0</v>
      </c>
      <c r="I320" s="311">
        <f t="shared" si="39"/>
        <v>0</v>
      </c>
      <c r="J320" s="311">
        <f t="shared" si="39"/>
        <v>0</v>
      </c>
      <c r="K320" s="311">
        <f t="shared" si="39"/>
        <v>0</v>
      </c>
      <c r="L320" s="311">
        <f t="shared" ca="1" si="39"/>
        <v>0</v>
      </c>
      <c r="M320" s="513">
        <f t="shared" ca="1" si="39"/>
        <v>0</v>
      </c>
      <c r="N320" s="313">
        <f t="shared" ca="1" si="39"/>
        <v>3.0391684615384618</v>
      </c>
      <c r="O320" s="311">
        <f t="shared" ca="1" si="39"/>
        <v>3.1254204788641551</v>
      </c>
      <c r="P320" s="311">
        <f t="shared" ca="1" si="39"/>
        <v>3.2114720208324581</v>
      </c>
      <c r="Q320" s="311">
        <f t="shared" ca="1" si="39"/>
        <v>3.3050221327614207</v>
      </c>
      <c r="R320" s="311">
        <f t="shared" ca="1" si="39"/>
        <v>3.4048394936288751</v>
      </c>
      <c r="S320" s="311">
        <f t="shared" ca="1" si="39"/>
        <v>3.5058535131185127</v>
      </c>
    </row>
    <row r="321" spans="1:19">
      <c r="B321" s="249"/>
      <c r="C321" s="15"/>
      <c r="D321" s="263"/>
      <c r="E321" s="263"/>
      <c r="F321" s="263"/>
      <c r="G321" s="263"/>
      <c r="H321" s="263"/>
      <c r="I321" s="263"/>
      <c r="J321" s="263"/>
      <c r="K321" s="263"/>
      <c r="L321" s="263"/>
      <c r="M321" s="836"/>
      <c r="N321" s="263"/>
      <c r="O321" s="263"/>
      <c r="P321" s="263"/>
      <c r="Q321" s="263"/>
      <c r="R321" s="263"/>
      <c r="S321" s="263"/>
    </row>
    <row r="322" spans="1:19">
      <c r="A322" s="5"/>
      <c r="B322" s="249" t="str">
        <f ca="1">+'I-4 History'!B318</f>
        <v>A-11</v>
      </c>
      <c r="C322" s="14" t="str">
        <f ca="1">+'I-4 History'!C318</f>
        <v>Operational Finance</v>
      </c>
      <c r="D322" s="11"/>
      <c r="E322" s="11"/>
      <c r="F322" s="11"/>
      <c r="G322" s="11"/>
      <c r="H322" s="11"/>
      <c r="I322" s="11"/>
      <c r="J322" s="11"/>
      <c r="K322" s="11"/>
      <c r="L322" s="11"/>
      <c r="M322" s="507"/>
      <c r="N322" s="11"/>
      <c r="O322" s="11"/>
      <c r="P322" s="11"/>
      <c r="Q322" s="11"/>
      <c r="R322" s="11"/>
      <c r="S322" s="11"/>
    </row>
    <row r="323" spans="1:19">
      <c r="A323" s="5"/>
      <c r="B323" s="249"/>
      <c r="C323" s="13" t="s">
        <v>68</v>
      </c>
      <c r="D323" s="312">
        <f>+'R1 Opex Detail'!D323</f>
        <v>0</v>
      </c>
      <c r="E323" s="310">
        <f>+'R1 Opex Detail'!E323</f>
        <v>0</v>
      </c>
      <c r="F323" s="310">
        <f>+'R1 Opex Detail'!F323</f>
        <v>0</v>
      </c>
      <c r="G323" s="310">
        <f>+'R1 Opex Detail'!G323</f>
        <v>0</v>
      </c>
      <c r="H323" s="310">
        <f>+'R1 Opex Detail'!H323</f>
        <v>0</v>
      </c>
      <c r="I323" s="310">
        <f>+'R1 Opex Detail'!I323</f>
        <v>0</v>
      </c>
      <c r="J323" s="310">
        <f>+'R1 Opex Detail'!J323</f>
        <v>0</v>
      </c>
      <c r="K323" s="310">
        <f>+'R1 Opex Detail'!K323</f>
        <v>0</v>
      </c>
      <c r="L323" s="310">
        <f ca="1">+'R1 Opex Detail'!L323</f>
        <v>0</v>
      </c>
      <c r="M323" s="835">
        <f ca="1">+'R1 Opex Detail'!M323*M$2</f>
        <v>0</v>
      </c>
      <c r="N323" s="312">
        <f ca="1">+'R1 Opex Detail'!N323*N$1</f>
        <v>1.2425443846153847</v>
      </c>
      <c r="O323" s="310">
        <f ca="1">+'R1 Opex Detail'!O323*O$1</f>
        <v>1.2826730914838655</v>
      </c>
      <c r="P323" s="310">
        <f ca="1">+'R1 Opex Detail'!P323*P$1</f>
        <v>1.3229420106742906</v>
      </c>
      <c r="Q323" s="310">
        <f ca="1">+'R1 Opex Detail'!Q323*Q$1</f>
        <v>1.3657689477636057</v>
      </c>
      <c r="R323" s="310">
        <f ca="1">+'R1 Opex Detail'!R323*R$1</f>
        <v>1.4109756795717272</v>
      </c>
      <c r="S323" s="310">
        <f ca="1">+'R1 Opex Detail'!S323*S$1</f>
        <v>1.4563013560918976</v>
      </c>
    </row>
    <row r="324" spans="1:19">
      <c r="A324" s="5"/>
      <c r="B324" s="249"/>
      <c r="C324" s="13" t="s">
        <v>69</v>
      </c>
      <c r="D324" s="312">
        <f>+'R1 Opex Detail'!D324</f>
        <v>0</v>
      </c>
      <c r="E324" s="310">
        <f>+'R1 Opex Detail'!E324</f>
        <v>0</v>
      </c>
      <c r="F324" s="310">
        <f>+'R1 Opex Detail'!F324</f>
        <v>0</v>
      </c>
      <c r="G324" s="310">
        <f>+'R1 Opex Detail'!G324</f>
        <v>0</v>
      </c>
      <c r="H324" s="310">
        <f>+'R1 Opex Detail'!H324</f>
        <v>0</v>
      </c>
      <c r="I324" s="310">
        <f>+'R1 Opex Detail'!I324</f>
        <v>0</v>
      </c>
      <c r="J324" s="310">
        <f>+'R1 Opex Detail'!J324</f>
        <v>0</v>
      </c>
      <c r="K324" s="310">
        <f>+'R1 Opex Detail'!K324</f>
        <v>0</v>
      </c>
      <c r="L324" s="310">
        <f ca="1">+'R1 Opex Detail'!L324</f>
        <v>0</v>
      </c>
      <c r="M324" s="835">
        <f ca="1">+'R1 Opex Detail'!M324*M$2</f>
        <v>0</v>
      </c>
      <c r="N324" s="312">
        <f ca="1">+'R1 Opex Detail'!N324*N$1</f>
        <v>8.2698461538461554E-3</v>
      </c>
      <c r="O324" s="310">
        <f ca="1">+'R1 Opex Detail'!O324*O$1</f>
        <v>8.3575888765306961E-3</v>
      </c>
      <c r="P324" s="310">
        <f ca="1">+'R1 Opex Detail'!P324*P$1</f>
        <v>8.4388900387499435E-3</v>
      </c>
      <c r="Q324" s="310">
        <f ca="1">+'R1 Opex Detail'!Q324*Q$1</f>
        <v>8.5192553348169171E-3</v>
      </c>
      <c r="R324" s="310">
        <f ca="1">+'R1 Opex Detail'!R324*R$1</f>
        <v>8.6064452264694793E-3</v>
      </c>
      <c r="S324" s="310">
        <f ca="1">+'R1 Opex Detail'!S324*S$1</f>
        <v>8.6863118197551669E-3</v>
      </c>
    </row>
    <row r="325" spans="1:19" s="759" customFormat="1">
      <c r="A325" s="5"/>
      <c r="B325" s="249"/>
      <c r="C325" s="13" t="s">
        <v>646</v>
      </c>
      <c r="D325" s="312">
        <f>+'R1 Opex Detail'!D325</f>
        <v>0</v>
      </c>
      <c r="E325" s="310">
        <f>+'R1 Opex Detail'!E325</f>
        <v>0</v>
      </c>
      <c r="F325" s="310">
        <f>+'R1 Opex Detail'!F325</f>
        <v>0</v>
      </c>
      <c r="G325" s="310">
        <f>+'R1 Opex Detail'!G325</f>
        <v>0</v>
      </c>
      <c r="H325" s="310">
        <f>+'R1 Opex Detail'!H325</f>
        <v>0</v>
      </c>
      <c r="I325" s="310">
        <f>+'R1 Opex Detail'!I325</f>
        <v>0</v>
      </c>
      <c r="J325" s="310">
        <f>+'R1 Opex Detail'!J325</f>
        <v>0</v>
      </c>
      <c r="K325" s="310">
        <f>+'R1 Opex Detail'!K325</f>
        <v>0</v>
      </c>
      <c r="L325" s="310">
        <f ca="1">+'R1 Opex Detail'!L325</f>
        <v>0</v>
      </c>
      <c r="M325" s="835">
        <f ca="1">+'R1 Opex Detail'!M325*M$2</f>
        <v>0</v>
      </c>
      <c r="N325" s="312">
        <f ca="1">+'R1 Opex Detail'!N325*N$1</f>
        <v>0</v>
      </c>
      <c r="O325" s="310">
        <f ca="1">+'R1 Opex Detail'!O325*O$1</f>
        <v>0</v>
      </c>
      <c r="P325" s="310">
        <f ca="1">+'R1 Opex Detail'!P325*P$1</f>
        <v>0</v>
      </c>
      <c r="Q325" s="310">
        <f ca="1">+'R1 Opex Detail'!Q325*Q$1</f>
        <v>0</v>
      </c>
      <c r="R325" s="310">
        <f ca="1">+'R1 Opex Detail'!R325*R$1</f>
        <v>0</v>
      </c>
      <c r="S325" s="310">
        <f ca="1">+'R1 Opex Detail'!S325*S$1</f>
        <v>0</v>
      </c>
    </row>
    <row r="326" spans="1:19">
      <c r="A326" s="5"/>
      <c r="B326" s="249"/>
      <c r="C326" s="13" t="s">
        <v>647</v>
      </c>
      <c r="D326" s="312">
        <f>+'R1 Opex Detail'!D326</f>
        <v>0</v>
      </c>
      <c r="E326" s="310">
        <f>+'R1 Opex Detail'!E326</f>
        <v>0</v>
      </c>
      <c r="F326" s="310">
        <f>+'R1 Opex Detail'!F326</f>
        <v>0</v>
      </c>
      <c r="G326" s="310">
        <f>+'R1 Opex Detail'!G326</f>
        <v>0</v>
      </c>
      <c r="H326" s="310">
        <f>+'R1 Opex Detail'!H326</f>
        <v>0</v>
      </c>
      <c r="I326" s="310">
        <f>+'R1 Opex Detail'!I326</f>
        <v>0</v>
      </c>
      <c r="J326" s="310">
        <f>+'R1 Opex Detail'!J326</f>
        <v>0</v>
      </c>
      <c r="K326" s="310">
        <f>+'R1 Opex Detail'!K326</f>
        <v>0</v>
      </c>
      <c r="L326" s="310">
        <f ca="1">+'R1 Opex Detail'!L326</f>
        <v>0</v>
      </c>
      <c r="M326" s="835">
        <f ca="1">+'R1 Opex Detail'!M326*M$2</f>
        <v>0</v>
      </c>
      <c r="N326" s="312">
        <f ca="1">+'R1 Opex Detail'!N326*N$1</f>
        <v>4.9619076923076932E-2</v>
      </c>
      <c r="O326" s="310">
        <f ca="1">+'R1 Opex Detail'!O326*O$1</f>
        <v>5.0396260925480087E-2</v>
      </c>
      <c r="P326" s="310">
        <f ca="1">+'R1 Opex Detail'!P326*P$1</f>
        <v>5.1140939468330454E-2</v>
      </c>
      <c r="Q326" s="310">
        <f ca="1">+'R1 Opex Detail'!Q326*Q$1</f>
        <v>5.2092616904246325E-2</v>
      </c>
      <c r="R326" s="310">
        <f ca="1">+'R1 Opex Detail'!R326*R$1</f>
        <v>5.3178326620437387E-2</v>
      </c>
      <c r="S326" s="310">
        <f ca="1">+'R1 Opex Detail'!S326*S$1</f>
        <v>5.4342711637547718E-2</v>
      </c>
    </row>
    <row r="327" spans="1:19" s="759" customFormat="1">
      <c r="A327" s="5"/>
      <c r="B327" s="249"/>
      <c r="C327" s="13" t="s">
        <v>575</v>
      </c>
      <c r="D327" s="312">
        <f>+'R1 Opex Detail'!D327</f>
        <v>0</v>
      </c>
      <c r="E327" s="310">
        <f>+'R1 Opex Detail'!E327</f>
        <v>0</v>
      </c>
      <c r="F327" s="310">
        <f>+'R1 Opex Detail'!F327</f>
        <v>0</v>
      </c>
      <c r="G327" s="310">
        <f>+'R1 Opex Detail'!G327</f>
        <v>0</v>
      </c>
      <c r="H327" s="310">
        <f>+'R1 Opex Detail'!H327</f>
        <v>0</v>
      </c>
      <c r="I327" s="310">
        <f>+'R1 Opex Detail'!I327</f>
        <v>0</v>
      </c>
      <c r="J327" s="310">
        <f>+'R1 Opex Detail'!J327</f>
        <v>0</v>
      </c>
      <c r="K327" s="310">
        <f>+'R1 Opex Detail'!K327</f>
        <v>0</v>
      </c>
      <c r="L327" s="310">
        <f ca="1">+'R1 Opex Detail'!L327</f>
        <v>0</v>
      </c>
      <c r="M327" s="835">
        <f ca="1">+'R1 Opex Detail'!M327*M$2</f>
        <v>0</v>
      </c>
      <c r="N327" s="312">
        <f ca="1">+'R1 Opex Detail'!N327*N$1</f>
        <v>0</v>
      </c>
      <c r="O327" s="310">
        <f ca="1">+'R1 Opex Detail'!O327*O$1</f>
        <v>0</v>
      </c>
      <c r="P327" s="310">
        <f ca="1">+'R1 Opex Detail'!P327*P$1</f>
        <v>0</v>
      </c>
      <c r="Q327" s="310">
        <f ca="1">+'R1 Opex Detail'!Q327*Q$1</f>
        <v>0</v>
      </c>
      <c r="R327" s="310">
        <f ca="1">+'R1 Opex Detail'!R327*R$1</f>
        <v>0</v>
      </c>
      <c r="S327" s="310">
        <f ca="1">+'R1 Opex Detail'!S327*S$1</f>
        <v>0</v>
      </c>
    </row>
    <row r="328" spans="1:19">
      <c r="A328" s="5"/>
      <c r="B328" s="249"/>
      <c r="C328" s="13" t="s">
        <v>70</v>
      </c>
      <c r="D328" s="312">
        <f>+'R1 Opex Detail'!D328</f>
        <v>0</v>
      </c>
      <c r="E328" s="310">
        <f>+'R1 Opex Detail'!E328</f>
        <v>0</v>
      </c>
      <c r="F328" s="310">
        <f>+'R1 Opex Detail'!F328</f>
        <v>0</v>
      </c>
      <c r="G328" s="310">
        <f>+'R1 Opex Detail'!G328</f>
        <v>0</v>
      </c>
      <c r="H328" s="310">
        <f>+'R1 Opex Detail'!H328</f>
        <v>0</v>
      </c>
      <c r="I328" s="310">
        <f>+'R1 Opex Detail'!I328</f>
        <v>0</v>
      </c>
      <c r="J328" s="310">
        <f>+'R1 Opex Detail'!J328</f>
        <v>0</v>
      </c>
      <c r="K328" s="310">
        <f>+'R1 Opex Detail'!K328</f>
        <v>0</v>
      </c>
      <c r="L328" s="310">
        <f ca="1">+'R1 Opex Detail'!L328</f>
        <v>0</v>
      </c>
      <c r="M328" s="835">
        <f ca="1">+'R1 Opex Detail'!M328*M$2</f>
        <v>0</v>
      </c>
      <c r="N328" s="312">
        <f ca="1">+'R1 Opex Detail'!N328*N$1</f>
        <v>0</v>
      </c>
      <c r="O328" s="310">
        <f ca="1">+'R1 Opex Detail'!O328*O$1</f>
        <v>0</v>
      </c>
      <c r="P328" s="310">
        <f ca="1">+'R1 Opex Detail'!P328*P$1</f>
        <v>0</v>
      </c>
      <c r="Q328" s="310">
        <f ca="1">+'R1 Opex Detail'!Q328*Q$1</f>
        <v>0</v>
      </c>
      <c r="R328" s="310">
        <f ca="1">+'R1 Opex Detail'!R328*R$1</f>
        <v>0</v>
      </c>
      <c r="S328" s="310">
        <f ca="1">+'R1 Opex Detail'!S328*S$1</f>
        <v>0</v>
      </c>
    </row>
    <row r="329" spans="1:19">
      <c r="A329" s="5"/>
      <c r="B329" s="249"/>
      <c r="C329" s="12" t="s">
        <v>75</v>
      </c>
      <c r="D329" s="313">
        <f t="shared" ref="D329:S329" si="40">SUBTOTAL(9,D323:D328)</f>
        <v>0</v>
      </c>
      <c r="E329" s="311">
        <f t="shared" si="40"/>
        <v>0</v>
      </c>
      <c r="F329" s="311">
        <f t="shared" si="40"/>
        <v>0</v>
      </c>
      <c r="G329" s="311">
        <f t="shared" si="40"/>
        <v>0</v>
      </c>
      <c r="H329" s="311">
        <f t="shared" si="40"/>
        <v>0</v>
      </c>
      <c r="I329" s="311">
        <f t="shared" si="40"/>
        <v>0</v>
      </c>
      <c r="J329" s="311">
        <f t="shared" si="40"/>
        <v>0</v>
      </c>
      <c r="K329" s="311">
        <f t="shared" si="40"/>
        <v>0</v>
      </c>
      <c r="L329" s="311">
        <f t="shared" ca="1" si="40"/>
        <v>0</v>
      </c>
      <c r="M329" s="513">
        <f t="shared" ca="1" si="40"/>
        <v>0</v>
      </c>
      <c r="N329" s="313">
        <f t="shared" ca="1" si="40"/>
        <v>1.3004333076923078</v>
      </c>
      <c r="O329" s="311">
        <f t="shared" ca="1" si="40"/>
        <v>1.3414269412858761</v>
      </c>
      <c r="P329" s="311">
        <f t="shared" ca="1" si="40"/>
        <v>1.382521840181371</v>
      </c>
      <c r="Q329" s="311">
        <f t="shared" ca="1" si="40"/>
        <v>1.4263808200026691</v>
      </c>
      <c r="R329" s="311">
        <f t="shared" ca="1" si="40"/>
        <v>1.4727604514186341</v>
      </c>
      <c r="S329" s="311">
        <f t="shared" ca="1" si="40"/>
        <v>1.5193303795492004</v>
      </c>
    </row>
    <row r="330" spans="1:19">
      <c r="A330" s="5"/>
      <c r="B330" s="249"/>
      <c r="C330" s="12"/>
      <c r="D330" s="263"/>
      <c r="E330" s="263"/>
      <c r="F330" s="263"/>
      <c r="G330" s="263"/>
      <c r="H330" s="263"/>
      <c r="I330" s="263"/>
      <c r="J330" s="263"/>
      <c r="K330" s="263"/>
      <c r="L330" s="263"/>
      <c r="M330" s="836"/>
      <c r="N330" s="263"/>
      <c r="O330" s="263"/>
      <c r="P330" s="263"/>
      <c r="Q330" s="263"/>
      <c r="R330" s="263"/>
      <c r="S330" s="263"/>
    </row>
    <row r="331" spans="1:19">
      <c r="A331" s="5"/>
      <c r="B331" s="249" t="str">
        <f ca="1">+'I-4 History'!B327</f>
        <v>A-12</v>
      </c>
      <c r="C331" s="14" t="str">
        <f ca="1">+'I-4 History'!C327</f>
        <v>Regulatory Finance</v>
      </c>
      <c r="D331" s="11"/>
      <c r="E331" s="11"/>
      <c r="F331" s="11"/>
      <c r="G331" s="11"/>
      <c r="H331" s="11"/>
      <c r="I331" s="11"/>
      <c r="J331" s="11"/>
      <c r="K331" s="11"/>
      <c r="L331" s="11"/>
      <c r="M331" s="507"/>
      <c r="N331" s="11"/>
      <c r="O331" s="11"/>
      <c r="P331" s="11"/>
      <c r="Q331" s="11"/>
      <c r="R331" s="11"/>
      <c r="S331" s="11"/>
    </row>
    <row r="332" spans="1:19">
      <c r="A332" s="5"/>
      <c r="B332" s="249"/>
      <c r="C332" s="13" t="s">
        <v>68</v>
      </c>
      <c r="D332" s="312">
        <f>+'R1 Opex Detail'!D332</f>
        <v>0</v>
      </c>
      <c r="E332" s="310">
        <f>+'R1 Opex Detail'!E332</f>
        <v>0</v>
      </c>
      <c r="F332" s="310">
        <f>+'R1 Opex Detail'!F332</f>
        <v>0</v>
      </c>
      <c r="G332" s="310">
        <f>+'R1 Opex Detail'!G332</f>
        <v>0</v>
      </c>
      <c r="H332" s="310">
        <f>+'R1 Opex Detail'!H332</f>
        <v>0</v>
      </c>
      <c r="I332" s="310">
        <f>+'R1 Opex Detail'!I332</f>
        <v>0</v>
      </c>
      <c r="J332" s="310">
        <f>+'R1 Opex Detail'!J332</f>
        <v>0</v>
      </c>
      <c r="K332" s="310">
        <f>+'R1 Opex Detail'!K332</f>
        <v>0</v>
      </c>
      <c r="L332" s="310">
        <f ca="1">+'R1 Opex Detail'!L332</f>
        <v>0</v>
      </c>
      <c r="M332" s="835">
        <f ca="1">+'R1 Opex Detail'!M332*M$2</f>
        <v>0</v>
      </c>
      <c r="N332" s="312">
        <f ca="1">+'R1 Opex Detail'!N332*N$1</f>
        <v>0.14058738461538464</v>
      </c>
      <c r="O332" s="310">
        <f ca="1">+'R1 Opex Detail'!O332*O$1</f>
        <v>0.14512773747238414</v>
      </c>
      <c r="P332" s="310">
        <f ca="1">+'R1 Opex Detail'!P332*P$1</f>
        <v>0.14968395461872178</v>
      </c>
      <c r="Q332" s="310">
        <f ca="1">+'R1 Opex Detail'!Q332*Q$1</f>
        <v>0.15452959808307024</v>
      </c>
      <c r="R332" s="310">
        <f ca="1">+'R1 Opex Detail'!R332*R$1</f>
        <v>0.15964450284671791</v>
      </c>
      <c r="S332" s="310">
        <f ca="1">+'R1 Opex Detail'!S332*S$1</f>
        <v>0.16477286558111323</v>
      </c>
    </row>
    <row r="333" spans="1:19">
      <c r="A333" s="5"/>
      <c r="B333" s="249"/>
      <c r="C333" s="13" t="s">
        <v>69</v>
      </c>
      <c r="D333" s="312">
        <f>+'R1 Opex Detail'!D333</f>
        <v>0</v>
      </c>
      <c r="E333" s="310">
        <f>+'R1 Opex Detail'!E333</f>
        <v>0</v>
      </c>
      <c r="F333" s="310">
        <f>+'R1 Opex Detail'!F333</f>
        <v>0</v>
      </c>
      <c r="G333" s="310">
        <f>+'R1 Opex Detail'!G333</f>
        <v>0</v>
      </c>
      <c r="H333" s="310">
        <f>+'R1 Opex Detail'!H333</f>
        <v>0</v>
      </c>
      <c r="I333" s="310">
        <f>+'R1 Opex Detail'!I333</f>
        <v>0</v>
      </c>
      <c r="J333" s="310">
        <f>+'R1 Opex Detail'!J333</f>
        <v>0</v>
      </c>
      <c r="K333" s="310">
        <f>+'R1 Opex Detail'!K333</f>
        <v>0</v>
      </c>
      <c r="L333" s="310">
        <f ca="1">+'R1 Opex Detail'!L333</f>
        <v>0</v>
      </c>
      <c r="M333" s="835">
        <f ca="1">+'R1 Opex Detail'!M333*M$2</f>
        <v>0</v>
      </c>
      <c r="N333" s="312">
        <f ca="1">+'R1 Opex Detail'!N333*N$1</f>
        <v>0</v>
      </c>
      <c r="O333" s="310">
        <f ca="1">+'R1 Opex Detail'!O333*O$1</f>
        <v>0</v>
      </c>
      <c r="P333" s="310">
        <f ca="1">+'R1 Opex Detail'!P333*P$1</f>
        <v>0</v>
      </c>
      <c r="Q333" s="310">
        <f ca="1">+'R1 Opex Detail'!Q333*Q$1</f>
        <v>0</v>
      </c>
      <c r="R333" s="310">
        <f ca="1">+'R1 Opex Detail'!R333*R$1</f>
        <v>0</v>
      </c>
      <c r="S333" s="310">
        <f ca="1">+'R1 Opex Detail'!S333*S$1</f>
        <v>0</v>
      </c>
    </row>
    <row r="334" spans="1:19" s="759" customFormat="1">
      <c r="A334" s="5"/>
      <c r="B334" s="249"/>
      <c r="C334" s="13" t="s">
        <v>646</v>
      </c>
      <c r="D334" s="312">
        <f>+'R1 Opex Detail'!D334</f>
        <v>0</v>
      </c>
      <c r="E334" s="310">
        <f>+'R1 Opex Detail'!E334</f>
        <v>0</v>
      </c>
      <c r="F334" s="310">
        <f>+'R1 Opex Detail'!F334</f>
        <v>0</v>
      </c>
      <c r="G334" s="310">
        <f>+'R1 Opex Detail'!G334</f>
        <v>0</v>
      </c>
      <c r="H334" s="310">
        <f>+'R1 Opex Detail'!H334</f>
        <v>0</v>
      </c>
      <c r="I334" s="310">
        <f>+'R1 Opex Detail'!I334</f>
        <v>0</v>
      </c>
      <c r="J334" s="310">
        <f>+'R1 Opex Detail'!J334</f>
        <v>0</v>
      </c>
      <c r="K334" s="310">
        <f>+'R1 Opex Detail'!K334</f>
        <v>0</v>
      </c>
      <c r="L334" s="310">
        <f ca="1">+'R1 Opex Detail'!L334</f>
        <v>0</v>
      </c>
      <c r="M334" s="835">
        <f ca="1">+'R1 Opex Detail'!M334*M$2</f>
        <v>0</v>
      </c>
      <c r="N334" s="312">
        <f ca="1">+'R1 Opex Detail'!N334*N$1</f>
        <v>0</v>
      </c>
      <c r="O334" s="310">
        <f ca="1">+'R1 Opex Detail'!O334*O$1</f>
        <v>0</v>
      </c>
      <c r="P334" s="310">
        <f ca="1">+'R1 Opex Detail'!P334*P$1</f>
        <v>0</v>
      </c>
      <c r="Q334" s="310">
        <f ca="1">+'R1 Opex Detail'!Q334*Q$1</f>
        <v>0</v>
      </c>
      <c r="R334" s="310">
        <f ca="1">+'R1 Opex Detail'!R334*R$1</f>
        <v>0</v>
      </c>
      <c r="S334" s="310">
        <f ca="1">+'R1 Opex Detail'!S334*S$1</f>
        <v>0</v>
      </c>
    </row>
    <row r="335" spans="1:19">
      <c r="A335" s="5"/>
      <c r="B335" s="249"/>
      <c r="C335" s="13" t="s">
        <v>647</v>
      </c>
      <c r="D335" s="312">
        <f>+'R1 Opex Detail'!D335</f>
        <v>0</v>
      </c>
      <c r="E335" s="310">
        <f>+'R1 Opex Detail'!E335</f>
        <v>0</v>
      </c>
      <c r="F335" s="310">
        <f>+'R1 Opex Detail'!F335</f>
        <v>0</v>
      </c>
      <c r="G335" s="310">
        <f>+'R1 Opex Detail'!G335</f>
        <v>0</v>
      </c>
      <c r="H335" s="310">
        <f>+'R1 Opex Detail'!H335</f>
        <v>0</v>
      </c>
      <c r="I335" s="310">
        <f>+'R1 Opex Detail'!I335</f>
        <v>0</v>
      </c>
      <c r="J335" s="310">
        <f>+'R1 Opex Detail'!J335</f>
        <v>0</v>
      </c>
      <c r="K335" s="310">
        <f>+'R1 Opex Detail'!K335</f>
        <v>0</v>
      </c>
      <c r="L335" s="310">
        <f ca="1">+'R1 Opex Detail'!L335</f>
        <v>0</v>
      </c>
      <c r="M335" s="835">
        <f ca="1">+'R1 Opex Detail'!M335*M$2</f>
        <v>0</v>
      </c>
      <c r="N335" s="312">
        <f ca="1">+'R1 Opex Detail'!N335*N$1</f>
        <v>0</v>
      </c>
      <c r="O335" s="310">
        <f ca="1">+'R1 Opex Detail'!O335*O$1</f>
        <v>0</v>
      </c>
      <c r="P335" s="310">
        <f ca="1">+'R1 Opex Detail'!P335*P$1</f>
        <v>0</v>
      </c>
      <c r="Q335" s="310">
        <f ca="1">+'R1 Opex Detail'!Q335*Q$1</f>
        <v>0</v>
      </c>
      <c r="R335" s="310">
        <f ca="1">+'R1 Opex Detail'!R335*R$1</f>
        <v>0</v>
      </c>
      <c r="S335" s="310">
        <f ca="1">+'R1 Opex Detail'!S335*S$1</f>
        <v>0</v>
      </c>
    </row>
    <row r="336" spans="1:19" s="759" customFormat="1">
      <c r="A336" s="5"/>
      <c r="B336" s="249"/>
      <c r="C336" s="13" t="s">
        <v>575</v>
      </c>
      <c r="D336" s="312">
        <f>+'R1 Opex Detail'!D336</f>
        <v>0</v>
      </c>
      <c r="E336" s="310">
        <f>+'R1 Opex Detail'!E336</f>
        <v>0</v>
      </c>
      <c r="F336" s="310">
        <f>+'R1 Opex Detail'!F336</f>
        <v>0</v>
      </c>
      <c r="G336" s="310">
        <f>+'R1 Opex Detail'!G336</f>
        <v>0</v>
      </c>
      <c r="H336" s="310">
        <f>+'R1 Opex Detail'!H336</f>
        <v>0</v>
      </c>
      <c r="I336" s="310">
        <f>+'R1 Opex Detail'!I336</f>
        <v>0</v>
      </c>
      <c r="J336" s="310">
        <f>+'R1 Opex Detail'!J336</f>
        <v>0</v>
      </c>
      <c r="K336" s="310">
        <f>+'R1 Opex Detail'!K336</f>
        <v>0</v>
      </c>
      <c r="L336" s="310">
        <f ca="1">+'R1 Opex Detail'!L336</f>
        <v>0</v>
      </c>
      <c r="M336" s="835">
        <f ca="1">+'R1 Opex Detail'!M336*M$2</f>
        <v>0</v>
      </c>
      <c r="N336" s="312">
        <f ca="1">+'R1 Opex Detail'!N336*N$1</f>
        <v>0</v>
      </c>
      <c r="O336" s="310">
        <f ca="1">+'R1 Opex Detail'!O336*O$1</f>
        <v>0</v>
      </c>
      <c r="P336" s="310">
        <f ca="1">+'R1 Opex Detail'!P336*P$1</f>
        <v>0</v>
      </c>
      <c r="Q336" s="310">
        <f ca="1">+'R1 Opex Detail'!Q336*Q$1</f>
        <v>0</v>
      </c>
      <c r="R336" s="310">
        <f ca="1">+'R1 Opex Detail'!R336*R$1</f>
        <v>0</v>
      </c>
      <c r="S336" s="310">
        <f ca="1">+'R1 Opex Detail'!S336*S$1</f>
        <v>0</v>
      </c>
    </row>
    <row r="337" spans="1:19">
      <c r="A337" s="5"/>
      <c r="B337" s="249"/>
      <c r="C337" s="13" t="s">
        <v>70</v>
      </c>
      <c r="D337" s="312">
        <f>+'R1 Opex Detail'!D337</f>
        <v>0</v>
      </c>
      <c r="E337" s="310">
        <f>+'R1 Opex Detail'!E337</f>
        <v>0</v>
      </c>
      <c r="F337" s="310">
        <f>+'R1 Opex Detail'!F337</f>
        <v>0</v>
      </c>
      <c r="G337" s="310">
        <f>+'R1 Opex Detail'!G337</f>
        <v>0</v>
      </c>
      <c r="H337" s="310">
        <f>+'R1 Opex Detail'!H337</f>
        <v>0</v>
      </c>
      <c r="I337" s="310">
        <f>+'R1 Opex Detail'!I337</f>
        <v>0</v>
      </c>
      <c r="J337" s="310">
        <f>+'R1 Opex Detail'!J337</f>
        <v>0</v>
      </c>
      <c r="K337" s="310">
        <f>+'R1 Opex Detail'!K337</f>
        <v>0</v>
      </c>
      <c r="L337" s="310">
        <f ca="1">+'R1 Opex Detail'!L337</f>
        <v>0</v>
      </c>
      <c r="M337" s="835">
        <f ca="1">+'R1 Opex Detail'!M337*M$2</f>
        <v>0</v>
      </c>
      <c r="N337" s="312">
        <f ca="1">+'R1 Opex Detail'!N337*N$1</f>
        <v>0</v>
      </c>
      <c r="O337" s="310">
        <f ca="1">+'R1 Opex Detail'!O337*O$1</f>
        <v>0</v>
      </c>
      <c r="P337" s="310">
        <f ca="1">+'R1 Opex Detail'!P337*P$1</f>
        <v>0</v>
      </c>
      <c r="Q337" s="310">
        <f ca="1">+'R1 Opex Detail'!Q337*Q$1</f>
        <v>0</v>
      </c>
      <c r="R337" s="310">
        <f ca="1">+'R1 Opex Detail'!R337*R$1</f>
        <v>0</v>
      </c>
      <c r="S337" s="310">
        <f ca="1">+'R1 Opex Detail'!S337*S$1</f>
        <v>0</v>
      </c>
    </row>
    <row r="338" spans="1:19">
      <c r="A338" s="5"/>
      <c r="B338" s="249"/>
      <c r="C338" s="12" t="s">
        <v>75</v>
      </c>
      <c r="D338" s="313">
        <f t="shared" ref="D338:S338" si="41">SUBTOTAL(9,D332:D337)</f>
        <v>0</v>
      </c>
      <c r="E338" s="311">
        <f t="shared" si="41"/>
        <v>0</v>
      </c>
      <c r="F338" s="311">
        <f t="shared" si="41"/>
        <v>0</v>
      </c>
      <c r="G338" s="311">
        <f t="shared" si="41"/>
        <v>0</v>
      </c>
      <c r="H338" s="311">
        <f t="shared" si="41"/>
        <v>0</v>
      </c>
      <c r="I338" s="311">
        <f t="shared" si="41"/>
        <v>0</v>
      </c>
      <c r="J338" s="311">
        <f t="shared" si="41"/>
        <v>0</v>
      </c>
      <c r="K338" s="311">
        <f t="shared" si="41"/>
        <v>0</v>
      </c>
      <c r="L338" s="311">
        <f t="shared" ca="1" si="41"/>
        <v>0</v>
      </c>
      <c r="M338" s="513">
        <f t="shared" ca="1" si="41"/>
        <v>0</v>
      </c>
      <c r="N338" s="313">
        <f t="shared" ca="1" si="41"/>
        <v>0.14058738461538464</v>
      </c>
      <c r="O338" s="311">
        <f t="shared" ca="1" si="41"/>
        <v>0.14512773747238414</v>
      </c>
      <c r="P338" s="311">
        <f t="shared" ca="1" si="41"/>
        <v>0.14968395461872178</v>
      </c>
      <c r="Q338" s="311">
        <f t="shared" ca="1" si="41"/>
        <v>0.15452959808307024</v>
      </c>
      <c r="R338" s="311">
        <f t="shared" ca="1" si="41"/>
        <v>0.15964450284671791</v>
      </c>
      <c r="S338" s="311">
        <f t="shared" ca="1" si="41"/>
        <v>0.16477286558111323</v>
      </c>
    </row>
    <row r="339" spans="1:19">
      <c r="A339" s="5"/>
      <c r="B339" s="249"/>
      <c r="C339" s="12"/>
      <c r="D339" s="263"/>
      <c r="E339" s="263"/>
      <c r="F339" s="263"/>
      <c r="G339" s="263"/>
      <c r="H339" s="263"/>
      <c r="I339" s="263"/>
      <c r="J339" s="263"/>
      <c r="K339" s="263"/>
      <c r="L339" s="263"/>
      <c r="M339" s="836"/>
      <c r="N339" s="263"/>
      <c r="O339" s="263"/>
      <c r="P339" s="263"/>
      <c r="Q339" s="263"/>
      <c r="R339" s="263"/>
      <c r="S339" s="263"/>
    </row>
    <row r="340" spans="1:19">
      <c r="A340" s="5"/>
      <c r="B340" s="249" t="str">
        <f ca="1">+'I-4 History'!B336</f>
        <v>A-13</v>
      </c>
      <c r="C340" s="14" t="str">
        <f ca="1">+'I-4 History'!C336</f>
        <v>Accounts Payable</v>
      </c>
      <c r="D340" s="11"/>
      <c r="E340" s="11"/>
      <c r="F340" s="11"/>
      <c r="G340" s="11"/>
      <c r="H340" s="11"/>
      <c r="I340" s="11"/>
      <c r="J340" s="11"/>
      <c r="K340" s="11"/>
      <c r="L340" s="11"/>
      <c r="M340" s="507"/>
      <c r="N340" s="11"/>
      <c r="O340" s="11"/>
      <c r="P340" s="11"/>
      <c r="Q340" s="11"/>
      <c r="R340" s="11"/>
      <c r="S340" s="11"/>
    </row>
    <row r="341" spans="1:19">
      <c r="B341" s="249"/>
      <c r="C341" s="13" t="s">
        <v>68</v>
      </c>
      <c r="D341" s="312">
        <f>+'R1 Opex Detail'!D341</f>
        <v>0</v>
      </c>
      <c r="E341" s="310">
        <f>+'R1 Opex Detail'!E341</f>
        <v>0</v>
      </c>
      <c r="F341" s="310">
        <f>+'R1 Opex Detail'!F341</f>
        <v>0</v>
      </c>
      <c r="G341" s="310">
        <f>+'R1 Opex Detail'!G341</f>
        <v>0</v>
      </c>
      <c r="H341" s="310">
        <f>+'R1 Opex Detail'!H341</f>
        <v>0</v>
      </c>
      <c r="I341" s="310">
        <f>+'R1 Opex Detail'!I341</f>
        <v>0</v>
      </c>
      <c r="J341" s="310">
        <f>+'R1 Opex Detail'!J341</f>
        <v>0</v>
      </c>
      <c r="K341" s="310">
        <f>+'R1 Opex Detail'!K341</f>
        <v>0</v>
      </c>
      <c r="L341" s="310">
        <f ca="1">+'R1 Opex Detail'!L341</f>
        <v>0</v>
      </c>
      <c r="M341" s="835">
        <f ca="1">+'R1 Opex Detail'!M341*M$2</f>
        <v>0</v>
      </c>
      <c r="N341" s="312">
        <f ca="1">+'R1 Opex Detail'!N341*N$1</f>
        <v>0.44657169230769234</v>
      </c>
      <c r="O341" s="310">
        <f ca="1">+'R1 Opex Detail'!O341*O$1</f>
        <v>0.46099398961816135</v>
      </c>
      <c r="P341" s="310">
        <f ca="1">+'R1 Opex Detail'!P341*P$1</f>
        <v>0.47546667937711612</v>
      </c>
      <c r="Q341" s="310">
        <f ca="1">+'R1 Opex Detail'!Q341*Q$1</f>
        <v>0.49085872332269359</v>
      </c>
      <c r="R341" s="310">
        <f ca="1">+'R1 Opex Detail'!R341*R$1</f>
        <v>0.50710606786604517</v>
      </c>
      <c r="S341" s="310">
        <f ca="1">+'R1 Opex Detail'!S341*S$1</f>
        <v>0.52339616125765376</v>
      </c>
    </row>
    <row r="342" spans="1:19">
      <c r="B342" s="249"/>
      <c r="C342" s="13" t="s">
        <v>69</v>
      </c>
      <c r="D342" s="312">
        <f>+'R1 Opex Detail'!D342</f>
        <v>0</v>
      </c>
      <c r="E342" s="310">
        <f>+'R1 Opex Detail'!E342</f>
        <v>0</v>
      </c>
      <c r="F342" s="310">
        <f>+'R1 Opex Detail'!F342</f>
        <v>0</v>
      </c>
      <c r="G342" s="310">
        <f>+'R1 Opex Detail'!G342</f>
        <v>0</v>
      </c>
      <c r="H342" s="310">
        <f>+'R1 Opex Detail'!H342</f>
        <v>0</v>
      </c>
      <c r="I342" s="310">
        <f>+'R1 Opex Detail'!I342</f>
        <v>0</v>
      </c>
      <c r="J342" s="310">
        <f>+'R1 Opex Detail'!J342</f>
        <v>0</v>
      </c>
      <c r="K342" s="310">
        <f>+'R1 Opex Detail'!K342</f>
        <v>0</v>
      </c>
      <c r="L342" s="310">
        <f ca="1">+'R1 Opex Detail'!L342</f>
        <v>0</v>
      </c>
      <c r="M342" s="835">
        <f ca="1">+'R1 Opex Detail'!M342*M$2</f>
        <v>0</v>
      </c>
      <c r="N342" s="312">
        <f ca="1">+'R1 Opex Detail'!N342*N$1</f>
        <v>0</v>
      </c>
      <c r="O342" s="310">
        <f ca="1">+'R1 Opex Detail'!O342*O$1</f>
        <v>0</v>
      </c>
      <c r="P342" s="310">
        <f ca="1">+'R1 Opex Detail'!P342*P$1</f>
        <v>0</v>
      </c>
      <c r="Q342" s="310">
        <f ca="1">+'R1 Opex Detail'!Q342*Q$1</f>
        <v>0</v>
      </c>
      <c r="R342" s="310">
        <f ca="1">+'R1 Opex Detail'!R342*R$1</f>
        <v>0</v>
      </c>
      <c r="S342" s="310">
        <f ca="1">+'R1 Opex Detail'!S342*S$1</f>
        <v>0</v>
      </c>
    </row>
    <row r="343" spans="1:19" s="759" customFormat="1">
      <c r="B343" s="249"/>
      <c r="C343" s="13" t="s">
        <v>646</v>
      </c>
      <c r="D343" s="312">
        <f>+'R1 Opex Detail'!D343</f>
        <v>0</v>
      </c>
      <c r="E343" s="310">
        <f>+'R1 Opex Detail'!E343</f>
        <v>0</v>
      </c>
      <c r="F343" s="310">
        <f>+'R1 Opex Detail'!F343</f>
        <v>0</v>
      </c>
      <c r="G343" s="310">
        <f>+'R1 Opex Detail'!G343</f>
        <v>0</v>
      </c>
      <c r="H343" s="310">
        <f>+'R1 Opex Detail'!H343</f>
        <v>0</v>
      </c>
      <c r="I343" s="310">
        <f>+'R1 Opex Detail'!I343</f>
        <v>0</v>
      </c>
      <c r="J343" s="310">
        <f>+'R1 Opex Detail'!J343</f>
        <v>0</v>
      </c>
      <c r="K343" s="310">
        <f>+'R1 Opex Detail'!K343</f>
        <v>0</v>
      </c>
      <c r="L343" s="310">
        <f ca="1">+'R1 Opex Detail'!L343</f>
        <v>0</v>
      </c>
      <c r="M343" s="835">
        <f ca="1">+'R1 Opex Detail'!M343*M$2</f>
        <v>0</v>
      </c>
      <c r="N343" s="312">
        <f ca="1">+'R1 Opex Detail'!N343*N$1</f>
        <v>0</v>
      </c>
      <c r="O343" s="310">
        <f ca="1">+'R1 Opex Detail'!O343*O$1</f>
        <v>0</v>
      </c>
      <c r="P343" s="310">
        <f ca="1">+'R1 Opex Detail'!P343*P$1</f>
        <v>0</v>
      </c>
      <c r="Q343" s="310">
        <f ca="1">+'R1 Opex Detail'!Q343*Q$1</f>
        <v>0</v>
      </c>
      <c r="R343" s="310">
        <f ca="1">+'R1 Opex Detail'!R343*R$1</f>
        <v>0</v>
      </c>
      <c r="S343" s="310">
        <f ca="1">+'R1 Opex Detail'!S343*S$1</f>
        <v>0</v>
      </c>
    </row>
    <row r="344" spans="1:19">
      <c r="B344" s="249"/>
      <c r="C344" s="13" t="s">
        <v>647</v>
      </c>
      <c r="D344" s="312">
        <f>+'R1 Opex Detail'!D344</f>
        <v>0</v>
      </c>
      <c r="E344" s="310">
        <f>+'R1 Opex Detail'!E344</f>
        <v>0</v>
      </c>
      <c r="F344" s="310">
        <f>+'R1 Opex Detail'!F344</f>
        <v>0</v>
      </c>
      <c r="G344" s="310">
        <f>+'R1 Opex Detail'!G344</f>
        <v>0</v>
      </c>
      <c r="H344" s="310">
        <f>+'R1 Opex Detail'!H344</f>
        <v>0</v>
      </c>
      <c r="I344" s="310">
        <f>+'R1 Opex Detail'!I344</f>
        <v>0</v>
      </c>
      <c r="J344" s="310">
        <f>+'R1 Opex Detail'!J344</f>
        <v>0</v>
      </c>
      <c r="K344" s="310">
        <f>+'R1 Opex Detail'!K344</f>
        <v>0</v>
      </c>
      <c r="L344" s="310">
        <f ca="1">+'R1 Opex Detail'!L344</f>
        <v>0</v>
      </c>
      <c r="M344" s="835">
        <f ca="1">+'R1 Opex Detail'!M344*M$2</f>
        <v>0</v>
      </c>
      <c r="N344" s="312">
        <f ca="1">+'R1 Opex Detail'!N344*N$1</f>
        <v>1.0337307692307694E-3</v>
      </c>
      <c r="O344" s="310">
        <f ca="1">+'R1 Opex Detail'!O344*O$1</f>
        <v>1.0499221026141685E-3</v>
      </c>
      <c r="P344" s="310">
        <f ca="1">+'R1 Opex Detail'!P344*P$1</f>
        <v>1.0654362389235514E-3</v>
      </c>
      <c r="Q344" s="310">
        <f ca="1">+'R1 Opex Detail'!Q344*Q$1</f>
        <v>1.0852628521717987E-3</v>
      </c>
      <c r="R344" s="310">
        <f ca="1">+'R1 Opex Detail'!R344*R$1</f>
        <v>1.1078818045924454E-3</v>
      </c>
      <c r="S344" s="310">
        <f ca="1">+'R1 Opex Detail'!S344*S$1</f>
        <v>1.1321398257822441E-3</v>
      </c>
    </row>
    <row r="345" spans="1:19" s="759" customFormat="1">
      <c r="B345" s="249"/>
      <c r="C345" s="13" t="s">
        <v>575</v>
      </c>
      <c r="D345" s="312">
        <f>+'R1 Opex Detail'!D345</f>
        <v>0</v>
      </c>
      <c r="E345" s="310">
        <f>+'R1 Opex Detail'!E345</f>
        <v>0</v>
      </c>
      <c r="F345" s="310">
        <f>+'R1 Opex Detail'!F345</f>
        <v>0</v>
      </c>
      <c r="G345" s="310">
        <f>+'R1 Opex Detail'!G345</f>
        <v>0</v>
      </c>
      <c r="H345" s="310">
        <f>+'R1 Opex Detail'!H345</f>
        <v>0</v>
      </c>
      <c r="I345" s="310">
        <f>+'R1 Opex Detail'!I345</f>
        <v>0</v>
      </c>
      <c r="J345" s="310">
        <f>+'R1 Opex Detail'!J345</f>
        <v>0</v>
      </c>
      <c r="K345" s="310">
        <f>+'R1 Opex Detail'!K345</f>
        <v>0</v>
      </c>
      <c r="L345" s="310">
        <f ca="1">+'R1 Opex Detail'!L345</f>
        <v>0</v>
      </c>
      <c r="M345" s="835">
        <f ca="1">+'R1 Opex Detail'!M345*M$2</f>
        <v>0</v>
      </c>
      <c r="N345" s="312">
        <f ca="1">+'R1 Opex Detail'!N345*N$1</f>
        <v>0</v>
      </c>
      <c r="O345" s="310">
        <f ca="1">+'R1 Opex Detail'!O345*O$1</f>
        <v>0</v>
      </c>
      <c r="P345" s="310">
        <f ca="1">+'R1 Opex Detail'!P345*P$1</f>
        <v>0</v>
      </c>
      <c r="Q345" s="310">
        <f ca="1">+'R1 Opex Detail'!Q345*Q$1</f>
        <v>0</v>
      </c>
      <c r="R345" s="310">
        <f ca="1">+'R1 Opex Detail'!R345*R$1</f>
        <v>0</v>
      </c>
      <c r="S345" s="310">
        <f ca="1">+'R1 Opex Detail'!S345*S$1</f>
        <v>0</v>
      </c>
    </row>
    <row r="346" spans="1:19">
      <c r="B346" s="249"/>
      <c r="C346" s="13" t="s">
        <v>70</v>
      </c>
      <c r="D346" s="312">
        <f>+'R1 Opex Detail'!D346</f>
        <v>0</v>
      </c>
      <c r="E346" s="310">
        <f>+'R1 Opex Detail'!E346</f>
        <v>0</v>
      </c>
      <c r="F346" s="310">
        <f>+'R1 Opex Detail'!F346</f>
        <v>0</v>
      </c>
      <c r="G346" s="310">
        <f>+'R1 Opex Detail'!G346</f>
        <v>0</v>
      </c>
      <c r="H346" s="310">
        <f>+'R1 Opex Detail'!H346</f>
        <v>0</v>
      </c>
      <c r="I346" s="310">
        <f>+'R1 Opex Detail'!I346</f>
        <v>0</v>
      </c>
      <c r="J346" s="310">
        <f>+'R1 Opex Detail'!J346</f>
        <v>0</v>
      </c>
      <c r="K346" s="310">
        <f>+'R1 Opex Detail'!K346</f>
        <v>0</v>
      </c>
      <c r="L346" s="310">
        <f ca="1">+'R1 Opex Detail'!L346</f>
        <v>0</v>
      </c>
      <c r="M346" s="835">
        <f ca="1">+'R1 Opex Detail'!M346*M$2</f>
        <v>0</v>
      </c>
      <c r="N346" s="312">
        <f ca="1">+'R1 Opex Detail'!N346*N$1</f>
        <v>0</v>
      </c>
      <c r="O346" s="310">
        <f ca="1">+'R1 Opex Detail'!O346*O$1</f>
        <v>0</v>
      </c>
      <c r="P346" s="310">
        <f ca="1">+'R1 Opex Detail'!P346*P$1</f>
        <v>0</v>
      </c>
      <c r="Q346" s="310">
        <f ca="1">+'R1 Opex Detail'!Q346*Q$1</f>
        <v>0</v>
      </c>
      <c r="R346" s="310">
        <f ca="1">+'R1 Opex Detail'!R346*R$1</f>
        <v>0</v>
      </c>
      <c r="S346" s="310">
        <f ca="1">+'R1 Opex Detail'!S346*S$1</f>
        <v>0</v>
      </c>
    </row>
    <row r="347" spans="1:19">
      <c r="B347" s="249"/>
      <c r="C347" s="12" t="s">
        <v>75</v>
      </c>
      <c r="D347" s="313">
        <f t="shared" ref="D347:S347" si="42">SUBTOTAL(9,D341:D346)</f>
        <v>0</v>
      </c>
      <c r="E347" s="311">
        <f t="shared" si="42"/>
        <v>0</v>
      </c>
      <c r="F347" s="311">
        <f t="shared" si="42"/>
        <v>0</v>
      </c>
      <c r="G347" s="311">
        <f t="shared" si="42"/>
        <v>0</v>
      </c>
      <c r="H347" s="311">
        <f t="shared" si="42"/>
        <v>0</v>
      </c>
      <c r="I347" s="311">
        <f t="shared" si="42"/>
        <v>0</v>
      </c>
      <c r="J347" s="311">
        <f t="shared" si="42"/>
        <v>0</v>
      </c>
      <c r="K347" s="311">
        <f t="shared" si="42"/>
        <v>0</v>
      </c>
      <c r="L347" s="311">
        <f t="shared" ca="1" si="42"/>
        <v>0</v>
      </c>
      <c r="M347" s="513">
        <f t="shared" ca="1" si="42"/>
        <v>0</v>
      </c>
      <c r="N347" s="313">
        <f t="shared" ca="1" si="42"/>
        <v>0.44760542307692308</v>
      </c>
      <c r="O347" s="311">
        <f t="shared" ca="1" si="42"/>
        <v>0.46204391172077552</v>
      </c>
      <c r="P347" s="311">
        <f t="shared" ca="1" si="42"/>
        <v>0.4765321156160397</v>
      </c>
      <c r="Q347" s="311">
        <f t="shared" ca="1" si="42"/>
        <v>0.4919439861748654</v>
      </c>
      <c r="R347" s="311">
        <f t="shared" ca="1" si="42"/>
        <v>0.5082139496706376</v>
      </c>
      <c r="S347" s="311">
        <f t="shared" ca="1" si="42"/>
        <v>0.52452830108343595</v>
      </c>
    </row>
    <row r="348" spans="1:19">
      <c r="B348" s="249"/>
      <c r="C348" s="12"/>
      <c r="D348" s="263"/>
      <c r="E348" s="263"/>
      <c r="F348" s="263"/>
      <c r="G348" s="263"/>
      <c r="H348" s="263"/>
      <c r="I348" s="263"/>
      <c r="J348" s="263"/>
      <c r="K348" s="263"/>
      <c r="L348" s="263"/>
      <c r="M348" s="836"/>
      <c r="N348" s="263"/>
      <c r="O348" s="263"/>
      <c r="P348" s="263"/>
      <c r="Q348" s="263"/>
      <c r="R348" s="263"/>
      <c r="S348" s="263"/>
    </row>
    <row r="349" spans="1:19">
      <c r="A349" s="5"/>
      <c r="B349" s="249" t="str">
        <f ca="1">+'I-4 History'!B345</f>
        <v>A-14</v>
      </c>
      <c r="C349" s="14" t="str">
        <f ca="1">+'I-4 History'!C345</f>
        <v>Payroll</v>
      </c>
      <c r="D349" s="11"/>
      <c r="E349" s="11"/>
      <c r="F349" s="11"/>
      <c r="G349" s="11"/>
      <c r="H349" s="11"/>
      <c r="I349" s="11"/>
      <c r="J349" s="11"/>
      <c r="K349" s="11"/>
      <c r="L349" s="11"/>
      <c r="M349" s="507"/>
      <c r="N349" s="11"/>
      <c r="O349" s="11"/>
      <c r="P349" s="11"/>
      <c r="Q349" s="11"/>
      <c r="R349" s="11"/>
      <c r="S349" s="11"/>
    </row>
    <row r="350" spans="1:19">
      <c r="A350" s="5"/>
      <c r="B350" s="249"/>
      <c r="C350" s="13" t="s">
        <v>68</v>
      </c>
      <c r="D350" s="312">
        <f>+'R1 Opex Detail'!D350</f>
        <v>0</v>
      </c>
      <c r="E350" s="310">
        <f>+'R1 Opex Detail'!E350</f>
        <v>0</v>
      </c>
      <c r="F350" s="310">
        <f>+'R1 Opex Detail'!F350</f>
        <v>0</v>
      </c>
      <c r="G350" s="310">
        <f>+'R1 Opex Detail'!G350</f>
        <v>0</v>
      </c>
      <c r="H350" s="310">
        <f>+'R1 Opex Detail'!H350</f>
        <v>0</v>
      </c>
      <c r="I350" s="310">
        <f>+'R1 Opex Detail'!I350</f>
        <v>0</v>
      </c>
      <c r="J350" s="310">
        <f>+'R1 Opex Detail'!J350</f>
        <v>0</v>
      </c>
      <c r="K350" s="310">
        <f>+'R1 Opex Detail'!K350</f>
        <v>0</v>
      </c>
      <c r="L350" s="310">
        <f ca="1">+'R1 Opex Detail'!L350</f>
        <v>0</v>
      </c>
      <c r="M350" s="835">
        <f ca="1">+'R1 Opex Detail'!M350*M$2</f>
        <v>0</v>
      </c>
      <c r="N350" s="312">
        <f ca="1">+'R1 Opex Detail'!N350*N$1</f>
        <v>0.41866096153846161</v>
      </c>
      <c r="O350" s="310">
        <f ca="1">+'R1 Opex Detail'!O350*O$1</f>
        <v>0.43218186526702634</v>
      </c>
      <c r="P350" s="310">
        <f ca="1">+'R1 Opex Detail'!P350*P$1</f>
        <v>0.44575001191604641</v>
      </c>
      <c r="Q350" s="310">
        <f ca="1">+'R1 Opex Detail'!Q350*Q$1</f>
        <v>0.4601800531150253</v>
      </c>
      <c r="R350" s="310">
        <f ca="1">+'R1 Opex Detail'!R350*R$1</f>
        <v>0.47541193862441733</v>
      </c>
      <c r="S350" s="310">
        <f ca="1">+'R1 Opex Detail'!S350*S$1</f>
        <v>0.49068390117905042</v>
      </c>
    </row>
    <row r="351" spans="1:19">
      <c r="A351" s="5"/>
      <c r="B351" s="249"/>
      <c r="C351" s="13" t="s">
        <v>69</v>
      </c>
      <c r="D351" s="312">
        <f>+'R1 Opex Detail'!D351</f>
        <v>0</v>
      </c>
      <c r="E351" s="310">
        <f>+'R1 Opex Detail'!E351</f>
        <v>0</v>
      </c>
      <c r="F351" s="310">
        <f>+'R1 Opex Detail'!F351</f>
        <v>0</v>
      </c>
      <c r="G351" s="310">
        <f>+'R1 Opex Detail'!G351</f>
        <v>0</v>
      </c>
      <c r="H351" s="310">
        <f>+'R1 Opex Detail'!H351</f>
        <v>0</v>
      </c>
      <c r="I351" s="310">
        <f>+'R1 Opex Detail'!I351</f>
        <v>0</v>
      </c>
      <c r="J351" s="310">
        <f>+'R1 Opex Detail'!J351</f>
        <v>0</v>
      </c>
      <c r="K351" s="310">
        <f>+'R1 Opex Detail'!K351</f>
        <v>0</v>
      </c>
      <c r="L351" s="310">
        <f ca="1">+'R1 Opex Detail'!L351</f>
        <v>0</v>
      </c>
      <c r="M351" s="835">
        <f ca="1">+'R1 Opex Detail'!M351*M$2</f>
        <v>0</v>
      </c>
      <c r="N351" s="312">
        <f ca="1">+'R1 Opex Detail'!N351*N$1</f>
        <v>2.0674615384615389E-3</v>
      </c>
      <c r="O351" s="310">
        <f ca="1">+'R1 Opex Detail'!O351*O$1</f>
        <v>2.089397219132674E-3</v>
      </c>
      <c r="P351" s="310">
        <f ca="1">+'R1 Opex Detail'!P351*P$1</f>
        <v>2.1097225096874859E-3</v>
      </c>
      <c r="Q351" s="310">
        <f ca="1">+'R1 Opex Detail'!Q351*Q$1</f>
        <v>2.1298138337042293E-3</v>
      </c>
      <c r="R351" s="310">
        <f ca="1">+'R1 Opex Detail'!R351*R$1</f>
        <v>2.1516113066173698E-3</v>
      </c>
      <c r="S351" s="310">
        <f ca="1">+'R1 Opex Detail'!S351*S$1</f>
        <v>2.1715779549387917E-3</v>
      </c>
    </row>
    <row r="352" spans="1:19" s="759" customFormat="1">
      <c r="A352" s="5"/>
      <c r="B352" s="249"/>
      <c r="C352" s="13" t="s">
        <v>646</v>
      </c>
      <c r="D352" s="312">
        <f>+'R1 Opex Detail'!D352</f>
        <v>0</v>
      </c>
      <c r="E352" s="310">
        <f>+'R1 Opex Detail'!E352</f>
        <v>0</v>
      </c>
      <c r="F352" s="310">
        <f>+'R1 Opex Detail'!F352</f>
        <v>0</v>
      </c>
      <c r="G352" s="310">
        <f>+'R1 Opex Detail'!G352</f>
        <v>0</v>
      </c>
      <c r="H352" s="310">
        <f>+'R1 Opex Detail'!H352</f>
        <v>0</v>
      </c>
      <c r="I352" s="310">
        <f>+'R1 Opex Detail'!I352</f>
        <v>0</v>
      </c>
      <c r="J352" s="310">
        <f>+'R1 Opex Detail'!J352</f>
        <v>0</v>
      </c>
      <c r="K352" s="310">
        <f>+'R1 Opex Detail'!K352</f>
        <v>0</v>
      </c>
      <c r="L352" s="310">
        <f ca="1">+'R1 Opex Detail'!L352</f>
        <v>0</v>
      </c>
      <c r="M352" s="835">
        <f ca="1">+'R1 Opex Detail'!M352*M$2</f>
        <v>0</v>
      </c>
      <c r="N352" s="312">
        <f ca="1">+'R1 Opex Detail'!N352*N$1</f>
        <v>0</v>
      </c>
      <c r="O352" s="310">
        <f ca="1">+'R1 Opex Detail'!O352*O$1</f>
        <v>0</v>
      </c>
      <c r="P352" s="310">
        <f ca="1">+'R1 Opex Detail'!P352*P$1</f>
        <v>0</v>
      </c>
      <c r="Q352" s="310">
        <f ca="1">+'R1 Opex Detail'!Q352*Q$1</f>
        <v>0</v>
      </c>
      <c r="R352" s="310">
        <f ca="1">+'R1 Opex Detail'!R352*R$1</f>
        <v>0</v>
      </c>
      <c r="S352" s="310">
        <f ca="1">+'R1 Opex Detail'!S352*S$1</f>
        <v>0</v>
      </c>
    </row>
    <row r="353" spans="1:19">
      <c r="A353" s="5"/>
      <c r="B353" s="249"/>
      <c r="C353" s="13" t="s">
        <v>647</v>
      </c>
      <c r="D353" s="312">
        <f>+'R1 Opex Detail'!D353</f>
        <v>0</v>
      </c>
      <c r="E353" s="310">
        <f>+'R1 Opex Detail'!E353</f>
        <v>0</v>
      </c>
      <c r="F353" s="310">
        <f>+'R1 Opex Detail'!F353</f>
        <v>0</v>
      </c>
      <c r="G353" s="310">
        <f>+'R1 Opex Detail'!G353</f>
        <v>0</v>
      </c>
      <c r="H353" s="310">
        <f>+'R1 Opex Detail'!H353</f>
        <v>0</v>
      </c>
      <c r="I353" s="310">
        <f>+'R1 Opex Detail'!I353</f>
        <v>0</v>
      </c>
      <c r="J353" s="310">
        <f>+'R1 Opex Detail'!J353</f>
        <v>0</v>
      </c>
      <c r="K353" s="310">
        <f>+'R1 Opex Detail'!K353</f>
        <v>0</v>
      </c>
      <c r="L353" s="310">
        <f ca="1">+'R1 Opex Detail'!L353</f>
        <v>0</v>
      </c>
      <c r="M353" s="835">
        <f ca="1">+'R1 Opex Detail'!M353*M$2</f>
        <v>0</v>
      </c>
      <c r="N353" s="312">
        <f ca="1">+'R1 Opex Detail'!N353*N$1</f>
        <v>9.3035769230769231E-3</v>
      </c>
      <c r="O353" s="310">
        <f ca="1">+'R1 Opex Detail'!O353*O$1</f>
        <v>9.449298923527515E-3</v>
      </c>
      <c r="P353" s="310">
        <f ca="1">+'R1 Opex Detail'!P353*P$1</f>
        <v>9.5889261503119601E-3</v>
      </c>
      <c r="Q353" s="310">
        <f ca="1">+'R1 Opex Detail'!Q353*Q$1</f>
        <v>9.7673656695461842E-3</v>
      </c>
      <c r="R353" s="310">
        <f ca="1">+'R1 Opex Detail'!R353*R$1</f>
        <v>9.9709362413320062E-3</v>
      </c>
      <c r="S353" s="310">
        <f ca="1">+'R1 Opex Detail'!S353*S$1</f>
        <v>1.0189258432040197E-2</v>
      </c>
    </row>
    <row r="354" spans="1:19" s="759" customFormat="1">
      <c r="A354" s="5"/>
      <c r="B354" s="249"/>
      <c r="C354" s="13" t="s">
        <v>575</v>
      </c>
      <c r="D354" s="312">
        <f>+'R1 Opex Detail'!D354</f>
        <v>0</v>
      </c>
      <c r="E354" s="310">
        <f>+'R1 Opex Detail'!E354</f>
        <v>0</v>
      </c>
      <c r="F354" s="310">
        <f>+'R1 Opex Detail'!F354</f>
        <v>0</v>
      </c>
      <c r="G354" s="310">
        <f>+'R1 Opex Detail'!G354</f>
        <v>0</v>
      </c>
      <c r="H354" s="310">
        <f>+'R1 Opex Detail'!H354</f>
        <v>0</v>
      </c>
      <c r="I354" s="310">
        <f>+'R1 Opex Detail'!I354</f>
        <v>0</v>
      </c>
      <c r="J354" s="310">
        <f>+'R1 Opex Detail'!J354</f>
        <v>0</v>
      </c>
      <c r="K354" s="310">
        <f>+'R1 Opex Detail'!K354</f>
        <v>0</v>
      </c>
      <c r="L354" s="310">
        <f ca="1">+'R1 Opex Detail'!L354</f>
        <v>0</v>
      </c>
      <c r="M354" s="835">
        <f ca="1">+'R1 Opex Detail'!M354*M$2</f>
        <v>0</v>
      </c>
      <c r="N354" s="312">
        <f ca="1">+'R1 Opex Detail'!N354*N$1</f>
        <v>0</v>
      </c>
      <c r="O354" s="310">
        <f ca="1">+'R1 Opex Detail'!O354*O$1</f>
        <v>0</v>
      </c>
      <c r="P354" s="310">
        <f ca="1">+'R1 Opex Detail'!P354*P$1</f>
        <v>0</v>
      </c>
      <c r="Q354" s="310">
        <f ca="1">+'R1 Opex Detail'!Q354*Q$1</f>
        <v>0</v>
      </c>
      <c r="R354" s="310">
        <f ca="1">+'R1 Opex Detail'!R354*R$1</f>
        <v>0</v>
      </c>
      <c r="S354" s="310">
        <f ca="1">+'R1 Opex Detail'!S354*S$1</f>
        <v>0</v>
      </c>
    </row>
    <row r="355" spans="1:19">
      <c r="A355" s="5"/>
      <c r="B355" s="249"/>
      <c r="C355" s="13" t="s">
        <v>70</v>
      </c>
      <c r="D355" s="312">
        <f>+'R1 Opex Detail'!D355</f>
        <v>0</v>
      </c>
      <c r="E355" s="310">
        <f>+'R1 Opex Detail'!E355</f>
        <v>0</v>
      </c>
      <c r="F355" s="310">
        <f>+'R1 Opex Detail'!F355</f>
        <v>0</v>
      </c>
      <c r="G355" s="310">
        <f>+'R1 Opex Detail'!G355</f>
        <v>0</v>
      </c>
      <c r="H355" s="310">
        <f>+'R1 Opex Detail'!H355</f>
        <v>0</v>
      </c>
      <c r="I355" s="310">
        <f>+'R1 Opex Detail'!I355</f>
        <v>0</v>
      </c>
      <c r="J355" s="310">
        <f>+'R1 Opex Detail'!J355</f>
        <v>0</v>
      </c>
      <c r="K355" s="310">
        <f>+'R1 Opex Detail'!K355</f>
        <v>0</v>
      </c>
      <c r="L355" s="310">
        <f ca="1">+'R1 Opex Detail'!L355</f>
        <v>0</v>
      </c>
      <c r="M355" s="835">
        <f ca="1">+'R1 Opex Detail'!M355*M$2</f>
        <v>0</v>
      </c>
      <c r="N355" s="312">
        <f ca="1">+'R1 Opex Detail'!N355*N$1</f>
        <v>0</v>
      </c>
      <c r="O355" s="310">
        <f ca="1">+'R1 Opex Detail'!O355*O$1</f>
        <v>0</v>
      </c>
      <c r="P355" s="310">
        <f ca="1">+'R1 Opex Detail'!P355*P$1</f>
        <v>0</v>
      </c>
      <c r="Q355" s="310">
        <f ca="1">+'R1 Opex Detail'!Q355*Q$1</f>
        <v>0</v>
      </c>
      <c r="R355" s="310">
        <f ca="1">+'R1 Opex Detail'!R355*R$1</f>
        <v>0</v>
      </c>
      <c r="S355" s="310">
        <f ca="1">+'R1 Opex Detail'!S355*S$1</f>
        <v>0</v>
      </c>
    </row>
    <row r="356" spans="1:19">
      <c r="A356" s="5"/>
      <c r="B356" s="249"/>
      <c r="C356" s="12" t="s">
        <v>75</v>
      </c>
      <c r="D356" s="313">
        <f t="shared" ref="D356:S356" si="43">SUBTOTAL(9,D350:D355)</f>
        <v>0</v>
      </c>
      <c r="E356" s="311">
        <f t="shared" si="43"/>
        <v>0</v>
      </c>
      <c r="F356" s="311">
        <f t="shared" si="43"/>
        <v>0</v>
      </c>
      <c r="G356" s="311">
        <f t="shared" si="43"/>
        <v>0</v>
      </c>
      <c r="H356" s="311">
        <f t="shared" si="43"/>
        <v>0</v>
      </c>
      <c r="I356" s="311">
        <f t="shared" si="43"/>
        <v>0</v>
      </c>
      <c r="J356" s="311">
        <f t="shared" si="43"/>
        <v>0</v>
      </c>
      <c r="K356" s="311">
        <f t="shared" si="43"/>
        <v>0</v>
      </c>
      <c r="L356" s="311">
        <f t="shared" ca="1" si="43"/>
        <v>0</v>
      </c>
      <c r="M356" s="513">
        <f t="shared" ca="1" si="43"/>
        <v>0</v>
      </c>
      <c r="N356" s="313">
        <f t="shared" ca="1" si="43"/>
        <v>0.43003200000000008</v>
      </c>
      <c r="O356" s="311">
        <f t="shared" ca="1" si="43"/>
        <v>0.44372056140968652</v>
      </c>
      <c r="P356" s="311">
        <f t="shared" ca="1" si="43"/>
        <v>0.45744866057604588</v>
      </c>
      <c r="Q356" s="311">
        <f t="shared" ca="1" si="43"/>
        <v>0.47207723261827572</v>
      </c>
      <c r="R356" s="311">
        <f t="shared" ca="1" si="43"/>
        <v>0.48753448617236672</v>
      </c>
      <c r="S356" s="311">
        <f t="shared" ca="1" si="43"/>
        <v>0.50304473756602941</v>
      </c>
    </row>
    <row r="357" spans="1:19">
      <c r="A357" s="5"/>
      <c r="B357" s="249"/>
      <c r="C357" s="12"/>
      <c r="D357" s="263"/>
      <c r="E357" s="263"/>
      <c r="F357" s="263"/>
      <c r="G357" s="263"/>
      <c r="H357" s="263"/>
      <c r="I357" s="263"/>
      <c r="J357" s="263"/>
      <c r="K357" s="263"/>
      <c r="L357" s="263"/>
      <c r="M357" s="836"/>
      <c r="N357" s="263"/>
      <c r="O357" s="263"/>
      <c r="P357" s="263"/>
      <c r="Q357" s="263"/>
      <c r="R357" s="263"/>
      <c r="S357" s="263"/>
    </row>
    <row r="358" spans="1:19">
      <c r="A358" s="5"/>
      <c r="B358" s="249" t="str">
        <f ca="1">+'I-4 History'!B354</f>
        <v>A-15</v>
      </c>
      <c r="C358" s="14" t="str">
        <f ca="1">+'I-4 History'!C354</f>
        <v>Purchasing and Contracts</v>
      </c>
      <c r="D358" s="11"/>
      <c r="E358" s="11"/>
      <c r="F358" s="11"/>
      <c r="G358" s="11"/>
      <c r="H358" s="11"/>
      <c r="I358" s="11"/>
      <c r="J358" s="11"/>
      <c r="K358" s="11"/>
      <c r="L358" s="11"/>
      <c r="M358" s="507"/>
      <c r="N358" s="11"/>
      <c r="O358" s="11"/>
      <c r="P358" s="11"/>
      <c r="Q358" s="11"/>
      <c r="R358" s="11"/>
      <c r="S358" s="11"/>
    </row>
    <row r="359" spans="1:19">
      <c r="A359" s="5"/>
      <c r="B359" s="249"/>
      <c r="C359" s="13" t="s">
        <v>68</v>
      </c>
      <c r="D359" s="312">
        <f>+'R1 Opex Detail'!D359</f>
        <v>0</v>
      </c>
      <c r="E359" s="310">
        <f>+'R1 Opex Detail'!E359</f>
        <v>0</v>
      </c>
      <c r="F359" s="310">
        <f>+'R1 Opex Detail'!F359</f>
        <v>0</v>
      </c>
      <c r="G359" s="310">
        <f>+'R1 Opex Detail'!G359</f>
        <v>0</v>
      </c>
      <c r="H359" s="310">
        <f>+'R1 Opex Detail'!H359</f>
        <v>0</v>
      </c>
      <c r="I359" s="310">
        <f>+'R1 Opex Detail'!I359</f>
        <v>0</v>
      </c>
      <c r="J359" s="310">
        <f>+'R1 Opex Detail'!J359</f>
        <v>0</v>
      </c>
      <c r="K359" s="310">
        <f>+'R1 Opex Detail'!K359</f>
        <v>0</v>
      </c>
      <c r="L359" s="310">
        <f ca="1">+'R1 Opex Detail'!L359</f>
        <v>0</v>
      </c>
      <c r="M359" s="835">
        <f ca="1">+'R1 Opex Detail'!M359*M$2</f>
        <v>0</v>
      </c>
      <c r="N359" s="312">
        <f ca="1">+'R1 Opex Detail'!N359*N$1</f>
        <v>3.4361210769230772</v>
      </c>
      <c r="O359" s="310">
        <f ca="1">+'R1 Opex Detail'!O359*O$1</f>
        <v>3.5470926423397415</v>
      </c>
      <c r="P359" s="310">
        <f ca="1">+'R1 Opex Detail'!P359*P$1</f>
        <v>3.6584519496516985</v>
      </c>
      <c r="Q359" s="310">
        <f ca="1">+'R1 Opex Detail'!Q359*Q$1</f>
        <v>3.7768851766773919</v>
      </c>
      <c r="R359" s="310">
        <f ca="1">+'R1 Opex Detail'!R359*R$1</f>
        <v>3.9018994666359577</v>
      </c>
      <c r="S359" s="310">
        <f ca="1">+'R1 Opex Detail'!S359*S$1</f>
        <v>4.0272426852325021</v>
      </c>
    </row>
    <row r="360" spans="1:19">
      <c r="A360" s="5"/>
      <c r="B360" s="249"/>
      <c r="C360" s="13" t="s">
        <v>69</v>
      </c>
      <c r="D360" s="312">
        <f>+'R1 Opex Detail'!D360</f>
        <v>0</v>
      </c>
      <c r="E360" s="310">
        <f>+'R1 Opex Detail'!E360</f>
        <v>0</v>
      </c>
      <c r="F360" s="310">
        <f>+'R1 Opex Detail'!F360</f>
        <v>0</v>
      </c>
      <c r="G360" s="310">
        <f>+'R1 Opex Detail'!G360</f>
        <v>0</v>
      </c>
      <c r="H360" s="310">
        <f>+'R1 Opex Detail'!H360</f>
        <v>0</v>
      </c>
      <c r="I360" s="310">
        <f>+'R1 Opex Detail'!I360</f>
        <v>0</v>
      </c>
      <c r="J360" s="310">
        <f>+'R1 Opex Detail'!J360</f>
        <v>0</v>
      </c>
      <c r="K360" s="310">
        <f>+'R1 Opex Detail'!K360</f>
        <v>0</v>
      </c>
      <c r="L360" s="310">
        <f ca="1">+'R1 Opex Detail'!L360</f>
        <v>0</v>
      </c>
      <c r="M360" s="835">
        <f ca="1">+'R1 Opex Detail'!M360*M$2</f>
        <v>0</v>
      </c>
      <c r="N360" s="312">
        <f ca="1">+'R1 Opex Detail'!N360*N$1</f>
        <v>-1.2404769230769233E-2</v>
      </c>
      <c r="O360" s="310">
        <f ca="1">+'R1 Opex Detail'!O360*O$1</f>
        <v>-1.2536383314796043E-2</v>
      </c>
      <c r="P360" s="310">
        <f ca="1">+'R1 Opex Detail'!P360*P$1</f>
        <v>-1.2658335058124914E-2</v>
      </c>
      <c r="Q360" s="310">
        <f ca="1">+'R1 Opex Detail'!Q360*Q$1</f>
        <v>-1.2778883002225374E-2</v>
      </c>
      <c r="R360" s="310">
        <f ca="1">+'R1 Opex Detail'!R360*R$1</f>
        <v>-1.2909667839704219E-2</v>
      </c>
      <c r="S360" s="310">
        <f ca="1">+'R1 Opex Detail'!S360*S$1</f>
        <v>-1.3029467729632753E-2</v>
      </c>
    </row>
    <row r="361" spans="1:19" s="759" customFormat="1">
      <c r="A361" s="5"/>
      <c r="B361" s="249"/>
      <c r="C361" s="13" t="s">
        <v>646</v>
      </c>
      <c r="D361" s="312">
        <f>+'R1 Opex Detail'!D361</f>
        <v>0</v>
      </c>
      <c r="E361" s="310">
        <f>+'R1 Opex Detail'!E361</f>
        <v>0</v>
      </c>
      <c r="F361" s="310">
        <f>+'R1 Opex Detail'!F361</f>
        <v>0</v>
      </c>
      <c r="G361" s="310">
        <f>+'R1 Opex Detail'!G361</f>
        <v>0</v>
      </c>
      <c r="H361" s="310">
        <f>+'R1 Opex Detail'!H361</f>
        <v>0</v>
      </c>
      <c r="I361" s="310">
        <f>+'R1 Opex Detail'!I361</f>
        <v>0</v>
      </c>
      <c r="J361" s="310">
        <f>+'R1 Opex Detail'!J361</f>
        <v>0</v>
      </c>
      <c r="K361" s="310">
        <f>+'R1 Opex Detail'!K361</f>
        <v>0</v>
      </c>
      <c r="L361" s="310">
        <f ca="1">+'R1 Opex Detail'!L361</f>
        <v>0</v>
      </c>
      <c r="M361" s="835">
        <f ca="1">+'R1 Opex Detail'!M361*M$2</f>
        <v>0</v>
      </c>
      <c r="N361" s="312">
        <f ca="1">+'R1 Opex Detail'!N361*N$1</f>
        <v>3.2045653846153849E-2</v>
      </c>
      <c r="O361" s="310">
        <f ca="1">+'R1 Opex Detail'!O361*O$1</f>
        <v>3.2547585181039229E-2</v>
      </c>
      <c r="P361" s="310">
        <f ca="1">+'R1 Opex Detail'!P361*P$1</f>
        <v>3.3028523406630088E-2</v>
      </c>
      <c r="Q361" s="310">
        <f ca="1">+'R1 Opex Detail'!Q361*Q$1</f>
        <v>3.3643148417325748E-2</v>
      </c>
      <c r="R361" s="310">
        <f ca="1">+'R1 Opex Detail'!R361*R$1</f>
        <v>3.4344335942365807E-2</v>
      </c>
      <c r="S361" s="310">
        <f ca="1">+'R1 Opex Detail'!S361*S$1</f>
        <v>3.5096334599249566E-2</v>
      </c>
    </row>
    <row r="362" spans="1:19">
      <c r="A362" s="5"/>
      <c r="B362" s="249"/>
      <c r="C362" s="13" t="s">
        <v>647</v>
      </c>
      <c r="D362" s="312">
        <f>+'R1 Opex Detail'!D362</f>
        <v>0</v>
      </c>
      <c r="E362" s="310">
        <f>+'R1 Opex Detail'!E362</f>
        <v>0</v>
      </c>
      <c r="F362" s="310">
        <f>+'R1 Opex Detail'!F362</f>
        <v>0</v>
      </c>
      <c r="G362" s="310">
        <f>+'R1 Opex Detail'!G362</f>
        <v>0</v>
      </c>
      <c r="H362" s="310">
        <f>+'R1 Opex Detail'!H362</f>
        <v>0</v>
      </c>
      <c r="I362" s="310">
        <f>+'R1 Opex Detail'!I362</f>
        <v>0</v>
      </c>
      <c r="J362" s="310">
        <f>+'R1 Opex Detail'!J362</f>
        <v>0</v>
      </c>
      <c r="K362" s="310">
        <f>+'R1 Opex Detail'!K362</f>
        <v>0</v>
      </c>
      <c r="L362" s="310">
        <f ca="1">+'R1 Opex Detail'!L362</f>
        <v>0</v>
      </c>
      <c r="M362" s="835">
        <f ca="1">+'R1 Opex Detail'!M362*M$2</f>
        <v>0</v>
      </c>
      <c r="N362" s="312">
        <f ca="1">+'R1 Opex Detail'!N362*N$1</f>
        <v>0.15609334615384615</v>
      </c>
      <c r="O362" s="310">
        <f ca="1">+'R1 Opex Detail'!O362*O$1</f>
        <v>0.15853823749473944</v>
      </c>
      <c r="P362" s="310">
        <f ca="1">+'R1 Opex Detail'!P362*P$1</f>
        <v>0.16088087207745622</v>
      </c>
      <c r="Q362" s="310">
        <f ca="1">+'R1 Opex Detail'!Q362*Q$1</f>
        <v>0.16387469067794155</v>
      </c>
      <c r="R362" s="310">
        <f ca="1">+'R1 Opex Detail'!R362*R$1</f>
        <v>0.16729015249345927</v>
      </c>
      <c r="S362" s="310">
        <f ca="1">+'R1 Opex Detail'!S362*S$1</f>
        <v>0.17095311369311886</v>
      </c>
    </row>
    <row r="363" spans="1:19" s="759" customFormat="1">
      <c r="A363" s="5"/>
      <c r="B363" s="249"/>
      <c r="C363" s="13" t="s">
        <v>575</v>
      </c>
      <c r="D363" s="312">
        <f>+'R1 Opex Detail'!D363</f>
        <v>0</v>
      </c>
      <c r="E363" s="310">
        <f>+'R1 Opex Detail'!E363</f>
        <v>0</v>
      </c>
      <c r="F363" s="310">
        <f>+'R1 Opex Detail'!F363</f>
        <v>0</v>
      </c>
      <c r="G363" s="310">
        <f>+'R1 Opex Detail'!G363</f>
        <v>0</v>
      </c>
      <c r="H363" s="310">
        <f>+'R1 Opex Detail'!H363</f>
        <v>0</v>
      </c>
      <c r="I363" s="310">
        <f>+'R1 Opex Detail'!I363</f>
        <v>0</v>
      </c>
      <c r="J363" s="310">
        <f>+'R1 Opex Detail'!J363</f>
        <v>0</v>
      </c>
      <c r="K363" s="310">
        <f>+'R1 Opex Detail'!K363</f>
        <v>0</v>
      </c>
      <c r="L363" s="310">
        <f ca="1">+'R1 Opex Detail'!L363</f>
        <v>0</v>
      </c>
      <c r="M363" s="835">
        <f ca="1">+'R1 Opex Detail'!M363*M$2</f>
        <v>0</v>
      </c>
      <c r="N363" s="312">
        <f ca="1">+'R1 Opex Detail'!N363*N$1</f>
        <v>0</v>
      </c>
      <c r="O363" s="310">
        <f ca="1">+'R1 Opex Detail'!O363*O$1</f>
        <v>0</v>
      </c>
      <c r="P363" s="310">
        <f ca="1">+'R1 Opex Detail'!P363*P$1</f>
        <v>0</v>
      </c>
      <c r="Q363" s="310">
        <f ca="1">+'R1 Opex Detail'!Q363*Q$1</f>
        <v>0</v>
      </c>
      <c r="R363" s="310">
        <f ca="1">+'R1 Opex Detail'!R363*R$1</f>
        <v>0</v>
      </c>
      <c r="S363" s="310">
        <f ca="1">+'R1 Opex Detail'!S363*S$1</f>
        <v>0</v>
      </c>
    </row>
    <row r="364" spans="1:19">
      <c r="A364" s="5"/>
      <c r="B364" s="249"/>
      <c r="C364" s="13" t="s">
        <v>70</v>
      </c>
      <c r="D364" s="312">
        <f>+'R1 Opex Detail'!D364</f>
        <v>0</v>
      </c>
      <c r="E364" s="310">
        <f>+'R1 Opex Detail'!E364</f>
        <v>0</v>
      </c>
      <c r="F364" s="310">
        <f>+'R1 Opex Detail'!F364</f>
        <v>0</v>
      </c>
      <c r="G364" s="310">
        <f>+'R1 Opex Detail'!G364</f>
        <v>0</v>
      </c>
      <c r="H364" s="310">
        <f>+'R1 Opex Detail'!H364</f>
        <v>0</v>
      </c>
      <c r="I364" s="310">
        <f>+'R1 Opex Detail'!I364</f>
        <v>0</v>
      </c>
      <c r="J364" s="310">
        <f>+'R1 Opex Detail'!J364</f>
        <v>0</v>
      </c>
      <c r="K364" s="310">
        <f>+'R1 Opex Detail'!K364</f>
        <v>0</v>
      </c>
      <c r="L364" s="310">
        <f ca="1">+'R1 Opex Detail'!L364</f>
        <v>0</v>
      </c>
      <c r="M364" s="835">
        <f ca="1">+'R1 Opex Detail'!M364*M$2</f>
        <v>0</v>
      </c>
      <c r="N364" s="312">
        <f ca="1">+'R1 Opex Detail'!N364*N$1</f>
        <v>0</v>
      </c>
      <c r="O364" s="310">
        <f ca="1">+'R1 Opex Detail'!O364*O$1</f>
        <v>0</v>
      </c>
      <c r="P364" s="310">
        <f ca="1">+'R1 Opex Detail'!P364*P$1</f>
        <v>0</v>
      </c>
      <c r="Q364" s="310">
        <f ca="1">+'R1 Opex Detail'!Q364*Q$1</f>
        <v>0</v>
      </c>
      <c r="R364" s="310">
        <f ca="1">+'R1 Opex Detail'!R364*R$1</f>
        <v>0</v>
      </c>
      <c r="S364" s="310">
        <f ca="1">+'R1 Opex Detail'!S364*S$1</f>
        <v>0</v>
      </c>
    </row>
    <row r="365" spans="1:19">
      <c r="A365" s="5"/>
      <c r="B365" s="249"/>
      <c r="C365" s="12" t="s">
        <v>75</v>
      </c>
      <c r="D365" s="313">
        <f t="shared" ref="D365:S365" si="44">SUBTOTAL(9,D359:D364)</f>
        <v>0</v>
      </c>
      <c r="E365" s="311">
        <f t="shared" si="44"/>
        <v>0</v>
      </c>
      <c r="F365" s="311">
        <f t="shared" si="44"/>
        <v>0</v>
      </c>
      <c r="G365" s="311">
        <f t="shared" si="44"/>
        <v>0</v>
      </c>
      <c r="H365" s="311">
        <f t="shared" si="44"/>
        <v>0</v>
      </c>
      <c r="I365" s="311">
        <f t="shared" si="44"/>
        <v>0</v>
      </c>
      <c r="J365" s="311">
        <f t="shared" si="44"/>
        <v>0</v>
      </c>
      <c r="K365" s="311">
        <f t="shared" si="44"/>
        <v>0</v>
      </c>
      <c r="L365" s="311">
        <f t="shared" ca="1" si="44"/>
        <v>0</v>
      </c>
      <c r="M365" s="513">
        <f t="shared" ca="1" si="44"/>
        <v>0</v>
      </c>
      <c r="N365" s="313">
        <f t="shared" ca="1" si="44"/>
        <v>3.6118553076923079</v>
      </c>
      <c r="O365" s="311">
        <f t="shared" ca="1" si="44"/>
        <v>3.7256420817007241</v>
      </c>
      <c r="P365" s="311">
        <f t="shared" ca="1" si="44"/>
        <v>3.8397030100776597</v>
      </c>
      <c r="Q365" s="311">
        <f t="shared" ca="1" si="44"/>
        <v>3.9616241327704333</v>
      </c>
      <c r="R365" s="311">
        <f t="shared" ca="1" si="44"/>
        <v>4.090624287232079</v>
      </c>
      <c r="S365" s="311">
        <f t="shared" ca="1" si="44"/>
        <v>4.2202626657952385</v>
      </c>
    </row>
    <row r="366" spans="1:19">
      <c r="A366" s="5"/>
      <c r="B366" s="249"/>
      <c r="C366" s="12"/>
      <c r="D366" s="313"/>
      <c r="E366" s="311"/>
      <c r="F366" s="311"/>
      <c r="G366" s="311"/>
      <c r="H366" s="311"/>
      <c r="I366" s="311"/>
      <c r="J366" s="311"/>
      <c r="K366" s="311"/>
      <c r="L366" s="311"/>
      <c r="M366" s="513"/>
      <c r="N366" s="313"/>
      <c r="O366" s="311"/>
      <c r="P366" s="311"/>
      <c r="Q366" s="311"/>
      <c r="R366" s="311"/>
      <c r="S366" s="311"/>
    </row>
    <row r="367" spans="1:19">
      <c r="A367" s="5"/>
      <c r="B367" s="249" t="str">
        <f ca="1">+'I-4 History'!B363</f>
        <v>A-16</v>
      </c>
      <c r="C367" s="14" t="str">
        <f ca="1">+'I-4 History'!C363</f>
        <v>Finance - Adjustments</v>
      </c>
      <c r="D367" s="11"/>
      <c r="E367" s="11"/>
      <c r="F367" s="11"/>
      <c r="G367" s="11"/>
      <c r="H367" s="11"/>
      <c r="I367" s="11"/>
      <c r="J367" s="11"/>
      <c r="K367" s="11"/>
      <c r="L367" s="11"/>
      <c r="M367" s="507"/>
      <c r="N367" s="11"/>
      <c r="O367" s="11"/>
      <c r="P367" s="11"/>
      <c r="Q367" s="11"/>
      <c r="R367" s="11"/>
      <c r="S367" s="11"/>
    </row>
    <row r="368" spans="1:19">
      <c r="B368" s="249"/>
      <c r="C368" s="13" t="s">
        <v>68</v>
      </c>
      <c r="D368" s="312">
        <f>+'R1 Opex Detail'!D368</f>
        <v>0</v>
      </c>
      <c r="E368" s="310">
        <f>+'R1 Opex Detail'!E368</f>
        <v>0</v>
      </c>
      <c r="F368" s="310">
        <f>+'R1 Opex Detail'!F368</f>
        <v>0</v>
      </c>
      <c r="G368" s="310">
        <f>+'R1 Opex Detail'!G368</f>
        <v>0</v>
      </c>
      <c r="H368" s="310">
        <f>+'R1 Opex Detail'!H368</f>
        <v>0</v>
      </c>
      <c r="I368" s="310">
        <f>+'R1 Opex Detail'!I368</f>
        <v>0</v>
      </c>
      <c r="J368" s="310">
        <f>+'R1 Opex Detail'!J368</f>
        <v>0</v>
      </c>
      <c r="K368" s="310">
        <f>+'R1 Opex Detail'!K368</f>
        <v>0</v>
      </c>
      <c r="L368" s="310">
        <f ca="1">+'R1 Opex Detail'!L368</f>
        <v>0</v>
      </c>
      <c r="M368" s="835">
        <f ca="1">+'R1 Opex Detail'!M368*M$2</f>
        <v>0</v>
      </c>
      <c r="N368" s="312">
        <f ca="1">+'R1 Opex Detail'!N368*N$1</f>
        <v>-3.4392222692307697</v>
      </c>
      <c r="O368" s="310">
        <f ca="1">+'R1 Opex Detail'!O368*O$1</f>
        <v>-3.5502939894898677</v>
      </c>
      <c r="P368" s="310">
        <f ca="1">+'R1 Opex Detail'!P368*P$1</f>
        <v>-3.6617538015918178</v>
      </c>
      <c r="Q368" s="310">
        <f ca="1">+'R1 Opex Detail'!Q368*Q$1</f>
        <v>-3.7802939178115778</v>
      </c>
      <c r="R368" s="310">
        <f ca="1">+'R1 Opex Detail'!R368*R$1</f>
        <v>-3.9054210365516946</v>
      </c>
      <c r="S368" s="310">
        <f ca="1">+'R1 Opex Detail'!S368*S$1</f>
        <v>-4.0308773807967917</v>
      </c>
    </row>
    <row r="369" spans="1:19">
      <c r="B369" s="249"/>
      <c r="C369" s="13" t="s">
        <v>69</v>
      </c>
      <c r="D369" s="312">
        <f>+'R1 Opex Detail'!D369</f>
        <v>0</v>
      </c>
      <c r="E369" s="310">
        <f>+'R1 Opex Detail'!E369</f>
        <v>0</v>
      </c>
      <c r="F369" s="310">
        <f>+'R1 Opex Detail'!F369</f>
        <v>0</v>
      </c>
      <c r="G369" s="310">
        <f>+'R1 Opex Detail'!G369</f>
        <v>0</v>
      </c>
      <c r="H369" s="310">
        <f>+'R1 Opex Detail'!H369</f>
        <v>0</v>
      </c>
      <c r="I369" s="310">
        <f>+'R1 Opex Detail'!I369</f>
        <v>0</v>
      </c>
      <c r="J369" s="310">
        <f>+'R1 Opex Detail'!J369</f>
        <v>0</v>
      </c>
      <c r="K369" s="310">
        <f>+'R1 Opex Detail'!K369</f>
        <v>0</v>
      </c>
      <c r="L369" s="310">
        <f ca="1">+'R1 Opex Detail'!L369</f>
        <v>0</v>
      </c>
      <c r="M369" s="835">
        <f ca="1">+'R1 Opex Detail'!M369*M$2</f>
        <v>0</v>
      </c>
      <c r="N369" s="312">
        <f ca="1">+'R1 Opex Detail'!N369*N$1</f>
        <v>-0.72567900000000007</v>
      </c>
      <c r="O369" s="310">
        <f ca="1">+'R1 Opex Detail'!O369*O$1</f>
        <v>-0.73337842391556851</v>
      </c>
      <c r="P369" s="310">
        <f ca="1">+'R1 Opex Detail'!P369*P$1</f>
        <v>-0.74051260090030746</v>
      </c>
      <c r="Q369" s="310">
        <f ca="1">+'R1 Opex Detail'!Q369*Q$1</f>
        <v>-0.74756465563018437</v>
      </c>
      <c r="R369" s="310">
        <f ca="1">+'R1 Opex Detail'!R369*R$1</f>
        <v>-0.75521556862269668</v>
      </c>
      <c r="S369" s="310">
        <f ca="1">+'R1 Opex Detail'!S369*S$1</f>
        <v>-0.7622238621835159</v>
      </c>
    </row>
    <row r="370" spans="1:19" s="759" customFormat="1">
      <c r="B370" s="249"/>
      <c r="C370" s="13" t="s">
        <v>646</v>
      </c>
      <c r="D370" s="312">
        <f>+'R1 Opex Detail'!D370</f>
        <v>0</v>
      </c>
      <c r="E370" s="310">
        <f>+'R1 Opex Detail'!E370</f>
        <v>0</v>
      </c>
      <c r="F370" s="310">
        <f>+'R1 Opex Detail'!F370</f>
        <v>0</v>
      </c>
      <c r="G370" s="310">
        <f>+'R1 Opex Detail'!G370</f>
        <v>0</v>
      </c>
      <c r="H370" s="310">
        <f>+'R1 Opex Detail'!H370</f>
        <v>0</v>
      </c>
      <c r="I370" s="310">
        <f>+'R1 Opex Detail'!I370</f>
        <v>0</v>
      </c>
      <c r="J370" s="310">
        <f>+'R1 Opex Detail'!J370</f>
        <v>0</v>
      </c>
      <c r="K370" s="310">
        <f>+'R1 Opex Detail'!K370</f>
        <v>0</v>
      </c>
      <c r="L370" s="310">
        <f ca="1">+'R1 Opex Detail'!L370</f>
        <v>0</v>
      </c>
      <c r="M370" s="835">
        <f ca="1">+'R1 Opex Detail'!M370*M$2</f>
        <v>0</v>
      </c>
      <c r="N370" s="312">
        <f ca="1">+'R1 Opex Detail'!N370*N$1</f>
        <v>0</v>
      </c>
      <c r="O370" s="310">
        <f ca="1">+'R1 Opex Detail'!O370*O$1</f>
        <v>0</v>
      </c>
      <c r="P370" s="310">
        <f ca="1">+'R1 Opex Detail'!P370*P$1</f>
        <v>0</v>
      </c>
      <c r="Q370" s="310">
        <f ca="1">+'R1 Opex Detail'!Q370*Q$1</f>
        <v>0</v>
      </c>
      <c r="R370" s="310">
        <f ca="1">+'R1 Opex Detail'!R370*R$1</f>
        <v>0</v>
      </c>
      <c r="S370" s="310">
        <f ca="1">+'R1 Opex Detail'!S370*S$1</f>
        <v>0</v>
      </c>
    </row>
    <row r="371" spans="1:19">
      <c r="B371" s="249"/>
      <c r="C371" s="13" t="s">
        <v>647</v>
      </c>
      <c r="D371" s="312">
        <f>+'R1 Opex Detail'!D371</f>
        <v>0</v>
      </c>
      <c r="E371" s="310">
        <f>+'R1 Opex Detail'!E371</f>
        <v>0</v>
      </c>
      <c r="F371" s="310">
        <f>+'R1 Opex Detail'!F371</f>
        <v>0</v>
      </c>
      <c r="G371" s="310">
        <f>+'R1 Opex Detail'!G371</f>
        <v>0</v>
      </c>
      <c r="H371" s="310">
        <f>+'R1 Opex Detail'!H371</f>
        <v>0</v>
      </c>
      <c r="I371" s="310">
        <f>+'R1 Opex Detail'!I371</f>
        <v>0</v>
      </c>
      <c r="J371" s="310">
        <f>+'R1 Opex Detail'!J371</f>
        <v>0</v>
      </c>
      <c r="K371" s="310">
        <f>+'R1 Opex Detail'!K371</f>
        <v>0</v>
      </c>
      <c r="L371" s="310">
        <f ca="1">+'R1 Opex Detail'!L371</f>
        <v>0</v>
      </c>
      <c r="M371" s="835">
        <f ca="1">+'R1 Opex Detail'!M371*M$2</f>
        <v>0</v>
      </c>
      <c r="N371" s="312">
        <f ca="1">+'R1 Opex Detail'!N371*N$1</f>
        <v>3.2541844615384616</v>
      </c>
      <c r="O371" s="310">
        <f ca="1">+'R1 Opex Detail'!O371*O$1</f>
        <v>3.3051547790294018</v>
      </c>
      <c r="P371" s="310">
        <f ca="1">+'R1 Opex Detail'!P371*P$1</f>
        <v>3.353993280131339</v>
      </c>
      <c r="Q371" s="310">
        <f ca="1">+'R1 Opex Detail'!Q371*Q$1</f>
        <v>3.4164074586368209</v>
      </c>
      <c r="R371" s="310">
        <f ca="1">+'R1 Opex Detail'!R371*R$1</f>
        <v>3.4876119208570175</v>
      </c>
      <c r="S371" s="310">
        <f ca="1">+'R1 Opex Detail'!S371*S$1</f>
        <v>3.563976171562504</v>
      </c>
    </row>
    <row r="372" spans="1:19" s="759" customFormat="1">
      <c r="B372" s="249"/>
      <c r="C372" s="13" t="s">
        <v>575</v>
      </c>
      <c r="D372" s="312">
        <f>+'R1 Opex Detail'!D372</f>
        <v>0</v>
      </c>
      <c r="E372" s="310">
        <f>+'R1 Opex Detail'!E372</f>
        <v>0</v>
      </c>
      <c r="F372" s="310">
        <f>+'R1 Opex Detail'!F372</f>
        <v>0</v>
      </c>
      <c r="G372" s="310">
        <f>+'R1 Opex Detail'!G372</f>
        <v>0</v>
      </c>
      <c r="H372" s="310">
        <f>+'R1 Opex Detail'!H372</f>
        <v>0</v>
      </c>
      <c r="I372" s="310">
        <f>+'R1 Opex Detail'!I372</f>
        <v>0</v>
      </c>
      <c r="J372" s="310">
        <f>+'R1 Opex Detail'!J372</f>
        <v>0</v>
      </c>
      <c r="K372" s="310">
        <f>+'R1 Opex Detail'!K372</f>
        <v>0</v>
      </c>
      <c r="L372" s="310">
        <f ca="1">+'R1 Opex Detail'!L372</f>
        <v>0</v>
      </c>
      <c r="M372" s="835">
        <f ca="1">+'R1 Opex Detail'!M372*M$2</f>
        <v>0</v>
      </c>
      <c r="N372" s="312">
        <f ca="1">+'R1 Opex Detail'!N372*N$1</f>
        <v>0</v>
      </c>
      <c r="O372" s="310">
        <f ca="1">+'R1 Opex Detail'!O372*O$1</f>
        <v>0</v>
      </c>
      <c r="P372" s="310">
        <f ca="1">+'R1 Opex Detail'!P372*P$1</f>
        <v>0</v>
      </c>
      <c r="Q372" s="310">
        <f ca="1">+'R1 Opex Detail'!Q372*Q$1</f>
        <v>0</v>
      </c>
      <c r="R372" s="310">
        <f ca="1">+'R1 Opex Detail'!R372*R$1</f>
        <v>0</v>
      </c>
      <c r="S372" s="310">
        <f ca="1">+'R1 Opex Detail'!S372*S$1</f>
        <v>0</v>
      </c>
    </row>
    <row r="373" spans="1:19">
      <c r="B373" s="249"/>
      <c r="C373" s="13" t="s">
        <v>70</v>
      </c>
      <c r="D373" s="312">
        <f>+'R1 Opex Detail'!D373</f>
        <v>0</v>
      </c>
      <c r="E373" s="310">
        <f>+'R1 Opex Detail'!E373</f>
        <v>0</v>
      </c>
      <c r="F373" s="310">
        <f>+'R1 Opex Detail'!F373</f>
        <v>0</v>
      </c>
      <c r="G373" s="310">
        <f>+'R1 Opex Detail'!G373</f>
        <v>0</v>
      </c>
      <c r="H373" s="310">
        <f>+'R1 Opex Detail'!H373</f>
        <v>0</v>
      </c>
      <c r="I373" s="310">
        <f>+'R1 Opex Detail'!I373</f>
        <v>0</v>
      </c>
      <c r="J373" s="310">
        <f>+'R1 Opex Detail'!J373</f>
        <v>0</v>
      </c>
      <c r="K373" s="310">
        <f>+'R1 Opex Detail'!K373</f>
        <v>0</v>
      </c>
      <c r="L373" s="310">
        <f ca="1">+'R1 Opex Detail'!L373</f>
        <v>0</v>
      </c>
      <c r="M373" s="835">
        <f ca="1">+'R1 Opex Detail'!M373*M$2</f>
        <v>0</v>
      </c>
      <c r="N373" s="312">
        <f ca="1">+'R1 Opex Detail'!N373*N$1</f>
        <v>0</v>
      </c>
      <c r="O373" s="310">
        <f ca="1">+'R1 Opex Detail'!O373*O$1</f>
        <v>0</v>
      </c>
      <c r="P373" s="310">
        <f ca="1">+'R1 Opex Detail'!P373*P$1</f>
        <v>0</v>
      </c>
      <c r="Q373" s="310">
        <f ca="1">+'R1 Opex Detail'!Q373*Q$1</f>
        <v>0</v>
      </c>
      <c r="R373" s="310">
        <f ca="1">+'R1 Opex Detail'!R373*R$1</f>
        <v>0</v>
      </c>
      <c r="S373" s="310">
        <f ca="1">+'R1 Opex Detail'!S373*S$1</f>
        <v>0</v>
      </c>
    </row>
    <row r="374" spans="1:19">
      <c r="B374" s="249"/>
      <c r="C374" s="12" t="s">
        <v>75</v>
      </c>
      <c r="D374" s="313">
        <f t="shared" ref="D374:S374" si="45">SUBTOTAL(9,D368:D373)</f>
        <v>0</v>
      </c>
      <c r="E374" s="311">
        <f t="shared" si="45"/>
        <v>0</v>
      </c>
      <c r="F374" s="311">
        <f t="shared" si="45"/>
        <v>0</v>
      </c>
      <c r="G374" s="311">
        <f t="shared" si="45"/>
        <v>0</v>
      </c>
      <c r="H374" s="311">
        <f t="shared" si="45"/>
        <v>0</v>
      </c>
      <c r="I374" s="311">
        <f t="shared" si="45"/>
        <v>0</v>
      </c>
      <c r="J374" s="311">
        <f t="shared" si="45"/>
        <v>0</v>
      </c>
      <c r="K374" s="311">
        <f t="shared" si="45"/>
        <v>0</v>
      </c>
      <c r="L374" s="311">
        <f t="shared" ca="1" si="45"/>
        <v>0</v>
      </c>
      <c r="M374" s="513">
        <f t="shared" ca="1" si="45"/>
        <v>0</v>
      </c>
      <c r="N374" s="313">
        <f t="shared" ca="1" si="45"/>
        <v>-0.91071680769230801</v>
      </c>
      <c r="O374" s="311">
        <f t="shared" ca="1" si="45"/>
        <v>-0.97851763437603445</v>
      </c>
      <c r="P374" s="311">
        <f t="shared" ca="1" si="45"/>
        <v>-1.048273122360786</v>
      </c>
      <c r="Q374" s="311">
        <f t="shared" ca="1" si="45"/>
        <v>-1.1114511148049409</v>
      </c>
      <c r="R374" s="311">
        <f t="shared" ca="1" si="45"/>
        <v>-1.1730246843173733</v>
      </c>
      <c r="S374" s="311">
        <f t="shared" ca="1" si="45"/>
        <v>-1.2291250714178039</v>
      </c>
    </row>
    <row r="375" spans="1:19">
      <c r="B375" s="249"/>
      <c r="C375" s="12"/>
      <c r="D375" s="263"/>
      <c r="E375" s="263"/>
      <c r="F375" s="263"/>
      <c r="G375" s="263"/>
      <c r="H375" s="263"/>
      <c r="I375" s="263"/>
      <c r="J375" s="263"/>
      <c r="K375" s="263"/>
      <c r="L375" s="263"/>
      <c r="M375" s="836"/>
      <c r="N375" s="263"/>
      <c r="O375" s="263"/>
      <c r="P375" s="263"/>
      <c r="Q375" s="263"/>
      <c r="R375" s="263"/>
      <c r="S375" s="263"/>
    </row>
    <row r="376" spans="1:19" ht="17.25" customHeight="1" thickBot="1">
      <c r="A376" s="5"/>
      <c r="B376" s="250"/>
      <c r="C376" s="269" t="str">
        <f>CONCATENATE("Total ",+C285)</f>
        <v>Total Finance</v>
      </c>
      <c r="D376" s="314">
        <f t="shared" ref="D376:S376" si="46">SUBTOTAL(9,D287:D375)</f>
        <v>0</v>
      </c>
      <c r="E376" s="314">
        <f t="shared" si="46"/>
        <v>0</v>
      </c>
      <c r="F376" s="314">
        <f t="shared" si="46"/>
        <v>0</v>
      </c>
      <c r="G376" s="314">
        <f t="shared" si="46"/>
        <v>0</v>
      </c>
      <c r="H376" s="314">
        <f t="shared" si="46"/>
        <v>0</v>
      </c>
      <c r="I376" s="314">
        <f t="shared" si="46"/>
        <v>0</v>
      </c>
      <c r="J376" s="314">
        <f t="shared" si="46"/>
        <v>0</v>
      </c>
      <c r="K376" s="314">
        <f t="shared" si="46"/>
        <v>0</v>
      </c>
      <c r="L376" s="314">
        <f t="shared" ca="1" si="46"/>
        <v>0</v>
      </c>
      <c r="M376" s="843">
        <f t="shared" ca="1" si="46"/>
        <v>0</v>
      </c>
      <c r="N376" s="314">
        <f t="shared" ca="1" si="46"/>
        <v>9.4193547692307682</v>
      </c>
      <c r="O376" s="314">
        <f t="shared" ca="1" si="46"/>
        <v>9.6616157703484351</v>
      </c>
      <c r="P376" s="314">
        <f t="shared" ca="1" si="46"/>
        <v>9.9020069534588391</v>
      </c>
      <c r="Q376" s="314">
        <f t="shared" ca="1" si="46"/>
        <v>10.172933974646069</v>
      </c>
      <c r="R376" s="314">
        <f t="shared" ca="1" si="46"/>
        <v>10.466234236525352</v>
      </c>
      <c r="S376" s="314">
        <f t="shared" ca="1" si="46"/>
        <v>10.767928063330505</v>
      </c>
    </row>
    <row r="377" spans="1:19" ht="18">
      <c r="B377" s="251"/>
      <c r="C377" s="255" t="str">
        <f>+'I-3 Allocated'!A21</f>
        <v>Corporate Services</v>
      </c>
      <c r="D377" s="266"/>
      <c r="E377" s="266"/>
      <c r="F377" s="266"/>
      <c r="G377" s="266"/>
      <c r="H377" s="266"/>
      <c r="I377" s="266"/>
      <c r="J377" s="266"/>
      <c r="K377" s="266"/>
      <c r="L377" s="266"/>
      <c r="M377" s="842"/>
      <c r="N377" s="266"/>
      <c r="O377" s="266"/>
      <c r="P377" s="266"/>
      <c r="Q377" s="266"/>
      <c r="R377" s="266"/>
      <c r="S377" s="266"/>
    </row>
    <row r="378" spans="1:19">
      <c r="A378" s="5"/>
      <c r="B378" s="249" t="str">
        <f ca="1">+'I-4 History'!B372</f>
        <v>A-17</v>
      </c>
      <c r="C378" s="14" t="str">
        <f ca="1">+'I-4 History'!C372</f>
        <v>General Manager Corporate Services</v>
      </c>
      <c r="D378" s="11"/>
      <c r="E378" s="11"/>
      <c r="F378" s="11"/>
      <c r="G378" s="11"/>
      <c r="H378" s="11"/>
      <c r="I378" s="11"/>
      <c r="J378" s="11"/>
      <c r="K378" s="11"/>
      <c r="L378" s="11"/>
      <c r="M378" s="507"/>
      <c r="N378" s="11"/>
      <c r="O378" s="11"/>
      <c r="P378" s="11"/>
      <c r="Q378" s="11"/>
      <c r="R378" s="11"/>
      <c r="S378" s="11"/>
    </row>
    <row r="379" spans="1:19">
      <c r="A379" s="5"/>
      <c r="B379" s="249"/>
      <c r="C379" s="13" t="s">
        <v>68</v>
      </c>
      <c r="D379" s="312">
        <f>+'R1 Opex Detail'!D379</f>
        <v>0</v>
      </c>
      <c r="E379" s="310">
        <f>+'R1 Opex Detail'!E379</f>
        <v>0</v>
      </c>
      <c r="F379" s="310">
        <f>+'R1 Opex Detail'!F379</f>
        <v>0</v>
      </c>
      <c r="G379" s="310">
        <f>+'R1 Opex Detail'!G379</f>
        <v>0</v>
      </c>
      <c r="H379" s="310">
        <f>+'R1 Opex Detail'!H379</f>
        <v>0</v>
      </c>
      <c r="I379" s="310">
        <f>+'R1 Opex Detail'!I379</f>
        <v>0</v>
      </c>
      <c r="J379" s="310">
        <f>+'R1 Opex Detail'!J379</f>
        <v>0</v>
      </c>
      <c r="K379" s="310">
        <f>+'R1 Opex Detail'!K379</f>
        <v>0</v>
      </c>
      <c r="L379" s="310">
        <f ca="1">+'R1 Opex Detail'!L379</f>
        <v>0</v>
      </c>
      <c r="M379" s="835">
        <f ca="1">+'R1 Opex Detail'!M379*M$2</f>
        <v>0</v>
      </c>
      <c r="N379" s="312">
        <f ca="1">+'R1 Opex Detail'!N379*N$1</f>
        <v>0.50859553846153849</v>
      </c>
      <c r="O379" s="310">
        <f ca="1">+'R1 Opex Detail'!O379*O$1</f>
        <v>0.52502093262068372</v>
      </c>
      <c r="P379" s="310">
        <f ca="1">+'R1 Opex Detail'!P379*P$1</f>
        <v>0.54150371817949339</v>
      </c>
      <c r="Q379" s="310">
        <f ca="1">+'R1 Opex Detail'!Q379*Q$1</f>
        <v>0.55903354600640109</v>
      </c>
      <c r="R379" s="310">
        <f ca="1">+'R1 Opex Detail'!R379*R$1</f>
        <v>0.57753746618077362</v>
      </c>
      <c r="S379" s="310">
        <f ca="1">+'R1 Opex Detail'!S379*S$1</f>
        <v>0.59609007254343893</v>
      </c>
    </row>
    <row r="380" spans="1:19">
      <c r="A380" s="5"/>
      <c r="B380" s="249"/>
      <c r="C380" s="13" t="s">
        <v>69</v>
      </c>
      <c r="D380" s="312">
        <f>+'R1 Opex Detail'!D380</f>
        <v>0</v>
      </c>
      <c r="E380" s="310">
        <f>+'R1 Opex Detail'!E380</f>
        <v>0</v>
      </c>
      <c r="F380" s="310">
        <f>+'R1 Opex Detail'!F380</f>
        <v>0</v>
      </c>
      <c r="G380" s="310">
        <f>+'R1 Opex Detail'!G380</f>
        <v>0</v>
      </c>
      <c r="H380" s="310">
        <f>+'R1 Opex Detail'!H380</f>
        <v>0</v>
      </c>
      <c r="I380" s="310">
        <f>+'R1 Opex Detail'!I380</f>
        <v>0</v>
      </c>
      <c r="J380" s="310">
        <f>+'R1 Opex Detail'!J380</f>
        <v>0</v>
      </c>
      <c r="K380" s="310">
        <f>+'R1 Opex Detail'!K380</f>
        <v>0</v>
      </c>
      <c r="L380" s="310">
        <f ca="1">+'R1 Opex Detail'!L380</f>
        <v>0</v>
      </c>
      <c r="M380" s="835">
        <f ca="1">+'R1 Opex Detail'!M380*M$2</f>
        <v>0</v>
      </c>
      <c r="N380" s="312">
        <f ca="1">+'R1 Opex Detail'!N380*N$1</f>
        <v>7.236115384615386E-3</v>
      </c>
      <c r="O380" s="310">
        <f ca="1">+'R1 Opex Detail'!O380*O$1</f>
        <v>7.3128902669643584E-3</v>
      </c>
      <c r="P380" s="310">
        <f ca="1">+'R1 Opex Detail'!P380*P$1</f>
        <v>7.3840287839062012E-3</v>
      </c>
      <c r="Q380" s="310">
        <f ca="1">+'R1 Opex Detail'!Q380*Q$1</f>
        <v>7.4543484179648012E-3</v>
      </c>
      <c r="R380" s="310">
        <f ca="1">+'R1 Opex Detail'!R380*R$1</f>
        <v>7.5306395731607936E-3</v>
      </c>
      <c r="S380" s="310">
        <f ca="1">+'R1 Opex Detail'!S380*S$1</f>
        <v>7.6005228422857717E-3</v>
      </c>
    </row>
    <row r="381" spans="1:19" s="759" customFormat="1">
      <c r="A381" s="5"/>
      <c r="B381" s="249"/>
      <c r="C381" s="13" t="s">
        <v>646</v>
      </c>
      <c r="D381" s="312">
        <f>+'R1 Opex Detail'!D381</f>
        <v>0</v>
      </c>
      <c r="E381" s="310">
        <f>+'R1 Opex Detail'!E381</f>
        <v>0</v>
      </c>
      <c r="F381" s="310">
        <f>+'R1 Opex Detail'!F381</f>
        <v>0</v>
      </c>
      <c r="G381" s="310">
        <f>+'R1 Opex Detail'!G381</f>
        <v>0</v>
      </c>
      <c r="H381" s="310">
        <f>+'R1 Opex Detail'!H381</f>
        <v>0</v>
      </c>
      <c r="I381" s="310">
        <f>+'R1 Opex Detail'!I381</f>
        <v>0</v>
      </c>
      <c r="J381" s="310">
        <f>+'R1 Opex Detail'!J381</f>
        <v>0</v>
      </c>
      <c r="K381" s="310">
        <f>+'R1 Opex Detail'!K381</f>
        <v>0</v>
      </c>
      <c r="L381" s="310">
        <f ca="1">+'R1 Opex Detail'!L381</f>
        <v>0</v>
      </c>
      <c r="M381" s="835">
        <f ca="1">+'R1 Opex Detail'!M381*M$2</f>
        <v>0</v>
      </c>
      <c r="N381" s="312">
        <f ca="1">+'R1 Opex Detail'!N381*N$1</f>
        <v>0</v>
      </c>
      <c r="O381" s="310">
        <f ca="1">+'R1 Opex Detail'!O381*O$1</f>
        <v>0</v>
      </c>
      <c r="P381" s="310">
        <f ca="1">+'R1 Opex Detail'!P381*P$1</f>
        <v>0</v>
      </c>
      <c r="Q381" s="310">
        <f ca="1">+'R1 Opex Detail'!Q381*Q$1</f>
        <v>0</v>
      </c>
      <c r="R381" s="310">
        <f ca="1">+'R1 Opex Detail'!R381*R$1</f>
        <v>0</v>
      </c>
      <c r="S381" s="310">
        <f ca="1">+'R1 Opex Detail'!S381*S$1</f>
        <v>0</v>
      </c>
    </row>
    <row r="382" spans="1:19">
      <c r="A382" s="5"/>
      <c r="B382" s="249"/>
      <c r="C382" s="13" t="s">
        <v>647</v>
      </c>
      <c r="D382" s="312">
        <f>+'R1 Opex Detail'!D382</f>
        <v>0</v>
      </c>
      <c r="E382" s="310">
        <f>+'R1 Opex Detail'!E382</f>
        <v>0</v>
      </c>
      <c r="F382" s="310">
        <f>+'R1 Opex Detail'!F382</f>
        <v>0</v>
      </c>
      <c r="G382" s="310">
        <f>+'R1 Opex Detail'!G382</f>
        <v>0</v>
      </c>
      <c r="H382" s="310">
        <f>+'R1 Opex Detail'!H382</f>
        <v>0</v>
      </c>
      <c r="I382" s="310">
        <f>+'R1 Opex Detail'!I382</f>
        <v>0</v>
      </c>
      <c r="J382" s="310">
        <f>+'R1 Opex Detail'!J382</f>
        <v>0</v>
      </c>
      <c r="K382" s="310">
        <f>+'R1 Opex Detail'!K382</f>
        <v>0</v>
      </c>
      <c r="L382" s="310">
        <f ca="1">+'R1 Opex Detail'!L382</f>
        <v>0</v>
      </c>
      <c r="M382" s="835">
        <f ca="1">+'R1 Opex Detail'!M382*M$2</f>
        <v>0</v>
      </c>
      <c r="N382" s="312">
        <f ca="1">+'R1 Opex Detail'!N382*N$1</f>
        <v>5.0652807692307698E-2</v>
      </c>
      <c r="O382" s="310">
        <f ca="1">+'R1 Opex Detail'!O382*O$1</f>
        <v>5.1446183028094256E-2</v>
      </c>
      <c r="P382" s="310">
        <f ca="1">+'R1 Opex Detail'!P382*P$1</f>
        <v>5.2206375707254005E-2</v>
      </c>
      <c r="Q382" s="310">
        <f ca="1">+'R1 Opex Detail'!Q382*Q$1</f>
        <v>5.317787975641812E-2</v>
      </c>
      <c r="R382" s="310">
        <f ca="1">+'R1 Opex Detail'!R382*R$1</f>
        <v>5.4286208425029826E-2</v>
      </c>
      <c r="S382" s="310">
        <f ca="1">+'R1 Opex Detail'!S382*S$1</f>
        <v>5.5474851463329963E-2</v>
      </c>
    </row>
    <row r="383" spans="1:19" s="759" customFormat="1">
      <c r="A383" s="5"/>
      <c r="B383" s="249"/>
      <c r="C383" s="13" t="s">
        <v>575</v>
      </c>
      <c r="D383" s="312">
        <f>+'R1 Opex Detail'!D383</f>
        <v>0</v>
      </c>
      <c r="E383" s="310">
        <f>+'R1 Opex Detail'!E383</f>
        <v>0</v>
      </c>
      <c r="F383" s="310">
        <f>+'R1 Opex Detail'!F383</f>
        <v>0</v>
      </c>
      <c r="G383" s="310">
        <f>+'R1 Opex Detail'!G383</f>
        <v>0</v>
      </c>
      <c r="H383" s="310">
        <f>+'R1 Opex Detail'!H383</f>
        <v>0</v>
      </c>
      <c r="I383" s="310">
        <f>+'R1 Opex Detail'!I383</f>
        <v>0</v>
      </c>
      <c r="J383" s="310">
        <f>+'R1 Opex Detail'!J383</f>
        <v>0</v>
      </c>
      <c r="K383" s="310">
        <f>+'R1 Opex Detail'!K383</f>
        <v>0</v>
      </c>
      <c r="L383" s="310">
        <f ca="1">+'R1 Opex Detail'!L383</f>
        <v>0</v>
      </c>
      <c r="M383" s="835">
        <f ca="1">+'R1 Opex Detail'!M383*M$2</f>
        <v>0</v>
      </c>
      <c r="N383" s="312">
        <f ca="1">+'R1 Opex Detail'!N383*N$1</f>
        <v>0</v>
      </c>
      <c r="O383" s="310">
        <f ca="1">+'R1 Opex Detail'!O383*O$1</f>
        <v>0</v>
      </c>
      <c r="P383" s="310">
        <f ca="1">+'R1 Opex Detail'!P383*P$1</f>
        <v>0</v>
      </c>
      <c r="Q383" s="310">
        <f ca="1">+'R1 Opex Detail'!Q383*Q$1</f>
        <v>0</v>
      </c>
      <c r="R383" s="310">
        <f ca="1">+'R1 Opex Detail'!R383*R$1</f>
        <v>0</v>
      </c>
      <c r="S383" s="310">
        <f ca="1">+'R1 Opex Detail'!S383*S$1</f>
        <v>0</v>
      </c>
    </row>
    <row r="384" spans="1:19">
      <c r="A384" s="5"/>
      <c r="B384" s="249"/>
      <c r="C384" s="13" t="s">
        <v>70</v>
      </c>
      <c r="D384" s="312">
        <f>+'R1 Opex Detail'!D384</f>
        <v>0</v>
      </c>
      <c r="E384" s="310">
        <f>+'R1 Opex Detail'!E384</f>
        <v>0</v>
      </c>
      <c r="F384" s="310">
        <f>+'R1 Opex Detail'!F384</f>
        <v>0</v>
      </c>
      <c r="G384" s="310">
        <f>+'R1 Opex Detail'!G384</f>
        <v>0</v>
      </c>
      <c r="H384" s="310">
        <f>+'R1 Opex Detail'!H384</f>
        <v>0</v>
      </c>
      <c r="I384" s="310">
        <f>+'R1 Opex Detail'!I384</f>
        <v>0</v>
      </c>
      <c r="J384" s="310">
        <f>+'R1 Opex Detail'!J384</f>
        <v>0</v>
      </c>
      <c r="K384" s="310">
        <f>+'R1 Opex Detail'!K384</f>
        <v>0</v>
      </c>
      <c r="L384" s="310">
        <f ca="1">+'R1 Opex Detail'!L384</f>
        <v>0</v>
      </c>
      <c r="M384" s="835">
        <f ca="1">+'R1 Opex Detail'!M384*M$2</f>
        <v>0</v>
      </c>
      <c r="N384" s="312">
        <f ca="1">+'R1 Opex Detail'!N384*N$1</f>
        <v>0</v>
      </c>
      <c r="O384" s="310">
        <f ca="1">+'R1 Opex Detail'!O384*O$1</f>
        <v>0</v>
      </c>
      <c r="P384" s="310">
        <f ca="1">+'R1 Opex Detail'!P384*P$1</f>
        <v>0</v>
      </c>
      <c r="Q384" s="310">
        <f ca="1">+'R1 Opex Detail'!Q384*Q$1</f>
        <v>0</v>
      </c>
      <c r="R384" s="310">
        <f ca="1">+'R1 Opex Detail'!R384*R$1</f>
        <v>0</v>
      </c>
      <c r="S384" s="310">
        <f ca="1">+'R1 Opex Detail'!S384*S$1</f>
        <v>0</v>
      </c>
    </row>
    <row r="385" spans="1:19">
      <c r="A385" s="5"/>
      <c r="B385" s="249"/>
      <c r="C385" s="12" t="s">
        <v>75</v>
      </c>
      <c r="D385" s="313">
        <f t="shared" ref="D385:S385" si="47">SUBTOTAL(9,D379:D384)</f>
        <v>0</v>
      </c>
      <c r="E385" s="311">
        <f t="shared" si="47"/>
        <v>0</v>
      </c>
      <c r="F385" s="311">
        <f t="shared" si="47"/>
        <v>0</v>
      </c>
      <c r="G385" s="311">
        <f t="shared" si="47"/>
        <v>0</v>
      </c>
      <c r="H385" s="311">
        <f t="shared" si="47"/>
        <v>0</v>
      </c>
      <c r="I385" s="311">
        <f t="shared" si="47"/>
        <v>0</v>
      </c>
      <c r="J385" s="311">
        <f t="shared" si="47"/>
        <v>0</v>
      </c>
      <c r="K385" s="311">
        <f t="shared" si="47"/>
        <v>0</v>
      </c>
      <c r="L385" s="311">
        <f t="shared" ca="1" si="47"/>
        <v>0</v>
      </c>
      <c r="M385" s="513">
        <f t="shared" ca="1" si="47"/>
        <v>0</v>
      </c>
      <c r="N385" s="313">
        <f t="shared" ca="1" si="47"/>
        <v>0.56648446153846166</v>
      </c>
      <c r="O385" s="311">
        <f t="shared" ca="1" si="47"/>
        <v>0.58378000591574231</v>
      </c>
      <c r="P385" s="311">
        <f t="shared" ca="1" si="47"/>
        <v>0.60109412267065365</v>
      </c>
      <c r="Q385" s="311">
        <f t="shared" ca="1" si="47"/>
        <v>0.61966577418078395</v>
      </c>
      <c r="R385" s="311">
        <f t="shared" ca="1" si="47"/>
        <v>0.63935431417896427</v>
      </c>
      <c r="S385" s="311">
        <f t="shared" ca="1" si="47"/>
        <v>0.65916544684905465</v>
      </c>
    </row>
    <row r="386" spans="1:19">
      <c r="A386" s="5"/>
      <c r="B386" s="249"/>
      <c r="C386" s="12"/>
      <c r="D386" s="263"/>
      <c r="E386" s="263"/>
      <c r="F386" s="263"/>
      <c r="G386" s="263"/>
      <c r="H386" s="263"/>
      <c r="I386" s="263"/>
      <c r="J386" s="263"/>
      <c r="K386" s="263"/>
      <c r="L386" s="263"/>
      <c r="M386" s="836"/>
      <c r="N386" s="263"/>
      <c r="O386" s="263"/>
      <c r="P386" s="263"/>
      <c r="Q386" s="263"/>
      <c r="R386" s="263"/>
      <c r="S386" s="263"/>
    </row>
    <row r="387" spans="1:19">
      <c r="A387" s="5"/>
      <c r="B387" s="249" t="str">
        <f ca="1">+'I-4 History'!B381</f>
        <v>A-18</v>
      </c>
      <c r="C387" s="14" t="str">
        <f ca="1">+'I-4 History'!C381</f>
        <v>Employee Relations</v>
      </c>
      <c r="D387" s="11"/>
      <c r="E387" s="11"/>
      <c r="F387" s="11"/>
      <c r="G387" s="11"/>
      <c r="H387" s="11"/>
      <c r="I387" s="11"/>
      <c r="J387" s="11"/>
      <c r="K387" s="11"/>
      <c r="L387" s="11"/>
      <c r="M387" s="507"/>
      <c r="N387" s="11"/>
      <c r="O387" s="11"/>
      <c r="P387" s="11"/>
      <c r="Q387" s="11"/>
      <c r="R387" s="11"/>
      <c r="S387" s="11"/>
    </row>
    <row r="388" spans="1:19">
      <c r="A388" s="5"/>
      <c r="B388" s="249"/>
      <c r="C388" s="13" t="s">
        <v>68</v>
      </c>
      <c r="D388" s="312">
        <f>+'R1 Opex Detail'!D388</f>
        <v>0</v>
      </c>
      <c r="E388" s="310">
        <f>+'R1 Opex Detail'!E388</f>
        <v>0</v>
      </c>
      <c r="F388" s="310">
        <f>+'R1 Opex Detail'!F388</f>
        <v>0</v>
      </c>
      <c r="G388" s="310">
        <f>+'R1 Opex Detail'!G388</f>
        <v>0</v>
      </c>
      <c r="H388" s="310">
        <f>+'R1 Opex Detail'!H388</f>
        <v>0</v>
      </c>
      <c r="I388" s="310">
        <f>+'R1 Opex Detail'!I388</f>
        <v>0</v>
      </c>
      <c r="J388" s="310">
        <f>+'R1 Opex Detail'!J388</f>
        <v>0</v>
      </c>
      <c r="K388" s="310">
        <f>+'R1 Opex Detail'!K388</f>
        <v>0</v>
      </c>
      <c r="L388" s="310">
        <f ca="1">+'R1 Opex Detail'!L388</f>
        <v>0</v>
      </c>
      <c r="M388" s="835">
        <f ca="1">+'R1 Opex Detail'!M388*M$2</f>
        <v>0</v>
      </c>
      <c r="N388" s="312">
        <f ca="1">+'R1 Opex Detail'!N388*N$1</f>
        <v>2.8355235000000008</v>
      </c>
      <c r="O388" s="310">
        <f ca="1">+'R1 Opex Detail'!O388*O$1</f>
        <v>2.9270984109319831</v>
      </c>
      <c r="P388" s="310">
        <f ca="1">+'R1 Opex Detail'!P388*P$1</f>
        <v>3.0189932905820127</v>
      </c>
      <c r="Q388" s="310">
        <f ca="1">+'R1 Opex Detail'!Q388*Q$1</f>
        <v>3.1167256436901591</v>
      </c>
      <c r="R388" s="310">
        <f ca="1">+'R1 Opex Detail'!R388*R$1</f>
        <v>3.219888759621671</v>
      </c>
      <c r="S388" s="310">
        <f ca="1">+'R1 Opex Detail'!S388*S$1</f>
        <v>3.3233233109484823</v>
      </c>
    </row>
    <row r="389" spans="1:19">
      <c r="A389" s="5"/>
      <c r="B389" s="249"/>
      <c r="C389" s="13" t="s">
        <v>69</v>
      </c>
      <c r="D389" s="312">
        <f>+'R1 Opex Detail'!D389</f>
        <v>0</v>
      </c>
      <c r="E389" s="310">
        <f>+'R1 Opex Detail'!E389</f>
        <v>0</v>
      </c>
      <c r="F389" s="310">
        <f>+'R1 Opex Detail'!F389</f>
        <v>0</v>
      </c>
      <c r="G389" s="310">
        <f>+'R1 Opex Detail'!G389</f>
        <v>0</v>
      </c>
      <c r="H389" s="310">
        <f>+'R1 Opex Detail'!H389</f>
        <v>0</v>
      </c>
      <c r="I389" s="310">
        <f>+'R1 Opex Detail'!I389</f>
        <v>0</v>
      </c>
      <c r="J389" s="310">
        <f>+'R1 Opex Detail'!J389</f>
        <v>0</v>
      </c>
      <c r="K389" s="310">
        <f>+'R1 Opex Detail'!K389</f>
        <v>0</v>
      </c>
      <c r="L389" s="310">
        <f ca="1">+'R1 Opex Detail'!L389</f>
        <v>0</v>
      </c>
      <c r="M389" s="835">
        <f ca="1">+'R1 Opex Detail'!M389*M$2</f>
        <v>0</v>
      </c>
      <c r="N389" s="312">
        <f ca="1">+'R1 Opex Detail'!N389*N$1</f>
        <v>2.7910730769230771E-2</v>
      </c>
      <c r="O389" s="310">
        <f ca="1">+'R1 Opex Detail'!O389*O$1</f>
        <v>2.8206862458291095E-2</v>
      </c>
      <c r="P389" s="310">
        <f ca="1">+'R1 Opex Detail'!P389*P$1</f>
        <v>2.8481253880781061E-2</v>
      </c>
      <c r="Q389" s="310">
        <f ca="1">+'R1 Opex Detail'!Q389*Q$1</f>
        <v>2.8752486755007089E-2</v>
      </c>
      <c r="R389" s="310">
        <f ca="1">+'R1 Opex Detail'!R389*R$1</f>
        <v>2.904675263933449E-2</v>
      </c>
      <c r="S389" s="310">
        <f ca="1">+'R1 Opex Detail'!S389*S$1</f>
        <v>2.9316302391673692E-2</v>
      </c>
    </row>
    <row r="390" spans="1:19" s="759" customFormat="1">
      <c r="A390" s="5"/>
      <c r="B390" s="249"/>
      <c r="C390" s="13" t="s">
        <v>646</v>
      </c>
      <c r="D390" s="312">
        <f>+'R1 Opex Detail'!D390</f>
        <v>0</v>
      </c>
      <c r="E390" s="310">
        <f>+'R1 Opex Detail'!E390</f>
        <v>0</v>
      </c>
      <c r="F390" s="310">
        <f>+'R1 Opex Detail'!F390</f>
        <v>0</v>
      </c>
      <c r="G390" s="310">
        <f>+'R1 Opex Detail'!G390</f>
        <v>0</v>
      </c>
      <c r="H390" s="310">
        <f>+'R1 Opex Detail'!H390</f>
        <v>0</v>
      </c>
      <c r="I390" s="310">
        <f>+'R1 Opex Detail'!I390</f>
        <v>0</v>
      </c>
      <c r="J390" s="310">
        <f>+'R1 Opex Detail'!J390</f>
        <v>0</v>
      </c>
      <c r="K390" s="310">
        <f>+'R1 Opex Detail'!K390</f>
        <v>0</v>
      </c>
      <c r="L390" s="310">
        <f ca="1">+'R1 Opex Detail'!L390</f>
        <v>0</v>
      </c>
      <c r="M390" s="835">
        <f ca="1">+'R1 Opex Detail'!M390*M$2</f>
        <v>0</v>
      </c>
      <c r="N390" s="312">
        <f ca="1">+'R1 Opex Detail'!N390*N$1</f>
        <v>5.8922653846153854E-2</v>
      </c>
      <c r="O390" s="310">
        <f ca="1">+'R1 Opex Detail'!O390*O$1</f>
        <v>5.9845559849007607E-2</v>
      </c>
      <c r="P390" s="310">
        <f ca="1">+'R1 Opex Detail'!P390*P$1</f>
        <v>6.0729865618642423E-2</v>
      </c>
      <c r="Q390" s="310">
        <f ca="1">+'R1 Opex Detail'!Q390*Q$1</f>
        <v>6.1859982573792514E-2</v>
      </c>
      <c r="R390" s="310">
        <f ca="1">+'R1 Opex Detail'!R390*R$1</f>
        <v>6.314926286176939E-2</v>
      </c>
      <c r="S390" s="310">
        <f ca="1">+'R1 Opex Detail'!S390*S$1</f>
        <v>6.4531970069587913E-2</v>
      </c>
    </row>
    <row r="391" spans="1:19">
      <c r="A391" s="5"/>
      <c r="B391" s="249"/>
      <c r="C391" s="13" t="s">
        <v>647</v>
      </c>
      <c r="D391" s="312">
        <f>+'R1 Opex Detail'!D391</f>
        <v>0</v>
      </c>
      <c r="E391" s="310">
        <f>+'R1 Opex Detail'!E391</f>
        <v>0</v>
      </c>
      <c r="F391" s="310">
        <f>+'R1 Opex Detail'!F391</f>
        <v>0</v>
      </c>
      <c r="G391" s="310">
        <f>+'R1 Opex Detail'!G391</f>
        <v>0</v>
      </c>
      <c r="H391" s="310">
        <f>+'R1 Opex Detail'!H391</f>
        <v>0</v>
      </c>
      <c r="I391" s="310">
        <f>+'R1 Opex Detail'!I391</f>
        <v>0</v>
      </c>
      <c r="J391" s="310">
        <f>+'R1 Opex Detail'!J391</f>
        <v>0</v>
      </c>
      <c r="K391" s="310">
        <f>+'R1 Opex Detail'!K391</f>
        <v>0</v>
      </c>
      <c r="L391" s="310">
        <f ca="1">+'R1 Opex Detail'!L391</f>
        <v>0</v>
      </c>
      <c r="M391" s="835">
        <f ca="1">+'R1 Opex Detail'!M391*M$2</f>
        <v>0</v>
      </c>
      <c r="N391" s="312">
        <f ca="1">+'R1 Opex Detail'!N391*N$1</f>
        <v>0.37834546153846155</v>
      </c>
      <c r="O391" s="310">
        <f ca="1">+'R1 Opex Detail'!O391*O$1</f>
        <v>0.38427148955678564</v>
      </c>
      <c r="P391" s="310">
        <f ca="1">+'R1 Opex Detail'!P391*P$1</f>
        <v>0.38994966344601967</v>
      </c>
      <c r="Q391" s="310">
        <f ca="1">+'R1 Opex Detail'!Q391*Q$1</f>
        <v>0.39720620389487821</v>
      </c>
      <c r="R391" s="310">
        <f ca="1">+'R1 Opex Detail'!R391*R$1</f>
        <v>0.40548474048083499</v>
      </c>
      <c r="S391" s="310">
        <f ca="1">+'R1 Opex Detail'!S391*S$1</f>
        <v>0.41436317623630131</v>
      </c>
    </row>
    <row r="392" spans="1:19" s="759" customFormat="1">
      <c r="A392" s="5"/>
      <c r="B392" s="249"/>
      <c r="C392" s="13" t="s">
        <v>575</v>
      </c>
      <c r="D392" s="312">
        <f>+'R1 Opex Detail'!D392</f>
        <v>0</v>
      </c>
      <c r="E392" s="310">
        <f>+'R1 Opex Detail'!E392</f>
        <v>0</v>
      </c>
      <c r="F392" s="310">
        <f>+'R1 Opex Detail'!F392</f>
        <v>0</v>
      </c>
      <c r="G392" s="310">
        <f>+'R1 Opex Detail'!G392</f>
        <v>0</v>
      </c>
      <c r="H392" s="310">
        <f>+'R1 Opex Detail'!H392</f>
        <v>0</v>
      </c>
      <c r="I392" s="310">
        <f>+'R1 Opex Detail'!I392</f>
        <v>0</v>
      </c>
      <c r="J392" s="310">
        <f>+'R1 Opex Detail'!J392</f>
        <v>0</v>
      </c>
      <c r="K392" s="310">
        <f>+'R1 Opex Detail'!K392</f>
        <v>0</v>
      </c>
      <c r="L392" s="310">
        <f ca="1">+'R1 Opex Detail'!L392</f>
        <v>0</v>
      </c>
      <c r="M392" s="835">
        <f ca="1">+'R1 Opex Detail'!M392*M$2</f>
        <v>0</v>
      </c>
      <c r="N392" s="312">
        <f ca="1">+'R1 Opex Detail'!N392*N$1</f>
        <v>0</v>
      </c>
      <c r="O392" s="310">
        <f ca="1">+'R1 Opex Detail'!O392*O$1</f>
        <v>0</v>
      </c>
      <c r="P392" s="310">
        <f ca="1">+'R1 Opex Detail'!P392*P$1</f>
        <v>0</v>
      </c>
      <c r="Q392" s="310">
        <f ca="1">+'R1 Opex Detail'!Q392*Q$1</f>
        <v>0</v>
      </c>
      <c r="R392" s="310">
        <f ca="1">+'R1 Opex Detail'!R392*R$1</f>
        <v>0</v>
      </c>
      <c r="S392" s="310">
        <f ca="1">+'R1 Opex Detail'!S392*S$1</f>
        <v>0</v>
      </c>
    </row>
    <row r="393" spans="1:19">
      <c r="A393" s="5"/>
      <c r="B393" s="249"/>
      <c r="C393" s="13" t="s">
        <v>70</v>
      </c>
      <c r="D393" s="312">
        <f>+'R1 Opex Detail'!D393</f>
        <v>0</v>
      </c>
      <c r="E393" s="310">
        <f>+'R1 Opex Detail'!E393</f>
        <v>0</v>
      </c>
      <c r="F393" s="310">
        <f>+'R1 Opex Detail'!F393</f>
        <v>0</v>
      </c>
      <c r="G393" s="310">
        <f>+'R1 Opex Detail'!G393</f>
        <v>0</v>
      </c>
      <c r="H393" s="310">
        <f>+'R1 Opex Detail'!H393</f>
        <v>0</v>
      </c>
      <c r="I393" s="310">
        <f>+'R1 Opex Detail'!I393</f>
        <v>0</v>
      </c>
      <c r="J393" s="310">
        <f>+'R1 Opex Detail'!J393</f>
        <v>0</v>
      </c>
      <c r="K393" s="310">
        <f>+'R1 Opex Detail'!K393</f>
        <v>0</v>
      </c>
      <c r="L393" s="310">
        <f ca="1">+'R1 Opex Detail'!L393</f>
        <v>0</v>
      </c>
      <c r="M393" s="835">
        <f ca="1">+'R1 Opex Detail'!M393*M$2</f>
        <v>0</v>
      </c>
      <c r="N393" s="312">
        <f ca="1">+'R1 Opex Detail'!N393*N$1</f>
        <v>0</v>
      </c>
      <c r="O393" s="310">
        <f ca="1">+'R1 Opex Detail'!O393*O$1</f>
        <v>0</v>
      </c>
      <c r="P393" s="310">
        <f ca="1">+'R1 Opex Detail'!P393*P$1</f>
        <v>0</v>
      </c>
      <c r="Q393" s="310">
        <f ca="1">+'R1 Opex Detail'!Q393*Q$1</f>
        <v>0</v>
      </c>
      <c r="R393" s="310">
        <f ca="1">+'R1 Opex Detail'!R393*R$1</f>
        <v>0</v>
      </c>
      <c r="S393" s="310">
        <f ca="1">+'R1 Opex Detail'!S393*S$1</f>
        <v>0</v>
      </c>
    </row>
    <row r="394" spans="1:19">
      <c r="A394" s="5"/>
      <c r="B394" s="249"/>
      <c r="C394" s="12" t="s">
        <v>75</v>
      </c>
      <c r="D394" s="313">
        <f t="shared" ref="D394:S394" si="48">SUBTOTAL(9,D388:D393)</f>
        <v>0</v>
      </c>
      <c r="E394" s="311">
        <f t="shared" si="48"/>
        <v>0</v>
      </c>
      <c r="F394" s="311">
        <f t="shared" si="48"/>
        <v>0</v>
      </c>
      <c r="G394" s="311">
        <f t="shared" si="48"/>
        <v>0</v>
      </c>
      <c r="H394" s="311">
        <f t="shared" si="48"/>
        <v>0</v>
      </c>
      <c r="I394" s="311">
        <f t="shared" si="48"/>
        <v>0</v>
      </c>
      <c r="J394" s="311">
        <f t="shared" si="48"/>
        <v>0</v>
      </c>
      <c r="K394" s="311">
        <f t="shared" si="48"/>
        <v>0</v>
      </c>
      <c r="L394" s="311">
        <f t="shared" ca="1" si="48"/>
        <v>0</v>
      </c>
      <c r="M394" s="513">
        <f t="shared" ca="1" si="48"/>
        <v>0</v>
      </c>
      <c r="N394" s="313">
        <f t="shared" ca="1" si="48"/>
        <v>3.3007023461538472</v>
      </c>
      <c r="O394" s="311">
        <f t="shared" ca="1" si="48"/>
        <v>3.3994223227960676</v>
      </c>
      <c r="P394" s="311">
        <f t="shared" ca="1" si="48"/>
        <v>3.4981540735274557</v>
      </c>
      <c r="Q394" s="311">
        <f t="shared" ca="1" si="48"/>
        <v>3.6045443169138371</v>
      </c>
      <c r="R394" s="311">
        <f t="shared" ca="1" si="48"/>
        <v>3.7175695156036097</v>
      </c>
      <c r="S394" s="311">
        <f t="shared" ca="1" si="48"/>
        <v>3.8315347596460452</v>
      </c>
    </row>
    <row r="395" spans="1:19">
      <c r="A395" s="5"/>
      <c r="B395" s="249"/>
      <c r="C395" s="12"/>
      <c r="D395" s="263"/>
      <c r="E395" s="263"/>
      <c r="F395" s="263"/>
      <c r="G395" s="263"/>
      <c r="H395" s="263"/>
      <c r="I395" s="263"/>
      <c r="J395" s="263"/>
      <c r="K395" s="263"/>
      <c r="L395" s="263"/>
      <c r="M395" s="836"/>
      <c r="N395" s="263"/>
      <c r="O395" s="263"/>
      <c r="P395" s="263"/>
      <c r="Q395" s="263"/>
      <c r="R395" s="263"/>
      <c r="S395" s="263"/>
    </row>
    <row r="396" spans="1:19">
      <c r="A396" s="5"/>
      <c r="B396" s="249" t="str">
        <f ca="1">+'I-4 History'!B390</f>
        <v>A-19</v>
      </c>
      <c r="C396" s="14" t="str">
        <f ca="1">+'I-4 History'!C390</f>
        <v>Workforce Development</v>
      </c>
      <c r="D396" s="11"/>
      <c r="E396" s="11"/>
      <c r="F396" s="11"/>
      <c r="G396" s="11"/>
      <c r="H396" s="11"/>
      <c r="I396" s="11"/>
      <c r="J396" s="11"/>
      <c r="K396" s="11"/>
      <c r="L396" s="11"/>
      <c r="M396" s="507"/>
      <c r="N396" s="11"/>
      <c r="O396" s="11"/>
      <c r="P396" s="11"/>
      <c r="Q396" s="11"/>
      <c r="R396" s="11"/>
      <c r="S396" s="11"/>
    </row>
    <row r="397" spans="1:19">
      <c r="B397" s="249"/>
      <c r="C397" s="13" t="s">
        <v>68</v>
      </c>
      <c r="D397" s="312">
        <f>+'R1 Opex Detail'!D397</f>
        <v>0</v>
      </c>
      <c r="E397" s="310">
        <f>+'R1 Opex Detail'!E397</f>
        <v>0</v>
      </c>
      <c r="F397" s="310">
        <f>+'R1 Opex Detail'!F397</f>
        <v>0</v>
      </c>
      <c r="G397" s="310">
        <f>+'R1 Opex Detail'!G397</f>
        <v>0</v>
      </c>
      <c r="H397" s="310">
        <f>+'R1 Opex Detail'!H397</f>
        <v>0</v>
      </c>
      <c r="I397" s="310">
        <f>+'R1 Opex Detail'!I397</f>
        <v>0</v>
      </c>
      <c r="J397" s="310">
        <f>+'R1 Opex Detail'!J397</f>
        <v>0</v>
      </c>
      <c r="K397" s="310">
        <f>+'R1 Opex Detail'!K397</f>
        <v>0</v>
      </c>
      <c r="L397" s="310">
        <f ca="1">+'R1 Opex Detail'!L397</f>
        <v>0</v>
      </c>
      <c r="M397" s="835">
        <f ca="1">+'R1 Opex Detail'!M397*M$2</f>
        <v>0</v>
      </c>
      <c r="N397" s="312">
        <f ca="1">+'R1 Opex Detail'!N397*N$1</f>
        <v>0.72567900000000019</v>
      </c>
      <c r="O397" s="310">
        <f ca="1">+'R1 Opex Detail'!O397*O$1</f>
        <v>0.74911523312951223</v>
      </c>
      <c r="P397" s="310">
        <f ca="1">+'R1 Opex Detail'!P397*P$1</f>
        <v>0.77263335398781374</v>
      </c>
      <c r="Q397" s="310">
        <f ca="1">+'R1 Opex Detail'!Q397*Q$1</f>
        <v>0.79764542539937722</v>
      </c>
      <c r="R397" s="310">
        <f ca="1">+'R1 Opex Detail'!R397*R$1</f>
        <v>0.82404736028232328</v>
      </c>
      <c r="S397" s="310">
        <f ca="1">+'R1 Opex Detail'!S397*S$1</f>
        <v>0.85051876204368737</v>
      </c>
    </row>
    <row r="398" spans="1:19">
      <c r="B398" s="249"/>
      <c r="C398" s="13" t="s">
        <v>69</v>
      </c>
      <c r="D398" s="312">
        <f>+'R1 Opex Detail'!D398</f>
        <v>0</v>
      </c>
      <c r="E398" s="310">
        <f>+'R1 Opex Detail'!E398</f>
        <v>0</v>
      </c>
      <c r="F398" s="310">
        <f>+'R1 Opex Detail'!F398</f>
        <v>0</v>
      </c>
      <c r="G398" s="310">
        <f>+'R1 Opex Detail'!G398</f>
        <v>0</v>
      </c>
      <c r="H398" s="310">
        <f>+'R1 Opex Detail'!H398</f>
        <v>0</v>
      </c>
      <c r="I398" s="310">
        <f>+'R1 Opex Detail'!I398</f>
        <v>0</v>
      </c>
      <c r="J398" s="310">
        <f>+'R1 Opex Detail'!J398</f>
        <v>0</v>
      </c>
      <c r="K398" s="310">
        <f>+'R1 Opex Detail'!K398</f>
        <v>0</v>
      </c>
      <c r="L398" s="310">
        <f ca="1">+'R1 Opex Detail'!L398</f>
        <v>0</v>
      </c>
      <c r="M398" s="835">
        <f ca="1">+'R1 Opex Detail'!M398*M$2</f>
        <v>0</v>
      </c>
      <c r="N398" s="312">
        <f ca="1">+'R1 Opex Detail'!N398*N$1</f>
        <v>0.13438500000000003</v>
      </c>
      <c r="O398" s="310">
        <f ca="1">+'R1 Opex Detail'!O398*O$1</f>
        <v>0.13581081924362379</v>
      </c>
      <c r="P398" s="310">
        <f ca="1">+'R1 Opex Detail'!P398*P$1</f>
        <v>0.13713196312968659</v>
      </c>
      <c r="Q398" s="310">
        <f ca="1">+'R1 Opex Detail'!Q398*Q$1</f>
        <v>0.13843789919077487</v>
      </c>
      <c r="R398" s="310">
        <f ca="1">+'R1 Opex Detail'!R398*R$1</f>
        <v>0.13985473493012904</v>
      </c>
      <c r="S398" s="310">
        <f ca="1">+'R1 Opex Detail'!S398*S$1</f>
        <v>0.1411525670710215</v>
      </c>
    </row>
    <row r="399" spans="1:19" s="759" customFormat="1">
      <c r="B399" s="249"/>
      <c r="C399" s="13" t="s">
        <v>646</v>
      </c>
      <c r="D399" s="312">
        <f>+'R1 Opex Detail'!D399</f>
        <v>0</v>
      </c>
      <c r="E399" s="310">
        <f>+'R1 Opex Detail'!E399</f>
        <v>0</v>
      </c>
      <c r="F399" s="310">
        <f>+'R1 Opex Detail'!F399</f>
        <v>0</v>
      </c>
      <c r="G399" s="310">
        <f>+'R1 Opex Detail'!G399</f>
        <v>0</v>
      </c>
      <c r="H399" s="310">
        <f>+'R1 Opex Detail'!H399</f>
        <v>0</v>
      </c>
      <c r="I399" s="310">
        <f>+'R1 Opex Detail'!I399</f>
        <v>0</v>
      </c>
      <c r="J399" s="310">
        <f>+'R1 Opex Detail'!J399</f>
        <v>0</v>
      </c>
      <c r="K399" s="310">
        <f>+'R1 Opex Detail'!K399</f>
        <v>0</v>
      </c>
      <c r="L399" s="310">
        <f ca="1">+'R1 Opex Detail'!L399</f>
        <v>0</v>
      </c>
      <c r="M399" s="835">
        <f ca="1">+'R1 Opex Detail'!M399*M$2</f>
        <v>0</v>
      </c>
      <c r="N399" s="312">
        <f ca="1">+'R1 Opex Detail'!N399*N$1</f>
        <v>0</v>
      </c>
      <c r="O399" s="310">
        <f ca="1">+'R1 Opex Detail'!O399*O$1</f>
        <v>0</v>
      </c>
      <c r="P399" s="310">
        <f ca="1">+'R1 Opex Detail'!P399*P$1</f>
        <v>0</v>
      </c>
      <c r="Q399" s="310">
        <f ca="1">+'R1 Opex Detail'!Q399*Q$1</f>
        <v>0</v>
      </c>
      <c r="R399" s="310">
        <f ca="1">+'R1 Opex Detail'!R399*R$1</f>
        <v>0</v>
      </c>
      <c r="S399" s="310">
        <f ca="1">+'R1 Opex Detail'!S399*S$1</f>
        <v>0</v>
      </c>
    </row>
    <row r="400" spans="1:19">
      <c r="B400" s="249"/>
      <c r="C400" s="13" t="s">
        <v>647</v>
      </c>
      <c r="D400" s="312">
        <f>+'R1 Opex Detail'!D400</f>
        <v>0</v>
      </c>
      <c r="E400" s="310">
        <f>+'R1 Opex Detail'!E400</f>
        <v>0</v>
      </c>
      <c r="F400" s="310">
        <f>+'R1 Opex Detail'!F400</f>
        <v>0</v>
      </c>
      <c r="G400" s="310">
        <f>+'R1 Opex Detail'!G400</f>
        <v>0</v>
      </c>
      <c r="H400" s="310">
        <f>+'R1 Opex Detail'!H400</f>
        <v>0</v>
      </c>
      <c r="I400" s="310">
        <f>+'R1 Opex Detail'!I400</f>
        <v>0</v>
      </c>
      <c r="J400" s="310">
        <f>+'R1 Opex Detail'!J400</f>
        <v>0</v>
      </c>
      <c r="K400" s="310">
        <f>+'R1 Opex Detail'!K400</f>
        <v>0</v>
      </c>
      <c r="L400" s="310">
        <f ca="1">+'R1 Opex Detail'!L400</f>
        <v>0</v>
      </c>
      <c r="M400" s="835">
        <f ca="1">+'R1 Opex Detail'!M400*M$2</f>
        <v>0</v>
      </c>
      <c r="N400" s="312">
        <f ca="1">+'R1 Opex Detail'!N400*N$1</f>
        <v>7.0293692307692321E-2</v>
      </c>
      <c r="O400" s="310">
        <f ca="1">+'R1 Opex Detail'!O400*O$1</f>
        <v>7.1394702977763458E-2</v>
      </c>
      <c r="P400" s="310">
        <f ca="1">+'R1 Opex Detail'!P400*P$1</f>
        <v>7.2449664246801479E-2</v>
      </c>
      <c r="Q400" s="310">
        <f ca="1">+'R1 Opex Detail'!Q400*Q$1</f>
        <v>7.3797873947682308E-2</v>
      </c>
      <c r="R400" s="310">
        <f ca="1">+'R1 Opex Detail'!R400*R$1</f>
        <v>7.5335962712286278E-2</v>
      </c>
      <c r="S400" s="310">
        <f ca="1">+'R1 Opex Detail'!S400*S$1</f>
        <v>7.6985508153192606E-2</v>
      </c>
    </row>
    <row r="401" spans="1:19" s="759" customFormat="1">
      <c r="B401" s="249"/>
      <c r="C401" s="13" t="s">
        <v>575</v>
      </c>
      <c r="D401" s="312">
        <f>+'R1 Opex Detail'!D401</f>
        <v>0</v>
      </c>
      <c r="E401" s="310">
        <f>+'R1 Opex Detail'!E401</f>
        <v>0</v>
      </c>
      <c r="F401" s="310">
        <f>+'R1 Opex Detail'!F401</f>
        <v>0</v>
      </c>
      <c r="G401" s="310">
        <f>+'R1 Opex Detail'!G401</f>
        <v>0</v>
      </c>
      <c r="H401" s="310">
        <f>+'R1 Opex Detail'!H401</f>
        <v>0</v>
      </c>
      <c r="I401" s="310">
        <f>+'R1 Opex Detail'!I401</f>
        <v>0</v>
      </c>
      <c r="J401" s="310">
        <f>+'R1 Opex Detail'!J401</f>
        <v>0</v>
      </c>
      <c r="K401" s="310">
        <f>+'R1 Opex Detail'!K401</f>
        <v>0</v>
      </c>
      <c r="L401" s="310">
        <f ca="1">+'R1 Opex Detail'!L401</f>
        <v>0</v>
      </c>
      <c r="M401" s="835">
        <f ca="1">+'R1 Opex Detail'!M401*M$2</f>
        <v>0</v>
      </c>
      <c r="N401" s="312">
        <f ca="1">+'R1 Opex Detail'!N401*N$1</f>
        <v>0</v>
      </c>
      <c r="O401" s="310">
        <f ca="1">+'R1 Opex Detail'!O401*O$1</f>
        <v>0</v>
      </c>
      <c r="P401" s="310">
        <f ca="1">+'R1 Opex Detail'!P401*P$1</f>
        <v>0</v>
      </c>
      <c r="Q401" s="310">
        <f ca="1">+'R1 Opex Detail'!Q401*Q$1</f>
        <v>0</v>
      </c>
      <c r="R401" s="310">
        <f ca="1">+'R1 Opex Detail'!R401*R$1</f>
        <v>0</v>
      </c>
      <c r="S401" s="310">
        <f ca="1">+'R1 Opex Detail'!S401*S$1</f>
        <v>0</v>
      </c>
    </row>
    <row r="402" spans="1:19">
      <c r="B402" s="249"/>
      <c r="C402" s="13" t="s">
        <v>70</v>
      </c>
      <c r="D402" s="312">
        <f>+'R1 Opex Detail'!D402</f>
        <v>0</v>
      </c>
      <c r="E402" s="310">
        <f>+'R1 Opex Detail'!E402</f>
        <v>0</v>
      </c>
      <c r="F402" s="310">
        <f>+'R1 Opex Detail'!F402</f>
        <v>0</v>
      </c>
      <c r="G402" s="310">
        <f>+'R1 Opex Detail'!G402</f>
        <v>0</v>
      </c>
      <c r="H402" s="310">
        <f>+'R1 Opex Detail'!H402</f>
        <v>0</v>
      </c>
      <c r="I402" s="310">
        <f>+'R1 Opex Detail'!I402</f>
        <v>0</v>
      </c>
      <c r="J402" s="310">
        <f>+'R1 Opex Detail'!J402</f>
        <v>0</v>
      </c>
      <c r="K402" s="310">
        <f>+'R1 Opex Detail'!K402</f>
        <v>0</v>
      </c>
      <c r="L402" s="310">
        <f ca="1">+'R1 Opex Detail'!L402</f>
        <v>0</v>
      </c>
      <c r="M402" s="835">
        <f ca="1">+'R1 Opex Detail'!M402*M$2</f>
        <v>0</v>
      </c>
      <c r="N402" s="312">
        <f ca="1">+'R1 Opex Detail'!N402*N$1</f>
        <v>0</v>
      </c>
      <c r="O402" s="310">
        <f ca="1">+'R1 Opex Detail'!O402*O$1</f>
        <v>0</v>
      </c>
      <c r="P402" s="310">
        <f ca="1">+'R1 Opex Detail'!P402*P$1</f>
        <v>0</v>
      </c>
      <c r="Q402" s="310">
        <f ca="1">+'R1 Opex Detail'!Q402*Q$1</f>
        <v>0</v>
      </c>
      <c r="R402" s="310">
        <f ca="1">+'R1 Opex Detail'!R402*R$1</f>
        <v>0</v>
      </c>
      <c r="S402" s="310">
        <f ca="1">+'R1 Opex Detail'!S402*S$1</f>
        <v>0</v>
      </c>
    </row>
    <row r="403" spans="1:19">
      <c r="B403" s="249"/>
      <c r="C403" s="12" t="s">
        <v>75</v>
      </c>
      <c r="D403" s="313">
        <f t="shared" ref="D403:S403" si="49">SUBTOTAL(9,D397:D402)</f>
        <v>0</v>
      </c>
      <c r="E403" s="311">
        <f t="shared" si="49"/>
        <v>0</v>
      </c>
      <c r="F403" s="311">
        <f t="shared" si="49"/>
        <v>0</v>
      </c>
      <c r="G403" s="311">
        <f t="shared" si="49"/>
        <v>0</v>
      </c>
      <c r="H403" s="311">
        <f t="shared" si="49"/>
        <v>0</v>
      </c>
      <c r="I403" s="311">
        <f t="shared" si="49"/>
        <v>0</v>
      </c>
      <c r="J403" s="311">
        <f t="shared" si="49"/>
        <v>0</v>
      </c>
      <c r="K403" s="311">
        <f t="shared" si="49"/>
        <v>0</v>
      </c>
      <c r="L403" s="311">
        <f t="shared" ca="1" si="49"/>
        <v>0</v>
      </c>
      <c r="M403" s="513">
        <f t="shared" ca="1" si="49"/>
        <v>0</v>
      </c>
      <c r="N403" s="313">
        <f t="shared" ca="1" si="49"/>
        <v>0.9303576923076925</v>
      </c>
      <c r="O403" s="311">
        <f t="shared" ca="1" si="49"/>
        <v>0.95632075535089944</v>
      </c>
      <c r="P403" s="311">
        <f t="shared" ca="1" si="49"/>
        <v>0.98221498136430174</v>
      </c>
      <c r="Q403" s="311">
        <f t="shared" ca="1" si="49"/>
        <v>1.0098811985378344</v>
      </c>
      <c r="R403" s="311">
        <f t="shared" ca="1" si="49"/>
        <v>1.0392380579247387</v>
      </c>
      <c r="S403" s="311">
        <f t="shared" ca="1" si="49"/>
        <v>1.0686568372679015</v>
      </c>
    </row>
    <row r="404" spans="1:19">
      <c r="B404" s="249"/>
      <c r="C404" s="12"/>
      <c r="D404" s="263"/>
      <c r="E404" s="263"/>
      <c r="F404" s="263"/>
      <c r="G404" s="263"/>
      <c r="H404" s="263"/>
      <c r="I404" s="263"/>
      <c r="J404" s="263"/>
      <c r="K404" s="263"/>
      <c r="L404" s="263"/>
      <c r="M404" s="836"/>
      <c r="N404" s="263"/>
      <c r="O404" s="263"/>
      <c r="P404" s="263"/>
      <c r="Q404" s="263"/>
      <c r="R404" s="263"/>
      <c r="S404" s="263"/>
    </row>
    <row r="405" spans="1:19">
      <c r="A405" s="5"/>
      <c r="B405" s="249" t="str">
        <f ca="1">+'I-4 History'!B399</f>
        <v>A-20</v>
      </c>
      <c r="C405" s="14" t="str">
        <f ca="1">+'I-4 History'!C399</f>
        <v>Training Centre</v>
      </c>
      <c r="D405" s="11"/>
      <c r="E405" s="11"/>
      <c r="F405" s="11"/>
      <c r="G405" s="11"/>
      <c r="H405" s="11"/>
      <c r="I405" s="11"/>
      <c r="J405" s="11"/>
      <c r="K405" s="11"/>
      <c r="L405" s="11"/>
      <c r="M405" s="507"/>
      <c r="N405" s="11"/>
      <c r="O405" s="11"/>
      <c r="P405" s="11"/>
      <c r="Q405" s="11"/>
      <c r="R405" s="11"/>
      <c r="S405" s="11"/>
    </row>
    <row r="406" spans="1:19">
      <c r="A406" s="5"/>
      <c r="B406" s="249"/>
      <c r="C406" s="13" t="s">
        <v>68</v>
      </c>
      <c r="D406" s="312">
        <f>+'R1 Opex Detail'!D406</f>
        <v>0</v>
      </c>
      <c r="E406" s="310">
        <f>+'R1 Opex Detail'!E406</f>
        <v>0</v>
      </c>
      <c r="F406" s="310">
        <f>+'R1 Opex Detail'!F406</f>
        <v>0</v>
      </c>
      <c r="G406" s="310">
        <f>+'R1 Opex Detail'!G406</f>
        <v>0</v>
      </c>
      <c r="H406" s="310">
        <f>+'R1 Opex Detail'!H406</f>
        <v>0</v>
      </c>
      <c r="I406" s="310">
        <f>+'R1 Opex Detail'!I406</f>
        <v>0</v>
      </c>
      <c r="J406" s="310">
        <f>+'R1 Opex Detail'!J406</f>
        <v>0</v>
      </c>
      <c r="K406" s="310">
        <f>+'R1 Opex Detail'!K406</f>
        <v>0</v>
      </c>
      <c r="L406" s="310">
        <f ca="1">+'R1 Opex Detail'!L406</f>
        <v>0</v>
      </c>
      <c r="M406" s="835">
        <f ca="1">+'R1 Opex Detail'!M406*M$2</f>
        <v>0</v>
      </c>
      <c r="N406" s="312">
        <f ca="1">+'R1 Opex Detail'!N406*N$1</f>
        <v>3.075349038461539</v>
      </c>
      <c r="O406" s="310">
        <f ca="1">+'R1 Opex Detail'!O406*O$1</f>
        <v>3.1746692572084032</v>
      </c>
      <c r="P406" s="310">
        <f ca="1">+'R1 Opex Detail'!P406*P$1</f>
        <v>3.2743365072845383</v>
      </c>
      <c r="Q406" s="310">
        <f ca="1">+'R1 Opex Detail'!Q406*Q$1</f>
        <v>3.3803349580671607</v>
      </c>
      <c r="R406" s="310">
        <f ca="1">+'R1 Opex Detail'!R406*R$1</f>
        <v>3.4922234997719546</v>
      </c>
      <c r="S406" s="310">
        <f ca="1">+'R1 Opex Detail'!S406*S$1</f>
        <v>3.6044064345868514</v>
      </c>
    </row>
    <row r="407" spans="1:19">
      <c r="A407" s="5"/>
      <c r="B407" s="249"/>
      <c r="C407" s="13" t="s">
        <v>69</v>
      </c>
      <c r="D407" s="312">
        <f>+'R1 Opex Detail'!D407</f>
        <v>0</v>
      </c>
      <c r="E407" s="310">
        <f>+'R1 Opex Detail'!E407</f>
        <v>0</v>
      </c>
      <c r="F407" s="310">
        <f>+'R1 Opex Detail'!F407</f>
        <v>0</v>
      </c>
      <c r="G407" s="310">
        <f>+'R1 Opex Detail'!G407</f>
        <v>0</v>
      </c>
      <c r="H407" s="310">
        <f>+'R1 Opex Detail'!H407</f>
        <v>0</v>
      </c>
      <c r="I407" s="310">
        <f>+'R1 Opex Detail'!I407</f>
        <v>0</v>
      </c>
      <c r="J407" s="310">
        <f>+'R1 Opex Detail'!J407</f>
        <v>0</v>
      </c>
      <c r="K407" s="310">
        <f>+'R1 Opex Detail'!K407</f>
        <v>0</v>
      </c>
      <c r="L407" s="310">
        <f ca="1">+'R1 Opex Detail'!L407</f>
        <v>0</v>
      </c>
      <c r="M407" s="835">
        <f ca="1">+'R1 Opex Detail'!M407*M$2</f>
        <v>0</v>
      </c>
      <c r="N407" s="312">
        <f ca="1">+'R1 Opex Detail'!N407*N$1</f>
        <v>0.14678976923076925</v>
      </c>
      <c r="O407" s="310">
        <f ca="1">+'R1 Opex Detail'!O407*O$1</f>
        <v>0.14834720255841985</v>
      </c>
      <c r="P407" s="310">
        <f ca="1">+'R1 Opex Detail'!P407*P$1</f>
        <v>0.1497902981878115</v>
      </c>
      <c r="Q407" s="310">
        <f ca="1">+'R1 Opex Detail'!Q407*Q$1</f>
        <v>0.15121678219300028</v>
      </c>
      <c r="R407" s="310">
        <f ca="1">+'R1 Opex Detail'!R407*R$1</f>
        <v>0.15276440276983325</v>
      </c>
      <c r="S407" s="310">
        <f ca="1">+'R1 Opex Detail'!S407*S$1</f>
        <v>0.15418203480065423</v>
      </c>
    </row>
    <row r="408" spans="1:19" s="759" customFormat="1">
      <c r="A408" s="5"/>
      <c r="B408" s="249"/>
      <c r="C408" s="13" t="s">
        <v>646</v>
      </c>
      <c r="D408" s="312">
        <f>+'R1 Opex Detail'!D408</f>
        <v>0</v>
      </c>
      <c r="E408" s="310">
        <f>+'R1 Opex Detail'!E408</f>
        <v>0</v>
      </c>
      <c r="F408" s="310">
        <f>+'R1 Opex Detail'!F408</f>
        <v>0</v>
      </c>
      <c r="G408" s="310">
        <f>+'R1 Opex Detail'!G408</f>
        <v>0</v>
      </c>
      <c r="H408" s="310">
        <f>+'R1 Opex Detail'!H408</f>
        <v>0</v>
      </c>
      <c r="I408" s="310">
        <f>+'R1 Opex Detail'!I408</f>
        <v>0</v>
      </c>
      <c r="J408" s="310">
        <f>+'R1 Opex Detail'!J408</f>
        <v>0</v>
      </c>
      <c r="K408" s="310">
        <f>+'R1 Opex Detail'!K408</f>
        <v>0</v>
      </c>
      <c r="L408" s="310">
        <f ca="1">+'R1 Opex Detail'!L408</f>
        <v>0</v>
      </c>
      <c r="M408" s="835">
        <f ca="1">+'R1 Opex Detail'!M408*M$2</f>
        <v>0</v>
      </c>
      <c r="N408" s="312">
        <f ca="1">+'R1 Opex Detail'!N408*N$1</f>
        <v>0</v>
      </c>
      <c r="O408" s="310">
        <f ca="1">+'R1 Opex Detail'!O408*O$1</f>
        <v>0</v>
      </c>
      <c r="P408" s="310">
        <f ca="1">+'R1 Opex Detail'!P408*P$1</f>
        <v>0</v>
      </c>
      <c r="Q408" s="310">
        <f ca="1">+'R1 Opex Detail'!Q408*Q$1</f>
        <v>0</v>
      </c>
      <c r="R408" s="310">
        <f ca="1">+'R1 Opex Detail'!R408*R$1</f>
        <v>0</v>
      </c>
      <c r="S408" s="310">
        <f ca="1">+'R1 Opex Detail'!S408*S$1</f>
        <v>0</v>
      </c>
    </row>
    <row r="409" spans="1:19">
      <c r="A409" s="5"/>
      <c r="B409" s="249"/>
      <c r="C409" s="13" t="s">
        <v>647</v>
      </c>
      <c r="D409" s="312">
        <f>+'R1 Opex Detail'!D409</f>
        <v>0</v>
      </c>
      <c r="E409" s="310">
        <f>+'R1 Opex Detail'!E409</f>
        <v>0</v>
      </c>
      <c r="F409" s="310">
        <f>+'R1 Opex Detail'!F409</f>
        <v>0</v>
      </c>
      <c r="G409" s="310">
        <f>+'R1 Opex Detail'!G409</f>
        <v>0</v>
      </c>
      <c r="H409" s="310">
        <f>+'R1 Opex Detail'!H409</f>
        <v>0</v>
      </c>
      <c r="I409" s="310">
        <f>+'R1 Opex Detail'!I409</f>
        <v>0</v>
      </c>
      <c r="J409" s="310">
        <f>+'R1 Opex Detail'!J409</f>
        <v>0</v>
      </c>
      <c r="K409" s="310">
        <f>+'R1 Opex Detail'!K409</f>
        <v>0</v>
      </c>
      <c r="L409" s="310">
        <f ca="1">+'R1 Opex Detail'!L409</f>
        <v>0</v>
      </c>
      <c r="M409" s="835">
        <f ca="1">+'R1 Opex Detail'!M409*M$2</f>
        <v>0</v>
      </c>
      <c r="N409" s="312">
        <f ca="1">+'R1 Opex Detail'!N409*N$1</f>
        <v>0.38351411538461544</v>
      </c>
      <c r="O409" s="310">
        <f ca="1">+'R1 Opex Detail'!O409*O$1</f>
        <v>0.38952110006985652</v>
      </c>
      <c r="P409" s="310">
        <f ca="1">+'R1 Opex Detail'!P409*P$1</f>
        <v>0.3952768446406375</v>
      </c>
      <c r="Q409" s="310">
        <f ca="1">+'R1 Opex Detail'!Q409*Q$1</f>
        <v>0.4026325181557372</v>
      </c>
      <c r="R409" s="310">
        <f ca="1">+'R1 Opex Detail'!R409*R$1</f>
        <v>0.41102414950379723</v>
      </c>
      <c r="S409" s="310">
        <f ca="1">+'R1 Opex Detail'!S409*S$1</f>
        <v>0.42002387536521257</v>
      </c>
    </row>
    <row r="410" spans="1:19" s="759" customFormat="1">
      <c r="A410" s="5"/>
      <c r="B410" s="249"/>
      <c r="C410" s="13" t="s">
        <v>575</v>
      </c>
      <c r="D410" s="312">
        <f>+'R1 Opex Detail'!D410</f>
        <v>0</v>
      </c>
      <c r="E410" s="310">
        <f>+'R1 Opex Detail'!E410</f>
        <v>0</v>
      </c>
      <c r="F410" s="310">
        <f>+'R1 Opex Detail'!F410</f>
        <v>0</v>
      </c>
      <c r="G410" s="310">
        <f>+'R1 Opex Detail'!G410</f>
        <v>0</v>
      </c>
      <c r="H410" s="310">
        <f>+'R1 Opex Detail'!H410</f>
        <v>0</v>
      </c>
      <c r="I410" s="310">
        <f>+'R1 Opex Detail'!I410</f>
        <v>0</v>
      </c>
      <c r="J410" s="310">
        <f>+'R1 Opex Detail'!J410</f>
        <v>0</v>
      </c>
      <c r="K410" s="310">
        <f>+'R1 Opex Detail'!K410</f>
        <v>0</v>
      </c>
      <c r="L410" s="310">
        <f ca="1">+'R1 Opex Detail'!L410</f>
        <v>0</v>
      </c>
      <c r="M410" s="835">
        <f ca="1">+'R1 Opex Detail'!M410*M$2</f>
        <v>0</v>
      </c>
      <c r="N410" s="312">
        <f ca="1">+'R1 Opex Detail'!N410*N$1</f>
        <v>0</v>
      </c>
      <c r="O410" s="310">
        <f ca="1">+'R1 Opex Detail'!O410*O$1</f>
        <v>0</v>
      </c>
      <c r="P410" s="310">
        <f ca="1">+'R1 Opex Detail'!P410*P$1</f>
        <v>0</v>
      </c>
      <c r="Q410" s="310">
        <f ca="1">+'R1 Opex Detail'!Q410*Q$1</f>
        <v>0</v>
      </c>
      <c r="R410" s="310">
        <f ca="1">+'R1 Opex Detail'!R410*R$1</f>
        <v>0</v>
      </c>
      <c r="S410" s="310">
        <f ca="1">+'R1 Opex Detail'!S410*S$1</f>
        <v>0</v>
      </c>
    </row>
    <row r="411" spans="1:19">
      <c r="A411" s="5"/>
      <c r="B411" s="249"/>
      <c r="C411" s="13" t="s">
        <v>70</v>
      </c>
      <c r="D411" s="312">
        <f>+'R1 Opex Detail'!D411</f>
        <v>0</v>
      </c>
      <c r="E411" s="310">
        <f>+'R1 Opex Detail'!E411</f>
        <v>0</v>
      </c>
      <c r="F411" s="310">
        <f>+'R1 Opex Detail'!F411</f>
        <v>0</v>
      </c>
      <c r="G411" s="310">
        <f>+'R1 Opex Detail'!G411</f>
        <v>0</v>
      </c>
      <c r="H411" s="310">
        <f>+'R1 Opex Detail'!H411</f>
        <v>0</v>
      </c>
      <c r="I411" s="310">
        <f>+'R1 Opex Detail'!I411</f>
        <v>0</v>
      </c>
      <c r="J411" s="310">
        <f>+'R1 Opex Detail'!J411</f>
        <v>0</v>
      </c>
      <c r="K411" s="310">
        <f>+'R1 Opex Detail'!K411</f>
        <v>0</v>
      </c>
      <c r="L411" s="310">
        <f ca="1">+'R1 Opex Detail'!L411</f>
        <v>0</v>
      </c>
      <c r="M411" s="835">
        <f ca="1">+'R1 Opex Detail'!M411*M$2</f>
        <v>0</v>
      </c>
      <c r="N411" s="312">
        <f ca="1">+'R1 Opex Detail'!N411*N$1</f>
        <v>0</v>
      </c>
      <c r="O411" s="310">
        <f ca="1">+'R1 Opex Detail'!O411*O$1</f>
        <v>0</v>
      </c>
      <c r="P411" s="310">
        <f ca="1">+'R1 Opex Detail'!P411*P$1</f>
        <v>0</v>
      </c>
      <c r="Q411" s="310">
        <f ca="1">+'R1 Opex Detail'!Q411*Q$1</f>
        <v>0</v>
      </c>
      <c r="R411" s="310">
        <f ca="1">+'R1 Opex Detail'!R411*R$1</f>
        <v>0</v>
      </c>
      <c r="S411" s="310">
        <f ca="1">+'R1 Opex Detail'!S411*S$1</f>
        <v>0</v>
      </c>
    </row>
    <row r="412" spans="1:19">
      <c r="A412" s="5"/>
      <c r="B412" s="249"/>
      <c r="C412" s="12" t="s">
        <v>75</v>
      </c>
      <c r="D412" s="313">
        <f t="shared" ref="D412:S412" si="50">SUBTOTAL(9,D406:D411)</f>
        <v>0</v>
      </c>
      <c r="E412" s="311">
        <f t="shared" si="50"/>
        <v>0</v>
      </c>
      <c r="F412" s="311">
        <f t="shared" si="50"/>
        <v>0</v>
      </c>
      <c r="G412" s="311">
        <f t="shared" si="50"/>
        <v>0</v>
      </c>
      <c r="H412" s="311">
        <f t="shared" si="50"/>
        <v>0</v>
      </c>
      <c r="I412" s="311">
        <f t="shared" si="50"/>
        <v>0</v>
      </c>
      <c r="J412" s="311">
        <f t="shared" si="50"/>
        <v>0</v>
      </c>
      <c r="K412" s="311">
        <f t="shared" si="50"/>
        <v>0</v>
      </c>
      <c r="L412" s="311">
        <f t="shared" ca="1" si="50"/>
        <v>0</v>
      </c>
      <c r="M412" s="513">
        <f t="shared" ca="1" si="50"/>
        <v>0</v>
      </c>
      <c r="N412" s="313">
        <f t="shared" ca="1" si="50"/>
        <v>3.6056529230769239</v>
      </c>
      <c r="O412" s="311">
        <f t="shared" ca="1" si="50"/>
        <v>3.7125375598366799</v>
      </c>
      <c r="P412" s="311">
        <f t="shared" ca="1" si="50"/>
        <v>3.8194036501129873</v>
      </c>
      <c r="Q412" s="311">
        <f t="shared" ca="1" si="50"/>
        <v>3.9341842584158981</v>
      </c>
      <c r="R412" s="311">
        <f t="shared" ca="1" si="50"/>
        <v>4.0560120520455856</v>
      </c>
      <c r="S412" s="311">
        <f t="shared" ca="1" si="50"/>
        <v>4.1786123447527181</v>
      </c>
    </row>
    <row r="413" spans="1:19">
      <c r="A413" s="5"/>
      <c r="B413" s="249"/>
      <c r="C413" s="12"/>
      <c r="D413" s="263"/>
      <c r="E413" s="263"/>
      <c r="F413" s="263"/>
      <c r="G413" s="263"/>
      <c r="H413" s="263"/>
      <c r="I413" s="263"/>
      <c r="J413" s="263"/>
      <c r="K413" s="263"/>
      <c r="L413" s="263"/>
      <c r="M413" s="836"/>
      <c r="N413" s="263"/>
      <c r="O413" s="263"/>
      <c r="P413" s="263"/>
      <c r="Q413" s="263"/>
      <c r="R413" s="263"/>
      <c r="S413" s="263"/>
    </row>
    <row r="414" spans="1:19">
      <c r="A414" s="5"/>
      <c r="B414" s="249" t="str">
        <f ca="1">+'I-4 History'!B408</f>
        <v>A-21</v>
      </c>
      <c r="C414" s="14" t="str">
        <f ca="1">+'I-4 History'!C408</f>
        <v>Apprentice Training</v>
      </c>
      <c r="D414" s="11"/>
      <c r="E414" s="11"/>
      <c r="F414" s="11"/>
      <c r="G414" s="11"/>
      <c r="H414" s="11"/>
      <c r="I414" s="11"/>
      <c r="J414" s="11"/>
      <c r="K414" s="11"/>
      <c r="L414" s="11"/>
      <c r="M414" s="507"/>
      <c r="N414" s="11"/>
      <c r="O414" s="11"/>
      <c r="P414" s="11"/>
      <c r="Q414" s="11"/>
      <c r="R414" s="11"/>
      <c r="S414" s="11"/>
    </row>
    <row r="415" spans="1:19">
      <c r="B415" s="249"/>
      <c r="C415" s="13" t="s">
        <v>68</v>
      </c>
      <c r="D415" s="312">
        <f>+'R1 Opex Detail'!D415</f>
        <v>0</v>
      </c>
      <c r="E415" s="310">
        <f>+'R1 Opex Detail'!E415</f>
        <v>0</v>
      </c>
      <c r="F415" s="310">
        <f>+'R1 Opex Detail'!F415</f>
        <v>0</v>
      </c>
      <c r="G415" s="310">
        <f>+'R1 Opex Detail'!G415</f>
        <v>0</v>
      </c>
      <c r="H415" s="310">
        <f>+'R1 Opex Detail'!H415</f>
        <v>0</v>
      </c>
      <c r="I415" s="310">
        <f>+'R1 Opex Detail'!I415</f>
        <v>0</v>
      </c>
      <c r="J415" s="310">
        <f>+'R1 Opex Detail'!J415</f>
        <v>0</v>
      </c>
      <c r="K415" s="310">
        <f>+'R1 Opex Detail'!K415</f>
        <v>0</v>
      </c>
      <c r="L415" s="310">
        <f ca="1">+'R1 Opex Detail'!L415</f>
        <v>0</v>
      </c>
      <c r="M415" s="835">
        <f ca="1">+'R1 Opex Detail'!M415*M$2</f>
        <v>0</v>
      </c>
      <c r="N415" s="312">
        <f ca="1">+'R1 Opex Detail'!N415*N$1</f>
        <v>1.4472230769230772E-2</v>
      </c>
      <c r="O415" s="310">
        <f ca="1">+'R1 Opex Detail'!O415*O$1</f>
        <v>1.4939620033921895E-2</v>
      </c>
      <c r="P415" s="310">
        <f ca="1">+'R1 Opex Detail'!P415*P$1</f>
        <v>1.5408642387221356E-2</v>
      </c>
      <c r="Q415" s="310">
        <f ca="1">+'R1 Opex Detail'!Q415*Q$1</f>
        <v>1.5907458626198401E-2</v>
      </c>
      <c r="R415" s="310">
        <f ca="1">+'R1 Opex Detail'!R415*R$1</f>
        <v>1.6433992940103316E-2</v>
      </c>
      <c r="S415" s="310">
        <f ca="1">+'R1 Opex Detail'!S415*S$1</f>
        <v>1.6961912633349889E-2</v>
      </c>
    </row>
    <row r="416" spans="1:19">
      <c r="B416" s="249"/>
      <c r="C416" s="13" t="s">
        <v>69</v>
      </c>
      <c r="D416" s="312">
        <f>+'R1 Opex Detail'!D416</f>
        <v>0</v>
      </c>
      <c r="E416" s="310">
        <f>+'R1 Opex Detail'!E416</f>
        <v>0</v>
      </c>
      <c r="F416" s="310">
        <f>+'R1 Opex Detail'!F416</f>
        <v>0</v>
      </c>
      <c r="G416" s="310">
        <f>+'R1 Opex Detail'!G416</f>
        <v>0</v>
      </c>
      <c r="H416" s="310">
        <f>+'R1 Opex Detail'!H416</f>
        <v>0</v>
      </c>
      <c r="I416" s="310">
        <f>+'R1 Opex Detail'!I416</f>
        <v>0</v>
      </c>
      <c r="J416" s="310">
        <f>+'R1 Opex Detail'!J416</f>
        <v>0</v>
      </c>
      <c r="K416" s="310">
        <f>+'R1 Opex Detail'!K416</f>
        <v>0</v>
      </c>
      <c r="L416" s="310">
        <f ca="1">+'R1 Opex Detail'!L416</f>
        <v>0</v>
      </c>
      <c r="M416" s="835">
        <f ca="1">+'R1 Opex Detail'!M416*M$2</f>
        <v>0</v>
      </c>
      <c r="N416" s="312">
        <f ca="1">+'R1 Opex Detail'!N416*N$1</f>
        <v>1.0337307692307694E-3</v>
      </c>
      <c r="O416" s="310">
        <f ca="1">+'R1 Opex Detail'!O416*O$1</f>
        <v>1.044698609566337E-3</v>
      </c>
      <c r="P416" s="310">
        <f ca="1">+'R1 Opex Detail'!P416*P$1</f>
        <v>1.0548612548437429E-3</v>
      </c>
      <c r="Q416" s="310">
        <f ca="1">+'R1 Opex Detail'!Q416*Q$1</f>
        <v>1.0649069168521146E-3</v>
      </c>
      <c r="R416" s="310">
        <f ca="1">+'R1 Opex Detail'!R416*R$1</f>
        <v>1.0758056533086849E-3</v>
      </c>
      <c r="S416" s="310">
        <f ca="1">+'R1 Opex Detail'!S416*S$1</f>
        <v>1.0857889774693959E-3</v>
      </c>
    </row>
    <row r="417" spans="1:19" s="759" customFormat="1">
      <c r="B417" s="249"/>
      <c r="C417" s="13" t="s">
        <v>646</v>
      </c>
      <c r="D417" s="312">
        <f>+'R1 Opex Detail'!D417</f>
        <v>0</v>
      </c>
      <c r="E417" s="310">
        <f>+'R1 Opex Detail'!E417</f>
        <v>0</v>
      </c>
      <c r="F417" s="310">
        <f>+'R1 Opex Detail'!F417</f>
        <v>0</v>
      </c>
      <c r="G417" s="310">
        <f>+'R1 Opex Detail'!G417</f>
        <v>0</v>
      </c>
      <c r="H417" s="310">
        <f>+'R1 Opex Detail'!H417</f>
        <v>0</v>
      </c>
      <c r="I417" s="310">
        <f>+'R1 Opex Detail'!I417</f>
        <v>0</v>
      </c>
      <c r="J417" s="310">
        <f>+'R1 Opex Detail'!J417</f>
        <v>0</v>
      </c>
      <c r="K417" s="310">
        <f>+'R1 Opex Detail'!K417</f>
        <v>0</v>
      </c>
      <c r="L417" s="310">
        <f ca="1">+'R1 Opex Detail'!L417</f>
        <v>0</v>
      </c>
      <c r="M417" s="835">
        <f ca="1">+'R1 Opex Detail'!M417*M$2</f>
        <v>0</v>
      </c>
      <c r="N417" s="312">
        <f ca="1">+'R1 Opex Detail'!N417*N$1</f>
        <v>2.0674615384615389E-3</v>
      </c>
      <c r="O417" s="310">
        <f ca="1">+'R1 Opex Detail'!O417*O$1</f>
        <v>2.0998442052283369E-3</v>
      </c>
      <c r="P417" s="310">
        <f ca="1">+'R1 Opex Detail'!P417*P$1</f>
        <v>2.1308724778471028E-3</v>
      </c>
      <c r="Q417" s="310">
        <f ca="1">+'R1 Opex Detail'!Q417*Q$1</f>
        <v>2.1705257043435973E-3</v>
      </c>
      <c r="R417" s="310">
        <f ca="1">+'R1 Opex Detail'!R417*R$1</f>
        <v>2.2157636091848908E-3</v>
      </c>
      <c r="S417" s="310">
        <f ca="1">+'R1 Opex Detail'!S417*S$1</f>
        <v>2.2642796515644882E-3</v>
      </c>
    </row>
    <row r="418" spans="1:19">
      <c r="B418" s="249"/>
      <c r="C418" s="13" t="s">
        <v>647</v>
      </c>
      <c r="D418" s="312">
        <f>+'R1 Opex Detail'!D418</f>
        <v>0</v>
      </c>
      <c r="E418" s="310">
        <f>+'R1 Opex Detail'!E418</f>
        <v>0</v>
      </c>
      <c r="F418" s="310">
        <f>+'R1 Opex Detail'!F418</f>
        <v>0</v>
      </c>
      <c r="G418" s="310">
        <f>+'R1 Opex Detail'!G418</f>
        <v>0</v>
      </c>
      <c r="H418" s="310">
        <f>+'R1 Opex Detail'!H418</f>
        <v>0</v>
      </c>
      <c r="I418" s="310">
        <f>+'R1 Opex Detail'!I418</f>
        <v>0</v>
      </c>
      <c r="J418" s="310">
        <f>+'R1 Opex Detail'!J418</f>
        <v>0</v>
      </c>
      <c r="K418" s="310">
        <f>+'R1 Opex Detail'!K418</f>
        <v>0</v>
      </c>
      <c r="L418" s="310">
        <f ca="1">+'R1 Opex Detail'!L418</f>
        <v>0</v>
      </c>
      <c r="M418" s="835">
        <f ca="1">+'R1 Opex Detail'!M418*M$2</f>
        <v>0</v>
      </c>
      <c r="N418" s="312">
        <f ca="1">+'R1 Opex Detail'!N418*N$1</f>
        <v>0</v>
      </c>
      <c r="O418" s="310">
        <f ca="1">+'R1 Opex Detail'!O418*O$1</f>
        <v>0</v>
      </c>
      <c r="P418" s="310">
        <f ca="1">+'R1 Opex Detail'!P418*P$1</f>
        <v>0</v>
      </c>
      <c r="Q418" s="310">
        <f ca="1">+'R1 Opex Detail'!Q418*Q$1</f>
        <v>0</v>
      </c>
      <c r="R418" s="310">
        <f ca="1">+'R1 Opex Detail'!R418*R$1</f>
        <v>0</v>
      </c>
      <c r="S418" s="310">
        <f ca="1">+'R1 Opex Detail'!S418*S$1</f>
        <v>0</v>
      </c>
    </row>
    <row r="419" spans="1:19" s="759" customFormat="1">
      <c r="B419" s="249"/>
      <c r="C419" s="13" t="s">
        <v>575</v>
      </c>
      <c r="D419" s="312">
        <f>+'R1 Opex Detail'!D419</f>
        <v>0</v>
      </c>
      <c r="E419" s="310">
        <f>+'R1 Opex Detail'!E419</f>
        <v>0</v>
      </c>
      <c r="F419" s="310">
        <f>+'R1 Opex Detail'!F419</f>
        <v>0</v>
      </c>
      <c r="G419" s="310">
        <f>+'R1 Opex Detail'!G419</f>
        <v>0</v>
      </c>
      <c r="H419" s="310">
        <f>+'R1 Opex Detail'!H419</f>
        <v>0</v>
      </c>
      <c r="I419" s="310">
        <f>+'R1 Opex Detail'!I419</f>
        <v>0</v>
      </c>
      <c r="J419" s="310">
        <f>+'R1 Opex Detail'!J419</f>
        <v>0</v>
      </c>
      <c r="K419" s="310">
        <f>+'R1 Opex Detail'!K419</f>
        <v>0</v>
      </c>
      <c r="L419" s="310">
        <f ca="1">+'R1 Opex Detail'!L419</f>
        <v>0</v>
      </c>
      <c r="M419" s="835">
        <f ca="1">+'R1 Opex Detail'!M419*M$2</f>
        <v>0</v>
      </c>
      <c r="N419" s="312">
        <f ca="1">+'R1 Opex Detail'!N419*N$1</f>
        <v>0</v>
      </c>
      <c r="O419" s="310">
        <f ca="1">+'R1 Opex Detail'!O419*O$1</f>
        <v>0</v>
      </c>
      <c r="P419" s="310">
        <f ca="1">+'R1 Opex Detail'!P419*P$1</f>
        <v>0</v>
      </c>
      <c r="Q419" s="310">
        <f ca="1">+'R1 Opex Detail'!Q419*Q$1</f>
        <v>0</v>
      </c>
      <c r="R419" s="310">
        <f ca="1">+'R1 Opex Detail'!R419*R$1</f>
        <v>0</v>
      </c>
      <c r="S419" s="310">
        <f ca="1">+'R1 Opex Detail'!S419*S$1</f>
        <v>0</v>
      </c>
    </row>
    <row r="420" spans="1:19">
      <c r="B420" s="249"/>
      <c r="C420" s="13" t="s">
        <v>70</v>
      </c>
      <c r="D420" s="312">
        <f>+'R1 Opex Detail'!D420</f>
        <v>0</v>
      </c>
      <c r="E420" s="310">
        <f>+'R1 Opex Detail'!E420</f>
        <v>0</v>
      </c>
      <c r="F420" s="310">
        <f>+'R1 Opex Detail'!F420</f>
        <v>0</v>
      </c>
      <c r="G420" s="310">
        <f>+'R1 Opex Detail'!G420</f>
        <v>0</v>
      </c>
      <c r="H420" s="310">
        <f>+'R1 Opex Detail'!H420</f>
        <v>0</v>
      </c>
      <c r="I420" s="310">
        <f>+'R1 Opex Detail'!I420</f>
        <v>0</v>
      </c>
      <c r="J420" s="310">
        <f>+'R1 Opex Detail'!J420</f>
        <v>0</v>
      </c>
      <c r="K420" s="310">
        <f>+'R1 Opex Detail'!K420</f>
        <v>0</v>
      </c>
      <c r="L420" s="310">
        <f ca="1">+'R1 Opex Detail'!L420</f>
        <v>0</v>
      </c>
      <c r="M420" s="835">
        <f ca="1">+'R1 Opex Detail'!M420*M$2</f>
        <v>0</v>
      </c>
      <c r="N420" s="312">
        <f ca="1">+'R1 Opex Detail'!N420*N$1</f>
        <v>0</v>
      </c>
      <c r="O420" s="310">
        <f ca="1">+'R1 Opex Detail'!O420*O$1</f>
        <v>0</v>
      </c>
      <c r="P420" s="310">
        <f ca="1">+'R1 Opex Detail'!P420*P$1</f>
        <v>0</v>
      </c>
      <c r="Q420" s="310">
        <f ca="1">+'R1 Opex Detail'!Q420*Q$1</f>
        <v>0</v>
      </c>
      <c r="R420" s="310">
        <f ca="1">+'R1 Opex Detail'!R420*R$1</f>
        <v>0</v>
      </c>
      <c r="S420" s="310">
        <f ca="1">+'R1 Opex Detail'!S420*S$1</f>
        <v>0</v>
      </c>
    </row>
    <row r="421" spans="1:19">
      <c r="B421" s="249"/>
      <c r="C421" s="12" t="s">
        <v>75</v>
      </c>
      <c r="D421" s="313">
        <f t="shared" ref="D421:S421" si="51">SUBTOTAL(9,D415:D420)</f>
        <v>0</v>
      </c>
      <c r="E421" s="311">
        <f t="shared" si="51"/>
        <v>0</v>
      </c>
      <c r="F421" s="311">
        <f t="shared" si="51"/>
        <v>0</v>
      </c>
      <c r="G421" s="311">
        <f t="shared" si="51"/>
        <v>0</v>
      </c>
      <c r="H421" s="311">
        <f t="shared" si="51"/>
        <v>0</v>
      </c>
      <c r="I421" s="311">
        <f t="shared" si="51"/>
        <v>0</v>
      </c>
      <c r="J421" s="311">
        <f t="shared" si="51"/>
        <v>0</v>
      </c>
      <c r="K421" s="311">
        <f t="shared" si="51"/>
        <v>0</v>
      </c>
      <c r="L421" s="311">
        <f t="shared" ca="1" si="51"/>
        <v>0</v>
      </c>
      <c r="M421" s="513">
        <f t="shared" ca="1" si="51"/>
        <v>0</v>
      </c>
      <c r="N421" s="313">
        <f t="shared" ca="1" si="51"/>
        <v>1.757342307692308E-2</v>
      </c>
      <c r="O421" s="311">
        <f t="shared" ca="1" si="51"/>
        <v>1.808416284871657E-2</v>
      </c>
      <c r="P421" s="311">
        <f t="shared" ca="1" si="51"/>
        <v>1.8594376119912201E-2</v>
      </c>
      <c r="Q421" s="311">
        <f t="shared" ca="1" si="51"/>
        <v>1.9142891247394114E-2</v>
      </c>
      <c r="R421" s="311">
        <f t="shared" ca="1" si="51"/>
        <v>1.9725562202596893E-2</v>
      </c>
      <c r="S421" s="311">
        <f t="shared" ca="1" si="51"/>
        <v>2.0311981262383771E-2</v>
      </c>
    </row>
    <row r="422" spans="1:19">
      <c r="B422" s="249"/>
      <c r="C422" s="15"/>
      <c r="D422" s="263"/>
      <c r="E422" s="263"/>
      <c r="F422" s="263"/>
      <c r="G422" s="263"/>
      <c r="H422" s="263"/>
      <c r="I422" s="263"/>
      <c r="J422" s="263"/>
      <c r="K422" s="263"/>
      <c r="L422" s="263"/>
      <c r="M422" s="836"/>
      <c r="N422" s="263"/>
      <c r="O422" s="263"/>
      <c r="P422" s="263"/>
      <c r="Q422" s="263"/>
      <c r="R422" s="263"/>
      <c r="S422" s="263"/>
    </row>
    <row r="423" spans="1:19">
      <c r="A423" s="5"/>
      <c r="B423" s="249" t="str">
        <f ca="1">+'I-4 History'!B417</f>
        <v>A-22</v>
      </c>
      <c r="C423" s="14" t="str">
        <f ca="1">+'I-4 History'!C417</f>
        <v>Training Centre Management</v>
      </c>
      <c r="D423" s="312"/>
      <c r="E423" s="310"/>
      <c r="F423" s="310"/>
      <c r="G423" s="310"/>
      <c r="H423" s="310"/>
      <c r="I423" s="310"/>
      <c r="J423" s="310"/>
      <c r="K423" s="310"/>
      <c r="L423" s="11"/>
      <c r="M423" s="507"/>
      <c r="N423" s="11"/>
      <c r="O423" s="11"/>
      <c r="P423" s="11"/>
      <c r="Q423" s="11"/>
      <c r="R423" s="11"/>
      <c r="S423" s="11"/>
    </row>
    <row r="424" spans="1:19">
      <c r="A424" s="5"/>
      <c r="B424" s="249"/>
      <c r="C424" s="13" t="s">
        <v>68</v>
      </c>
      <c r="D424" s="312">
        <f>+'R1 Opex Detail'!D424</f>
        <v>0</v>
      </c>
      <c r="E424" s="310">
        <f>+'R1 Opex Detail'!E424</f>
        <v>0</v>
      </c>
      <c r="F424" s="310">
        <f>+'R1 Opex Detail'!F424</f>
        <v>0</v>
      </c>
      <c r="G424" s="310">
        <f>+'R1 Opex Detail'!G424</f>
        <v>0</v>
      </c>
      <c r="H424" s="310">
        <f>+'R1 Opex Detail'!H424</f>
        <v>0</v>
      </c>
      <c r="I424" s="310">
        <f>+'R1 Opex Detail'!I424</f>
        <v>0</v>
      </c>
      <c r="J424" s="310">
        <f>+'R1 Opex Detail'!J424</f>
        <v>0</v>
      </c>
      <c r="K424" s="310">
        <f>+'R1 Opex Detail'!K424</f>
        <v>0</v>
      </c>
      <c r="L424" s="310">
        <f ca="1">+'R1 Opex Detail'!L424</f>
        <v>0</v>
      </c>
      <c r="M424" s="835">
        <f ca="1">+'R1 Opex Detail'!M424*M$2</f>
        <v>0</v>
      </c>
      <c r="N424" s="312">
        <f ca="1">+'R1 Opex Detail'!N424*N$1</f>
        <v>1.0388994230769231</v>
      </c>
      <c r="O424" s="310">
        <f ca="1">+'R1 Opex Detail'!O424*O$1</f>
        <v>1.0724512952922505</v>
      </c>
      <c r="P424" s="310">
        <f ca="1">+'R1 Opex Detail'!P424*P$1</f>
        <v>1.1061203999398186</v>
      </c>
      <c r="Q424" s="310">
        <f ca="1">+'R1 Opex Detail'!Q424*Q$1</f>
        <v>1.1419282799520996</v>
      </c>
      <c r="R424" s="310">
        <f ca="1">+'R1 Opex Detail'!R424*R$1</f>
        <v>1.179725921771702</v>
      </c>
      <c r="S424" s="310">
        <f ca="1">+'R1 Opex Detail'!S424*S$1</f>
        <v>1.2176230140369024</v>
      </c>
    </row>
    <row r="425" spans="1:19">
      <c r="A425" s="5"/>
      <c r="B425" s="249"/>
      <c r="C425" s="13" t="s">
        <v>69</v>
      </c>
      <c r="D425" s="312">
        <f>+'R1 Opex Detail'!D425</f>
        <v>0</v>
      </c>
      <c r="E425" s="310">
        <f>+'R1 Opex Detail'!E425</f>
        <v>0</v>
      </c>
      <c r="F425" s="310">
        <f>+'R1 Opex Detail'!F425</f>
        <v>0</v>
      </c>
      <c r="G425" s="310">
        <f>+'R1 Opex Detail'!G425</f>
        <v>0</v>
      </c>
      <c r="H425" s="310">
        <f>+'R1 Opex Detail'!H425</f>
        <v>0</v>
      </c>
      <c r="I425" s="310">
        <f>+'R1 Opex Detail'!I425</f>
        <v>0</v>
      </c>
      <c r="J425" s="310">
        <f>+'R1 Opex Detail'!J425</f>
        <v>0</v>
      </c>
      <c r="K425" s="310">
        <f>+'R1 Opex Detail'!K425</f>
        <v>0</v>
      </c>
      <c r="L425" s="310">
        <f ca="1">+'R1 Opex Detail'!L425</f>
        <v>0</v>
      </c>
      <c r="M425" s="835">
        <f ca="1">+'R1 Opex Detail'!M425*M$2</f>
        <v>0</v>
      </c>
      <c r="N425" s="312">
        <f ca="1">+'R1 Opex Detail'!N425*N$1</f>
        <v>-2.2742076923076927E-2</v>
      </c>
      <c r="O425" s="310">
        <f ca="1">+'R1 Opex Detail'!O425*O$1</f>
        <v>-2.2983369410459413E-2</v>
      </c>
      <c r="P425" s="310">
        <f ca="1">+'R1 Opex Detail'!P425*P$1</f>
        <v>-2.3206947606562344E-2</v>
      </c>
      <c r="Q425" s="310">
        <f ca="1">+'R1 Opex Detail'!Q425*Q$1</f>
        <v>-2.342795217074652E-2</v>
      </c>
      <c r="R425" s="310">
        <f ca="1">+'R1 Opex Detail'!R425*R$1</f>
        <v>-2.366772437279107E-2</v>
      </c>
      <c r="S425" s="310">
        <f ca="1">+'R1 Opex Detail'!S425*S$1</f>
        <v>-2.3887357504326714E-2</v>
      </c>
    </row>
    <row r="426" spans="1:19" s="759" customFormat="1">
      <c r="A426" s="5"/>
      <c r="B426" s="249"/>
      <c r="C426" s="13" t="s">
        <v>646</v>
      </c>
      <c r="D426" s="312">
        <f>+'R1 Opex Detail'!D426</f>
        <v>0</v>
      </c>
      <c r="E426" s="310">
        <f>+'R1 Opex Detail'!E426</f>
        <v>0</v>
      </c>
      <c r="F426" s="310">
        <f>+'R1 Opex Detail'!F426</f>
        <v>0</v>
      </c>
      <c r="G426" s="310">
        <f>+'R1 Opex Detail'!G426</f>
        <v>0</v>
      </c>
      <c r="H426" s="310">
        <f>+'R1 Opex Detail'!H426</f>
        <v>0</v>
      </c>
      <c r="I426" s="310">
        <f>+'R1 Opex Detail'!I426</f>
        <v>0</v>
      </c>
      <c r="J426" s="310">
        <f>+'R1 Opex Detail'!J426</f>
        <v>0</v>
      </c>
      <c r="K426" s="310">
        <f>+'R1 Opex Detail'!K426</f>
        <v>0</v>
      </c>
      <c r="L426" s="310">
        <f ca="1">+'R1 Opex Detail'!L426</f>
        <v>0</v>
      </c>
      <c r="M426" s="835">
        <f ca="1">+'R1 Opex Detail'!M426*M$2</f>
        <v>0</v>
      </c>
      <c r="N426" s="312">
        <f ca="1">+'R1 Opex Detail'!N426*N$1</f>
        <v>1.757342307692308E-2</v>
      </c>
      <c r="O426" s="310">
        <f ca="1">+'R1 Opex Detail'!O426*O$1</f>
        <v>1.7848675744440864E-2</v>
      </c>
      <c r="P426" s="310">
        <f ca="1">+'R1 Opex Detail'!P426*P$1</f>
        <v>1.811241606170037E-2</v>
      </c>
      <c r="Q426" s="310">
        <f ca="1">+'R1 Opex Detail'!Q426*Q$1</f>
        <v>1.8449468486920577E-2</v>
      </c>
      <c r="R426" s="310">
        <f ca="1">+'R1 Opex Detail'!R426*R$1</f>
        <v>1.8833990678071569E-2</v>
      </c>
      <c r="S426" s="310">
        <f ca="1">+'R1 Opex Detail'!S426*S$1</f>
        <v>1.9246377038298151E-2</v>
      </c>
    </row>
    <row r="427" spans="1:19">
      <c r="A427" s="5"/>
      <c r="B427" s="249"/>
      <c r="C427" s="13" t="s">
        <v>647</v>
      </c>
      <c r="D427" s="312">
        <f>+'R1 Opex Detail'!D427</f>
        <v>0</v>
      </c>
      <c r="E427" s="310">
        <f>+'R1 Opex Detail'!E427</f>
        <v>0</v>
      </c>
      <c r="F427" s="310">
        <f>+'R1 Opex Detail'!F427</f>
        <v>0</v>
      </c>
      <c r="G427" s="310">
        <f>+'R1 Opex Detail'!G427</f>
        <v>0</v>
      </c>
      <c r="H427" s="310">
        <f>+'R1 Opex Detail'!H427</f>
        <v>0</v>
      </c>
      <c r="I427" s="310">
        <f>+'R1 Opex Detail'!I427</f>
        <v>0</v>
      </c>
      <c r="J427" s="310">
        <f>+'R1 Opex Detail'!J427</f>
        <v>0</v>
      </c>
      <c r="K427" s="310">
        <f>+'R1 Opex Detail'!K427</f>
        <v>0</v>
      </c>
      <c r="L427" s="310">
        <f ca="1">+'R1 Opex Detail'!L427</f>
        <v>0</v>
      </c>
      <c r="M427" s="835">
        <f ca="1">+'R1 Opex Detail'!M427*M$2</f>
        <v>0</v>
      </c>
      <c r="N427" s="312">
        <f ca="1">+'R1 Opex Detail'!N427*N$1</f>
        <v>5.5821461538461542E-2</v>
      </c>
      <c r="O427" s="310">
        <f ca="1">+'R1 Opex Detail'!O427*O$1</f>
        <v>5.6695793541165093E-2</v>
      </c>
      <c r="P427" s="310">
        <f ca="1">+'R1 Opex Detail'!P427*P$1</f>
        <v>5.7533556901871757E-2</v>
      </c>
      <c r="Q427" s="310">
        <f ca="1">+'R1 Opex Detail'!Q427*Q$1</f>
        <v>5.8604194017277109E-2</v>
      </c>
      <c r="R427" s="310">
        <f ca="1">+'R1 Opex Detail'!R427*R$1</f>
        <v>5.9825617447992051E-2</v>
      </c>
      <c r="S427" s="310">
        <f ca="1">+'R1 Opex Detail'!S427*S$1</f>
        <v>6.1135550592241177E-2</v>
      </c>
    </row>
    <row r="428" spans="1:19" s="759" customFormat="1">
      <c r="A428" s="5"/>
      <c r="B428" s="249"/>
      <c r="C428" s="13" t="s">
        <v>575</v>
      </c>
      <c r="D428" s="312">
        <f>+'R1 Opex Detail'!D428</f>
        <v>0</v>
      </c>
      <c r="E428" s="310">
        <f>+'R1 Opex Detail'!E428</f>
        <v>0</v>
      </c>
      <c r="F428" s="310">
        <f>+'R1 Opex Detail'!F428</f>
        <v>0</v>
      </c>
      <c r="G428" s="310">
        <f>+'R1 Opex Detail'!G428</f>
        <v>0</v>
      </c>
      <c r="H428" s="310">
        <f>+'R1 Opex Detail'!H428</f>
        <v>0</v>
      </c>
      <c r="I428" s="310">
        <f>+'R1 Opex Detail'!I428</f>
        <v>0</v>
      </c>
      <c r="J428" s="310">
        <f>+'R1 Opex Detail'!J428</f>
        <v>0</v>
      </c>
      <c r="K428" s="310">
        <f>+'R1 Opex Detail'!K428</f>
        <v>0</v>
      </c>
      <c r="L428" s="310">
        <f ca="1">+'R1 Opex Detail'!L428</f>
        <v>0</v>
      </c>
      <c r="M428" s="835">
        <f ca="1">+'R1 Opex Detail'!M428*M$2</f>
        <v>0</v>
      </c>
      <c r="N428" s="312">
        <f ca="1">+'R1 Opex Detail'!N428*N$1</f>
        <v>0</v>
      </c>
      <c r="O428" s="310">
        <f ca="1">+'R1 Opex Detail'!O428*O$1</f>
        <v>0</v>
      </c>
      <c r="P428" s="310">
        <f ca="1">+'R1 Opex Detail'!P428*P$1</f>
        <v>0</v>
      </c>
      <c r="Q428" s="310">
        <f ca="1">+'R1 Opex Detail'!Q428*Q$1</f>
        <v>0</v>
      </c>
      <c r="R428" s="310">
        <f ca="1">+'R1 Opex Detail'!R428*R$1</f>
        <v>0</v>
      </c>
      <c r="S428" s="310">
        <f ca="1">+'R1 Opex Detail'!S428*S$1</f>
        <v>0</v>
      </c>
    </row>
    <row r="429" spans="1:19">
      <c r="A429" s="5"/>
      <c r="B429" s="249"/>
      <c r="C429" s="13" t="s">
        <v>70</v>
      </c>
      <c r="D429" s="312">
        <f>+'R1 Opex Detail'!D429</f>
        <v>0</v>
      </c>
      <c r="E429" s="310">
        <f>+'R1 Opex Detail'!E429</f>
        <v>0</v>
      </c>
      <c r="F429" s="310">
        <f>+'R1 Opex Detail'!F429</f>
        <v>0</v>
      </c>
      <c r="G429" s="310">
        <f>+'R1 Opex Detail'!G429</f>
        <v>0</v>
      </c>
      <c r="H429" s="310">
        <f>+'R1 Opex Detail'!H429</f>
        <v>0</v>
      </c>
      <c r="I429" s="310">
        <f>+'R1 Opex Detail'!I429</f>
        <v>0</v>
      </c>
      <c r="J429" s="310">
        <f>+'R1 Opex Detail'!J429</f>
        <v>0</v>
      </c>
      <c r="K429" s="310">
        <f>+'R1 Opex Detail'!K429</f>
        <v>0</v>
      </c>
      <c r="L429" s="310">
        <f ca="1">+'R1 Opex Detail'!L429</f>
        <v>0</v>
      </c>
      <c r="M429" s="835">
        <f ca="1">+'R1 Opex Detail'!M429*M$2</f>
        <v>0</v>
      </c>
      <c r="N429" s="312">
        <f ca="1">+'R1 Opex Detail'!N429*N$1</f>
        <v>0</v>
      </c>
      <c r="O429" s="310">
        <f ca="1">+'R1 Opex Detail'!O429*O$1</f>
        <v>0</v>
      </c>
      <c r="P429" s="310">
        <f ca="1">+'R1 Opex Detail'!P429*P$1</f>
        <v>0</v>
      </c>
      <c r="Q429" s="310">
        <f ca="1">+'R1 Opex Detail'!Q429*Q$1</f>
        <v>0</v>
      </c>
      <c r="R429" s="310">
        <f ca="1">+'R1 Opex Detail'!R429*R$1</f>
        <v>0</v>
      </c>
      <c r="S429" s="310">
        <f ca="1">+'R1 Opex Detail'!S429*S$1</f>
        <v>0</v>
      </c>
    </row>
    <row r="430" spans="1:19">
      <c r="A430" s="5"/>
      <c r="B430" s="249"/>
      <c r="C430" s="12" t="s">
        <v>75</v>
      </c>
      <c r="D430" s="313">
        <f t="shared" ref="D430:S430" si="52">SUBTOTAL(9,D424:D429)</f>
        <v>0</v>
      </c>
      <c r="E430" s="311">
        <f t="shared" si="52"/>
        <v>0</v>
      </c>
      <c r="F430" s="311">
        <f t="shared" si="52"/>
        <v>0</v>
      </c>
      <c r="G430" s="311">
        <f t="shared" si="52"/>
        <v>0</v>
      </c>
      <c r="H430" s="311">
        <f t="shared" si="52"/>
        <v>0</v>
      </c>
      <c r="I430" s="311">
        <f t="shared" si="52"/>
        <v>0</v>
      </c>
      <c r="J430" s="311">
        <f t="shared" si="52"/>
        <v>0</v>
      </c>
      <c r="K430" s="311">
        <f t="shared" si="52"/>
        <v>0</v>
      </c>
      <c r="L430" s="311">
        <f t="shared" ca="1" si="52"/>
        <v>0</v>
      </c>
      <c r="M430" s="513">
        <f t="shared" ca="1" si="52"/>
        <v>0</v>
      </c>
      <c r="N430" s="313">
        <f t="shared" ca="1" si="52"/>
        <v>1.0895522307692309</v>
      </c>
      <c r="O430" s="311">
        <f t="shared" ca="1" si="52"/>
        <v>1.1240123951673973</v>
      </c>
      <c r="P430" s="311">
        <f t="shared" ca="1" si="52"/>
        <v>1.1585594252968283</v>
      </c>
      <c r="Q430" s="311">
        <f t="shared" ca="1" si="52"/>
        <v>1.1955539902855505</v>
      </c>
      <c r="R430" s="311">
        <f t="shared" ca="1" si="52"/>
        <v>1.2347178055249748</v>
      </c>
      <c r="S430" s="311">
        <f t="shared" ca="1" si="52"/>
        <v>1.2741175841631149</v>
      </c>
    </row>
    <row r="431" spans="1:19">
      <c r="A431" s="5"/>
      <c r="B431" s="249"/>
      <c r="C431" s="12"/>
      <c r="D431" s="263"/>
      <c r="E431" s="263"/>
      <c r="F431" s="263"/>
      <c r="G431" s="263"/>
      <c r="H431" s="263"/>
      <c r="I431" s="263"/>
      <c r="J431" s="263"/>
      <c r="K431" s="263"/>
      <c r="L431" s="263"/>
      <c r="M431" s="836"/>
      <c r="N431" s="263"/>
      <c r="O431" s="263"/>
      <c r="P431" s="263"/>
      <c r="Q431" s="263"/>
      <c r="R431" s="263"/>
      <c r="S431" s="263"/>
    </row>
    <row r="432" spans="1:19">
      <c r="A432" s="5"/>
      <c r="B432" s="249" t="str">
        <f ca="1">+'I-4 History'!B426</f>
        <v>A-23</v>
      </c>
      <c r="C432" s="14" t="str">
        <f ca="1">+'I-4 History'!C426</f>
        <v>Information Technology</v>
      </c>
      <c r="D432" s="11"/>
      <c r="E432" s="11"/>
      <c r="F432" s="11"/>
      <c r="G432" s="11"/>
      <c r="H432" s="11"/>
      <c r="I432" s="11"/>
      <c r="J432" s="11"/>
      <c r="K432" s="11"/>
      <c r="L432" s="11"/>
      <c r="M432" s="507"/>
      <c r="N432" s="11"/>
      <c r="O432" s="11"/>
      <c r="P432" s="11"/>
      <c r="Q432" s="11"/>
      <c r="R432" s="11"/>
      <c r="S432" s="11"/>
    </row>
    <row r="433" spans="1:19">
      <c r="A433" s="5"/>
      <c r="B433" s="249"/>
      <c r="C433" s="13" t="s">
        <v>68</v>
      </c>
      <c r="D433" s="312">
        <f>+'R1 Opex Detail'!D433</f>
        <v>0</v>
      </c>
      <c r="E433" s="310">
        <f>+'R1 Opex Detail'!E433</f>
        <v>0</v>
      </c>
      <c r="F433" s="310">
        <f>+'R1 Opex Detail'!F433</f>
        <v>0</v>
      </c>
      <c r="G433" s="310">
        <f>+'R1 Opex Detail'!G433</f>
        <v>0</v>
      </c>
      <c r="H433" s="310">
        <f>+'R1 Opex Detail'!H433</f>
        <v>0</v>
      </c>
      <c r="I433" s="310">
        <f>+'R1 Opex Detail'!I433</f>
        <v>0</v>
      </c>
      <c r="J433" s="310">
        <f>+'R1 Opex Detail'!J433</f>
        <v>0</v>
      </c>
      <c r="K433" s="310">
        <f>+'R1 Opex Detail'!K433</f>
        <v>0</v>
      </c>
      <c r="L433" s="310">
        <f ca="1">+'R1 Opex Detail'!L433</f>
        <v>0</v>
      </c>
      <c r="M433" s="835">
        <f ca="1">+'R1 Opex Detail'!M433*M$2</f>
        <v>0</v>
      </c>
      <c r="N433" s="312">
        <f ca="1">+'R1 Opex Detail'!N433*N$1</f>
        <v>12.537526692307692</v>
      </c>
      <c r="O433" s="310">
        <f ca="1">+'R1 Opex Detail'!O433*O$1</f>
        <v>13.256998726751263</v>
      </c>
      <c r="P433" s="310">
        <f ca="1">+'R1 Opex Detail'!P433*P$1</f>
        <v>13.983388375286674</v>
      </c>
      <c r="Q433" s="310">
        <f ca="1">+'R1 Opex Detail'!Q433*Q$1</f>
        <v>14.829796912865826</v>
      </c>
      <c r="R433" s="310">
        <f ca="1">+'R1 Opex Detail'!R433*R$1</f>
        <v>15.251851775054464</v>
      </c>
      <c r="S433" s="310">
        <f ca="1">+'R1 Opex Detail'!S433*S$1</f>
        <v>15.67501711774111</v>
      </c>
    </row>
    <row r="434" spans="1:19">
      <c r="A434" s="5"/>
      <c r="B434" s="249"/>
      <c r="C434" s="13" t="s">
        <v>69</v>
      </c>
      <c r="D434" s="312">
        <f>+'R1 Opex Detail'!D434</f>
        <v>0</v>
      </c>
      <c r="E434" s="310">
        <f>+'R1 Opex Detail'!E434</f>
        <v>0</v>
      </c>
      <c r="F434" s="310">
        <f>+'R1 Opex Detail'!F434</f>
        <v>0</v>
      </c>
      <c r="G434" s="310">
        <f>+'R1 Opex Detail'!G434</f>
        <v>0</v>
      </c>
      <c r="H434" s="310">
        <f>+'R1 Opex Detail'!H434</f>
        <v>0</v>
      </c>
      <c r="I434" s="310">
        <f>+'R1 Opex Detail'!I434</f>
        <v>0</v>
      </c>
      <c r="J434" s="310">
        <f>+'R1 Opex Detail'!J434</f>
        <v>0</v>
      </c>
      <c r="K434" s="310">
        <f>+'R1 Opex Detail'!K434</f>
        <v>0</v>
      </c>
      <c r="L434" s="310">
        <f ca="1">+'R1 Opex Detail'!L434</f>
        <v>0</v>
      </c>
      <c r="M434" s="835">
        <f ca="1">+'R1 Opex Detail'!M434*M$2</f>
        <v>0</v>
      </c>
      <c r="N434" s="312">
        <f ca="1">+'R1 Opex Detail'!N434*N$1</f>
        <v>0.37937919230769235</v>
      </c>
      <c r="O434" s="310">
        <f ca="1">+'R1 Opex Detail'!O434*O$1</f>
        <v>0.50848581278776872</v>
      </c>
      <c r="P434" s="310">
        <f ca="1">+'R1 Opex Detail'!P434*P$1</f>
        <v>0.68794973437380746</v>
      </c>
      <c r="Q434" s="310">
        <f ca="1">+'R1 Opex Detail'!Q434*Q$1</f>
        <v>0.7009400692539568</v>
      </c>
      <c r="R434" s="310">
        <f ca="1">+'R1 Opex Detail'!R434*R$1</f>
        <v>0.71837840553351817</v>
      </c>
      <c r="S434" s="310">
        <f ca="1">+'R1 Opex Detail'!S434*S$1</f>
        <v>0.72204228550049909</v>
      </c>
    </row>
    <row r="435" spans="1:19" s="759" customFormat="1">
      <c r="A435" s="5"/>
      <c r="B435" s="249"/>
      <c r="C435" s="13" t="s">
        <v>646</v>
      </c>
      <c r="D435" s="312">
        <f>+'R1 Opex Detail'!D435</f>
        <v>0</v>
      </c>
      <c r="E435" s="310">
        <f>+'R1 Opex Detail'!E435</f>
        <v>0</v>
      </c>
      <c r="F435" s="310">
        <f>+'R1 Opex Detail'!F435</f>
        <v>0</v>
      </c>
      <c r="G435" s="310">
        <f>+'R1 Opex Detail'!G435</f>
        <v>0</v>
      </c>
      <c r="H435" s="310">
        <f>+'R1 Opex Detail'!H435</f>
        <v>0</v>
      </c>
      <c r="I435" s="310">
        <f>+'R1 Opex Detail'!I435</f>
        <v>0</v>
      </c>
      <c r="J435" s="310">
        <f>+'R1 Opex Detail'!J435</f>
        <v>0</v>
      </c>
      <c r="K435" s="310">
        <f>+'R1 Opex Detail'!K435</f>
        <v>0</v>
      </c>
      <c r="L435" s="310">
        <f ca="1">+'R1 Opex Detail'!L435</f>
        <v>0</v>
      </c>
      <c r="M435" s="835">
        <f ca="1">+'R1 Opex Detail'!M435*M$2</f>
        <v>0</v>
      </c>
      <c r="N435" s="312">
        <f ca="1">+'R1 Opex Detail'!N435*N$1</f>
        <v>-7.6496076923076931E-2</v>
      </c>
      <c r="O435" s="310">
        <f ca="1">+'R1 Opex Detail'!O435*O$1</f>
        <v>-7.7694235593448471E-2</v>
      </c>
      <c r="P435" s="310">
        <f ca="1">+'R1 Opex Detail'!P435*P$1</f>
        <v>-7.8842281680342796E-2</v>
      </c>
      <c r="Q435" s="310">
        <f ca="1">+'R1 Opex Detail'!Q435*Q$1</f>
        <v>-8.0309451060713063E-2</v>
      </c>
      <c r="R435" s="310">
        <f ca="1">+'R1 Opex Detail'!R435*R$1</f>
        <v>-8.1983253539840956E-2</v>
      </c>
      <c r="S435" s="310">
        <f ca="1">+'R1 Opex Detail'!S435*S$1</f>
        <v>-8.377834710788605E-2</v>
      </c>
    </row>
    <row r="436" spans="1:19">
      <c r="A436" s="5"/>
      <c r="B436" s="249"/>
      <c r="C436" s="13" t="s">
        <v>647</v>
      </c>
      <c r="D436" s="312">
        <f>+'R1 Opex Detail'!D436</f>
        <v>0</v>
      </c>
      <c r="E436" s="310">
        <f>+'R1 Opex Detail'!E436</f>
        <v>0</v>
      </c>
      <c r="F436" s="310">
        <f>+'R1 Opex Detail'!F436</f>
        <v>0</v>
      </c>
      <c r="G436" s="310">
        <f>+'R1 Opex Detail'!G436</f>
        <v>0</v>
      </c>
      <c r="H436" s="310">
        <f>+'R1 Opex Detail'!H436</f>
        <v>0</v>
      </c>
      <c r="I436" s="310">
        <f>+'R1 Opex Detail'!I436</f>
        <v>0</v>
      </c>
      <c r="J436" s="310">
        <f>+'R1 Opex Detail'!J436</f>
        <v>0</v>
      </c>
      <c r="K436" s="310">
        <f>+'R1 Opex Detail'!K436</f>
        <v>0</v>
      </c>
      <c r="L436" s="310">
        <f ca="1">+'R1 Opex Detail'!L436</f>
        <v>0</v>
      </c>
      <c r="M436" s="835">
        <f ca="1">+'R1 Opex Detail'!M436*M$2</f>
        <v>0</v>
      </c>
      <c r="N436" s="312">
        <f ca="1">+'R1 Opex Detail'!N436*N$1</f>
        <v>7.6107658461538463</v>
      </c>
      <c r="O436" s="310">
        <f ca="1">+'R1 Opex Detail'!O436*O$1</f>
        <v>8.1696987098616862</v>
      </c>
      <c r="P436" s="310">
        <f ca="1">+'R1 Opex Detail'!P436*P$1</f>
        <v>8.0992923969519843</v>
      </c>
      <c r="Q436" s="310">
        <f ca="1">+'R1 Opex Detail'!Q436*Q$1</f>
        <v>8.975714089005745</v>
      </c>
      <c r="R436" s="310">
        <f ca="1">+'R1 Opex Detail'!R436*R$1</f>
        <v>9.2633631612180558</v>
      </c>
      <c r="S436" s="310">
        <f ca="1">+'R1 Opex Detail'!S436*S$1</f>
        <v>9.4768281383270896</v>
      </c>
    </row>
    <row r="437" spans="1:19" s="759" customFormat="1">
      <c r="A437" s="5"/>
      <c r="B437" s="249"/>
      <c r="C437" s="13" t="s">
        <v>575</v>
      </c>
      <c r="D437" s="312">
        <f>+'R1 Opex Detail'!D437</f>
        <v>0</v>
      </c>
      <c r="E437" s="310">
        <f>+'R1 Opex Detail'!E437</f>
        <v>0</v>
      </c>
      <c r="F437" s="310">
        <f>+'R1 Opex Detail'!F437</f>
        <v>0</v>
      </c>
      <c r="G437" s="310">
        <f>+'R1 Opex Detail'!G437</f>
        <v>0</v>
      </c>
      <c r="H437" s="310">
        <f>+'R1 Opex Detail'!H437</f>
        <v>0</v>
      </c>
      <c r="I437" s="310">
        <f>+'R1 Opex Detail'!I437</f>
        <v>0</v>
      </c>
      <c r="J437" s="310">
        <f>+'R1 Opex Detail'!J437</f>
        <v>0</v>
      </c>
      <c r="K437" s="310">
        <f>+'R1 Opex Detail'!K437</f>
        <v>0</v>
      </c>
      <c r="L437" s="310">
        <f ca="1">+'R1 Opex Detail'!L437</f>
        <v>0</v>
      </c>
      <c r="M437" s="835">
        <f ca="1">+'R1 Opex Detail'!M437*M$2</f>
        <v>0</v>
      </c>
      <c r="N437" s="312">
        <f ca="1">+'R1 Opex Detail'!N437*N$1</f>
        <v>-2.7021722307692313</v>
      </c>
      <c r="O437" s="310">
        <f ca="1">+'R1 Opex Detail'!O437*O$1</f>
        <v>-2.7894404834765605</v>
      </c>
      <c r="P437" s="310">
        <f ca="1">+'R1 Opex Detail'!P437*P$1</f>
        <v>-2.8770136571569016</v>
      </c>
      <c r="Q437" s="310">
        <f ca="1">+'R1 Opex Detail'!Q437*Q$1</f>
        <v>-2.9701497749201877</v>
      </c>
      <c r="R437" s="310">
        <f ca="1">+'R1 Opex Detail'!R437*R$1</f>
        <v>-3.0684612532450051</v>
      </c>
      <c r="S437" s="310">
        <f ca="1">+'R1 Opex Detail'!S437*S$1</f>
        <v>-3.167031401684044</v>
      </c>
    </row>
    <row r="438" spans="1:19">
      <c r="A438" s="5"/>
      <c r="B438" s="249"/>
      <c r="C438" s="13" t="s">
        <v>70</v>
      </c>
      <c r="D438" s="312">
        <f>+'R1 Opex Detail'!D438</f>
        <v>0</v>
      </c>
      <c r="E438" s="310">
        <f>+'R1 Opex Detail'!E438</f>
        <v>0</v>
      </c>
      <c r="F438" s="310">
        <f>+'R1 Opex Detail'!F438</f>
        <v>0</v>
      </c>
      <c r="G438" s="310">
        <f>+'R1 Opex Detail'!G438</f>
        <v>0</v>
      </c>
      <c r="H438" s="310">
        <f>+'R1 Opex Detail'!H438</f>
        <v>0</v>
      </c>
      <c r="I438" s="310">
        <f>+'R1 Opex Detail'!I438</f>
        <v>0</v>
      </c>
      <c r="J438" s="310">
        <f>+'R1 Opex Detail'!J438</f>
        <v>0</v>
      </c>
      <c r="K438" s="310">
        <f>+'R1 Opex Detail'!K438</f>
        <v>0</v>
      </c>
      <c r="L438" s="310">
        <f ca="1">+'R1 Opex Detail'!L438</f>
        <v>0</v>
      </c>
      <c r="M438" s="835">
        <f ca="1">+'R1 Opex Detail'!M438*M$2</f>
        <v>0</v>
      </c>
      <c r="N438" s="312">
        <f ca="1">+'R1 Opex Detail'!N438*N$1</f>
        <v>0</v>
      </c>
      <c r="O438" s="310">
        <f ca="1">+'R1 Opex Detail'!O438*O$1</f>
        <v>0</v>
      </c>
      <c r="P438" s="310">
        <f ca="1">+'R1 Opex Detail'!P438*P$1</f>
        <v>0</v>
      </c>
      <c r="Q438" s="310">
        <f ca="1">+'R1 Opex Detail'!Q438*Q$1</f>
        <v>0</v>
      </c>
      <c r="R438" s="310">
        <f ca="1">+'R1 Opex Detail'!R438*R$1</f>
        <v>0</v>
      </c>
      <c r="S438" s="310">
        <f ca="1">+'R1 Opex Detail'!S438*S$1</f>
        <v>0</v>
      </c>
    </row>
    <row r="439" spans="1:19">
      <c r="A439" s="5"/>
      <c r="B439" s="249"/>
      <c r="C439" s="12" t="s">
        <v>75</v>
      </c>
      <c r="D439" s="313">
        <f t="shared" ref="D439:S439" si="53">SUBTOTAL(9,D433:D438)</f>
        <v>0</v>
      </c>
      <c r="E439" s="311">
        <f t="shared" si="53"/>
        <v>0</v>
      </c>
      <c r="F439" s="311">
        <f t="shared" si="53"/>
        <v>0</v>
      </c>
      <c r="G439" s="311">
        <f t="shared" si="53"/>
        <v>0</v>
      </c>
      <c r="H439" s="311">
        <f t="shared" si="53"/>
        <v>0</v>
      </c>
      <c r="I439" s="311">
        <f t="shared" si="53"/>
        <v>0</v>
      </c>
      <c r="J439" s="311">
        <f t="shared" si="53"/>
        <v>0</v>
      </c>
      <c r="K439" s="311">
        <f t="shared" si="53"/>
        <v>0</v>
      </c>
      <c r="L439" s="311">
        <f t="shared" ca="1" si="53"/>
        <v>0</v>
      </c>
      <c r="M439" s="513">
        <f t="shared" ca="1" si="53"/>
        <v>0</v>
      </c>
      <c r="N439" s="313">
        <f t="shared" ca="1" si="53"/>
        <v>17.749003423076921</v>
      </c>
      <c r="O439" s="311">
        <f t="shared" ca="1" si="53"/>
        <v>19.068048530330707</v>
      </c>
      <c r="P439" s="311">
        <f t="shared" ca="1" si="53"/>
        <v>19.814774567775224</v>
      </c>
      <c r="Q439" s="311">
        <f t="shared" ca="1" si="53"/>
        <v>21.455991845144624</v>
      </c>
      <c r="R439" s="311">
        <f t="shared" ca="1" si="53"/>
        <v>22.083148835021191</v>
      </c>
      <c r="S439" s="311">
        <f t="shared" ca="1" si="53"/>
        <v>22.623077792776769</v>
      </c>
    </row>
    <row r="440" spans="1:19">
      <c r="A440" s="5"/>
      <c r="B440" s="249"/>
      <c r="C440" s="12"/>
      <c r="D440" s="263"/>
      <c r="E440" s="263"/>
      <c r="F440" s="263"/>
      <c r="G440" s="263"/>
      <c r="H440" s="263"/>
      <c r="I440" s="263"/>
      <c r="J440" s="263"/>
      <c r="K440" s="263"/>
      <c r="L440" s="263"/>
      <c r="M440" s="836"/>
      <c r="N440" s="263"/>
      <c r="O440" s="263"/>
      <c r="P440" s="263"/>
      <c r="Q440" s="263"/>
      <c r="R440" s="263"/>
      <c r="S440" s="263"/>
    </row>
    <row r="441" spans="1:19">
      <c r="A441" s="5"/>
      <c r="B441" s="249" t="str">
        <f ca="1">+'I-4 History'!B435</f>
        <v>A-24</v>
      </c>
      <c r="C441" s="14" t="str">
        <f ca="1">+'I-4 History'!C435</f>
        <v>Property – Offices and Depots</v>
      </c>
      <c r="D441" s="11"/>
      <c r="E441" s="11"/>
      <c r="F441" s="11"/>
      <c r="G441" s="11"/>
      <c r="H441" s="11"/>
      <c r="I441" s="11"/>
      <c r="J441" s="11"/>
      <c r="K441" s="11"/>
      <c r="L441" s="11"/>
      <c r="M441" s="507"/>
      <c r="N441" s="11"/>
      <c r="O441" s="11"/>
      <c r="P441" s="11"/>
      <c r="Q441" s="11"/>
      <c r="R441" s="11"/>
      <c r="S441" s="11"/>
    </row>
    <row r="442" spans="1:19">
      <c r="B442" s="249"/>
      <c r="C442" s="13" t="s">
        <v>68</v>
      </c>
      <c r="D442" s="312">
        <f>+'R1 Opex Detail'!D442</f>
        <v>0</v>
      </c>
      <c r="E442" s="310">
        <f>+'R1 Opex Detail'!E442</f>
        <v>0</v>
      </c>
      <c r="F442" s="310">
        <f>+'R1 Opex Detail'!F442</f>
        <v>0</v>
      </c>
      <c r="G442" s="310">
        <f>+'R1 Opex Detail'!G442</f>
        <v>0</v>
      </c>
      <c r="H442" s="310">
        <f>+'R1 Opex Detail'!H442</f>
        <v>0</v>
      </c>
      <c r="I442" s="310">
        <f>+'R1 Opex Detail'!I442</f>
        <v>0</v>
      </c>
      <c r="J442" s="310">
        <f>+'R1 Opex Detail'!J442</f>
        <v>0</v>
      </c>
      <c r="K442" s="310">
        <f>+'R1 Opex Detail'!K442</f>
        <v>0</v>
      </c>
      <c r="L442" s="310">
        <f ca="1">+'R1 Opex Detail'!L442</f>
        <v>0</v>
      </c>
      <c r="M442" s="835">
        <f ca="1">+'R1 Opex Detail'!M442*M$2</f>
        <v>0</v>
      </c>
      <c r="N442" s="312">
        <f ca="1">+'R1 Opex Detail'!N442*N$1</f>
        <v>0.80941119230769243</v>
      </c>
      <c r="O442" s="310">
        <f ca="1">+'R1 Opex Detail'!O442*O$1</f>
        <v>0.83555160618291746</v>
      </c>
      <c r="P442" s="310">
        <f ca="1">+'R1 Opex Detail'!P442*P$1</f>
        <v>0.86178335637102288</v>
      </c>
      <c r="Q442" s="310">
        <f ca="1">+'R1 Opex Detail'!Q442*Q$1</f>
        <v>0.88968143602238214</v>
      </c>
      <c r="R442" s="310">
        <f ca="1">+'R1 Opex Detail'!R442*R$1</f>
        <v>0.91912974800720681</v>
      </c>
      <c r="S442" s="310">
        <f ca="1">+'R1 Opex Detail'!S442*S$1</f>
        <v>0.94865554227949744</v>
      </c>
    </row>
    <row r="443" spans="1:19">
      <c r="B443" s="249"/>
      <c r="C443" s="13" t="s">
        <v>69</v>
      </c>
      <c r="D443" s="312">
        <f>+'R1 Opex Detail'!D443</f>
        <v>0</v>
      </c>
      <c r="E443" s="310">
        <f>+'R1 Opex Detail'!E443</f>
        <v>0</v>
      </c>
      <c r="F443" s="310">
        <f>+'R1 Opex Detail'!F443</f>
        <v>0</v>
      </c>
      <c r="G443" s="310">
        <f>+'R1 Opex Detail'!G443</f>
        <v>0</v>
      </c>
      <c r="H443" s="310">
        <f>+'R1 Opex Detail'!H443</f>
        <v>0</v>
      </c>
      <c r="I443" s="310">
        <f>+'R1 Opex Detail'!I443</f>
        <v>0</v>
      </c>
      <c r="J443" s="310">
        <f>+'R1 Opex Detail'!J443</f>
        <v>0</v>
      </c>
      <c r="K443" s="310">
        <f>+'R1 Opex Detail'!K443</f>
        <v>0</v>
      </c>
      <c r="L443" s="310">
        <f ca="1">+'R1 Opex Detail'!L443</f>
        <v>0</v>
      </c>
      <c r="M443" s="835">
        <f ca="1">+'R1 Opex Detail'!M443*M$2</f>
        <v>0</v>
      </c>
      <c r="N443" s="312">
        <f ca="1">+'R1 Opex Detail'!N443*N$1</f>
        <v>0.21294853846153849</v>
      </c>
      <c r="O443" s="310">
        <f ca="1">+'R1 Opex Detail'!O443*O$1</f>
        <v>0.2152079135706654</v>
      </c>
      <c r="P443" s="310">
        <f ca="1">+'R1 Opex Detail'!P443*P$1</f>
        <v>0.21730141849781104</v>
      </c>
      <c r="Q443" s="310">
        <f ca="1">+'R1 Opex Detail'!Q443*Q$1</f>
        <v>0.21937082487153561</v>
      </c>
      <c r="R443" s="310">
        <f ca="1">+'R1 Opex Detail'!R443*R$1</f>
        <v>0.22161596458158911</v>
      </c>
      <c r="S443" s="310">
        <f ca="1">+'R1 Opex Detail'!S443*S$1</f>
        <v>0.22367252935869561</v>
      </c>
    </row>
    <row r="444" spans="1:19" s="759" customFormat="1">
      <c r="B444" s="249"/>
      <c r="C444" s="13" t="s">
        <v>646</v>
      </c>
      <c r="D444" s="312">
        <f>+'R1 Opex Detail'!D444</f>
        <v>0</v>
      </c>
      <c r="E444" s="310">
        <f>+'R1 Opex Detail'!E444</f>
        <v>0</v>
      </c>
      <c r="F444" s="310">
        <f>+'R1 Opex Detail'!F444</f>
        <v>0</v>
      </c>
      <c r="G444" s="310">
        <f>+'R1 Opex Detail'!G444</f>
        <v>0</v>
      </c>
      <c r="H444" s="310">
        <f>+'R1 Opex Detail'!H444</f>
        <v>0</v>
      </c>
      <c r="I444" s="310">
        <f>+'R1 Opex Detail'!I444</f>
        <v>0</v>
      </c>
      <c r="J444" s="310">
        <f>+'R1 Opex Detail'!J444</f>
        <v>0</v>
      </c>
      <c r="K444" s="310">
        <f>+'R1 Opex Detail'!K444</f>
        <v>0</v>
      </c>
      <c r="L444" s="310">
        <f ca="1">+'R1 Opex Detail'!L444</f>
        <v>0</v>
      </c>
      <c r="M444" s="835">
        <f ca="1">+'R1 Opex Detail'!M444*M$2</f>
        <v>0</v>
      </c>
      <c r="N444" s="312">
        <f ca="1">+'R1 Opex Detail'!N444*N$1</f>
        <v>3.1011923076923083E-3</v>
      </c>
      <c r="O444" s="310">
        <f ca="1">+'R1 Opex Detail'!O444*O$1</f>
        <v>3.1497663078425054E-3</v>
      </c>
      <c r="P444" s="310">
        <f ca="1">+'R1 Opex Detail'!P444*P$1</f>
        <v>3.1963087167706534E-3</v>
      </c>
      <c r="Q444" s="310">
        <f ca="1">+'R1 Opex Detail'!Q444*Q$1</f>
        <v>3.2557885565153953E-3</v>
      </c>
      <c r="R444" s="310">
        <f ca="1">+'R1 Opex Detail'!R444*R$1</f>
        <v>3.3236454137773367E-3</v>
      </c>
      <c r="S444" s="310">
        <f ca="1">+'R1 Opex Detail'!S444*S$1</f>
        <v>3.3964194773467324E-3</v>
      </c>
    </row>
    <row r="445" spans="1:19">
      <c r="B445" s="249"/>
      <c r="C445" s="13" t="s">
        <v>647</v>
      </c>
      <c r="D445" s="312">
        <f>+'R1 Opex Detail'!D445</f>
        <v>0</v>
      </c>
      <c r="E445" s="310">
        <f>+'R1 Opex Detail'!E445</f>
        <v>0</v>
      </c>
      <c r="F445" s="310">
        <f>+'R1 Opex Detail'!F445</f>
        <v>0</v>
      </c>
      <c r="G445" s="310">
        <f>+'R1 Opex Detail'!G445</f>
        <v>0</v>
      </c>
      <c r="H445" s="310">
        <f>+'R1 Opex Detail'!H445</f>
        <v>0</v>
      </c>
      <c r="I445" s="310">
        <f>+'R1 Opex Detail'!I445</f>
        <v>0</v>
      </c>
      <c r="J445" s="310">
        <f>+'R1 Opex Detail'!J445</f>
        <v>0</v>
      </c>
      <c r="K445" s="310">
        <f>+'R1 Opex Detail'!K445</f>
        <v>0</v>
      </c>
      <c r="L445" s="310">
        <f ca="1">+'R1 Opex Detail'!L445</f>
        <v>0</v>
      </c>
      <c r="M445" s="835">
        <f ca="1">+'R1 Opex Detail'!M445*M$2</f>
        <v>0</v>
      </c>
      <c r="N445" s="312">
        <f ca="1">+'R1 Opex Detail'!N445*N$1</f>
        <v>6.6355178076923087</v>
      </c>
      <c r="O445" s="310">
        <f ca="1">+'R1 Opex Detail'!O445*O$1</f>
        <v>6.7394499766803477</v>
      </c>
      <c r="P445" s="310">
        <f ca="1">+'R1 Opex Detail'!P445*P$1</f>
        <v>6.8390352176502747</v>
      </c>
      <c r="Q445" s="310">
        <f ca="1">+'R1 Opex Detail'!Q445*Q$1</f>
        <v>6.9663022480907744</v>
      </c>
      <c r="R445" s="310">
        <f ca="1">+'R1 Opex Detail'!R445*R$1</f>
        <v>7.1114933036789081</v>
      </c>
      <c r="S445" s="310">
        <f ca="1">+'R1 Opex Detail'!S445*S$1</f>
        <v>7.2672055416962262</v>
      </c>
    </row>
    <row r="446" spans="1:19" s="759" customFormat="1">
      <c r="B446" s="249"/>
      <c r="C446" s="13" t="s">
        <v>575</v>
      </c>
      <c r="D446" s="312">
        <f>+'R1 Opex Detail'!D446</f>
        <v>0</v>
      </c>
      <c r="E446" s="310">
        <f>+'R1 Opex Detail'!E446</f>
        <v>0</v>
      </c>
      <c r="F446" s="310">
        <f>+'R1 Opex Detail'!F446</f>
        <v>0</v>
      </c>
      <c r="G446" s="310">
        <f>+'R1 Opex Detail'!G446</f>
        <v>0</v>
      </c>
      <c r="H446" s="310">
        <f>+'R1 Opex Detail'!H446</f>
        <v>0</v>
      </c>
      <c r="I446" s="310">
        <f>+'R1 Opex Detail'!I446</f>
        <v>0</v>
      </c>
      <c r="J446" s="310">
        <f>+'R1 Opex Detail'!J446</f>
        <v>0</v>
      </c>
      <c r="K446" s="310">
        <f>+'R1 Opex Detail'!K446</f>
        <v>0</v>
      </c>
      <c r="L446" s="310">
        <f ca="1">+'R1 Opex Detail'!L446</f>
        <v>0</v>
      </c>
      <c r="M446" s="835">
        <f ca="1">+'R1 Opex Detail'!M446*M$2</f>
        <v>0</v>
      </c>
      <c r="N446" s="312">
        <f ca="1">+'R1 Opex Detail'!N446*N$1</f>
        <v>-4.0832365384615388</v>
      </c>
      <c r="O446" s="310">
        <f ca="1">+'R1 Opex Detail'!O446*O$1</f>
        <v>-4.2151070809993918</v>
      </c>
      <c r="P446" s="310">
        <f ca="1">+'R1 Opex Detail'!P446*P$1</f>
        <v>-4.3474383878231686</v>
      </c>
      <c r="Q446" s="310">
        <f ca="1">+'R1 Opex Detail'!Q446*Q$1</f>
        <v>-4.4881758266774074</v>
      </c>
      <c r="R446" s="310">
        <f ca="1">+'R1 Opex Detail'!R446*R$1</f>
        <v>-4.6367337223862917</v>
      </c>
      <c r="S446" s="310">
        <f ca="1">+'R1 Opex Detail'!S446*S$1</f>
        <v>-4.7856824929808619</v>
      </c>
    </row>
    <row r="447" spans="1:19">
      <c r="B447" s="249"/>
      <c r="C447" s="13" t="s">
        <v>70</v>
      </c>
      <c r="D447" s="312">
        <f>+'R1 Opex Detail'!D447</f>
        <v>0</v>
      </c>
      <c r="E447" s="310">
        <f>+'R1 Opex Detail'!E447</f>
        <v>0</v>
      </c>
      <c r="F447" s="310">
        <f>+'R1 Opex Detail'!F447</f>
        <v>0</v>
      </c>
      <c r="G447" s="310">
        <f>+'R1 Opex Detail'!G447</f>
        <v>0</v>
      </c>
      <c r="H447" s="310">
        <f>+'R1 Opex Detail'!H447</f>
        <v>0</v>
      </c>
      <c r="I447" s="310">
        <f>+'R1 Opex Detail'!I447</f>
        <v>0</v>
      </c>
      <c r="J447" s="310">
        <f>+'R1 Opex Detail'!J447</f>
        <v>0</v>
      </c>
      <c r="K447" s="310">
        <f>+'R1 Opex Detail'!K447</f>
        <v>0</v>
      </c>
      <c r="L447" s="310">
        <f ca="1">+'R1 Opex Detail'!L447</f>
        <v>0</v>
      </c>
      <c r="M447" s="835">
        <f ca="1">+'R1 Opex Detail'!M447*M$2</f>
        <v>0</v>
      </c>
      <c r="N447" s="312">
        <f ca="1">+'R1 Opex Detail'!N447*N$1</f>
        <v>1.0337307692307694E-3</v>
      </c>
      <c r="O447" s="310">
        <f ca="1">+'R1 Opex Detail'!O447*O$1</f>
        <v>1.044698609566337E-3</v>
      </c>
      <c r="P447" s="310">
        <f ca="1">+'R1 Opex Detail'!P447*P$1</f>
        <v>1.0548612548437429E-3</v>
      </c>
      <c r="Q447" s="310">
        <f ca="1">+'R1 Opex Detail'!Q447*Q$1</f>
        <v>1.0649069168521146E-3</v>
      </c>
      <c r="R447" s="310">
        <f ca="1">+'R1 Opex Detail'!R447*R$1</f>
        <v>1.0758056533086849E-3</v>
      </c>
      <c r="S447" s="310">
        <f ca="1">+'R1 Opex Detail'!S447*S$1</f>
        <v>1.0857889774693959E-3</v>
      </c>
    </row>
    <row r="448" spans="1:19">
      <c r="B448" s="249"/>
      <c r="C448" s="12" t="s">
        <v>75</v>
      </c>
      <c r="D448" s="313">
        <f t="shared" ref="D448:S448" si="54">SUBTOTAL(9,D442:D447)</f>
        <v>0</v>
      </c>
      <c r="E448" s="311">
        <f t="shared" si="54"/>
        <v>0</v>
      </c>
      <c r="F448" s="311">
        <f t="shared" si="54"/>
        <v>0</v>
      </c>
      <c r="G448" s="311">
        <f t="shared" si="54"/>
        <v>0</v>
      </c>
      <c r="H448" s="311">
        <f t="shared" si="54"/>
        <v>0</v>
      </c>
      <c r="I448" s="311">
        <f t="shared" si="54"/>
        <v>0</v>
      </c>
      <c r="J448" s="311">
        <f t="shared" si="54"/>
        <v>0</v>
      </c>
      <c r="K448" s="311">
        <f t="shared" si="54"/>
        <v>0</v>
      </c>
      <c r="L448" s="311">
        <f t="shared" ca="1" si="54"/>
        <v>0</v>
      </c>
      <c r="M448" s="513">
        <f t="shared" ca="1" si="54"/>
        <v>0</v>
      </c>
      <c r="N448" s="313">
        <f t="shared" ca="1" si="54"/>
        <v>3.578775923076924</v>
      </c>
      <c r="O448" s="311">
        <f t="shared" ca="1" si="54"/>
        <v>3.5792968803519476</v>
      </c>
      <c r="P448" s="311">
        <f t="shared" ca="1" si="54"/>
        <v>3.5749327746675541</v>
      </c>
      <c r="Q448" s="311">
        <f t="shared" ca="1" si="54"/>
        <v>3.5914993777806519</v>
      </c>
      <c r="R448" s="311">
        <f t="shared" ca="1" si="54"/>
        <v>3.6199047449484976</v>
      </c>
      <c r="S448" s="311">
        <f t="shared" ca="1" si="54"/>
        <v>3.6583333288083737</v>
      </c>
    </row>
    <row r="449" spans="1:19">
      <c r="B449" s="249"/>
      <c r="C449" s="12"/>
      <c r="D449" s="263"/>
      <c r="E449" s="263"/>
      <c r="F449" s="263"/>
      <c r="G449" s="263"/>
      <c r="H449" s="263"/>
      <c r="I449" s="263"/>
      <c r="J449" s="263"/>
      <c r="K449" s="263"/>
      <c r="L449" s="263"/>
      <c r="M449" s="836"/>
      <c r="N449" s="263"/>
      <c r="O449" s="263"/>
      <c r="P449" s="263"/>
      <c r="Q449" s="263"/>
      <c r="R449" s="263"/>
      <c r="S449" s="263"/>
    </row>
    <row r="450" spans="1:19">
      <c r="A450" s="5"/>
      <c r="B450" s="249" t="str">
        <f ca="1">+'I-4 History'!B444</f>
        <v>A-25</v>
      </c>
      <c r="C450" s="14" t="str">
        <f ca="1">+'I-4 History'!C444</f>
        <v>Property – DLC Land Tax</v>
      </c>
      <c r="D450" s="11"/>
      <c r="E450" s="11"/>
      <c r="F450" s="11"/>
      <c r="G450" s="11"/>
      <c r="H450" s="11"/>
      <c r="I450" s="11"/>
      <c r="J450" s="11"/>
      <c r="K450" s="11"/>
      <c r="L450" s="11"/>
      <c r="M450" s="507"/>
      <c r="N450" s="11"/>
      <c r="O450" s="11"/>
      <c r="P450" s="11"/>
      <c r="Q450" s="11"/>
      <c r="R450" s="11"/>
      <c r="S450" s="11"/>
    </row>
    <row r="451" spans="1:19">
      <c r="A451" s="5"/>
      <c r="B451" s="249"/>
      <c r="C451" s="13" t="s">
        <v>68</v>
      </c>
      <c r="D451" s="312">
        <f>+'R1 Opex Detail'!D451</f>
        <v>0</v>
      </c>
      <c r="E451" s="310">
        <f>+'R1 Opex Detail'!E451</f>
        <v>0</v>
      </c>
      <c r="F451" s="310">
        <f>+'R1 Opex Detail'!F451</f>
        <v>0</v>
      </c>
      <c r="G451" s="310">
        <f>+'R1 Opex Detail'!G451</f>
        <v>0</v>
      </c>
      <c r="H451" s="310">
        <f>+'R1 Opex Detail'!H451</f>
        <v>0</v>
      </c>
      <c r="I451" s="310">
        <f>+'R1 Opex Detail'!I451</f>
        <v>0</v>
      </c>
      <c r="J451" s="310">
        <f>+'R1 Opex Detail'!J451</f>
        <v>0</v>
      </c>
      <c r="K451" s="310">
        <f>+'R1 Opex Detail'!K451</f>
        <v>0</v>
      </c>
      <c r="L451" s="310">
        <f ca="1">+'R1 Opex Detail'!L451</f>
        <v>0</v>
      </c>
      <c r="M451" s="835">
        <f ca="1">+'R1 Opex Detail'!M451*M$2</f>
        <v>0</v>
      </c>
      <c r="N451" s="312">
        <f ca="1">+'R1 Opex Detail'!N451*N$1</f>
        <v>0</v>
      </c>
      <c r="O451" s="310">
        <f ca="1">+'R1 Opex Detail'!O451*O$1</f>
        <v>0</v>
      </c>
      <c r="P451" s="310">
        <f ca="1">+'R1 Opex Detail'!P451*P$1</f>
        <v>0</v>
      </c>
      <c r="Q451" s="310">
        <f ca="1">+'R1 Opex Detail'!Q451*Q$1</f>
        <v>0</v>
      </c>
      <c r="R451" s="310">
        <f ca="1">+'R1 Opex Detail'!R451*R$1</f>
        <v>0</v>
      </c>
      <c r="S451" s="310">
        <f ca="1">+'R1 Opex Detail'!S451*S$1</f>
        <v>0</v>
      </c>
    </row>
    <row r="452" spans="1:19">
      <c r="A452" s="5"/>
      <c r="B452" s="249"/>
      <c r="C452" s="13" t="s">
        <v>69</v>
      </c>
      <c r="D452" s="312">
        <f>+'R1 Opex Detail'!D452</f>
        <v>0</v>
      </c>
      <c r="E452" s="310">
        <f>+'R1 Opex Detail'!E452</f>
        <v>0</v>
      </c>
      <c r="F452" s="310">
        <f>+'R1 Opex Detail'!F452</f>
        <v>0</v>
      </c>
      <c r="G452" s="310">
        <f>+'R1 Opex Detail'!G452</f>
        <v>0</v>
      </c>
      <c r="H452" s="310">
        <f>+'R1 Opex Detail'!H452</f>
        <v>0</v>
      </c>
      <c r="I452" s="310">
        <f>+'R1 Opex Detail'!I452</f>
        <v>0</v>
      </c>
      <c r="J452" s="310">
        <f>+'R1 Opex Detail'!J452</f>
        <v>0</v>
      </c>
      <c r="K452" s="310">
        <f>+'R1 Opex Detail'!K452</f>
        <v>0</v>
      </c>
      <c r="L452" s="310">
        <f ca="1">+'R1 Opex Detail'!L452</f>
        <v>0</v>
      </c>
      <c r="M452" s="835">
        <f ca="1">+'R1 Opex Detail'!M452*M$2</f>
        <v>0</v>
      </c>
      <c r="N452" s="312">
        <f ca="1">+'R1 Opex Detail'!N452*N$1</f>
        <v>0</v>
      </c>
      <c r="O452" s="310">
        <f ca="1">+'R1 Opex Detail'!O452*O$1</f>
        <v>0</v>
      </c>
      <c r="P452" s="310">
        <f ca="1">+'R1 Opex Detail'!P452*P$1</f>
        <v>0</v>
      </c>
      <c r="Q452" s="310">
        <f ca="1">+'R1 Opex Detail'!Q452*Q$1</f>
        <v>0</v>
      </c>
      <c r="R452" s="310">
        <f ca="1">+'R1 Opex Detail'!R452*R$1</f>
        <v>0</v>
      </c>
      <c r="S452" s="310">
        <f ca="1">+'R1 Opex Detail'!S452*S$1</f>
        <v>0</v>
      </c>
    </row>
    <row r="453" spans="1:19" s="759" customFormat="1">
      <c r="A453" s="5"/>
      <c r="B453" s="249"/>
      <c r="C453" s="13" t="s">
        <v>646</v>
      </c>
      <c r="D453" s="312">
        <f>+'R1 Opex Detail'!D453</f>
        <v>0</v>
      </c>
      <c r="E453" s="310">
        <f>+'R1 Opex Detail'!E453</f>
        <v>0</v>
      </c>
      <c r="F453" s="310">
        <f>+'R1 Opex Detail'!F453</f>
        <v>0</v>
      </c>
      <c r="G453" s="310">
        <f>+'R1 Opex Detail'!G453</f>
        <v>0</v>
      </c>
      <c r="H453" s="310">
        <f>+'R1 Opex Detail'!H453</f>
        <v>0</v>
      </c>
      <c r="I453" s="310">
        <f>+'R1 Opex Detail'!I453</f>
        <v>0</v>
      </c>
      <c r="J453" s="310">
        <f>+'R1 Opex Detail'!J453</f>
        <v>0</v>
      </c>
      <c r="K453" s="310">
        <f>+'R1 Opex Detail'!K453</f>
        <v>0</v>
      </c>
      <c r="L453" s="310">
        <f ca="1">+'R1 Opex Detail'!L453</f>
        <v>0</v>
      </c>
      <c r="M453" s="835">
        <f ca="1">+'R1 Opex Detail'!M453*M$2</f>
        <v>0</v>
      </c>
      <c r="N453" s="312">
        <f ca="1">+'R1 Opex Detail'!N453*N$1</f>
        <v>0</v>
      </c>
      <c r="O453" s="310">
        <f ca="1">+'R1 Opex Detail'!O453*O$1</f>
        <v>0</v>
      </c>
      <c r="P453" s="310">
        <f ca="1">+'R1 Opex Detail'!P453*P$1</f>
        <v>0</v>
      </c>
      <c r="Q453" s="310">
        <f ca="1">+'R1 Opex Detail'!Q453*Q$1</f>
        <v>0</v>
      </c>
      <c r="R453" s="310">
        <f ca="1">+'R1 Opex Detail'!R453*R$1</f>
        <v>0</v>
      </c>
      <c r="S453" s="310">
        <f ca="1">+'R1 Opex Detail'!S453*S$1</f>
        <v>0</v>
      </c>
    </row>
    <row r="454" spans="1:19">
      <c r="A454" s="5"/>
      <c r="B454" s="249"/>
      <c r="C454" s="13" t="s">
        <v>647</v>
      </c>
      <c r="D454" s="312">
        <f>+'R1 Opex Detail'!D454</f>
        <v>0</v>
      </c>
      <c r="E454" s="310">
        <f>+'R1 Opex Detail'!E454</f>
        <v>0</v>
      </c>
      <c r="F454" s="310">
        <f>+'R1 Opex Detail'!F454</f>
        <v>0</v>
      </c>
      <c r="G454" s="310">
        <f>+'R1 Opex Detail'!G454</f>
        <v>0</v>
      </c>
      <c r="H454" s="310">
        <f>+'R1 Opex Detail'!H454</f>
        <v>0</v>
      </c>
      <c r="I454" s="310">
        <f>+'R1 Opex Detail'!I454</f>
        <v>0</v>
      </c>
      <c r="J454" s="310">
        <f>+'R1 Opex Detail'!J454</f>
        <v>0</v>
      </c>
      <c r="K454" s="310">
        <f>+'R1 Opex Detail'!K454</f>
        <v>0</v>
      </c>
      <c r="L454" s="310">
        <f ca="1">+'R1 Opex Detail'!L454</f>
        <v>0</v>
      </c>
      <c r="M454" s="835">
        <f ca="1">+'R1 Opex Detail'!M454*M$2</f>
        <v>0</v>
      </c>
      <c r="N454" s="312">
        <f ca="1">+'R1 Opex Detail'!N454*N$1</f>
        <v>0</v>
      </c>
      <c r="O454" s="310">
        <f ca="1">+'R1 Opex Detail'!O454*O$1</f>
        <v>0</v>
      </c>
      <c r="P454" s="310">
        <f ca="1">+'R1 Opex Detail'!P454*P$1</f>
        <v>0</v>
      </c>
      <c r="Q454" s="310">
        <f ca="1">+'R1 Opex Detail'!Q454*Q$1</f>
        <v>0</v>
      </c>
      <c r="R454" s="310">
        <f ca="1">+'R1 Opex Detail'!R454*R$1</f>
        <v>0</v>
      </c>
      <c r="S454" s="310">
        <f ca="1">+'R1 Opex Detail'!S454*S$1</f>
        <v>0</v>
      </c>
    </row>
    <row r="455" spans="1:19" s="759" customFormat="1">
      <c r="A455" s="5"/>
      <c r="B455" s="249"/>
      <c r="C455" s="13" t="s">
        <v>575</v>
      </c>
      <c r="D455" s="312">
        <f>+'R1 Opex Detail'!D455</f>
        <v>0</v>
      </c>
      <c r="E455" s="310">
        <f>+'R1 Opex Detail'!E455</f>
        <v>0</v>
      </c>
      <c r="F455" s="310">
        <f>+'R1 Opex Detail'!F455</f>
        <v>0</v>
      </c>
      <c r="G455" s="310">
        <f>+'R1 Opex Detail'!G455</f>
        <v>0</v>
      </c>
      <c r="H455" s="310">
        <f>+'R1 Opex Detail'!H455</f>
        <v>0</v>
      </c>
      <c r="I455" s="310">
        <f>+'R1 Opex Detail'!I455</f>
        <v>0</v>
      </c>
      <c r="J455" s="310">
        <f>+'R1 Opex Detail'!J455</f>
        <v>0</v>
      </c>
      <c r="K455" s="310">
        <f>+'R1 Opex Detail'!K455</f>
        <v>0</v>
      </c>
      <c r="L455" s="310">
        <f ca="1">+'R1 Opex Detail'!L455</f>
        <v>0</v>
      </c>
      <c r="M455" s="835">
        <f ca="1">+'R1 Opex Detail'!M455*M$2</f>
        <v>0</v>
      </c>
      <c r="N455" s="312">
        <f ca="1">+'R1 Opex Detail'!N455*N$1</f>
        <v>0</v>
      </c>
      <c r="O455" s="310">
        <f ca="1">+'R1 Opex Detail'!O455*O$1</f>
        <v>0</v>
      </c>
      <c r="P455" s="310">
        <f ca="1">+'R1 Opex Detail'!P455*P$1</f>
        <v>0</v>
      </c>
      <c r="Q455" s="310">
        <f ca="1">+'R1 Opex Detail'!Q455*Q$1</f>
        <v>0</v>
      </c>
      <c r="R455" s="310">
        <f ca="1">+'R1 Opex Detail'!R455*R$1</f>
        <v>0</v>
      </c>
      <c r="S455" s="310">
        <f ca="1">+'R1 Opex Detail'!S455*S$1</f>
        <v>0</v>
      </c>
    </row>
    <row r="456" spans="1:19">
      <c r="A456" s="5"/>
      <c r="B456" s="249"/>
      <c r="C456" s="13" t="s">
        <v>70</v>
      </c>
      <c r="D456" s="312">
        <f>+'R1 Opex Detail'!D456</f>
        <v>0</v>
      </c>
      <c r="E456" s="310">
        <f>+'R1 Opex Detail'!E456</f>
        <v>0</v>
      </c>
      <c r="F456" s="310">
        <f>+'R1 Opex Detail'!F456</f>
        <v>0</v>
      </c>
      <c r="G456" s="310">
        <f>+'R1 Opex Detail'!G456</f>
        <v>0</v>
      </c>
      <c r="H456" s="310">
        <f>+'R1 Opex Detail'!H456</f>
        <v>0</v>
      </c>
      <c r="I456" s="310">
        <f>+'R1 Opex Detail'!I456</f>
        <v>0</v>
      </c>
      <c r="J456" s="310">
        <f>+'R1 Opex Detail'!J456</f>
        <v>0</v>
      </c>
      <c r="K456" s="310">
        <f>+'R1 Opex Detail'!K456</f>
        <v>0</v>
      </c>
      <c r="L456" s="310">
        <f ca="1">+'R1 Opex Detail'!L456</f>
        <v>0</v>
      </c>
      <c r="M456" s="835">
        <f ca="1">+'R1 Opex Detail'!M456*M$2</f>
        <v>0</v>
      </c>
      <c r="N456" s="312">
        <f ca="1">+'R1 Opex Detail'!N456*N$1</f>
        <v>2.6194737692307695</v>
      </c>
      <c r="O456" s="310">
        <f ca="1">+'R1 Opex Detail'!O456*O$1</f>
        <v>2.6472662766410973</v>
      </c>
      <c r="P456" s="310">
        <f ca="1">+'R1 Opex Detail'!P456*P$1</f>
        <v>2.6730184197740443</v>
      </c>
      <c r="Q456" s="310">
        <f ca="1">+'R1 Opex Detail'!Q456*Q$1</f>
        <v>2.6984741273032578</v>
      </c>
      <c r="R456" s="310">
        <f ca="1">+'R1 Opex Detail'!R456*R$1</f>
        <v>2.7260915254842075</v>
      </c>
      <c r="S456" s="310">
        <f ca="1">+'R1 Opex Detail'!S456*S$1</f>
        <v>2.7513892689074493</v>
      </c>
    </row>
    <row r="457" spans="1:19">
      <c r="A457" s="5"/>
      <c r="B457" s="249"/>
      <c r="C457" s="12" t="s">
        <v>75</v>
      </c>
      <c r="D457" s="313">
        <f t="shared" ref="D457:S457" si="55">SUBTOTAL(9,D451:D456)</f>
        <v>0</v>
      </c>
      <c r="E457" s="311">
        <f t="shared" si="55"/>
        <v>0</v>
      </c>
      <c r="F457" s="311">
        <f t="shared" si="55"/>
        <v>0</v>
      </c>
      <c r="G457" s="311">
        <f t="shared" si="55"/>
        <v>0</v>
      </c>
      <c r="H457" s="311">
        <f t="shared" si="55"/>
        <v>0</v>
      </c>
      <c r="I457" s="311">
        <f t="shared" si="55"/>
        <v>0</v>
      </c>
      <c r="J457" s="311">
        <f t="shared" si="55"/>
        <v>0</v>
      </c>
      <c r="K457" s="311">
        <f t="shared" si="55"/>
        <v>0</v>
      </c>
      <c r="L457" s="311">
        <f t="shared" ca="1" si="55"/>
        <v>0</v>
      </c>
      <c r="M457" s="513">
        <f t="shared" ca="1" si="55"/>
        <v>0</v>
      </c>
      <c r="N457" s="313">
        <f t="shared" ca="1" si="55"/>
        <v>2.6194737692307695</v>
      </c>
      <c r="O457" s="311">
        <f t="shared" ca="1" si="55"/>
        <v>2.6472662766410973</v>
      </c>
      <c r="P457" s="311">
        <f t="shared" ca="1" si="55"/>
        <v>2.6730184197740443</v>
      </c>
      <c r="Q457" s="311">
        <f t="shared" ca="1" si="55"/>
        <v>2.6984741273032578</v>
      </c>
      <c r="R457" s="311">
        <f t="shared" ca="1" si="55"/>
        <v>2.7260915254842075</v>
      </c>
      <c r="S457" s="311">
        <f t="shared" ca="1" si="55"/>
        <v>2.7513892689074493</v>
      </c>
    </row>
    <row r="458" spans="1:19">
      <c r="A458" s="5"/>
      <c r="B458" s="249"/>
      <c r="C458" s="12"/>
      <c r="D458" s="263"/>
      <c r="E458" s="263"/>
      <c r="F458" s="263"/>
      <c r="G458" s="263"/>
      <c r="H458" s="263"/>
      <c r="I458" s="263"/>
      <c r="J458" s="263"/>
      <c r="K458" s="263"/>
      <c r="L458" s="263"/>
      <c r="M458" s="836"/>
      <c r="N458" s="263"/>
      <c r="O458" s="263"/>
      <c r="P458" s="263"/>
      <c r="Q458" s="263"/>
      <c r="R458" s="263"/>
      <c r="S458" s="263"/>
    </row>
    <row r="459" spans="1:19">
      <c r="A459" s="5"/>
      <c r="B459" s="249" t="str">
        <f ca="1">+'I-4 History'!B453</f>
        <v>A-26</v>
      </c>
      <c r="C459" s="14" t="str">
        <f ca="1">+'I-4 History'!C453</f>
        <v>OHS</v>
      </c>
      <c r="D459" s="11"/>
      <c r="E459" s="11"/>
      <c r="F459" s="11"/>
      <c r="G459" s="11"/>
      <c r="H459" s="11"/>
      <c r="I459" s="11"/>
      <c r="J459" s="11"/>
      <c r="K459" s="11"/>
      <c r="L459" s="11"/>
      <c r="M459" s="507"/>
      <c r="N459" s="11"/>
      <c r="O459" s="11"/>
      <c r="P459" s="11"/>
      <c r="Q459" s="11"/>
      <c r="R459" s="11"/>
      <c r="S459" s="11"/>
    </row>
    <row r="460" spans="1:19">
      <c r="B460" s="249"/>
      <c r="C460" s="13" t="s">
        <v>68</v>
      </c>
      <c r="D460" s="312">
        <f>+'R1 Opex Detail'!D460</f>
        <v>0</v>
      </c>
      <c r="E460" s="310">
        <f>+'R1 Opex Detail'!E460</f>
        <v>0</v>
      </c>
      <c r="F460" s="310">
        <f>+'R1 Opex Detail'!F460</f>
        <v>0</v>
      </c>
      <c r="G460" s="310">
        <f>+'R1 Opex Detail'!G460</f>
        <v>0</v>
      </c>
      <c r="H460" s="310">
        <f>+'R1 Opex Detail'!H460</f>
        <v>0</v>
      </c>
      <c r="I460" s="310">
        <f>+'R1 Opex Detail'!I460</f>
        <v>0</v>
      </c>
      <c r="J460" s="310">
        <f>+'R1 Opex Detail'!J460</f>
        <v>0</v>
      </c>
      <c r="K460" s="310">
        <f>+'R1 Opex Detail'!K460</f>
        <v>0</v>
      </c>
      <c r="L460" s="310">
        <f ca="1">+'R1 Opex Detail'!L460</f>
        <v>0</v>
      </c>
      <c r="M460" s="835">
        <f ca="1">+'R1 Opex Detail'!M460*M$2</f>
        <v>0</v>
      </c>
      <c r="N460" s="312">
        <f ca="1">+'R1 Opex Detail'!N460*N$1</f>
        <v>1.8710526923076927</v>
      </c>
      <c r="O460" s="310">
        <f ca="1">+'R1 Opex Detail'!O460*O$1</f>
        <v>1.9314794472427594</v>
      </c>
      <c r="P460" s="310">
        <f ca="1">+'R1 Opex Detail'!P460*P$1</f>
        <v>2.0386352218204311</v>
      </c>
      <c r="Q460" s="310">
        <f ca="1">+'R1 Opex Detail'!Q460*Q$1</f>
        <v>2.1031250355738926</v>
      </c>
      <c r="R460" s="310">
        <f ca="1">+'R1 Opex Detail'!R460*R$1</f>
        <v>2.1711984004430276</v>
      </c>
      <c r="S460" s="310">
        <f ca="1">+'R1 Opex Detail'!S460*S$1</f>
        <v>2.239450875069906</v>
      </c>
    </row>
    <row r="461" spans="1:19">
      <c r="B461" s="249"/>
      <c r="C461" s="13" t="s">
        <v>69</v>
      </c>
      <c r="D461" s="312">
        <f>+'R1 Opex Detail'!D461</f>
        <v>0</v>
      </c>
      <c r="E461" s="310">
        <f>+'R1 Opex Detail'!E461</f>
        <v>0</v>
      </c>
      <c r="F461" s="310">
        <f>+'R1 Opex Detail'!F461</f>
        <v>0</v>
      </c>
      <c r="G461" s="310">
        <f>+'R1 Opex Detail'!G461</f>
        <v>0</v>
      </c>
      <c r="H461" s="310">
        <f>+'R1 Opex Detail'!H461</f>
        <v>0</v>
      </c>
      <c r="I461" s="310">
        <f>+'R1 Opex Detail'!I461</f>
        <v>0</v>
      </c>
      <c r="J461" s="310">
        <f>+'R1 Opex Detail'!J461</f>
        <v>0</v>
      </c>
      <c r="K461" s="310">
        <f>+'R1 Opex Detail'!K461</f>
        <v>0</v>
      </c>
      <c r="L461" s="310">
        <f ca="1">+'R1 Opex Detail'!L461</f>
        <v>0</v>
      </c>
      <c r="M461" s="835">
        <f ca="1">+'R1 Opex Detail'!M461*M$2</f>
        <v>0</v>
      </c>
      <c r="N461" s="312">
        <f ca="1">+'R1 Opex Detail'!N461*N$1</f>
        <v>2.2742076923076927E-2</v>
      </c>
      <c r="O461" s="310">
        <f ca="1">+'R1 Opex Detail'!O461*O$1</f>
        <v>2.2983369410459413E-2</v>
      </c>
      <c r="P461" s="310">
        <f ca="1">+'R1 Opex Detail'!P461*P$1</f>
        <v>2.3206947606562344E-2</v>
      </c>
      <c r="Q461" s="310">
        <f ca="1">+'R1 Opex Detail'!Q461*Q$1</f>
        <v>2.342795217074652E-2</v>
      </c>
      <c r="R461" s="310">
        <f ca="1">+'R1 Opex Detail'!R461*R$1</f>
        <v>2.366772437279107E-2</v>
      </c>
      <c r="S461" s="310">
        <f ca="1">+'R1 Opex Detail'!S461*S$1</f>
        <v>2.3887357504326714E-2</v>
      </c>
    </row>
    <row r="462" spans="1:19" s="759" customFormat="1">
      <c r="B462" s="249"/>
      <c r="C462" s="13" t="s">
        <v>646</v>
      </c>
      <c r="D462" s="312">
        <f>+'R1 Opex Detail'!D462</f>
        <v>0</v>
      </c>
      <c r="E462" s="310">
        <f>+'R1 Opex Detail'!E462</f>
        <v>0</v>
      </c>
      <c r="F462" s="310">
        <f>+'R1 Opex Detail'!F462</f>
        <v>0</v>
      </c>
      <c r="G462" s="310">
        <f>+'R1 Opex Detail'!G462</f>
        <v>0</v>
      </c>
      <c r="H462" s="310">
        <f>+'R1 Opex Detail'!H462</f>
        <v>0</v>
      </c>
      <c r="I462" s="310">
        <f>+'R1 Opex Detail'!I462</f>
        <v>0</v>
      </c>
      <c r="J462" s="310">
        <f>+'R1 Opex Detail'!J462</f>
        <v>0</v>
      </c>
      <c r="K462" s="310">
        <f>+'R1 Opex Detail'!K462</f>
        <v>0</v>
      </c>
      <c r="L462" s="310">
        <f ca="1">+'R1 Opex Detail'!L462</f>
        <v>0</v>
      </c>
      <c r="M462" s="835">
        <f ca="1">+'R1 Opex Detail'!M462*M$2</f>
        <v>0</v>
      </c>
      <c r="N462" s="312">
        <f ca="1">+'R1 Opex Detail'!N462*N$1</f>
        <v>9.2002038461538468E-2</v>
      </c>
      <c r="O462" s="310">
        <f ca="1">+'R1 Opex Detail'!O462*O$1</f>
        <v>1.003126144055738</v>
      </c>
      <c r="P462" s="310">
        <f ca="1">+'R1 Opex Detail'!P462*P$1</f>
        <v>1.1637014406488115</v>
      </c>
      <c r="Q462" s="310">
        <f ca="1">+'R1 Opex Detail'!Q462*Q$1</f>
        <v>1.3618748553817519</v>
      </c>
      <c r="R462" s="310">
        <f ca="1">+'R1 Opex Detail'!R462*R$1</f>
        <v>1.4610586344548819</v>
      </c>
      <c r="S462" s="310">
        <f ca="1">+'R1 Opex Detail'!S462*S$1</f>
        <v>1.4632175983407738</v>
      </c>
    </row>
    <row r="463" spans="1:19">
      <c r="B463" s="249"/>
      <c r="C463" s="13" t="s">
        <v>647</v>
      </c>
      <c r="D463" s="312">
        <f>+'R1 Opex Detail'!D463</f>
        <v>0</v>
      </c>
      <c r="E463" s="310">
        <f>+'R1 Opex Detail'!E463</f>
        <v>0</v>
      </c>
      <c r="F463" s="310">
        <f>+'R1 Opex Detail'!F463</f>
        <v>0</v>
      </c>
      <c r="G463" s="310">
        <f>+'R1 Opex Detail'!G463</f>
        <v>0</v>
      </c>
      <c r="H463" s="310">
        <f>+'R1 Opex Detail'!H463</f>
        <v>0</v>
      </c>
      <c r="I463" s="310">
        <f>+'R1 Opex Detail'!I463</f>
        <v>0</v>
      </c>
      <c r="J463" s="310">
        <f>+'R1 Opex Detail'!J463</f>
        <v>0</v>
      </c>
      <c r="K463" s="310">
        <f>+'R1 Opex Detail'!K463</f>
        <v>0</v>
      </c>
      <c r="L463" s="310">
        <f ca="1">+'R1 Opex Detail'!L463</f>
        <v>0</v>
      </c>
      <c r="M463" s="835">
        <f ca="1">+'R1 Opex Detail'!M463*M$2</f>
        <v>0</v>
      </c>
      <c r="N463" s="312">
        <f ca="1">+'R1 Opex Detail'!N463*N$1</f>
        <v>0.40634138461538466</v>
      </c>
      <c r="O463" s="310">
        <f ca="1">+'R1 Opex Detail'!O463*O$1</f>
        <v>0.19738535529146367</v>
      </c>
      <c r="P463" s="310">
        <f ca="1">+'R1 Opex Detail'!P463*P$1</f>
        <v>0.20030201291762761</v>
      </c>
      <c r="Q463" s="310">
        <f ca="1">+'R1 Opex Detail'!Q463*Q$1</f>
        <v>0.20402941620829812</v>
      </c>
      <c r="R463" s="310">
        <f ca="1">+'R1 Opex Detail'!R463*R$1</f>
        <v>0.20828177926337973</v>
      </c>
      <c r="S463" s="310">
        <f ca="1">+'R1 Opex Detail'!S463*S$1</f>
        <v>0.21284228724706186</v>
      </c>
    </row>
    <row r="464" spans="1:19" s="759" customFormat="1">
      <c r="B464" s="249"/>
      <c r="C464" s="13" t="s">
        <v>575</v>
      </c>
      <c r="D464" s="312">
        <f>+'R1 Opex Detail'!D464</f>
        <v>0</v>
      </c>
      <c r="E464" s="310">
        <f>+'R1 Opex Detail'!E464</f>
        <v>0</v>
      </c>
      <c r="F464" s="310">
        <f>+'R1 Opex Detail'!F464</f>
        <v>0</v>
      </c>
      <c r="G464" s="310">
        <f>+'R1 Opex Detail'!G464</f>
        <v>0</v>
      </c>
      <c r="H464" s="310">
        <f>+'R1 Opex Detail'!H464</f>
        <v>0</v>
      </c>
      <c r="I464" s="310">
        <f>+'R1 Opex Detail'!I464</f>
        <v>0</v>
      </c>
      <c r="J464" s="310">
        <f>+'R1 Opex Detail'!J464</f>
        <v>0</v>
      </c>
      <c r="K464" s="310">
        <f>+'R1 Opex Detail'!K464</f>
        <v>0</v>
      </c>
      <c r="L464" s="310">
        <f ca="1">+'R1 Opex Detail'!L464</f>
        <v>0</v>
      </c>
      <c r="M464" s="835">
        <f ca="1">+'R1 Opex Detail'!M464*M$2</f>
        <v>0</v>
      </c>
      <c r="N464" s="312">
        <f ca="1">+'R1 Opex Detail'!N464*N$1</f>
        <v>0</v>
      </c>
      <c r="O464" s="310">
        <f ca="1">+'R1 Opex Detail'!O464*O$1</f>
        <v>0</v>
      </c>
      <c r="P464" s="310">
        <f ca="1">+'R1 Opex Detail'!P464*P$1</f>
        <v>0</v>
      </c>
      <c r="Q464" s="310">
        <f ca="1">+'R1 Opex Detail'!Q464*Q$1</f>
        <v>0</v>
      </c>
      <c r="R464" s="310">
        <f ca="1">+'R1 Opex Detail'!R464*R$1</f>
        <v>0</v>
      </c>
      <c r="S464" s="310">
        <f ca="1">+'R1 Opex Detail'!S464*S$1</f>
        <v>0</v>
      </c>
    </row>
    <row r="465" spans="1:19">
      <c r="B465" s="249"/>
      <c r="C465" s="13" t="s">
        <v>70</v>
      </c>
      <c r="D465" s="312">
        <f>+'R1 Opex Detail'!D465</f>
        <v>0</v>
      </c>
      <c r="E465" s="310">
        <f>+'R1 Opex Detail'!E465</f>
        <v>0</v>
      </c>
      <c r="F465" s="310">
        <f>+'R1 Opex Detail'!F465</f>
        <v>0</v>
      </c>
      <c r="G465" s="310">
        <f>+'R1 Opex Detail'!G465</f>
        <v>0</v>
      </c>
      <c r="H465" s="310">
        <f>+'R1 Opex Detail'!H465</f>
        <v>0</v>
      </c>
      <c r="I465" s="310">
        <f>+'R1 Opex Detail'!I465</f>
        <v>0</v>
      </c>
      <c r="J465" s="310">
        <f>+'R1 Opex Detail'!J465</f>
        <v>0</v>
      </c>
      <c r="K465" s="310">
        <f>+'R1 Opex Detail'!K465</f>
        <v>0</v>
      </c>
      <c r="L465" s="310">
        <f ca="1">+'R1 Opex Detail'!L465</f>
        <v>0</v>
      </c>
      <c r="M465" s="835">
        <f ca="1">+'R1 Opex Detail'!M465*M$2</f>
        <v>0</v>
      </c>
      <c r="N465" s="312">
        <f ca="1">+'R1 Opex Detail'!N465*N$1</f>
        <v>0</v>
      </c>
      <c r="O465" s="310">
        <f ca="1">+'R1 Opex Detail'!O465*O$1</f>
        <v>0</v>
      </c>
      <c r="P465" s="310">
        <f ca="1">+'R1 Opex Detail'!P465*P$1</f>
        <v>0</v>
      </c>
      <c r="Q465" s="310">
        <f ca="1">+'R1 Opex Detail'!Q465*Q$1</f>
        <v>0</v>
      </c>
      <c r="R465" s="310">
        <f ca="1">+'R1 Opex Detail'!R465*R$1</f>
        <v>0</v>
      </c>
      <c r="S465" s="310">
        <f ca="1">+'R1 Opex Detail'!S465*S$1</f>
        <v>0</v>
      </c>
    </row>
    <row r="466" spans="1:19">
      <c r="B466" s="249"/>
      <c r="C466" s="12" t="s">
        <v>75</v>
      </c>
      <c r="D466" s="313">
        <f t="shared" ref="D466:S466" si="56">SUBTOTAL(9,D460:D465)</f>
        <v>0</v>
      </c>
      <c r="E466" s="311">
        <f t="shared" si="56"/>
        <v>0</v>
      </c>
      <c r="F466" s="311">
        <f t="shared" si="56"/>
        <v>0</v>
      </c>
      <c r="G466" s="311">
        <f t="shared" si="56"/>
        <v>0</v>
      </c>
      <c r="H466" s="311">
        <f t="shared" si="56"/>
        <v>0</v>
      </c>
      <c r="I466" s="311">
        <f t="shared" si="56"/>
        <v>0</v>
      </c>
      <c r="J466" s="311">
        <f t="shared" si="56"/>
        <v>0</v>
      </c>
      <c r="K466" s="311">
        <f t="shared" si="56"/>
        <v>0</v>
      </c>
      <c r="L466" s="311">
        <f t="shared" ca="1" si="56"/>
        <v>0</v>
      </c>
      <c r="M466" s="513">
        <f t="shared" ca="1" si="56"/>
        <v>0</v>
      </c>
      <c r="N466" s="313">
        <f t="shared" ca="1" si="56"/>
        <v>2.3921381923076925</v>
      </c>
      <c r="O466" s="311">
        <f t="shared" ca="1" si="56"/>
        <v>3.1549743160004202</v>
      </c>
      <c r="P466" s="311">
        <f t="shared" ca="1" si="56"/>
        <v>3.4258456229934326</v>
      </c>
      <c r="Q466" s="311">
        <f t="shared" ca="1" si="56"/>
        <v>3.6924572593346894</v>
      </c>
      <c r="R466" s="311">
        <f t="shared" ca="1" si="56"/>
        <v>3.8642065385340802</v>
      </c>
      <c r="S466" s="311">
        <f t="shared" ca="1" si="56"/>
        <v>3.9393981181620683</v>
      </c>
    </row>
    <row r="467" spans="1:19">
      <c r="B467" s="249"/>
      <c r="C467" s="13"/>
      <c r="D467" s="263"/>
      <c r="E467" s="263"/>
      <c r="F467" s="263"/>
      <c r="G467" s="263"/>
      <c r="H467" s="263"/>
      <c r="I467" s="263"/>
      <c r="J467" s="263"/>
      <c r="K467" s="263"/>
      <c r="L467" s="263"/>
      <c r="M467" s="836"/>
      <c r="N467" s="263"/>
      <c r="O467" s="263"/>
      <c r="P467" s="263"/>
      <c r="Q467" s="263"/>
      <c r="R467" s="263"/>
      <c r="S467" s="263"/>
    </row>
    <row r="468" spans="1:19">
      <c r="A468" s="5"/>
      <c r="B468" s="249" t="str">
        <f ca="1">+'I-4 History'!B462</f>
        <v>A-27</v>
      </c>
      <c r="C468" s="14" t="str">
        <f ca="1">+'I-4 History'!C462</f>
        <v>Environment</v>
      </c>
      <c r="D468" s="11"/>
      <c r="E468" s="11"/>
      <c r="F468" s="11"/>
      <c r="G468" s="11"/>
      <c r="H468" s="11"/>
      <c r="I468" s="11"/>
      <c r="J468" s="11"/>
      <c r="K468" s="11"/>
      <c r="L468" s="11"/>
      <c r="M468" s="507"/>
      <c r="N468" s="11"/>
      <c r="O468" s="11"/>
      <c r="P468" s="11"/>
      <c r="Q468" s="11"/>
      <c r="R468" s="11"/>
      <c r="S468" s="11"/>
    </row>
    <row r="469" spans="1:19">
      <c r="A469" s="5"/>
      <c r="B469" s="249"/>
      <c r="C469" s="13" t="s">
        <v>68</v>
      </c>
      <c r="D469" s="312">
        <f>+'R1 Opex Detail'!D469</f>
        <v>0</v>
      </c>
      <c r="E469" s="310">
        <f>+'R1 Opex Detail'!E469</f>
        <v>0</v>
      </c>
      <c r="F469" s="310">
        <f>+'R1 Opex Detail'!F469</f>
        <v>0</v>
      </c>
      <c r="G469" s="310">
        <f>+'R1 Opex Detail'!G469</f>
        <v>0</v>
      </c>
      <c r="H469" s="310">
        <f>+'R1 Opex Detail'!H469</f>
        <v>0</v>
      </c>
      <c r="I469" s="310">
        <f>+'R1 Opex Detail'!I469</f>
        <v>0</v>
      </c>
      <c r="J469" s="310">
        <f>+'R1 Opex Detail'!J469</f>
        <v>0</v>
      </c>
      <c r="K469" s="310">
        <f>+'R1 Opex Detail'!K469</f>
        <v>0</v>
      </c>
      <c r="L469" s="310">
        <f ca="1">+'R1 Opex Detail'!L469</f>
        <v>0</v>
      </c>
      <c r="M469" s="835">
        <f ca="1">+'R1 Opex Detail'!M469*M$2</f>
        <v>0</v>
      </c>
      <c r="N469" s="312">
        <f ca="1">+'R1 Opex Detail'!N469*N$1</f>
        <v>0.50342688461538465</v>
      </c>
      <c r="O469" s="310">
        <f ca="1">+'R1 Opex Detail'!O469*O$1</f>
        <v>0.51968535403714022</v>
      </c>
      <c r="P469" s="310">
        <f ca="1">+'R1 Opex Detail'!P469*P$1</f>
        <v>0.53600063161262856</v>
      </c>
      <c r="Q469" s="310">
        <f ca="1">+'R1 Opex Detail'!Q469*Q$1</f>
        <v>0.55335231078275871</v>
      </c>
      <c r="R469" s="310">
        <f ca="1">+'R1 Opex Detail'!R469*R$1</f>
        <v>0.57166818298787958</v>
      </c>
      <c r="S469" s="310">
        <f ca="1">+'R1 Opex Detail'!S469*S$1</f>
        <v>0.59003224660295683</v>
      </c>
    </row>
    <row r="470" spans="1:19">
      <c r="A470" s="5"/>
      <c r="B470" s="249"/>
      <c r="C470" s="13" t="s">
        <v>69</v>
      </c>
      <c r="D470" s="312">
        <f>+'R1 Opex Detail'!D470</f>
        <v>0</v>
      </c>
      <c r="E470" s="310">
        <f>+'R1 Opex Detail'!E470</f>
        <v>0</v>
      </c>
      <c r="F470" s="310">
        <f>+'R1 Opex Detail'!F470</f>
        <v>0</v>
      </c>
      <c r="G470" s="310">
        <f>+'R1 Opex Detail'!G470</f>
        <v>0</v>
      </c>
      <c r="H470" s="310">
        <f>+'R1 Opex Detail'!H470</f>
        <v>0</v>
      </c>
      <c r="I470" s="310">
        <f>+'R1 Opex Detail'!I470</f>
        <v>0</v>
      </c>
      <c r="J470" s="310">
        <f>+'R1 Opex Detail'!J470</f>
        <v>0</v>
      </c>
      <c r="K470" s="310">
        <f>+'R1 Opex Detail'!K470</f>
        <v>0</v>
      </c>
      <c r="L470" s="310">
        <f ca="1">+'R1 Opex Detail'!L470</f>
        <v>0</v>
      </c>
      <c r="M470" s="835">
        <f ca="1">+'R1 Opex Detail'!M470*M$2</f>
        <v>0</v>
      </c>
      <c r="N470" s="312">
        <f ca="1">+'R1 Opex Detail'!N470*N$1</f>
        <v>1.757342307692308E-2</v>
      </c>
      <c r="O470" s="310">
        <f ca="1">+'R1 Opex Detail'!O470*O$1</f>
        <v>1.7759876362627727E-2</v>
      </c>
      <c r="P470" s="310">
        <f ca="1">+'R1 Opex Detail'!P470*P$1</f>
        <v>1.7932641332343631E-2</v>
      </c>
      <c r="Q470" s="310">
        <f ca="1">+'R1 Opex Detail'!Q470*Q$1</f>
        <v>1.810341758648595E-2</v>
      </c>
      <c r="R470" s="310">
        <f ca="1">+'R1 Opex Detail'!R470*R$1</f>
        <v>1.8288696106247643E-2</v>
      </c>
      <c r="S470" s="310">
        <f ca="1">+'R1 Opex Detail'!S470*S$1</f>
        <v>1.8458412616979735E-2</v>
      </c>
    </row>
    <row r="471" spans="1:19" s="759" customFormat="1">
      <c r="A471" s="5"/>
      <c r="B471" s="249"/>
      <c r="C471" s="13" t="s">
        <v>646</v>
      </c>
      <c r="D471" s="312">
        <f>+'R1 Opex Detail'!D471</f>
        <v>0</v>
      </c>
      <c r="E471" s="310">
        <f>+'R1 Opex Detail'!E471</f>
        <v>0</v>
      </c>
      <c r="F471" s="310">
        <f>+'R1 Opex Detail'!F471</f>
        <v>0</v>
      </c>
      <c r="G471" s="310">
        <f>+'R1 Opex Detail'!G471</f>
        <v>0</v>
      </c>
      <c r="H471" s="310">
        <f>+'R1 Opex Detail'!H471</f>
        <v>0</v>
      </c>
      <c r="I471" s="310">
        <f>+'R1 Opex Detail'!I471</f>
        <v>0</v>
      </c>
      <c r="J471" s="310">
        <f>+'R1 Opex Detail'!J471</f>
        <v>0</v>
      </c>
      <c r="K471" s="310">
        <f>+'R1 Opex Detail'!K471</f>
        <v>0</v>
      </c>
      <c r="L471" s="310">
        <f ca="1">+'R1 Opex Detail'!L471</f>
        <v>0</v>
      </c>
      <c r="M471" s="835">
        <f ca="1">+'R1 Opex Detail'!M471*M$2</f>
        <v>0</v>
      </c>
      <c r="N471" s="312">
        <f ca="1">+'R1 Opex Detail'!N471*N$1</f>
        <v>-5.1686538461538471E-3</v>
      </c>
      <c r="O471" s="310">
        <f ca="1">+'R1 Opex Detail'!O471*O$1</f>
        <v>-5.2496105130708419E-3</v>
      </c>
      <c r="P471" s="310">
        <f ca="1">+'R1 Opex Detail'!P471*P$1</f>
        <v>-5.3271811946177553E-3</v>
      </c>
      <c r="Q471" s="310">
        <f ca="1">+'R1 Opex Detail'!Q471*Q$1</f>
        <v>-5.4263142608589922E-3</v>
      </c>
      <c r="R471" s="310">
        <f ca="1">+'R1 Opex Detail'!R471*R$1</f>
        <v>-5.5394090229622271E-3</v>
      </c>
      <c r="S471" s="310">
        <f ca="1">+'R1 Opex Detail'!S471*S$1</f>
        <v>-5.6606991289112202E-3</v>
      </c>
    </row>
    <row r="472" spans="1:19">
      <c r="A472" s="5"/>
      <c r="B472" s="249"/>
      <c r="C472" s="13" t="s">
        <v>647</v>
      </c>
      <c r="D472" s="312">
        <f>+'R1 Opex Detail'!D472</f>
        <v>0</v>
      </c>
      <c r="E472" s="310">
        <f>+'R1 Opex Detail'!E472</f>
        <v>0</v>
      </c>
      <c r="F472" s="310">
        <f>+'R1 Opex Detail'!F472</f>
        <v>0</v>
      </c>
      <c r="G472" s="310">
        <f>+'R1 Opex Detail'!G472</f>
        <v>0</v>
      </c>
      <c r="H472" s="310">
        <f>+'R1 Opex Detail'!H472</f>
        <v>0</v>
      </c>
      <c r="I472" s="310">
        <f>+'R1 Opex Detail'!I472</f>
        <v>0</v>
      </c>
      <c r="J472" s="310">
        <f>+'R1 Opex Detail'!J472</f>
        <v>0</v>
      </c>
      <c r="K472" s="310">
        <f>+'R1 Opex Detail'!K472</f>
        <v>0</v>
      </c>
      <c r="L472" s="310">
        <f ca="1">+'R1 Opex Detail'!L472</f>
        <v>0</v>
      </c>
      <c r="M472" s="835">
        <f ca="1">+'R1 Opex Detail'!M472*M$2</f>
        <v>0</v>
      </c>
      <c r="N472" s="312">
        <f ca="1">+'R1 Opex Detail'!N472*N$1</f>
        <v>0.10957546153846155</v>
      </c>
      <c r="O472" s="310">
        <f ca="1">+'R1 Opex Detail'!O472*O$1</f>
        <v>0.11129174287710186</v>
      </c>
      <c r="P472" s="310">
        <f ca="1">+'R1 Opex Detail'!P472*P$1</f>
        <v>0.11293624132589643</v>
      </c>
      <c r="Q472" s="310">
        <f ca="1">+'R1 Opex Detail'!Q472*Q$1</f>
        <v>0.11503786233021063</v>
      </c>
      <c r="R472" s="310">
        <f ca="1">+'R1 Opex Detail'!R472*R$1</f>
        <v>0.11743547128679921</v>
      </c>
      <c r="S472" s="310">
        <f ca="1">+'R1 Opex Detail'!S472*S$1</f>
        <v>0.12000682153291788</v>
      </c>
    </row>
    <row r="473" spans="1:19" s="759" customFormat="1">
      <c r="A473" s="5"/>
      <c r="B473" s="249"/>
      <c r="C473" s="13" t="s">
        <v>575</v>
      </c>
      <c r="D473" s="312">
        <f>+'R1 Opex Detail'!D473</f>
        <v>0</v>
      </c>
      <c r="E473" s="310">
        <f>+'R1 Opex Detail'!E473</f>
        <v>0</v>
      </c>
      <c r="F473" s="310">
        <f>+'R1 Opex Detail'!F473</f>
        <v>0</v>
      </c>
      <c r="G473" s="310">
        <f>+'R1 Opex Detail'!G473</f>
        <v>0</v>
      </c>
      <c r="H473" s="310">
        <f>+'R1 Opex Detail'!H473</f>
        <v>0</v>
      </c>
      <c r="I473" s="310">
        <f>+'R1 Opex Detail'!I473</f>
        <v>0</v>
      </c>
      <c r="J473" s="310">
        <f>+'R1 Opex Detail'!J473</f>
        <v>0</v>
      </c>
      <c r="K473" s="310">
        <f>+'R1 Opex Detail'!K473</f>
        <v>0</v>
      </c>
      <c r="L473" s="310">
        <f ca="1">+'R1 Opex Detail'!L473</f>
        <v>0</v>
      </c>
      <c r="M473" s="835">
        <f ca="1">+'R1 Opex Detail'!M473*M$2</f>
        <v>0</v>
      </c>
      <c r="N473" s="312">
        <f ca="1">+'R1 Opex Detail'!N473*N$1</f>
        <v>0</v>
      </c>
      <c r="O473" s="310">
        <f ca="1">+'R1 Opex Detail'!O473*O$1</f>
        <v>0</v>
      </c>
      <c r="P473" s="310">
        <f ca="1">+'R1 Opex Detail'!P473*P$1</f>
        <v>0</v>
      </c>
      <c r="Q473" s="310">
        <f ca="1">+'R1 Opex Detail'!Q473*Q$1</f>
        <v>0</v>
      </c>
      <c r="R473" s="310">
        <f ca="1">+'R1 Opex Detail'!R473*R$1</f>
        <v>0</v>
      </c>
      <c r="S473" s="310">
        <f ca="1">+'R1 Opex Detail'!S473*S$1</f>
        <v>0</v>
      </c>
    </row>
    <row r="474" spans="1:19">
      <c r="A474" s="5"/>
      <c r="B474" s="249"/>
      <c r="C474" s="13" t="s">
        <v>70</v>
      </c>
      <c r="D474" s="312">
        <f>+'R1 Opex Detail'!D474</f>
        <v>0</v>
      </c>
      <c r="E474" s="310">
        <f>+'R1 Opex Detail'!E474</f>
        <v>0</v>
      </c>
      <c r="F474" s="310">
        <f>+'R1 Opex Detail'!F474</f>
        <v>0</v>
      </c>
      <c r="G474" s="310">
        <f>+'R1 Opex Detail'!G474</f>
        <v>0</v>
      </c>
      <c r="H474" s="310">
        <f>+'R1 Opex Detail'!H474</f>
        <v>0</v>
      </c>
      <c r="I474" s="310">
        <f>+'R1 Opex Detail'!I474</f>
        <v>0</v>
      </c>
      <c r="J474" s="310">
        <f>+'R1 Opex Detail'!J474</f>
        <v>0</v>
      </c>
      <c r="K474" s="310">
        <f>+'R1 Opex Detail'!K474</f>
        <v>0</v>
      </c>
      <c r="L474" s="310">
        <f ca="1">+'R1 Opex Detail'!L474</f>
        <v>0</v>
      </c>
      <c r="M474" s="835">
        <f ca="1">+'R1 Opex Detail'!M474*M$2</f>
        <v>0</v>
      </c>
      <c r="N474" s="312">
        <f ca="1">+'R1 Opex Detail'!N474*N$1</f>
        <v>0</v>
      </c>
      <c r="O474" s="310">
        <f ca="1">+'R1 Opex Detail'!O474*O$1</f>
        <v>0</v>
      </c>
      <c r="P474" s="310">
        <f ca="1">+'R1 Opex Detail'!P474*P$1</f>
        <v>0</v>
      </c>
      <c r="Q474" s="310">
        <f ca="1">+'R1 Opex Detail'!Q474*Q$1</f>
        <v>0</v>
      </c>
      <c r="R474" s="310">
        <f ca="1">+'R1 Opex Detail'!R474*R$1</f>
        <v>0</v>
      </c>
      <c r="S474" s="310">
        <f ca="1">+'R1 Opex Detail'!S474*S$1</f>
        <v>0</v>
      </c>
    </row>
    <row r="475" spans="1:19">
      <c r="A475" s="5"/>
      <c r="B475" s="249"/>
      <c r="C475" s="12" t="s">
        <v>75</v>
      </c>
      <c r="D475" s="313">
        <f t="shared" ref="D475:S475" si="57">SUBTOTAL(9,D469:D474)</f>
        <v>0</v>
      </c>
      <c r="E475" s="311">
        <f t="shared" si="57"/>
        <v>0</v>
      </c>
      <c r="F475" s="311">
        <f t="shared" si="57"/>
        <v>0</v>
      </c>
      <c r="G475" s="311">
        <f t="shared" si="57"/>
        <v>0</v>
      </c>
      <c r="H475" s="311">
        <f t="shared" si="57"/>
        <v>0</v>
      </c>
      <c r="I475" s="311">
        <f t="shared" si="57"/>
        <v>0</v>
      </c>
      <c r="J475" s="311">
        <f t="shared" si="57"/>
        <v>0</v>
      </c>
      <c r="K475" s="311">
        <f t="shared" si="57"/>
        <v>0</v>
      </c>
      <c r="L475" s="311">
        <f t="shared" ca="1" si="57"/>
        <v>0</v>
      </c>
      <c r="M475" s="513">
        <f t="shared" ca="1" si="57"/>
        <v>0</v>
      </c>
      <c r="N475" s="313">
        <f t="shared" ca="1" si="57"/>
        <v>0.62540711538461546</v>
      </c>
      <c r="O475" s="311">
        <f t="shared" ca="1" si="57"/>
        <v>0.64348736276379903</v>
      </c>
      <c r="P475" s="311">
        <f t="shared" ca="1" si="57"/>
        <v>0.66154233307625088</v>
      </c>
      <c r="Q475" s="311">
        <f t="shared" ca="1" si="57"/>
        <v>0.68106727643859621</v>
      </c>
      <c r="R475" s="311">
        <f t="shared" ca="1" si="57"/>
        <v>0.70185294135796417</v>
      </c>
      <c r="S475" s="311">
        <f t="shared" ca="1" si="57"/>
        <v>0.72283678162394327</v>
      </c>
    </row>
    <row r="476" spans="1:19">
      <c r="A476" s="5"/>
      <c r="B476" s="249"/>
      <c r="C476" s="12"/>
      <c r="D476" s="263"/>
      <c r="E476" s="263"/>
      <c r="F476" s="263"/>
      <c r="G476" s="263"/>
      <c r="H476" s="263"/>
      <c r="I476" s="263"/>
      <c r="J476" s="263"/>
      <c r="K476" s="263"/>
      <c r="L476" s="263"/>
      <c r="M476" s="836"/>
      <c r="N476" s="263"/>
      <c r="O476" s="263"/>
      <c r="P476" s="263"/>
      <c r="Q476" s="263"/>
      <c r="R476" s="263"/>
      <c r="S476" s="263"/>
    </row>
    <row r="477" spans="1:19">
      <c r="A477" s="5"/>
      <c r="B477" s="249" t="str">
        <f ca="1">+'I-4 History'!B471</f>
        <v>A-28</v>
      </c>
      <c r="C477" s="262" t="str">
        <f ca="1">+'I-4 History'!C471</f>
        <v xml:space="preserve">Printing </v>
      </c>
      <c r="D477" s="11"/>
      <c r="E477" s="11"/>
      <c r="F477" s="11"/>
      <c r="G477" s="11"/>
      <c r="H477" s="11"/>
      <c r="I477" s="11"/>
      <c r="J477" s="11"/>
      <c r="K477" s="11"/>
      <c r="L477" s="11"/>
      <c r="M477" s="507"/>
      <c r="N477" s="11"/>
      <c r="O477" s="11"/>
      <c r="P477" s="11"/>
      <c r="Q477" s="11"/>
      <c r="R477" s="11"/>
      <c r="S477" s="11"/>
    </row>
    <row r="478" spans="1:19">
      <c r="A478" s="5"/>
      <c r="B478" s="249"/>
      <c r="C478" s="13" t="s">
        <v>68</v>
      </c>
      <c r="D478" s="312">
        <f>+'R1 Opex Detail'!D478</f>
        <v>0</v>
      </c>
      <c r="E478" s="310">
        <f>+'R1 Opex Detail'!E478</f>
        <v>0</v>
      </c>
      <c r="F478" s="310">
        <f>+'R1 Opex Detail'!F478</f>
        <v>0</v>
      </c>
      <c r="G478" s="310">
        <f>+'R1 Opex Detail'!G478</f>
        <v>0</v>
      </c>
      <c r="H478" s="310">
        <f>+'R1 Opex Detail'!H478</f>
        <v>0</v>
      </c>
      <c r="I478" s="310">
        <f>+'R1 Opex Detail'!I478</f>
        <v>0</v>
      </c>
      <c r="J478" s="310">
        <f>+'R1 Opex Detail'!J478</f>
        <v>0</v>
      </c>
      <c r="K478" s="310">
        <f>+'R1 Opex Detail'!K478</f>
        <v>0</v>
      </c>
      <c r="L478" s="310">
        <f ca="1">+'R1 Opex Detail'!L478</f>
        <v>0</v>
      </c>
      <c r="M478" s="835">
        <f ca="1">+'R1 Opex Detail'!M478*M$2</f>
        <v>0</v>
      </c>
      <c r="N478" s="312">
        <f ca="1">+'R1 Opex Detail'!N478*N$1</f>
        <v>0.16643065384615388</v>
      </c>
      <c r="O478" s="310">
        <f ca="1">+'R1 Opex Detail'!O478*O$1</f>
        <v>0.1718056303901018</v>
      </c>
      <c r="P478" s="310">
        <f ca="1">+'R1 Opex Detail'!P478*P$1</f>
        <v>0.17719938745304561</v>
      </c>
      <c r="Q478" s="310">
        <f ca="1">+'R1 Opex Detail'!Q478*Q$1</f>
        <v>0.18293577420128163</v>
      </c>
      <c r="R478" s="310">
        <f ca="1">+'R1 Opex Detail'!R478*R$1</f>
        <v>0.18899091881118812</v>
      </c>
      <c r="S478" s="310">
        <f ca="1">+'R1 Opex Detail'!S478*S$1</f>
        <v>0.19506199528352375</v>
      </c>
    </row>
    <row r="479" spans="1:19">
      <c r="A479" s="5"/>
      <c r="B479" s="249"/>
      <c r="C479" s="13" t="s">
        <v>69</v>
      </c>
      <c r="D479" s="312">
        <f>+'R1 Opex Detail'!D479</f>
        <v>0</v>
      </c>
      <c r="E479" s="310">
        <f>+'R1 Opex Detail'!E479</f>
        <v>0</v>
      </c>
      <c r="F479" s="310">
        <f>+'R1 Opex Detail'!F479</f>
        <v>0</v>
      </c>
      <c r="G479" s="310">
        <f>+'R1 Opex Detail'!G479</f>
        <v>0</v>
      </c>
      <c r="H479" s="310">
        <f>+'R1 Opex Detail'!H479</f>
        <v>0</v>
      </c>
      <c r="I479" s="310">
        <f>+'R1 Opex Detail'!I479</f>
        <v>0</v>
      </c>
      <c r="J479" s="310">
        <f>+'R1 Opex Detail'!J479</f>
        <v>0</v>
      </c>
      <c r="K479" s="310">
        <f>+'R1 Opex Detail'!K479</f>
        <v>0</v>
      </c>
      <c r="L479" s="310">
        <f ca="1">+'R1 Opex Detail'!L479</f>
        <v>0</v>
      </c>
      <c r="M479" s="835">
        <f ca="1">+'R1 Opex Detail'!M479*M$2</f>
        <v>0</v>
      </c>
      <c r="N479" s="312">
        <f ca="1">+'R1 Opex Detail'!N479*N$1</f>
        <v>6.2023846153846166E-2</v>
      </c>
      <c r="O479" s="310">
        <f ca="1">+'R1 Opex Detail'!O479*O$1</f>
        <v>6.2681916573980215E-2</v>
      </c>
      <c r="P479" s="310">
        <f ca="1">+'R1 Opex Detail'!P479*P$1</f>
        <v>6.3291675290624586E-2</v>
      </c>
      <c r="Q479" s="310">
        <f ca="1">+'R1 Opex Detail'!Q479*Q$1</f>
        <v>6.3894415011126873E-2</v>
      </c>
      <c r="R479" s="310">
        <f ca="1">+'R1 Opex Detail'!R479*R$1</f>
        <v>6.4548339198521099E-2</v>
      </c>
      <c r="S479" s="310">
        <f ca="1">+'R1 Opex Detail'!S479*S$1</f>
        <v>6.5147338648163772E-2</v>
      </c>
    </row>
    <row r="480" spans="1:19" s="759" customFormat="1">
      <c r="A480" s="5"/>
      <c r="B480" s="249"/>
      <c r="C480" s="13" t="s">
        <v>646</v>
      </c>
      <c r="D480" s="312">
        <f>+'R1 Opex Detail'!D480</f>
        <v>0</v>
      </c>
      <c r="E480" s="310">
        <f>+'R1 Opex Detail'!E480</f>
        <v>0</v>
      </c>
      <c r="F480" s="310">
        <f>+'R1 Opex Detail'!F480</f>
        <v>0</v>
      </c>
      <c r="G480" s="310">
        <f>+'R1 Opex Detail'!G480</f>
        <v>0</v>
      </c>
      <c r="H480" s="310">
        <f>+'R1 Opex Detail'!H480</f>
        <v>0</v>
      </c>
      <c r="I480" s="310">
        <f>+'R1 Opex Detail'!I480</f>
        <v>0</v>
      </c>
      <c r="J480" s="310">
        <f>+'R1 Opex Detail'!J480</f>
        <v>0</v>
      </c>
      <c r="K480" s="310">
        <f>+'R1 Opex Detail'!K480</f>
        <v>0</v>
      </c>
      <c r="L480" s="310">
        <f ca="1">+'R1 Opex Detail'!L480</f>
        <v>0</v>
      </c>
      <c r="M480" s="835">
        <f ca="1">+'R1 Opex Detail'!M480*M$2</f>
        <v>0</v>
      </c>
      <c r="N480" s="312">
        <f ca="1">+'R1 Opex Detail'!N480*N$1</f>
        <v>-0.40625619230769239</v>
      </c>
      <c r="O480" s="310">
        <f ca="1">+'R1 Opex Detail'!O480*O$1</f>
        <v>-0.41261938632736822</v>
      </c>
      <c r="P480" s="310">
        <f ca="1">+'R1 Opex Detail'!P480*P$1</f>
        <v>-0.41871644189695562</v>
      </c>
      <c r="Q480" s="310">
        <f ca="1">+'R1 Opex Detail'!Q480*Q$1</f>
        <v>-0.42650830090351682</v>
      </c>
      <c r="R480" s="310">
        <f ca="1">+'R1 Opex Detail'!R480*R$1</f>
        <v>-0.43539754920483109</v>
      </c>
      <c r="S480" s="310">
        <f ca="1">+'R1 Opex Detail'!S480*S$1</f>
        <v>-0.4449309515324219</v>
      </c>
    </row>
    <row r="481" spans="1:19">
      <c r="A481" s="5"/>
      <c r="B481" s="249"/>
      <c r="C481" s="13" t="s">
        <v>647</v>
      </c>
      <c r="D481" s="312">
        <f>+'R1 Opex Detail'!D481</f>
        <v>0</v>
      </c>
      <c r="E481" s="310">
        <f>+'R1 Opex Detail'!E481</f>
        <v>0</v>
      </c>
      <c r="F481" s="310">
        <f>+'R1 Opex Detail'!F481</f>
        <v>0</v>
      </c>
      <c r="G481" s="310">
        <f>+'R1 Opex Detail'!G481</f>
        <v>0</v>
      </c>
      <c r="H481" s="310">
        <f>+'R1 Opex Detail'!H481</f>
        <v>0</v>
      </c>
      <c r="I481" s="310">
        <f>+'R1 Opex Detail'!I481</f>
        <v>0</v>
      </c>
      <c r="J481" s="310">
        <f>+'R1 Opex Detail'!J481</f>
        <v>0</v>
      </c>
      <c r="K481" s="310">
        <f>+'R1 Opex Detail'!K481</f>
        <v>0</v>
      </c>
      <c r="L481" s="310">
        <f ca="1">+'R1 Opex Detail'!L481</f>
        <v>0</v>
      </c>
      <c r="M481" s="835">
        <f ca="1">+'R1 Opex Detail'!M481*M$2</f>
        <v>0</v>
      </c>
      <c r="N481" s="312">
        <f ca="1">+'R1 Opex Detail'!N481*N$1</f>
        <v>0.1581608076923077</v>
      </c>
      <c r="O481" s="310">
        <f ca="1">+'R1 Opex Detail'!O481*O$1</f>
        <v>0.16063808169996777</v>
      </c>
      <c r="P481" s="310">
        <f ca="1">+'R1 Opex Detail'!P481*P$1</f>
        <v>0.16301174455530335</v>
      </c>
      <c r="Q481" s="310">
        <f ca="1">+'R1 Opex Detail'!Q481*Q$1</f>
        <v>0.16604521638228514</v>
      </c>
      <c r="R481" s="310">
        <f ca="1">+'R1 Opex Detail'!R481*R$1</f>
        <v>0.16950591610264415</v>
      </c>
      <c r="S481" s="310">
        <f ca="1">+'R1 Opex Detail'!S481*S$1</f>
        <v>0.17321739334468333</v>
      </c>
    </row>
    <row r="482" spans="1:19" s="759" customFormat="1">
      <c r="A482" s="5"/>
      <c r="B482" s="249"/>
      <c r="C482" s="13" t="s">
        <v>575</v>
      </c>
      <c r="D482" s="312">
        <f>+'R1 Opex Detail'!D482</f>
        <v>0</v>
      </c>
      <c r="E482" s="310">
        <f>+'R1 Opex Detail'!E482</f>
        <v>0</v>
      </c>
      <c r="F482" s="310">
        <f>+'R1 Opex Detail'!F482</f>
        <v>0</v>
      </c>
      <c r="G482" s="310">
        <f>+'R1 Opex Detail'!G482</f>
        <v>0</v>
      </c>
      <c r="H482" s="310">
        <f>+'R1 Opex Detail'!H482</f>
        <v>0</v>
      </c>
      <c r="I482" s="310">
        <f>+'R1 Opex Detail'!I482</f>
        <v>0</v>
      </c>
      <c r="J482" s="310">
        <f>+'R1 Opex Detail'!J482</f>
        <v>0</v>
      </c>
      <c r="K482" s="310">
        <f>+'R1 Opex Detail'!K482</f>
        <v>0</v>
      </c>
      <c r="L482" s="310">
        <f ca="1">+'R1 Opex Detail'!L482</f>
        <v>0</v>
      </c>
      <c r="M482" s="835">
        <f ca="1">+'R1 Opex Detail'!M482*M$2</f>
        <v>0</v>
      </c>
      <c r="N482" s="312">
        <f ca="1">+'R1 Opex Detail'!N482*N$1</f>
        <v>0</v>
      </c>
      <c r="O482" s="310">
        <f ca="1">+'R1 Opex Detail'!O482*O$1</f>
        <v>0</v>
      </c>
      <c r="P482" s="310">
        <f ca="1">+'R1 Opex Detail'!P482*P$1</f>
        <v>0</v>
      </c>
      <c r="Q482" s="310">
        <f ca="1">+'R1 Opex Detail'!Q482*Q$1</f>
        <v>0</v>
      </c>
      <c r="R482" s="310">
        <f ca="1">+'R1 Opex Detail'!R482*R$1</f>
        <v>0</v>
      </c>
      <c r="S482" s="310">
        <f ca="1">+'R1 Opex Detail'!S482*S$1</f>
        <v>0</v>
      </c>
    </row>
    <row r="483" spans="1:19">
      <c r="A483" s="5"/>
      <c r="B483" s="249"/>
      <c r="C483" s="13" t="s">
        <v>70</v>
      </c>
      <c r="D483" s="312">
        <f>+'R1 Opex Detail'!D483</f>
        <v>0</v>
      </c>
      <c r="E483" s="310">
        <f>+'R1 Opex Detail'!E483</f>
        <v>0</v>
      </c>
      <c r="F483" s="310">
        <f>+'R1 Opex Detail'!F483</f>
        <v>0</v>
      </c>
      <c r="G483" s="310">
        <f>+'R1 Opex Detail'!G483</f>
        <v>0</v>
      </c>
      <c r="H483" s="310">
        <f>+'R1 Opex Detail'!H483</f>
        <v>0</v>
      </c>
      <c r="I483" s="310">
        <f>+'R1 Opex Detail'!I483</f>
        <v>0</v>
      </c>
      <c r="J483" s="310">
        <f>+'R1 Opex Detail'!J483</f>
        <v>0</v>
      </c>
      <c r="K483" s="310">
        <f>+'R1 Opex Detail'!K483</f>
        <v>0</v>
      </c>
      <c r="L483" s="310">
        <f ca="1">+'R1 Opex Detail'!L483</f>
        <v>0</v>
      </c>
      <c r="M483" s="835">
        <f ca="1">+'R1 Opex Detail'!M483*M$2</f>
        <v>0</v>
      </c>
      <c r="N483" s="312">
        <f ca="1">+'R1 Opex Detail'!N483*N$1</f>
        <v>0</v>
      </c>
      <c r="O483" s="310">
        <f ca="1">+'R1 Opex Detail'!O483*O$1</f>
        <v>0</v>
      </c>
      <c r="P483" s="310">
        <f ca="1">+'R1 Opex Detail'!P483*P$1</f>
        <v>0</v>
      </c>
      <c r="Q483" s="310">
        <f ca="1">+'R1 Opex Detail'!Q483*Q$1</f>
        <v>0</v>
      </c>
      <c r="R483" s="310">
        <f ca="1">+'R1 Opex Detail'!R483*R$1</f>
        <v>0</v>
      </c>
      <c r="S483" s="310">
        <f ca="1">+'R1 Opex Detail'!S483*S$1</f>
        <v>0</v>
      </c>
    </row>
    <row r="484" spans="1:19">
      <c r="A484" s="5"/>
      <c r="B484" s="249"/>
      <c r="C484" s="12" t="s">
        <v>75</v>
      </c>
      <c r="D484" s="313">
        <f t="shared" ref="D484:S484" si="58">SUBTOTAL(9,D478:D483)</f>
        <v>0</v>
      </c>
      <c r="E484" s="311">
        <f t="shared" si="58"/>
        <v>0</v>
      </c>
      <c r="F484" s="311">
        <f t="shared" si="58"/>
        <v>0</v>
      </c>
      <c r="G484" s="311">
        <f t="shared" si="58"/>
        <v>0</v>
      </c>
      <c r="H484" s="311">
        <f t="shared" si="58"/>
        <v>0</v>
      </c>
      <c r="I484" s="311">
        <f t="shared" si="58"/>
        <v>0</v>
      </c>
      <c r="J484" s="311">
        <f t="shared" si="58"/>
        <v>0</v>
      </c>
      <c r="K484" s="311">
        <f t="shared" si="58"/>
        <v>0</v>
      </c>
      <c r="L484" s="311">
        <f t="shared" ca="1" si="58"/>
        <v>0</v>
      </c>
      <c r="M484" s="513">
        <f t="shared" ca="1" si="58"/>
        <v>0</v>
      </c>
      <c r="N484" s="313">
        <f t="shared" ca="1" si="58"/>
        <v>-1.9640884615384629E-2</v>
      </c>
      <c r="O484" s="311">
        <f t="shared" ca="1" si="58"/>
        <v>-1.7493757663318427E-2</v>
      </c>
      <c r="P484" s="311">
        <f t="shared" ca="1" si="58"/>
        <v>-1.5213634597982056E-2</v>
      </c>
      <c r="Q484" s="311">
        <f t="shared" ca="1" si="58"/>
        <v>-1.3632895308823167E-2</v>
      </c>
      <c r="R484" s="311">
        <f t="shared" ca="1" si="58"/>
        <v>-1.2352375092477719E-2</v>
      </c>
      <c r="S484" s="311">
        <f t="shared" ca="1" si="58"/>
        <v>-1.1504224256051021E-2</v>
      </c>
    </row>
    <row r="485" spans="1:19">
      <c r="A485" s="5"/>
      <c r="B485" s="249"/>
      <c r="C485" s="15"/>
      <c r="D485" s="263"/>
      <c r="E485" s="263"/>
      <c r="F485" s="263"/>
      <c r="G485" s="263"/>
      <c r="H485" s="263"/>
      <c r="I485" s="263"/>
      <c r="J485" s="263"/>
      <c r="K485" s="263"/>
      <c r="L485" s="263"/>
      <c r="M485" s="836"/>
      <c r="N485" s="263"/>
      <c r="O485" s="263"/>
      <c r="P485" s="263"/>
      <c r="Q485" s="263"/>
      <c r="R485" s="263"/>
      <c r="S485" s="263"/>
    </row>
    <row r="486" spans="1:19">
      <c r="A486" s="5"/>
      <c r="B486" s="249" t="str">
        <f ca="1">+'I-4 History'!B480</f>
        <v>A-29</v>
      </c>
      <c r="C486" s="262" t="str">
        <f ca="1">+'I-4 History'!C480</f>
        <v xml:space="preserve">Risk &amp; Insurance – Shared Insurance Premiums </v>
      </c>
      <c r="D486" s="11"/>
      <c r="E486" s="11"/>
      <c r="F486" s="11"/>
      <c r="G486" s="11"/>
      <c r="H486" s="11"/>
      <c r="I486" s="11"/>
      <c r="J486" s="11"/>
      <c r="K486" s="11"/>
      <c r="L486" s="11"/>
      <c r="M486" s="507"/>
      <c r="N486" s="11"/>
      <c r="O486" s="11"/>
      <c r="P486" s="11"/>
      <c r="Q486" s="11"/>
      <c r="R486" s="11"/>
      <c r="S486" s="11"/>
    </row>
    <row r="487" spans="1:19">
      <c r="B487" s="249"/>
      <c r="C487" s="13" t="s">
        <v>68</v>
      </c>
      <c r="D487" s="312">
        <f>+'R1 Opex Detail'!D487</f>
        <v>0</v>
      </c>
      <c r="E487" s="310">
        <f>+'R1 Opex Detail'!E487</f>
        <v>0</v>
      </c>
      <c r="F487" s="310">
        <f>+'R1 Opex Detail'!F487</f>
        <v>0</v>
      </c>
      <c r="G487" s="310">
        <f>+'R1 Opex Detail'!G487</f>
        <v>0</v>
      </c>
      <c r="H487" s="310">
        <f>+'R1 Opex Detail'!H487</f>
        <v>0</v>
      </c>
      <c r="I487" s="310">
        <f>+'R1 Opex Detail'!I487</f>
        <v>0</v>
      </c>
      <c r="J487" s="310">
        <f>+'R1 Opex Detail'!J487</f>
        <v>0</v>
      </c>
      <c r="K487" s="310">
        <f>+'R1 Opex Detail'!K487</f>
        <v>0</v>
      </c>
      <c r="L487" s="310">
        <f ca="1">+'R1 Opex Detail'!L487</f>
        <v>0</v>
      </c>
      <c r="M487" s="835">
        <f ca="1">+'R1 Opex Detail'!M487*M$2</f>
        <v>0</v>
      </c>
      <c r="N487" s="312">
        <f ca="1">+'R1 Opex Detail'!N487*N$1</f>
        <v>0.14575603846153848</v>
      </c>
      <c r="O487" s="310">
        <f ca="1">+'R1 Opex Detail'!O487*O$1</f>
        <v>0.15046331605592767</v>
      </c>
      <c r="P487" s="310">
        <f ca="1">+'R1 Opex Detail'!P487*P$1</f>
        <v>0.15518704118558652</v>
      </c>
      <c r="Q487" s="310">
        <f ca="1">+'R1 Opex Detail'!Q487*Q$1</f>
        <v>0.16021083330671251</v>
      </c>
      <c r="R487" s="310">
        <f ca="1">+'R1 Opex Detail'!R487*R$1</f>
        <v>0.16551378603961198</v>
      </c>
      <c r="S487" s="310">
        <f ca="1">+'R1 Opex Detail'!S487*S$1</f>
        <v>0.17083069152159533</v>
      </c>
    </row>
    <row r="488" spans="1:19">
      <c r="B488" s="249"/>
      <c r="C488" s="13" t="s">
        <v>69</v>
      </c>
      <c r="D488" s="312">
        <f>+'R1 Opex Detail'!D488</f>
        <v>0</v>
      </c>
      <c r="E488" s="310">
        <f>+'R1 Opex Detail'!E488</f>
        <v>0</v>
      </c>
      <c r="F488" s="310">
        <f>+'R1 Opex Detail'!F488</f>
        <v>0</v>
      </c>
      <c r="G488" s="310">
        <f>+'R1 Opex Detail'!G488</f>
        <v>0</v>
      </c>
      <c r="H488" s="310">
        <f>+'R1 Opex Detail'!H488</f>
        <v>0</v>
      </c>
      <c r="I488" s="310">
        <f>+'R1 Opex Detail'!I488</f>
        <v>0</v>
      </c>
      <c r="J488" s="310">
        <f>+'R1 Opex Detail'!J488</f>
        <v>0</v>
      </c>
      <c r="K488" s="310">
        <f>+'R1 Opex Detail'!K488</f>
        <v>0</v>
      </c>
      <c r="L488" s="310">
        <f ca="1">+'R1 Opex Detail'!L488</f>
        <v>0</v>
      </c>
      <c r="M488" s="835">
        <f ca="1">+'R1 Opex Detail'!M488*M$2</f>
        <v>0</v>
      </c>
      <c r="N488" s="312">
        <f ca="1">+'R1 Opex Detail'!N488*N$1</f>
        <v>0</v>
      </c>
      <c r="O488" s="310">
        <f ca="1">+'R1 Opex Detail'!O488*O$1</f>
        <v>0</v>
      </c>
      <c r="P488" s="310">
        <f ca="1">+'R1 Opex Detail'!P488*P$1</f>
        <v>0</v>
      </c>
      <c r="Q488" s="310">
        <f ca="1">+'R1 Opex Detail'!Q488*Q$1</f>
        <v>0</v>
      </c>
      <c r="R488" s="310">
        <f ca="1">+'R1 Opex Detail'!R488*R$1</f>
        <v>0</v>
      </c>
      <c r="S488" s="310">
        <f ca="1">+'R1 Opex Detail'!S488*S$1</f>
        <v>0</v>
      </c>
    </row>
    <row r="489" spans="1:19" s="759" customFormat="1">
      <c r="B489" s="249"/>
      <c r="C489" s="13" t="s">
        <v>646</v>
      </c>
      <c r="D489" s="312">
        <f>+'R1 Opex Detail'!D489</f>
        <v>0</v>
      </c>
      <c r="E489" s="310">
        <f>+'R1 Opex Detail'!E489</f>
        <v>0</v>
      </c>
      <c r="F489" s="310">
        <f>+'R1 Opex Detail'!F489</f>
        <v>0</v>
      </c>
      <c r="G489" s="310">
        <f>+'R1 Opex Detail'!G489</f>
        <v>0</v>
      </c>
      <c r="H489" s="310">
        <f>+'R1 Opex Detail'!H489</f>
        <v>0</v>
      </c>
      <c r="I489" s="310">
        <f>+'R1 Opex Detail'!I489</f>
        <v>0</v>
      </c>
      <c r="J489" s="310">
        <f>+'R1 Opex Detail'!J489</f>
        <v>0</v>
      </c>
      <c r="K489" s="310">
        <f>+'R1 Opex Detail'!K489</f>
        <v>0</v>
      </c>
      <c r="L489" s="310">
        <f ca="1">+'R1 Opex Detail'!L489</f>
        <v>0</v>
      </c>
      <c r="M489" s="835">
        <f ca="1">+'R1 Opex Detail'!M489*M$2</f>
        <v>0</v>
      </c>
      <c r="N489" s="312">
        <f ca="1">+'R1 Opex Detail'!N489*N$1</f>
        <v>2.0674615384615389E-3</v>
      </c>
      <c r="O489" s="310">
        <f ca="1">+'R1 Opex Detail'!O489*O$1</f>
        <v>2.0998442052283369E-3</v>
      </c>
      <c r="P489" s="310">
        <f ca="1">+'R1 Opex Detail'!P489*P$1</f>
        <v>2.1308724778471028E-3</v>
      </c>
      <c r="Q489" s="310">
        <f ca="1">+'R1 Opex Detail'!Q489*Q$1</f>
        <v>2.1705257043435973E-3</v>
      </c>
      <c r="R489" s="310">
        <f ca="1">+'R1 Opex Detail'!R489*R$1</f>
        <v>2.2157636091848908E-3</v>
      </c>
      <c r="S489" s="310">
        <f ca="1">+'R1 Opex Detail'!S489*S$1</f>
        <v>2.2642796515644882E-3</v>
      </c>
    </row>
    <row r="490" spans="1:19">
      <c r="B490" s="249"/>
      <c r="C490" s="13" t="s">
        <v>647</v>
      </c>
      <c r="D490" s="312">
        <f>+'R1 Opex Detail'!D490</f>
        <v>0</v>
      </c>
      <c r="E490" s="310">
        <f>+'R1 Opex Detail'!E490</f>
        <v>0</v>
      </c>
      <c r="F490" s="310">
        <f>+'R1 Opex Detail'!F490</f>
        <v>0</v>
      </c>
      <c r="G490" s="310">
        <f>+'R1 Opex Detail'!G490</f>
        <v>0</v>
      </c>
      <c r="H490" s="310">
        <f>+'R1 Opex Detail'!H490</f>
        <v>0</v>
      </c>
      <c r="I490" s="310">
        <f>+'R1 Opex Detail'!I490</f>
        <v>0</v>
      </c>
      <c r="J490" s="310">
        <f>+'R1 Opex Detail'!J490</f>
        <v>0</v>
      </c>
      <c r="K490" s="310">
        <f>+'R1 Opex Detail'!K490</f>
        <v>0</v>
      </c>
      <c r="L490" s="310">
        <f ca="1">+'R1 Opex Detail'!L490</f>
        <v>0</v>
      </c>
      <c r="M490" s="835">
        <f ca="1">+'R1 Opex Detail'!M490*M$2</f>
        <v>0</v>
      </c>
      <c r="N490" s="312">
        <f ca="1">+'R1 Opex Detail'!N490*N$1</f>
        <v>0</v>
      </c>
      <c r="O490" s="310">
        <f ca="1">+'R1 Opex Detail'!O490*O$1</f>
        <v>0</v>
      </c>
      <c r="P490" s="310">
        <f ca="1">+'R1 Opex Detail'!P490*P$1</f>
        <v>0</v>
      </c>
      <c r="Q490" s="310">
        <f ca="1">+'R1 Opex Detail'!Q490*Q$1</f>
        <v>0</v>
      </c>
      <c r="R490" s="310">
        <f ca="1">+'R1 Opex Detail'!R490*R$1</f>
        <v>0</v>
      </c>
      <c r="S490" s="310">
        <f ca="1">+'R1 Opex Detail'!S490*S$1</f>
        <v>0</v>
      </c>
    </row>
    <row r="491" spans="1:19" s="759" customFormat="1">
      <c r="B491" s="249"/>
      <c r="C491" s="13" t="s">
        <v>575</v>
      </c>
      <c r="D491" s="312">
        <f>+'R1 Opex Detail'!D491</f>
        <v>0</v>
      </c>
      <c r="E491" s="310">
        <f>+'R1 Opex Detail'!E491</f>
        <v>0</v>
      </c>
      <c r="F491" s="310">
        <f>+'R1 Opex Detail'!F491</f>
        <v>0</v>
      </c>
      <c r="G491" s="310">
        <f>+'R1 Opex Detail'!G491</f>
        <v>0</v>
      </c>
      <c r="H491" s="310">
        <f>+'R1 Opex Detail'!H491</f>
        <v>0</v>
      </c>
      <c r="I491" s="310">
        <f>+'R1 Opex Detail'!I491</f>
        <v>0</v>
      </c>
      <c r="J491" s="310">
        <f>+'R1 Opex Detail'!J491</f>
        <v>0</v>
      </c>
      <c r="K491" s="310">
        <f>+'R1 Opex Detail'!K491</f>
        <v>0</v>
      </c>
      <c r="L491" s="310">
        <f ca="1">+'R1 Opex Detail'!L491</f>
        <v>0</v>
      </c>
      <c r="M491" s="835">
        <f ca="1">+'R1 Opex Detail'!M491*M$2</f>
        <v>0</v>
      </c>
      <c r="N491" s="312">
        <f ca="1">+'R1 Opex Detail'!N491*N$1</f>
        <v>0</v>
      </c>
      <c r="O491" s="310">
        <f ca="1">+'R1 Opex Detail'!O491*O$1</f>
        <v>0</v>
      </c>
      <c r="P491" s="310">
        <f ca="1">+'R1 Opex Detail'!P491*P$1</f>
        <v>0</v>
      </c>
      <c r="Q491" s="310">
        <f ca="1">+'R1 Opex Detail'!Q491*Q$1</f>
        <v>0</v>
      </c>
      <c r="R491" s="310">
        <f ca="1">+'R1 Opex Detail'!R491*R$1</f>
        <v>0</v>
      </c>
      <c r="S491" s="310">
        <f ca="1">+'R1 Opex Detail'!S491*S$1</f>
        <v>0</v>
      </c>
    </row>
    <row r="492" spans="1:19">
      <c r="B492" s="249"/>
      <c r="C492" s="13" t="s">
        <v>70</v>
      </c>
      <c r="D492" s="312">
        <f>+'R1 Opex Detail'!D492</f>
        <v>0</v>
      </c>
      <c r="E492" s="310">
        <f>+'R1 Opex Detail'!E492</f>
        <v>0</v>
      </c>
      <c r="F492" s="310">
        <f>+'R1 Opex Detail'!F492</f>
        <v>0</v>
      </c>
      <c r="G492" s="310">
        <f>+'R1 Opex Detail'!G492</f>
        <v>0</v>
      </c>
      <c r="H492" s="310">
        <f>+'R1 Opex Detail'!H492</f>
        <v>0</v>
      </c>
      <c r="I492" s="310">
        <f>+'R1 Opex Detail'!I492</f>
        <v>0</v>
      </c>
      <c r="J492" s="310">
        <f>+'R1 Opex Detail'!J492</f>
        <v>0</v>
      </c>
      <c r="K492" s="310">
        <f>+'R1 Opex Detail'!K492</f>
        <v>0</v>
      </c>
      <c r="L492" s="310">
        <f ca="1">+'R1 Opex Detail'!L492</f>
        <v>0</v>
      </c>
      <c r="M492" s="835">
        <f ca="1">+'R1 Opex Detail'!M492*M$2</f>
        <v>0</v>
      </c>
      <c r="N492" s="312">
        <f ca="1">+'R1 Opex Detail'!N492*N$1</f>
        <v>0.79493896153846166</v>
      </c>
      <c r="O492" s="310">
        <f ca="1">+'R1 Opex Detail'!O492*O$1</f>
        <v>0.80337323075651301</v>
      </c>
      <c r="P492" s="310">
        <f ca="1">+'R1 Opex Detail'!P492*P$1</f>
        <v>0.8111883049748384</v>
      </c>
      <c r="Q492" s="310">
        <f ca="1">+'R1 Opex Detail'!Q492*Q$1</f>
        <v>0.81891341905927606</v>
      </c>
      <c r="R492" s="310">
        <f ca="1">+'R1 Opex Detail'!R492*R$1</f>
        <v>0.82729454739437869</v>
      </c>
      <c r="S492" s="310">
        <f ca="1">+'R1 Opex Detail'!S492*S$1</f>
        <v>0.83497172367396555</v>
      </c>
    </row>
    <row r="493" spans="1:19">
      <c r="B493" s="249"/>
      <c r="C493" s="12" t="s">
        <v>75</v>
      </c>
      <c r="D493" s="313">
        <f t="shared" ref="D493:S493" si="59">SUBTOTAL(9,D487:D492)</f>
        <v>0</v>
      </c>
      <c r="E493" s="311">
        <f t="shared" si="59"/>
        <v>0</v>
      </c>
      <c r="F493" s="311">
        <f t="shared" si="59"/>
        <v>0</v>
      </c>
      <c r="G493" s="311">
        <f t="shared" si="59"/>
        <v>0</v>
      </c>
      <c r="H493" s="311">
        <f t="shared" si="59"/>
        <v>0</v>
      </c>
      <c r="I493" s="311">
        <f t="shared" si="59"/>
        <v>0</v>
      </c>
      <c r="J493" s="311">
        <f t="shared" si="59"/>
        <v>0</v>
      </c>
      <c r="K493" s="311">
        <f t="shared" si="59"/>
        <v>0</v>
      </c>
      <c r="L493" s="311">
        <f t="shared" ca="1" si="59"/>
        <v>0</v>
      </c>
      <c r="M493" s="513">
        <f t="shared" ca="1" si="59"/>
        <v>0</v>
      </c>
      <c r="N493" s="313">
        <f t="shared" ca="1" si="59"/>
        <v>0.94276246153846166</v>
      </c>
      <c r="O493" s="311">
        <f t="shared" ca="1" si="59"/>
        <v>0.95593639101766903</v>
      </c>
      <c r="P493" s="311">
        <f t="shared" ca="1" si="59"/>
        <v>0.96850621863827202</v>
      </c>
      <c r="Q493" s="311">
        <f t="shared" ca="1" si="59"/>
        <v>0.98129477807033216</v>
      </c>
      <c r="R493" s="311">
        <f t="shared" ca="1" si="59"/>
        <v>0.99502409704317551</v>
      </c>
      <c r="S493" s="311">
        <f t="shared" ca="1" si="59"/>
        <v>1.0080666948471253</v>
      </c>
    </row>
    <row r="494" spans="1:19">
      <c r="B494" s="249"/>
      <c r="C494" s="12"/>
      <c r="D494" s="263"/>
      <c r="E494" s="263"/>
      <c r="F494" s="263"/>
      <c r="G494" s="263"/>
      <c r="H494" s="263"/>
      <c r="I494" s="263"/>
      <c r="J494" s="263"/>
      <c r="K494" s="263"/>
      <c r="L494" s="263"/>
      <c r="M494" s="836"/>
      <c r="N494" s="263"/>
      <c r="O494" s="263"/>
      <c r="P494" s="263"/>
      <c r="Q494" s="263"/>
      <c r="R494" s="263"/>
      <c r="S494" s="263"/>
    </row>
    <row r="495" spans="1:19">
      <c r="A495" s="5"/>
      <c r="B495" s="249" t="str">
        <f ca="1">+'I-4 History'!B489</f>
        <v>A-30</v>
      </c>
      <c r="C495" s="14" t="str">
        <f ca="1">+'I-4 History'!C489</f>
        <v>Risk &amp; Insurance – Support Costs</v>
      </c>
      <c r="D495" s="11"/>
      <c r="E495" s="11"/>
      <c r="F495" s="11"/>
      <c r="G495" s="11"/>
      <c r="H495" s="11"/>
      <c r="I495" s="11"/>
      <c r="J495" s="11"/>
      <c r="K495" s="11"/>
      <c r="L495" s="11"/>
      <c r="M495" s="507"/>
      <c r="N495" s="11"/>
      <c r="O495" s="11"/>
      <c r="P495" s="11"/>
      <c r="Q495" s="11"/>
      <c r="R495" s="11"/>
      <c r="S495" s="11"/>
    </row>
    <row r="496" spans="1:19">
      <c r="A496" s="5"/>
      <c r="B496" s="249"/>
      <c r="C496" s="13" t="s">
        <v>68</v>
      </c>
      <c r="D496" s="312">
        <f>+'R1 Opex Detail'!D496</f>
        <v>0</v>
      </c>
      <c r="E496" s="310">
        <f>+'R1 Opex Detail'!E496</f>
        <v>0</v>
      </c>
      <c r="F496" s="310">
        <f>+'R1 Opex Detail'!F496</f>
        <v>0</v>
      </c>
      <c r="G496" s="310">
        <f>+'R1 Opex Detail'!G496</f>
        <v>0</v>
      </c>
      <c r="H496" s="310">
        <f>+'R1 Opex Detail'!H496</f>
        <v>0</v>
      </c>
      <c r="I496" s="310">
        <f>+'R1 Opex Detail'!I496</f>
        <v>0</v>
      </c>
      <c r="J496" s="310">
        <f>+'R1 Opex Detail'!J496</f>
        <v>0</v>
      </c>
      <c r="K496" s="310">
        <f>+'R1 Opex Detail'!K496</f>
        <v>0</v>
      </c>
      <c r="L496" s="310">
        <f ca="1">+'R1 Opex Detail'!L496</f>
        <v>0</v>
      </c>
      <c r="M496" s="835">
        <f ca="1">+'R1 Opex Detail'!M496*M$2</f>
        <v>0</v>
      </c>
      <c r="N496" s="312">
        <f ca="1">+'R1 Opex Detail'!N496*N$1</f>
        <v>0.47861734615384621</v>
      </c>
      <c r="O496" s="310">
        <f ca="1">+'R1 Opex Detail'!O496*O$1</f>
        <v>0.49407457683613132</v>
      </c>
      <c r="P496" s="310">
        <f ca="1">+'R1 Opex Detail'!P496*P$1</f>
        <v>0.50958581609167775</v>
      </c>
      <c r="Q496" s="310">
        <f ca="1">+'R1 Opex Detail'!Q496*Q$1</f>
        <v>0.52608238170927579</v>
      </c>
      <c r="R496" s="310">
        <f ca="1">+'R1 Opex Detail'!R496*R$1</f>
        <v>0.54349562366198823</v>
      </c>
      <c r="S496" s="310">
        <f ca="1">+'R1 Opex Detail'!S496*S$1</f>
        <v>0.56095468208864285</v>
      </c>
    </row>
    <row r="497" spans="1:19">
      <c r="A497" s="5"/>
      <c r="B497" s="249"/>
      <c r="C497" s="13" t="s">
        <v>69</v>
      </c>
      <c r="D497" s="312">
        <f>+'R1 Opex Detail'!D497</f>
        <v>0</v>
      </c>
      <c r="E497" s="310">
        <f>+'R1 Opex Detail'!E497</f>
        <v>0</v>
      </c>
      <c r="F497" s="310">
        <f>+'R1 Opex Detail'!F497</f>
        <v>0</v>
      </c>
      <c r="G497" s="310">
        <f>+'R1 Opex Detail'!G497</f>
        <v>0</v>
      </c>
      <c r="H497" s="310">
        <f>+'R1 Opex Detail'!H497</f>
        <v>0</v>
      </c>
      <c r="I497" s="310">
        <f>+'R1 Opex Detail'!I497</f>
        <v>0</v>
      </c>
      <c r="J497" s="310">
        <f>+'R1 Opex Detail'!J497</f>
        <v>0</v>
      </c>
      <c r="K497" s="310">
        <f>+'R1 Opex Detail'!K497</f>
        <v>0</v>
      </c>
      <c r="L497" s="310">
        <f ca="1">+'R1 Opex Detail'!L497</f>
        <v>0</v>
      </c>
      <c r="M497" s="835">
        <f ca="1">+'R1 Opex Detail'!M497*M$2</f>
        <v>0</v>
      </c>
      <c r="N497" s="312">
        <f ca="1">+'R1 Opex Detail'!N497*N$1</f>
        <v>0</v>
      </c>
      <c r="O497" s="310">
        <f ca="1">+'R1 Opex Detail'!O497*O$1</f>
        <v>0</v>
      </c>
      <c r="P497" s="310">
        <f ca="1">+'R1 Opex Detail'!P497*P$1</f>
        <v>0</v>
      </c>
      <c r="Q497" s="310">
        <f ca="1">+'R1 Opex Detail'!Q497*Q$1</f>
        <v>0</v>
      </c>
      <c r="R497" s="310">
        <f ca="1">+'R1 Opex Detail'!R497*R$1</f>
        <v>0</v>
      </c>
      <c r="S497" s="310">
        <f ca="1">+'R1 Opex Detail'!S497*S$1</f>
        <v>0</v>
      </c>
    </row>
    <row r="498" spans="1:19" s="759" customFormat="1">
      <c r="A498" s="5"/>
      <c r="B498" s="249"/>
      <c r="C498" s="13" t="s">
        <v>646</v>
      </c>
      <c r="D498" s="312">
        <f>+'R1 Opex Detail'!D498</f>
        <v>0</v>
      </c>
      <c r="E498" s="310">
        <f>+'R1 Opex Detail'!E498</f>
        <v>0</v>
      </c>
      <c r="F498" s="310">
        <f>+'R1 Opex Detail'!F498</f>
        <v>0</v>
      </c>
      <c r="G498" s="310">
        <f>+'R1 Opex Detail'!G498</f>
        <v>0</v>
      </c>
      <c r="H498" s="310">
        <f>+'R1 Opex Detail'!H498</f>
        <v>0</v>
      </c>
      <c r="I498" s="310">
        <f>+'R1 Opex Detail'!I498</f>
        <v>0</v>
      </c>
      <c r="J498" s="310">
        <f>+'R1 Opex Detail'!J498</f>
        <v>0</v>
      </c>
      <c r="K498" s="310">
        <f>+'R1 Opex Detail'!K498</f>
        <v>0</v>
      </c>
      <c r="L498" s="310">
        <f ca="1">+'R1 Opex Detail'!L498</f>
        <v>0</v>
      </c>
      <c r="M498" s="835">
        <f ca="1">+'R1 Opex Detail'!M498*M$2</f>
        <v>0</v>
      </c>
      <c r="N498" s="312">
        <f ca="1">+'R1 Opex Detail'!N498*N$1</f>
        <v>8.2698461538461554E-3</v>
      </c>
      <c r="O498" s="310">
        <f ca="1">+'R1 Opex Detail'!O498*O$1</f>
        <v>8.3993768209133478E-3</v>
      </c>
      <c r="P498" s="310">
        <f ca="1">+'R1 Opex Detail'!P498*P$1</f>
        <v>8.5234899113884113E-3</v>
      </c>
      <c r="Q498" s="310">
        <f ca="1">+'R1 Opex Detail'!Q498*Q$1</f>
        <v>8.6821028173743892E-3</v>
      </c>
      <c r="R498" s="310">
        <f ca="1">+'R1 Opex Detail'!R498*R$1</f>
        <v>8.8630544367395633E-3</v>
      </c>
      <c r="S498" s="310">
        <f ca="1">+'R1 Opex Detail'!S498*S$1</f>
        <v>9.057118606257953E-3</v>
      </c>
    </row>
    <row r="499" spans="1:19">
      <c r="A499" s="5"/>
      <c r="B499" s="249"/>
      <c r="C499" s="13" t="s">
        <v>647</v>
      </c>
      <c r="D499" s="312">
        <f>+'R1 Opex Detail'!D499</f>
        <v>0</v>
      </c>
      <c r="E499" s="310">
        <f>+'R1 Opex Detail'!E499</f>
        <v>0</v>
      </c>
      <c r="F499" s="310">
        <f>+'R1 Opex Detail'!F499</f>
        <v>0</v>
      </c>
      <c r="G499" s="310">
        <f>+'R1 Opex Detail'!G499</f>
        <v>0</v>
      </c>
      <c r="H499" s="310">
        <f>+'R1 Opex Detail'!H499</f>
        <v>0</v>
      </c>
      <c r="I499" s="310">
        <f>+'R1 Opex Detail'!I499</f>
        <v>0</v>
      </c>
      <c r="J499" s="310">
        <f>+'R1 Opex Detail'!J499</f>
        <v>0</v>
      </c>
      <c r="K499" s="310">
        <f>+'R1 Opex Detail'!K499</f>
        <v>0</v>
      </c>
      <c r="L499" s="310">
        <f ca="1">+'R1 Opex Detail'!L499</f>
        <v>0</v>
      </c>
      <c r="M499" s="835">
        <f ca="1">+'R1 Opex Detail'!M499*M$2</f>
        <v>0</v>
      </c>
      <c r="N499" s="312">
        <f ca="1">+'R1 Opex Detail'!N499*N$1</f>
        <v>2.6308448076923083</v>
      </c>
      <c r="O499" s="310">
        <f ca="1">+'R1 Opex Detail'!O499*O$1</f>
        <v>2.6720517511530595</v>
      </c>
      <c r="P499" s="310">
        <f ca="1">+'R1 Opex Detail'!P499*P$1</f>
        <v>2.7115352280604381</v>
      </c>
      <c r="Q499" s="310">
        <f ca="1">+'R1 Opex Detail'!Q499*Q$1</f>
        <v>2.7619939587772273</v>
      </c>
      <c r="R499" s="310">
        <f ca="1">+'R1 Opex Detail'!R499*R$1</f>
        <v>2.8195591926877737</v>
      </c>
      <c r="S499" s="310">
        <f ca="1">+'R1 Opex Detail'!S499*S$1</f>
        <v>2.8812958566158118</v>
      </c>
    </row>
    <row r="500" spans="1:19" s="759" customFormat="1">
      <c r="A500" s="5"/>
      <c r="B500" s="249"/>
      <c r="C500" s="13" t="s">
        <v>575</v>
      </c>
      <c r="D500" s="312">
        <f>+'R1 Opex Detail'!D500</f>
        <v>0</v>
      </c>
      <c r="E500" s="310">
        <f>+'R1 Opex Detail'!E500</f>
        <v>0</v>
      </c>
      <c r="F500" s="310">
        <f>+'R1 Opex Detail'!F500</f>
        <v>0</v>
      </c>
      <c r="G500" s="310">
        <f>+'R1 Opex Detail'!G500</f>
        <v>0</v>
      </c>
      <c r="H500" s="310">
        <f>+'R1 Opex Detail'!H500</f>
        <v>0</v>
      </c>
      <c r="I500" s="310">
        <f>+'R1 Opex Detail'!I500</f>
        <v>0</v>
      </c>
      <c r="J500" s="310">
        <f>+'R1 Opex Detail'!J500</f>
        <v>0</v>
      </c>
      <c r="K500" s="310">
        <f>+'R1 Opex Detail'!K500</f>
        <v>0</v>
      </c>
      <c r="L500" s="310">
        <f ca="1">+'R1 Opex Detail'!L500</f>
        <v>0</v>
      </c>
      <c r="M500" s="835">
        <f ca="1">+'R1 Opex Detail'!M500*M$2</f>
        <v>0</v>
      </c>
      <c r="N500" s="312">
        <f ca="1">+'R1 Opex Detail'!N500*N$1</f>
        <v>0</v>
      </c>
      <c r="O500" s="310">
        <f ca="1">+'R1 Opex Detail'!O500*O$1</f>
        <v>0</v>
      </c>
      <c r="P500" s="310">
        <f ca="1">+'R1 Opex Detail'!P500*P$1</f>
        <v>0</v>
      </c>
      <c r="Q500" s="310">
        <f ca="1">+'R1 Opex Detail'!Q500*Q$1</f>
        <v>0</v>
      </c>
      <c r="R500" s="310">
        <f ca="1">+'R1 Opex Detail'!R500*R$1</f>
        <v>0</v>
      </c>
      <c r="S500" s="310">
        <f ca="1">+'R1 Opex Detail'!S500*S$1</f>
        <v>0</v>
      </c>
    </row>
    <row r="501" spans="1:19">
      <c r="A501" s="5"/>
      <c r="B501" s="249"/>
      <c r="C501" s="13" t="s">
        <v>70</v>
      </c>
      <c r="D501" s="312">
        <f>+'R1 Opex Detail'!D501</f>
        <v>0</v>
      </c>
      <c r="E501" s="310">
        <f>+'R1 Opex Detail'!E501</f>
        <v>0</v>
      </c>
      <c r="F501" s="310">
        <f>+'R1 Opex Detail'!F501</f>
        <v>0</v>
      </c>
      <c r="G501" s="310">
        <f>+'R1 Opex Detail'!G501</f>
        <v>0</v>
      </c>
      <c r="H501" s="310">
        <f>+'R1 Opex Detail'!H501</f>
        <v>0</v>
      </c>
      <c r="I501" s="310">
        <f>+'R1 Opex Detail'!I501</f>
        <v>0</v>
      </c>
      <c r="J501" s="310">
        <f>+'R1 Opex Detail'!J501</f>
        <v>0</v>
      </c>
      <c r="K501" s="310">
        <f>+'R1 Opex Detail'!K501</f>
        <v>0</v>
      </c>
      <c r="L501" s="310">
        <f ca="1">+'R1 Opex Detail'!L501</f>
        <v>0</v>
      </c>
      <c r="M501" s="835">
        <f ca="1">+'R1 Opex Detail'!M501*M$2</f>
        <v>0</v>
      </c>
      <c r="N501" s="312">
        <f ca="1">+'R1 Opex Detail'!N501*N$1</f>
        <v>0</v>
      </c>
      <c r="O501" s="310">
        <f ca="1">+'R1 Opex Detail'!O501*O$1</f>
        <v>0</v>
      </c>
      <c r="P501" s="310">
        <f ca="1">+'R1 Opex Detail'!P501*P$1</f>
        <v>0</v>
      </c>
      <c r="Q501" s="310">
        <f ca="1">+'R1 Opex Detail'!Q501*Q$1</f>
        <v>0</v>
      </c>
      <c r="R501" s="310">
        <f ca="1">+'R1 Opex Detail'!R501*R$1</f>
        <v>0</v>
      </c>
      <c r="S501" s="310">
        <f ca="1">+'R1 Opex Detail'!S501*S$1</f>
        <v>0</v>
      </c>
    </row>
    <row r="502" spans="1:19">
      <c r="A502" s="5"/>
      <c r="B502" s="249"/>
      <c r="C502" s="12" t="s">
        <v>75</v>
      </c>
      <c r="D502" s="313">
        <f t="shared" ref="D502:S502" si="60">SUBTOTAL(9,D496:D501)</f>
        <v>0</v>
      </c>
      <c r="E502" s="311">
        <f t="shared" si="60"/>
        <v>0</v>
      </c>
      <c r="F502" s="311">
        <f t="shared" si="60"/>
        <v>0</v>
      </c>
      <c r="G502" s="311">
        <f t="shared" si="60"/>
        <v>0</v>
      </c>
      <c r="H502" s="311">
        <f t="shared" si="60"/>
        <v>0</v>
      </c>
      <c r="I502" s="311">
        <f t="shared" si="60"/>
        <v>0</v>
      </c>
      <c r="J502" s="311">
        <f t="shared" si="60"/>
        <v>0</v>
      </c>
      <c r="K502" s="311">
        <f t="shared" si="60"/>
        <v>0</v>
      </c>
      <c r="L502" s="311">
        <f t="shared" ca="1" si="60"/>
        <v>0</v>
      </c>
      <c r="M502" s="513">
        <f t="shared" ca="1" si="60"/>
        <v>0</v>
      </c>
      <c r="N502" s="313">
        <f t="shared" ca="1" si="60"/>
        <v>3.1177320000000006</v>
      </c>
      <c r="O502" s="311">
        <f t="shared" ca="1" si="60"/>
        <v>3.1745257048101041</v>
      </c>
      <c r="P502" s="311">
        <f t="shared" ca="1" si="60"/>
        <v>3.229644534063504</v>
      </c>
      <c r="Q502" s="311">
        <f t="shared" ca="1" si="60"/>
        <v>3.2967584433038777</v>
      </c>
      <c r="R502" s="311">
        <f t="shared" ca="1" si="60"/>
        <v>3.3719178707865014</v>
      </c>
      <c r="S502" s="311">
        <f t="shared" ca="1" si="60"/>
        <v>3.4513076573107124</v>
      </c>
    </row>
    <row r="503" spans="1:19">
      <c r="A503" s="5"/>
      <c r="B503" s="249"/>
      <c r="C503" s="12"/>
      <c r="D503" s="263"/>
      <c r="E503" s="263"/>
      <c r="F503" s="263"/>
      <c r="G503" s="263"/>
      <c r="H503" s="263"/>
      <c r="I503" s="263"/>
      <c r="J503" s="263"/>
      <c r="K503" s="263"/>
      <c r="L503" s="263"/>
      <c r="M503" s="836"/>
      <c r="N503" s="263"/>
      <c r="O503" s="263"/>
      <c r="P503" s="263"/>
      <c r="Q503" s="263"/>
      <c r="R503" s="263"/>
      <c r="S503" s="263"/>
    </row>
    <row r="504" spans="1:19">
      <c r="A504" s="5"/>
      <c r="B504" s="249" t="str">
        <f ca="1">+'I-4 History'!B498</f>
        <v>A-31</v>
      </c>
      <c r="C504" s="14" t="str">
        <f ca="1">+'I-4 History'!C498</f>
        <v>Legal Services</v>
      </c>
      <c r="D504" s="11"/>
      <c r="E504" s="11"/>
      <c r="F504" s="11"/>
      <c r="G504" s="11"/>
      <c r="H504" s="11"/>
      <c r="I504" s="11"/>
      <c r="J504" s="11"/>
      <c r="K504" s="11"/>
      <c r="L504" s="11"/>
      <c r="M504" s="507"/>
      <c r="N504" s="11"/>
      <c r="O504" s="11"/>
      <c r="P504" s="11"/>
      <c r="Q504" s="11"/>
      <c r="R504" s="11"/>
      <c r="S504" s="11"/>
    </row>
    <row r="505" spans="1:19">
      <c r="B505" s="249"/>
      <c r="C505" s="13" t="s">
        <v>68</v>
      </c>
      <c r="D505" s="312">
        <f>+'R1 Opex Detail'!D505</f>
        <v>0</v>
      </c>
      <c r="E505" s="310">
        <f>+'R1 Opex Detail'!E505</f>
        <v>0</v>
      </c>
      <c r="F505" s="310">
        <f>+'R1 Opex Detail'!F505</f>
        <v>0</v>
      </c>
      <c r="G505" s="310">
        <f>+'R1 Opex Detail'!G505</f>
        <v>0</v>
      </c>
      <c r="H505" s="310">
        <f>+'R1 Opex Detail'!H505</f>
        <v>0</v>
      </c>
      <c r="I505" s="310">
        <f>+'R1 Opex Detail'!I505</f>
        <v>0</v>
      </c>
      <c r="J505" s="310">
        <f>+'R1 Opex Detail'!J505</f>
        <v>0</v>
      </c>
      <c r="K505" s="310">
        <f>+'R1 Opex Detail'!K505</f>
        <v>0</v>
      </c>
      <c r="L505" s="310">
        <f ca="1">+'R1 Opex Detail'!L505</f>
        <v>0</v>
      </c>
      <c r="M505" s="835">
        <f ca="1">+'R1 Opex Detail'!M505*M$2</f>
        <v>0</v>
      </c>
      <c r="N505" s="312">
        <f ca="1">+'R1 Opex Detail'!N505*N$1</f>
        <v>0.69673453846153854</v>
      </c>
      <c r="O505" s="310">
        <f ca="1">+'R1 Opex Detail'!O505*O$1</f>
        <v>0.71923599306166852</v>
      </c>
      <c r="P505" s="310">
        <f ca="1">+'R1 Opex Detail'!P505*P$1</f>
        <v>0.74181606921337095</v>
      </c>
      <c r="Q505" s="310">
        <f ca="1">+'R1 Opex Detail'!Q505*Q$1</f>
        <v>0.76583050814698039</v>
      </c>
      <c r="R505" s="310">
        <f ca="1">+'R1 Opex Detail'!R505*R$1</f>
        <v>0.79117937440211683</v>
      </c>
      <c r="S505" s="310">
        <f ca="1">+'R1 Opex Detail'!S505*S$1</f>
        <v>0.81659493677698758</v>
      </c>
    </row>
    <row r="506" spans="1:19">
      <c r="B506" s="249"/>
      <c r="C506" s="13" t="s">
        <v>69</v>
      </c>
      <c r="D506" s="312">
        <f>+'R1 Opex Detail'!D506</f>
        <v>0</v>
      </c>
      <c r="E506" s="310">
        <f>+'R1 Opex Detail'!E506</f>
        <v>0</v>
      </c>
      <c r="F506" s="310">
        <f>+'R1 Opex Detail'!F506</f>
        <v>0</v>
      </c>
      <c r="G506" s="310">
        <f>+'R1 Opex Detail'!G506</f>
        <v>0</v>
      </c>
      <c r="H506" s="310">
        <f>+'R1 Opex Detail'!H506</f>
        <v>0</v>
      </c>
      <c r="I506" s="310">
        <f>+'R1 Opex Detail'!I506</f>
        <v>0</v>
      </c>
      <c r="J506" s="310">
        <f>+'R1 Opex Detail'!J506</f>
        <v>0</v>
      </c>
      <c r="K506" s="310">
        <f>+'R1 Opex Detail'!K506</f>
        <v>0</v>
      </c>
      <c r="L506" s="310">
        <f ca="1">+'R1 Opex Detail'!L506</f>
        <v>0</v>
      </c>
      <c r="M506" s="835">
        <f ca="1">+'R1 Opex Detail'!M506*M$2</f>
        <v>0</v>
      </c>
      <c r="N506" s="312">
        <f ca="1">+'R1 Opex Detail'!N506*N$1</f>
        <v>1.0337307692307694E-2</v>
      </c>
      <c r="O506" s="310">
        <f ca="1">+'R1 Opex Detail'!O506*O$1</f>
        <v>1.0446986095663368E-2</v>
      </c>
      <c r="P506" s="310">
        <f ca="1">+'R1 Opex Detail'!P506*P$1</f>
        <v>1.0548612548437428E-2</v>
      </c>
      <c r="Q506" s="310">
        <f ca="1">+'R1 Opex Detail'!Q506*Q$1</f>
        <v>1.0649069168521144E-2</v>
      </c>
      <c r="R506" s="310">
        <f ca="1">+'R1 Opex Detail'!R506*R$1</f>
        <v>1.0758056533086849E-2</v>
      </c>
      <c r="S506" s="310">
        <f ca="1">+'R1 Opex Detail'!S506*S$1</f>
        <v>1.0857889774693961E-2</v>
      </c>
    </row>
    <row r="507" spans="1:19" s="759" customFormat="1">
      <c r="B507" s="249"/>
      <c r="C507" s="13" t="s">
        <v>646</v>
      </c>
      <c r="D507" s="312">
        <f>+'R1 Opex Detail'!D507</f>
        <v>0</v>
      </c>
      <c r="E507" s="310">
        <f>+'R1 Opex Detail'!E507</f>
        <v>0</v>
      </c>
      <c r="F507" s="310">
        <f>+'R1 Opex Detail'!F507</f>
        <v>0</v>
      </c>
      <c r="G507" s="310">
        <f>+'R1 Opex Detail'!G507</f>
        <v>0</v>
      </c>
      <c r="H507" s="310">
        <f>+'R1 Opex Detail'!H507</f>
        <v>0</v>
      </c>
      <c r="I507" s="310">
        <f>+'R1 Opex Detail'!I507</f>
        <v>0</v>
      </c>
      <c r="J507" s="310">
        <f>+'R1 Opex Detail'!J507</f>
        <v>0</v>
      </c>
      <c r="K507" s="310">
        <f>+'R1 Opex Detail'!K507</f>
        <v>0</v>
      </c>
      <c r="L507" s="310">
        <f ca="1">+'R1 Opex Detail'!L507</f>
        <v>0</v>
      </c>
      <c r="M507" s="835">
        <f ca="1">+'R1 Opex Detail'!M507*M$2</f>
        <v>0</v>
      </c>
      <c r="N507" s="312">
        <f ca="1">+'R1 Opex Detail'!N507*N$1</f>
        <v>0</v>
      </c>
      <c r="O507" s="310">
        <f ca="1">+'R1 Opex Detail'!O507*O$1</f>
        <v>0</v>
      </c>
      <c r="P507" s="310">
        <f ca="1">+'R1 Opex Detail'!P507*P$1</f>
        <v>0</v>
      </c>
      <c r="Q507" s="310">
        <f ca="1">+'R1 Opex Detail'!Q507*Q$1</f>
        <v>0</v>
      </c>
      <c r="R507" s="310">
        <f ca="1">+'R1 Opex Detail'!R507*R$1</f>
        <v>0</v>
      </c>
      <c r="S507" s="310">
        <f ca="1">+'R1 Opex Detail'!S507*S$1</f>
        <v>0</v>
      </c>
    </row>
    <row r="508" spans="1:19">
      <c r="B508" s="249"/>
      <c r="C508" s="13" t="s">
        <v>647</v>
      </c>
      <c r="D508" s="312">
        <f>+'R1 Opex Detail'!D508</f>
        <v>0</v>
      </c>
      <c r="E508" s="310">
        <f>+'R1 Opex Detail'!E508</f>
        <v>0</v>
      </c>
      <c r="F508" s="310">
        <f>+'R1 Opex Detail'!F508</f>
        <v>0</v>
      </c>
      <c r="G508" s="310">
        <f>+'R1 Opex Detail'!G508</f>
        <v>0</v>
      </c>
      <c r="H508" s="310">
        <f>+'R1 Opex Detail'!H508</f>
        <v>0</v>
      </c>
      <c r="I508" s="310">
        <f>+'R1 Opex Detail'!I508</f>
        <v>0</v>
      </c>
      <c r="J508" s="310">
        <f>+'R1 Opex Detail'!J508</f>
        <v>0</v>
      </c>
      <c r="K508" s="310">
        <f>+'R1 Opex Detail'!K508</f>
        <v>0</v>
      </c>
      <c r="L508" s="310">
        <f ca="1">+'R1 Opex Detail'!L508</f>
        <v>0</v>
      </c>
      <c r="M508" s="835">
        <f ca="1">+'R1 Opex Detail'!M508*M$2</f>
        <v>0</v>
      </c>
      <c r="N508" s="312">
        <f ca="1">+'R1 Opex Detail'!N508*N$1</f>
        <v>0.26153388461538463</v>
      </c>
      <c r="O508" s="310">
        <f ca="1">+'R1 Opex Detail'!O508*O$1</f>
        <v>0.2656302919613846</v>
      </c>
      <c r="P508" s="310">
        <f ca="1">+'R1 Opex Detail'!P508*P$1</f>
        <v>0.26955536844765843</v>
      </c>
      <c r="Q508" s="310">
        <f ca="1">+'R1 Opex Detail'!Q508*Q$1</f>
        <v>0.27457150159946503</v>
      </c>
      <c r="R508" s="310">
        <f ca="1">+'R1 Opex Detail'!R508*R$1</f>
        <v>0.28029409656188869</v>
      </c>
      <c r="S508" s="310">
        <f ca="1">+'R1 Opex Detail'!S508*S$1</f>
        <v>0.28643137592290774</v>
      </c>
    </row>
    <row r="509" spans="1:19" s="759" customFormat="1">
      <c r="B509" s="249"/>
      <c r="C509" s="13" t="s">
        <v>575</v>
      </c>
      <c r="D509" s="312">
        <f>+'R1 Opex Detail'!D509</f>
        <v>0</v>
      </c>
      <c r="E509" s="310">
        <f>+'R1 Opex Detail'!E509</f>
        <v>0</v>
      </c>
      <c r="F509" s="310">
        <f>+'R1 Opex Detail'!F509</f>
        <v>0</v>
      </c>
      <c r="G509" s="310">
        <f>+'R1 Opex Detail'!G509</f>
        <v>0</v>
      </c>
      <c r="H509" s="310">
        <f>+'R1 Opex Detail'!H509</f>
        <v>0</v>
      </c>
      <c r="I509" s="310">
        <f>+'R1 Opex Detail'!I509</f>
        <v>0</v>
      </c>
      <c r="J509" s="310">
        <f>+'R1 Opex Detail'!J509</f>
        <v>0</v>
      </c>
      <c r="K509" s="310">
        <f>+'R1 Opex Detail'!K509</f>
        <v>0</v>
      </c>
      <c r="L509" s="310">
        <f ca="1">+'R1 Opex Detail'!L509</f>
        <v>0</v>
      </c>
      <c r="M509" s="835">
        <f ca="1">+'R1 Opex Detail'!M509*M$2</f>
        <v>0</v>
      </c>
      <c r="N509" s="312">
        <f ca="1">+'R1 Opex Detail'!N509*N$1</f>
        <v>0</v>
      </c>
      <c r="O509" s="310">
        <f ca="1">+'R1 Opex Detail'!O509*O$1</f>
        <v>0</v>
      </c>
      <c r="P509" s="310">
        <f ca="1">+'R1 Opex Detail'!P509*P$1</f>
        <v>0</v>
      </c>
      <c r="Q509" s="310">
        <f ca="1">+'R1 Opex Detail'!Q509*Q$1</f>
        <v>0</v>
      </c>
      <c r="R509" s="310">
        <f ca="1">+'R1 Opex Detail'!R509*R$1</f>
        <v>0</v>
      </c>
      <c r="S509" s="310">
        <f ca="1">+'R1 Opex Detail'!S509*S$1</f>
        <v>0</v>
      </c>
    </row>
    <row r="510" spans="1:19">
      <c r="B510" s="249"/>
      <c r="C510" s="13" t="s">
        <v>70</v>
      </c>
      <c r="D510" s="312">
        <f>+'R1 Opex Detail'!D510</f>
        <v>0</v>
      </c>
      <c r="E510" s="310">
        <f>+'R1 Opex Detail'!E510</f>
        <v>0</v>
      </c>
      <c r="F510" s="310">
        <f>+'R1 Opex Detail'!F510</f>
        <v>0</v>
      </c>
      <c r="G510" s="310">
        <f>+'R1 Opex Detail'!G510</f>
        <v>0</v>
      </c>
      <c r="H510" s="310">
        <f>+'R1 Opex Detail'!H510</f>
        <v>0</v>
      </c>
      <c r="I510" s="310">
        <f>+'R1 Opex Detail'!I510</f>
        <v>0</v>
      </c>
      <c r="J510" s="310">
        <f>+'R1 Opex Detail'!J510</f>
        <v>0</v>
      </c>
      <c r="K510" s="310">
        <f>+'R1 Opex Detail'!K510</f>
        <v>0</v>
      </c>
      <c r="L510" s="310">
        <f ca="1">+'R1 Opex Detail'!L510</f>
        <v>0</v>
      </c>
      <c r="M510" s="835">
        <f ca="1">+'R1 Opex Detail'!M510*M$2</f>
        <v>0</v>
      </c>
      <c r="N510" s="312">
        <f ca="1">+'R1 Opex Detail'!N510*N$1</f>
        <v>0</v>
      </c>
      <c r="O510" s="310">
        <f ca="1">+'R1 Opex Detail'!O510*O$1</f>
        <v>0</v>
      </c>
      <c r="P510" s="310">
        <f ca="1">+'R1 Opex Detail'!P510*P$1</f>
        <v>0</v>
      </c>
      <c r="Q510" s="310">
        <f ca="1">+'R1 Opex Detail'!Q510*Q$1</f>
        <v>0</v>
      </c>
      <c r="R510" s="310">
        <f ca="1">+'R1 Opex Detail'!R510*R$1</f>
        <v>0</v>
      </c>
      <c r="S510" s="310">
        <f ca="1">+'R1 Opex Detail'!S510*S$1</f>
        <v>0</v>
      </c>
    </row>
    <row r="511" spans="1:19">
      <c r="B511" s="249"/>
      <c r="C511" s="12" t="s">
        <v>75</v>
      </c>
      <c r="D511" s="313">
        <f t="shared" ref="D511:S511" si="61">SUBTOTAL(9,D505:D510)</f>
        <v>0</v>
      </c>
      <c r="E511" s="311">
        <f t="shared" si="61"/>
        <v>0</v>
      </c>
      <c r="F511" s="311">
        <f t="shared" si="61"/>
        <v>0</v>
      </c>
      <c r="G511" s="311">
        <f t="shared" si="61"/>
        <v>0</v>
      </c>
      <c r="H511" s="311">
        <f t="shared" si="61"/>
        <v>0</v>
      </c>
      <c r="I511" s="311">
        <f t="shared" si="61"/>
        <v>0</v>
      </c>
      <c r="J511" s="311">
        <f t="shared" si="61"/>
        <v>0</v>
      </c>
      <c r="K511" s="311">
        <f t="shared" si="61"/>
        <v>0</v>
      </c>
      <c r="L511" s="311">
        <f t="shared" ca="1" si="61"/>
        <v>0</v>
      </c>
      <c r="M511" s="513">
        <f t="shared" ca="1" si="61"/>
        <v>0</v>
      </c>
      <c r="N511" s="313">
        <f t="shared" ca="1" si="61"/>
        <v>0.96860573076923084</v>
      </c>
      <c r="O511" s="311">
        <f t="shared" ca="1" si="61"/>
        <v>0.99531327111871648</v>
      </c>
      <c r="P511" s="311">
        <f t="shared" ca="1" si="61"/>
        <v>1.0219200502094667</v>
      </c>
      <c r="Q511" s="311">
        <f t="shared" ca="1" si="61"/>
        <v>1.0510510789149665</v>
      </c>
      <c r="R511" s="311">
        <f t="shared" ca="1" si="61"/>
        <v>1.0822315274970924</v>
      </c>
      <c r="S511" s="311">
        <f t="shared" ca="1" si="61"/>
        <v>1.1138842024745892</v>
      </c>
    </row>
    <row r="512" spans="1:19" ht="17.25" customHeight="1" thickBot="1">
      <c r="B512" s="250"/>
      <c r="C512" s="269" t="str">
        <f>CONCATENATE("Total ",+C377)</f>
        <v>Total Corporate Services</v>
      </c>
      <c r="D512" s="314">
        <f t="shared" ref="D512:S512" si="62">SUBTOTAL(9,D378:D511)</f>
        <v>0</v>
      </c>
      <c r="E512" s="314">
        <f t="shared" si="62"/>
        <v>0</v>
      </c>
      <c r="F512" s="314">
        <f t="shared" si="62"/>
        <v>0</v>
      </c>
      <c r="G512" s="314">
        <f t="shared" si="62"/>
        <v>0</v>
      </c>
      <c r="H512" s="314">
        <f t="shared" si="62"/>
        <v>0</v>
      </c>
      <c r="I512" s="314">
        <f t="shared" si="62"/>
        <v>0</v>
      </c>
      <c r="J512" s="314">
        <f t="shared" si="62"/>
        <v>0</v>
      </c>
      <c r="K512" s="314">
        <f t="shared" si="62"/>
        <v>0</v>
      </c>
      <c r="L512" s="314">
        <f t="shared" ca="1" si="62"/>
        <v>0</v>
      </c>
      <c r="M512" s="843">
        <f t="shared" ca="1" si="62"/>
        <v>0</v>
      </c>
      <c r="N512" s="314">
        <f t="shared" ca="1" si="62"/>
        <v>41.484580807692318</v>
      </c>
      <c r="O512" s="314">
        <f t="shared" ca="1" si="62"/>
        <v>43.995512177286656</v>
      </c>
      <c r="P512" s="314">
        <f t="shared" ca="1" si="62"/>
        <v>45.432991515691917</v>
      </c>
      <c r="Q512" s="314">
        <f t="shared" ca="1" si="62"/>
        <v>47.817933720563488</v>
      </c>
      <c r="R512" s="314">
        <f t="shared" ca="1" si="62"/>
        <v>49.138643013060701</v>
      </c>
      <c r="S512" s="314">
        <f t="shared" ca="1" si="62"/>
        <v>50.289188574596217</v>
      </c>
    </row>
    <row r="513" spans="1:19" ht="18">
      <c r="B513" s="251"/>
      <c r="C513" s="255" t="str">
        <f>+'I-3 Allocated'!A36</f>
        <v xml:space="preserve">Services </v>
      </c>
      <c r="D513" s="266"/>
      <c r="E513" s="266"/>
      <c r="F513" s="266"/>
      <c r="G513" s="266"/>
      <c r="H513" s="266"/>
      <c r="I513" s="266"/>
      <c r="J513" s="266"/>
      <c r="K513" s="266"/>
      <c r="L513" s="266"/>
      <c r="M513" s="842"/>
      <c r="N513" s="266"/>
      <c r="O513" s="266"/>
      <c r="P513" s="266"/>
      <c r="Q513" s="266"/>
      <c r="R513" s="266"/>
      <c r="S513" s="266"/>
    </row>
    <row r="514" spans="1:19">
      <c r="B514" s="249"/>
      <c r="C514" s="12"/>
      <c r="D514" s="263"/>
      <c r="E514" s="263"/>
      <c r="F514" s="263"/>
      <c r="G514" s="263"/>
      <c r="H514" s="263"/>
      <c r="I514" s="263"/>
      <c r="J514" s="263"/>
      <c r="K514" s="263"/>
      <c r="L514" s="263"/>
      <c r="M514" s="836"/>
      <c r="N514" s="263"/>
      <c r="O514" s="263"/>
      <c r="P514" s="263"/>
      <c r="Q514" s="263"/>
      <c r="R514" s="263"/>
      <c r="S514" s="263"/>
    </row>
    <row r="515" spans="1:19">
      <c r="A515" s="5"/>
      <c r="B515" s="249" t="str">
        <f ca="1">+'I-4 History'!B507</f>
        <v>A-32</v>
      </c>
      <c r="C515" s="14" t="str">
        <f ca="1">+'I-4 History'!C507</f>
        <v>General Manager Services</v>
      </c>
      <c r="D515" s="11"/>
      <c r="E515" s="11"/>
      <c r="F515" s="11"/>
      <c r="G515" s="11"/>
      <c r="H515" s="11"/>
      <c r="I515" s="11"/>
      <c r="J515" s="11"/>
      <c r="K515" s="11"/>
      <c r="L515" s="11"/>
      <c r="M515" s="507"/>
      <c r="N515" s="11"/>
      <c r="O515" s="11"/>
      <c r="P515" s="11"/>
      <c r="Q515" s="11"/>
      <c r="R515" s="11"/>
      <c r="S515" s="11"/>
    </row>
    <row r="516" spans="1:19">
      <c r="A516" s="5"/>
      <c r="B516" s="249"/>
      <c r="C516" s="13" t="s">
        <v>68</v>
      </c>
      <c r="D516" s="312">
        <f>+'R1 Opex Detail'!D516</f>
        <v>0</v>
      </c>
      <c r="E516" s="310">
        <f>+'R1 Opex Detail'!E516</f>
        <v>0</v>
      </c>
      <c r="F516" s="310">
        <f>+'R1 Opex Detail'!F516</f>
        <v>0</v>
      </c>
      <c r="G516" s="310">
        <f>+'R1 Opex Detail'!G516</f>
        <v>0</v>
      </c>
      <c r="H516" s="310">
        <f>+'R1 Opex Detail'!H516</f>
        <v>0</v>
      </c>
      <c r="I516" s="310">
        <f>+'R1 Opex Detail'!I516</f>
        <v>0</v>
      </c>
      <c r="J516" s="310">
        <f>+'R1 Opex Detail'!J516</f>
        <v>0</v>
      </c>
      <c r="K516" s="310">
        <f>+'R1 Opex Detail'!K516</f>
        <v>0</v>
      </c>
      <c r="L516" s="310">
        <f ca="1">+'R1 Opex Detail'!L516</f>
        <v>0</v>
      </c>
      <c r="M516" s="835">
        <f ca="1">+'R1 Opex Detail'!M516*M$2</f>
        <v>0</v>
      </c>
      <c r="N516" s="312">
        <f ca="1">+'R1 Opex Detail'!N516*N$1</f>
        <v>0.51893284615384616</v>
      </c>
      <c r="O516" s="310">
        <f ca="1">+'R1 Opex Detail'!O516*O$1</f>
        <v>0.53569208978777083</v>
      </c>
      <c r="P516" s="310">
        <f ca="1">+'R1 Opex Detail'!P516*P$1</f>
        <v>0.55250989131322281</v>
      </c>
      <c r="Q516" s="310">
        <f ca="1">+'R1 Opex Detail'!Q516*Q$1</f>
        <v>0.57039601645368554</v>
      </c>
      <c r="R516" s="310">
        <f ca="1">+'R1 Opex Detail'!R516*R$1</f>
        <v>0.58927603256656169</v>
      </c>
      <c r="S516" s="310">
        <f ca="1">+'R1 Opex Detail'!S516*S$1</f>
        <v>0.60820572442440324</v>
      </c>
    </row>
    <row r="517" spans="1:19">
      <c r="A517" s="5"/>
      <c r="B517" s="249"/>
      <c r="C517" s="13" t="s">
        <v>69</v>
      </c>
      <c r="D517" s="312">
        <f>+'R1 Opex Detail'!D517</f>
        <v>0</v>
      </c>
      <c r="E517" s="310">
        <f>+'R1 Opex Detail'!E517</f>
        <v>0</v>
      </c>
      <c r="F517" s="310">
        <f>+'R1 Opex Detail'!F517</f>
        <v>0</v>
      </c>
      <c r="G517" s="310">
        <f>+'R1 Opex Detail'!G517</f>
        <v>0</v>
      </c>
      <c r="H517" s="310">
        <f>+'R1 Opex Detail'!H517</f>
        <v>0</v>
      </c>
      <c r="I517" s="310">
        <f>+'R1 Opex Detail'!I517</f>
        <v>0</v>
      </c>
      <c r="J517" s="310">
        <f>+'R1 Opex Detail'!J517</f>
        <v>0</v>
      </c>
      <c r="K517" s="310">
        <f>+'R1 Opex Detail'!K517</f>
        <v>0</v>
      </c>
      <c r="L517" s="310">
        <f ca="1">+'R1 Opex Detail'!L517</f>
        <v>0</v>
      </c>
      <c r="M517" s="835">
        <f ca="1">+'R1 Opex Detail'!M517*M$2</f>
        <v>0</v>
      </c>
      <c r="N517" s="312">
        <f ca="1">+'R1 Opex Detail'!N517*N$1</f>
        <v>9.3035769230769231E-3</v>
      </c>
      <c r="O517" s="310">
        <f ca="1">+'R1 Opex Detail'!O517*O$1</f>
        <v>9.4022874860970312E-3</v>
      </c>
      <c r="P517" s="310">
        <f ca="1">+'R1 Opex Detail'!P517*P$1</f>
        <v>9.4937512935936857E-3</v>
      </c>
      <c r="Q517" s="310">
        <f ca="1">+'R1 Opex Detail'!Q517*Q$1</f>
        <v>9.5841622516690279E-3</v>
      </c>
      <c r="R517" s="310">
        <f ca="1">+'R1 Opex Detail'!R517*R$1</f>
        <v>9.6822508797781617E-3</v>
      </c>
      <c r="S517" s="310">
        <f ca="1">+'R1 Opex Detail'!S517*S$1</f>
        <v>9.772100797224563E-3</v>
      </c>
    </row>
    <row r="518" spans="1:19" s="759" customFormat="1">
      <c r="A518" s="5"/>
      <c r="B518" s="249"/>
      <c r="C518" s="13" t="s">
        <v>646</v>
      </c>
      <c r="D518" s="312">
        <f>+'R1 Opex Detail'!D518</f>
        <v>0</v>
      </c>
      <c r="E518" s="310">
        <f>+'R1 Opex Detail'!E518</f>
        <v>0</v>
      </c>
      <c r="F518" s="310">
        <f>+'R1 Opex Detail'!F518</f>
        <v>0</v>
      </c>
      <c r="G518" s="310">
        <f>+'R1 Opex Detail'!G518</f>
        <v>0</v>
      </c>
      <c r="H518" s="310">
        <f>+'R1 Opex Detail'!H518</f>
        <v>0</v>
      </c>
      <c r="I518" s="310">
        <f>+'R1 Opex Detail'!I518</f>
        <v>0</v>
      </c>
      <c r="J518" s="310">
        <f>+'R1 Opex Detail'!J518</f>
        <v>0</v>
      </c>
      <c r="K518" s="310">
        <f>+'R1 Opex Detail'!K518</f>
        <v>0</v>
      </c>
      <c r="L518" s="310">
        <f ca="1">+'R1 Opex Detail'!L518</f>
        <v>0</v>
      </c>
      <c r="M518" s="835">
        <f ca="1">+'R1 Opex Detail'!M518*M$2</f>
        <v>0</v>
      </c>
      <c r="N518" s="312">
        <f ca="1">+'R1 Opex Detail'!N518*N$1</f>
        <v>0</v>
      </c>
      <c r="O518" s="310">
        <f ca="1">+'R1 Opex Detail'!O518*O$1</f>
        <v>0</v>
      </c>
      <c r="P518" s="310">
        <f ca="1">+'R1 Opex Detail'!P518*P$1</f>
        <v>0</v>
      </c>
      <c r="Q518" s="310">
        <f ca="1">+'R1 Opex Detail'!Q518*Q$1</f>
        <v>0</v>
      </c>
      <c r="R518" s="310">
        <f ca="1">+'R1 Opex Detail'!R518*R$1</f>
        <v>0</v>
      </c>
      <c r="S518" s="310">
        <f ca="1">+'R1 Opex Detail'!S518*S$1</f>
        <v>0</v>
      </c>
    </row>
    <row r="519" spans="1:19">
      <c r="A519" s="5"/>
      <c r="B519" s="249"/>
      <c r="C519" s="13" t="s">
        <v>647</v>
      </c>
      <c r="D519" s="312">
        <f>+'R1 Opex Detail'!D519</f>
        <v>0</v>
      </c>
      <c r="E519" s="310">
        <f>+'R1 Opex Detail'!E519</f>
        <v>0</v>
      </c>
      <c r="F519" s="310">
        <f>+'R1 Opex Detail'!F519</f>
        <v>0</v>
      </c>
      <c r="G519" s="310">
        <f>+'R1 Opex Detail'!G519</f>
        <v>0</v>
      </c>
      <c r="H519" s="310">
        <f>+'R1 Opex Detail'!H519</f>
        <v>0</v>
      </c>
      <c r="I519" s="310">
        <f>+'R1 Opex Detail'!I519</f>
        <v>0</v>
      </c>
      <c r="J519" s="310">
        <f>+'R1 Opex Detail'!J519</f>
        <v>0</v>
      </c>
      <c r="K519" s="310">
        <f>+'R1 Opex Detail'!K519</f>
        <v>0</v>
      </c>
      <c r="L519" s="310">
        <f ca="1">+'R1 Opex Detail'!L519</f>
        <v>0</v>
      </c>
      <c r="M519" s="835">
        <f ca="1">+'R1 Opex Detail'!M519*M$2</f>
        <v>0</v>
      </c>
      <c r="N519" s="312">
        <f ca="1">+'R1 Opex Detail'!N519*N$1</f>
        <v>7.6496076923076931E-2</v>
      </c>
      <c r="O519" s="310">
        <f ca="1">+'R1 Opex Detail'!O519*O$1</f>
        <v>7.7694235593448471E-2</v>
      </c>
      <c r="P519" s="310">
        <f ca="1">+'R1 Opex Detail'!P519*P$1</f>
        <v>7.8842281680342796E-2</v>
      </c>
      <c r="Q519" s="310">
        <f ca="1">+'R1 Opex Detail'!Q519*Q$1</f>
        <v>8.0309451060713063E-2</v>
      </c>
      <c r="R519" s="310">
        <f ca="1">+'R1 Opex Detail'!R519*R$1</f>
        <v>8.1983253539840956E-2</v>
      </c>
      <c r="S519" s="310">
        <f ca="1">+'R1 Opex Detail'!S519*S$1</f>
        <v>8.377834710788605E-2</v>
      </c>
    </row>
    <row r="520" spans="1:19" s="759" customFormat="1">
      <c r="A520" s="5"/>
      <c r="B520" s="249"/>
      <c r="C520" s="13" t="s">
        <v>575</v>
      </c>
      <c r="D520" s="312">
        <f>+'R1 Opex Detail'!D520</f>
        <v>0</v>
      </c>
      <c r="E520" s="310">
        <f>+'R1 Opex Detail'!E520</f>
        <v>0</v>
      </c>
      <c r="F520" s="310">
        <f>+'R1 Opex Detail'!F520</f>
        <v>0</v>
      </c>
      <c r="G520" s="310">
        <f>+'R1 Opex Detail'!G520</f>
        <v>0</v>
      </c>
      <c r="H520" s="310">
        <f>+'R1 Opex Detail'!H520</f>
        <v>0</v>
      </c>
      <c r="I520" s="310">
        <f>+'R1 Opex Detail'!I520</f>
        <v>0</v>
      </c>
      <c r="J520" s="310">
        <f>+'R1 Opex Detail'!J520</f>
        <v>0</v>
      </c>
      <c r="K520" s="310">
        <f>+'R1 Opex Detail'!K520</f>
        <v>0</v>
      </c>
      <c r="L520" s="310">
        <f ca="1">+'R1 Opex Detail'!L520</f>
        <v>0</v>
      </c>
      <c r="M520" s="835">
        <f ca="1">+'R1 Opex Detail'!M520*M$2</f>
        <v>0</v>
      </c>
      <c r="N520" s="312">
        <f ca="1">+'R1 Opex Detail'!N520*N$1</f>
        <v>0</v>
      </c>
      <c r="O520" s="310">
        <f ca="1">+'R1 Opex Detail'!O520*O$1</f>
        <v>0</v>
      </c>
      <c r="P520" s="310">
        <f ca="1">+'R1 Opex Detail'!P520*P$1</f>
        <v>0</v>
      </c>
      <c r="Q520" s="310">
        <f ca="1">+'R1 Opex Detail'!Q520*Q$1</f>
        <v>0</v>
      </c>
      <c r="R520" s="310">
        <f ca="1">+'R1 Opex Detail'!R520*R$1</f>
        <v>0</v>
      </c>
      <c r="S520" s="310">
        <f ca="1">+'R1 Opex Detail'!S520*S$1</f>
        <v>0</v>
      </c>
    </row>
    <row r="521" spans="1:19">
      <c r="A521" s="5"/>
      <c r="B521" s="249"/>
      <c r="C521" s="13" t="s">
        <v>70</v>
      </c>
      <c r="D521" s="312">
        <f>+'R1 Opex Detail'!D521</f>
        <v>0</v>
      </c>
      <c r="E521" s="310">
        <f>+'R1 Opex Detail'!E521</f>
        <v>0</v>
      </c>
      <c r="F521" s="310">
        <f>+'R1 Opex Detail'!F521</f>
        <v>0</v>
      </c>
      <c r="G521" s="310">
        <f>+'R1 Opex Detail'!G521</f>
        <v>0</v>
      </c>
      <c r="H521" s="310">
        <f>+'R1 Opex Detail'!H521</f>
        <v>0</v>
      </c>
      <c r="I521" s="310">
        <f>+'R1 Opex Detail'!I521</f>
        <v>0</v>
      </c>
      <c r="J521" s="310">
        <f>+'R1 Opex Detail'!J521</f>
        <v>0</v>
      </c>
      <c r="K521" s="310">
        <f>+'R1 Opex Detail'!K521</f>
        <v>0</v>
      </c>
      <c r="L521" s="310">
        <f ca="1">+'R1 Opex Detail'!L521</f>
        <v>0</v>
      </c>
      <c r="M521" s="835">
        <f ca="1">+'R1 Opex Detail'!M521*M$2</f>
        <v>0</v>
      </c>
      <c r="N521" s="312">
        <f ca="1">+'R1 Opex Detail'!N521*N$1</f>
        <v>0</v>
      </c>
      <c r="O521" s="310">
        <f ca="1">+'R1 Opex Detail'!O521*O$1</f>
        <v>0</v>
      </c>
      <c r="P521" s="310">
        <f ca="1">+'R1 Opex Detail'!P521*P$1</f>
        <v>0</v>
      </c>
      <c r="Q521" s="310">
        <f ca="1">+'R1 Opex Detail'!Q521*Q$1</f>
        <v>0</v>
      </c>
      <c r="R521" s="310">
        <f ca="1">+'R1 Opex Detail'!R521*R$1</f>
        <v>0</v>
      </c>
      <c r="S521" s="310">
        <f ca="1">+'R1 Opex Detail'!S521*S$1</f>
        <v>0</v>
      </c>
    </row>
    <row r="522" spans="1:19">
      <c r="A522" s="5"/>
      <c r="B522" s="249"/>
      <c r="C522" s="12" t="s">
        <v>75</v>
      </c>
      <c r="D522" s="313">
        <f t="shared" ref="D522:S522" si="63">SUBTOTAL(9,D516:D521)</f>
        <v>0</v>
      </c>
      <c r="E522" s="311">
        <f t="shared" si="63"/>
        <v>0</v>
      </c>
      <c r="F522" s="311">
        <f t="shared" si="63"/>
        <v>0</v>
      </c>
      <c r="G522" s="311">
        <f t="shared" si="63"/>
        <v>0</v>
      </c>
      <c r="H522" s="311">
        <f t="shared" si="63"/>
        <v>0</v>
      </c>
      <c r="I522" s="311">
        <f t="shared" si="63"/>
        <v>0</v>
      </c>
      <c r="J522" s="311">
        <f t="shared" si="63"/>
        <v>0</v>
      </c>
      <c r="K522" s="311">
        <f t="shared" si="63"/>
        <v>0</v>
      </c>
      <c r="L522" s="311">
        <f t="shared" ca="1" si="63"/>
        <v>0</v>
      </c>
      <c r="M522" s="513">
        <f t="shared" ca="1" si="63"/>
        <v>0</v>
      </c>
      <c r="N522" s="313">
        <f t="shared" ca="1" si="63"/>
        <v>0.60473250000000001</v>
      </c>
      <c r="O522" s="311">
        <f t="shared" ca="1" si="63"/>
        <v>0.62278861286731635</v>
      </c>
      <c r="P522" s="311">
        <f t="shared" ca="1" si="63"/>
        <v>0.64084592428715925</v>
      </c>
      <c r="Q522" s="311">
        <f t="shared" ca="1" si="63"/>
        <v>0.66028962976606764</v>
      </c>
      <c r="R522" s="311">
        <f t="shared" ca="1" si="63"/>
        <v>0.68094153698618076</v>
      </c>
      <c r="S522" s="311">
        <f t="shared" ca="1" si="63"/>
        <v>0.70175617232951382</v>
      </c>
    </row>
    <row r="523" spans="1:19">
      <c r="A523" s="5"/>
      <c r="B523" s="249"/>
      <c r="C523" s="12"/>
      <c r="D523" s="263"/>
      <c r="E523" s="263"/>
      <c r="F523" s="263"/>
      <c r="G523" s="263"/>
      <c r="H523" s="263"/>
      <c r="I523" s="263"/>
      <c r="J523" s="263"/>
      <c r="K523" s="263"/>
      <c r="L523" s="263"/>
      <c r="M523" s="836"/>
      <c r="N523" s="263"/>
      <c r="O523" s="263"/>
      <c r="P523" s="263"/>
      <c r="Q523" s="263"/>
      <c r="R523" s="263"/>
      <c r="S523" s="263"/>
    </row>
    <row r="524" spans="1:19" ht="25.5">
      <c r="A524" s="5"/>
      <c r="B524" s="249" t="str">
        <f ca="1">+'I-4 History'!B516</f>
        <v>A-33</v>
      </c>
      <c r="C524" s="14" t="str">
        <f ca="1">+'I-4 History'!C516</f>
        <v>Customer Relations, excluding Call Centre</v>
      </c>
      <c r="D524" s="11"/>
      <c r="E524" s="11"/>
      <c r="F524" s="11"/>
      <c r="G524" s="11"/>
      <c r="H524" s="11"/>
      <c r="I524" s="11"/>
      <c r="J524" s="11"/>
      <c r="K524" s="11"/>
      <c r="L524" s="11"/>
      <c r="M524" s="507"/>
      <c r="N524" s="11"/>
      <c r="O524" s="11"/>
      <c r="P524" s="11"/>
      <c r="Q524" s="11"/>
      <c r="R524" s="11"/>
      <c r="S524" s="11"/>
    </row>
    <row r="525" spans="1:19">
      <c r="B525" s="249"/>
      <c r="C525" s="13" t="s">
        <v>68</v>
      </c>
      <c r="D525" s="312">
        <f>+'R1 Opex Detail'!D525</f>
        <v>0</v>
      </c>
      <c r="E525" s="310">
        <f>+'R1 Opex Detail'!E525</f>
        <v>0</v>
      </c>
      <c r="F525" s="310">
        <f>+'R1 Opex Detail'!F525</f>
        <v>0</v>
      </c>
      <c r="G525" s="310">
        <f>+'R1 Opex Detail'!G525</f>
        <v>0</v>
      </c>
      <c r="H525" s="310">
        <f>+'R1 Opex Detail'!H525</f>
        <v>0</v>
      </c>
      <c r="I525" s="310">
        <f>+'R1 Opex Detail'!I525</f>
        <v>0</v>
      </c>
      <c r="J525" s="310">
        <f>+'R1 Opex Detail'!J525</f>
        <v>0</v>
      </c>
      <c r="K525" s="310">
        <f>+'R1 Opex Detail'!K525</f>
        <v>0</v>
      </c>
      <c r="L525" s="310">
        <f ca="1">+'R1 Opex Detail'!L525</f>
        <v>0</v>
      </c>
      <c r="M525" s="835">
        <f ca="1">+'R1 Opex Detail'!M525*M$2</f>
        <v>0</v>
      </c>
      <c r="N525" s="312">
        <f ca="1">+'R1 Opex Detail'!N525*N$1</f>
        <v>1.7800843846153849</v>
      </c>
      <c r="O525" s="310">
        <f ca="1">+'R1 Opex Detail'!O525*O$1</f>
        <v>1.837573264172393</v>
      </c>
      <c r="P525" s="310">
        <f ca="1">+'R1 Opex Detail'!P525*P$1</f>
        <v>2.5072316290128422</v>
      </c>
      <c r="Q525" s="310">
        <f ca="1">+'R1 Opex Detail'!Q525*Q$1</f>
        <v>2.8828401802531727</v>
      </c>
      <c r="R525" s="310">
        <f ca="1">+'R1 Opex Detail'!R525*R$1</f>
        <v>2.9476039008634767</v>
      </c>
      <c r="S525" s="310">
        <f ca="1">+'R1 Opex Detail'!S525*S$1</f>
        <v>3.1169448308251138</v>
      </c>
    </row>
    <row r="526" spans="1:19">
      <c r="B526" s="249"/>
      <c r="C526" s="13" t="s">
        <v>69</v>
      </c>
      <c r="D526" s="312">
        <f>+'R1 Opex Detail'!D526</f>
        <v>0</v>
      </c>
      <c r="E526" s="310">
        <f>+'R1 Opex Detail'!E526</f>
        <v>0</v>
      </c>
      <c r="F526" s="310">
        <f>+'R1 Opex Detail'!F526</f>
        <v>0</v>
      </c>
      <c r="G526" s="310">
        <f>+'R1 Opex Detail'!G526</f>
        <v>0</v>
      </c>
      <c r="H526" s="310">
        <f>+'R1 Opex Detail'!H526</f>
        <v>0</v>
      </c>
      <c r="I526" s="310">
        <f>+'R1 Opex Detail'!I526</f>
        <v>0</v>
      </c>
      <c r="J526" s="310">
        <f>+'R1 Opex Detail'!J526</f>
        <v>0</v>
      </c>
      <c r="K526" s="310">
        <f>+'R1 Opex Detail'!K526</f>
        <v>0</v>
      </c>
      <c r="L526" s="310">
        <f ca="1">+'R1 Opex Detail'!L526</f>
        <v>0</v>
      </c>
      <c r="M526" s="835">
        <f ca="1">+'R1 Opex Detail'!M526*M$2</f>
        <v>0</v>
      </c>
      <c r="N526" s="312">
        <f ca="1">+'R1 Opex Detail'!N526*N$1</f>
        <v>1.8607153846153846E-2</v>
      </c>
      <c r="O526" s="310">
        <f ca="1">+'R1 Opex Detail'!O526*O$1</f>
        <v>1.8804574972194062E-2</v>
      </c>
      <c r="P526" s="310">
        <f ca="1">+'R1 Opex Detail'!P526*P$1</f>
        <v>1.8987502587187371E-2</v>
      </c>
      <c r="Q526" s="310">
        <f ca="1">+'R1 Opex Detail'!Q526*Q$1</f>
        <v>1.9168324503338056E-2</v>
      </c>
      <c r="R526" s="310">
        <f ca="1">+'R1 Opex Detail'!R526*R$1</f>
        <v>1.9364501759556323E-2</v>
      </c>
      <c r="S526" s="310">
        <f ca="1">+'R1 Opex Detail'!S526*S$1</f>
        <v>1.9544201594449126E-2</v>
      </c>
    </row>
    <row r="527" spans="1:19" s="759" customFormat="1">
      <c r="B527" s="249"/>
      <c r="C527" s="13" t="s">
        <v>646</v>
      </c>
      <c r="D527" s="312">
        <f>+'R1 Opex Detail'!D527</f>
        <v>0</v>
      </c>
      <c r="E527" s="310">
        <f>+'R1 Opex Detail'!E527</f>
        <v>0</v>
      </c>
      <c r="F527" s="310">
        <f>+'R1 Opex Detail'!F527</f>
        <v>0</v>
      </c>
      <c r="G527" s="310">
        <f>+'R1 Opex Detail'!G527</f>
        <v>0</v>
      </c>
      <c r="H527" s="310">
        <f>+'R1 Opex Detail'!H527</f>
        <v>0</v>
      </c>
      <c r="I527" s="310">
        <f>+'R1 Opex Detail'!I527</f>
        <v>0</v>
      </c>
      <c r="J527" s="310">
        <f>+'R1 Opex Detail'!J527</f>
        <v>0</v>
      </c>
      <c r="K527" s="310">
        <f>+'R1 Opex Detail'!K527</f>
        <v>0</v>
      </c>
      <c r="L527" s="310">
        <f ca="1">+'R1 Opex Detail'!L527</f>
        <v>0</v>
      </c>
      <c r="M527" s="835">
        <f ca="1">+'R1 Opex Detail'!M527*M$2</f>
        <v>0</v>
      </c>
      <c r="N527" s="312">
        <f ca="1">+'R1 Opex Detail'!N527*N$1</f>
        <v>4.858534615384616E-2</v>
      </c>
      <c r="O527" s="310">
        <f ca="1">+'R1 Opex Detail'!O527*O$1</f>
        <v>4.9346338822865918E-2</v>
      </c>
      <c r="P527" s="310">
        <f ca="1">+'R1 Opex Detail'!P527*P$1</f>
        <v>5.0075503229406904E-2</v>
      </c>
      <c r="Q527" s="310">
        <f ca="1">+'R1 Opex Detail'!Q527*Q$1</f>
        <v>5.100735405207453E-2</v>
      </c>
      <c r="R527" s="310">
        <f ca="1">+'R1 Opex Detail'!R527*R$1</f>
        <v>5.2070444815844934E-2</v>
      </c>
      <c r="S527" s="310">
        <f ca="1">+'R1 Opex Detail'!S527*S$1</f>
        <v>5.3210571811765466E-2</v>
      </c>
    </row>
    <row r="528" spans="1:19">
      <c r="B528" s="249"/>
      <c r="C528" s="13" t="s">
        <v>647</v>
      </c>
      <c r="D528" s="312">
        <f>+'R1 Opex Detail'!D528</f>
        <v>0</v>
      </c>
      <c r="E528" s="310">
        <f>+'R1 Opex Detail'!E528</f>
        <v>0</v>
      </c>
      <c r="F528" s="310">
        <f>+'R1 Opex Detail'!F528</f>
        <v>0</v>
      </c>
      <c r="G528" s="310">
        <f>+'R1 Opex Detail'!G528</f>
        <v>0</v>
      </c>
      <c r="H528" s="310">
        <f>+'R1 Opex Detail'!H528</f>
        <v>0</v>
      </c>
      <c r="I528" s="310">
        <f>+'R1 Opex Detail'!I528</f>
        <v>0</v>
      </c>
      <c r="J528" s="310">
        <f>+'R1 Opex Detail'!J528</f>
        <v>0</v>
      </c>
      <c r="K528" s="310">
        <f>+'R1 Opex Detail'!K528</f>
        <v>0</v>
      </c>
      <c r="L528" s="310">
        <f ca="1">+'R1 Opex Detail'!L528</f>
        <v>0</v>
      </c>
      <c r="M528" s="835">
        <f ca="1">+'R1 Opex Detail'!M528*M$2</f>
        <v>0</v>
      </c>
      <c r="N528" s="312">
        <f ca="1">+'R1 Opex Detail'!N528*N$1</f>
        <v>0.36077203846153855</v>
      </c>
      <c r="O528" s="310">
        <f ca="1">+'R1 Opex Detail'!O528*O$1</f>
        <v>0.36642281381234487</v>
      </c>
      <c r="P528" s="310">
        <f ca="1">+'R1 Opex Detail'!P528*P$1</f>
        <v>0.37183724738431939</v>
      </c>
      <c r="Q528" s="310">
        <f ca="1">+'R1 Opex Detail'!Q528*Q$1</f>
        <v>0.37875673540795773</v>
      </c>
      <c r="R528" s="310">
        <f ca="1">+'R1 Opex Detail'!R528*R$1</f>
        <v>0.38665074980276343</v>
      </c>
      <c r="S528" s="310">
        <f ca="1">+'R1 Opex Detail'!S528*S$1</f>
        <v>0.39511679919800324</v>
      </c>
    </row>
    <row r="529" spans="1:19" s="759" customFormat="1">
      <c r="B529" s="249"/>
      <c r="C529" s="13" t="s">
        <v>575</v>
      </c>
      <c r="D529" s="312">
        <f>+'R1 Opex Detail'!D529</f>
        <v>0</v>
      </c>
      <c r="E529" s="310">
        <f>+'R1 Opex Detail'!E529</f>
        <v>0</v>
      </c>
      <c r="F529" s="310">
        <f>+'R1 Opex Detail'!F529</f>
        <v>0</v>
      </c>
      <c r="G529" s="310">
        <f>+'R1 Opex Detail'!G529</f>
        <v>0</v>
      </c>
      <c r="H529" s="310">
        <f>+'R1 Opex Detail'!H529</f>
        <v>0</v>
      </c>
      <c r="I529" s="310">
        <f>+'R1 Opex Detail'!I529</f>
        <v>0</v>
      </c>
      <c r="J529" s="310">
        <f>+'R1 Opex Detail'!J529</f>
        <v>0</v>
      </c>
      <c r="K529" s="310">
        <f>+'R1 Opex Detail'!K529</f>
        <v>0</v>
      </c>
      <c r="L529" s="310">
        <f ca="1">+'R1 Opex Detail'!L529</f>
        <v>0</v>
      </c>
      <c r="M529" s="835">
        <f ca="1">+'R1 Opex Detail'!M529*M$2</f>
        <v>0</v>
      </c>
      <c r="N529" s="312">
        <f ca="1">+'R1 Opex Detail'!N529*N$1</f>
        <v>0</v>
      </c>
      <c r="O529" s="310">
        <f ca="1">+'R1 Opex Detail'!O529*O$1</f>
        <v>0</v>
      </c>
      <c r="P529" s="310">
        <f ca="1">+'R1 Opex Detail'!P529*P$1</f>
        <v>0</v>
      </c>
      <c r="Q529" s="310">
        <f ca="1">+'R1 Opex Detail'!Q529*Q$1</f>
        <v>0</v>
      </c>
      <c r="R529" s="310">
        <f ca="1">+'R1 Opex Detail'!R529*R$1</f>
        <v>0</v>
      </c>
      <c r="S529" s="310">
        <f ca="1">+'R1 Opex Detail'!S529*S$1</f>
        <v>0</v>
      </c>
    </row>
    <row r="530" spans="1:19">
      <c r="B530" s="249"/>
      <c r="C530" s="13" t="s">
        <v>70</v>
      </c>
      <c r="D530" s="312">
        <f>+'R1 Opex Detail'!D530</f>
        <v>0</v>
      </c>
      <c r="E530" s="310">
        <f>+'R1 Opex Detail'!E530</f>
        <v>0</v>
      </c>
      <c r="F530" s="310">
        <f>+'R1 Opex Detail'!F530</f>
        <v>0</v>
      </c>
      <c r="G530" s="310">
        <f>+'R1 Opex Detail'!G530</f>
        <v>0</v>
      </c>
      <c r="H530" s="310">
        <f>+'R1 Opex Detail'!H530</f>
        <v>0</v>
      </c>
      <c r="I530" s="310">
        <f>+'R1 Opex Detail'!I530</f>
        <v>0</v>
      </c>
      <c r="J530" s="310">
        <f>+'R1 Opex Detail'!J530</f>
        <v>0</v>
      </c>
      <c r="K530" s="310">
        <f>+'R1 Opex Detail'!K530</f>
        <v>0</v>
      </c>
      <c r="L530" s="310">
        <f ca="1">+'R1 Opex Detail'!L530</f>
        <v>0</v>
      </c>
      <c r="M530" s="835">
        <f ca="1">+'R1 Opex Detail'!M530*M$2</f>
        <v>0</v>
      </c>
      <c r="N530" s="312">
        <f ca="1">+'R1 Opex Detail'!N530*N$1</f>
        <v>0</v>
      </c>
      <c r="O530" s="310">
        <f ca="1">+'R1 Opex Detail'!O530*O$1</f>
        <v>0</v>
      </c>
      <c r="P530" s="310">
        <f ca="1">+'R1 Opex Detail'!P530*P$1</f>
        <v>0</v>
      </c>
      <c r="Q530" s="310">
        <f ca="1">+'R1 Opex Detail'!Q530*Q$1</f>
        <v>0</v>
      </c>
      <c r="R530" s="310">
        <f ca="1">+'R1 Opex Detail'!R530*R$1</f>
        <v>0</v>
      </c>
      <c r="S530" s="310">
        <f ca="1">+'R1 Opex Detail'!S530*S$1</f>
        <v>0</v>
      </c>
    </row>
    <row r="531" spans="1:19">
      <c r="B531" s="249"/>
      <c r="C531" s="12" t="s">
        <v>75</v>
      </c>
      <c r="D531" s="313">
        <f t="shared" ref="D531:S531" si="64">SUBTOTAL(9,D525:D530)</f>
        <v>0</v>
      </c>
      <c r="E531" s="311">
        <f t="shared" si="64"/>
        <v>0</v>
      </c>
      <c r="F531" s="311">
        <f t="shared" si="64"/>
        <v>0</v>
      </c>
      <c r="G531" s="311">
        <f t="shared" si="64"/>
        <v>0</v>
      </c>
      <c r="H531" s="311">
        <f t="shared" si="64"/>
        <v>0</v>
      </c>
      <c r="I531" s="311">
        <f t="shared" si="64"/>
        <v>0</v>
      </c>
      <c r="J531" s="311">
        <f t="shared" si="64"/>
        <v>0</v>
      </c>
      <c r="K531" s="311">
        <f t="shared" si="64"/>
        <v>0</v>
      </c>
      <c r="L531" s="311">
        <f t="shared" ca="1" si="64"/>
        <v>0</v>
      </c>
      <c r="M531" s="513">
        <f t="shared" ca="1" si="64"/>
        <v>0</v>
      </c>
      <c r="N531" s="313">
        <f t="shared" ca="1" si="64"/>
        <v>2.2080489230769236</v>
      </c>
      <c r="O531" s="311">
        <f t="shared" ca="1" si="64"/>
        <v>2.2721469917797981</v>
      </c>
      <c r="P531" s="311">
        <f t="shared" ca="1" si="64"/>
        <v>2.9481318822137563</v>
      </c>
      <c r="Q531" s="311">
        <f t="shared" ca="1" si="64"/>
        <v>3.331772594216543</v>
      </c>
      <c r="R531" s="311">
        <f t="shared" ca="1" si="64"/>
        <v>3.4056895972416417</v>
      </c>
      <c r="S531" s="311">
        <f t="shared" ca="1" si="64"/>
        <v>3.5848164034293313</v>
      </c>
    </row>
    <row r="532" spans="1:19">
      <c r="B532" s="249"/>
      <c r="C532" s="12"/>
      <c r="D532" s="263"/>
      <c r="E532" s="263"/>
      <c r="F532" s="263"/>
      <c r="G532" s="263"/>
      <c r="H532" s="263"/>
      <c r="I532" s="263"/>
      <c r="J532" s="263"/>
      <c r="K532" s="263"/>
      <c r="L532" s="263"/>
      <c r="M532" s="836"/>
      <c r="N532" s="263"/>
      <c r="O532" s="263"/>
      <c r="P532" s="263"/>
      <c r="Q532" s="263"/>
      <c r="R532" s="263"/>
      <c r="S532" s="263"/>
    </row>
    <row r="533" spans="1:19">
      <c r="A533" s="5"/>
      <c r="B533" s="249" t="str">
        <f ca="1">+'I-4 History'!B525</f>
        <v>A-34</v>
      </c>
      <c r="C533" s="14" t="str">
        <f ca="1">+'I-4 History'!C525</f>
        <v>Business Improvement and Planning</v>
      </c>
      <c r="D533" s="11"/>
      <c r="E533" s="11"/>
      <c r="F533" s="11"/>
      <c r="G533" s="11"/>
      <c r="H533" s="11"/>
      <c r="I533" s="11"/>
      <c r="J533" s="11"/>
      <c r="K533" s="11"/>
      <c r="L533" s="11"/>
      <c r="M533" s="507"/>
      <c r="N533" s="11"/>
      <c r="O533" s="11"/>
      <c r="P533" s="11"/>
      <c r="Q533" s="11"/>
      <c r="R533" s="11"/>
      <c r="S533" s="11"/>
    </row>
    <row r="534" spans="1:19">
      <c r="A534" s="5"/>
      <c r="B534" s="249"/>
      <c r="C534" s="13" t="s">
        <v>68</v>
      </c>
      <c r="D534" s="312">
        <f>+'R1 Opex Detail'!D534</f>
        <v>0</v>
      </c>
      <c r="E534" s="310">
        <f>+'R1 Opex Detail'!E534</f>
        <v>0</v>
      </c>
      <c r="F534" s="310">
        <f>+'R1 Opex Detail'!F534</f>
        <v>0</v>
      </c>
      <c r="G534" s="310">
        <f>+'R1 Opex Detail'!G534</f>
        <v>0</v>
      </c>
      <c r="H534" s="310">
        <f>+'R1 Opex Detail'!H534</f>
        <v>0</v>
      </c>
      <c r="I534" s="310">
        <f>+'R1 Opex Detail'!I534</f>
        <v>0</v>
      </c>
      <c r="J534" s="310">
        <f>+'R1 Opex Detail'!J534</f>
        <v>0</v>
      </c>
      <c r="K534" s="310">
        <f>+'R1 Opex Detail'!K534</f>
        <v>0</v>
      </c>
      <c r="L534" s="310">
        <f ca="1">+'R1 Opex Detail'!L534</f>
        <v>0</v>
      </c>
      <c r="M534" s="835">
        <f ca="1">+'R1 Opex Detail'!M534*M$2</f>
        <v>0</v>
      </c>
      <c r="N534" s="312">
        <f ca="1">+'R1 Opex Detail'!N534*N$1</f>
        <v>0.6502166538461539</v>
      </c>
      <c r="O534" s="310">
        <f ca="1">+'R1 Opex Detail'!O534*O$1</f>
        <v>0.67121578580977659</v>
      </c>
      <c r="P534" s="310">
        <f ca="1">+'R1 Opex Detail'!P534*P$1</f>
        <v>1.1057805978038957</v>
      </c>
      <c r="Q534" s="310">
        <f ca="1">+'R1 Opex Detail'!Q534*Q$1</f>
        <v>1.1281916988265073</v>
      </c>
      <c r="R534" s="310">
        <f ca="1">+'R1 Opex Detail'!R534*R$1</f>
        <v>1.1518481333583779</v>
      </c>
      <c r="S534" s="310">
        <f ca="1">+'R1 Opex Detail'!S534*S$1</f>
        <v>1.1755668110049564</v>
      </c>
    </row>
    <row r="535" spans="1:19">
      <c r="A535" s="5"/>
      <c r="B535" s="249"/>
      <c r="C535" s="13" t="s">
        <v>69</v>
      </c>
      <c r="D535" s="312">
        <f>+'R1 Opex Detail'!D535</f>
        <v>0</v>
      </c>
      <c r="E535" s="310">
        <f>+'R1 Opex Detail'!E535</f>
        <v>0</v>
      </c>
      <c r="F535" s="310">
        <f>+'R1 Opex Detail'!F535</f>
        <v>0</v>
      </c>
      <c r="G535" s="310">
        <f>+'R1 Opex Detail'!G535</f>
        <v>0</v>
      </c>
      <c r="H535" s="310">
        <f>+'R1 Opex Detail'!H535</f>
        <v>0</v>
      </c>
      <c r="I535" s="310">
        <f>+'R1 Opex Detail'!I535</f>
        <v>0</v>
      </c>
      <c r="J535" s="310">
        <f>+'R1 Opex Detail'!J535</f>
        <v>0</v>
      </c>
      <c r="K535" s="310">
        <f>+'R1 Opex Detail'!K535</f>
        <v>0</v>
      </c>
      <c r="L535" s="310">
        <f ca="1">+'R1 Opex Detail'!L535</f>
        <v>0</v>
      </c>
      <c r="M535" s="835">
        <f ca="1">+'R1 Opex Detail'!M535*M$2</f>
        <v>0</v>
      </c>
      <c r="N535" s="312">
        <f ca="1">+'R1 Opex Detail'!N535*N$1</f>
        <v>3.1011923076923083E-3</v>
      </c>
      <c r="O535" s="310">
        <f ca="1">+'R1 Opex Detail'!O535*O$1</f>
        <v>3.1340958286990108E-3</v>
      </c>
      <c r="P535" s="310">
        <f ca="1">+'R1 Opex Detail'!P535*P$1</f>
        <v>3.1645837645312286E-3</v>
      </c>
      <c r="Q535" s="310">
        <f ca="1">+'R1 Opex Detail'!Q535*Q$1</f>
        <v>3.1947207505563435E-3</v>
      </c>
      <c r="R535" s="310">
        <f ca="1">+'R1 Opex Detail'!R535*R$1</f>
        <v>3.2274169599260548E-3</v>
      </c>
      <c r="S535" s="310">
        <f ca="1">+'R1 Opex Detail'!S535*S$1</f>
        <v>3.2573669324081882E-3</v>
      </c>
    </row>
    <row r="536" spans="1:19" s="759" customFormat="1">
      <c r="A536" s="5"/>
      <c r="B536" s="249"/>
      <c r="C536" s="13" t="s">
        <v>646</v>
      </c>
      <c r="D536" s="312">
        <f>+'R1 Opex Detail'!D536</f>
        <v>0</v>
      </c>
      <c r="E536" s="310">
        <f>+'R1 Opex Detail'!E536</f>
        <v>0</v>
      </c>
      <c r="F536" s="310">
        <f>+'R1 Opex Detail'!F536</f>
        <v>0</v>
      </c>
      <c r="G536" s="310">
        <f>+'R1 Opex Detail'!G536</f>
        <v>0</v>
      </c>
      <c r="H536" s="310">
        <f>+'R1 Opex Detail'!H536</f>
        <v>0</v>
      </c>
      <c r="I536" s="310">
        <f>+'R1 Opex Detail'!I536</f>
        <v>0</v>
      </c>
      <c r="J536" s="310">
        <f>+'R1 Opex Detail'!J536</f>
        <v>0</v>
      </c>
      <c r="K536" s="310">
        <f>+'R1 Opex Detail'!K536</f>
        <v>0</v>
      </c>
      <c r="L536" s="310">
        <f ca="1">+'R1 Opex Detail'!L536</f>
        <v>0</v>
      </c>
      <c r="M536" s="835">
        <f ca="1">+'R1 Opex Detail'!M536*M$2</f>
        <v>0</v>
      </c>
      <c r="N536" s="312">
        <f ca="1">+'R1 Opex Detail'!N536*N$1</f>
        <v>8.7867115384615405E-2</v>
      </c>
      <c r="O536" s="310">
        <f ca="1">+'R1 Opex Detail'!O536*O$1</f>
        <v>8.9243378722204322E-2</v>
      </c>
      <c r="P536" s="310">
        <f ca="1">+'R1 Opex Detail'!P536*P$1</f>
        <v>9.0562080308501866E-2</v>
      </c>
      <c r="Q536" s="310">
        <f ca="1">+'R1 Opex Detail'!Q536*Q$1</f>
        <v>9.2247342434602864E-2</v>
      </c>
      <c r="R536" s="310">
        <f ca="1">+'R1 Opex Detail'!R536*R$1</f>
        <v>9.4169953390357872E-2</v>
      </c>
      <c r="S536" s="310">
        <f ca="1">+'R1 Opex Detail'!S536*S$1</f>
        <v>9.6231885191490771E-2</v>
      </c>
    </row>
    <row r="537" spans="1:19">
      <c r="A537" s="5"/>
      <c r="B537" s="249"/>
      <c r="C537" s="13" t="s">
        <v>647</v>
      </c>
      <c r="D537" s="312">
        <f>+'R1 Opex Detail'!D537</f>
        <v>0</v>
      </c>
      <c r="E537" s="310">
        <f>+'R1 Opex Detail'!E537</f>
        <v>0</v>
      </c>
      <c r="F537" s="310">
        <f>+'R1 Opex Detail'!F537</f>
        <v>0</v>
      </c>
      <c r="G537" s="310">
        <f>+'R1 Opex Detail'!G537</f>
        <v>0</v>
      </c>
      <c r="H537" s="310">
        <f>+'R1 Opex Detail'!H537</f>
        <v>0</v>
      </c>
      <c r="I537" s="310">
        <f>+'R1 Opex Detail'!I537</f>
        <v>0</v>
      </c>
      <c r="J537" s="310">
        <f>+'R1 Opex Detail'!J537</f>
        <v>0</v>
      </c>
      <c r="K537" s="310">
        <f>+'R1 Opex Detail'!K537</f>
        <v>0</v>
      </c>
      <c r="L537" s="310">
        <f ca="1">+'R1 Opex Detail'!L537</f>
        <v>0</v>
      </c>
      <c r="M537" s="835">
        <f ca="1">+'R1 Opex Detail'!M537*M$2</f>
        <v>0</v>
      </c>
      <c r="N537" s="312">
        <f ca="1">+'R1 Opex Detail'!N537*N$1</f>
        <v>0.19744257692307696</v>
      </c>
      <c r="O537" s="310">
        <f ca="1">+'R1 Opex Detail'!O537*O$1</f>
        <v>0.2005351215993062</v>
      </c>
      <c r="P537" s="310">
        <f ca="1">+'R1 Opex Detail'!P537*P$1</f>
        <v>0.20349832163439827</v>
      </c>
      <c r="Q537" s="310">
        <f ca="1">+'R1 Opex Detail'!Q537*Q$1</f>
        <v>0.20728520476481349</v>
      </c>
      <c r="R537" s="310">
        <f ca="1">+'R1 Opex Detail'!R537*R$1</f>
        <v>0.21160542467715707</v>
      </c>
      <c r="S537" s="310">
        <f ca="1">+'R1 Opex Detail'!S537*S$1</f>
        <v>0.21623870672440862</v>
      </c>
    </row>
    <row r="538" spans="1:19" s="759" customFormat="1">
      <c r="A538" s="5"/>
      <c r="B538" s="249"/>
      <c r="C538" s="13" t="s">
        <v>575</v>
      </c>
      <c r="D538" s="312">
        <f>+'R1 Opex Detail'!D538</f>
        <v>0</v>
      </c>
      <c r="E538" s="310">
        <f>+'R1 Opex Detail'!E538</f>
        <v>0</v>
      </c>
      <c r="F538" s="310">
        <f>+'R1 Opex Detail'!F538</f>
        <v>0</v>
      </c>
      <c r="G538" s="310">
        <f>+'R1 Opex Detail'!G538</f>
        <v>0</v>
      </c>
      <c r="H538" s="310">
        <f>+'R1 Opex Detail'!H538</f>
        <v>0</v>
      </c>
      <c r="I538" s="310">
        <f>+'R1 Opex Detail'!I538</f>
        <v>0</v>
      </c>
      <c r="J538" s="310">
        <f>+'R1 Opex Detail'!J538</f>
        <v>0</v>
      </c>
      <c r="K538" s="310">
        <f>+'R1 Opex Detail'!K538</f>
        <v>0</v>
      </c>
      <c r="L538" s="310">
        <f ca="1">+'R1 Opex Detail'!L538</f>
        <v>0</v>
      </c>
      <c r="M538" s="835">
        <f ca="1">+'R1 Opex Detail'!M538*M$2</f>
        <v>0</v>
      </c>
      <c r="N538" s="312">
        <f ca="1">+'R1 Opex Detail'!N538*N$1</f>
        <v>0</v>
      </c>
      <c r="O538" s="310">
        <f ca="1">+'R1 Opex Detail'!O538*O$1</f>
        <v>0</v>
      </c>
      <c r="P538" s="310">
        <f ca="1">+'R1 Opex Detail'!P538*P$1</f>
        <v>0</v>
      </c>
      <c r="Q538" s="310">
        <f ca="1">+'R1 Opex Detail'!Q538*Q$1</f>
        <v>0</v>
      </c>
      <c r="R538" s="310">
        <f ca="1">+'R1 Opex Detail'!R538*R$1</f>
        <v>0</v>
      </c>
      <c r="S538" s="310">
        <f ca="1">+'R1 Opex Detail'!S538*S$1</f>
        <v>0</v>
      </c>
    </row>
    <row r="539" spans="1:19">
      <c r="A539" s="5"/>
      <c r="B539" s="249"/>
      <c r="C539" s="13" t="s">
        <v>70</v>
      </c>
      <c r="D539" s="312">
        <f>+'R1 Opex Detail'!D539</f>
        <v>0</v>
      </c>
      <c r="E539" s="310">
        <f>+'R1 Opex Detail'!E539</f>
        <v>0</v>
      </c>
      <c r="F539" s="310">
        <f>+'R1 Opex Detail'!F539</f>
        <v>0</v>
      </c>
      <c r="G539" s="310">
        <f>+'R1 Opex Detail'!G539</f>
        <v>0</v>
      </c>
      <c r="H539" s="310">
        <f>+'R1 Opex Detail'!H539</f>
        <v>0</v>
      </c>
      <c r="I539" s="310">
        <f>+'R1 Opex Detail'!I539</f>
        <v>0</v>
      </c>
      <c r="J539" s="310">
        <f>+'R1 Opex Detail'!J539</f>
        <v>0</v>
      </c>
      <c r="K539" s="310">
        <f>+'R1 Opex Detail'!K539</f>
        <v>0</v>
      </c>
      <c r="L539" s="310">
        <f ca="1">+'R1 Opex Detail'!L539</f>
        <v>0</v>
      </c>
      <c r="M539" s="835">
        <f ca="1">+'R1 Opex Detail'!M539*M$2</f>
        <v>0</v>
      </c>
      <c r="N539" s="312">
        <f ca="1">+'R1 Opex Detail'!N539*N$1</f>
        <v>0</v>
      </c>
      <c r="O539" s="310">
        <f ca="1">+'R1 Opex Detail'!O539*O$1</f>
        <v>0</v>
      </c>
      <c r="P539" s="310">
        <f ca="1">+'R1 Opex Detail'!P539*P$1</f>
        <v>0</v>
      </c>
      <c r="Q539" s="310">
        <f ca="1">+'R1 Opex Detail'!Q539*Q$1</f>
        <v>0</v>
      </c>
      <c r="R539" s="310">
        <f ca="1">+'R1 Opex Detail'!R539*R$1</f>
        <v>0</v>
      </c>
      <c r="S539" s="310">
        <f ca="1">+'R1 Opex Detail'!S539*S$1</f>
        <v>0</v>
      </c>
    </row>
    <row r="540" spans="1:19">
      <c r="A540" s="5"/>
      <c r="B540" s="249"/>
      <c r="C540" s="12" t="s">
        <v>75</v>
      </c>
      <c r="D540" s="313">
        <f t="shared" ref="D540:S540" si="65">SUBTOTAL(9,D534:D539)</f>
        <v>0</v>
      </c>
      <c r="E540" s="311">
        <f t="shared" si="65"/>
        <v>0</v>
      </c>
      <c r="F540" s="311">
        <f t="shared" si="65"/>
        <v>0</v>
      </c>
      <c r="G540" s="311">
        <f t="shared" si="65"/>
        <v>0</v>
      </c>
      <c r="H540" s="311">
        <f t="shared" si="65"/>
        <v>0</v>
      </c>
      <c r="I540" s="311">
        <f t="shared" si="65"/>
        <v>0</v>
      </c>
      <c r="J540" s="311">
        <f t="shared" si="65"/>
        <v>0</v>
      </c>
      <c r="K540" s="311">
        <f t="shared" si="65"/>
        <v>0</v>
      </c>
      <c r="L540" s="311">
        <f t="shared" ca="1" si="65"/>
        <v>0</v>
      </c>
      <c r="M540" s="513">
        <f t="shared" ca="1" si="65"/>
        <v>0</v>
      </c>
      <c r="N540" s="313">
        <f t="shared" ca="1" si="65"/>
        <v>0.93862753846153868</v>
      </c>
      <c r="O540" s="311">
        <f t="shared" ca="1" si="65"/>
        <v>0.96412838195998618</v>
      </c>
      <c r="P540" s="311">
        <f t="shared" ca="1" si="65"/>
        <v>1.4030055835113271</v>
      </c>
      <c r="Q540" s="311">
        <f t="shared" ca="1" si="65"/>
        <v>1.4309189667764799</v>
      </c>
      <c r="R540" s="311">
        <f t="shared" ca="1" si="65"/>
        <v>1.4608509283858189</v>
      </c>
      <c r="S540" s="311">
        <f t="shared" ca="1" si="65"/>
        <v>1.4912947698532639</v>
      </c>
    </row>
    <row r="541" spans="1:19">
      <c r="A541" s="5"/>
      <c r="B541" s="249"/>
      <c r="C541" s="12"/>
      <c r="D541" s="263"/>
      <c r="E541" s="263"/>
      <c r="F541" s="263"/>
      <c r="G541" s="263"/>
      <c r="H541" s="263"/>
      <c r="I541" s="263"/>
      <c r="J541" s="263"/>
      <c r="K541" s="263"/>
      <c r="L541" s="263"/>
      <c r="M541" s="836"/>
      <c r="N541" s="263"/>
      <c r="O541" s="263"/>
      <c r="P541" s="263"/>
      <c r="Q541" s="263"/>
      <c r="R541" s="263"/>
      <c r="S541" s="263"/>
    </row>
    <row r="542" spans="1:19">
      <c r="A542" s="5"/>
      <c r="B542" s="249" t="str">
        <f ca="1">+'I-4 History'!B534</f>
        <v>A-35</v>
      </c>
      <c r="C542" s="262" t="str">
        <f ca="1">+'I-4 History'!C534</f>
        <v>Works Coordination</v>
      </c>
      <c r="D542" s="11"/>
      <c r="E542" s="11"/>
      <c r="F542" s="11"/>
      <c r="G542" s="11"/>
      <c r="H542" s="11"/>
      <c r="I542" s="11"/>
      <c r="J542" s="11"/>
      <c r="K542" s="11"/>
      <c r="L542" s="11"/>
      <c r="M542" s="507"/>
      <c r="N542" s="11"/>
      <c r="O542" s="11"/>
      <c r="P542" s="11"/>
      <c r="Q542" s="11"/>
      <c r="R542" s="11"/>
      <c r="S542" s="11"/>
    </row>
    <row r="543" spans="1:19">
      <c r="A543" s="5"/>
      <c r="B543" s="249"/>
      <c r="C543" s="13" t="s">
        <v>68</v>
      </c>
      <c r="D543" s="312">
        <f>+'R1 Opex Detail'!D543</f>
        <v>0</v>
      </c>
      <c r="E543" s="310">
        <f>+'R1 Opex Detail'!E543</f>
        <v>0</v>
      </c>
      <c r="F543" s="310">
        <f>+'R1 Opex Detail'!F543</f>
        <v>0</v>
      </c>
      <c r="G543" s="310">
        <f>+'R1 Opex Detail'!G543</f>
        <v>0</v>
      </c>
      <c r="H543" s="310">
        <f>+'R1 Opex Detail'!H543</f>
        <v>0</v>
      </c>
      <c r="I543" s="310">
        <f>+'R1 Opex Detail'!I543</f>
        <v>0</v>
      </c>
      <c r="J543" s="310">
        <f>+'R1 Opex Detail'!J543</f>
        <v>0</v>
      </c>
      <c r="K543" s="310">
        <f>+'R1 Opex Detail'!K543</f>
        <v>0</v>
      </c>
      <c r="L543" s="310">
        <f ca="1">+'R1 Opex Detail'!L543</f>
        <v>0</v>
      </c>
      <c r="M543" s="835">
        <f ca="1">+'R1 Opex Detail'!M543*M$2</f>
        <v>0</v>
      </c>
      <c r="N543" s="312">
        <f ca="1">+'R1 Opex Detail'!N543*N$1</f>
        <v>2.952335076923077</v>
      </c>
      <c r="O543" s="310">
        <f ca="1">+'R1 Opex Detail'!O543*O$1</f>
        <v>3.0476824869200665</v>
      </c>
      <c r="P543" s="310">
        <f ca="1">+'R1 Opex Detail'!P543*P$1</f>
        <v>3.1433630469931564</v>
      </c>
      <c r="Q543" s="310">
        <f ca="1">+'R1 Opex Detail'!Q543*Q$1</f>
        <v>3.245121559744474</v>
      </c>
      <c r="R543" s="310">
        <f ca="1">+'R1 Opex Detail'!R543*R$1</f>
        <v>3.3525345597810761</v>
      </c>
      <c r="S543" s="310">
        <f ca="1">+'R1 Opex Detail'!S543*S$1</f>
        <v>3.4602301772033779</v>
      </c>
    </row>
    <row r="544" spans="1:19">
      <c r="A544" s="5"/>
      <c r="B544" s="249"/>
      <c r="C544" s="13" t="s">
        <v>69</v>
      </c>
      <c r="D544" s="312">
        <f>+'R1 Opex Detail'!D544</f>
        <v>0</v>
      </c>
      <c r="E544" s="310">
        <f>+'R1 Opex Detail'!E544</f>
        <v>0</v>
      </c>
      <c r="F544" s="310">
        <f>+'R1 Opex Detail'!F544</f>
        <v>0</v>
      </c>
      <c r="G544" s="310">
        <f>+'R1 Opex Detail'!G544</f>
        <v>0</v>
      </c>
      <c r="H544" s="310">
        <f>+'R1 Opex Detail'!H544</f>
        <v>0</v>
      </c>
      <c r="I544" s="310">
        <f>+'R1 Opex Detail'!I544</f>
        <v>0</v>
      </c>
      <c r="J544" s="310">
        <f>+'R1 Opex Detail'!J544</f>
        <v>0</v>
      </c>
      <c r="K544" s="310">
        <f>+'R1 Opex Detail'!K544</f>
        <v>0</v>
      </c>
      <c r="L544" s="310">
        <f ca="1">+'R1 Opex Detail'!L544</f>
        <v>0</v>
      </c>
      <c r="M544" s="835">
        <f ca="1">+'R1 Opex Detail'!M544*M$2</f>
        <v>0</v>
      </c>
      <c r="N544" s="312">
        <f ca="1">+'R1 Opex Detail'!N544*N$1</f>
        <v>1.6539692307692311E-2</v>
      </c>
      <c r="O544" s="310">
        <f ca="1">+'R1 Opex Detail'!O544*O$1</f>
        <v>1.6715177753061392E-2</v>
      </c>
      <c r="P544" s="310">
        <f ca="1">+'R1 Opex Detail'!P544*P$1</f>
        <v>1.6877780077499887E-2</v>
      </c>
      <c r="Q544" s="310">
        <f ca="1">+'R1 Opex Detail'!Q544*Q$1</f>
        <v>1.7038510669633834E-2</v>
      </c>
      <c r="R544" s="310">
        <f ca="1">+'R1 Opex Detail'!R544*R$1</f>
        <v>1.7212890452938959E-2</v>
      </c>
      <c r="S544" s="310">
        <f ca="1">+'R1 Opex Detail'!S544*S$1</f>
        <v>1.7372623639510334E-2</v>
      </c>
    </row>
    <row r="545" spans="1:19" s="759" customFormat="1">
      <c r="A545" s="5"/>
      <c r="B545" s="249"/>
      <c r="C545" s="13" t="s">
        <v>646</v>
      </c>
      <c r="D545" s="312">
        <f>+'R1 Opex Detail'!D545</f>
        <v>0</v>
      </c>
      <c r="E545" s="310">
        <f>+'R1 Opex Detail'!E545</f>
        <v>0</v>
      </c>
      <c r="F545" s="310">
        <f>+'R1 Opex Detail'!F545</f>
        <v>0</v>
      </c>
      <c r="G545" s="310">
        <f>+'R1 Opex Detail'!G545</f>
        <v>0</v>
      </c>
      <c r="H545" s="310">
        <f>+'R1 Opex Detail'!H545</f>
        <v>0</v>
      </c>
      <c r="I545" s="310">
        <f>+'R1 Opex Detail'!I545</f>
        <v>0</v>
      </c>
      <c r="J545" s="310">
        <f>+'R1 Opex Detail'!J545</f>
        <v>0</v>
      </c>
      <c r="K545" s="310">
        <f>+'R1 Opex Detail'!K545</f>
        <v>0</v>
      </c>
      <c r="L545" s="310">
        <f ca="1">+'R1 Opex Detail'!L545</f>
        <v>0</v>
      </c>
      <c r="M545" s="835">
        <f ca="1">+'R1 Opex Detail'!M545*M$2</f>
        <v>0</v>
      </c>
      <c r="N545" s="312">
        <f ca="1">+'R1 Opex Detail'!N545*N$1</f>
        <v>0</v>
      </c>
      <c r="O545" s="310">
        <f ca="1">+'R1 Opex Detail'!O545*O$1</f>
        <v>0</v>
      </c>
      <c r="P545" s="310">
        <f ca="1">+'R1 Opex Detail'!P545*P$1</f>
        <v>0</v>
      </c>
      <c r="Q545" s="310">
        <f ca="1">+'R1 Opex Detail'!Q545*Q$1</f>
        <v>0</v>
      </c>
      <c r="R545" s="310">
        <f ca="1">+'R1 Opex Detail'!R545*R$1</f>
        <v>0</v>
      </c>
      <c r="S545" s="310">
        <f ca="1">+'R1 Opex Detail'!S545*S$1</f>
        <v>0</v>
      </c>
    </row>
    <row r="546" spans="1:19">
      <c r="A546" s="5"/>
      <c r="B546" s="249"/>
      <c r="C546" s="13" t="s">
        <v>647</v>
      </c>
      <c r="D546" s="312">
        <f>+'R1 Opex Detail'!D546</f>
        <v>0</v>
      </c>
      <c r="E546" s="310">
        <f>+'R1 Opex Detail'!E546</f>
        <v>0</v>
      </c>
      <c r="F546" s="310">
        <f>+'R1 Opex Detail'!F546</f>
        <v>0</v>
      </c>
      <c r="G546" s="310">
        <f>+'R1 Opex Detail'!G546</f>
        <v>0</v>
      </c>
      <c r="H546" s="310">
        <f>+'R1 Opex Detail'!H546</f>
        <v>0</v>
      </c>
      <c r="I546" s="310">
        <f>+'R1 Opex Detail'!I546</f>
        <v>0</v>
      </c>
      <c r="J546" s="310">
        <f>+'R1 Opex Detail'!J546</f>
        <v>0</v>
      </c>
      <c r="K546" s="310">
        <f>+'R1 Opex Detail'!K546</f>
        <v>0</v>
      </c>
      <c r="L546" s="310">
        <f ca="1">+'R1 Opex Detail'!L546</f>
        <v>0</v>
      </c>
      <c r="M546" s="835">
        <f ca="1">+'R1 Opex Detail'!M546*M$2</f>
        <v>0</v>
      </c>
      <c r="N546" s="312">
        <f ca="1">+'R1 Opex Detail'!N546*N$1</f>
        <v>9.6136961538461546E-2</v>
      </c>
      <c r="O546" s="310">
        <f ca="1">+'R1 Opex Detail'!O546*O$1</f>
        <v>9.764275554311766E-2</v>
      </c>
      <c r="P546" s="310">
        <f ca="1">+'R1 Opex Detail'!P546*P$1</f>
        <v>9.908557021989027E-2</v>
      </c>
      <c r="Q546" s="310">
        <f ca="1">+'R1 Opex Detail'!Q546*Q$1</f>
        <v>0.10092944525197724</v>
      </c>
      <c r="R546" s="310">
        <f ca="1">+'R1 Opex Detail'!R546*R$1</f>
        <v>0.10303300782709741</v>
      </c>
      <c r="S546" s="310">
        <f ca="1">+'R1 Opex Detail'!S546*S$1</f>
        <v>0.10528900379774871</v>
      </c>
    </row>
    <row r="547" spans="1:19" s="759" customFormat="1">
      <c r="A547" s="5"/>
      <c r="B547" s="249"/>
      <c r="C547" s="13" t="s">
        <v>575</v>
      </c>
      <c r="D547" s="312">
        <f>+'R1 Opex Detail'!D547</f>
        <v>0</v>
      </c>
      <c r="E547" s="310">
        <f>+'R1 Opex Detail'!E547</f>
        <v>0</v>
      </c>
      <c r="F547" s="310">
        <f>+'R1 Opex Detail'!F547</f>
        <v>0</v>
      </c>
      <c r="G547" s="310">
        <f>+'R1 Opex Detail'!G547</f>
        <v>0</v>
      </c>
      <c r="H547" s="310">
        <f>+'R1 Opex Detail'!H547</f>
        <v>0</v>
      </c>
      <c r="I547" s="310">
        <f>+'R1 Opex Detail'!I547</f>
        <v>0</v>
      </c>
      <c r="J547" s="310">
        <f>+'R1 Opex Detail'!J547</f>
        <v>0</v>
      </c>
      <c r="K547" s="310">
        <f>+'R1 Opex Detail'!K547</f>
        <v>0</v>
      </c>
      <c r="L547" s="310">
        <f ca="1">+'R1 Opex Detail'!L547</f>
        <v>0</v>
      </c>
      <c r="M547" s="835">
        <f ca="1">+'R1 Opex Detail'!M547*M$2</f>
        <v>0</v>
      </c>
      <c r="N547" s="312">
        <f ca="1">+'R1 Opex Detail'!N547*N$1</f>
        <v>0</v>
      </c>
      <c r="O547" s="310">
        <f ca="1">+'R1 Opex Detail'!O547*O$1</f>
        <v>0</v>
      </c>
      <c r="P547" s="310">
        <f ca="1">+'R1 Opex Detail'!P547*P$1</f>
        <v>0</v>
      </c>
      <c r="Q547" s="310">
        <f ca="1">+'R1 Opex Detail'!Q547*Q$1</f>
        <v>0</v>
      </c>
      <c r="R547" s="310">
        <f ca="1">+'R1 Opex Detail'!R547*R$1</f>
        <v>0</v>
      </c>
      <c r="S547" s="310">
        <f ca="1">+'R1 Opex Detail'!S547*S$1</f>
        <v>0</v>
      </c>
    </row>
    <row r="548" spans="1:19">
      <c r="A548" s="5"/>
      <c r="B548" s="249"/>
      <c r="C548" s="13" t="s">
        <v>70</v>
      </c>
      <c r="D548" s="312">
        <f>+'R1 Opex Detail'!D548</f>
        <v>0</v>
      </c>
      <c r="E548" s="310">
        <f>+'R1 Opex Detail'!E548</f>
        <v>0</v>
      </c>
      <c r="F548" s="310">
        <f>+'R1 Opex Detail'!F548</f>
        <v>0</v>
      </c>
      <c r="G548" s="310">
        <f>+'R1 Opex Detail'!G548</f>
        <v>0</v>
      </c>
      <c r="H548" s="310">
        <f>+'R1 Opex Detail'!H548</f>
        <v>0</v>
      </c>
      <c r="I548" s="310">
        <f>+'R1 Opex Detail'!I548</f>
        <v>0</v>
      </c>
      <c r="J548" s="310">
        <f>+'R1 Opex Detail'!J548</f>
        <v>0</v>
      </c>
      <c r="K548" s="310">
        <f>+'R1 Opex Detail'!K548</f>
        <v>0</v>
      </c>
      <c r="L548" s="310">
        <f ca="1">+'R1 Opex Detail'!L548</f>
        <v>0</v>
      </c>
      <c r="M548" s="835">
        <f ca="1">+'R1 Opex Detail'!M548*M$2</f>
        <v>0</v>
      </c>
      <c r="N548" s="312">
        <f ca="1">+'R1 Opex Detail'!N548*N$1</f>
        <v>0</v>
      </c>
      <c r="O548" s="310">
        <f ca="1">+'R1 Opex Detail'!O548*O$1</f>
        <v>0</v>
      </c>
      <c r="P548" s="310">
        <f ca="1">+'R1 Opex Detail'!P548*P$1</f>
        <v>0</v>
      </c>
      <c r="Q548" s="310">
        <f ca="1">+'R1 Opex Detail'!Q548*Q$1</f>
        <v>0</v>
      </c>
      <c r="R548" s="310">
        <f ca="1">+'R1 Opex Detail'!R548*R$1</f>
        <v>0</v>
      </c>
      <c r="S548" s="310">
        <f ca="1">+'R1 Opex Detail'!S548*S$1</f>
        <v>0</v>
      </c>
    </row>
    <row r="549" spans="1:19">
      <c r="A549" s="5"/>
      <c r="B549" s="249"/>
      <c r="C549" s="12" t="s">
        <v>75</v>
      </c>
      <c r="D549" s="313">
        <f t="shared" ref="D549:S549" si="66">SUBTOTAL(9,D543:D548)</f>
        <v>0</v>
      </c>
      <c r="E549" s="311">
        <f t="shared" si="66"/>
        <v>0</v>
      </c>
      <c r="F549" s="311">
        <f t="shared" si="66"/>
        <v>0</v>
      </c>
      <c r="G549" s="311">
        <f t="shared" si="66"/>
        <v>0</v>
      </c>
      <c r="H549" s="311">
        <f t="shared" si="66"/>
        <v>0</v>
      </c>
      <c r="I549" s="311">
        <f t="shared" si="66"/>
        <v>0</v>
      </c>
      <c r="J549" s="311">
        <f t="shared" si="66"/>
        <v>0</v>
      </c>
      <c r="K549" s="311">
        <f t="shared" si="66"/>
        <v>0</v>
      </c>
      <c r="L549" s="311">
        <f t="shared" ca="1" si="66"/>
        <v>0</v>
      </c>
      <c r="M549" s="513">
        <f t="shared" ca="1" si="66"/>
        <v>0</v>
      </c>
      <c r="N549" s="313">
        <f t="shared" ca="1" si="66"/>
        <v>3.0650117307692311</v>
      </c>
      <c r="O549" s="311">
        <f t="shared" ca="1" si="66"/>
        <v>3.1620404202162455</v>
      </c>
      <c r="P549" s="311">
        <f t="shared" ca="1" si="66"/>
        <v>3.2593263972905464</v>
      </c>
      <c r="Q549" s="311">
        <f t="shared" ca="1" si="66"/>
        <v>3.3630895156660854</v>
      </c>
      <c r="R549" s="311">
        <f t="shared" ca="1" si="66"/>
        <v>3.4727804580611128</v>
      </c>
      <c r="S549" s="311">
        <f t="shared" ca="1" si="66"/>
        <v>3.5828918046406368</v>
      </c>
    </row>
    <row r="550" spans="1:19">
      <c r="A550" s="5"/>
      <c r="B550" s="249"/>
      <c r="C550" s="12"/>
      <c r="D550" s="263"/>
      <c r="E550" s="263"/>
      <c r="F550" s="263"/>
      <c r="G550" s="263"/>
      <c r="H550" s="263"/>
      <c r="I550" s="263"/>
      <c r="J550" s="263"/>
      <c r="K550" s="263"/>
      <c r="L550" s="263"/>
      <c r="M550" s="836"/>
      <c r="N550" s="263"/>
      <c r="O550" s="263"/>
      <c r="P550" s="263"/>
      <c r="Q550" s="263"/>
      <c r="R550" s="263"/>
      <c r="S550" s="263"/>
    </row>
    <row r="551" spans="1:19" ht="17.25" customHeight="1" thickBot="1">
      <c r="A551" s="5"/>
      <c r="B551" s="250"/>
      <c r="C551" s="269" t="str">
        <f>CONCATENATE("Total ", +C513)</f>
        <v xml:space="preserve">Total Services </v>
      </c>
      <c r="D551" s="314">
        <f t="shared" ref="D551:S551" si="67">SUBTOTAL(9,D515:D550)</f>
        <v>0</v>
      </c>
      <c r="E551" s="314">
        <f t="shared" si="67"/>
        <v>0</v>
      </c>
      <c r="F551" s="314">
        <f t="shared" si="67"/>
        <v>0</v>
      </c>
      <c r="G551" s="314">
        <f t="shared" si="67"/>
        <v>0</v>
      </c>
      <c r="H551" s="314">
        <f t="shared" si="67"/>
        <v>0</v>
      </c>
      <c r="I551" s="314">
        <f t="shared" si="67"/>
        <v>0</v>
      </c>
      <c r="J551" s="314">
        <f t="shared" si="67"/>
        <v>0</v>
      </c>
      <c r="K551" s="314">
        <f t="shared" si="67"/>
        <v>0</v>
      </c>
      <c r="L551" s="314">
        <f t="shared" ca="1" si="67"/>
        <v>0</v>
      </c>
      <c r="M551" s="843">
        <f t="shared" ca="1" si="67"/>
        <v>0</v>
      </c>
      <c r="N551" s="314">
        <f t="shared" ca="1" si="67"/>
        <v>6.8164206923076929</v>
      </c>
      <c r="O551" s="314">
        <f t="shared" ca="1" si="67"/>
        <v>7.021104406823345</v>
      </c>
      <c r="P551" s="314">
        <f t="shared" ca="1" si="67"/>
        <v>8.2513097873027874</v>
      </c>
      <c r="Q551" s="314">
        <f t="shared" ca="1" si="67"/>
        <v>8.7860707064251748</v>
      </c>
      <c r="R551" s="314">
        <f t="shared" ca="1" si="67"/>
        <v>9.020262520674752</v>
      </c>
      <c r="S551" s="314">
        <f t="shared" ca="1" si="67"/>
        <v>9.360759150252747</v>
      </c>
    </row>
    <row r="552" spans="1:19" ht="18">
      <c r="B552" s="251"/>
      <c r="C552" s="255" t="str">
        <f>+'I-3 Allocated'!A40</f>
        <v xml:space="preserve">Other </v>
      </c>
      <c r="D552" s="266"/>
      <c r="E552" s="266"/>
      <c r="F552" s="266"/>
      <c r="G552" s="266"/>
      <c r="H552" s="266"/>
      <c r="I552" s="266"/>
      <c r="J552" s="266"/>
      <c r="K552" s="266"/>
      <c r="L552" s="266"/>
      <c r="M552" s="842"/>
      <c r="N552" s="266"/>
      <c r="O552" s="266"/>
      <c r="P552" s="266"/>
      <c r="Q552" s="266"/>
      <c r="R552" s="266"/>
      <c r="S552" s="266"/>
    </row>
    <row r="553" spans="1:19">
      <c r="A553" s="5"/>
      <c r="B553" s="249" t="str">
        <f ca="1">+'I-4 History'!B544</f>
        <v>A-36</v>
      </c>
      <c r="C553" s="14" t="str">
        <f ca="1">+'I-4 History'!C544</f>
        <v>Employee Bonuses</v>
      </c>
      <c r="D553" s="11"/>
      <c r="E553" s="11"/>
      <c r="F553" s="11"/>
      <c r="G553" s="11"/>
      <c r="H553" s="11"/>
      <c r="I553" s="11"/>
      <c r="J553" s="11"/>
      <c r="K553" s="11"/>
      <c r="L553" s="11"/>
      <c r="M553" s="507"/>
      <c r="N553" s="11"/>
      <c r="O553" s="11"/>
      <c r="P553" s="11"/>
      <c r="Q553" s="11"/>
      <c r="R553" s="11"/>
      <c r="S553" s="11"/>
    </row>
    <row r="554" spans="1:19">
      <c r="B554" s="249"/>
      <c r="C554" s="13" t="s">
        <v>68</v>
      </c>
      <c r="D554" s="312">
        <f>+'R1 Opex Detail'!D554</f>
        <v>0</v>
      </c>
      <c r="E554" s="310">
        <f>+'R1 Opex Detail'!E554</f>
        <v>0</v>
      </c>
      <c r="F554" s="310">
        <f>+'R1 Opex Detail'!F554</f>
        <v>0</v>
      </c>
      <c r="G554" s="310">
        <f>+'R1 Opex Detail'!G554</f>
        <v>0</v>
      </c>
      <c r="H554" s="310">
        <f>+'R1 Opex Detail'!H554</f>
        <v>0</v>
      </c>
      <c r="I554" s="310">
        <f>+'R1 Opex Detail'!I554</f>
        <v>0</v>
      </c>
      <c r="J554" s="310">
        <f>+'R1 Opex Detail'!J554</f>
        <v>0</v>
      </c>
      <c r="K554" s="310">
        <f>+'R1 Opex Detail'!K554</f>
        <v>0</v>
      </c>
      <c r="L554" s="310">
        <f ca="1">+'R1 Opex Detail'!L554</f>
        <v>0</v>
      </c>
      <c r="M554" s="835">
        <f ca="1">+'R1 Opex Detail'!M554*M$2</f>
        <v>0</v>
      </c>
      <c r="N554" s="312">
        <f ca="1">+'R1 Opex Detail'!N554*N$1</f>
        <v>3.5177858076923081</v>
      </c>
      <c r="O554" s="310">
        <f ca="1">+'R1 Opex Detail'!O554*O$1</f>
        <v>3.6313947839597294</v>
      </c>
      <c r="P554" s="310">
        <f ca="1">+'R1 Opex Detail'!P554*P$1</f>
        <v>3.7454007174081623</v>
      </c>
      <c r="Q554" s="310">
        <f ca="1">+'R1 Opex Detail'!Q554*Q$1</f>
        <v>3.8666486932109403</v>
      </c>
      <c r="R554" s="310">
        <f ca="1">+'R1 Opex Detail'!R554*R$1</f>
        <v>3.9946341410836839</v>
      </c>
      <c r="S554" s="310">
        <f ca="1">+'R1 Opex Detail'!S554*S$1</f>
        <v>4.1229563350921197</v>
      </c>
    </row>
    <row r="555" spans="1:19">
      <c r="B555" s="249"/>
      <c r="C555" s="13" t="s">
        <v>69</v>
      </c>
      <c r="D555" s="312">
        <f>+'R1 Opex Detail'!D555</f>
        <v>0</v>
      </c>
      <c r="E555" s="310">
        <f>+'R1 Opex Detail'!E555</f>
        <v>0</v>
      </c>
      <c r="F555" s="310">
        <f>+'R1 Opex Detail'!F555</f>
        <v>0</v>
      </c>
      <c r="G555" s="310">
        <f>+'R1 Opex Detail'!G555</f>
        <v>0</v>
      </c>
      <c r="H555" s="310">
        <f>+'R1 Opex Detail'!H555</f>
        <v>0</v>
      </c>
      <c r="I555" s="310">
        <f>+'R1 Opex Detail'!I555</f>
        <v>0</v>
      </c>
      <c r="J555" s="310">
        <f>+'R1 Opex Detail'!J555</f>
        <v>0</v>
      </c>
      <c r="K555" s="310">
        <f>+'R1 Opex Detail'!K555</f>
        <v>0</v>
      </c>
      <c r="L555" s="310">
        <f ca="1">+'R1 Opex Detail'!L555</f>
        <v>0</v>
      </c>
      <c r="M555" s="835">
        <f ca="1">+'R1 Opex Detail'!M555*M$2</f>
        <v>0</v>
      </c>
      <c r="N555" s="312">
        <f ca="1">+'R1 Opex Detail'!N555*N$1</f>
        <v>0</v>
      </c>
      <c r="O555" s="310">
        <f ca="1">+'R1 Opex Detail'!O555*O$1</f>
        <v>0</v>
      </c>
      <c r="P555" s="310">
        <f ca="1">+'R1 Opex Detail'!P555*P$1</f>
        <v>0</v>
      </c>
      <c r="Q555" s="310">
        <f ca="1">+'R1 Opex Detail'!Q555*Q$1</f>
        <v>0</v>
      </c>
      <c r="R555" s="310">
        <f ca="1">+'R1 Opex Detail'!R555*R$1</f>
        <v>0</v>
      </c>
      <c r="S555" s="310">
        <f ca="1">+'R1 Opex Detail'!S555*S$1</f>
        <v>0</v>
      </c>
    </row>
    <row r="556" spans="1:19" s="759" customFormat="1">
      <c r="B556" s="249"/>
      <c r="C556" s="13" t="s">
        <v>646</v>
      </c>
      <c r="D556" s="312">
        <f>+'R1 Opex Detail'!D556</f>
        <v>0</v>
      </c>
      <c r="E556" s="310">
        <f>+'R1 Opex Detail'!E556</f>
        <v>0</v>
      </c>
      <c r="F556" s="310">
        <f>+'R1 Opex Detail'!F556</f>
        <v>0</v>
      </c>
      <c r="G556" s="310">
        <f>+'R1 Opex Detail'!G556</f>
        <v>0</v>
      </c>
      <c r="H556" s="310">
        <f>+'R1 Opex Detail'!H556</f>
        <v>0</v>
      </c>
      <c r="I556" s="310">
        <f>+'R1 Opex Detail'!I556</f>
        <v>0</v>
      </c>
      <c r="J556" s="310">
        <f>+'R1 Opex Detail'!J556</f>
        <v>0</v>
      </c>
      <c r="K556" s="310">
        <f>+'R1 Opex Detail'!K556</f>
        <v>0</v>
      </c>
      <c r="L556" s="310">
        <f ca="1">+'R1 Opex Detail'!L556</f>
        <v>0</v>
      </c>
      <c r="M556" s="835">
        <f ca="1">+'R1 Opex Detail'!M556*M$2</f>
        <v>0</v>
      </c>
      <c r="N556" s="312">
        <f ca="1">+'R1 Opex Detail'!N556*N$1</f>
        <v>0</v>
      </c>
      <c r="O556" s="310">
        <f ca="1">+'R1 Opex Detail'!O556*O$1</f>
        <v>0</v>
      </c>
      <c r="P556" s="310">
        <f ca="1">+'R1 Opex Detail'!P556*P$1</f>
        <v>0</v>
      </c>
      <c r="Q556" s="310">
        <f ca="1">+'R1 Opex Detail'!Q556*Q$1</f>
        <v>0</v>
      </c>
      <c r="R556" s="310">
        <f ca="1">+'R1 Opex Detail'!R556*R$1</f>
        <v>0</v>
      </c>
      <c r="S556" s="310">
        <f ca="1">+'R1 Opex Detail'!S556*S$1</f>
        <v>0</v>
      </c>
    </row>
    <row r="557" spans="1:19">
      <c r="B557" s="249"/>
      <c r="C557" s="13" t="s">
        <v>647</v>
      </c>
      <c r="D557" s="312">
        <f>+'R1 Opex Detail'!D557</f>
        <v>0</v>
      </c>
      <c r="E557" s="310">
        <f>+'R1 Opex Detail'!E557</f>
        <v>0</v>
      </c>
      <c r="F557" s="310">
        <f>+'R1 Opex Detail'!F557</f>
        <v>0</v>
      </c>
      <c r="G557" s="310">
        <f>+'R1 Opex Detail'!G557</f>
        <v>0</v>
      </c>
      <c r="H557" s="310">
        <f>+'R1 Opex Detail'!H557</f>
        <v>0</v>
      </c>
      <c r="I557" s="310">
        <f>+'R1 Opex Detail'!I557</f>
        <v>0</v>
      </c>
      <c r="J557" s="310">
        <f>+'R1 Opex Detail'!J557</f>
        <v>0</v>
      </c>
      <c r="K557" s="310">
        <f>+'R1 Opex Detail'!K557</f>
        <v>0</v>
      </c>
      <c r="L557" s="310">
        <f ca="1">+'R1 Opex Detail'!L557</f>
        <v>0</v>
      </c>
      <c r="M557" s="835">
        <f ca="1">+'R1 Opex Detail'!M557*M$2</f>
        <v>0</v>
      </c>
      <c r="N557" s="312">
        <f ca="1">+'R1 Opex Detail'!N557*N$1</f>
        <v>0</v>
      </c>
      <c r="O557" s="310">
        <f ca="1">+'R1 Opex Detail'!O557*O$1</f>
        <v>0</v>
      </c>
      <c r="P557" s="310">
        <f ca="1">+'R1 Opex Detail'!P557*P$1</f>
        <v>0</v>
      </c>
      <c r="Q557" s="310">
        <f ca="1">+'R1 Opex Detail'!Q557*Q$1</f>
        <v>0</v>
      </c>
      <c r="R557" s="310">
        <f ca="1">+'R1 Opex Detail'!R557*R$1</f>
        <v>0</v>
      </c>
      <c r="S557" s="310">
        <f ca="1">+'R1 Opex Detail'!S557*S$1</f>
        <v>0</v>
      </c>
    </row>
    <row r="558" spans="1:19" s="759" customFormat="1">
      <c r="B558" s="249"/>
      <c r="C558" s="13" t="s">
        <v>575</v>
      </c>
      <c r="D558" s="312">
        <f>+'R1 Opex Detail'!D558</f>
        <v>0</v>
      </c>
      <c r="E558" s="310">
        <f>+'R1 Opex Detail'!E558</f>
        <v>0</v>
      </c>
      <c r="F558" s="310">
        <f>+'R1 Opex Detail'!F558</f>
        <v>0</v>
      </c>
      <c r="G558" s="310">
        <f>+'R1 Opex Detail'!G558</f>
        <v>0</v>
      </c>
      <c r="H558" s="310">
        <f>+'R1 Opex Detail'!H558</f>
        <v>0</v>
      </c>
      <c r="I558" s="310">
        <f>+'R1 Opex Detail'!I558</f>
        <v>0</v>
      </c>
      <c r="J558" s="310">
        <f>+'R1 Opex Detail'!J558</f>
        <v>0</v>
      </c>
      <c r="K558" s="310">
        <f>+'R1 Opex Detail'!K558</f>
        <v>0</v>
      </c>
      <c r="L558" s="310">
        <f ca="1">+'R1 Opex Detail'!L558</f>
        <v>0</v>
      </c>
      <c r="M558" s="835">
        <f ca="1">+'R1 Opex Detail'!M558*M$2</f>
        <v>0</v>
      </c>
      <c r="N558" s="312">
        <f ca="1">+'R1 Opex Detail'!N558*N$1</f>
        <v>0</v>
      </c>
      <c r="O558" s="310">
        <f ca="1">+'R1 Opex Detail'!O558*O$1</f>
        <v>0</v>
      </c>
      <c r="P558" s="310">
        <f ca="1">+'R1 Opex Detail'!P558*P$1</f>
        <v>0</v>
      </c>
      <c r="Q558" s="310">
        <f ca="1">+'R1 Opex Detail'!Q558*Q$1</f>
        <v>0</v>
      </c>
      <c r="R558" s="310">
        <f ca="1">+'R1 Opex Detail'!R558*R$1</f>
        <v>0</v>
      </c>
      <c r="S558" s="310">
        <f ca="1">+'R1 Opex Detail'!S558*S$1</f>
        <v>0</v>
      </c>
    </row>
    <row r="559" spans="1:19">
      <c r="B559" s="249"/>
      <c r="C559" s="13" t="s">
        <v>70</v>
      </c>
      <c r="D559" s="312">
        <f>+'R1 Opex Detail'!D559</f>
        <v>0</v>
      </c>
      <c r="E559" s="310">
        <f>+'R1 Opex Detail'!E559</f>
        <v>0</v>
      </c>
      <c r="F559" s="310">
        <f>+'R1 Opex Detail'!F559</f>
        <v>0</v>
      </c>
      <c r="G559" s="310">
        <f>+'R1 Opex Detail'!G559</f>
        <v>0</v>
      </c>
      <c r="H559" s="310">
        <f>+'R1 Opex Detail'!H559</f>
        <v>0</v>
      </c>
      <c r="I559" s="310">
        <f>+'R1 Opex Detail'!I559</f>
        <v>0</v>
      </c>
      <c r="J559" s="310">
        <f>+'R1 Opex Detail'!J559</f>
        <v>0</v>
      </c>
      <c r="K559" s="310">
        <f>+'R1 Opex Detail'!K559</f>
        <v>0</v>
      </c>
      <c r="L559" s="310">
        <f ca="1">+'R1 Opex Detail'!L559</f>
        <v>0</v>
      </c>
      <c r="M559" s="835">
        <f ca="1">+'R1 Opex Detail'!M559*M$2</f>
        <v>0</v>
      </c>
      <c r="N559" s="312">
        <f ca="1">+'R1 Opex Detail'!N559*N$1</f>
        <v>0</v>
      </c>
      <c r="O559" s="310">
        <f ca="1">+'R1 Opex Detail'!O559*O$1</f>
        <v>0</v>
      </c>
      <c r="P559" s="310">
        <f ca="1">+'R1 Opex Detail'!P559*P$1</f>
        <v>0</v>
      </c>
      <c r="Q559" s="310">
        <f ca="1">+'R1 Opex Detail'!Q559*Q$1</f>
        <v>0</v>
      </c>
      <c r="R559" s="310">
        <f ca="1">+'R1 Opex Detail'!R559*R$1</f>
        <v>0</v>
      </c>
      <c r="S559" s="310">
        <f ca="1">+'R1 Opex Detail'!S559*S$1</f>
        <v>0</v>
      </c>
    </row>
    <row r="560" spans="1:19">
      <c r="B560" s="249"/>
      <c r="C560" s="12" t="s">
        <v>75</v>
      </c>
      <c r="D560" s="313">
        <f t="shared" ref="D560:S560" si="68">SUBTOTAL(9,D554:D559)</f>
        <v>0</v>
      </c>
      <c r="E560" s="311">
        <f t="shared" si="68"/>
        <v>0</v>
      </c>
      <c r="F560" s="311">
        <f t="shared" si="68"/>
        <v>0</v>
      </c>
      <c r="G560" s="311">
        <f t="shared" si="68"/>
        <v>0</v>
      </c>
      <c r="H560" s="311">
        <f t="shared" si="68"/>
        <v>0</v>
      </c>
      <c r="I560" s="311">
        <f t="shared" si="68"/>
        <v>0</v>
      </c>
      <c r="J560" s="311">
        <f t="shared" si="68"/>
        <v>0</v>
      </c>
      <c r="K560" s="311">
        <f t="shared" si="68"/>
        <v>0</v>
      </c>
      <c r="L560" s="311">
        <f t="shared" ca="1" si="68"/>
        <v>0</v>
      </c>
      <c r="M560" s="513">
        <f t="shared" ca="1" si="68"/>
        <v>0</v>
      </c>
      <c r="N560" s="313">
        <f t="shared" ca="1" si="68"/>
        <v>3.5177858076923081</v>
      </c>
      <c r="O560" s="311">
        <f t="shared" ca="1" si="68"/>
        <v>3.6313947839597294</v>
      </c>
      <c r="P560" s="311">
        <f t="shared" ca="1" si="68"/>
        <v>3.7454007174081623</v>
      </c>
      <c r="Q560" s="311">
        <f t="shared" ca="1" si="68"/>
        <v>3.8666486932109403</v>
      </c>
      <c r="R560" s="311">
        <f t="shared" ca="1" si="68"/>
        <v>3.9946341410836839</v>
      </c>
      <c r="S560" s="311">
        <f t="shared" ca="1" si="68"/>
        <v>4.1229563350921197</v>
      </c>
    </row>
    <row r="561" spans="1:19">
      <c r="B561" s="249"/>
      <c r="C561" s="12"/>
      <c r="D561" s="263"/>
      <c r="E561" s="263"/>
      <c r="F561" s="263"/>
      <c r="G561" s="263"/>
      <c r="H561" s="263"/>
      <c r="I561" s="263"/>
      <c r="J561" s="263"/>
      <c r="K561" s="263"/>
      <c r="L561" s="263"/>
      <c r="M561" s="836"/>
      <c r="N561" s="263"/>
      <c r="O561" s="263"/>
      <c r="P561" s="263"/>
      <c r="Q561" s="263"/>
      <c r="R561" s="263"/>
      <c r="S561" s="263"/>
    </row>
    <row r="562" spans="1:19">
      <c r="A562" s="5"/>
      <c r="B562" s="249" t="str">
        <f ca="1">+'I-4 History'!B553</f>
        <v>A-37</v>
      </c>
      <c r="C562" s="14" t="str">
        <f ca="1">+'I-4 History'!C553</f>
        <v>Voluntary Separation Packages (VSP’s)</v>
      </c>
      <c r="D562" s="11"/>
      <c r="E562" s="11"/>
      <c r="F562" s="11"/>
      <c r="G562" s="11"/>
      <c r="H562" s="11"/>
      <c r="I562" s="11"/>
      <c r="J562" s="11"/>
      <c r="K562" s="11"/>
      <c r="L562" s="11"/>
      <c r="M562" s="507"/>
      <c r="N562" s="11"/>
      <c r="O562" s="11"/>
      <c r="P562" s="11"/>
      <c r="Q562" s="11"/>
      <c r="R562" s="11"/>
      <c r="S562" s="11"/>
    </row>
    <row r="563" spans="1:19">
      <c r="B563" s="249"/>
      <c r="C563" s="13" t="s">
        <v>68</v>
      </c>
      <c r="D563" s="312">
        <f>+'R1 Opex Detail'!D563</f>
        <v>0</v>
      </c>
      <c r="E563" s="310">
        <f>+'R1 Opex Detail'!E563</f>
        <v>0</v>
      </c>
      <c r="F563" s="310">
        <f>+'R1 Opex Detail'!F563</f>
        <v>0</v>
      </c>
      <c r="G563" s="310">
        <f>+'R1 Opex Detail'!G563</f>
        <v>0</v>
      </c>
      <c r="H563" s="310">
        <f>+'R1 Opex Detail'!H563</f>
        <v>0</v>
      </c>
      <c r="I563" s="310">
        <f>+'R1 Opex Detail'!I563</f>
        <v>0</v>
      </c>
      <c r="J563" s="310">
        <f>+'R1 Opex Detail'!J563</f>
        <v>0</v>
      </c>
      <c r="K563" s="310">
        <f>+'R1 Opex Detail'!K563</f>
        <v>0</v>
      </c>
      <c r="L563" s="310">
        <f ca="1">+'R1 Opex Detail'!L563</f>
        <v>0</v>
      </c>
      <c r="M563" s="835">
        <f ca="1">+'R1 Opex Detail'!M563*M$2</f>
        <v>0</v>
      </c>
      <c r="N563" s="312">
        <f ca="1">+'R1 Opex Detail'!N563*N$1</f>
        <v>0.41762723076923086</v>
      </c>
      <c r="O563" s="310">
        <f ca="1">+'R1 Opex Detail'!O563*O$1</f>
        <v>0.43111474955031764</v>
      </c>
      <c r="P563" s="310">
        <f ca="1">+'R1 Opex Detail'!P563*P$1</f>
        <v>0.44464939460267339</v>
      </c>
      <c r="Q563" s="310">
        <f ca="1">+'R1 Opex Detail'!Q563*Q$1</f>
        <v>0.45904380607029682</v>
      </c>
      <c r="R563" s="310">
        <f ca="1">+'R1 Opex Detail'!R563*R$1</f>
        <v>0.47423808198583856</v>
      </c>
      <c r="S563" s="310">
        <f ca="1">+'R1 Opex Detail'!S563*S$1</f>
        <v>0.48947233599095397</v>
      </c>
    </row>
    <row r="564" spans="1:19">
      <c r="B564" s="249"/>
      <c r="C564" s="13" t="s">
        <v>69</v>
      </c>
      <c r="D564" s="312">
        <f>+'R1 Opex Detail'!D564</f>
        <v>0</v>
      </c>
      <c r="E564" s="310">
        <f>+'R1 Opex Detail'!E564</f>
        <v>0</v>
      </c>
      <c r="F564" s="310">
        <f>+'R1 Opex Detail'!F564</f>
        <v>0</v>
      </c>
      <c r="G564" s="310">
        <f>+'R1 Opex Detail'!G564</f>
        <v>0</v>
      </c>
      <c r="H564" s="310">
        <f>+'R1 Opex Detail'!H564</f>
        <v>0</v>
      </c>
      <c r="I564" s="310">
        <f>+'R1 Opex Detail'!I564</f>
        <v>0</v>
      </c>
      <c r="J564" s="310">
        <f>+'R1 Opex Detail'!J564</f>
        <v>0</v>
      </c>
      <c r="K564" s="310">
        <f>+'R1 Opex Detail'!K564</f>
        <v>0</v>
      </c>
      <c r="L564" s="310">
        <f ca="1">+'R1 Opex Detail'!L564</f>
        <v>0</v>
      </c>
      <c r="M564" s="835">
        <f ca="1">+'R1 Opex Detail'!M564*M$2</f>
        <v>0</v>
      </c>
      <c r="N564" s="312">
        <f ca="1">+'R1 Opex Detail'!N564*N$1</f>
        <v>0</v>
      </c>
      <c r="O564" s="310">
        <f ca="1">+'R1 Opex Detail'!O564*O$1</f>
        <v>0</v>
      </c>
      <c r="P564" s="310">
        <f ca="1">+'R1 Opex Detail'!P564*P$1</f>
        <v>0</v>
      </c>
      <c r="Q564" s="310">
        <f ca="1">+'R1 Opex Detail'!Q564*Q$1</f>
        <v>0</v>
      </c>
      <c r="R564" s="310">
        <f ca="1">+'R1 Opex Detail'!R564*R$1</f>
        <v>0</v>
      </c>
      <c r="S564" s="310">
        <f ca="1">+'R1 Opex Detail'!S564*S$1</f>
        <v>0</v>
      </c>
    </row>
    <row r="565" spans="1:19" s="759" customFormat="1">
      <c r="B565" s="249"/>
      <c r="C565" s="13" t="s">
        <v>646</v>
      </c>
      <c r="D565" s="312">
        <f>+'R1 Opex Detail'!D565</f>
        <v>0</v>
      </c>
      <c r="E565" s="310">
        <f>+'R1 Opex Detail'!E565</f>
        <v>0</v>
      </c>
      <c r="F565" s="310">
        <f>+'R1 Opex Detail'!F565</f>
        <v>0</v>
      </c>
      <c r="G565" s="310">
        <f>+'R1 Opex Detail'!G565</f>
        <v>0</v>
      </c>
      <c r="H565" s="310">
        <f>+'R1 Opex Detail'!H565</f>
        <v>0</v>
      </c>
      <c r="I565" s="310">
        <f>+'R1 Opex Detail'!I565</f>
        <v>0</v>
      </c>
      <c r="J565" s="310">
        <f>+'R1 Opex Detail'!J565</f>
        <v>0</v>
      </c>
      <c r="K565" s="310">
        <f>+'R1 Opex Detail'!K565</f>
        <v>0</v>
      </c>
      <c r="L565" s="310">
        <f ca="1">+'R1 Opex Detail'!L565</f>
        <v>0</v>
      </c>
      <c r="M565" s="835">
        <f ca="1">+'R1 Opex Detail'!M565*M$2</f>
        <v>0</v>
      </c>
      <c r="N565" s="312">
        <f ca="1">+'R1 Opex Detail'!N565*N$1</f>
        <v>0</v>
      </c>
      <c r="O565" s="310">
        <f ca="1">+'R1 Opex Detail'!O565*O$1</f>
        <v>0</v>
      </c>
      <c r="P565" s="310">
        <f ca="1">+'R1 Opex Detail'!P565*P$1</f>
        <v>0</v>
      </c>
      <c r="Q565" s="310">
        <f ca="1">+'R1 Opex Detail'!Q565*Q$1</f>
        <v>0</v>
      </c>
      <c r="R565" s="310">
        <f ca="1">+'R1 Opex Detail'!R565*R$1</f>
        <v>0</v>
      </c>
      <c r="S565" s="310">
        <f ca="1">+'R1 Opex Detail'!S565*S$1</f>
        <v>0</v>
      </c>
    </row>
    <row r="566" spans="1:19">
      <c r="B566" s="249"/>
      <c r="C566" s="13" t="s">
        <v>647</v>
      </c>
      <c r="D566" s="312">
        <f>+'R1 Opex Detail'!D566</f>
        <v>0</v>
      </c>
      <c r="E566" s="310">
        <f>+'R1 Opex Detail'!E566</f>
        <v>0</v>
      </c>
      <c r="F566" s="310">
        <f>+'R1 Opex Detail'!F566</f>
        <v>0</v>
      </c>
      <c r="G566" s="310">
        <f>+'R1 Opex Detail'!G566</f>
        <v>0</v>
      </c>
      <c r="H566" s="310">
        <f>+'R1 Opex Detail'!H566</f>
        <v>0</v>
      </c>
      <c r="I566" s="310">
        <f>+'R1 Opex Detail'!I566</f>
        <v>0</v>
      </c>
      <c r="J566" s="310">
        <f>+'R1 Opex Detail'!J566</f>
        <v>0</v>
      </c>
      <c r="K566" s="310">
        <f>+'R1 Opex Detail'!K566</f>
        <v>0</v>
      </c>
      <c r="L566" s="310">
        <f ca="1">+'R1 Opex Detail'!L566</f>
        <v>0</v>
      </c>
      <c r="M566" s="835">
        <f ca="1">+'R1 Opex Detail'!M566*M$2</f>
        <v>0</v>
      </c>
      <c r="N566" s="312">
        <f ca="1">+'R1 Opex Detail'!N566*N$1</f>
        <v>0</v>
      </c>
      <c r="O566" s="310">
        <f ca="1">+'R1 Opex Detail'!O566*O$1</f>
        <v>0</v>
      </c>
      <c r="P566" s="310">
        <f ca="1">+'R1 Opex Detail'!P566*P$1</f>
        <v>0</v>
      </c>
      <c r="Q566" s="310">
        <f ca="1">+'R1 Opex Detail'!Q566*Q$1</f>
        <v>0</v>
      </c>
      <c r="R566" s="310">
        <f ca="1">+'R1 Opex Detail'!R566*R$1</f>
        <v>0</v>
      </c>
      <c r="S566" s="310">
        <f ca="1">+'R1 Opex Detail'!S566*S$1</f>
        <v>0</v>
      </c>
    </row>
    <row r="567" spans="1:19" s="759" customFormat="1">
      <c r="B567" s="249"/>
      <c r="C567" s="13" t="s">
        <v>575</v>
      </c>
      <c r="D567" s="312">
        <f>+'R1 Opex Detail'!D567</f>
        <v>0</v>
      </c>
      <c r="E567" s="310">
        <f>+'R1 Opex Detail'!E567</f>
        <v>0</v>
      </c>
      <c r="F567" s="310">
        <f>+'R1 Opex Detail'!F567</f>
        <v>0</v>
      </c>
      <c r="G567" s="310">
        <f>+'R1 Opex Detail'!G567</f>
        <v>0</v>
      </c>
      <c r="H567" s="310">
        <f>+'R1 Opex Detail'!H567</f>
        <v>0</v>
      </c>
      <c r="I567" s="310">
        <f>+'R1 Opex Detail'!I567</f>
        <v>0</v>
      </c>
      <c r="J567" s="310">
        <f>+'R1 Opex Detail'!J567</f>
        <v>0</v>
      </c>
      <c r="K567" s="310">
        <f>+'R1 Opex Detail'!K567</f>
        <v>0</v>
      </c>
      <c r="L567" s="310">
        <f ca="1">+'R1 Opex Detail'!L567</f>
        <v>0</v>
      </c>
      <c r="M567" s="835">
        <f ca="1">+'R1 Opex Detail'!M567*M$2</f>
        <v>0</v>
      </c>
      <c r="N567" s="312">
        <f ca="1">+'R1 Opex Detail'!N567*N$1</f>
        <v>0</v>
      </c>
      <c r="O567" s="310">
        <f ca="1">+'R1 Opex Detail'!O567*O$1</f>
        <v>0</v>
      </c>
      <c r="P567" s="310">
        <f ca="1">+'R1 Opex Detail'!P567*P$1</f>
        <v>0</v>
      </c>
      <c r="Q567" s="310">
        <f ca="1">+'R1 Opex Detail'!Q567*Q$1</f>
        <v>0</v>
      </c>
      <c r="R567" s="310">
        <f ca="1">+'R1 Opex Detail'!R567*R$1</f>
        <v>0</v>
      </c>
      <c r="S567" s="310">
        <f ca="1">+'R1 Opex Detail'!S567*S$1</f>
        <v>0</v>
      </c>
    </row>
    <row r="568" spans="1:19">
      <c r="B568" s="249"/>
      <c r="C568" s="13" t="s">
        <v>70</v>
      </c>
      <c r="D568" s="312">
        <f>+'R1 Opex Detail'!D568</f>
        <v>0</v>
      </c>
      <c r="E568" s="310">
        <f>+'R1 Opex Detail'!E568</f>
        <v>0</v>
      </c>
      <c r="F568" s="310">
        <f>+'R1 Opex Detail'!F568</f>
        <v>0</v>
      </c>
      <c r="G568" s="310">
        <f>+'R1 Opex Detail'!G568</f>
        <v>0</v>
      </c>
      <c r="H568" s="310">
        <f>+'R1 Opex Detail'!H568</f>
        <v>0</v>
      </c>
      <c r="I568" s="310">
        <f>+'R1 Opex Detail'!I568</f>
        <v>0</v>
      </c>
      <c r="J568" s="310">
        <f>+'R1 Opex Detail'!J568</f>
        <v>0</v>
      </c>
      <c r="K568" s="310">
        <f>+'R1 Opex Detail'!K568</f>
        <v>0</v>
      </c>
      <c r="L568" s="310">
        <f ca="1">+'R1 Opex Detail'!L568</f>
        <v>0</v>
      </c>
      <c r="M568" s="835">
        <f ca="1">+'R1 Opex Detail'!M568*M$2</f>
        <v>0</v>
      </c>
      <c r="N568" s="312">
        <f ca="1">+'R1 Opex Detail'!N568*N$1</f>
        <v>0</v>
      </c>
      <c r="O568" s="310">
        <f ca="1">+'R1 Opex Detail'!O568*O$1</f>
        <v>0</v>
      </c>
      <c r="P568" s="310">
        <f ca="1">+'R1 Opex Detail'!P568*P$1</f>
        <v>0</v>
      </c>
      <c r="Q568" s="310">
        <f ca="1">+'R1 Opex Detail'!Q568*Q$1</f>
        <v>0</v>
      </c>
      <c r="R568" s="310">
        <f ca="1">+'R1 Opex Detail'!R568*R$1</f>
        <v>0</v>
      </c>
      <c r="S568" s="310">
        <f ca="1">+'R1 Opex Detail'!S568*S$1</f>
        <v>0</v>
      </c>
    </row>
    <row r="569" spans="1:19">
      <c r="B569" s="249"/>
      <c r="C569" s="12" t="s">
        <v>75</v>
      </c>
      <c r="D569" s="313">
        <f t="shared" ref="D569:S569" si="69">SUBTOTAL(9,D563:D568)</f>
        <v>0</v>
      </c>
      <c r="E569" s="311">
        <f t="shared" si="69"/>
        <v>0</v>
      </c>
      <c r="F569" s="311">
        <f t="shared" si="69"/>
        <v>0</v>
      </c>
      <c r="G569" s="311">
        <f t="shared" si="69"/>
        <v>0</v>
      </c>
      <c r="H569" s="311">
        <f t="shared" si="69"/>
        <v>0</v>
      </c>
      <c r="I569" s="311">
        <f t="shared" si="69"/>
        <v>0</v>
      </c>
      <c r="J569" s="311">
        <f t="shared" si="69"/>
        <v>0</v>
      </c>
      <c r="K569" s="311">
        <f t="shared" si="69"/>
        <v>0</v>
      </c>
      <c r="L569" s="311">
        <f t="shared" ca="1" si="69"/>
        <v>0</v>
      </c>
      <c r="M569" s="513">
        <f t="shared" ca="1" si="69"/>
        <v>0</v>
      </c>
      <c r="N569" s="313">
        <f t="shared" ca="1" si="69"/>
        <v>0.41762723076923086</v>
      </c>
      <c r="O569" s="311">
        <f t="shared" ca="1" si="69"/>
        <v>0.43111474955031764</v>
      </c>
      <c r="P569" s="311">
        <f t="shared" ca="1" si="69"/>
        <v>0.44464939460267339</v>
      </c>
      <c r="Q569" s="311">
        <f t="shared" ca="1" si="69"/>
        <v>0.45904380607029682</v>
      </c>
      <c r="R569" s="311">
        <f t="shared" ca="1" si="69"/>
        <v>0.47423808198583856</v>
      </c>
      <c r="S569" s="311">
        <f t="shared" ca="1" si="69"/>
        <v>0.48947233599095397</v>
      </c>
    </row>
    <row r="570" spans="1:19">
      <c r="B570" s="249"/>
      <c r="C570" s="12"/>
      <c r="D570" s="263"/>
      <c r="E570" s="263"/>
      <c r="F570" s="263"/>
      <c r="G570" s="263"/>
      <c r="H570" s="263"/>
      <c r="I570" s="263"/>
      <c r="J570" s="263"/>
      <c r="K570" s="263"/>
      <c r="L570" s="263"/>
      <c r="M570" s="836"/>
      <c r="N570" s="263"/>
      <c r="O570" s="263"/>
      <c r="P570" s="263"/>
      <c r="Q570" s="263"/>
      <c r="R570" s="263"/>
      <c r="S570" s="263"/>
    </row>
    <row r="571" spans="1:19">
      <c r="A571" s="5"/>
      <c r="B571" s="249" t="str">
        <f ca="1">+'I-4 History'!B562</f>
        <v>A-38</v>
      </c>
      <c r="C571" s="14" t="str">
        <f ca="1">+'I-4 History'!C562</f>
        <v>Superannuation</v>
      </c>
      <c r="D571" s="11"/>
      <c r="E571" s="11"/>
      <c r="F571" s="11"/>
      <c r="G571" s="11"/>
      <c r="H571" s="11"/>
      <c r="I571" s="11"/>
      <c r="J571" s="11"/>
      <c r="K571" s="11"/>
      <c r="L571" s="11"/>
      <c r="M571" s="507"/>
      <c r="N571" s="11"/>
      <c r="O571" s="11"/>
      <c r="P571" s="11"/>
      <c r="Q571" s="11"/>
      <c r="R571" s="11"/>
      <c r="S571" s="11"/>
    </row>
    <row r="572" spans="1:19">
      <c r="B572" s="249"/>
      <c r="C572" s="13" t="s">
        <v>68</v>
      </c>
      <c r="D572" s="312">
        <f>+'R1 Opex Detail'!D572</f>
        <v>0</v>
      </c>
      <c r="E572" s="310">
        <f>+'R1 Opex Detail'!E572</f>
        <v>0</v>
      </c>
      <c r="F572" s="310">
        <f>+'R1 Opex Detail'!F572</f>
        <v>0</v>
      </c>
      <c r="G572" s="310">
        <f>+'R1 Opex Detail'!G572</f>
        <v>0</v>
      </c>
      <c r="H572" s="310">
        <f>+'R1 Opex Detail'!H572</f>
        <v>0</v>
      </c>
      <c r="I572" s="310">
        <f>+'R1 Opex Detail'!I572</f>
        <v>0</v>
      </c>
      <c r="J572" s="310">
        <f>+'R1 Opex Detail'!J572</f>
        <v>0</v>
      </c>
      <c r="K572" s="310">
        <f>+'R1 Opex Detail'!K572</f>
        <v>0</v>
      </c>
      <c r="L572" s="310">
        <f ca="1">+'R1 Opex Detail'!L572</f>
        <v>0</v>
      </c>
      <c r="M572" s="835">
        <f ca="1">+'R1 Opex Detail'!M572*M$2</f>
        <v>0</v>
      </c>
      <c r="N572" s="312">
        <f ca="1">+'R1 Opex Detail'!N572*N$1</f>
        <v>-4.2041830384615393</v>
      </c>
      <c r="O572" s="310">
        <f ca="1">+'R1 Opex Detail'!O572*O$1</f>
        <v>-4.3399596198543104</v>
      </c>
      <c r="P572" s="310">
        <f ca="1">+'R1 Opex Detail'!P572*P$1</f>
        <v>-4.4762106134878046</v>
      </c>
      <c r="Q572" s="310">
        <f ca="1">+'R1 Opex Detail'!Q572*Q$1</f>
        <v>-4.6211167309106358</v>
      </c>
      <c r="R572" s="310">
        <f ca="1">+'R1 Opex Detail'!R572*R$1</f>
        <v>-4.7740749491000134</v>
      </c>
      <c r="S572" s="310">
        <f ca="1">+'R1 Opex Detail'!S572*S$1</f>
        <v>-4.9274356199881426</v>
      </c>
    </row>
    <row r="573" spans="1:19">
      <c r="B573" s="249"/>
      <c r="C573" s="13" t="s">
        <v>69</v>
      </c>
      <c r="D573" s="312">
        <f>+'R1 Opex Detail'!D573</f>
        <v>0</v>
      </c>
      <c r="E573" s="310">
        <f>+'R1 Opex Detail'!E573</f>
        <v>0</v>
      </c>
      <c r="F573" s="310">
        <f>+'R1 Opex Detail'!F573</f>
        <v>0</v>
      </c>
      <c r="G573" s="310">
        <f>+'R1 Opex Detail'!G573</f>
        <v>0</v>
      </c>
      <c r="H573" s="310">
        <f>+'R1 Opex Detail'!H573</f>
        <v>0</v>
      </c>
      <c r="I573" s="310">
        <f>+'R1 Opex Detail'!I573</f>
        <v>0</v>
      </c>
      <c r="J573" s="310">
        <f>+'R1 Opex Detail'!J573</f>
        <v>0</v>
      </c>
      <c r="K573" s="310">
        <f>+'R1 Opex Detail'!K573</f>
        <v>0</v>
      </c>
      <c r="L573" s="310">
        <f ca="1">+'R1 Opex Detail'!L573</f>
        <v>0</v>
      </c>
      <c r="M573" s="835">
        <f ca="1">+'R1 Opex Detail'!M573*M$2</f>
        <v>0</v>
      </c>
      <c r="N573" s="312">
        <f ca="1">+'R1 Opex Detail'!N573*N$1</f>
        <v>0</v>
      </c>
      <c r="O573" s="310">
        <f ca="1">+'R1 Opex Detail'!O573*O$1</f>
        <v>0</v>
      </c>
      <c r="P573" s="310">
        <f ca="1">+'R1 Opex Detail'!P573*P$1</f>
        <v>0</v>
      </c>
      <c r="Q573" s="310">
        <f ca="1">+'R1 Opex Detail'!Q573*Q$1</f>
        <v>0</v>
      </c>
      <c r="R573" s="310">
        <f ca="1">+'R1 Opex Detail'!R573*R$1</f>
        <v>0</v>
      </c>
      <c r="S573" s="310">
        <f ca="1">+'R1 Opex Detail'!S573*S$1</f>
        <v>0</v>
      </c>
    </row>
    <row r="574" spans="1:19" s="759" customFormat="1">
      <c r="B574" s="249"/>
      <c r="C574" s="13" t="s">
        <v>646</v>
      </c>
      <c r="D574" s="312">
        <f>+'R1 Opex Detail'!D574</f>
        <v>0</v>
      </c>
      <c r="E574" s="310">
        <f>+'R1 Opex Detail'!E574</f>
        <v>0</v>
      </c>
      <c r="F574" s="310">
        <f>+'R1 Opex Detail'!F574</f>
        <v>0</v>
      </c>
      <c r="G574" s="310">
        <f>+'R1 Opex Detail'!G574</f>
        <v>0</v>
      </c>
      <c r="H574" s="310">
        <f>+'R1 Opex Detail'!H574</f>
        <v>0</v>
      </c>
      <c r="I574" s="310">
        <f>+'R1 Opex Detail'!I574</f>
        <v>0</v>
      </c>
      <c r="J574" s="310">
        <f>+'R1 Opex Detail'!J574</f>
        <v>0</v>
      </c>
      <c r="K574" s="310">
        <f>+'R1 Opex Detail'!K574</f>
        <v>0</v>
      </c>
      <c r="L574" s="310">
        <f ca="1">+'R1 Opex Detail'!L574</f>
        <v>0</v>
      </c>
      <c r="M574" s="835">
        <f ca="1">+'R1 Opex Detail'!M574*M$2</f>
        <v>0</v>
      </c>
      <c r="N574" s="312">
        <f ca="1">+'R1 Opex Detail'!N574*N$1</f>
        <v>0</v>
      </c>
      <c r="O574" s="310">
        <f ca="1">+'R1 Opex Detail'!O574*O$1</f>
        <v>0</v>
      </c>
      <c r="P574" s="310">
        <f ca="1">+'R1 Opex Detail'!P574*P$1</f>
        <v>0</v>
      </c>
      <c r="Q574" s="310">
        <f ca="1">+'R1 Opex Detail'!Q574*Q$1</f>
        <v>0</v>
      </c>
      <c r="R574" s="310">
        <f ca="1">+'R1 Opex Detail'!R574*R$1</f>
        <v>0</v>
      </c>
      <c r="S574" s="310">
        <f ca="1">+'R1 Opex Detail'!S574*S$1</f>
        <v>0</v>
      </c>
    </row>
    <row r="575" spans="1:19">
      <c r="B575" s="249"/>
      <c r="C575" s="13" t="s">
        <v>647</v>
      </c>
      <c r="D575" s="312">
        <f>+'R1 Opex Detail'!D575</f>
        <v>0</v>
      </c>
      <c r="E575" s="310">
        <f>+'R1 Opex Detail'!E575</f>
        <v>0</v>
      </c>
      <c r="F575" s="310">
        <f>+'R1 Opex Detail'!F575</f>
        <v>0</v>
      </c>
      <c r="G575" s="310">
        <f>+'R1 Opex Detail'!G575</f>
        <v>0</v>
      </c>
      <c r="H575" s="310">
        <f>+'R1 Opex Detail'!H575</f>
        <v>0</v>
      </c>
      <c r="I575" s="310">
        <f>+'R1 Opex Detail'!I575</f>
        <v>0</v>
      </c>
      <c r="J575" s="310">
        <f>+'R1 Opex Detail'!J575</f>
        <v>0</v>
      </c>
      <c r="K575" s="310">
        <f>+'R1 Opex Detail'!K575</f>
        <v>0</v>
      </c>
      <c r="L575" s="310">
        <f ca="1">+'R1 Opex Detail'!L575</f>
        <v>0</v>
      </c>
      <c r="M575" s="835">
        <f ca="1">+'R1 Opex Detail'!M575*M$2</f>
        <v>0</v>
      </c>
      <c r="N575" s="312">
        <f ca="1">+'R1 Opex Detail'!N575*N$1</f>
        <v>0</v>
      </c>
      <c r="O575" s="310">
        <f ca="1">+'R1 Opex Detail'!O575*O$1</f>
        <v>0</v>
      </c>
      <c r="P575" s="310">
        <f ca="1">+'R1 Opex Detail'!P575*P$1</f>
        <v>0</v>
      </c>
      <c r="Q575" s="310">
        <f ca="1">+'R1 Opex Detail'!Q575*Q$1</f>
        <v>0</v>
      </c>
      <c r="R575" s="310">
        <f ca="1">+'R1 Opex Detail'!R575*R$1</f>
        <v>0</v>
      </c>
      <c r="S575" s="310">
        <f ca="1">+'R1 Opex Detail'!S575*S$1</f>
        <v>0</v>
      </c>
    </row>
    <row r="576" spans="1:19" s="759" customFormat="1">
      <c r="B576" s="249"/>
      <c r="C576" s="13" t="s">
        <v>575</v>
      </c>
      <c r="D576" s="312">
        <f>+'R1 Opex Detail'!D576</f>
        <v>0</v>
      </c>
      <c r="E576" s="310">
        <f>+'R1 Opex Detail'!E576</f>
        <v>0</v>
      </c>
      <c r="F576" s="310">
        <f>+'R1 Opex Detail'!F576</f>
        <v>0</v>
      </c>
      <c r="G576" s="310">
        <f>+'R1 Opex Detail'!G576</f>
        <v>0</v>
      </c>
      <c r="H576" s="310">
        <f>+'R1 Opex Detail'!H576</f>
        <v>0</v>
      </c>
      <c r="I576" s="310">
        <f>+'R1 Opex Detail'!I576</f>
        <v>0</v>
      </c>
      <c r="J576" s="310">
        <f>+'R1 Opex Detail'!J576</f>
        <v>0</v>
      </c>
      <c r="K576" s="310">
        <f>+'R1 Opex Detail'!K576</f>
        <v>0</v>
      </c>
      <c r="L576" s="310">
        <f ca="1">+'R1 Opex Detail'!L576</f>
        <v>0</v>
      </c>
      <c r="M576" s="835">
        <f ca="1">+'R1 Opex Detail'!M576*M$2</f>
        <v>0</v>
      </c>
      <c r="N576" s="312">
        <f ca="1">+'R1 Opex Detail'!N576*N$1</f>
        <v>0</v>
      </c>
      <c r="O576" s="310">
        <f ca="1">+'R1 Opex Detail'!O576*O$1</f>
        <v>0</v>
      </c>
      <c r="P576" s="310">
        <f ca="1">+'R1 Opex Detail'!P576*P$1</f>
        <v>0</v>
      </c>
      <c r="Q576" s="310">
        <f ca="1">+'R1 Opex Detail'!Q576*Q$1</f>
        <v>0</v>
      </c>
      <c r="R576" s="310">
        <f ca="1">+'R1 Opex Detail'!R576*R$1</f>
        <v>0</v>
      </c>
      <c r="S576" s="310">
        <f ca="1">+'R1 Opex Detail'!S576*S$1</f>
        <v>0</v>
      </c>
    </row>
    <row r="577" spans="1:19">
      <c r="B577" s="249"/>
      <c r="C577" s="13" t="s">
        <v>70</v>
      </c>
      <c r="D577" s="312">
        <f>+'R1 Opex Detail'!D577</f>
        <v>0</v>
      </c>
      <c r="E577" s="310">
        <f>+'R1 Opex Detail'!E577</f>
        <v>0</v>
      </c>
      <c r="F577" s="310">
        <f>+'R1 Opex Detail'!F577</f>
        <v>0</v>
      </c>
      <c r="G577" s="310">
        <f>+'R1 Opex Detail'!G577</f>
        <v>0</v>
      </c>
      <c r="H577" s="310">
        <f>+'R1 Opex Detail'!H577</f>
        <v>0</v>
      </c>
      <c r="I577" s="310">
        <f>+'R1 Opex Detail'!I577</f>
        <v>0</v>
      </c>
      <c r="J577" s="310">
        <f>+'R1 Opex Detail'!J577</f>
        <v>0</v>
      </c>
      <c r="K577" s="310">
        <f>+'R1 Opex Detail'!K577</f>
        <v>0</v>
      </c>
      <c r="L577" s="310">
        <f ca="1">+'R1 Opex Detail'!L577</f>
        <v>0</v>
      </c>
      <c r="M577" s="835">
        <f ca="1">+'R1 Opex Detail'!M577*M$2</f>
        <v>0</v>
      </c>
      <c r="N577" s="312">
        <f ca="1">+'R1 Opex Detail'!N577*N$1</f>
        <v>0</v>
      </c>
      <c r="O577" s="310">
        <f ca="1">+'R1 Opex Detail'!O577*O$1</f>
        <v>0</v>
      </c>
      <c r="P577" s="310">
        <f ca="1">+'R1 Opex Detail'!P577*P$1</f>
        <v>0</v>
      </c>
      <c r="Q577" s="310">
        <f ca="1">+'R1 Opex Detail'!Q577*Q$1</f>
        <v>0</v>
      </c>
      <c r="R577" s="310">
        <f ca="1">+'R1 Opex Detail'!R577*R$1</f>
        <v>0</v>
      </c>
      <c r="S577" s="310">
        <f ca="1">+'R1 Opex Detail'!S577*S$1</f>
        <v>0</v>
      </c>
    </row>
    <row r="578" spans="1:19">
      <c r="B578" s="249"/>
      <c r="C578" s="12" t="s">
        <v>75</v>
      </c>
      <c r="D578" s="313">
        <f t="shared" ref="D578:S578" si="70">SUBTOTAL(9,D572:D577)</f>
        <v>0</v>
      </c>
      <c r="E578" s="311">
        <f t="shared" si="70"/>
        <v>0</v>
      </c>
      <c r="F578" s="311">
        <f t="shared" si="70"/>
        <v>0</v>
      </c>
      <c r="G578" s="311">
        <f t="shared" si="70"/>
        <v>0</v>
      </c>
      <c r="H578" s="311">
        <f t="shared" si="70"/>
        <v>0</v>
      </c>
      <c r="I578" s="311">
        <f t="shared" si="70"/>
        <v>0</v>
      </c>
      <c r="J578" s="311">
        <f t="shared" si="70"/>
        <v>0</v>
      </c>
      <c r="K578" s="311">
        <f t="shared" si="70"/>
        <v>0</v>
      </c>
      <c r="L578" s="311">
        <f t="shared" ca="1" si="70"/>
        <v>0</v>
      </c>
      <c r="M578" s="513">
        <f t="shared" ca="1" si="70"/>
        <v>0</v>
      </c>
      <c r="N578" s="313">
        <f t="shared" ca="1" si="70"/>
        <v>-4.2041830384615393</v>
      </c>
      <c r="O578" s="311">
        <f t="shared" ca="1" si="70"/>
        <v>-4.3399596198543104</v>
      </c>
      <c r="P578" s="311">
        <f t="shared" ca="1" si="70"/>
        <v>-4.4762106134878046</v>
      </c>
      <c r="Q578" s="311">
        <f t="shared" ca="1" si="70"/>
        <v>-4.6211167309106358</v>
      </c>
      <c r="R578" s="311">
        <f t="shared" ca="1" si="70"/>
        <v>-4.7740749491000134</v>
      </c>
      <c r="S578" s="311">
        <f t="shared" ca="1" si="70"/>
        <v>-4.9274356199881426</v>
      </c>
    </row>
    <row r="579" spans="1:19">
      <c r="B579" s="249"/>
      <c r="C579" s="12"/>
      <c r="D579" s="263"/>
      <c r="E579" s="263"/>
      <c r="F579" s="263"/>
      <c r="G579" s="263"/>
      <c r="H579" s="263"/>
      <c r="I579" s="263"/>
      <c r="J579" s="263"/>
      <c r="K579" s="263"/>
      <c r="L579" s="263"/>
      <c r="M579" s="836"/>
      <c r="N579" s="263"/>
      <c r="O579" s="263"/>
      <c r="P579" s="263"/>
      <c r="Q579" s="263"/>
      <c r="R579" s="263"/>
      <c r="S579" s="263"/>
    </row>
    <row r="580" spans="1:19">
      <c r="A580" s="5"/>
      <c r="B580" s="249" t="str">
        <f ca="1">+'I-4 History'!B571</f>
        <v>A-39</v>
      </c>
      <c r="C580" s="14" t="str">
        <f ca="1">+'I-4 History'!C571</f>
        <v>Self Insurance</v>
      </c>
      <c r="D580" s="312"/>
      <c r="E580" s="310"/>
      <c r="F580" s="310"/>
      <c r="G580" s="310"/>
      <c r="H580" s="310"/>
      <c r="I580" s="310"/>
      <c r="J580" s="310"/>
      <c r="K580" s="310"/>
      <c r="L580" s="310"/>
      <c r="M580" s="835"/>
      <c r="N580" s="312"/>
      <c r="O580" s="310"/>
      <c r="P580" s="310"/>
      <c r="Q580" s="310"/>
      <c r="R580" s="310"/>
      <c r="S580" s="310"/>
    </row>
    <row r="581" spans="1:19">
      <c r="B581" s="249"/>
      <c r="C581" s="13" t="s">
        <v>68</v>
      </c>
      <c r="D581" s="312">
        <f>+'R1 Opex Detail'!D581</f>
        <v>0</v>
      </c>
      <c r="E581" s="310">
        <f>+'R1 Opex Detail'!E581</f>
        <v>0</v>
      </c>
      <c r="F581" s="310">
        <f>+'R1 Opex Detail'!F581</f>
        <v>0</v>
      </c>
      <c r="G581" s="310">
        <f>+'R1 Opex Detail'!G581</f>
        <v>0</v>
      </c>
      <c r="H581" s="310">
        <f>+'R1 Opex Detail'!H581</f>
        <v>0</v>
      </c>
      <c r="I581" s="310">
        <f>+'R1 Opex Detail'!I581</f>
        <v>0</v>
      </c>
      <c r="J581" s="310">
        <f>+'R1 Opex Detail'!J581</f>
        <v>0</v>
      </c>
      <c r="K581" s="310">
        <f>+'R1 Opex Detail'!K581</f>
        <v>0</v>
      </c>
      <c r="L581" s="310">
        <f ca="1">+'R1 Opex Detail'!L581</f>
        <v>0</v>
      </c>
      <c r="M581" s="835">
        <f ca="1">+'R1 Opex Detail'!M581*M$2</f>
        <v>0</v>
      </c>
      <c r="N581" s="312">
        <f ca="1">+'R1 Opex Detail'!N581*N$1</f>
        <v>0</v>
      </c>
      <c r="O581" s="310">
        <f ca="1">+'R1 Opex Detail'!O581*O$1</f>
        <v>0</v>
      </c>
      <c r="P581" s="310">
        <f ca="1">+'R1 Opex Detail'!P581*P$1</f>
        <v>0</v>
      </c>
      <c r="Q581" s="310">
        <f ca="1">+'R1 Opex Detail'!Q581*Q$1</f>
        <v>0</v>
      </c>
      <c r="R581" s="310">
        <f ca="1">+'R1 Opex Detail'!R581*R$1</f>
        <v>0</v>
      </c>
      <c r="S581" s="310">
        <f ca="1">+'R1 Opex Detail'!S581*S$1</f>
        <v>0</v>
      </c>
    </row>
    <row r="582" spans="1:19">
      <c r="B582" s="249"/>
      <c r="C582" s="13" t="s">
        <v>69</v>
      </c>
      <c r="D582" s="312">
        <f>+'R1 Opex Detail'!D582</f>
        <v>0</v>
      </c>
      <c r="E582" s="310">
        <f>+'R1 Opex Detail'!E582</f>
        <v>0</v>
      </c>
      <c r="F582" s="310">
        <f>+'R1 Opex Detail'!F582</f>
        <v>0</v>
      </c>
      <c r="G582" s="310">
        <f>+'R1 Opex Detail'!G582</f>
        <v>0</v>
      </c>
      <c r="H582" s="310">
        <f>+'R1 Opex Detail'!H582</f>
        <v>0</v>
      </c>
      <c r="I582" s="310">
        <f>+'R1 Opex Detail'!I582</f>
        <v>0</v>
      </c>
      <c r="J582" s="310">
        <f>+'R1 Opex Detail'!J582</f>
        <v>0</v>
      </c>
      <c r="K582" s="310">
        <f>+'R1 Opex Detail'!K582</f>
        <v>0</v>
      </c>
      <c r="L582" s="310">
        <f ca="1">+'R1 Opex Detail'!L582</f>
        <v>0</v>
      </c>
      <c r="M582" s="835">
        <f ca="1">+'R1 Opex Detail'!M582*M$2</f>
        <v>0</v>
      </c>
      <c r="N582" s="312">
        <f ca="1">+'R1 Opex Detail'!N582*N$1</f>
        <v>0</v>
      </c>
      <c r="O582" s="310">
        <f ca="1">+'R1 Opex Detail'!O582*O$1</f>
        <v>0</v>
      </c>
      <c r="P582" s="310">
        <f ca="1">+'R1 Opex Detail'!P582*P$1</f>
        <v>0</v>
      </c>
      <c r="Q582" s="310">
        <f ca="1">+'R1 Opex Detail'!Q582*Q$1</f>
        <v>0</v>
      </c>
      <c r="R582" s="310">
        <f ca="1">+'R1 Opex Detail'!R582*R$1</f>
        <v>0</v>
      </c>
      <c r="S582" s="310">
        <f ca="1">+'R1 Opex Detail'!S582*S$1</f>
        <v>0</v>
      </c>
    </row>
    <row r="583" spans="1:19" s="759" customFormat="1">
      <c r="B583" s="249"/>
      <c r="C583" s="13" t="s">
        <v>646</v>
      </c>
      <c r="D583" s="312">
        <f>+'R1 Opex Detail'!D583</f>
        <v>0</v>
      </c>
      <c r="E583" s="310">
        <f>+'R1 Opex Detail'!E583</f>
        <v>0</v>
      </c>
      <c r="F583" s="310">
        <f>+'R1 Opex Detail'!F583</f>
        <v>0</v>
      </c>
      <c r="G583" s="310">
        <f>+'R1 Opex Detail'!G583</f>
        <v>0</v>
      </c>
      <c r="H583" s="310">
        <f>+'R1 Opex Detail'!H583</f>
        <v>0</v>
      </c>
      <c r="I583" s="310">
        <f>+'R1 Opex Detail'!I583</f>
        <v>0</v>
      </c>
      <c r="J583" s="310">
        <f>+'R1 Opex Detail'!J583</f>
        <v>0</v>
      </c>
      <c r="K583" s="310">
        <f>+'R1 Opex Detail'!K583</f>
        <v>0</v>
      </c>
      <c r="L583" s="310">
        <f ca="1">+'R1 Opex Detail'!L583</f>
        <v>0</v>
      </c>
      <c r="M583" s="835">
        <f ca="1">+'R1 Opex Detail'!M583*M$2</f>
        <v>0</v>
      </c>
      <c r="N583" s="312">
        <f ca="1">+'R1 Opex Detail'!N583*N$1</f>
        <v>0</v>
      </c>
      <c r="O583" s="310">
        <f ca="1">+'R1 Opex Detail'!O583*O$1</f>
        <v>0</v>
      </c>
      <c r="P583" s="310">
        <f ca="1">+'R1 Opex Detail'!P583*P$1</f>
        <v>0</v>
      </c>
      <c r="Q583" s="310">
        <f ca="1">+'R1 Opex Detail'!Q583*Q$1</f>
        <v>0</v>
      </c>
      <c r="R583" s="310">
        <f ca="1">+'R1 Opex Detail'!R583*R$1</f>
        <v>0</v>
      </c>
      <c r="S583" s="310">
        <f ca="1">+'R1 Opex Detail'!S583*S$1</f>
        <v>0</v>
      </c>
    </row>
    <row r="584" spans="1:19">
      <c r="B584" s="249"/>
      <c r="C584" s="13" t="s">
        <v>647</v>
      </c>
      <c r="D584" s="312">
        <f>+'R1 Opex Detail'!D584</f>
        <v>0</v>
      </c>
      <c r="E584" s="310">
        <f>+'R1 Opex Detail'!E584</f>
        <v>0</v>
      </c>
      <c r="F584" s="310">
        <f>+'R1 Opex Detail'!F584</f>
        <v>0</v>
      </c>
      <c r="G584" s="310">
        <f>+'R1 Opex Detail'!G584</f>
        <v>0</v>
      </c>
      <c r="H584" s="310">
        <f>+'R1 Opex Detail'!H584</f>
        <v>0</v>
      </c>
      <c r="I584" s="310">
        <f>+'R1 Opex Detail'!I584</f>
        <v>0</v>
      </c>
      <c r="J584" s="310">
        <f>+'R1 Opex Detail'!J584</f>
        <v>0</v>
      </c>
      <c r="K584" s="310">
        <f>+'R1 Opex Detail'!K584</f>
        <v>0</v>
      </c>
      <c r="L584" s="310">
        <f ca="1">+'R1 Opex Detail'!L584</f>
        <v>0</v>
      </c>
      <c r="M584" s="835">
        <f ca="1">+'R1 Opex Detail'!M584*M$2</f>
        <v>0</v>
      </c>
      <c r="N584" s="312">
        <f ca="1">+'R1 Opex Detail'!N584*N$1</f>
        <v>0</v>
      </c>
      <c r="O584" s="310">
        <f ca="1">+'R1 Opex Detail'!O584*O$1</f>
        <v>0</v>
      </c>
      <c r="P584" s="310">
        <f ca="1">+'R1 Opex Detail'!P584*P$1</f>
        <v>0</v>
      </c>
      <c r="Q584" s="310">
        <f ca="1">+'R1 Opex Detail'!Q584*Q$1</f>
        <v>0</v>
      </c>
      <c r="R584" s="310">
        <f ca="1">+'R1 Opex Detail'!R584*R$1</f>
        <v>0</v>
      </c>
      <c r="S584" s="310">
        <f ca="1">+'R1 Opex Detail'!S584*S$1</f>
        <v>0</v>
      </c>
    </row>
    <row r="585" spans="1:19" s="759" customFormat="1">
      <c r="B585" s="249"/>
      <c r="C585" s="13" t="s">
        <v>575</v>
      </c>
      <c r="D585" s="312">
        <f>+'R1 Opex Detail'!D585</f>
        <v>0</v>
      </c>
      <c r="E585" s="310">
        <f>+'R1 Opex Detail'!E585</f>
        <v>0</v>
      </c>
      <c r="F585" s="310">
        <f>+'R1 Opex Detail'!F585</f>
        <v>0</v>
      </c>
      <c r="G585" s="310">
        <f>+'R1 Opex Detail'!G585</f>
        <v>0</v>
      </c>
      <c r="H585" s="310">
        <f>+'R1 Opex Detail'!H585</f>
        <v>0</v>
      </c>
      <c r="I585" s="310">
        <f>+'R1 Opex Detail'!I585</f>
        <v>0</v>
      </c>
      <c r="J585" s="310">
        <f>+'R1 Opex Detail'!J585</f>
        <v>0</v>
      </c>
      <c r="K585" s="310">
        <f>+'R1 Opex Detail'!K585</f>
        <v>0</v>
      </c>
      <c r="L585" s="310">
        <f ca="1">+'R1 Opex Detail'!L585</f>
        <v>0</v>
      </c>
      <c r="M585" s="835">
        <f ca="1">+'R1 Opex Detail'!M585*M$2</f>
        <v>0</v>
      </c>
      <c r="N585" s="312">
        <f ca="1">+'R1 Opex Detail'!N585*N$1</f>
        <v>0</v>
      </c>
      <c r="O585" s="310">
        <f ca="1">+'R1 Opex Detail'!O585*O$1</f>
        <v>0</v>
      </c>
      <c r="P585" s="310">
        <f ca="1">+'R1 Opex Detail'!P585*P$1</f>
        <v>0</v>
      </c>
      <c r="Q585" s="310">
        <f ca="1">+'R1 Opex Detail'!Q585*Q$1</f>
        <v>0</v>
      </c>
      <c r="R585" s="310">
        <f ca="1">+'R1 Opex Detail'!R585*R$1</f>
        <v>0</v>
      </c>
      <c r="S585" s="310">
        <f ca="1">+'R1 Opex Detail'!S585*S$1</f>
        <v>0</v>
      </c>
    </row>
    <row r="586" spans="1:19">
      <c r="B586" s="249"/>
      <c r="C586" s="13" t="s">
        <v>70</v>
      </c>
      <c r="D586" s="312">
        <f>+'R1 Opex Detail'!D586</f>
        <v>0</v>
      </c>
      <c r="E586" s="310">
        <f>+'R1 Opex Detail'!E586</f>
        <v>0</v>
      </c>
      <c r="F586" s="310">
        <f>+'R1 Opex Detail'!F586</f>
        <v>0</v>
      </c>
      <c r="G586" s="310">
        <f>+'R1 Opex Detail'!G586</f>
        <v>0</v>
      </c>
      <c r="H586" s="310">
        <f>+'R1 Opex Detail'!H586</f>
        <v>0</v>
      </c>
      <c r="I586" s="310">
        <f>+'R1 Opex Detail'!I586</f>
        <v>0</v>
      </c>
      <c r="J586" s="310">
        <f>+'R1 Opex Detail'!J586</f>
        <v>0</v>
      </c>
      <c r="K586" s="310">
        <f>+'R1 Opex Detail'!K586</f>
        <v>0</v>
      </c>
      <c r="L586" s="310">
        <f ca="1">+'R1 Opex Detail'!L586</f>
        <v>0</v>
      </c>
      <c r="M586" s="835">
        <f ca="1">+'R1 Opex Detail'!M586*M$2</f>
        <v>0</v>
      </c>
      <c r="N586" s="312">
        <f ca="1">+'R1 Opex Detail'!N586*N$1</f>
        <v>2.0788325769230775</v>
      </c>
      <c r="O586" s="310">
        <f ca="1">+'R1 Opex Detail'!O586*O$1</f>
        <v>2.1008889038379039</v>
      </c>
      <c r="P586" s="310">
        <f ca="1">+'R1 Opex Detail'!P586*P$1</f>
        <v>2.1213259834907676</v>
      </c>
      <c r="Q586" s="310">
        <f ca="1">+'R1 Opex Detail'!Q586*Q$1</f>
        <v>2.1415278097896029</v>
      </c>
      <c r="R586" s="310">
        <f ca="1">+'R1 Opex Detail'!R586*R$1</f>
        <v>2.1634451688037659</v>
      </c>
      <c r="S586" s="310">
        <f ca="1">+'R1 Opex Detail'!S586*S$1</f>
        <v>2.183521633690956</v>
      </c>
    </row>
    <row r="587" spans="1:19">
      <c r="B587" s="249"/>
      <c r="C587" s="12" t="s">
        <v>75</v>
      </c>
      <c r="D587" s="313">
        <f t="shared" ref="D587:S587" si="71">SUBTOTAL(9,D581:D586)</f>
        <v>0</v>
      </c>
      <c r="E587" s="311">
        <f t="shared" si="71"/>
        <v>0</v>
      </c>
      <c r="F587" s="311">
        <f t="shared" si="71"/>
        <v>0</v>
      </c>
      <c r="G587" s="311">
        <f t="shared" si="71"/>
        <v>0</v>
      </c>
      <c r="H587" s="311">
        <f t="shared" si="71"/>
        <v>0</v>
      </c>
      <c r="I587" s="311">
        <f t="shared" si="71"/>
        <v>0</v>
      </c>
      <c r="J587" s="311">
        <f t="shared" si="71"/>
        <v>0</v>
      </c>
      <c r="K587" s="311">
        <f t="shared" si="71"/>
        <v>0</v>
      </c>
      <c r="L587" s="311">
        <f t="shared" ca="1" si="71"/>
        <v>0</v>
      </c>
      <c r="M587" s="513">
        <f t="shared" ca="1" si="71"/>
        <v>0</v>
      </c>
      <c r="N587" s="313">
        <f t="shared" ca="1" si="71"/>
        <v>2.0788325769230775</v>
      </c>
      <c r="O587" s="311">
        <f t="shared" ca="1" si="71"/>
        <v>2.1008889038379039</v>
      </c>
      <c r="P587" s="311">
        <f t="shared" ca="1" si="71"/>
        <v>2.1213259834907676</v>
      </c>
      <c r="Q587" s="311">
        <f t="shared" ca="1" si="71"/>
        <v>2.1415278097896029</v>
      </c>
      <c r="R587" s="311">
        <f t="shared" ca="1" si="71"/>
        <v>2.1634451688037659</v>
      </c>
      <c r="S587" s="311">
        <f t="shared" ca="1" si="71"/>
        <v>2.183521633690956</v>
      </c>
    </row>
    <row r="588" spans="1:19">
      <c r="B588" s="249"/>
      <c r="C588" s="12"/>
      <c r="D588" s="263"/>
      <c r="E588" s="263"/>
      <c r="F588" s="263"/>
      <c r="G588" s="263"/>
      <c r="H588" s="263"/>
      <c r="I588" s="263"/>
      <c r="J588" s="263"/>
      <c r="K588" s="263"/>
      <c r="L588" s="263"/>
      <c r="M588" s="836"/>
      <c r="N588" s="263"/>
      <c r="O588" s="263"/>
      <c r="P588" s="263"/>
      <c r="Q588" s="263"/>
      <c r="R588" s="263"/>
      <c r="S588" s="263"/>
    </row>
    <row r="589" spans="1:19">
      <c r="A589" s="5"/>
      <c r="B589" s="249" t="str">
        <f ca="1">+'I-4 History'!B580</f>
        <v>A-40</v>
      </c>
      <c r="C589" s="14" t="str">
        <f ca="1">+'I-4 History'!C580</f>
        <v>Debt Raising Costs</v>
      </c>
      <c r="D589" s="11"/>
      <c r="E589" s="11"/>
      <c r="F589" s="11"/>
      <c r="G589" s="11"/>
      <c r="H589" s="11"/>
      <c r="I589" s="11"/>
      <c r="J589" s="11"/>
      <c r="K589" s="11"/>
      <c r="L589" s="11"/>
      <c r="M589" s="507"/>
      <c r="N589" s="11"/>
      <c r="O589" s="11"/>
      <c r="P589" s="11"/>
      <c r="Q589" s="11"/>
      <c r="R589" s="11"/>
      <c r="S589" s="11"/>
    </row>
    <row r="590" spans="1:19">
      <c r="B590" s="249"/>
      <c r="C590" s="13" t="s">
        <v>68</v>
      </c>
      <c r="D590" s="312">
        <f>+'R1 Opex Detail'!D590</f>
        <v>0</v>
      </c>
      <c r="E590" s="310">
        <f>+'R1 Opex Detail'!E590</f>
        <v>0</v>
      </c>
      <c r="F590" s="310">
        <f>+'R1 Opex Detail'!F590</f>
        <v>0</v>
      </c>
      <c r="G590" s="310">
        <f>+'R1 Opex Detail'!G590</f>
        <v>0</v>
      </c>
      <c r="H590" s="310">
        <f>+'R1 Opex Detail'!H590</f>
        <v>0</v>
      </c>
      <c r="I590" s="310">
        <f>+'R1 Opex Detail'!I590</f>
        <v>0</v>
      </c>
      <c r="J590" s="310">
        <f>+'R1 Opex Detail'!J590</f>
        <v>0</v>
      </c>
      <c r="K590" s="310">
        <f>+'R1 Opex Detail'!K590</f>
        <v>0</v>
      </c>
      <c r="L590" s="310">
        <f ca="1">+'R1 Opex Detail'!L590</f>
        <v>0</v>
      </c>
      <c r="M590" s="835">
        <f ca="1">+'R1 Opex Detail'!M590*M$2</f>
        <v>0</v>
      </c>
      <c r="N590" s="312">
        <f ca="1">+'R1 Opex Detail'!N590*N$1</f>
        <v>0</v>
      </c>
      <c r="O590" s="310">
        <f ca="1">+'R1 Opex Detail'!O590*O$1</f>
        <v>0</v>
      </c>
      <c r="P590" s="310">
        <f ca="1">+'R1 Opex Detail'!P590*P$1</f>
        <v>0</v>
      </c>
      <c r="Q590" s="310">
        <f ca="1">+'R1 Opex Detail'!Q590*Q$1</f>
        <v>0</v>
      </c>
      <c r="R590" s="310">
        <f ca="1">+'R1 Opex Detail'!R590*R$1</f>
        <v>0</v>
      </c>
      <c r="S590" s="310">
        <f ca="1">+'R1 Opex Detail'!S590*S$1</f>
        <v>0</v>
      </c>
    </row>
    <row r="591" spans="1:19">
      <c r="B591" s="249"/>
      <c r="C591" s="13" t="s">
        <v>69</v>
      </c>
      <c r="D591" s="312">
        <f>+'R1 Opex Detail'!D591</f>
        <v>0</v>
      </c>
      <c r="E591" s="310">
        <f>+'R1 Opex Detail'!E591</f>
        <v>0</v>
      </c>
      <c r="F591" s="310">
        <f>+'R1 Opex Detail'!F591</f>
        <v>0</v>
      </c>
      <c r="G591" s="310">
        <f>+'R1 Opex Detail'!G591</f>
        <v>0</v>
      </c>
      <c r="H591" s="310">
        <f>+'R1 Opex Detail'!H591</f>
        <v>0</v>
      </c>
      <c r="I591" s="310">
        <f>+'R1 Opex Detail'!I591</f>
        <v>0</v>
      </c>
      <c r="J591" s="310">
        <f>+'R1 Opex Detail'!J591</f>
        <v>0</v>
      </c>
      <c r="K591" s="310">
        <f>+'R1 Opex Detail'!K591</f>
        <v>0</v>
      </c>
      <c r="L591" s="310">
        <f ca="1">+'R1 Opex Detail'!L591</f>
        <v>0</v>
      </c>
      <c r="M591" s="835">
        <f ca="1">+'R1 Opex Detail'!M591*M$2</f>
        <v>0</v>
      </c>
      <c r="N591" s="312">
        <f ca="1">+'R1 Opex Detail'!N591*N$1</f>
        <v>0</v>
      </c>
      <c r="O591" s="310">
        <f ca="1">+'R1 Opex Detail'!O591*O$1</f>
        <v>0</v>
      </c>
      <c r="P591" s="310">
        <f ca="1">+'R1 Opex Detail'!P591*P$1</f>
        <v>0</v>
      </c>
      <c r="Q591" s="310">
        <f ca="1">+'R1 Opex Detail'!Q591*Q$1</f>
        <v>0</v>
      </c>
      <c r="R591" s="310">
        <f ca="1">+'R1 Opex Detail'!R591*R$1</f>
        <v>0</v>
      </c>
      <c r="S591" s="310">
        <f ca="1">+'R1 Opex Detail'!S591*S$1</f>
        <v>0</v>
      </c>
    </row>
    <row r="592" spans="1:19" s="759" customFormat="1">
      <c r="B592" s="249"/>
      <c r="C592" s="13" t="s">
        <v>646</v>
      </c>
      <c r="D592" s="312">
        <f>+'R1 Opex Detail'!D592</f>
        <v>0</v>
      </c>
      <c r="E592" s="310">
        <f>+'R1 Opex Detail'!E592</f>
        <v>0</v>
      </c>
      <c r="F592" s="310">
        <f>+'R1 Opex Detail'!F592</f>
        <v>0</v>
      </c>
      <c r="G592" s="310">
        <f>+'R1 Opex Detail'!G592</f>
        <v>0</v>
      </c>
      <c r="H592" s="310">
        <f>+'R1 Opex Detail'!H592</f>
        <v>0</v>
      </c>
      <c r="I592" s="310">
        <f>+'R1 Opex Detail'!I592</f>
        <v>0</v>
      </c>
      <c r="J592" s="310">
        <f>+'R1 Opex Detail'!J592</f>
        <v>0</v>
      </c>
      <c r="K592" s="310">
        <f>+'R1 Opex Detail'!K592</f>
        <v>0</v>
      </c>
      <c r="L592" s="310">
        <f ca="1">+'R1 Opex Detail'!L592</f>
        <v>0</v>
      </c>
      <c r="M592" s="835">
        <f ca="1">+'R1 Opex Detail'!M592*M$2</f>
        <v>0</v>
      </c>
      <c r="N592" s="312">
        <f ca="1">+'R1 Opex Detail'!N592*N$1</f>
        <v>0</v>
      </c>
      <c r="O592" s="310">
        <f ca="1">+'R1 Opex Detail'!O592*O$1</f>
        <v>0</v>
      </c>
      <c r="P592" s="310">
        <f ca="1">+'R1 Opex Detail'!P592*P$1</f>
        <v>0</v>
      </c>
      <c r="Q592" s="310">
        <f ca="1">+'R1 Opex Detail'!Q592*Q$1</f>
        <v>0</v>
      </c>
      <c r="R592" s="310">
        <f ca="1">+'R1 Opex Detail'!R592*R$1</f>
        <v>0</v>
      </c>
      <c r="S592" s="310">
        <f ca="1">+'R1 Opex Detail'!S592*S$1</f>
        <v>0</v>
      </c>
    </row>
    <row r="593" spans="1:19">
      <c r="B593" s="249"/>
      <c r="C593" s="13" t="s">
        <v>647</v>
      </c>
      <c r="D593" s="312">
        <f>+'R1 Opex Detail'!D593</f>
        <v>0</v>
      </c>
      <c r="E593" s="310">
        <f>+'R1 Opex Detail'!E593</f>
        <v>0</v>
      </c>
      <c r="F593" s="310">
        <f>+'R1 Opex Detail'!F593</f>
        <v>0</v>
      </c>
      <c r="G593" s="310">
        <f>+'R1 Opex Detail'!G593</f>
        <v>0</v>
      </c>
      <c r="H593" s="310">
        <f>+'R1 Opex Detail'!H593</f>
        <v>0</v>
      </c>
      <c r="I593" s="310">
        <f>+'R1 Opex Detail'!I593</f>
        <v>0</v>
      </c>
      <c r="J593" s="310">
        <f>+'R1 Opex Detail'!J593</f>
        <v>0</v>
      </c>
      <c r="K593" s="310">
        <f>+'R1 Opex Detail'!K593</f>
        <v>0</v>
      </c>
      <c r="L593" s="310">
        <f ca="1">+'R1 Opex Detail'!L593</f>
        <v>0</v>
      </c>
      <c r="M593" s="835">
        <f ca="1">+'R1 Opex Detail'!M593*M$2</f>
        <v>0</v>
      </c>
      <c r="N593" s="312">
        <f ca="1">+'R1 Opex Detail'!N593*N$1</f>
        <v>0</v>
      </c>
      <c r="O593" s="310">
        <f ca="1">+'R1 Opex Detail'!O593*O$1</f>
        <v>0</v>
      </c>
      <c r="P593" s="310">
        <f ca="1">+'R1 Opex Detail'!P593*P$1</f>
        <v>0</v>
      </c>
      <c r="Q593" s="310">
        <f ca="1">+'R1 Opex Detail'!Q593*Q$1</f>
        <v>0</v>
      </c>
      <c r="R593" s="310">
        <f ca="1">+'R1 Opex Detail'!R593*R$1</f>
        <v>0</v>
      </c>
      <c r="S593" s="310">
        <f ca="1">+'R1 Opex Detail'!S593*S$1</f>
        <v>0</v>
      </c>
    </row>
    <row r="594" spans="1:19" s="759" customFormat="1">
      <c r="B594" s="249"/>
      <c r="C594" s="13" t="s">
        <v>575</v>
      </c>
      <c r="D594" s="312">
        <f>+'R1 Opex Detail'!D594</f>
        <v>0</v>
      </c>
      <c r="E594" s="310">
        <f>+'R1 Opex Detail'!E594</f>
        <v>0</v>
      </c>
      <c r="F594" s="310">
        <f>+'R1 Opex Detail'!F594</f>
        <v>0</v>
      </c>
      <c r="G594" s="310">
        <f>+'R1 Opex Detail'!G594</f>
        <v>0</v>
      </c>
      <c r="H594" s="310">
        <f>+'R1 Opex Detail'!H594</f>
        <v>0</v>
      </c>
      <c r="I594" s="310">
        <f>+'R1 Opex Detail'!I594</f>
        <v>0</v>
      </c>
      <c r="J594" s="310">
        <f>+'R1 Opex Detail'!J594</f>
        <v>0</v>
      </c>
      <c r="K594" s="310">
        <f>+'R1 Opex Detail'!K594</f>
        <v>0</v>
      </c>
      <c r="L594" s="310">
        <f ca="1">+'R1 Opex Detail'!L594</f>
        <v>0</v>
      </c>
      <c r="M594" s="835">
        <f ca="1">+'R1 Opex Detail'!M594*M$2</f>
        <v>0</v>
      </c>
      <c r="N594" s="312">
        <f ca="1">+'R1 Opex Detail'!N594*N$1</f>
        <v>0</v>
      </c>
      <c r="O594" s="310">
        <f ca="1">+'R1 Opex Detail'!O594*O$1</f>
        <v>0</v>
      </c>
      <c r="P594" s="310">
        <f ca="1">+'R1 Opex Detail'!P594*P$1</f>
        <v>0</v>
      </c>
      <c r="Q594" s="310">
        <f ca="1">+'R1 Opex Detail'!Q594*Q$1</f>
        <v>0</v>
      </c>
      <c r="R594" s="310">
        <f ca="1">+'R1 Opex Detail'!R594*R$1</f>
        <v>0</v>
      </c>
      <c r="S594" s="310">
        <f ca="1">+'R1 Opex Detail'!S594*S$1</f>
        <v>0</v>
      </c>
    </row>
    <row r="595" spans="1:19">
      <c r="B595" s="249"/>
      <c r="C595" s="13" t="s">
        <v>70</v>
      </c>
      <c r="D595" s="312">
        <f>+'R1 Opex Detail'!D595</f>
        <v>0</v>
      </c>
      <c r="E595" s="310">
        <f>+'R1 Opex Detail'!E595</f>
        <v>0</v>
      </c>
      <c r="F595" s="310">
        <f>+'R1 Opex Detail'!F595</f>
        <v>0</v>
      </c>
      <c r="G595" s="310">
        <f>+'R1 Opex Detail'!G595</f>
        <v>0</v>
      </c>
      <c r="H595" s="310">
        <f>+'R1 Opex Detail'!H595</f>
        <v>0</v>
      </c>
      <c r="I595" s="310">
        <f>+'R1 Opex Detail'!I595</f>
        <v>0</v>
      </c>
      <c r="J595" s="310">
        <f>+'R1 Opex Detail'!J595</f>
        <v>0</v>
      </c>
      <c r="K595" s="310">
        <f>+'R1 Opex Detail'!K595</f>
        <v>0</v>
      </c>
      <c r="L595" s="310">
        <f ca="1">+'R1 Opex Detail'!L595</f>
        <v>0</v>
      </c>
      <c r="M595" s="835">
        <f ca="1">+'R1 Opex Detail'!M595*M$2</f>
        <v>0</v>
      </c>
      <c r="N595" s="312">
        <f ca="1">+'R1 Opex Detail'!N595*N$1</f>
        <v>2.0856075815416379</v>
      </c>
      <c r="O595" s="310">
        <f ca="1">+'R1 Opex Detail'!O595*O$1</f>
        <v>0</v>
      </c>
      <c r="P595" s="310">
        <f ca="1">+'R1 Opex Detail'!P595*P$1</f>
        <v>0</v>
      </c>
      <c r="Q595" s="310">
        <f ca="1">+'R1 Opex Detail'!Q595*Q$1</f>
        <v>0</v>
      </c>
      <c r="R595" s="310">
        <f ca="1">+'R1 Opex Detail'!R595*R$1</f>
        <v>0</v>
      </c>
      <c r="S595" s="310">
        <f ca="1">+'R1 Opex Detail'!S595*S$1</f>
        <v>0</v>
      </c>
    </row>
    <row r="596" spans="1:19">
      <c r="B596" s="249"/>
      <c r="C596" s="12" t="s">
        <v>75</v>
      </c>
      <c r="D596" s="313">
        <f t="shared" ref="D596:S596" si="72">SUBTOTAL(9,D590:D595)</f>
        <v>0</v>
      </c>
      <c r="E596" s="311">
        <f t="shared" si="72"/>
        <v>0</v>
      </c>
      <c r="F596" s="311">
        <f t="shared" si="72"/>
        <v>0</v>
      </c>
      <c r="G596" s="311">
        <f t="shared" si="72"/>
        <v>0</v>
      </c>
      <c r="H596" s="311">
        <f t="shared" si="72"/>
        <v>0</v>
      </c>
      <c r="I596" s="311">
        <f t="shared" si="72"/>
        <v>0</v>
      </c>
      <c r="J596" s="311">
        <f t="shared" si="72"/>
        <v>0</v>
      </c>
      <c r="K596" s="311">
        <f t="shared" si="72"/>
        <v>0</v>
      </c>
      <c r="L596" s="311">
        <f t="shared" ca="1" si="72"/>
        <v>0</v>
      </c>
      <c r="M596" s="513">
        <f t="shared" ca="1" si="72"/>
        <v>0</v>
      </c>
      <c r="N596" s="313">
        <f t="shared" ca="1" si="72"/>
        <v>2.0856075815416379</v>
      </c>
      <c r="O596" s="311">
        <f t="shared" ca="1" si="72"/>
        <v>0</v>
      </c>
      <c r="P596" s="311">
        <f t="shared" ca="1" si="72"/>
        <v>0</v>
      </c>
      <c r="Q596" s="311">
        <f t="shared" ca="1" si="72"/>
        <v>0</v>
      </c>
      <c r="R596" s="311">
        <f t="shared" ca="1" si="72"/>
        <v>0</v>
      </c>
      <c r="S596" s="311">
        <f t="shared" ca="1" si="72"/>
        <v>0</v>
      </c>
    </row>
    <row r="597" spans="1:19">
      <c r="B597" s="249"/>
      <c r="C597" s="12"/>
      <c r="D597" s="263"/>
      <c r="E597" s="263"/>
      <c r="F597" s="263"/>
      <c r="G597" s="263"/>
      <c r="H597" s="263"/>
      <c r="I597" s="263"/>
      <c r="J597" s="263"/>
      <c r="K597" s="263"/>
      <c r="L597" s="263"/>
      <c r="M597" s="836"/>
      <c r="N597" s="263"/>
      <c r="O597" s="263"/>
      <c r="P597" s="263"/>
      <c r="Q597" s="263"/>
      <c r="R597" s="263"/>
      <c r="S597" s="263"/>
    </row>
    <row r="598" spans="1:19">
      <c r="A598" s="5"/>
      <c r="B598" s="249" t="str">
        <f ca="1">+'I-4 History'!B589</f>
        <v>A-41</v>
      </c>
      <c r="C598" s="14" t="str">
        <f ca="1">+'I-4 History'!C589</f>
        <v>Spare, not in use</v>
      </c>
      <c r="D598" s="11"/>
      <c r="E598" s="11"/>
      <c r="F598" s="11"/>
      <c r="G598" s="11"/>
      <c r="H598" s="11"/>
      <c r="I598" s="11"/>
      <c r="J598" s="11"/>
      <c r="K598" s="11"/>
      <c r="L598" s="11"/>
      <c r="M598" s="507"/>
      <c r="N598" s="11"/>
      <c r="O598" s="11"/>
      <c r="P598" s="11"/>
      <c r="Q598" s="11"/>
      <c r="R598" s="11"/>
      <c r="S598" s="11"/>
    </row>
    <row r="599" spans="1:19">
      <c r="B599" s="249"/>
      <c r="C599" s="13" t="s">
        <v>68</v>
      </c>
      <c r="D599" s="312">
        <f>+'R1 Opex Detail'!D599</f>
        <v>0</v>
      </c>
      <c r="E599" s="310">
        <f>+'R1 Opex Detail'!E599</f>
        <v>0</v>
      </c>
      <c r="F599" s="310">
        <f>+'R1 Opex Detail'!F599</f>
        <v>0</v>
      </c>
      <c r="G599" s="310">
        <f>+'R1 Opex Detail'!G599</f>
        <v>0</v>
      </c>
      <c r="H599" s="310">
        <f>+'R1 Opex Detail'!H599</f>
        <v>0</v>
      </c>
      <c r="I599" s="310">
        <f>+'R1 Opex Detail'!I599</f>
        <v>0</v>
      </c>
      <c r="J599" s="310">
        <f>+'R1 Opex Detail'!J599</f>
        <v>0</v>
      </c>
      <c r="K599" s="310">
        <f>+'R1 Opex Detail'!K599</f>
        <v>0</v>
      </c>
      <c r="L599" s="310">
        <f ca="1">+'R1 Opex Detail'!L599</f>
        <v>0</v>
      </c>
      <c r="M599" s="835">
        <f ca="1">+'R1 Opex Detail'!M599*M$2</f>
        <v>0</v>
      </c>
      <c r="N599" s="312">
        <f ca="1">+'R1 Opex Detail'!N599*N$1</f>
        <v>0</v>
      </c>
      <c r="O599" s="310">
        <f ca="1">+'R1 Opex Detail'!O599*O$1</f>
        <v>0</v>
      </c>
      <c r="P599" s="310">
        <f ca="1">+'R1 Opex Detail'!P599*P$1</f>
        <v>0</v>
      </c>
      <c r="Q599" s="310">
        <f ca="1">+'R1 Opex Detail'!Q599*Q$1</f>
        <v>0</v>
      </c>
      <c r="R599" s="310">
        <f ca="1">+'R1 Opex Detail'!R599*R$1</f>
        <v>0</v>
      </c>
      <c r="S599" s="310">
        <f ca="1">+'R1 Opex Detail'!S599*S$1</f>
        <v>0</v>
      </c>
    </row>
    <row r="600" spans="1:19">
      <c r="B600" s="249"/>
      <c r="C600" s="13" t="s">
        <v>69</v>
      </c>
      <c r="D600" s="312">
        <f>+'R1 Opex Detail'!D600</f>
        <v>0</v>
      </c>
      <c r="E600" s="310">
        <f>+'R1 Opex Detail'!E600</f>
        <v>0</v>
      </c>
      <c r="F600" s="310">
        <f>+'R1 Opex Detail'!F600</f>
        <v>0</v>
      </c>
      <c r="G600" s="310">
        <f>+'R1 Opex Detail'!G600</f>
        <v>0</v>
      </c>
      <c r="H600" s="310">
        <f>+'R1 Opex Detail'!H600</f>
        <v>0</v>
      </c>
      <c r="I600" s="310">
        <f>+'R1 Opex Detail'!I600</f>
        <v>0</v>
      </c>
      <c r="J600" s="310">
        <f>+'R1 Opex Detail'!J600</f>
        <v>0</v>
      </c>
      <c r="K600" s="310">
        <f>+'R1 Opex Detail'!K600</f>
        <v>0</v>
      </c>
      <c r="L600" s="310">
        <f ca="1">+'R1 Opex Detail'!L600</f>
        <v>0</v>
      </c>
      <c r="M600" s="835">
        <f ca="1">+'R1 Opex Detail'!M600*M$2</f>
        <v>0</v>
      </c>
      <c r="N600" s="312">
        <f ca="1">+'R1 Opex Detail'!N600*N$1</f>
        <v>0</v>
      </c>
      <c r="O600" s="310">
        <f ca="1">+'R1 Opex Detail'!O600*O$1</f>
        <v>0</v>
      </c>
      <c r="P600" s="310">
        <f ca="1">+'R1 Opex Detail'!P600*P$1</f>
        <v>0</v>
      </c>
      <c r="Q600" s="310">
        <f ca="1">+'R1 Opex Detail'!Q600*Q$1</f>
        <v>0</v>
      </c>
      <c r="R600" s="310">
        <f ca="1">+'R1 Opex Detail'!R600*R$1</f>
        <v>0</v>
      </c>
      <c r="S600" s="310">
        <f ca="1">+'R1 Opex Detail'!S600*S$1</f>
        <v>0</v>
      </c>
    </row>
    <row r="601" spans="1:19" s="759" customFormat="1">
      <c r="B601" s="249"/>
      <c r="C601" s="13" t="s">
        <v>646</v>
      </c>
      <c r="D601" s="312">
        <f>+'R1 Opex Detail'!D601</f>
        <v>0</v>
      </c>
      <c r="E601" s="310">
        <f>+'R1 Opex Detail'!E601</f>
        <v>0</v>
      </c>
      <c r="F601" s="310">
        <f>+'R1 Opex Detail'!F601</f>
        <v>0</v>
      </c>
      <c r="G601" s="310">
        <f>+'R1 Opex Detail'!G601</f>
        <v>0</v>
      </c>
      <c r="H601" s="310">
        <f>+'R1 Opex Detail'!H601</f>
        <v>0</v>
      </c>
      <c r="I601" s="310">
        <f>+'R1 Opex Detail'!I601</f>
        <v>0</v>
      </c>
      <c r="J601" s="310">
        <f>+'R1 Opex Detail'!J601</f>
        <v>0</v>
      </c>
      <c r="K601" s="310">
        <f>+'R1 Opex Detail'!K601</f>
        <v>0</v>
      </c>
      <c r="L601" s="310">
        <f ca="1">+'R1 Opex Detail'!L601</f>
        <v>0</v>
      </c>
      <c r="M601" s="835">
        <f ca="1">+'R1 Opex Detail'!M601*M$2</f>
        <v>0</v>
      </c>
      <c r="N601" s="312">
        <f ca="1">+'R1 Opex Detail'!N601*N$1</f>
        <v>0</v>
      </c>
      <c r="O601" s="310">
        <f ca="1">+'R1 Opex Detail'!O601*O$1</f>
        <v>0</v>
      </c>
      <c r="P601" s="310">
        <f ca="1">+'R1 Opex Detail'!P601*P$1</f>
        <v>0</v>
      </c>
      <c r="Q601" s="310">
        <f ca="1">+'R1 Opex Detail'!Q601*Q$1</f>
        <v>0</v>
      </c>
      <c r="R601" s="310">
        <f ca="1">+'R1 Opex Detail'!R601*R$1</f>
        <v>0</v>
      </c>
      <c r="S601" s="310">
        <f ca="1">+'R1 Opex Detail'!S601*S$1</f>
        <v>0</v>
      </c>
    </row>
    <row r="602" spans="1:19">
      <c r="B602" s="249"/>
      <c r="C602" s="13" t="s">
        <v>647</v>
      </c>
      <c r="D602" s="312">
        <f>+'R1 Opex Detail'!D602</f>
        <v>0</v>
      </c>
      <c r="E602" s="310">
        <f>+'R1 Opex Detail'!E602</f>
        <v>0</v>
      </c>
      <c r="F602" s="310">
        <f>+'R1 Opex Detail'!F602</f>
        <v>0</v>
      </c>
      <c r="G602" s="310">
        <f>+'R1 Opex Detail'!G602</f>
        <v>0</v>
      </c>
      <c r="H602" s="310">
        <f>+'R1 Opex Detail'!H602</f>
        <v>0</v>
      </c>
      <c r="I602" s="310">
        <f>+'R1 Opex Detail'!I602</f>
        <v>0</v>
      </c>
      <c r="J602" s="310">
        <f>+'R1 Opex Detail'!J602</f>
        <v>0</v>
      </c>
      <c r="K602" s="310">
        <f>+'R1 Opex Detail'!K602</f>
        <v>0</v>
      </c>
      <c r="L602" s="310">
        <f ca="1">+'R1 Opex Detail'!L602</f>
        <v>0</v>
      </c>
      <c r="M602" s="835">
        <f ca="1">+'R1 Opex Detail'!M602*M$2</f>
        <v>0</v>
      </c>
      <c r="N602" s="312">
        <f ca="1">+'R1 Opex Detail'!N602*N$1</f>
        <v>0</v>
      </c>
      <c r="O602" s="310">
        <f ca="1">+'R1 Opex Detail'!O602*O$1</f>
        <v>0</v>
      </c>
      <c r="P602" s="310">
        <f ca="1">+'R1 Opex Detail'!P602*P$1</f>
        <v>0</v>
      </c>
      <c r="Q602" s="310">
        <f ca="1">+'R1 Opex Detail'!Q602*Q$1</f>
        <v>0</v>
      </c>
      <c r="R602" s="310">
        <f ca="1">+'R1 Opex Detail'!R602*R$1</f>
        <v>0</v>
      </c>
      <c r="S602" s="310">
        <f ca="1">+'R1 Opex Detail'!S602*S$1</f>
        <v>0</v>
      </c>
    </row>
    <row r="603" spans="1:19" s="759" customFormat="1">
      <c r="B603" s="249"/>
      <c r="C603" s="13" t="s">
        <v>575</v>
      </c>
      <c r="D603" s="312">
        <f>+'R1 Opex Detail'!D603</f>
        <v>0</v>
      </c>
      <c r="E603" s="310">
        <f>+'R1 Opex Detail'!E603</f>
        <v>0</v>
      </c>
      <c r="F603" s="310">
        <f>+'R1 Opex Detail'!F603</f>
        <v>0</v>
      </c>
      <c r="G603" s="310">
        <f>+'R1 Opex Detail'!G603</f>
        <v>0</v>
      </c>
      <c r="H603" s="310">
        <f>+'R1 Opex Detail'!H603</f>
        <v>0</v>
      </c>
      <c r="I603" s="310">
        <f>+'R1 Opex Detail'!I603</f>
        <v>0</v>
      </c>
      <c r="J603" s="310">
        <f>+'R1 Opex Detail'!J603</f>
        <v>0</v>
      </c>
      <c r="K603" s="310">
        <f>+'R1 Opex Detail'!K603</f>
        <v>0</v>
      </c>
      <c r="L603" s="310">
        <f ca="1">+'R1 Opex Detail'!L603</f>
        <v>0</v>
      </c>
      <c r="M603" s="835">
        <f ca="1">+'R1 Opex Detail'!M603*M$2</f>
        <v>0</v>
      </c>
      <c r="N603" s="312">
        <f ca="1">+'R1 Opex Detail'!N603*N$1</f>
        <v>0</v>
      </c>
      <c r="O603" s="310">
        <f ca="1">+'R1 Opex Detail'!O603*O$1</f>
        <v>0</v>
      </c>
      <c r="P603" s="310">
        <f ca="1">+'R1 Opex Detail'!P603*P$1</f>
        <v>0</v>
      </c>
      <c r="Q603" s="310">
        <f ca="1">+'R1 Opex Detail'!Q603*Q$1</f>
        <v>0</v>
      </c>
      <c r="R603" s="310">
        <f ca="1">+'R1 Opex Detail'!R603*R$1</f>
        <v>0</v>
      </c>
      <c r="S603" s="310">
        <f ca="1">+'R1 Opex Detail'!S603*S$1</f>
        <v>0</v>
      </c>
    </row>
    <row r="604" spans="1:19">
      <c r="B604" s="249"/>
      <c r="C604" s="13" t="s">
        <v>70</v>
      </c>
      <c r="D604" s="312">
        <f>+'R1 Opex Detail'!D604</f>
        <v>0</v>
      </c>
      <c r="E604" s="310">
        <f>+'R1 Opex Detail'!E604</f>
        <v>0</v>
      </c>
      <c r="F604" s="310">
        <f>+'R1 Opex Detail'!F604</f>
        <v>0</v>
      </c>
      <c r="G604" s="310">
        <f>+'R1 Opex Detail'!G604</f>
        <v>0</v>
      </c>
      <c r="H604" s="310">
        <f>+'R1 Opex Detail'!H604</f>
        <v>0</v>
      </c>
      <c r="I604" s="310">
        <f>+'R1 Opex Detail'!I604</f>
        <v>0</v>
      </c>
      <c r="J604" s="310">
        <f>+'R1 Opex Detail'!J604</f>
        <v>0</v>
      </c>
      <c r="K604" s="310">
        <f>+'R1 Opex Detail'!K604</f>
        <v>0</v>
      </c>
      <c r="L604" s="310">
        <f ca="1">+'R1 Opex Detail'!L604</f>
        <v>0</v>
      </c>
      <c r="M604" s="835">
        <f ca="1">+'R1 Opex Detail'!M604*M$2</f>
        <v>0</v>
      </c>
      <c r="N604" s="312">
        <f ca="1">+'R1 Opex Detail'!N604*N$1</f>
        <v>0</v>
      </c>
      <c r="O604" s="310">
        <f ca="1">+'R1 Opex Detail'!O604*O$1</f>
        <v>0</v>
      </c>
      <c r="P604" s="310">
        <f ca="1">+'R1 Opex Detail'!P604*P$1</f>
        <v>0</v>
      </c>
      <c r="Q604" s="310">
        <f ca="1">+'R1 Opex Detail'!Q604*Q$1</f>
        <v>0</v>
      </c>
      <c r="R604" s="310">
        <f ca="1">+'R1 Opex Detail'!R604*R$1</f>
        <v>0</v>
      </c>
      <c r="S604" s="310">
        <f ca="1">+'R1 Opex Detail'!S604*S$1</f>
        <v>0</v>
      </c>
    </row>
    <row r="605" spans="1:19">
      <c r="B605" s="249"/>
      <c r="C605" s="12" t="s">
        <v>75</v>
      </c>
      <c r="D605" s="311">
        <f t="shared" ref="D605:S605" si="73">SUBTOTAL(9,D599:D604)</f>
        <v>0</v>
      </c>
      <c r="E605" s="311">
        <f t="shared" si="73"/>
        <v>0</v>
      </c>
      <c r="F605" s="311">
        <f t="shared" si="73"/>
        <v>0</v>
      </c>
      <c r="G605" s="311">
        <f t="shared" si="73"/>
        <v>0</v>
      </c>
      <c r="H605" s="311">
        <f t="shared" si="73"/>
        <v>0</v>
      </c>
      <c r="I605" s="311">
        <f t="shared" si="73"/>
        <v>0</v>
      </c>
      <c r="J605" s="311">
        <f t="shared" si="73"/>
        <v>0</v>
      </c>
      <c r="K605" s="311">
        <f t="shared" si="73"/>
        <v>0</v>
      </c>
      <c r="L605" s="311">
        <f t="shared" ca="1" si="73"/>
        <v>0</v>
      </c>
      <c r="M605" s="513">
        <f t="shared" ca="1" si="73"/>
        <v>0</v>
      </c>
      <c r="N605" s="313">
        <f t="shared" ca="1" si="73"/>
        <v>0</v>
      </c>
      <c r="O605" s="311">
        <f t="shared" ca="1" si="73"/>
        <v>0</v>
      </c>
      <c r="P605" s="311">
        <f t="shared" ca="1" si="73"/>
        <v>0</v>
      </c>
      <c r="Q605" s="311">
        <f t="shared" ca="1" si="73"/>
        <v>0</v>
      </c>
      <c r="R605" s="311">
        <f t="shared" ca="1" si="73"/>
        <v>0</v>
      </c>
      <c r="S605" s="311">
        <f t="shared" ca="1" si="73"/>
        <v>0</v>
      </c>
    </row>
    <row r="606" spans="1:19" ht="17.25" customHeight="1" thickBot="1">
      <c r="B606" s="250"/>
      <c r="C606" s="269" t="str">
        <f>CONCATENATE("Total ", +C552:C552)</f>
        <v xml:space="preserve">Total Other </v>
      </c>
      <c r="D606" s="314">
        <f t="shared" ref="D606:R606" si="74">SUBTOTAL(9,D554:D605)</f>
        <v>0</v>
      </c>
      <c r="E606" s="314">
        <f t="shared" si="74"/>
        <v>0</v>
      </c>
      <c r="F606" s="314">
        <f t="shared" si="74"/>
        <v>0</v>
      </c>
      <c r="G606" s="314">
        <f t="shared" si="74"/>
        <v>0</v>
      </c>
      <c r="H606" s="314">
        <f t="shared" si="74"/>
        <v>0</v>
      </c>
      <c r="I606" s="314">
        <f t="shared" si="74"/>
        <v>0</v>
      </c>
      <c r="J606" s="314">
        <f t="shared" si="74"/>
        <v>0</v>
      </c>
      <c r="K606" s="314">
        <f t="shared" si="74"/>
        <v>0</v>
      </c>
      <c r="L606" s="314">
        <f t="shared" ca="1" si="74"/>
        <v>0</v>
      </c>
      <c r="M606" s="843">
        <f t="shared" ca="1" si="74"/>
        <v>0</v>
      </c>
      <c r="N606" s="314">
        <f t="shared" ca="1" si="74"/>
        <v>3.8956701584647151</v>
      </c>
      <c r="O606" s="314">
        <f t="shared" ca="1" si="74"/>
        <v>1.8234388174936407</v>
      </c>
      <c r="P606" s="314">
        <f t="shared" ca="1" si="74"/>
        <v>1.8351654820137986</v>
      </c>
      <c r="Q606" s="314">
        <f t="shared" ca="1" si="74"/>
        <v>1.846103578160204</v>
      </c>
      <c r="R606" s="314">
        <f t="shared" ca="1" si="74"/>
        <v>1.8582424427732747</v>
      </c>
      <c r="S606" s="314">
        <f ca="1">SUBTOTAL(9,S554:S605)</f>
        <v>1.8685146847858873</v>
      </c>
    </row>
    <row r="607" spans="1:19" ht="16.5" thickBot="1">
      <c r="B607" s="270"/>
      <c r="C607" s="455" t="s">
        <v>273</v>
      </c>
      <c r="D607" s="461">
        <f t="shared" ref="D607:S607" si="75">SUBTOTAL(9,D231:D606)</f>
        <v>0</v>
      </c>
      <c r="E607" s="461">
        <f t="shared" si="75"/>
        <v>0</v>
      </c>
      <c r="F607" s="461">
        <f t="shared" si="75"/>
        <v>0</v>
      </c>
      <c r="G607" s="461">
        <f t="shared" si="75"/>
        <v>0</v>
      </c>
      <c r="H607" s="461">
        <f t="shared" si="75"/>
        <v>0</v>
      </c>
      <c r="I607" s="461">
        <f t="shared" si="75"/>
        <v>0</v>
      </c>
      <c r="J607" s="461">
        <f t="shared" si="75"/>
        <v>0</v>
      </c>
      <c r="K607" s="461">
        <f t="shared" si="75"/>
        <v>0</v>
      </c>
      <c r="L607" s="461">
        <f t="shared" ca="1" si="75"/>
        <v>0</v>
      </c>
      <c r="M607" s="461">
        <f t="shared" ca="1" si="75"/>
        <v>0</v>
      </c>
      <c r="N607" s="461">
        <f t="shared" ca="1" si="75"/>
        <v>74.775419120003178</v>
      </c>
      <c r="O607" s="461">
        <f t="shared" ca="1" si="75"/>
        <v>79.203898154515173</v>
      </c>
      <c r="P607" s="461">
        <f t="shared" ca="1" si="75"/>
        <v>81.579422269215357</v>
      </c>
      <c r="Q607" s="461">
        <f t="shared" ca="1" si="75"/>
        <v>86.256933731350955</v>
      </c>
      <c r="R607" s="461">
        <f t="shared" ca="1" si="75"/>
        <v>88.31041114287153</v>
      </c>
      <c r="S607" s="461">
        <f t="shared" ca="1" si="75"/>
        <v>90.769923554314715</v>
      </c>
    </row>
    <row r="608" spans="1:19">
      <c r="B608" s="249"/>
      <c r="C608" s="462"/>
      <c r="D608" s="463"/>
      <c r="E608" s="463"/>
      <c r="F608" s="463"/>
      <c r="G608" s="463"/>
      <c r="H608" s="463"/>
      <c r="I608" s="463"/>
      <c r="J608" s="463"/>
      <c r="K608" s="463"/>
      <c r="L608" s="463"/>
      <c r="M608" s="463"/>
      <c r="N608" s="463"/>
      <c r="O608" s="463"/>
      <c r="P608" s="463"/>
      <c r="Q608" s="463"/>
      <c r="R608" s="463"/>
      <c r="S608" s="463"/>
    </row>
    <row r="609" spans="2:19" ht="32.25" thickBot="1">
      <c r="B609" s="270"/>
      <c r="C609" s="455" t="s">
        <v>274</v>
      </c>
      <c r="D609" s="461">
        <f t="shared" ref="D609:S609" si="76">SUBTOTAL(9,D8:D606)</f>
        <v>0</v>
      </c>
      <c r="E609" s="461">
        <f t="shared" si="76"/>
        <v>0</v>
      </c>
      <c r="F609" s="461">
        <f t="shared" si="76"/>
        <v>0</v>
      </c>
      <c r="G609" s="461">
        <f t="shared" si="76"/>
        <v>0</v>
      </c>
      <c r="H609" s="461">
        <f t="shared" si="76"/>
        <v>0</v>
      </c>
      <c r="I609" s="461">
        <f t="shared" si="76"/>
        <v>0</v>
      </c>
      <c r="J609" s="461">
        <f t="shared" si="76"/>
        <v>0</v>
      </c>
      <c r="K609" s="461">
        <f t="shared" si="76"/>
        <v>0</v>
      </c>
      <c r="L609" s="461">
        <f t="shared" ca="1" si="76"/>
        <v>0</v>
      </c>
      <c r="M609" s="461">
        <f t="shared" ca="1" si="76"/>
        <v>0</v>
      </c>
      <c r="N609" s="461">
        <f t="shared" ca="1" si="76"/>
        <v>248.38080131231095</v>
      </c>
      <c r="O609" s="461">
        <f t="shared" ca="1" si="76"/>
        <v>269.77242044829899</v>
      </c>
      <c r="P609" s="461">
        <f t="shared" ca="1" si="76"/>
        <v>281.06396829062777</v>
      </c>
      <c r="Q609" s="461">
        <f t="shared" ca="1" si="76"/>
        <v>284.83638635913655</v>
      </c>
      <c r="R609" s="461">
        <f t="shared" ca="1" si="76"/>
        <v>290.79584982335848</v>
      </c>
      <c r="S609" s="461">
        <f t="shared" ca="1" si="76"/>
        <v>295.49136471267065</v>
      </c>
    </row>
    <row r="610" spans="2:19">
      <c r="C610" s="464"/>
      <c r="D610" s="465"/>
      <c r="E610" s="465"/>
      <c r="F610" s="465"/>
      <c r="G610" s="465"/>
      <c r="H610" s="465"/>
      <c r="I610" s="465"/>
      <c r="J610" s="465"/>
      <c r="K610" s="465"/>
      <c r="L610" s="465"/>
      <c r="M610" s="465"/>
      <c r="N610" s="465"/>
      <c r="O610" s="465"/>
      <c r="P610" s="465"/>
      <c r="Q610" s="465"/>
      <c r="R610" s="465"/>
      <c r="S610" s="465"/>
    </row>
    <row r="611" spans="2:19">
      <c r="C611" s="464"/>
      <c r="D611" s="464"/>
      <c r="E611" s="464"/>
      <c r="F611" s="464"/>
      <c r="G611" s="464"/>
      <c r="H611" s="464"/>
      <c r="I611" s="464"/>
      <c r="J611" s="464"/>
      <c r="K611" s="464"/>
      <c r="L611" s="464"/>
      <c r="M611" s="464"/>
      <c r="N611" s="464"/>
      <c r="O611" s="464"/>
      <c r="P611" s="464"/>
      <c r="Q611" s="464"/>
      <c r="R611" s="464"/>
      <c r="S611" s="464"/>
    </row>
    <row r="612" spans="2:19" ht="16.5" thickBot="1">
      <c r="B612" s="270"/>
      <c r="C612" s="455" t="s">
        <v>267</v>
      </c>
      <c r="D612" s="461"/>
      <c r="E612" s="461"/>
      <c r="F612" s="461"/>
      <c r="G612" s="461"/>
      <c r="H612" s="461"/>
      <c r="I612" s="461"/>
      <c r="J612" s="461"/>
      <c r="K612" s="461"/>
      <c r="L612" s="461"/>
      <c r="M612" s="461"/>
      <c r="N612" s="461"/>
      <c r="O612" s="461"/>
      <c r="P612" s="461"/>
      <c r="Q612" s="461"/>
      <c r="R612" s="461"/>
      <c r="S612" s="461"/>
    </row>
    <row r="613" spans="2:19" ht="13.5" thickBot="1"/>
    <row r="614" spans="2:19" ht="13.5" thickBot="1">
      <c r="D614" s="256" t="s">
        <v>269</v>
      </c>
      <c r="E614" s="257"/>
      <c r="F614" s="257"/>
      <c r="G614" s="257"/>
      <c r="H614" s="257"/>
      <c r="I614" s="257"/>
      <c r="J614" s="257"/>
      <c r="K614" s="257"/>
      <c r="L614" s="235" t="s">
        <v>85</v>
      </c>
      <c r="M614" s="235"/>
      <c r="N614" s="235"/>
      <c r="O614" s="235"/>
      <c r="P614" s="235"/>
      <c r="Q614" s="235"/>
      <c r="R614" s="235"/>
      <c r="S614" s="235"/>
    </row>
    <row r="615" spans="2:19" ht="13.5" thickBot="1">
      <c r="C615" s="436"/>
      <c r="D615" s="439" t="str">
        <f>+'Ref-1'!F39</f>
        <v>2004/05</v>
      </c>
      <c r="E615" s="439" t="str">
        <f>+'Ref-1'!G39</f>
        <v>2005/06</v>
      </c>
      <c r="F615" s="439" t="str">
        <f>+'Ref-1'!H39</f>
        <v>2006/07</v>
      </c>
      <c r="G615" s="439" t="str">
        <f>+'Ref-1'!I39</f>
        <v>2007/08</v>
      </c>
      <c r="H615" s="439" t="str">
        <f>+'Ref-1'!J39</f>
        <v>2008/09</v>
      </c>
      <c r="I615" s="439" t="str">
        <f>+'Ref-1'!K39</f>
        <v>2009/10</v>
      </c>
      <c r="J615" s="439" t="str">
        <f>+'Ref-1'!L39</f>
        <v>2010/11</v>
      </c>
      <c r="K615" s="439" t="str">
        <f>+'Ref-1'!M39</f>
        <v>2011/12</v>
      </c>
      <c r="L615" s="439" t="str">
        <f>+'Ref-1'!N39</f>
        <v>2012/13</v>
      </c>
      <c r="M615" s="439" t="str">
        <f>+'Ref-1'!O39</f>
        <v>2013/14</v>
      </c>
      <c r="N615" s="439" t="str">
        <f>+'Ref-1'!P39</f>
        <v>2014/15</v>
      </c>
      <c r="O615" s="439" t="str">
        <f>+'Ref-1'!Q39</f>
        <v>2015/16</v>
      </c>
      <c r="P615" s="439" t="str">
        <f>+'Ref-1'!R39</f>
        <v>2016/17</v>
      </c>
      <c r="Q615" s="439" t="str">
        <f>+'Ref-1'!S39</f>
        <v>2017/18</v>
      </c>
      <c r="R615" s="439" t="str">
        <f>+'Ref-1'!T39</f>
        <v>2018/19</v>
      </c>
      <c r="S615" s="439" t="str">
        <f>+'Ref-1'!U39</f>
        <v>2019/20</v>
      </c>
    </row>
    <row r="616" spans="2:19">
      <c r="C616" s="13" t="s">
        <v>68</v>
      </c>
      <c r="D616" s="310">
        <f t="shared" ref="D616:S621" ca="1" si="77">SUMIF($C$7:$C$605,$C616,D$7:D$605)</f>
        <v>0</v>
      </c>
      <c r="E616" s="310">
        <f t="shared" ca="1" si="77"/>
        <v>0</v>
      </c>
      <c r="F616" s="310">
        <f t="shared" ca="1" si="77"/>
        <v>0</v>
      </c>
      <c r="G616" s="310">
        <f t="shared" ca="1" si="77"/>
        <v>0</v>
      </c>
      <c r="H616" s="310">
        <f t="shared" ca="1" si="77"/>
        <v>0</v>
      </c>
      <c r="I616" s="310">
        <f t="shared" ca="1" si="77"/>
        <v>0</v>
      </c>
      <c r="J616" s="310">
        <f t="shared" ca="1" si="77"/>
        <v>0</v>
      </c>
      <c r="K616" s="310">
        <f t="shared" ca="1" si="77"/>
        <v>0</v>
      </c>
      <c r="L616" s="310">
        <f t="shared" ca="1" si="77"/>
        <v>0</v>
      </c>
      <c r="M616" s="310">
        <f t="shared" ca="1" si="77"/>
        <v>0</v>
      </c>
      <c r="N616" s="310">
        <f t="shared" ca="1" si="77"/>
        <v>107.85239225600107</v>
      </c>
      <c r="O616" s="310">
        <f t="shared" ca="1" si="77"/>
        <v>113.73420884672414</v>
      </c>
      <c r="P616" s="310">
        <f t="shared" ca="1" si="77"/>
        <v>119.39270701568378</v>
      </c>
      <c r="Q616" s="310">
        <f t="shared" ca="1" si="77"/>
        <v>125.39625880290188</v>
      </c>
      <c r="R616" s="310">
        <f t="shared" ca="1" si="77"/>
        <v>129.16795337714348</v>
      </c>
      <c r="S616" s="310">
        <f t="shared" ca="1" si="77"/>
        <v>133.30858096706393</v>
      </c>
    </row>
    <row r="617" spans="2:19">
      <c r="C617" s="13" t="s">
        <v>69</v>
      </c>
      <c r="D617" s="310">
        <f t="shared" ca="1" si="77"/>
        <v>0</v>
      </c>
      <c r="E617" s="310">
        <f t="shared" ca="1" si="77"/>
        <v>0</v>
      </c>
      <c r="F617" s="310">
        <f t="shared" ca="1" si="77"/>
        <v>0</v>
      </c>
      <c r="G617" s="310">
        <f t="shared" ca="1" si="77"/>
        <v>0</v>
      </c>
      <c r="H617" s="310">
        <f t="shared" ca="1" si="77"/>
        <v>0</v>
      </c>
      <c r="I617" s="310">
        <f t="shared" ca="1" si="77"/>
        <v>0</v>
      </c>
      <c r="J617" s="310">
        <f t="shared" ca="1" si="77"/>
        <v>0</v>
      </c>
      <c r="K617" s="310">
        <f t="shared" ca="1" si="77"/>
        <v>0</v>
      </c>
      <c r="L617" s="310">
        <f t="shared" ca="1" si="77"/>
        <v>0</v>
      </c>
      <c r="M617" s="310">
        <f t="shared" ca="1" si="77"/>
        <v>0</v>
      </c>
      <c r="N617" s="310">
        <f t="shared" ca="1" si="77"/>
        <v>1.4912061862675832</v>
      </c>
      <c r="O617" s="310">
        <f t="shared" ca="1" si="77"/>
        <v>1.6321092447695249</v>
      </c>
      <c r="P617" s="310">
        <f t="shared" ca="1" si="77"/>
        <v>1.8473131169570711</v>
      </c>
      <c r="Q617" s="310">
        <f t="shared" ca="1" si="77"/>
        <v>1.8783441582483908</v>
      </c>
      <c r="R617" s="310">
        <f t="shared" ca="1" si="77"/>
        <v>1.9230105695539388</v>
      </c>
      <c r="S617" s="310">
        <f t="shared" ca="1" si="77"/>
        <v>1.9332770701272426</v>
      </c>
    </row>
    <row r="618" spans="2:19" s="759" customFormat="1">
      <c r="C618" s="13" t="s">
        <v>646</v>
      </c>
      <c r="D618" s="310">
        <f t="shared" ca="1" si="77"/>
        <v>0</v>
      </c>
      <c r="E618" s="310">
        <f t="shared" ca="1" si="77"/>
        <v>0</v>
      </c>
      <c r="F618" s="310">
        <f t="shared" ca="1" si="77"/>
        <v>0</v>
      </c>
      <c r="G618" s="310">
        <f t="shared" ca="1" si="77"/>
        <v>0</v>
      </c>
      <c r="H618" s="310">
        <f t="shared" ca="1" si="77"/>
        <v>0</v>
      </c>
      <c r="I618" s="310">
        <f t="shared" ca="1" si="77"/>
        <v>0</v>
      </c>
      <c r="J618" s="310">
        <f t="shared" ca="1" si="77"/>
        <v>0</v>
      </c>
      <c r="K618" s="310">
        <f t="shared" ca="1" si="77"/>
        <v>0</v>
      </c>
      <c r="L618" s="310">
        <f t="shared" ca="1" si="77"/>
        <v>0</v>
      </c>
      <c r="M618" s="310">
        <f t="shared" ca="1" si="77"/>
        <v>0</v>
      </c>
      <c r="N618" s="310">
        <f t="shared" ca="1" si="77"/>
        <v>61.42295098048109</v>
      </c>
      <c r="O618" s="310">
        <f t="shared" ca="1" si="77"/>
        <v>71.937180394112929</v>
      </c>
      <c r="P618" s="310">
        <f t="shared" ca="1" si="77"/>
        <v>71.107489920203932</v>
      </c>
      <c r="Q618" s="310">
        <f t="shared" ca="1" si="77"/>
        <v>72.238543162071323</v>
      </c>
      <c r="R618" s="310">
        <f t="shared" ca="1" si="77"/>
        <v>73.386630211090093</v>
      </c>
      <c r="S618" s="310">
        <f t="shared" ca="1" si="77"/>
        <v>72.624969718141216</v>
      </c>
    </row>
    <row r="619" spans="2:19">
      <c r="C619" s="13" t="s">
        <v>647</v>
      </c>
      <c r="D619" s="310">
        <f t="shared" ca="1" si="77"/>
        <v>0</v>
      </c>
      <c r="E619" s="310">
        <f t="shared" ca="1" si="77"/>
        <v>0</v>
      </c>
      <c r="F619" s="310">
        <f t="shared" ca="1" si="77"/>
        <v>0</v>
      </c>
      <c r="G619" s="310">
        <f t="shared" ca="1" si="77"/>
        <v>0</v>
      </c>
      <c r="H619" s="310">
        <f t="shared" ca="1" si="77"/>
        <v>0</v>
      </c>
      <c r="I619" s="310">
        <f t="shared" ca="1" si="77"/>
        <v>0</v>
      </c>
      <c r="J619" s="310">
        <f t="shared" ca="1" si="77"/>
        <v>0</v>
      </c>
      <c r="K619" s="310">
        <f t="shared" ca="1" si="77"/>
        <v>0</v>
      </c>
      <c r="L619" s="310">
        <f t="shared" ca="1" si="77"/>
        <v>0</v>
      </c>
      <c r="M619" s="310">
        <f t="shared" ca="1" si="77"/>
        <v>0</v>
      </c>
      <c r="N619" s="310">
        <f t="shared" ca="1" si="77"/>
        <v>48.750262504882805</v>
      </c>
      <c r="O619" s="310">
        <f t="shared" ca="1" si="77"/>
        <v>55.333567047572821</v>
      </c>
      <c r="P619" s="310">
        <f t="shared" ca="1" si="77"/>
        <v>61.241992472570367</v>
      </c>
      <c r="Q619" s="310">
        <f t="shared" ca="1" si="77"/>
        <v>57.505397391997803</v>
      </c>
      <c r="R619" s="310">
        <f t="shared" ca="1" si="77"/>
        <v>58.131275129678258</v>
      </c>
      <c r="S619" s="310">
        <f t="shared" ca="1" si="77"/>
        <v>59.08883542270074</v>
      </c>
    </row>
    <row r="620" spans="2:19" s="759" customFormat="1">
      <c r="C620" s="13" t="s">
        <v>575</v>
      </c>
      <c r="D620" s="310">
        <f t="shared" ca="1" si="77"/>
        <v>0</v>
      </c>
      <c r="E620" s="310">
        <f t="shared" ca="1" si="77"/>
        <v>0</v>
      </c>
      <c r="F620" s="310">
        <f t="shared" ca="1" si="77"/>
        <v>0</v>
      </c>
      <c r="G620" s="310">
        <f t="shared" ca="1" si="77"/>
        <v>0</v>
      </c>
      <c r="H620" s="310">
        <f t="shared" ca="1" si="77"/>
        <v>0</v>
      </c>
      <c r="I620" s="310">
        <f t="shared" ca="1" si="77"/>
        <v>0</v>
      </c>
      <c r="J620" s="310">
        <f t="shared" ca="1" si="77"/>
        <v>0</v>
      </c>
      <c r="K620" s="310">
        <f t="shared" ca="1" si="77"/>
        <v>0</v>
      </c>
      <c r="L620" s="310">
        <f t="shared" ca="1" si="77"/>
        <v>0</v>
      </c>
      <c r="M620" s="310">
        <f t="shared" ca="1" si="77"/>
        <v>0</v>
      </c>
      <c r="N620" s="310">
        <f t="shared" ca="1" si="77"/>
        <v>3.3596250000000012</v>
      </c>
      <c r="O620" s="310">
        <f t="shared" ca="1" si="77"/>
        <v>3.4681260793032962</v>
      </c>
      <c r="P620" s="310">
        <f t="shared" ca="1" si="77"/>
        <v>3.5770062684621005</v>
      </c>
      <c r="Q620" s="310">
        <f t="shared" ca="1" si="77"/>
        <v>3.6928028953674854</v>
      </c>
      <c r="R620" s="310">
        <f t="shared" ca="1" si="77"/>
        <v>3.8150340753811252</v>
      </c>
      <c r="S620" s="310">
        <f t="shared" ca="1" si="77"/>
        <v>3.9375868613133695</v>
      </c>
    </row>
    <row r="621" spans="2:19">
      <c r="C621" s="13" t="s">
        <v>70</v>
      </c>
      <c r="D621" s="310">
        <f t="shared" ca="1" si="77"/>
        <v>0</v>
      </c>
      <c r="E621" s="310">
        <f t="shared" ca="1" si="77"/>
        <v>0</v>
      </c>
      <c r="F621" s="310">
        <f t="shared" ca="1" si="77"/>
        <v>0</v>
      </c>
      <c r="G621" s="310">
        <f t="shared" ca="1" si="77"/>
        <v>0</v>
      </c>
      <c r="H621" s="310">
        <f t="shared" ca="1" si="77"/>
        <v>0</v>
      </c>
      <c r="I621" s="310">
        <f t="shared" ca="1" si="77"/>
        <v>0</v>
      </c>
      <c r="J621" s="310">
        <f t="shared" ca="1" si="77"/>
        <v>0</v>
      </c>
      <c r="K621" s="310">
        <f t="shared" ca="1" si="77"/>
        <v>0</v>
      </c>
      <c r="L621" s="310">
        <f t="shared" ca="1" si="77"/>
        <v>0</v>
      </c>
      <c r="M621" s="310">
        <f t="shared" ca="1" si="77"/>
        <v>0</v>
      </c>
      <c r="N621" s="310">
        <f t="shared" ca="1" si="77"/>
        <v>25.504364384678258</v>
      </c>
      <c r="O621" s="310">
        <f t="shared" ca="1" si="77"/>
        <v>23.667228835816292</v>
      </c>
      <c r="P621" s="310">
        <f t="shared" ca="1" si="77"/>
        <v>23.897459496750585</v>
      </c>
      <c r="Q621" s="310">
        <f t="shared" ca="1" si="77"/>
        <v>24.125039948550064</v>
      </c>
      <c r="R621" s="310">
        <f t="shared" ca="1" si="77"/>
        <v>24.37194646051142</v>
      </c>
      <c r="S621" s="310">
        <f t="shared" ca="1" si="77"/>
        <v>24.598114673324268</v>
      </c>
    </row>
    <row r="622" spans="2:19" ht="13.5" thickBot="1">
      <c r="C622" s="18" t="s">
        <v>75</v>
      </c>
      <c r="D622" s="316">
        <f t="shared" ref="D622:S622" ca="1" si="78">SUM(D616:D621)</f>
        <v>0</v>
      </c>
      <c r="E622" s="316">
        <f t="shared" ca="1" si="78"/>
        <v>0</v>
      </c>
      <c r="F622" s="316">
        <f t="shared" ca="1" si="78"/>
        <v>0</v>
      </c>
      <c r="G622" s="316">
        <f t="shared" ca="1" si="78"/>
        <v>0</v>
      </c>
      <c r="H622" s="316">
        <f t="shared" ca="1" si="78"/>
        <v>0</v>
      </c>
      <c r="I622" s="316">
        <f t="shared" ca="1" si="78"/>
        <v>0</v>
      </c>
      <c r="J622" s="316">
        <f t="shared" ca="1" si="78"/>
        <v>0</v>
      </c>
      <c r="K622" s="316">
        <f t="shared" ca="1" si="78"/>
        <v>0</v>
      </c>
      <c r="L622" s="316">
        <f t="shared" ca="1" si="78"/>
        <v>0</v>
      </c>
      <c r="M622" s="316">
        <f t="shared" ca="1" si="78"/>
        <v>0</v>
      </c>
      <c r="N622" s="316">
        <f t="shared" ca="1" si="78"/>
        <v>248.38080131231081</v>
      </c>
      <c r="O622" s="316">
        <f t="shared" ca="1" si="78"/>
        <v>269.77242044829899</v>
      </c>
      <c r="P622" s="316">
        <f t="shared" ca="1" si="78"/>
        <v>281.06396829062783</v>
      </c>
      <c r="Q622" s="316">
        <f t="shared" ca="1" si="78"/>
        <v>284.83638635913695</v>
      </c>
      <c r="R622" s="316">
        <f t="shared" ca="1" si="78"/>
        <v>290.79584982335831</v>
      </c>
      <c r="S622" s="316">
        <f t="shared" ca="1" si="78"/>
        <v>295.49136471267082</v>
      </c>
    </row>
    <row r="625" spans="2:19">
      <c r="B625" s="2"/>
    </row>
    <row r="627" spans="2:19">
      <c r="O627" s="590"/>
      <c r="P627" s="590"/>
      <c r="Q627" s="590"/>
      <c r="R627" s="590"/>
      <c r="S627" s="590"/>
    </row>
    <row r="629" spans="2:19">
      <c r="B629" s="2"/>
    </row>
    <row r="632" spans="2:19" ht="13.5" thickBot="1"/>
    <row r="633" spans="2:19">
      <c r="B633" s="326" t="s">
        <v>288</v>
      </c>
      <c r="C633" s="317"/>
      <c r="D633" s="317"/>
      <c r="E633" s="317"/>
      <c r="F633" s="317"/>
      <c r="G633" s="317"/>
      <c r="H633" s="317"/>
      <c r="I633" s="317"/>
      <c r="J633" s="317"/>
      <c r="K633" s="317"/>
      <c r="L633" s="317"/>
      <c r="M633" s="317"/>
      <c r="N633" s="317"/>
      <c r="O633" s="317"/>
      <c r="P633" s="317"/>
      <c r="Q633" s="317"/>
      <c r="R633" s="317"/>
      <c r="S633" s="318"/>
    </row>
    <row r="634" spans="2:19">
      <c r="B634" s="319" t="s">
        <v>311</v>
      </c>
      <c r="C634" s="67"/>
      <c r="D634" s="308">
        <f ca="1">ROUND(+D622-D609,4)</f>
        <v>0</v>
      </c>
      <c r="E634" s="308">
        <f t="shared" ref="E634:S634" ca="1" si="79">ROUND(+E622-E609,4)</f>
        <v>0</v>
      </c>
      <c r="F634" s="308">
        <f t="shared" ca="1" si="79"/>
        <v>0</v>
      </c>
      <c r="G634" s="308">
        <f t="shared" ca="1" si="79"/>
        <v>0</v>
      </c>
      <c r="H634" s="308">
        <f t="shared" ca="1" si="79"/>
        <v>0</v>
      </c>
      <c r="I634" s="308">
        <f t="shared" ca="1" si="79"/>
        <v>0</v>
      </c>
      <c r="J634" s="308">
        <f t="shared" ca="1" si="79"/>
        <v>0</v>
      </c>
      <c r="K634" s="308">
        <f t="shared" ca="1" si="79"/>
        <v>0</v>
      </c>
      <c r="L634" s="308">
        <f t="shared" ca="1" si="79"/>
        <v>0</v>
      </c>
      <c r="M634" s="308">
        <f t="shared" ca="1" si="79"/>
        <v>0</v>
      </c>
      <c r="N634" s="308">
        <f t="shared" ca="1" si="79"/>
        <v>0</v>
      </c>
      <c r="O634" s="308">
        <f t="shared" ca="1" si="79"/>
        <v>0</v>
      </c>
      <c r="P634" s="308">
        <f t="shared" ca="1" si="79"/>
        <v>0</v>
      </c>
      <c r="Q634" s="308">
        <f t="shared" ca="1" si="79"/>
        <v>0</v>
      </c>
      <c r="R634" s="308">
        <f t="shared" ca="1" si="79"/>
        <v>0</v>
      </c>
      <c r="S634" s="320">
        <f t="shared" ca="1" si="79"/>
        <v>0</v>
      </c>
    </row>
    <row r="635" spans="2:19">
      <c r="B635" s="319" t="s">
        <v>453</v>
      </c>
      <c r="C635" s="67"/>
      <c r="D635" s="308">
        <f>+D609-'R1 Opex Detail'!D609</f>
        <v>0</v>
      </c>
      <c r="E635" s="308">
        <f>+E609-'R1 Opex Detail'!E609</f>
        <v>0</v>
      </c>
      <c r="F635" s="308">
        <f>+F609-'R1 Opex Detail'!F609</f>
        <v>0</v>
      </c>
      <c r="G635" s="308">
        <f>+G609-'R1 Opex Detail'!G609</f>
        <v>0</v>
      </c>
      <c r="H635" s="308">
        <f>+H609-'R1 Opex Detail'!H609</f>
        <v>0</v>
      </c>
      <c r="I635" s="308">
        <f>+I609-'R1 Opex Detail'!I609</f>
        <v>0</v>
      </c>
      <c r="J635" s="308">
        <f>+J609-'R1 Opex Detail'!J609</f>
        <v>0</v>
      </c>
      <c r="K635" s="308">
        <f>+K609-'R1 Opex Detail'!K609</f>
        <v>0</v>
      </c>
      <c r="L635" s="308">
        <f ca="1">+L609-'R1 Opex Detail'!L609</f>
        <v>0</v>
      </c>
      <c r="M635" s="321"/>
      <c r="N635" s="321"/>
      <c r="O635" s="321"/>
      <c r="P635" s="321"/>
      <c r="Q635" s="321"/>
      <c r="R635" s="321"/>
      <c r="S635" s="325"/>
    </row>
    <row r="636" spans="2:19">
      <c r="B636" s="319" t="s">
        <v>454</v>
      </c>
      <c r="C636" s="67"/>
      <c r="D636" s="321"/>
      <c r="E636" s="321"/>
      <c r="F636" s="321"/>
      <c r="G636" s="321"/>
      <c r="H636" s="321"/>
      <c r="I636" s="321"/>
      <c r="J636" s="321"/>
      <c r="K636" s="321"/>
      <c r="L636" s="321"/>
      <c r="M636" s="308">
        <f ca="1">ROUND(+M609-'R1 Opex Detail'!M609*M2,4)</f>
        <v>0</v>
      </c>
      <c r="N636" s="308">
        <f ca="1">ROUND(+N609-'R1 Opex Detail'!N609*N1,4)</f>
        <v>0</v>
      </c>
      <c r="O636" s="308">
        <f ca="1">ROUND(+O609-'R1 Opex Detail'!O609*O1,4)</f>
        <v>0</v>
      </c>
      <c r="P636" s="308">
        <f ca="1">ROUND(+P609-'R1 Opex Detail'!P609*P1,4)</f>
        <v>0</v>
      </c>
      <c r="Q636" s="308">
        <f ca="1">ROUND(+Q609-'R1 Opex Detail'!Q609*Q1,4)</f>
        <v>0</v>
      </c>
      <c r="R636" s="308">
        <f ca="1">ROUND(+R609-'R1 Opex Detail'!R609*R1,4)</f>
        <v>0</v>
      </c>
      <c r="S636" s="308">
        <f ca="1">ROUND(+S609-'R1 Opex Detail'!S609*S1,4)</f>
        <v>0</v>
      </c>
    </row>
    <row r="637" spans="2:19" ht="13.5" thickBot="1">
      <c r="B637" s="322"/>
      <c r="C637" s="323"/>
      <c r="D637" s="323"/>
      <c r="E637" s="323"/>
      <c r="F637" s="323"/>
      <c r="G637" s="323"/>
      <c r="H637" s="323"/>
      <c r="I637" s="323"/>
      <c r="J637" s="323"/>
      <c r="K637" s="323"/>
      <c r="L637" s="323"/>
      <c r="M637" s="323"/>
      <c r="N637" s="323"/>
      <c r="O637" s="323"/>
      <c r="P637" s="323"/>
      <c r="Q637" s="323"/>
      <c r="R637" s="323"/>
      <c r="S637" s="324"/>
    </row>
    <row r="641" spans="2:11" ht="15">
      <c r="B641" s="717" t="s">
        <v>314</v>
      </c>
      <c r="C641" s="709"/>
      <c r="D641" s="709"/>
      <c r="E641" s="709"/>
      <c r="F641" s="709"/>
      <c r="G641" s="709"/>
      <c r="H641" s="709"/>
      <c r="I641" s="709"/>
      <c r="J641" s="709"/>
      <c r="K641" s="710"/>
    </row>
    <row r="642" spans="2:11" ht="13.5">
      <c r="B642" s="711" t="s">
        <v>627</v>
      </c>
      <c r="C642" s="712"/>
      <c r="D642" s="712"/>
      <c r="E642" s="712"/>
      <c r="F642" s="712"/>
      <c r="G642" s="712"/>
      <c r="H642" s="712"/>
      <c r="I642" s="712"/>
      <c r="J642" s="712"/>
      <c r="K642" s="713"/>
    </row>
    <row r="643" spans="2:11" ht="13.5">
      <c r="B643" s="711" t="s">
        <v>628</v>
      </c>
      <c r="C643" s="712"/>
      <c r="D643" s="712"/>
      <c r="E643" s="712"/>
      <c r="F643" s="712"/>
      <c r="G643" s="712"/>
      <c r="H643" s="712"/>
      <c r="I643" s="712"/>
      <c r="J643" s="712"/>
      <c r="K643" s="713"/>
    </row>
    <row r="644" spans="2:11" s="706" customFormat="1" ht="13.5">
      <c r="B644" s="711"/>
      <c r="C644" s="712"/>
      <c r="D644" s="712"/>
      <c r="E644" s="712"/>
      <c r="F644" s="712"/>
      <c r="G644" s="712"/>
      <c r="H644" s="712"/>
      <c r="I644" s="712"/>
      <c r="J644" s="712"/>
      <c r="K644" s="713"/>
    </row>
    <row r="645" spans="2:11" s="706" customFormat="1" ht="13.5">
      <c r="B645" s="711" t="s">
        <v>309</v>
      </c>
      <c r="C645" s="712"/>
      <c r="D645" s="712"/>
      <c r="E645" s="712"/>
      <c r="F645" s="712"/>
      <c r="G645" s="712"/>
      <c r="H645" s="712"/>
      <c r="I645" s="712"/>
      <c r="J645" s="712"/>
      <c r="K645" s="713"/>
    </row>
    <row r="646" spans="2:11" s="706" customFormat="1" ht="13.5">
      <c r="B646" s="711" t="s">
        <v>310</v>
      </c>
      <c r="C646" s="712"/>
      <c r="D646" s="712"/>
      <c r="E646" s="712"/>
      <c r="F646" s="712"/>
      <c r="G646" s="712"/>
      <c r="H646" s="712"/>
      <c r="I646" s="712"/>
      <c r="J646" s="712"/>
      <c r="K646" s="713"/>
    </row>
    <row r="647" spans="2:11" s="706" customFormat="1" ht="13.5">
      <c r="B647" s="711"/>
      <c r="C647" s="712"/>
      <c r="D647" s="712"/>
      <c r="E647" s="712"/>
      <c r="F647" s="712"/>
      <c r="G647" s="712"/>
      <c r="H647" s="712"/>
      <c r="I647" s="712"/>
      <c r="J647" s="712"/>
      <c r="K647" s="713"/>
    </row>
    <row r="648" spans="2:11" ht="13.5">
      <c r="B648" s="711" t="s">
        <v>615</v>
      </c>
      <c r="C648" s="712"/>
      <c r="D648" s="712"/>
      <c r="E648" s="712"/>
      <c r="F648" s="712"/>
      <c r="G648" s="712"/>
      <c r="H648" s="712"/>
      <c r="I648" s="712"/>
      <c r="J648" s="712"/>
      <c r="K648" s="713"/>
    </row>
    <row r="649" spans="2:11" ht="13.5">
      <c r="B649" s="711" t="s">
        <v>616</v>
      </c>
      <c r="C649" s="712"/>
      <c r="D649" s="712"/>
      <c r="E649" s="712"/>
      <c r="F649" s="712"/>
      <c r="G649" s="712"/>
      <c r="H649" s="712"/>
      <c r="I649" s="712"/>
      <c r="J649" s="712"/>
      <c r="K649" s="713"/>
    </row>
    <row r="650" spans="2:11" ht="13.5">
      <c r="B650" s="714"/>
      <c r="C650" s="715"/>
      <c r="D650" s="715"/>
      <c r="E650" s="715"/>
      <c r="F650" s="715"/>
      <c r="G650" s="715"/>
      <c r="H650" s="715"/>
      <c r="I650" s="715"/>
      <c r="J650" s="715"/>
      <c r="K650" s="716"/>
    </row>
  </sheetData>
  <sheetProtection formatColumns="0" formatRows="0"/>
  <phoneticPr fontId="0" type="noConversion"/>
  <conditionalFormatting sqref="D634:L635 M634:S634 M636:S636">
    <cfRule type="cellIs" dxfId="11" priority="1" stopIfTrue="1" operator="equal">
      <formula>0</formula>
    </cfRule>
    <cfRule type="cellIs" dxfId="10" priority="2" stopIfTrue="1" operator="notEqual">
      <formula>0</formula>
    </cfRule>
  </conditionalFormatting>
  <pageMargins left="0.46" right="0.47" top="0.64" bottom="0.6" header="0.24" footer="0.2"/>
  <pageSetup paperSize="9" scale="65" fitToHeight="0" orientation="landscape" r:id="rId1"/>
  <headerFooter alignWithMargins="0">
    <oddFooter>&amp;L&amp;8&amp;F
&amp;A
Printed: &amp;T on &amp;D&amp;C&amp;8Page &amp;P of &amp;N</oddFooter>
  </headerFooter>
  <rowBreaks count="9" manualBreakCount="9">
    <brk id="69" min="1" max="18" man="1"/>
    <brk id="134" min="1" max="18" man="1"/>
    <brk id="197" min="1" max="18" man="1"/>
    <brk id="227" min="1" max="18" man="1"/>
    <brk id="284" min="1" max="18" man="1"/>
    <brk id="348" min="1" max="18" man="1"/>
    <brk id="413" min="1" max="18" man="1"/>
    <brk id="476" min="1" max="18" man="1"/>
    <brk id="541" min="1" max="18" man="1"/>
  </rowBreaks>
  <legacyDrawing r:id="rId2"/>
</worksheet>
</file>

<file path=xl/worksheets/sheet95.xml><?xml version="1.0" encoding="utf-8"?>
<worksheet xmlns="http://schemas.openxmlformats.org/spreadsheetml/2006/main" xmlns:r="http://schemas.openxmlformats.org/officeDocument/2006/relationships">
  <sheetPr codeName="Sheet53">
    <pageSetUpPr fitToPage="1"/>
  </sheetPr>
  <dimension ref="A1:AA86"/>
  <sheetViews>
    <sheetView showGridLines="0" topLeftCell="A16" zoomScale="75" zoomScaleNormal="75" workbookViewId="0">
      <selection activeCell="AA63" sqref="AA63"/>
    </sheetView>
  </sheetViews>
  <sheetFormatPr defaultRowHeight="12.75"/>
  <cols>
    <col min="1" max="2" width="9.140625" style="541"/>
    <col min="3" max="3" width="60.7109375" style="541" customWidth="1"/>
    <col min="4" max="4" width="10.42578125" style="541" hidden="1" customWidth="1"/>
    <col min="5" max="8" width="9.42578125" style="541" hidden="1" customWidth="1"/>
    <col min="9" max="9" width="9.7109375" style="541" hidden="1" customWidth="1"/>
    <col min="10" max="10" width="10.42578125" style="541" hidden="1" customWidth="1"/>
    <col min="11" max="12" width="9.42578125" style="541" hidden="1" customWidth="1"/>
    <col min="13" max="13" width="12" style="541" hidden="1" customWidth="1"/>
    <col min="14" max="21" width="12" style="541" customWidth="1"/>
    <col min="22" max="16384" width="9.140625" style="541"/>
  </cols>
  <sheetData>
    <row r="1" spans="1:27" ht="18">
      <c r="A1" s="183" t="s">
        <v>493</v>
      </c>
      <c r="B1" s="183" t="s">
        <v>710</v>
      </c>
      <c r="F1" s="542"/>
      <c r="G1" s="542"/>
      <c r="H1" s="542"/>
    </row>
    <row r="2" spans="1:27">
      <c r="A2"/>
      <c r="B2" s="2"/>
      <c r="F2" s="542"/>
      <c r="G2" s="542"/>
      <c r="H2" s="542"/>
    </row>
    <row r="3" spans="1:27">
      <c r="F3" s="542"/>
      <c r="G3" s="542"/>
      <c r="H3" s="542"/>
    </row>
    <row r="4" spans="1:27">
      <c r="C4" s="545"/>
    </row>
    <row r="5" spans="1:27" hidden="1"/>
    <row r="6" spans="1:27" s="532" customFormat="1" ht="15">
      <c r="A6" s="546"/>
      <c r="B6" s="546"/>
      <c r="C6" s="547" t="s">
        <v>455</v>
      </c>
      <c r="D6" s="621"/>
      <c r="E6" s="621"/>
      <c r="F6" s="621"/>
      <c r="G6" s="621"/>
      <c r="H6" s="621"/>
      <c r="I6" s="621"/>
      <c r="J6" s="621"/>
      <c r="K6" s="621"/>
      <c r="L6" s="621"/>
      <c r="M6" s="621"/>
      <c r="N6" s="621"/>
      <c r="O6" s="621"/>
      <c r="P6" s="621"/>
      <c r="Q6" s="621"/>
      <c r="R6" s="621"/>
      <c r="S6" s="621"/>
      <c r="T6" s="621"/>
      <c r="U6" s="621"/>
    </row>
    <row r="7" spans="1:27" s="532" customFormat="1">
      <c r="A7" s="546"/>
      <c r="B7" s="546"/>
      <c r="C7" s="541"/>
      <c r="D7" s="537"/>
      <c r="E7" s="533"/>
      <c r="F7" s="534"/>
      <c r="G7" s="534"/>
      <c r="H7" s="534"/>
      <c r="I7" s="534"/>
      <c r="J7" s="534"/>
      <c r="K7" s="534"/>
      <c r="L7" s="534"/>
      <c r="M7" s="534"/>
      <c r="N7" s="534"/>
      <c r="O7" s="534"/>
      <c r="P7" s="534"/>
      <c r="Q7" s="534"/>
      <c r="R7" s="535"/>
      <c r="S7" s="536"/>
      <c r="T7" s="536"/>
    </row>
    <row r="8" spans="1:27" s="532" customFormat="1" ht="15" customHeight="1">
      <c r="A8" s="538"/>
      <c r="B8" s="538"/>
      <c r="C8" s="894" t="s">
        <v>456</v>
      </c>
      <c r="D8" s="885" t="s">
        <v>457</v>
      </c>
      <c r="E8" s="885"/>
      <c r="F8" s="885"/>
      <c r="G8" s="885"/>
      <c r="H8" s="885"/>
      <c r="I8" s="886"/>
      <c r="J8" s="833"/>
      <c r="K8" s="834"/>
      <c r="L8" s="834"/>
      <c r="M8" s="834"/>
      <c r="N8" s="834"/>
      <c r="O8" s="833" t="s">
        <v>707</v>
      </c>
      <c r="P8" s="885" t="s">
        <v>459</v>
      </c>
      <c r="Q8" s="885"/>
      <c r="R8" s="885"/>
      <c r="S8" s="885"/>
      <c r="T8" s="885"/>
      <c r="U8" s="886"/>
      <c r="Y8"/>
      <c r="Z8"/>
      <c r="AA8"/>
    </row>
    <row r="9" spans="1:27" s="532" customFormat="1" ht="15" customHeight="1">
      <c r="A9" s="538"/>
      <c r="B9" s="538"/>
      <c r="C9" s="895"/>
      <c r="D9" s="887" t="s">
        <v>460</v>
      </c>
      <c r="E9" s="888"/>
      <c r="F9" s="888"/>
      <c r="G9" s="888"/>
      <c r="H9" s="888"/>
      <c r="I9" s="889" t="s">
        <v>75</v>
      </c>
      <c r="J9" s="887" t="s">
        <v>460</v>
      </c>
      <c r="K9" s="887"/>
      <c r="L9" s="887"/>
      <c r="M9" s="892" t="s">
        <v>461</v>
      </c>
      <c r="N9" s="893"/>
      <c r="O9" s="889" t="s">
        <v>75</v>
      </c>
      <c r="P9" s="887" t="s">
        <v>462</v>
      </c>
      <c r="Q9" s="887"/>
      <c r="R9" s="887"/>
      <c r="S9" s="887"/>
      <c r="T9" s="887"/>
      <c r="U9" s="889" t="s">
        <v>75</v>
      </c>
      <c r="Y9"/>
      <c r="Z9"/>
      <c r="AA9"/>
    </row>
    <row r="10" spans="1:27" s="532" customFormat="1" ht="15" customHeight="1">
      <c r="A10" s="538"/>
      <c r="B10" s="538"/>
      <c r="C10" s="896"/>
      <c r="D10" s="563" t="str">
        <f>+'Ref-1'!G$39</f>
        <v>2005/06</v>
      </c>
      <c r="E10" s="563" t="str">
        <f>+'Ref-1'!H$39</f>
        <v>2006/07</v>
      </c>
      <c r="F10" s="563" t="str">
        <f>+'Ref-1'!I$39</f>
        <v>2007/08</v>
      </c>
      <c r="G10" s="563" t="str">
        <f>+'Ref-1'!J$39</f>
        <v>2008/09</v>
      </c>
      <c r="H10" s="563" t="str">
        <f>+'Ref-1'!K$39</f>
        <v>2009/10</v>
      </c>
      <c r="I10" s="890"/>
      <c r="J10" s="563" t="str">
        <f>+'Ref-1'!L$39</f>
        <v>2010/11</v>
      </c>
      <c r="K10" s="563" t="str">
        <f>+'Ref-1'!M$39</f>
        <v>2011/12</v>
      </c>
      <c r="L10" s="563" t="str">
        <f>+'Ref-1'!N$39</f>
        <v>2012/13</v>
      </c>
      <c r="M10" s="563" t="str">
        <f>+'Ref-1'!O$39</f>
        <v>2013/14</v>
      </c>
      <c r="N10" s="563" t="str">
        <f>+'Ref-1'!P$39</f>
        <v>2014/15</v>
      </c>
      <c r="O10" s="890"/>
      <c r="P10" s="563" t="str">
        <f>+'Ref-1'!Q$39</f>
        <v>2015/16</v>
      </c>
      <c r="Q10" s="563" t="str">
        <f>+'Ref-1'!R$39</f>
        <v>2016/17</v>
      </c>
      <c r="R10" s="563" t="str">
        <f>+'Ref-1'!S$39</f>
        <v>2017/18</v>
      </c>
      <c r="S10" s="563" t="str">
        <f>+'Ref-1'!T$39</f>
        <v>2018/19</v>
      </c>
      <c r="T10" s="563" t="str">
        <f>+'Ref-1'!U$39</f>
        <v>2019/20</v>
      </c>
      <c r="U10" s="891"/>
      <c r="W10" s="532" t="s">
        <v>307</v>
      </c>
      <c r="Y10"/>
      <c r="Z10"/>
      <c r="AA10"/>
    </row>
    <row r="11" spans="1:27" s="532" customFormat="1" ht="15" customHeight="1">
      <c r="A11" s="538"/>
      <c r="B11" s="538"/>
      <c r="C11" s="562" t="s">
        <v>463</v>
      </c>
      <c r="D11" s="548"/>
      <c r="E11" s="548"/>
      <c r="F11" s="548"/>
      <c r="G11" s="548"/>
      <c r="H11" s="548"/>
      <c r="I11" s="548"/>
      <c r="J11" s="548"/>
      <c r="K11" s="548"/>
      <c r="L11" s="548"/>
      <c r="M11" s="548"/>
      <c r="N11" s="548"/>
      <c r="O11" s="548"/>
      <c r="P11" s="548"/>
      <c r="Q11" s="548"/>
      <c r="R11" s="548"/>
      <c r="S11" s="548"/>
      <c r="T11" s="548"/>
      <c r="U11" s="548"/>
      <c r="Y11"/>
      <c r="Z11"/>
      <c r="AA11"/>
    </row>
    <row r="12" spans="1:27" s="532" customFormat="1" ht="15" customHeight="1">
      <c r="A12" s="538"/>
      <c r="B12" s="538"/>
      <c r="C12" s="563" t="s">
        <v>464</v>
      </c>
      <c r="D12" s="566">
        <f>1000*'E1'!E14</f>
        <v>0</v>
      </c>
      <c r="E12" s="566">
        <f>1000*'E1'!F14</f>
        <v>0</v>
      </c>
      <c r="F12" s="566">
        <f>1000*'E1'!G14</f>
        <v>0</v>
      </c>
      <c r="G12" s="566">
        <f>1000*'E1'!H14</f>
        <v>0</v>
      </c>
      <c r="H12" s="566">
        <f>1000*'E1'!I14</f>
        <v>0</v>
      </c>
      <c r="I12" s="567">
        <f t="shared" ref="I12:I17" si="0">SUM(D12:H12)</f>
        <v>0</v>
      </c>
      <c r="J12" s="566">
        <f>1000*'E1'!J14</f>
        <v>0</v>
      </c>
      <c r="K12" s="566">
        <f>1000*'E1'!K14</f>
        <v>0</v>
      </c>
      <c r="L12" s="566">
        <f ca="1">1000*'E1'!L14</f>
        <v>0</v>
      </c>
      <c r="M12" s="566">
        <f ca="1">1000*'E1'!M14</f>
        <v>0</v>
      </c>
      <c r="N12" s="566">
        <f ca="1">1000*'E1'!N14</f>
        <v>3436.121076923077</v>
      </c>
      <c r="O12" s="567">
        <f t="shared" ref="O12:O17" ca="1" si="1">SUM(J12:N12)</f>
        <v>3436.121076923077</v>
      </c>
      <c r="P12" s="566">
        <f ca="1">1000*'E1'!O14</f>
        <v>2706.5836781985035</v>
      </c>
      <c r="Q12" s="566">
        <f ca="1">1000*'E1'!P14</f>
        <v>2443.6835803313702</v>
      </c>
      <c r="R12" s="566">
        <f ca="1">1000*'E1'!Q14</f>
        <v>2477.0753608471973</v>
      </c>
      <c r="S12" s="566">
        <f ca="1">1000*'E1'!R14</f>
        <v>2513.3027608288371</v>
      </c>
      <c r="T12" s="566">
        <f ca="1">1000*'E1'!S14</f>
        <v>2546.4873303390409</v>
      </c>
      <c r="U12" s="567">
        <f t="shared" ref="U12:U18" ca="1" si="2">SUM(P12:T12)</f>
        <v>12687.132710544949</v>
      </c>
      <c r="W12" s="532" t="s">
        <v>47</v>
      </c>
      <c r="Y12"/>
      <c r="Z12"/>
      <c r="AA12"/>
    </row>
    <row r="13" spans="1:27" s="532" customFormat="1" ht="15" customHeight="1">
      <c r="A13" s="538"/>
      <c r="B13" s="538"/>
      <c r="C13" s="563" t="s">
        <v>465</v>
      </c>
      <c r="D13" s="566">
        <f>1000*'E1'!E23</f>
        <v>0</v>
      </c>
      <c r="E13" s="566">
        <f>1000*'E1'!F23</f>
        <v>0</v>
      </c>
      <c r="F13" s="566">
        <f>1000*'E1'!G23</f>
        <v>0</v>
      </c>
      <c r="G13" s="566">
        <f>1000*'E1'!H23</f>
        <v>0</v>
      </c>
      <c r="H13" s="566">
        <f>1000*'E1'!I23</f>
        <v>0</v>
      </c>
      <c r="I13" s="567">
        <f t="shared" si="0"/>
        <v>0</v>
      </c>
      <c r="J13" s="566">
        <f>1000*'E1'!J23</f>
        <v>0</v>
      </c>
      <c r="K13" s="566">
        <f>1000*'E1'!K23</f>
        <v>0</v>
      </c>
      <c r="L13" s="566">
        <f ca="1">1000*'E1'!L23</f>
        <v>0</v>
      </c>
      <c r="M13" s="566">
        <f ca="1">1000*'E1'!M23</f>
        <v>0</v>
      </c>
      <c r="N13" s="566">
        <f ca="1">1000*'E1'!N23</f>
        <v>9515.4917307692322</v>
      </c>
      <c r="O13" s="567">
        <f t="shared" ca="1" si="1"/>
        <v>9515.4917307692322</v>
      </c>
      <c r="P13" s="566">
        <f ca="1">1000*'E1'!O23</f>
        <v>9810.9576083029278</v>
      </c>
      <c r="Q13" s="566">
        <f ca="1">1000*'E1'!P23</f>
        <v>10106.946785849097</v>
      </c>
      <c r="R13" s="566">
        <f ca="1">1000*'E1'!Q23</f>
        <v>10424.195248409213</v>
      </c>
      <c r="S13" s="566">
        <f ca="1">1000*'E1'!R23</f>
        <v>10760.298903805624</v>
      </c>
      <c r="T13" s="566">
        <f ca="1">1000*'E1'!S23</f>
        <v>11098.472322705156</v>
      </c>
      <c r="U13" s="567">
        <f t="shared" ca="1" si="2"/>
        <v>52200.870869072023</v>
      </c>
      <c r="W13" s="532" t="s">
        <v>48</v>
      </c>
      <c r="Y13"/>
      <c r="Z13"/>
      <c r="AA13"/>
    </row>
    <row r="14" spans="1:27" s="532" customFormat="1" ht="15" customHeight="1">
      <c r="A14" s="538"/>
      <c r="B14" s="538"/>
      <c r="C14" s="563" t="s">
        <v>466</v>
      </c>
      <c r="D14" s="566">
        <f>(+'E1'!E32+'E1'!E41+'E1'!E50+'E1'!E59)*1000</f>
        <v>0</v>
      </c>
      <c r="E14" s="566">
        <f>(+'E1'!F32+'E1'!F41+'E1'!F50+'E1'!F59)*1000</f>
        <v>0</v>
      </c>
      <c r="F14" s="566">
        <f>(+'E1'!G32+'E1'!G41+'E1'!G50+'E1'!G59)*1000</f>
        <v>0</v>
      </c>
      <c r="G14" s="566">
        <f>(+'E1'!H32+'E1'!H41+'E1'!H50+'E1'!H59)*1000</f>
        <v>0</v>
      </c>
      <c r="H14" s="566">
        <f>(+'E1'!I32+'E1'!I41+'E1'!I50+'E1'!I59)*1000</f>
        <v>0</v>
      </c>
      <c r="I14" s="567">
        <f t="shared" si="0"/>
        <v>0</v>
      </c>
      <c r="J14" s="566">
        <f>(+'E1'!J32+'E1'!J41+'E1'!J50+'E1'!J59)*1000</f>
        <v>0</v>
      </c>
      <c r="K14" s="566">
        <f>(+'E1'!K32+'E1'!K41+'E1'!K50+'E1'!K59)*1000</f>
        <v>0</v>
      </c>
      <c r="L14" s="566">
        <f ca="1">(+'E1'!L32+'E1'!L41+'E1'!L50+'E1'!L59)*1000</f>
        <v>0</v>
      </c>
      <c r="M14" s="566">
        <f ca="1">(+'E1'!M32+'E1'!M41+'E1'!M50+'E1'!M59)*1000</f>
        <v>0</v>
      </c>
      <c r="N14" s="566">
        <f ca="1">(+'E1'!N32+'E1'!N41+'E1'!N50+'E1'!N59)*1000</f>
        <v>6005.8507307692316</v>
      </c>
      <c r="O14" s="567">
        <f t="shared" ca="1" si="1"/>
        <v>6005.8507307692316</v>
      </c>
      <c r="P14" s="566">
        <f ca="1">(+'E1'!O32+'E1'!O41+'E1'!O50+'E1'!O59)*1000</f>
        <v>6380.960481013909</v>
      </c>
      <c r="Q14" s="566">
        <f ca="1">(+'E1'!P32+'E1'!P41+'E1'!P50+'E1'!P59)*1000</f>
        <v>6562.8359155769631</v>
      </c>
      <c r="R14" s="566">
        <f ca="1">(+'E1'!Q32+'E1'!Q41+'E1'!Q50+'E1'!Q59)*1000</f>
        <v>6758.3122344356061</v>
      </c>
      <c r="S14" s="566">
        <f ca="1">(+'E1'!R32+'E1'!R41+'E1'!R50+'E1'!R59)*1000</f>
        <v>6965.6809605995013</v>
      </c>
      <c r="T14" s="566">
        <f ca="1">(+'E1'!S32+'E1'!S41+'E1'!S50+'E1'!S59)*1000</f>
        <v>7174.5761497209523</v>
      </c>
      <c r="U14" s="567">
        <f t="shared" ca="1" si="2"/>
        <v>33842.365741346926</v>
      </c>
      <c r="W14" s="532" t="s">
        <v>500</v>
      </c>
      <c r="Y14"/>
      <c r="Z14"/>
      <c r="AA14"/>
    </row>
    <row r="15" spans="1:27" s="532" customFormat="1" ht="15" customHeight="1">
      <c r="A15" s="538"/>
      <c r="B15" s="538"/>
      <c r="C15" s="563" t="s">
        <v>467</v>
      </c>
      <c r="D15" s="566">
        <f>(+'E1'!E68+'E1'!E106)*1000</f>
        <v>0</v>
      </c>
      <c r="E15" s="566">
        <f>(+'E1'!F68+'E1'!F106)*1000</f>
        <v>0</v>
      </c>
      <c r="F15" s="566">
        <f>(+'E1'!G68+'E1'!G106)*1000</f>
        <v>0</v>
      </c>
      <c r="G15" s="566">
        <f>(+'E1'!H68+'E1'!H106)*1000</f>
        <v>0</v>
      </c>
      <c r="H15" s="566">
        <f>(+'E1'!I68+'E1'!I106)*1000</f>
        <v>0</v>
      </c>
      <c r="I15" s="567">
        <f t="shared" si="0"/>
        <v>0</v>
      </c>
      <c r="J15" s="566">
        <f>(+'E1'!J68+'E1'!J106)*1000</f>
        <v>0</v>
      </c>
      <c r="K15" s="566">
        <f>(+'E1'!K68+'E1'!K106)*1000</f>
        <v>0</v>
      </c>
      <c r="L15" s="566">
        <f ca="1">(+'E1'!L68+'E1'!L106)*1000</f>
        <v>0</v>
      </c>
      <c r="M15" s="566">
        <f ca="1">(+'E1'!M68+'E1'!M106)*1000</f>
        <v>0</v>
      </c>
      <c r="N15" s="566">
        <f ca="1">(+'E1'!N68+'E1'!N106)*1000</f>
        <v>3484.7064230769238</v>
      </c>
      <c r="O15" s="567">
        <f t="shared" ca="1" si="1"/>
        <v>3484.7064230769238</v>
      </c>
      <c r="P15" s="566">
        <f ca="1">(+'E1'!O68+'E1'!O106)*1000</f>
        <v>3582.8590722978242</v>
      </c>
      <c r="Q15" s="566">
        <f ca="1">(+'E1'!P68+'E1'!P106)*1000</f>
        <v>3680.741316310498</v>
      </c>
      <c r="R15" s="566">
        <f ca="1">(+'E1'!Q68+'E1'!Q106)*1000</f>
        <v>3787.5948513829012</v>
      </c>
      <c r="S15" s="566">
        <f ca="1">(+'E1'!R68+'E1'!R106)*1000</f>
        <v>3901.7892853628473</v>
      </c>
      <c r="T15" s="566">
        <f ca="1">(+'E1'!S68+'E1'!S106)*1000</f>
        <v>4017.5879664508207</v>
      </c>
      <c r="U15" s="567">
        <f t="shared" ca="1" si="2"/>
        <v>18970.572491804891</v>
      </c>
      <c r="W15" s="532" t="s">
        <v>499</v>
      </c>
      <c r="Y15"/>
      <c r="Z15"/>
      <c r="AA15"/>
    </row>
    <row r="16" spans="1:27" s="532" customFormat="1" ht="15" customHeight="1">
      <c r="A16" s="538"/>
      <c r="B16" s="538"/>
      <c r="C16" s="563" t="s">
        <v>468</v>
      </c>
      <c r="D16" s="566">
        <f>1000*'E1'!E77</f>
        <v>0</v>
      </c>
      <c r="E16" s="566">
        <f>1000*'E1'!F77</f>
        <v>0</v>
      </c>
      <c r="F16" s="566">
        <f>1000*'E1'!G77</f>
        <v>0</v>
      </c>
      <c r="G16" s="566">
        <f>1000*'E1'!H77</f>
        <v>0</v>
      </c>
      <c r="H16" s="566">
        <f>1000*'E1'!I77</f>
        <v>0</v>
      </c>
      <c r="I16" s="567">
        <f t="shared" si="0"/>
        <v>0</v>
      </c>
      <c r="J16" s="566">
        <f>1000*'E1'!J77</f>
        <v>0</v>
      </c>
      <c r="K16" s="566">
        <f>1000*'E1'!K77</f>
        <v>0</v>
      </c>
      <c r="L16" s="566">
        <f ca="1">1000*'E1'!L77</f>
        <v>0</v>
      </c>
      <c r="M16" s="566">
        <f ca="1">1000*'E1'!M77</f>
        <v>0</v>
      </c>
      <c r="N16" s="566">
        <f ca="1">1000*'E1'!N77</f>
        <v>6367.7815384615405</v>
      </c>
      <c r="O16" s="567">
        <f t="shared" ca="1" si="1"/>
        <v>6367.7815384615405</v>
      </c>
      <c r="P16" s="566">
        <f ca="1">1000*'E1'!O77</f>
        <v>6683.3515565223879</v>
      </c>
      <c r="Q16" s="566">
        <f ca="1">1000*'E1'!P77</f>
        <v>14240.951545078615</v>
      </c>
      <c r="R16" s="566">
        <f ca="1">1000*'E1'!Q77</f>
        <v>9491.3100449658232</v>
      </c>
      <c r="S16" s="566">
        <f ca="1">1000*'E1'!R77</f>
        <v>9663.8985468259289</v>
      </c>
      <c r="T16" s="566">
        <f ca="1">1000*'E1'!S77</f>
        <v>9843.7798403809975</v>
      </c>
      <c r="U16" s="567">
        <f t="shared" ca="1" si="2"/>
        <v>49923.29153377375</v>
      </c>
      <c r="W16" s="532" t="s">
        <v>54</v>
      </c>
      <c r="Y16"/>
      <c r="Z16"/>
      <c r="AA16"/>
    </row>
    <row r="17" spans="1:27" s="532" customFormat="1" ht="15" customHeight="1">
      <c r="A17" s="538"/>
      <c r="B17" s="538"/>
      <c r="C17" s="563" t="s">
        <v>469</v>
      </c>
      <c r="D17" s="566">
        <f>1000*'E1'!E95</f>
        <v>0</v>
      </c>
      <c r="E17" s="566">
        <f>1000*'E1'!F95</f>
        <v>0</v>
      </c>
      <c r="F17" s="566">
        <f>1000*'E1'!G95</f>
        <v>0</v>
      </c>
      <c r="G17" s="566">
        <f>1000*'E1'!H95</f>
        <v>0</v>
      </c>
      <c r="H17" s="566">
        <f>1000*'E1'!I95</f>
        <v>0</v>
      </c>
      <c r="I17" s="567">
        <f t="shared" si="0"/>
        <v>0</v>
      </c>
      <c r="J17" s="566">
        <f>1000*'E1'!J95</f>
        <v>0</v>
      </c>
      <c r="K17" s="566">
        <f>1000*'E1'!K95</f>
        <v>0</v>
      </c>
      <c r="L17" s="566">
        <f ca="1">1000*'E1'!L95</f>
        <v>0</v>
      </c>
      <c r="M17" s="566">
        <f ca="1">1000*'E1'!M95</f>
        <v>0</v>
      </c>
      <c r="N17" s="566">
        <f ca="1">1000*'E1'!N95</f>
        <v>3801.0280384615394</v>
      </c>
      <c r="O17" s="567">
        <f t="shared" ca="1" si="1"/>
        <v>3801.0280384615394</v>
      </c>
      <c r="P17" s="566">
        <f ca="1">1000*'E1'!O95</f>
        <v>3916.6870039038959</v>
      </c>
      <c r="Q17" s="566">
        <f ca="1">1000*'E1'!P95</f>
        <v>4032.4530755437895</v>
      </c>
      <c r="R17" s="566">
        <f ca="1">1000*'E1'!Q95</f>
        <v>4156.6811503849212</v>
      </c>
      <c r="S17" s="566">
        <f ca="1">1000*'E1'!R95</f>
        <v>4288.4108910949362</v>
      </c>
      <c r="T17" s="566">
        <f ca="1">1000*'E1'!S95</f>
        <v>4420.9830836795427</v>
      </c>
      <c r="U17" s="567">
        <f t="shared" ca="1" si="2"/>
        <v>20815.215204607084</v>
      </c>
      <c r="W17" s="532" t="s">
        <v>56</v>
      </c>
      <c r="Y17"/>
      <c r="Z17"/>
      <c r="AA17"/>
    </row>
    <row r="18" spans="1:27" s="560" customFormat="1" ht="15" customHeight="1">
      <c r="A18" s="538"/>
      <c r="B18" s="538"/>
      <c r="C18" s="563" t="s">
        <v>681</v>
      </c>
      <c r="D18" s="566">
        <f>1000*'E1'!E223</f>
        <v>0</v>
      </c>
      <c r="E18" s="566">
        <f>1000*'E1'!F223</f>
        <v>0</v>
      </c>
      <c r="F18" s="566">
        <f>1000*'E1'!G223</f>
        <v>0</v>
      </c>
      <c r="G18" s="566">
        <f>1000*'E1'!H223</f>
        <v>0</v>
      </c>
      <c r="H18" s="566">
        <f>1000*'E1'!I223</f>
        <v>0</v>
      </c>
      <c r="I18" s="567"/>
      <c r="J18" s="566">
        <f>1000*'E1'!J223</f>
        <v>0</v>
      </c>
      <c r="K18" s="566">
        <f>1000*'E1'!K223</f>
        <v>0</v>
      </c>
      <c r="L18" s="566">
        <f ca="1">1000*'E1'!L223</f>
        <v>0</v>
      </c>
      <c r="M18" s="566">
        <f ca="1">1000*'E1'!M223</f>
        <v>0</v>
      </c>
      <c r="N18" s="566">
        <f ca="1">1000*'E1'!N223</f>
        <v>100</v>
      </c>
      <c r="O18" s="567"/>
      <c r="P18" s="566">
        <f ca="1">1000*'E1'!O223</f>
        <v>155.0596153846154</v>
      </c>
      <c r="Q18" s="566">
        <f ca="1">1000*'E1'!P223</f>
        <v>206.74615384615387</v>
      </c>
      <c r="R18" s="566">
        <f ca="1">1000*'E1'!Q223</f>
        <v>258.43269230769232</v>
      </c>
      <c r="S18" s="566">
        <f ca="1">1000*'E1'!R223</f>
        <v>310.1192307692308</v>
      </c>
      <c r="T18" s="566">
        <f ca="1">1000*'E1'!S223</f>
        <v>361.80576923076922</v>
      </c>
      <c r="U18" s="567">
        <f t="shared" ca="1" si="2"/>
        <v>1292.1634615384614</v>
      </c>
      <c r="Y18"/>
      <c r="Z18"/>
      <c r="AA18"/>
    </row>
    <row r="19" spans="1:27" s="532" customFormat="1" ht="15" customHeight="1">
      <c r="A19" s="538"/>
      <c r="B19" s="538"/>
      <c r="C19" s="564" t="s">
        <v>470</v>
      </c>
      <c r="D19" s="568">
        <f t="shared" ref="D19:O19" si="3">SUM(D12:D18)</f>
        <v>0</v>
      </c>
      <c r="E19" s="568">
        <f t="shared" si="3"/>
        <v>0</v>
      </c>
      <c r="F19" s="568">
        <f t="shared" si="3"/>
        <v>0</v>
      </c>
      <c r="G19" s="568">
        <f t="shared" si="3"/>
        <v>0</v>
      </c>
      <c r="H19" s="568">
        <f t="shared" si="3"/>
        <v>0</v>
      </c>
      <c r="I19" s="568">
        <f t="shared" si="3"/>
        <v>0</v>
      </c>
      <c r="J19" s="568">
        <f t="shared" si="3"/>
        <v>0</v>
      </c>
      <c r="K19" s="568">
        <f t="shared" si="3"/>
        <v>0</v>
      </c>
      <c r="L19" s="568">
        <f t="shared" ca="1" si="3"/>
        <v>0</v>
      </c>
      <c r="M19" s="568">
        <f t="shared" ca="1" si="3"/>
        <v>0</v>
      </c>
      <c r="N19" s="568">
        <f t="shared" ca="1" si="3"/>
        <v>32710.979538461543</v>
      </c>
      <c r="O19" s="568">
        <f t="shared" ca="1" si="3"/>
        <v>32610.979538461543</v>
      </c>
      <c r="P19" s="568">
        <f ca="1">SUM(P12:P18)</f>
        <v>33236.459015624059</v>
      </c>
      <c r="Q19" s="568">
        <f t="shared" ref="Q19:T19" ca="1" si="4">SUM(Q12:Q18)</f>
        <v>41274.358372536481</v>
      </c>
      <c r="R19" s="568">
        <f t="shared" ca="1" si="4"/>
        <v>37353.601582733361</v>
      </c>
      <c r="S19" s="568">
        <f t="shared" ca="1" si="4"/>
        <v>38403.500579286905</v>
      </c>
      <c r="T19" s="568">
        <f t="shared" ca="1" si="4"/>
        <v>39463.692462507279</v>
      </c>
      <c r="U19" s="568">
        <f ca="1">SUM(U12:U18)</f>
        <v>189731.61201268807</v>
      </c>
      <c r="Y19"/>
      <c r="Z19"/>
      <c r="AA19"/>
    </row>
    <row r="20" spans="1:27" s="532" customFormat="1" ht="15">
      <c r="A20" s="538"/>
      <c r="B20" s="538"/>
      <c r="C20" s="562" t="s">
        <v>471</v>
      </c>
      <c r="D20" s="569"/>
      <c r="E20" s="569"/>
      <c r="F20" s="569"/>
      <c r="G20" s="569"/>
      <c r="H20" s="569"/>
      <c r="I20" s="570"/>
      <c r="J20" s="569"/>
      <c r="K20" s="569"/>
      <c r="L20" s="569"/>
      <c r="M20" s="569"/>
      <c r="N20" s="569"/>
      <c r="O20" s="570"/>
      <c r="P20" s="569"/>
      <c r="Q20" s="569"/>
      <c r="R20" s="569"/>
      <c r="S20" s="569"/>
      <c r="T20" s="569"/>
      <c r="U20" s="570"/>
      <c r="Y20"/>
      <c r="Z20"/>
      <c r="AA20"/>
    </row>
    <row r="21" spans="1:27" s="532" customFormat="1" ht="15">
      <c r="A21" s="538"/>
      <c r="B21" s="538"/>
      <c r="C21" s="563" t="s">
        <v>169</v>
      </c>
      <c r="D21" s="566">
        <f>1000*'E1'!E115</f>
        <v>0</v>
      </c>
      <c r="E21" s="566">
        <f>1000*'E1'!F115</f>
        <v>0</v>
      </c>
      <c r="F21" s="566">
        <f>1000*'E1'!G115</f>
        <v>0</v>
      </c>
      <c r="G21" s="566">
        <f>1000*'E1'!H115</f>
        <v>0</v>
      </c>
      <c r="H21" s="566">
        <f>1000*'E1'!I115</f>
        <v>0</v>
      </c>
      <c r="I21" s="567">
        <f t="shared" ref="I21:I29" si="5">SUM(D21:H21)</f>
        <v>0</v>
      </c>
      <c r="J21" s="566">
        <f>1000*'E1'!J115</f>
        <v>0</v>
      </c>
      <c r="K21" s="566">
        <f>1000*'E1'!K115</f>
        <v>0</v>
      </c>
      <c r="L21" s="566">
        <f ca="1">1000*'E1'!L115</f>
        <v>0</v>
      </c>
      <c r="M21" s="566">
        <f ca="1">1000*'E1'!M115</f>
        <v>0</v>
      </c>
      <c r="N21" s="566">
        <f ca="1">1000*'E1'!N115</f>
        <v>14600.413384615384</v>
      </c>
      <c r="O21" s="567">
        <f t="shared" ref="O21:O29" ca="1" si="6">SUM(J21:N21)</f>
        <v>14600.413384615384</v>
      </c>
      <c r="P21" s="566">
        <f ca="1">1000*'E1'!O115</f>
        <v>20246.160493478696</v>
      </c>
      <c r="Q21" s="566">
        <f ca="1">1000*'E1'!P115</f>
        <v>20772.664402157672</v>
      </c>
      <c r="R21" s="566">
        <f ca="1">1000*'E1'!Q115</f>
        <v>21136.256169529148</v>
      </c>
      <c r="S21" s="566">
        <f ca="1">1000*'E1'!R115</f>
        <v>21490.043652332723</v>
      </c>
      <c r="T21" s="566">
        <f ca="1">1000*'E1'!S115</f>
        <v>19953.861781615979</v>
      </c>
      <c r="U21" s="567">
        <f t="shared" ref="U21:U29" ca="1" si="7">SUM(P21:T21)</f>
        <v>103598.98649911422</v>
      </c>
      <c r="W21" s="532" t="s">
        <v>58</v>
      </c>
      <c r="Y21"/>
      <c r="Z21"/>
      <c r="AA21"/>
    </row>
    <row r="22" spans="1:27" s="532" customFormat="1" ht="15">
      <c r="A22" s="538"/>
      <c r="B22" s="538"/>
      <c r="C22" s="563" t="s">
        <v>472</v>
      </c>
      <c r="D22" s="566">
        <f>1000*'E1'!E124</f>
        <v>0</v>
      </c>
      <c r="E22" s="566">
        <f>1000*'E1'!F124</f>
        <v>0</v>
      </c>
      <c r="F22" s="566">
        <f>1000*'E1'!G124</f>
        <v>0</v>
      </c>
      <c r="G22" s="566">
        <f>1000*'E1'!H124</f>
        <v>0</v>
      </c>
      <c r="H22" s="566">
        <f>1000*'E1'!I124</f>
        <v>0</v>
      </c>
      <c r="I22" s="567">
        <f t="shared" si="5"/>
        <v>0</v>
      </c>
      <c r="J22" s="566">
        <f>1000*'E1'!J124</f>
        <v>0</v>
      </c>
      <c r="K22" s="566">
        <f>1000*'E1'!K124</f>
        <v>0</v>
      </c>
      <c r="L22" s="566">
        <f ca="1">1000*'E1'!L124</f>
        <v>0</v>
      </c>
      <c r="M22" s="566">
        <f ca="1">1000*'E1'!M124</f>
        <v>0</v>
      </c>
      <c r="N22" s="566">
        <f ca="1">1000*'E1'!N124</f>
        <v>14456.724807692308</v>
      </c>
      <c r="O22" s="567">
        <f t="shared" ca="1" si="6"/>
        <v>14456.724807692308</v>
      </c>
      <c r="P22" s="566">
        <f ca="1">1000*'E1'!O124</f>
        <v>14835.925074013276</v>
      </c>
      <c r="Q22" s="566">
        <f ca="1">1000*'E1'!P124</f>
        <v>15212.84327187857</v>
      </c>
      <c r="R22" s="566">
        <f ca="1">1000*'E1'!Q124</f>
        <v>15624.577457679557</v>
      </c>
      <c r="S22" s="566">
        <f ca="1">1000*'E1'!R124</f>
        <v>16065.531301147135</v>
      </c>
      <c r="T22" s="566">
        <f ca="1">1000*'E1'!S124</f>
        <v>16512.111950512335</v>
      </c>
      <c r="U22" s="567">
        <f t="shared" ca="1" si="7"/>
        <v>78250.989055230879</v>
      </c>
      <c r="W22" s="532" t="s">
        <v>59</v>
      </c>
      <c r="Y22"/>
      <c r="Z22"/>
      <c r="AA22"/>
    </row>
    <row r="23" spans="1:27" s="532" customFormat="1" ht="15">
      <c r="A23" s="538"/>
      <c r="B23" s="538"/>
      <c r="C23" s="563" t="s">
        <v>473</v>
      </c>
      <c r="D23" s="566">
        <f>1000*'E1'!E196</f>
        <v>0</v>
      </c>
      <c r="E23" s="566">
        <f>1000*'E1'!F196</f>
        <v>0</v>
      </c>
      <c r="F23" s="566">
        <f>1000*'E1'!G196</f>
        <v>0</v>
      </c>
      <c r="G23" s="566">
        <f>1000*'E1'!H196</f>
        <v>0</v>
      </c>
      <c r="H23" s="566">
        <f>1000*'E1'!I196</f>
        <v>0</v>
      </c>
      <c r="I23" s="567">
        <f t="shared" si="5"/>
        <v>0</v>
      </c>
      <c r="J23" s="566">
        <f>1000*'E1'!J196</f>
        <v>0</v>
      </c>
      <c r="K23" s="566">
        <f>1000*'E1'!K196</f>
        <v>0</v>
      </c>
      <c r="L23" s="566">
        <f ca="1">1000*'E1'!L196</f>
        <v>0</v>
      </c>
      <c r="M23" s="566">
        <f ca="1">1000*'E1'!M196</f>
        <v>0</v>
      </c>
      <c r="N23" s="566">
        <f ca="1">1000*'E1'!N196</f>
        <v>6964.2441923076922</v>
      </c>
      <c r="O23" s="567">
        <f t="shared" ca="1" si="6"/>
        <v>6964.2441923076922</v>
      </c>
      <c r="P23" s="566">
        <f ca="1">1000*'E1'!O196</f>
        <v>7075.4752976160826</v>
      </c>
      <c r="Q23" s="566">
        <f ca="1">1000*'E1'!P196</f>
        <v>7182.4352312603069</v>
      </c>
      <c r="R23" s="566">
        <f ca="1">1000*'E1'!Q196</f>
        <v>7309.542407950802</v>
      </c>
      <c r="S23" s="566">
        <f ca="1">1000*'E1'!R196</f>
        <v>7451.6545348646023</v>
      </c>
      <c r="T23" s="566">
        <f ca="1">1000*'E1'!S196</f>
        <v>7599.4935502857734</v>
      </c>
      <c r="U23" s="567">
        <f t="shared" ca="1" si="7"/>
        <v>36618.601021977564</v>
      </c>
      <c r="W23" s="532" t="s">
        <v>176</v>
      </c>
      <c r="Y23"/>
      <c r="Z23"/>
      <c r="AA23"/>
    </row>
    <row r="24" spans="1:27" s="532" customFormat="1" ht="15">
      <c r="A24" s="538"/>
      <c r="B24" s="538"/>
      <c r="C24" s="563" t="s">
        <v>474</v>
      </c>
      <c r="D24" s="566">
        <f>1000*'E1'!E133</f>
        <v>0</v>
      </c>
      <c r="E24" s="566">
        <f>1000*'E1'!F133</f>
        <v>0</v>
      </c>
      <c r="F24" s="566">
        <f>1000*'E1'!G133</f>
        <v>0</v>
      </c>
      <c r="G24" s="566">
        <f>1000*'E1'!H133</f>
        <v>0</v>
      </c>
      <c r="H24" s="566">
        <f>1000*'E1'!I133</f>
        <v>0</v>
      </c>
      <c r="I24" s="567">
        <f t="shared" si="5"/>
        <v>0</v>
      </c>
      <c r="J24" s="566">
        <f>1000*'E1'!J133</f>
        <v>0</v>
      </c>
      <c r="K24" s="566">
        <f>1000*'E1'!K133</f>
        <v>0</v>
      </c>
      <c r="L24" s="566">
        <f ca="1">1000*'E1'!L133</f>
        <v>0</v>
      </c>
      <c r="M24" s="566">
        <f ca="1">1000*'E1'!M133</f>
        <v>0</v>
      </c>
      <c r="N24" s="566">
        <f ca="1">1000*'E1'!N133</f>
        <v>37322.849423076921</v>
      </c>
      <c r="O24" s="567">
        <f t="shared" ca="1" si="6"/>
        <v>37322.849423076921</v>
      </c>
      <c r="P24" s="566">
        <f ca="1">1000*'E1'!O133</f>
        <v>44830.95527145268</v>
      </c>
      <c r="Q24" s="566">
        <f ca="1">1000*'E1'!P133</f>
        <v>42826.503134268351</v>
      </c>
      <c r="R24" s="566">
        <f ca="1">1000*'E1'!Q133</f>
        <v>42844.985753985689</v>
      </c>
      <c r="S24" s="566">
        <f ca="1">1000*'E1'!R133</f>
        <v>42954.959625628668</v>
      </c>
      <c r="T24" s="566">
        <f ca="1">1000*'E1'!S133</f>
        <v>43112.160076243104</v>
      </c>
      <c r="U24" s="567">
        <f t="shared" ca="1" si="7"/>
        <v>216569.5638615785</v>
      </c>
      <c r="W24" s="532" t="s">
        <v>60</v>
      </c>
      <c r="Y24"/>
      <c r="Z24"/>
      <c r="AA24"/>
    </row>
    <row r="25" spans="1:27" s="532" customFormat="1" ht="15">
      <c r="A25" s="538"/>
      <c r="B25" s="538"/>
      <c r="C25" s="563" t="s">
        <v>475</v>
      </c>
      <c r="D25" s="566">
        <f>1000*'E1'!E142</f>
        <v>0</v>
      </c>
      <c r="E25" s="566">
        <f>1000*'E1'!F142</f>
        <v>0</v>
      </c>
      <c r="F25" s="566">
        <f>1000*'E1'!G142</f>
        <v>0</v>
      </c>
      <c r="G25" s="566">
        <f>1000*'E1'!H142</f>
        <v>0</v>
      </c>
      <c r="H25" s="566">
        <f>1000*'E1'!I142</f>
        <v>0</v>
      </c>
      <c r="I25" s="567">
        <f t="shared" si="5"/>
        <v>0</v>
      </c>
      <c r="J25" s="566">
        <f>1000*'E1'!J142</f>
        <v>0</v>
      </c>
      <c r="K25" s="566">
        <f>1000*'E1'!K142</f>
        <v>0</v>
      </c>
      <c r="L25" s="566">
        <f ca="1">1000*'E1'!L142</f>
        <v>0</v>
      </c>
      <c r="M25" s="566">
        <f ca="1">1000*'E1'!M142</f>
        <v>0</v>
      </c>
      <c r="N25" s="566">
        <f ca="1">1000*'E1'!N142</f>
        <v>34520.405307692316</v>
      </c>
      <c r="O25" s="567">
        <f t="shared" ca="1" si="6"/>
        <v>34520.405307692316</v>
      </c>
      <c r="P25" s="566">
        <f ca="1">1000*'E1'!O142</f>
        <v>35519.899145815136</v>
      </c>
      <c r="Q25" s="566">
        <f ca="1">1000*'E1'!P142</f>
        <v>36517.790815977329</v>
      </c>
      <c r="R25" s="566">
        <f ca="1">1000*'E1'!Q142</f>
        <v>37609.106309426781</v>
      </c>
      <c r="S25" s="566">
        <f ca="1">1000*'E1'!R142</f>
        <v>38775.294144593528</v>
      </c>
      <c r="T25" s="566">
        <f ca="1">1000*'E1'!S142</f>
        <v>39959.689951510576</v>
      </c>
      <c r="U25" s="567">
        <f t="shared" ca="1" si="7"/>
        <v>188381.78036732334</v>
      </c>
      <c r="W25" s="532" t="s">
        <v>61</v>
      </c>
      <c r="Y25"/>
      <c r="Z25"/>
      <c r="AA25"/>
    </row>
    <row r="26" spans="1:27" s="532" customFormat="1" ht="15">
      <c r="A26" s="538"/>
      <c r="B26" s="538"/>
      <c r="C26" s="563" t="s">
        <v>172</v>
      </c>
      <c r="D26" s="566">
        <f>1000*'E1'!E169</f>
        <v>0</v>
      </c>
      <c r="E26" s="566">
        <f>1000*'E1'!F169</f>
        <v>0</v>
      </c>
      <c r="F26" s="566">
        <f>1000*'E1'!G169</f>
        <v>0</v>
      </c>
      <c r="G26" s="566">
        <f>1000*'E1'!H169</f>
        <v>0</v>
      </c>
      <c r="H26" s="566">
        <f>1000*'E1'!I169</f>
        <v>0</v>
      </c>
      <c r="I26" s="567">
        <f t="shared" si="5"/>
        <v>0</v>
      </c>
      <c r="J26" s="566">
        <f>1000*'E1'!J169</f>
        <v>0</v>
      </c>
      <c r="K26" s="566">
        <f>1000*'E1'!K169</f>
        <v>0</v>
      </c>
      <c r="L26" s="566">
        <f ca="1">1000*'E1'!L169</f>
        <v>0</v>
      </c>
      <c r="M26" s="566">
        <f ca="1">1000*'E1'!M169</f>
        <v>0</v>
      </c>
      <c r="N26" s="566">
        <f ca="1">1000*'E1'!N169</f>
        <v>1236.3420000000001</v>
      </c>
      <c r="O26" s="567">
        <f t="shared" ca="1" si="6"/>
        <v>1236.3420000000001</v>
      </c>
      <c r="P26" s="566">
        <f ca="1">1000*'E1'!O169</f>
        <v>1264.7249697671373</v>
      </c>
      <c r="Q26" s="566">
        <f ca="1">1000*'E1'!P169</f>
        <v>1292.7380418561363</v>
      </c>
      <c r="R26" s="566">
        <f ca="1">1000*'E1'!Q169</f>
        <v>1323.6986859389722</v>
      </c>
      <c r="S26" s="566">
        <f ca="1">1000*'E1'!R169</f>
        <v>1357.11592505824</v>
      </c>
      <c r="T26" s="566">
        <f ca="1">1000*'E1'!S169</f>
        <v>1391.0540173789145</v>
      </c>
      <c r="U26" s="567">
        <f t="shared" ca="1" si="7"/>
        <v>6629.3316399994001</v>
      </c>
      <c r="W26" s="532" t="s">
        <v>64</v>
      </c>
      <c r="Y26"/>
      <c r="Z26"/>
      <c r="AA26"/>
    </row>
    <row r="27" spans="1:27" s="532" customFormat="1" ht="15">
      <c r="A27" s="538"/>
      <c r="B27" s="538"/>
      <c r="C27" s="563" t="s">
        <v>353</v>
      </c>
      <c r="D27" s="566">
        <f>1000*'E1'!E178</f>
        <v>0</v>
      </c>
      <c r="E27" s="566">
        <f>1000*'E1'!F178</f>
        <v>0</v>
      </c>
      <c r="F27" s="566">
        <f>1000*'E1'!G178</f>
        <v>0</v>
      </c>
      <c r="G27" s="566">
        <f>1000*'E1'!H178</f>
        <v>0</v>
      </c>
      <c r="H27" s="566">
        <f>1000*'E1'!I178</f>
        <v>0</v>
      </c>
      <c r="I27" s="567">
        <f t="shared" si="5"/>
        <v>0</v>
      </c>
      <c r="J27" s="566">
        <f>1000*'E1'!J178</f>
        <v>0</v>
      </c>
      <c r="K27" s="566">
        <f>1000*'E1'!K178</f>
        <v>0</v>
      </c>
      <c r="L27" s="566">
        <f ca="1">1000*'E1'!L178</f>
        <v>0</v>
      </c>
      <c r="M27" s="566">
        <f ca="1">1000*'E1'!M178</f>
        <v>0</v>
      </c>
      <c r="N27" s="566">
        <f ca="1">1000*'E1'!N178</f>
        <v>0</v>
      </c>
      <c r="O27" s="567">
        <f t="shared" ca="1" si="6"/>
        <v>0</v>
      </c>
      <c r="P27" s="566">
        <f ca="1">1000*'E1'!O178</f>
        <v>0</v>
      </c>
      <c r="Q27" s="566">
        <f ca="1">1000*'E1'!P178</f>
        <v>0</v>
      </c>
      <c r="R27" s="566">
        <f ca="1">1000*'E1'!Q178</f>
        <v>0</v>
      </c>
      <c r="S27" s="566">
        <f ca="1">1000*'E1'!R178</f>
        <v>0</v>
      </c>
      <c r="T27" s="566">
        <f ca="1">1000*'E1'!S178</f>
        <v>0</v>
      </c>
      <c r="U27" s="567">
        <f t="shared" ca="1" si="7"/>
        <v>0</v>
      </c>
      <c r="W27" s="532" t="s">
        <v>65</v>
      </c>
      <c r="Y27"/>
      <c r="Z27"/>
      <c r="AA27"/>
    </row>
    <row r="28" spans="1:27" s="532" customFormat="1" ht="15">
      <c r="A28" s="538"/>
      <c r="B28" s="538"/>
      <c r="C28" s="563" t="s">
        <v>173</v>
      </c>
      <c r="D28" s="566">
        <f>1000*'E1'!E187</f>
        <v>0</v>
      </c>
      <c r="E28" s="566">
        <f>1000*'E1'!F187</f>
        <v>0</v>
      </c>
      <c r="F28" s="566">
        <f>1000*'E1'!G187</f>
        <v>0</v>
      </c>
      <c r="G28" s="566">
        <f>1000*'E1'!H187</f>
        <v>0</v>
      </c>
      <c r="H28" s="566">
        <f>1000*'E1'!I187</f>
        <v>0</v>
      </c>
      <c r="I28" s="567">
        <f t="shared" si="5"/>
        <v>0</v>
      </c>
      <c r="J28" s="566">
        <f>1000*'E1'!J187</f>
        <v>0</v>
      </c>
      <c r="K28" s="566">
        <f>1000*'E1'!K187</f>
        <v>0</v>
      </c>
      <c r="L28" s="566">
        <f ca="1">1000*'E1'!L187</f>
        <v>0</v>
      </c>
      <c r="M28" s="566">
        <f ca="1">1000*'E1'!M187</f>
        <v>0</v>
      </c>
      <c r="N28" s="566">
        <f ca="1">1000*'E1'!N187</f>
        <v>10268.047730769231</v>
      </c>
      <c r="O28" s="567">
        <f t="shared" ca="1" si="6"/>
        <v>10268.047730769231</v>
      </c>
      <c r="P28" s="566">
        <f ca="1">1000*'E1'!O187</f>
        <v>10376.991288822424</v>
      </c>
      <c r="Q28" s="566">
        <f ca="1">1000*'E1'!P187</f>
        <v>10477.936844362899</v>
      </c>
      <c r="R28" s="566">
        <f ca="1">1000*'E1'!Q187</f>
        <v>10577.720405092052</v>
      </c>
      <c r="S28" s="566">
        <f ca="1">1000*'E1'!R187</f>
        <v>10685.977554315168</v>
      </c>
      <c r="T28" s="566">
        <f ca="1">1000*'E1'!S187</f>
        <v>10785.14191320351</v>
      </c>
      <c r="U28" s="567">
        <f t="shared" ca="1" si="7"/>
        <v>52903.768005796053</v>
      </c>
      <c r="W28" s="532" t="s">
        <v>66</v>
      </c>
      <c r="Y28"/>
      <c r="Z28"/>
      <c r="AA28"/>
    </row>
    <row r="29" spans="1:27" s="532" customFormat="1" ht="15">
      <c r="A29" s="538"/>
      <c r="B29" s="538"/>
      <c r="C29" s="563" t="s">
        <v>476</v>
      </c>
      <c r="D29" s="566">
        <f>1000*'E1'!E205</f>
        <v>0</v>
      </c>
      <c r="E29" s="566">
        <f>1000*'E1'!F205</f>
        <v>0</v>
      </c>
      <c r="F29" s="566">
        <f>1000*'E1'!G205</f>
        <v>0</v>
      </c>
      <c r="G29" s="566">
        <f>1000*'E1'!H205</f>
        <v>0</v>
      </c>
      <c r="H29" s="566">
        <f>1000*'E1'!I205</f>
        <v>0</v>
      </c>
      <c r="I29" s="567">
        <f t="shared" si="5"/>
        <v>0</v>
      </c>
      <c r="J29" s="566">
        <f>1000*'E1'!J205</f>
        <v>0</v>
      </c>
      <c r="K29" s="566">
        <f>1000*'E1'!K205</f>
        <v>0</v>
      </c>
      <c r="L29" s="566">
        <f ca="1">1000*'E1'!L205</f>
        <v>0</v>
      </c>
      <c r="M29" s="566">
        <f ca="1">1000*'E1'!M205</f>
        <v>0</v>
      </c>
      <c r="N29" s="566">
        <f ca="1">1000*'E1'!N205</f>
        <v>3104.2935000000002</v>
      </c>
      <c r="O29" s="567">
        <f t="shared" ca="1" si="6"/>
        <v>3104.2935000000002</v>
      </c>
      <c r="P29" s="566">
        <f ca="1">1000*'E1'!O205</f>
        <v>3147.5663888458707</v>
      </c>
      <c r="Q29" s="566">
        <f ca="1">1000*'E1'!P205</f>
        <v>3188.84573650518</v>
      </c>
      <c r="R29" s="566">
        <f ca="1">1000*'E1'!Q205</f>
        <v>3230.836010074534</v>
      </c>
      <c r="S29" s="566">
        <f ca="1">1000*'E1'!R205</f>
        <v>3275.919218112082</v>
      </c>
      <c r="T29" s="566">
        <f ca="1">1000*'E1'!S205</f>
        <v>3318.7371932115252</v>
      </c>
      <c r="U29" s="567">
        <f t="shared" ca="1" si="7"/>
        <v>16161.904546749192</v>
      </c>
      <c r="W29" s="532" t="s">
        <v>177</v>
      </c>
      <c r="Y29"/>
      <c r="Z29"/>
      <c r="AA29"/>
    </row>
    <row r="30" spans="1:27" s="532" customFormat="1" ht="15">
      <c r="A30" s="538"/>
      <c r="B30" s="538"/>
      <c r="C30" s="564" t="s">
        <v>470</v>
      </c>
      <c r="D30" s="568">
        <f>SUM(D21:D29)</f>
        <v>0</v>
      </c>
      <c r="E30" s="568">
        <f>SUM(E21:E29)</f>
        <v>0</v>
      </c>
      <c r="F30" s="568">
        <f>SUM(F21:F29)</f>
        <v>0</v>
      </c>
      <c r="G30" s="568">
        <f>SUM(G21:G29)</f>
        <v>0</v>
      </c>
      <c r="H30" s="568">
        <f>SUM(H21:H29)</f>
        <v>0</v>
      </c>
      <c r="I30" s="568">
        <f t="shared" ref="I30:T30" si="8">SUM(I21:I29)</f>
        <v>0</v>
      </c>
      <c r="J30" s="568">
        <f>SUM(J21:J29)</f>
        <v>0</v>
      </c>
      <c r="K30" s="568">
        <f>SUM(K21:K29)</f>
        <v>0</v>
      </c>
      <c r="L30" s="568">
        <f ca="1">SUM(L21:L29)</f>
        <v>0</v>
      </c>
      <c r="M30" s="568">
        <f ca="1">SUM(M21:M29)</f>
        <v>0</v>
      </c>
      <c r="N30" s="568">
        <f t="shared" ca="1" si="8"/>
        <v>122473.32034615385</v>
      </c>
      <c r="O30" s="568">
        <f t="shared" ca="1" si="8"/>
        <v>122473.32034615385</v>
      </c>
      <c r="P30" s="568">
        <f t="shared" ca="1" si="8"/>
        <v>137297.69792981131</v>
      </c>
      <c r="Q30" s="568">
        <f t="shared" ca="1" si="8"/>
        <v>137471.75747826643</v>
      </c>
      <c r="R30" s="568">
        <f t="shared" ca="1" si="8"/>
        <v>139656.72319967751</v>
      </c>
      <c r="S30" s="568">
        <f t="shared" ca="1" si="8"/>
        <v>142056.49595605215</v>
      </c>
      <c r="T30" s="568">
        <f t="shared" ca="1" si="8"/>
        <v>142632.25043396174</v>
      </c>
      <c r="U30" s="568">
        <f ca="1">SUM(U21:U29)</f>
        <v>699114.92499776906</v>
      </c>
      <c r="Y30"/>
      <c r="Z30"/>
      <c r="AA30"/>
    </row>
    <row r="31" spans="1:27" s="532" customFormat="1" ht="15">
      <c r="A31" s="538"/>
      <c r="B31" s="538"/>
      <c r="C31" s="562" t="s">
        <v>477</v>
      </c>
      <c r="D31" s="569"/>
      <c r="E31" s="569"/>
      <c r="F31" s="569"/>
      <c r="G31" s="569"/>
      <c r="H31" s="569"/>
      <c r="I31" s="569"/>
      <c r="J31" s="569"/>
      <c r="K31" s="569"/>
      <c r="L31" s="569"/>
      <c r="M31" s="569"/>
      <c r="N31" s="569"/>
      <c r="O31" s="569"/>
      <c r="P31" s="569"/>
      <c r="Q31" s="569"/>
      <c r="R31" s="569"/>
      <c r="S31" s="569"/>
      <c r="T31" s="569"/>
      <c r="U31" s="569"/>
      <c r="Y31"/>
      <c r="Z31"/>
      <c r="AA31"/>
    </row>
    <row r="32" spans="1:27" s="532" customFormat="1" ht="15">
      <c r="A32" s="538"/>
      <c r="B32" s="538"/>
      <c r="C32" s="563" t="s">
        <v>478</v>
      </c>
      <c r="D32" s="566">
        <f>1000*'E1'!E151</f>
        <v>0</v>
      </c>
      <c r="E32" s="566">
        <f>1000*'E1'!F151</f>
        <v>0</v>
      </c>
      <c r="F32" s="566">
        <f>1000*'E1'!G151</f>
        <v>0</v>
      </c>
      <c r="G32" s="566">
        <f>1000*'E1'!H151</f>
        <v>0</v>
      </c>
      <c r="H32" s="566">
        <f>1000*'E1'!I151</f>
        <v>0</v>
      </c>
      <c r="I32" s="567">
        <f>SUM(D32:H32)</f>
        <v>0</v>
      </c>
      <c r="J32" s="566">
        <f>1000*'E1'!J151</f>
        <v>0</v>
      </c>
      <c r="K32" s="566">
        <f>1000*'E1'!K151</f>
        <v>0</v>
      </c>
      <c r="L32" s="566">
        <f ca="1">1000*'E1'!L151</f>
        <v>0</v>
      </c>
      <c r="M32" s="566">
        <f ca="1">1000*'E1'!M151</f>
        <v>0</v>
      </c>
      <c r="N32" s="566">
        <f ca="1">1000*'E1'!N151</f>
        <v>0</v>
      </c>
      <c r="O32" s="567">
        <f ca="1">SUM(J32:N32)</f>
        <v>0</v>
      </c>
      <c r="P32" s="566">
        <f ca="1">1000*'E1'!O151</f>
        <v>0</v>
      </c>
      <c r="Q32" s="566">
        <f ca="1">1000*'E1'!P151</f>
        <v>0</v>
      </c>
      <c r="R32" s="566">
        <f ca="1">1000*'E1'!Q151</f>
        <v>0</v>
      </c>
      <c r="S32" s="566">
        <f ca="1">1000*'E1'!R151</f>
        <v>0</v>
      </c>
      <c r="T32" s="566">
        <f ca="1">1000*'E1'!S151</f>
        <v>0</v>
      </c>
      <c r="U32" s="567">
        <f ca="1">SUM(P32:T32)</f>
        <v>0</v>
      </c>
      <c r="W32" s="532" t="s">
        <v>62</v>
      </c>
      <c r="Y32"/>
      <c r="Z32"/>
      <c r="AA32"/>
    </row>
    <row r="33" spans="1:27" s="532" customFormat="1" ht="15">
      <c r="A33" s="538"/>
      <c r="B33" s="538"/>
      <c r="C33" s="563" t="s">
        <v>479</v>
      </c>
      <c r="D33" s="566">
        <f>1000*'E1'!E160</f>
        <v>0</v>
      </c>
      <c r="E33" s="566">
        <f>1000*'E1'!F160</f>
        <v>0</v>
      </c>
      <c r="F33" s="566">
        <f>1000*'E1'!G160</f>
        <v>0</v>
      </c>
      <c r="G33" s="566">
        <f>1000*'E1'!H160</f>
        <v>0</v>
      </c>
      <c r="H33" s="566">
        <f>1000*'E1'!I160</f>
        <v>0</v>
      </c>
      <c r="I33" s="567">
        <f>SUM(D33:H33)</f>
        <v>0</v>
      </c>
      <c r="J33" s="566">
        <f>1000*'E1'!J160</f>
        <v>0</v>
      </c>
      <c r="K33" s="566">
        <f>1000*'E1'!K160</f>
        <v>0</v>
      </c>
      <c r="L33" s="566">
        <f ca="1">1000*'E1'!L160</f>
        <v>0</v>
      </c>
      <c r="M33" s="566">
        <f ca="1">1000*'E1'!M160</f>
        <v>0</v>
      </c>
      <c r="N33" s="566">
        <f ca="1">1000*'E1'!N160</f>
        <v>3054.6744230769236</v>
      </c>
      <c r="O33" s="567">
        <f ca="1">SUM(J33:N33)</f>
        <v>3054.6744230769236</v>
      </c>
      <c r="P33" s="566">
        <f ca="1">1000*'E1'!O160</f>
        <v>3102.5198132248679</v>
      </c>
      <c r="Q33" s="566">
        <f ca="1">1000*'E1'!P160</f>
        <v>3148.3640860190935</v>
      </c>
      <c r="R33" s="566">
        <f ca="1">1000*'E1'!Q160</f>
        <v>3206.9517281676644</v>
      </c>
      <c r="S33" s="566">
        <f ca="1">1000*'E1'!R160</f>
        <v>3273.790732570676</v>
      </c>
      <c r="T33" s="566">
        <f ca="1">1000*'E1'!S160</f>
        <v>3345.4731851865317</v>
      </c>
      <c r="U33" s="567">
        <f ca="1">SUM(P33:T33)</f>
        <v>16077.099545168836</v>
      </c>
      <c r="W33" s="532" t="s">
        <v>63</v>
      </c>
      <c r="Y33"/>
      <c r="Z33"/>
      <c r="AA33"/>
    </row>
    <row r="34" spans="1:27" s="532" customFormat="1" ht="15">
      <c r="A34" s="538"/>
      <c r="B34" s="538"/>
      <c r="C34" s="563" t="s">
        <v>480</v>
      </c>
      <c r="D34" s="566">
        <f>1000*'E1'!E214</f>
        <v>0</v>
      </c>
      <c r="E34" s="566">
        <f>1000*'E1'!F214</f>
        <v>0</v>
      </c>
      <c r="F34" s="566">
        <f>1000*'E1'!G214</f>
        <v>0</v>
      </c>
      <c r="G34" s="566">
        <f>1000*'E1'!H214</f>
        <v>0</v>
      </c>
      <c r="H34" s="566">
        <f>1000*'E1'!I214</f>
        <v>0</v>
      </c>
      <c r="I34" s="567">
        <f>SUM(D34:H34)</f>
        <v>0</v>
      </c>
      <c r="J34" s="566">
        <f>1000*'E1'!J214</f>
        <v>0</v>
      </c>
      <c r="K34" s="566">
        <f>1000*'E1'!K214</f>
        <v>0</v>
      </c>
      <c r="L34" s="566">
        <f ca="1">1000*'E1'!L214</f>
        <v>0</v>
      </c>
      <c r="M34" s="566">
        <f ca="1">1000*'E1'!M214</f>
        <v>0</v>
      </c>
      <c r="N34" s="566">
        <f ca="1">1000*'E1'!N214</f>
        <v>15366.407884615384</v>
      </c>
      <c r="O34" s="567">
        <f ca="1">SUM(J34:N34)</f>
        <v>15366.407884615384</v>
      </c>
      <c r="P34" s="566">
        <f ca="1">1000*'E1'!O214</f>
        <v>16931.845535123564</v>
      </c>
      <c r="Q34" s="566">
        <f ca="1">1000*'E1'!P214</f>
        <v>17590.066084590431</v>
      </c>
      <c r="R34" s="566">
        <f ca="1">1000*'E1'!Q214</f>
        <v>18362.176117207393</v>
      </c>
      <c r="S34" s="566">
        <f ca="1">1000*'E1'!R214</f>
        <v>18751.651412577077</v>
      </c>
      <c r="T34" s="566">
        <f ca="1">1000*'E1'!S214</f>
        <v>19280.025076700444</v>
      </c>
      <c r="U34" s="567">
        <f ca="1">SUM(P34:T34)</f>
        <v>90915.764226198909</v>
      </c>
      <c r="W34" s="532" t="s">
        <v>178</v>
      </c>
      <c r="Y34"/>
      <c r="Z34"/>
      <c r="AA34"/>
    </row>
    <row r="35" spans="1:27" s="532" customFormat="1" ht="15">
      <c r="A35" s="538"/>
      <c r="B35" s="538"/>
      <c r="C35" s="563" t="s">
        <v>481</v>
      </c>
      <c r="D35" s="566">
        <f>1000*('E1'!E522+'E1'!E531+'E1'!E540+'E1'!E549)</f>
        <v>0</v>
      </c>
      <c r="E35" s="566">
        <f>1000*('E1'!F522+'E1'!F531+'E1'!F540+'E1'!F549)</f>
        <v>0</v>
      </c>
      <c r="F35" s="566">
        <f>1000*('E1'!G522+'E1'!G531+'E1'!G540+'E1'!G549)</f>
        <v>0</v>
      </c>
      <c r="G35" s="566">
        <f>1000*('E1'!H522+'E1'!H531+'E1'!H540+'E1'!H549)</f>
        <v>0</v>
      </c>
      <c r="H35" s="566">
        <f>1000*('E1'!I522+'E1'!I531+'E1'!I540+'E1'!I549)</f>
        <v>0</v>
      </c>
      <c r="I35" s="567">
        <f>SUM(D35:H35)</f>
        <v>0</v>
      </c>
      <c r="J35" s="566">
        <f>1000*('E1'!J522+'E1'!J531+'E1'!J540+'E1'!J549)</f>
        <v>0</v>
      </c>
      <c r="K35" s="566">
        <f>1000*('E1'!K522+'E1'!K531+'E1'!K540+'E1'!K549)</f>
        <v>0</v>
      </c>
      <c r="L35" s="566">
        <f ca="1">1000*('E1'!L522+'E1'!L531+'E1'!L540+'E1'!L549)</f>
        <v>0</v>
      </c>
      <c r="M35" s="566">
        <f ca="1">1000*('E1'!M522+'E1'!M531+'E1'!M540+'E1'!M549)</f>
        <v>0</v>
      </c>
      <c r="N35" s="566">
        <f ca="1">1000*('E1'!N522+'E1'!N531+'E1'!N540+'E1'!N549)</f>
        <v>6816.4206923076927</v>
      </c>
      <c r="O35" s="567">
        <f ca="1">SUM(J35:N35)</f>
        <v>6816.4206923076927</v>
      </c>
      <c r="P35" s="566">
        <f ca="1">1000*('E1'!O522+'E1'!O531+'E1'!O540+'E1'!O549)</f>
        <v>7021.1044068233459</v>
      </c>
      <c r="Q35" s="566">
        <f ca="1">1000*('E1'!P522+'E1'!P531+'E1'!P540+'E1'!P549)</f>
        <v>8251.3097873027891</v>
      </c>
      <c r="R35" s="566">
        <f ca="1">1000*('E1'!Q522+'E1'!Q531+'E1'!Q540+'E1'!Q549)</f>
        <v>8786.0707064251746</v>
      </c>
      <c r="S35" s="566">
        <f ca="1">1000*('E1'!R522+'E1'!R531+'E1'!R540+'E1'!R549)</f>
        <v>9020.2625206747543</v>
      </c>
      <c r="T35" s="566">
        <f ca="1">1000*('E1'!S522+'E1'!S531+'E1'!S540+'E1'!S549)</f>
        <v>9360.7591502527448</v>
      </c>
      <c r="U35" s="567">
        <f ca="1">SUM(P35:T35)</f>
        <v>42439.506571478807</v>
      </c>
      <c r="W35" s="532" t="s">
        <v>498</v>
      </c>
      <c r="Y35"/>
      <c r="Z35"/>
      <c r="AA35"/>
    </row>
    <row r="36" spans="1:27" s="532" customFormat="1" ht="15">
      <c r="A36" s="538"/>
      <c r="B36" s="538"/>
      <c r="C36" s="564" t="s">
        <v>470</v>
      </c>
      <c r="D36" s="568">
        <f>SUM(D32:D35)</f>
        <v>0</v>
      </c>
      <c r="E36" s="568">
        <f>SUM(E32:E35)</f>
        <v>0</v>
      </c>
      <c r="F36" s="568">
        <f>SUM(F32:F35)</f>
        <v>0</v>
      </c>
      <c r="G36" s="568">
        <f>SUM(G32:G35)</f>
        <v>0</v>
      </c>
      <c r="H36" s="568">
        <f>SUM(H32:H35)</f>
        <v>0</v>
      </c>
      <c r="I36" s="568">
        <f t="shared" ref="I36:T36" si="9">SUM(I32:I35)</f>
        <v>0</v>
      </c>
      <c r="J36" s="568">
        <f>SUM(J32:J35)</f>
        <v>0</v>
      </c>
      <c r="K36" s="568">
        <f>SUM(K32:K35)</f>
        <v>0</v>
      </c>
      <c r="L36" s="568">
        <f ca="1">SUM(L32:L35)</f>
        <v>0</v>
      </c>
      <c r="M36" s="568">
        <f ca="1">SUM(M32:M35)</f>
        <v>0</v>
      </c>
      <c r="N36" s="568">
        <f t="shared" ca="1" si="9"/>
        <v>25237.503000000001</v>
      </c>
      <c r="O36" s="568">
        <f t="shared" ca="1" si="9"/>
        <v>25237.503000000001</v>
      </c>
      <c r="P36" s="568">
        <f t="shared" ca="1" si="9"/>
        <v>27055.469755171776</v>
      </c>
      <c r="Q36" s="568">
        <f t="shared" ca="1" si="9"/>
        <v>28989.739957912316</v>
      </c>
      <c r="R36" s="568">
        <f t="shared" ca="1" si="9"/>
        <v>30355.198551800233</v>
      </c>
      <c r="S36" s="568">
        <f t="shared" ca="1" si="9"/>
        <v>31045.704665822508</v>
      </c>
      <c r="T36" s="568">
        <f t="shared" ca="1" si="9"/>
        <v>31986.257412139719</v>
      </c>
      <c r="U36" s="568">
        <f ca="1">SUM(U32:U35)</f>
        <v>149432.37034284655</v>
      </c>
      <c r="Y36"/>
      <c r="Z36"/>
      <c r="AA36"/>
    </row>
    <row r="37" spans="1:27" s="532" customFormat="1" ht="15">
      <c r="A37" s="538"/>
      <c r="B37" s="538"/>
      <c r="C37" s="562" t="s">
        <v>446</v>
      </c>
      <c r="D37" s="569"/>
      <c r="E37" s="569"/>
      <c r="F37" s="569"/>
      <c r="G37" s="569"/>
      <c r="H37" s="569"/>
      <c r="I37" s="569"/>
      <c r="J37" s="569"/>
      <c r="K37" s="569"/>
      <c r="L37" s="569"/>
      <c r="M37" s="569"/>
      <c r="N37" s="569"/>
      <c r="O37" s="569"/>
      <c r="P37" s="569"/>
      <c r="Q37" s="569"/>
      <c r="R37" s="569"/>
      <c r="S37" s="569"/>
      <c r="T37" s="569"/>
      <c r="U37" s="569"/>
      <c r="Y37"/>
      <c r="Z37"/>
      <c r="AA37"/>
    </row>
    <row r="38" spans="1:27" s="532" customFormat="1" ht="15">
      <c r="A38" s="538"/>
      <c r="B38" s="538"/>
      <c r="C38" s="563" t="s">
        <v>482</v>
      </c>
      <c r="D38" s="566">
        <f>1000*('E1'!E237+'E1'!E246+'E1'!E264)</f>
        <v>0</v>
      </c>
      <c r="E38" s="566">
        <f>1000*('E1'!F237+'E1'!F246+'E1'!F264)</f>
        <v>0</v>
      </c>
      <c r="F38" s="566">
        <f>1000*('E1'!G237+'E1'!G246+'E1'!G264)</f>
        <v>0</v>
      </c>
      <c r="G38" s="566">
        <f>1000*('E1'!H237+'E1'!H246+'E1'!H264)</f>
        <v>0</v>
      </c>
      <c r="H38" s="566">
        <f>1000*('E1'!I237+'E1'!I246+'E1'!I264)</f>
        <v>0</v>
      </c>
      <c r="I38" s="567">
        <f t="shared" ref="I38:I45" si="10">SUM(D38:H38)</f>
        <v>0</v>
      </c>
      <c r="J38" s="566">
        <f>1000*('E1'!J237+'E1'!J246+'E1'!J264)</f>
        <v>0</v>
      </c>
      <c r="K38" s="566">
        <f>1000*('E1'!K237+'E1'!K246+'E1'!K264)</f>
        <v>0</v>
      </c>
      <c r="L38" s="566">
        <f ca="1">1000*('E1'!L237+'E1'!L246+'E1'!L264)</f>
        <v>0</v>
      </c>
      <c r="M38" s="566">
        <f ca="1">1000*('E1'!M237+'E1'!M246+'E1'!M264)</f>
        <v>0</v>
      </c>
      <c r="N38" s="566">
        <f ca="1">1000*('E1'!N237+'E1'!N246+'E1'!N264)</f>
        <v>2920.2894230769234</v>
      </c>
      <c r="O38" s="567">
        <f t="shared" ref="O38:O45" ca="1" si="11">SUM(J38:N38)</f>
        <v>2920.2894230769234</v>
      </c>
      <c r="P38" s="566">
        <f ca="1">1000*('E1'!O237+'E1'!O246+'E1'!O264)</f>
        <v>3204.0159107423146</v>
      </c>
      <c r="Q38" s="566">
        <f ca="1">1000*('E1'!P237+'E1'!P246+'E1'!P264)</f>
        <v>3275.1322743198157</v>
      </c>
      <c r="R38" s="566">
        <f ca="1">1000*('E1'!Q237+'E1'!Q246+'E1'!Q264)</f>
        <v>3354.4876643310449</v>
      </c>
      <c r="S38" s="566">
        <f ca="1">1000*('E1'!R237+'E1'!R246+'E1'!R264)</f>
        <v>3440.2283549215877</v>
      </c>
      <c r="T38" s="566">
        <f ca="1">1000*('E1'!S237+'E1'!S246+'E1'!S264)</f>
        <v>3527.8893233725844</v>
      </c>
      <c r="U38" s="567">
        <f t="shared" ref="U38:U45" ca="1" si="12">SUM(P38:T38)</f>
        <v>16801.753527687346</v>
      </c>
      <c r="W38" s="532" t="s">
        <v>502</v>
      </c>
      <c r="Y38"/>
      <c r="Z38"/>
      <c r="AA38"/>
    </row>
    <row r="39" spans="1:27" s="532" customFormat="1" ht="15">
      <c r="A39" s="538"/>
      <c r="B39" s="538"/>
      <c r="C39" s="563" t="s">
        <v>189</v>
      </c>
      <c r="D39" s="566">
        <f>1000*'E1'!E255</f>
        <v>0</v>
      </c>
      <c r="E39" s="566">
        <f>1000*'E1'!F255</f>
        <v>0</v>
      </c>
      <c r="F39" s="566">
        <f>1000*'E1'!G255</f>
        <v>0</v>
      </c>
      <c r="G39" s="566">
        <f>1000*'E1'!H255</f>
        <v>0</v>
      </c>
      <c r="H39" s="566">
        <f>1000*'E1'!I255</f>
        <v>0</v>
      </c>
      <c r="I39" s="567">
        <f t="shared" si="10"/>
        <v>0</v>
      </c>
      <c r="J39" s="566">
        <f>1000*'E1'!J255</f>
        <v>0</v>
      </c>
      <c r="K39" s="566">
        <f>1000*'E1'!K255</f>
        <v>0</v>
      </c>
      <c r="L39" s="566">
        <f ca="1">1000*'E1'!L255</f>
        <v>0</v>
      </c>
      <c r="M39" s="566">
        <f ca="1">1000*'E1'!M255</f>
        <v>0</v>
      </c>
      <c r="N39" s="566">
        <f ca="1">1000*'E1'!N255</f>
        <v>2215.285038461539</v>
      </c>
      <c r="O39" s="567">
        <f t="shared" ca="1" si="11"/>
        <v>2215.285038461539</v>
      </c>
      <c r="P39" s="566">
        <f ca="1">1000*'E1'!O255</f>
        <v>5239.7571900972762</v>
      </c>
      <c r="Q39" s="566">
        <f ca="1">1000*'E1'!P255</f>
        <v>4389.9301085145307</v>
      </c>
      <c r="R39" s="566">
        <f ca="1">1000*'E1'!Q255</f>
        <v>4362.241106602055</v>
      </c>
      <c r="S39" s="566">
        <f ca="1">1000*'E1'!R255</f>
        <v>4200.4830349229778</v>
      </c>
      <c r="T39" s="566">
        <f ca="1">1000*'E1'!S255</f>
        <v>4497.804543110441</v>
      </c>
      <c r="U39" s="567">
        <f t="shared" ca="1" si="12"/>
        <v>22690.215983247279</v>
      </c>
      <c r="W39" s="532" t="s">
        <v>224</v>
      </c>
      <c r="Y39"/>
      <c r="Z39"/>
      <c r="AA39"/>
    </row>
    <row r="40" spans="1:27" s="532" customFormat="1" ht="15">
      <c r="A40" s="538"/>
      <c r="B40" s="538"/>
      <c r="C40" s="563" t="s">
        <v>483</v>
      </c>
      <c r="D40" s="566">
        <f>1000*('E1'!E274+'E1'!E283)</f>
        <v>0</v>
      </c>
      <c r="E40" s="566">
        <f>1000*('E1'!F274+'E1'!F283)</f>
        <v>0</v>
      </c>
      <c r="F40" s="566">
        <f>1000*('E1'!G274+'E1'!G283)</f>
        <v>0</v>
      </c>
      <c r="G40" s="566">
        <f>1000*('E1'!H274+'E1'!H283)</f>
        <v>0</v>
      </c>
      <c r="H40" s="566">
        <f>1000*('E1'!I274+'E1'!I283)</f>
        <v>0</v>
      </c>
      <c r="I40" s="567">
        <f t="shared" si="10"/>
        <v>0</v>
      </c>
      <c r="J40" s="566">
        <f>1000*('E1'!J274+'E1'!J283)</f>
        <v>0</v>
      </c>
      <c r="K40" s="566">
        <f>1000*('E1'!K274+'E1'!K283)</f>
        <v>0</v>
      </c>
      <c r="L40" s="566">
        <f ca="1">1000*('E1'!L274+'E1'!L283)</f>
        <v>0</v>
      </c>
      <c r="M40" s="566">
        <f ca="1">1000*('E1'!M274+'E1'!M283)</f>
        <v>0</v>
      </c>
      <c r="N40" s="566">
        <f ca="1">1000*('E1'!N274+'E1'!N283)</f>
        <v>8023.8182307692314</v>
      </c>
      <c r="O40" s="567">
        <f t="shared" ca="1" si="11"/>
        <v>8023.8182307692314</v>
      </c>
      <c r="P40" s="566">
        <f ca="1">1000*('E1'!O274+'E1'!O283)</f>
        <v>8258.4538817235152</v>
      </c>
      <c r="Q40" s="566">
        <f ca="1">1000*('E1'!P274+'E1'!P283)</f>
        <v>8492.8861479137122</v>
      </c>
      <c r="R40" s="566">
        <f ca="1">1000*('E1'!Q274+'E1'!Q283)</f>
        <v>9917.1629806229303</v>
      </c>
      <c r="S40" s="566">
        <f ca="1">1000*('E1'!R274+'E1'!R283)</f>
        <v>10186.317539992884</v>
      </c>
      <c r="T40" s="566">
        <f ca="1">1000*('E1'!S274+'E1'!S283)</f>
        <v>10457.839214866397</v>
      </c>
      <c r="U40" s="567">
        <f t="shared" ca="1" si="12"/>
        <v>47312.659765119446</v>
      </c>
      <c r="W40" s="532" t="s">
        <v>503</v>
      </c>
      <c r="Y40"/>
      <c r="Z40"/>
      <c r="AA40"/>
    </row>
    <row r="41" spans="1:27" s="532" customFormat="1" ht="15">
      <c r="A41" s="538"/>
      <c r="B41" s="538"/>
      <c r="C41" s="563" t="s">
        <v>98</v>
      </c>
      <c r="D41" s="566">
        <f>(+'E1'!E376+'E1'!E560+'E1'!E569)*1000</f>
        <v>0</v>
      </c>
      <c r="E41" s="566">
        <f>(+'E1'!F376+'E1'!F560+'E1'!F569)*1000</f>
        <v>0</v>
      </c>
      <c r="F41" s="566">
        <f>(+'E1'!G376+'E1'!G560+'E1'!G569)*1000</f>
        <v>0</v>
      </c>
      <c r="G41" s="566">
        <f>(+'E1'!H376+'E1'!H560+'E1'!H569)*1000</f>
        <v>0</v>
      </c>
      <c r="H41" s="566">
        <f>(+'E1'!I376+'E1'!I560+'E1'!I569)*1000</f>
        <v>0</v>
      </c>
      <c r="I41" s="567">
        <f t="shared" si="10"/>
        <v>0</v>
      </c>
      <c r="J41" s="566">
        <f>(+'E1'!J376+'E1'!J560+'E1'!J569)*1000</f>
        <v>0</v>
      </c>
      <c r="K41" s="566">
        <f>(+'E1'!K376+'E1'!K560+'E1'!K569)*1000</f>
        <v>0</v>
      </c>
      <c r="L41" s="566">
        <f ca="1">(+'E1'!L376+'E1'!L560+'E1'!L569)*1000</f>
        <v>0</v>
      </c>
      <c r="M41" s="566">
        <f ca="1">(+'E1'!M376+'E1'!M560+'E1'!M569)*1000</f>
        <v>0</v>
      </c>
      <c r="N41" s="566">
        <f ca="1">(+'E1'!N376+'E1'!N560+'E1'!N569)*1000</f>
        <v>13354.767807692308</v>
      </c>
      <c r="O41" s="567">
        <f t="shared" ca="1" si="11"/>
        <v>13354.767807692308</v>
      </c>
      <c r="P41" s="566">
        <f ca="1">(+'E1'!O376+'E1'!O560+'E1'!O569)*1000</f>
        <v>13724.125303858482</v>
      </c>
      <c r="Q41" s="566">
        <f ca="1">(+'E1'!P376+'E1'!P560+'E1'!P569)*1000</f>
        <v>14092.057065469675</v>
      </c>
      <c r="R41" s="566">
        <f ca="1">(+'E1'!Q376+'E1'!Q560+'E1'!Q569)*1000</f>
        <v>14498.626473927307</v>
      </c>
      <c r="S41" s="566">
        <f ca="1">(+'E1'!R376+'E1'!R560+'E1'!R569)*1000</f>
        <v>14935.106459594874</v>
      </c>
      <c r="T41" s="566">
        <f ca="1">(+'E1'!S376+'E1'!S560+'E1'!S569)*1000</f>
        <v>15380.356734413577</v>
      </c>
      <c r="U41" s="567">
        <f t="shared" ca="1" si="12"/>
        <v>72630.272037263916</v>
      </c>
      <c r="W41" s="532" t="s">
        <v>504</v>
      </c>
      <c r="Y41"/>
      <c r="Z41"/>
      <c r="AA41"/>
    </row>
    <row r="42" spans="1:27" s="532" customFormat="1" ht="15">
      <c r="A42" s="538"/>
      <c r="B42" s="538"/>
      <c r="C42" s="563" t="s">
        <v>484</v>
      </c>
      <c r="D42" s="566">
        <f>1000*('E1'!E394+'E1'!E403+'E1'!E412+'E1'!E421+'E1'!E430)</f>
        <v>0</v>
      </c>
      <c r="E42" s="566">
        <f>1000*('E1'!F394+'E1'!F403+'E1'!F412+'E1'!F421+'E1'!F430)</f>
        <v>0</v>
      </c>
      <c r="F42" s="566">
        <f>1000*('E1'!G394+'E1'!G403+'E1'!G412+'E1'!G421+'E1'!G430)</f>
        <v>0</v>
      </c>
      <c r="G42" s="566">
        <f>1000*('E1'!H394+'E1'!H403+'E1'!H412+'E1'!H421+'E1'!H430)</f>
        <v>0</v>
      </c>
      <c r="H42" s="566">
        <f>1000*('E1'!I394+'E1'!I403+'E1'!I412+'E1'!I421+'E1'!I430)</f>
        <v>0</v>
      </c>
      <c r="I42" s="567">
        <f t="shared" si="10"/>
        <v>0</v>
      </c>
      <c r="J42" s="566">
        <f>1000*('E1'!J394+'E1'!J403+'E1'!J412+'E1'!J421+'E1'!J430)</f>
        <v>0</v>
      </c>
      <c r="K42" s="566">
        <f>1000*('E1'!K394+'E1'!K403+'E1'!K412+'E1'!K421+'E1'!K430)</f>
        <v>0</v>
      </c>
      <c r="L42" s="566">
        <f ca="1">1000*('E1'!L394+'E1'!L403+'E1'!L412+'E1'!L421+'E1'!L430)</f>
        <v>0</v>
      </c>
      <c r="M42" s="566">
        <f ca="1">1000*('E1'!M394+'E1'!M403+'E1'!M412+'E1'!M421+'E1'!M430)</f>
        <v>0</v>
      </c>
      <c r="N42" s="566">
        <f ca="1">1000*('E1'!N394+'E1'!N403+'E1'!N412+'E1'!N421+'E1'!N430)</f>
        <v>8943.8386153846168</v>
      </c>
      <c r="O42" s="567">
        <f t="shared" ca="1" si="11"/>
        <v>8943.8386153846168</v>
      </c>
      <c r="P42" s="566">
        <f ca="1">1000*('E1'!O394+'E1'!O403+'E1'!O412+'E1'!O421+'E1'!O430)</f>
        <v>9210.3771959997594</v>
      </c>
      <c r="Q42" s="566">
        <f ca="1">1000*('E1'!P394+'E1'!P403+'E1'!P412+'E1'!P421+'E1'!P430)</f>
        <v>9476.9265064214851</v>
      </c>
      <c r="R42" s="566">
        <f ca="1">1000*('E1'!Q394+'E1'!Q403+'E1'!Q412+'E1'!Q421+'E1'!Q430)</f>
        <v>9763.3066554005145</v>
      </c>
      <c r="S42" s="566">
        <f ca="1">1000*('E1'!R394+'E1'!R403+'E1'!R412+'E1'!R421+'E1'!R430)</f>
        <v>10067.262993301505</v>
      </c>
      <c r="T42" s="566">
        <f ca="1">1000*('E1'!S394+'E1'!S403+'E1'!S412+'E1'!S421+'E1'!S430)</f>
        <v>10373.233507092165</v>
      </c>
      <c r="U42" s="567">
        <f t="shared" ca="1" si="12"/>
        <v>48891.106858215426</v>
      </c>
      <c r="W42" s="532" t="s">
        <v>505</v>
      </c>
      <c r="Y42"/>
      <c r="Z42"/>
      <c r="AA42"/>
    </row>
    <row r="43" spans="1:27" s="532" customFormat="1" ht="15">
      <c r="A43" s="538"/>
      <c r="B43" s="538"/>
      <c r="C43" s="563" t="s">
        <v>485</v>
      </c>
      <c r="D43" s="566">
        <f>1000*('E1'!E448+'E1'!E457)</f>
        <v>0</v>
      </c>
      <c r="E43" s="566">
        <f>1000*('E1'!F448+'E1'!F457)</f>
        <v>0</v>
      </c>
      <c r="F43" s="566">
        <f>1000*('E1'!G448+'E1'!G457)</f>
        <v>0</v>
      </c>
      <c r="G43" s="566">
        <f>1000*('E1'!H448+'E1'!H457)</f>
        <v>0</v>
      </c>
      <c r="H43" s="566">
        <f>1000*('E1'!I448+'E1'!I457)</f>
        <v>0</v>
      </c>
      <c r="I43" s="567">
        <f t="shared" si="10"/>
        <v>0</v>
      </c>
      <c r="J43" s="566">
        <f>1000*('E1'!J448+'E1'!J457)</f>
        <v>0</v>
      </c>
      <c r="K43" s="566">
        <f>1000*('E1'!K448+'E1'!K457)</f>
        <v>0</v>
      </c>
      <c r="L43" s="566">
        <f ca="1">1000*('E1'!L448+'E1'!L457)</f>
        <v>0</v>
      </c>
      <c r="M43" s="566">
        <f ca="1">1000*('E1'!M448+'E1'!M457)</f>
        <v>0</v>
      </c>
      <c r="N43" s="566">
        <f ca="1">1000*('E1'!N448+'E1'!N457)</f>
        <v>6198.2496923076933</v>
      </c>
      <c r="O43" s="567">
        <f t="shared" ca="1" si="11"/>
        <v>6198.2496923076933</v>
      </c>
      <c r="P43" s="566">
        <f ca="1">1000*('E1'!O448+'E1'!O457)</f>
        <v>6226.5631569930447</v>
      </c>
      <c r="Q43" s="566">
        <f ca="1">1000*('E1'!P448+'E1'!P457)</f>
        <v>6247.9511944415981</v>
      </c>
      <c r="R43" s="566">
        <f ca="1">1000*('E1'!Q448+'E1'!Q457)</f>
        <v>6289.9735050839099</v>
      </c>
      <c r="S43" s="566">
        <f ca="1">1000*('E1'!R448+'E1'!R457)</f>
        <v>6345.9962704327054</v>
      </c>
      <c r="T43" s="566">
        <f ca="1">1000*('E1'!S448+'E1'!S457)</f>
        <v>6409.7225977158232</v>
      </c>
      <c r="U43" s="567">
        <f t="shared" ca="1" si="12"/>
        <v>31520.206724667078</v>
      </c>
      <c r="W43" s="532" t="s">
        <v>506</v>
      </c>
      <c r="Y43"/>
      <c r="Z43"/>
      <c r="AA43"/>
    </row>
    <row r="44" spans="1:27" s="532" customFormat="1" ht="15">
      <c r="A44" s="538"/>
      <c r="B44" s="538"/>
      <c r="C44" s="563" t="s">
        <v>486</v>
      </c>
      <c r="D44" s="566">
        <f>1000*'E1'!E439</f>
        <v>0</v>
      </c>
      <c r="E44" s="566">
        <f>1000*'E1'!F439</f>
        <v>0</v>
      </c>
      <c r="F44" s="566">
        <f>1000*'E1'!G439</f>
        <v>0</v>
      </c>
      <c r="G44" s="566">
        <f>1000*'E1'!H439</f>
        <v>0</v>
      </c>
      <c r="H44" s="566">
        <f>1000*'E1'!I439</f>
        <v>0</v>
      </c>
      <c r="I44" s="567">
        <f t="shared" si="10"/>
        <v>0</v>
      </c>
      <c r="J44" s="566">
        <f>1000*'E1'!J439</f>
        <v>0</v>
      </c>
      <c r="K44" s="566">
        <f>1000*'E1'!K439</f>
        <v>0</v>
      </c>
      <c r="L44" s="566">
        <f ca="1">1000*'E1'!L439</f>
        <v>0</v>
      </c>
      <c r="M44" s="566">
        <f ca="1">1000*'E1'!M439</f>
        <v>0</v>
      </c>
      <c r="N44" s="566">
        <f ca="1">1000*'E1'!N439</f>
        <v>17749.00342307692</v>
      </c>
      <c r="O44" s="567">
        <f t="shared" ca="1" si="11"/>
        <v>17749.00342307692</v>
      </c>
      <c r="P44" s="566">
        <f ca="1">1000*'E1'!O439</f>
        <v>19068.048530330707</v>
      </c>
      <c r="Q44" s="566">
        <f ca="1">1000*'E1'!P439</f>
        <v>19814.774567775225</v>
      </c>
      <c r="R44" s="566">
        <f ca="1">1000*'E1'!Q439</f>
        <v>21455.991845144625</v>
      </c>
      <c r="S44" s="566">
        <f ca="1">1000*'E1'!R439</f>
        <v>22083.148835021191</v>
      </c>
      <c r="T44" s="566">
        <f ca="1">1000*'E1'!S439</f>
        <v>22623.07779277677</v>
      </c>
      <c r="U44" s="567">
        <f t="shared" ca="1" si="12"/>
        <v>105045.04157104852</v>
      </c>
      <c r="W44" s="532" t="s">
        <v>244</v>
      </c>
      <c r="Y44"/>
      <c r="Z44"/>
      <c r="AA44"/>
    </row>
    <row r="45" spans="1:27" s="532" customFormat="1" ht="15">
      <c r="A45" s="538"/>
      <c r="B45" s="538"/>
      <c r="C45" s="563" t="s">
        <v>487</v>
      </c>
      <c r="D45" s="566">
        <f>1000*('E1'!E385+'E1'!E466+'E1'!E475+'E1'!E484+'E1'!E493+'E1'!E502+'E1'!E511)</f>
        <v>0</v>
      </c>
      <c r="E45" s="566">
        <f>1000*('E1'!F385+'E1'!F466+'E1'!F475+'E1'!F484+'E1'!F493+'E1'!F502+'E1'!F511)</f>
        <v>0</v>
      </c>
      <c r="F45" s="566">
        <f>1000*('E1'!G385+'E1'!G466+'E1'!G475+'E1'!G484+'E1'!G493+'E1'!G502+'E1'!G511)</f>
        <v>0</v>
      </c>
      <c r="G45" s="566">
        <f>1000*('E1'!H385+'E1'!H466+'E1'!H475+'E1'!H484+'E1'!H493+'E1'!H502+'E1'!H511)</f>
        <v>0</v>
      </c>
      <c r="H45" s="566">
        <f>1000*('E1'!I385+'E1'!I466+'E1'!I475+'E1'!I484+'E1'!I493+'E1'!I502+'E1'!I511)</f>
        <v>0</v>
      </c>
      <c r="I45" s="567">
        <f t="shared" si="10"/>
        <v>0</v>
      </c>
      <c r="J45" s="566">
        <f>1000*('E1'!J385+'E1'!J466+'E1'!J475+'E1'!J484+'E1'!J493+'E1'!J502+'E1'!J511)</f>
        <v>0</v>
      </c>
      <c r="K45" s="566">
        <f>1000*('E1'!K385+'E1'!K466+'E1'!K475+'E1'!K484+'E1'!K493+'E1'!K502+'E1'!K511)</f>
        <v>0</v>
      </c>
      <c r="L45" s="566">
        <f ca="1">1000*('E1'!L385+'E1'!L466+'E1'!L475+'E1'!L484+'E1'!L493+'E1'!L502+'E1'!L511)</f>
        <v>0</v>
      </c>
      <c r="M45" s="566">
        <f ca="1">1000*('E1'!M385+'E1'!M466+'E1'!M475+'E1'!M484+'E1'!M493+'E1'!M502+'E1'!M511)</f>
        <v>0</v>
      </c>
      <c r="N45" s="566">
        <f ca="1">1000*('E1'!N385+'E1'!N466+'E1'!N475+'E1'!N484+'E1'!N493+'E1'!N502+'E1'!N511)</f>
        <v>8593.4890769230769</v>
      </c>
      <c r="O45" s="567">
        <f t="shared" ca="1" si="11"/>
        <v>8593.4890769230769</v>
      </c>
      <c r="P45" s="566">
        <f ca="1">1000*('E1'!O385+'E1'!O466+'E1'!O475+'E1'!O484+'E1'!O493+'E1'!O502+'E1'!O511)</f>
        <v>9490.5232939631333</v>
      </c>
      <c r="Q45" s="566">
        <f ca="1">1000*('E1'!P385+'E1'!P466+'E1'!P475+'E1'!P484+'E1'!P493+'E1'!P502+'E1'!P511)</f>
        <v>9893.3392470535964</v>
      </c>
      <c r="R45" s="566">
        <f ca="1">1000*('E1'!Q385+'E1'!Q466+'E1'!Q475+'E1'!Q484+'E1'!Q493+'E1'!Q502+'E1'!Q511)</f>
        <v>10308.661714934424</v>
      </c>
      <c r="S45" s="566">
        <f ca="1">1000*('E1'!R385+'E1'!R466+'E1'!R475+'E1'!R484+'E1'!R493+'E1'!R502+'E1'!R511)</f>
        <v>10642.234914305298</v>
      </c>
      <c r="T45" s="566">
        <f ca="1">1000*('E1'!S385+'E1'!S466+'E1'!S475+'E1'!S484+'E1'!S493+'E1'!S502+'E1'!S511)</f>
        <v>10883.154677011442</v>
      </c>
      <c r="U45" s="567">
        <f t="shared" ca="1" si="12"/>
        <v>51217.913847267897</v>
      </c>
      <c r="W45" s="532" t="s">
        <v>507</v>
      </c>
      <c r="Y45"/>
      <c r="Z45"/>
      <c r="AA45"/>
    </row>
    <row r="46" spans="1:27" s="532" customFormat="1" ht="15">
      <c r="A46" s="538"/>
      <c r="B46" s="538"/>
      <c r="C46" s="564" t="s">
        <v>470</v>
      </c>
      <c r="D46" s="568">
        <f>SUM(D38:D45)</f>
        <v>0</v>
      </c>
      <c r="E46" s="568">
        <f>SUM(E38:E45)</f>
        <v>0</v>
      </c>
      <c r="F46" s="568">
        <f>SUM(F38:F45)</f>
        <v>0</v>
      </c>
      <c r="G46" s="568">
        <f>SUM(G38:G45)</f>
        <v>0</v>
      </c>
      <c r="H46" s="568">
        <f>SUM(H38:H45)</f>
        <v>0</v>
      </c>
      <c r="I46" s="568">
        <f t="shared" ref="I46:T46" si="13">SUM(I38:I45)</f>
        <v>0</v>
      </c>
      <c r="J46" s="568">
        <f>SUM(J38:J45)</f>
        <v>0</v>
      </c>
      <c r="K46" s="568">
        <f>SUM(K38:K45)</f>
        <v>0</v>
      </c>
      <c r="L46" s="568">
        <f ca="1">SUM(L38:L45)</f>
        <v>0</v>
      </c>
      <c r="M46" s="568">
        <f ca="1">SUM(M38:M45)</f>
        <v>0</v>
      </c>
      <c r="N46" s="568">
        <f t="shared" ca="1" si="13"/>
        <v>67998.741307692311</v>
      </c>
      <c r="O46" s="568">
        <f t="shared" ca="1" si="13"/>
        <v>67998.741307692311</v>
      </c>
      <c r="P46" s="568">
        <f t="shared" ca="1" si="13"/>
        <v>74421.864463708247</v>
      </c>
      <c r="Q46" s="568">
        <f t="shared" ca="1" si="13"/>
        <v>75682.99711190963</v>
      </c>
      <c r="R46" s="568">
        <f t="shared" ca="1" si="13"/>
        <v>79950.451946046815</v>
      </c>
      <c r="S46" s="568">
        <f t="shared" ca="1" si="13"/>
        <v>81900.778402493015</v>
      </c>
      <c r="T46" s="568">
        <f t="shared" ca="1" si="13"/>
        <v>84153.078390359195</v>
      </c>
      <c r="U46" s="568">
        <f ca="1">SUM(U38:U45)</f>
        <v>396109.17031451693</v>
      </c>
      <c r="Y46"/>
      <c r="Z46"/>
      <c r="AA46"/>
    </row>
    <row r="47" spans="1:27" s="532" customFormat="1" ht="15">
      <c r="A47" s="538"/>
      <c r="B47" s="538"/>
      <c r="C47" s="562" t="s">
        <v>488</v>
      </c>
      <c r="D47" s="571"/>
      <c r="E47" s="571"/>
      <c r="F47" s="571"/>
      <c r="G47" s="571"/>
      <c r="H47" s="571"/>
      <c r="I47" s="570"/>
      <c r="J47" s="571"/>
      <c r="K47" s="571"/>
      <c r="L47" s="571"/>
      <c r="M47" s="571"/>
      <c r="N47" s="571"/>
      <c r="O47" s="570"/>
      <c r="P47" s="571"/>
      <c r="Q47" s="571"/>
      <c r="R47" s="571"/>
      <c r="S47" s="571"/>
      <c r="T47" s="571"/>
      <c r="U47" s="570"/>
      <c r="Y47"/>
      <c r="Z47"/>
      <c r="AA47"/>
    </row>
    <row r="48" spans="1:27" s="532" customFormat="1" ht="15">
      <c r="A48" s="538"/>
      <c r="B48" s="538"/>
      <c r="C48" s="563" t="s">
        <v>367</v>
      </c>
      <c r="D48" s="566">
        <f>1000*'E1'!E578</f>
        <v>0</v>
      </c>
      <c r="E48" s="566">
        <f>1000*'E1'!F578</f>
        <v>0</v>
      </c>
      <c r="F48" s="566">
        <f>1000*'E1'!G578</f>
        <v>0</v>
      </c>
      <c r="G48" s="566">
        <f>1000*'E1'!H578</f>
        <v>0</v>
      </c>
      <c r="H48" s="566">
        <f>1000*'E1'!I578</f>
        <v>0</v>
      </c>
      <c r="I48" s="567">
        <f>SUM(D48:H48)</f>
        <v>0</v>
      </c>
      <c r="J48" s="566">
        <f>1000*'E1'!J578</f>
        <v>0</v>
      </c>
      <c r="K48" s="566">
        <f>1000*'E1'!K578</f>
        <v>0</v>
      </c>
      <c r="L48" s="566">
        <f ca="1">1000*'E1'!L578</f>
        <v>0</v>
      </c>
      <c r="M48" s="566">
        <f ca="1">1000*'E1'!M578</f>
        <v>0</v>
      </c>
      <c r="N48" s="566">
        <f ca="1">1000*'E1'!N578</f>
        <v>-4204.1830384615396</v>
      </c>
      <c r="O48" s="567">
        <f ca="1">SUM(J48:N48)</f>
        <v>-4204.1830384615396</v>
      </c>
      <c r="P48" s="566">
        <f ca="1">1000*'E1'!O578</f>
        <v>-4339.9596198543104</v>
      </c>
      <c r="Q48" s="566">
        <f ca="1">1000*'E1'!P578</f>
        <v>-4476.2106134878049</v>
      </c>
      <c r="R48" s="566">
        <f ca="1">1000*'E1'!Q578</f>
        <v>-4621.1167309106359</v>
      </c>
      <c r="S48" s="566">
        <f ca="1">1000*'E1'!R578</f>
        <v>-4774.0749491000133</v>
      </c>
      <c r="T48" s="566">
        <f ca="1">1000*'E1'!S578</f>
        <v>-4927.4356199881422</v>
      </c>
      <c r="U48" s="567">
        <f ca="1">SUM(P48:T48)</f>
        <v>-23138.797533340905</v>
      </c>
      <c r="W48" s="532" t="s">
        <v>366</v>
      </c>
      <c r="Y48"/>
      <c r="Z48"/>
      <c r="AA48"/>
    </row>
    <row r="49" spans="1:27" s="532" customFormat="1" ht="15">
      <c r="A49" s="538"/>
      <c r="B49" s="538"/>
      <c r="C49" s="563" t="s">
        <v>489</v>
      </c>
      <c r="D49" s="566"/>
      <c r="E49" s="566"/>
      <c r="F49" s="566"/>
      <c r="G49" s="566"/>
      <c r="H49" s="566"/>
      <c r="I49" s="567">
        <f>SUM(D49:H49)</f>
        <v>0</v>
      </c>
      <c r="J49" s="566">
        <f>+'E1'!J587*1000</f>
        <v>0</v>
      </c>
      <c r="K49" s="566">
        <f>+'E1'!K587*1000</f>
        <v>0</v>
      </c>
      <c r="L49" s="566">
        <f ca="1">+'E1'!L587*1000</f>
        <v>0</v>
      </c>
      <c r="M49" s="566">
        <f ca="1">+'E1'!M587*1000</f>
        <v>0</v>
      </c>
      <c r="N49" s="566">
        <f ca="1">+'E1'!N587*1000</f>
        <v>2078.8325769230773</v>
      </c>
      <c r="O49" s="567">
        <f ca="1">SUM(J49:N49)</f>
        <v>2078.8325769230773</v>
      </c>
      <c r="P49" s="566">
        <f ca="1">+'E1'!O587*1000</f>
        <v>2100.8889038379039</v>
      </c>
      <c r="Q49" s="566">
        <f ca="1">+'E1'!P587*1000</f>
        <v>2121.3259834907676</v>
      </c>
      <c r="R49" s="566">
        <f ca="1">+'E1'!Q587*1000</f>
        <v>2141.527809789603</v>
      </c>
      <c r="S49" s="566">
        <f ca="1">+'E1'!R587*1000</f>
        <v>2163.4451688037661</v>
      </c>
      <c r="T49" s="566">
        <f ca="1">+'E1'!S587*1000</f>
        <v>2183.5216336909562</v>
      </c>
      <c r="U49" s="567">
        <f ca="1">SUM(P49:T49)</f>
        <v>10710.709499612996</v>
      </c>
      <c r="W49" s="532" t="s">
        <v>402</v>
      </c>
      <c r="Y49"/>
      <c r="Z49"/>
      <c r="AA49"/>
    </row>
    <row r="50" spans="1:27" s="532" customFormat="1" ht="15">
      <c r="A50" s="538"/>
      <c r="B50" s="538"/>
      <c r="C50" s="563" t="s">
        <v>525</v>
      </c>
      <c r="D50" s="566"/>
      <c r="E50" s="566"/>
      <c r="F50" s="566"/>
      <c r="G50" s="566"/>
      <c r="H50" s="566"/>
      <c r="I50" s="567"/>
      <c r="J50" s="566"/>
      <c r="K50" s="566"/>
      <c r="L50" s="566"/>
      <c r="M50" s="566"/>
      <c r="N50" s="566"/>
      <c r="O50" s="567"/>
      <c r="P50" s="566">
        <f ca="1">+'E1'!O86*1000</f>
        <v>0</v>
      </c>
      <c r="Q50" s="566">
        <f ca="1">+'E1'!P86*1000</f>
        <v>0</v>
      </c>
      <c r="R50" s="566">
        <f ca="1">+'E1'!Q86*1000</f>
        <v>0</v>
      </c>
      <c r="S50" s="566">
        <f ca="1">+'E1'!R86*1000</f>
        <v>0</v>
      </c>
      <c r="T50" s="566">
        <f ca="1">+'E1'!S86*1000</f>
        <v>0</v>
      </c>
      <c r="U50" s="567">
        <f ca="1">SUM(P50:T50)</f>
        <v>0</v>
      </c>
      <c r="W50" s="532" t="s">
        <v>55</v>
      </c>
      <c r="Y50"/>
      <c r="Z50"/>
      <c r="AA50"/>
    </row>
    <row r="51" spans="1:27" s="532" customFormat="1" ht="15">
      <c r="A51" s="538"/>
      <c r="B51" s="538"/>
      <c r="C51" s="563" t="s">
        <v>490</v>
      </c>
      <c r="D51" s="566"/>
      <c r="E51" s="566"/>
      <c r="F51" s="566"/>
      <c r="G51" s="566"/>
      <c r="H51" s="566"/>
      <c r="I51" s="567">
        <f>SUM(D51:H51)</f>
        <v>0</v>
      </c>
      <c r="J51" s="566"/>
      <c r="K51" s="566"/>
      <c r="L51" s="566"/>
      <c r="M51" s="566"/>
      <c r="N51" s="566">
        <f ca="1">+'E1'!N596*1000</f>
        <v>2085.607581541638</v>
      </c>
      <c r="O51" s="567">
        <f ca="1">SUM(J51:N51)</f>
        <v>2085.607581541638</v>
      </c>
      <c r="P51" s="566">
        <f ca="1">+'E1'!O596*1000</f>
        <v>0</v>
      </c>
      <c r="Q51" s="566">
        <f ca="1">+'E1'!P596*1000</f>
        <v>0</v>
      </c>
      <c r="R51" s="566">
        <f ca="1">+'E1'!Q596*1000</f>
        <v>0</v>
      </c>
      <c r="S51" s="566">
        <f ca="1">+'E1'!R596*1000</f>
        <v>0</v>
      </c>
      <c r="T51" s="566">
        <f ca="1">+'E1'!S596*1000</f>
        <v>0</v>
      </c>
      <c r="U51" s="567">
        <f ca="1">SUM(P51:T51)</f>
        <v>0</v>
      </c>
      <c r="W51" s="532" t="s">
        <v>411</v>
      </c>
      <c r="Y51"/>
      <c r="Z51"/>
      <c r="AA51"/>
    </row>
    <row r="52" spans="1:27" s="532" customFormat="1" ht="15" customHeight="1">
      <c r="A52" s="549"/>
      <c r="B52" s="549"/>
      <c r="C52" s="563"/>
      <c r="D52" s="566"/>
      <c r="E52" s="566"/>
      <c r="F52" s="566"/>
      <c r="G52" s="566"/>
      <c r="H52" s="566"/>
      <c r="I52" s="567">
        <f>SUM(D52:H52)</f>
        <v>0</v>
      </c>
      <c r="J52" s="566"/>
      <c r="K52" s="566"/>
      <c r="L52" s="566"/>
      <c r="M52" s="566"/>
      <c r="N52" s="566"/>
      <c r="O52" s="567">
        <f>SUM(J52:N52)</f>
        <v>0</v>
      </c>
      <c r="P52" s="566"/>
      <c r="Q52" s="566"/>
      <c r="R52" s="566"/>
      <c r="S52" s="566"/>
      <c r="T52" s="566"/>
      <c r="U52" s="567">
        <f>SUM(P52:T52)</f>
        <v>0</v>
      </c>
      <c r="W52" s="532" t="s">
        <v>412</v>
      </c>
      <c r="Y52"/>
      <c r="Z52"/>
      <c r="AA52"/>
    </row>
    <row r="53" spans="1:27" s="532" customFormat="1" ht="15">
      <c r="A53" s="538"/>
      <c r="B53" s="538"/>
      <c r="C53" s="564" t="s">
        <v>470</v>
      </c>
      <c r="D53" s="568">
        <f t="shared" ref="D53:U53" si="14">SUM(D48:D52)</f>
        <v>0</v>
      </c>
      <c r="E53" s="568">
        <f t="shared" si="14"/>
        <v>0</v>
      </c>
      <c r="F53" s="568">
        <f t="shared" si="14"/>
        <v>0</v>
      </c>
      <c r="G53" s="568">
        <f t="shared" si="14"/>
        <v>0</v>
      </c>
      <c r="H53" s="568">
        <f t="shared" si="14"/>
        <v>0</v>
      </c>
      <c r="I53" s="568">
        <f t="shared" si="14"/>
        <v>0</v>
      </c>
      <c r="J53" s="568">
        <f t="shared" si="14"/>
        <v>0</v>
      </c>
      <c r="K53" s="568">
        <f t="shared" si="14"/>
        <v>0</v>
      </c>
      <c r="L53" s="568">
        <f t="shared" ca="1" si="14"/>
        <v>0</v>
      </c>
      <c r="M53" s="568">
        <f t="shared" ca="1" si="14"/>
        <v>0</v>
      </c>
      <c r="N53" s="568">
        <f t="shared" ca="1" si="14"/>
        <v>-39.742879996824286</v>
      </c>
      <c r="O53" s="568">
        <f t="shared" ca="1" si="14"/>
        <v>-39.742879996824286</v>
      </c>
      <c r="P53" s="568">
        <f ca="1">SUM(P48:P52)</f>
        <v>-2239.0707160164065</v>
      </c>
      <c r="Q53" s="568">
        <f t="shared" ca="1" si="14"/>
        <v>-2354.8846299970373</v>
      </c>
      <c r="R53" s="568">
        <f t="shared" ca="1" si="14"/>
        <v>-2479.5889211210329</v>
      </c>
      <c r="S53" s="568">
        <f t="shared" ca="1" si="14"/>
        <v>-2610.6297802962472</v>
      </c>
      <c r="T53" s="568">
        <f t="shared" ca="1" si="14"/>
        <v>-2743.9139862971861</v>
      </c>
      <c r="U53" s="568">
        <f t="shared" ca="1" si="14"/>
        <v>-12428.088033727909</v>
      </c>
      <c r="Y53"/>
      <c r="Z53"/>
      <c r="AA53"/>
    </row>
    <row r="54" spans="1:27" s="532" customFormat="1" ht="15.75" thickBot="1">
      <c r="A54" s="538"/>
      <c r="B54" s="538"/>
      <c r="C54" s="573" t="s">
        <v>75</v>
      </c>
      <c r="D54" s="574">
        <f t="shared" ref="D54:U54" si="15">D19+D30+D36+D46+D53</f>
        <v>0</v>
      </c>
      <c r="E54" s="574">
        <f t="shared" si="15"/>
        <v>0</v>
      </c>
      <c r="F54" s="574">
        <f t="shared" si="15"/>
        <v>0</v>
      </c>
      <c r="G54" s="574">
        <f t="shared" si="15"/>
        <v>0</v>
      </c>
      <c r="H54" s="574">
        <f t="shared" si="15"/>
        <v>0</v>
      </c>
      <c r="I54" s="574">
        <f t="shared" si="15"/>
        <v>0</v>
      </c>
      <c r="J54" s="574">
        <f t="shared" si="15"/>
        <v>0</v>
      </c>
      <c r="K54" s="574">
        <f t="shared" si="15"/>
        <v>0</v>
      </c>
      <c r="L54" s="574">
        <f t="shared" ca="1" si="15"/>
        <v>0</v>
      </c>
      <c r="M54" s="574">
        <f t="shared" ca="1" si="15"/>
        <v>0</v>
      </c>
      <c r="N54" s="574">
        <f t="shared" ca="1" si="15"/>
        <v>248380.80131231088</v>
      </c>
      <c r="O54" s="574">
        <f t="shared" ca="1" si="15"/>
        <v>248280.80131231088</v>
      </c>
      <c r="P54" s="574">
        <f ca="1">P19+P30+P36+P46+P53</f>
        <v>269772.42044829897</v>
      </c>
      <c r="Q54" s="574">
        <f t="shared" ca="1" si="15"/>
        <v>281063.96829062782</v>
      </c>
      <c r="R54" s="574">
        <f t="shared" ca="1" si="15"/>
        <v>284836.38635913684</v>
      </c>
      <c r="S54" s="574">
        <f t="shared" ca="1" si="15"/>
        <v>290795.84982335835</v>
      </c>
      <c r="T54" s="574">
        <f t="shared" ca="1" si="15"/>
        <v>295491.36471267074</v>
      </c>
      <c r="U54" s="574">
        <f t="shared" ca="1" si="15"/>
        <v>1421959.9896340927</v>
      </c>
      <c r="V54" s="623"/>
      <c r="Y54"/>
      <c r="Z54"/>
      <c r="AA54"/>
    </row>
    <row r="55" spans="1:27" s="532" customFormat="1" ht="15" customHeight="1">
      <c r="A55" s="538"/>
      <c r="B55" s="538"/>
      <c r="C55" s="326" t="s">
        <v>288</v>
      </c>
      <c r="D55" s="317"/>
      <c r="E55" s="317"/>
      <c r="F55" s="575"/>
      <c r="G55" s="575"/>
      <c r="H55" s="575"/>
      <c r="I55" s="575"/>
      <c r="J55" s="575"/>
      <c r="K55" s="575"/>
      <c r="L55" s="575"/>
      <c r="M55" s="575"/>
      <c r="N55" s="575"/>
      <c r="O55" s="575"/>
      <c r="P55" s="575"/>
      <c r="Q55" s="576"/>
      <c r="R55" s="577"/>
      <c r="S55" s="577"/>
      <c r="T55" s="578"/>
      <c r="U55" s="579"/>
      <c r="V55" s="624"/>
      <c r="Y55"/>
      <c r="Z55"/>
      <c r="AA55"/>
    </row>
    <row r="56" spans="1:27" s="532" customFormat="1" ht="15" customHeight="1">
      <c r="A56" s="538"/>
      <c r="B56" s="538"/>
      <c r="C56" s="319" t="s">
        <v>501</v>
      </c>
      <c r="D56" s="572">
        <f>+D19+D30+D36-D35-'E1'!E226*1000</f>
        <v>0</v>
      </c>
      <c r="E56" s="572">
        <f>+E19+E30+E36-E35-'E1'!F226*1000</f>
        <v>0</v>
      </c>
      <c r="F56" s="572">
        <f>+F19+F30+F36-F35-'E1'!G226*1000</f>
        <v>0</v>
      </c>
      <c r="G56" s="572">
        <f>+G19+G30+G36-G35-'E1'!H226*1000</f>
        <v>0</v>
      </c>
      <c r="H56" s="572">
        <f>+H19+H30+H36-H35-'E1'!I226*1000</f>
        <v>0</v>
      </c>
      <c r="I56" s="580"/>
      <c r="J56" s="572">
        <f>+J19+J30+J36-J35-'E1'!J226*1000</f>
        <v>0</v>
      </c>
      <c r="K56" s="572">
        <f>+K19+K30+K36-K35-'E1'!K226*1000</f>
        <v>0</v>
      </c>
      <c r="L56" s="572">
        <f ca="1">+L19+L30+L36-L35-'E1'!L226*1000</f>
        <v>0</v>
      </c>
      <c r="M56" s="572">
        <f ca="1">+M19+M30+M36-M35-'E1'!M226*1000</f>
        <v>0</v>
      </c>
      <c r="N56" s="572">
        <f ca="1">+N19+N30+N36-N35-'E1'!N226*1000</f>
        <v>0</v>
      </c>
      <c r="O56" s="580"/>
      <c r="P56" s="572">
        <f ca="1">+P19+P30+P36-P35+P50-'E1'!O226*1000</f>
        <v>0</v>
      </c>
      <c r="Q56" s="572">
        <f ca="1">+Q19+Q30+Q36-Q35+Q50-'E1'!P226*1000</f>
        <v>0</v>
      </c>
      <c r="R56" s="572">
        <f ca="1">+R19+R30+R36-R35+R50-'E1'!Q226*1000</f>
        <v>0</v>
      </c>
      <c r="S56" s="572">
        <f ca="1">+S19+S30+S36-S35+S50-'E1'!R226*1000</f>
        <v>0</v>
      </c>
      <c r="T56" s="572">
        <f ca="1">+T19+T30+T36-T35+T50-'E1'!S226*1000</f>
        <v>0</v>
      </c>
      <c r="U56" s="581"/>
      <c r="Y56"/>
      <c r="Z56"/>
      <c r="AA56"/>
    </row>
    <row r="57" spans="1:27" s="532" customFormat="1" ht="15" customHeight="1">
      <c r="A57" s="538"/>
      <c r="B57" s="538"/>
      <c r="C57" s="319" t="s">
        <v>508</v>
      </c>
      <c r="D57" s="572">
        <f>+D53+D46+D35-'E1'!E607*1000</f>
        <v>0</v>
      </c>
      <c r="E57" s="572">
        <f>+E53+E46+E35-'E1'!F607*1000</f>
        <v>0</v>
      </c>
      <c r="F57" s="572">
        <f>+F53+F46+F35-'E1'!G607*1000</f>
        <v>0</v>
      </c>
      <c r="G57" s="572">
        <f>+G53+G46+G35-'E1'!H607*1000</f>
        <v>0</v>
      </c>
      <c r="H57" s="572">
        <f>+H53+H46+H35-'E1'!I607*1000</f>
        <v>0</v>
      </c>
      <c r="I57" s="580"/>
      <c r="J57" s="572">
        <f>+J53+J46+J35-'E1'!J607*1000</f>
        <v>0</v>
      </c>
      <c r="K57" s="572">
        <f>+K53+K46+K35-'E1'!K607*1000</f>
        <v>0</v>
      </c>
      <c r="L57" s="572">
        <f ca="1">+L53+L46+L35-'E1'!L607*1000</f>
        <v>0</v>
      </c>
      <c r="M57" s="572">
        <f ca="1">+M53+M46+M35-'E1'!M607*1000</f>
        <v>0</v>
      </c>
      <c r="N57" s="572">
        <f ca="1">+N53+N46+N35-'E1'!N607*1000</f>
        <v>0</v>
      </c>
      <c r="O57" s="580"/>
      <c r="P57" s="572">
        <f ca="1">+P53+P46+P35-P50-'E1'!O607*1000</f>
        <v>0</v>
      </c>
      <c r="Q57" s="572">
        <f ca="1">+Q53+Q46+Q35-Q50-'E1'!P607*1000</f>
        <v>0</v>
      </c>
      <c r="R57" s="572">
        <f ca="1">+R53+R46+R35-R50-'E1'!Q607*1000</f>
        <v>0</v>
      </c>
      <c r="S57" s="572">
        <f ca="1">+S53+S46+S35-S50-'E1'!R607*1000</f>
        <v>0</v>
      </c>
      <c r="T57" s="572">
        <f ca="1">+T53+T46+T35-T50-'E1'!S607*1000</f>
        <v>0</v>
      </c>
      <c r="U57" s="581"/>
    </row>
    <row r="58" spans="1:27" s="532" customFormat="1" ht="15" customHeight="1">
      <c r="A58" s="538"/>
      <c r="B58" s="538"/>
      <c r="C58" s="319" t="s">
        <v>497</v>
      </c>
      <c r="D58" s="572">
        <f>+D54-'E1'!E609*1000</f>
        <v>0</v>
      </c>
      <c r="E58" s="572">
        <f>+E54-'E1'!F609*1000</f>
        <v>0</v>
      </c>
      <c r="F58" s="572">
        <f>+F54-'E1'!G609*1000</f>
        <v>0</v>
      </c>
      <c r="G58" s="572">
        <f>+G54-'E1'!H609*1000</f>
        <v>0</v>
      </c>
      <c r="H58" s="572">
        <f>+H54-'E1'!I609*1000</f>
        <v>0</v>
      </c>
      <c r="I58" s="580"/>
      <c r="J58" s="572">
        <f>+J54-'E1'!J609*1000</f>
        <v>0</v>
      </c>
      <c r="K58" s="572">
        <f>+K54-'E1'!K609*1000</f>
        <v>0</v>
      </c>
      <c r="L58" s="572">
        <f ca="1">+L54-'E1'!L609*1000</f>
        <v>0</v>
      </c>
      <c r="M58" s="572">
        <f ca="1">+M54-'E1'!M609*1000</f>
        <v>0</v>
      </c>
      <c r="N58" s="572">
        <f ca="1">+N54-'E1'!N609*1000</f>
        <v>0</v>
      </c>
      <c r="O58" s="580"/>
      <c r="P58" s="572">
        <f ca="1">+P54-'E1'!O609*1000</f>
        <v>0</v>
      </c>
      <c r="Q58" s="572">
        <f ca="1">+Q54-'E1'!P609*1000</f>
        <v>0</v>
      </c>
      <c r="R58" s="572">
        <f ca="1">+R54-'E1'!Q609*1000</f>
        <v>0</v>
      </c>
      <c r="S58" s="572">
        <f ca="1">+S54-'E1'!R609*1000</f>
        <v>0</v>
      </c>
      <c r="T58" s="572">
        <f ca="1">+T54-'E1'!S609*1000</f>
        <v>0</v>
      </c>
      <c r="U58" s="581"/>
    </row>
    <row r="59" spans="1:27" s="532" customFormat="1" ht="9.75" customHeight="1" thickBot="1">
      <c r="A59" s="538"/>
      <c r="B59" s="538"/>
      <c r="C59" s="582"/>
      <c r="D59" s="583"/>
      <c r="E59" s="584"/>
      <c r="F59" s="584"/>
      <c r="G59" s="584"/>
      <c r="H59" s="584"/>
      <c r="I59" s="584"/>
      <c r="J59" s="584"/>
      <c r="K59" s="584"/>
      <c r="L59" s="584"/>
      <c r="M59" s="584"/>
      <c r="N59" s="584"/>
      <c r="O59" s="584"/>
      <c r="P59" s="584"/>
      <c r="Q59" s="585"/>
      <c r="R59" s="586"/>
      <c r="S59" s="586"/>
      <c r="T59" s="587"/>
      <c r="U59" s="588"/>
    </row>
    <row r="60" spans="1:27" s="532" customFormat="1" ht="15" customHeight="1">
      <c r="A60" s="538"/>
      <c r="B60" s="538"/>
      <c r="C60" s="551"/>
      <c r="D60" s="552"/>
      <c r="E60" s="552"/>
      <c r="F60" s="552"/>
      <c r="G60" s="552"/>
      <c r="H60" s="552"/>
      <c r="I60" s="552"/>
      <c r="J60" s="552"/>
      <c r="K60" s="552"/>
      <c r="L60" s="552"/>
      <c r="M60" s="552"/>
      <c r="N60" s="552"/>
      <c r="O60" s="552"/>
      <c r="P60" s="552"/>
      <c r="Q60" s="535"/>
      <c r="R60" s="536"/>
      <c r="S60" s="536"/>
    </row>
    <row r="61" spans="1:27" s="532" customFormat="1" ht="15" customHeight="1">
      <c r="A61" s="538"/>
      <c r="B61" s="538"/>
      <c r="C61" s="551"/>
      <c r="D61" s="552"/>
      <c r="E61" s="552"/>
      <c r="F61" s="552"/>
      <c r="G61" s="552"/>
      <c r="H61" s="552"/>
      <c r="I61" s="552"/>
      <c r="J61" s="552"/>
      <c r="K61" s="552"/>
      <c r="L61" s="552"/>
      <c r="M61" s="552"/>
      <c r="N61" s="552"/>
      <c r="O61" s="552"/>
      <c r="P61" s="552"/>
      <c r="Q61" s="535"/>
      <c r="R61" s="536"/>
      <c r="S61" s="536"/>
    </row>
    <row r="62" spans="1:27" ht="15">
      <c r="A62" s="553"/>
      <c r="B62" s="553"/>
      <c r="C62" s="550" t="s">
        <v>491</v>
      </c>
      <c r="D62" s="565" t="s">
        <v>494</v>
      </c>
      <c r="E62" s="565"/>
      <c r="F62" s="565"/>
      <c r="G62" s="565"/>
      <c r="H62" s="565"/>
      <c r="I62" s="565"/>
      <c r="J62" s="565"/>
      <c r="K62" s="565"/>
      <c r="L62" s="565"/>
      <c r="M62" s="565"/>
      <c r="N62" s="565"/>
      <c r="O62" s="565"/>
      <c r="P62" s="565"/>
      <c r="Q62" s="565"/>
      <c r="R62" s="565"/>
      <c r="S62" s="565"/>
      <c r="T62" s="565"/>
      <c r="U62" s="565"/>
    </row>
    <row r="63" spans="1:27" ht="15">
      <c r="C63" s="553"/>
      <c r="D63" s="547"/>
      <c r="E63" s="554"/>
      <c r="F63" s="554"/>
      <c r="G63" s="554"/>
      <c r="H63" s="554"/>
      <c r="I63" s="554"/>
      <c r="J63" s="554"/>
      <c r="K63" s="555"/>
      <c r="L63" s="555"/>
      <c r="M63" s="555"/>
      <c r="N63" s="555"/>
      <c r="O63" s="555"/>
      <c r="P63" s="556"/>
      <c r="Q63" s="557"/>
      <c r="R63" s="557"/>
      <c r="S63" s="557"/>
      <c r="T63" s="557"/>
      <c r="U63" s="557"/>
      <c r="V63" s="557"/>
    </row>
    <row r="64" spans="1:27" ht="15" customHeight="1">
      <c r="C64" s="894" t="s">
        <v>492</v>
      </c>
      <c r="D64" s="885" t="s">
        <v>457</v>
      </c>
      <c r="E64" s="885"/>
      <c r="F64" s="885"/>
      <c r="G64" s="885"/>
      <c r="H64" s="885"/>
      <c r="I64" s="886"/>
      <c r="J64" s="885" t="s">
        <v>458</v>
      </c>
      <c r="K64" s="885"/>
      <c r="L64" s="885"/>
      <c r="M64" s="885"/>
      <c r="N64" s="885"/>
      <c r="O64" s="886"/>
      <c r="P64" s="885" t="s">
        <v>459</v>
      </c>
      <c r="Q64" s="885"/>
      <c r="R64" s="885"/>
      <c r="S64" s="885"/>
      <c r="T64" s="885"/>
      <c r="U64" s="886"/>
    </row>
    <row r="65" spans="1:21" ht="15" customHeight="1">
      <c r="C65" s="895"/>
      <c r="D65" s="887" t="s">
        <v>460</v>
      </c>
      <c r="E65" s="888"/>
      <c r="F65" s="888"/>
      <c r="G65" s="888"/>
      <c r="H65" s="888"/>
      <c r="I65" s="889" t="s">
        <v>75</v>
      </c>
      <c r="J65" s="887" t="s">
        <v>460</v>
      </c>
      <c r="K65" s="887"/>
      <c r="L65" s="887"/>
      <c r="M65" s="892" t="s">
        <v>461</v>
      </c>
      <c r="N65" s="893"/>
      <c r="O65" s="889" t="s">
        <v>75</v>
      </c>
      <c r="P65" s="887" t="s">
        <v>462</v>
      </c>
      <c r="Q65" s="887"/>
      <c r="R65" s="887"/>
      <c r="S65" s="887"/>
      <c r="T65" s="887"/>
      <c r="U65" s="889" t="s">
        <v>75</v>
      </c>
    </row>
    <row r="66" spans="1:21" ht="15" customHeight="1">
      <c r="C66" s="896"/>
      <c r="D66" s="563" t="str">
        <f>+'Ref-1'!G$39</f>
        <v>2005/06</v>
      </c>
      <c r="E66" s="563" t="str">
        <f>+'Ref-1'!H$39</f>
        <v>2006/07</v>
      </c>
      <c r="F66" s="563" t="str">
        <f>+'Ref-1'!I$39</f>
        <v>2007/08</v>
      </c>
      <c r="G66" s="563" t="str">
        <f>+'Ref-1'!J$39</f>
        <v>2008/09</v>
      </c>
      <c r="H66" s="563" t="str">
        <f>+'Ref-1'!K$39</f>
        <v>2009/10</v>
      </c>
      <c r="I66" s="890"/>
      <c r="J66" s="563" t="str">
        <f>+'Ref-1'!L$39</f>
        <v>2010/11</v>
      </c>
      <c r="K66" s="563" t="str">
        <f>+'Ref-1'!M$39</f>
        <v>2011/12</v>
      </c>
      <c r="L66" s="563" t="str">
        <f>+'Ref-1'!N$39</f>
        <v>2012/13</v>
      </c>
      <c r="M66" s="563" t="str">
        <f>+'Ref-1'!O$39</f>
        <v>2013/14</v>
      </c>
      <c r="N66" s="563" t="str">
        <f>+'Ref-1'!P$39</f>
        <v>2014/15</v>
      </c>
      <c r="O66" s="890"/>
      <c r="P66" s="563" t="str">
        <f>+'Ref-1'!Q$39</f>
        <v>2015/16</v>
      </c>
      <c r="Q66" s="563" t="str">
        <f>+'Ref-1'!R$39</f>
        <v>2016/17</v>
      </c>
      <c r="R66" s="563" t="str">
        <f>+'Ref-1'!S$39</f>
        <v>2017/18</v>
      </c>
      <c r="S66" s="563" t="str">
        <f>+'Ref-1'!T$39</f>
        <v>2018/19</v>
      </c>
      <c r="T66" s="563" t="str">
        <f>+'Ref-1'!U$39</f>
        <v>2019/20</v>
      </c>
      <c r="U66" s="891"/>
    </row>
    <row r="67" spans="1:21" ht="15" customHeight="1">
      <c r="C67" s="563" t="s">
        <v>68</v>
      </c>
      <c r="D67" s="566">
        <f ca="1">+'E1'!E616*1000</f>
        <v>0</v>
      </c>
      <c r="E67" s="566">
        <f ca="1">+'E1'!F616*1000</f>
        <v>0</v>
      </c>
      <c r="F67" s="566">
        <f ca="1">+'E1'!G616*1000</f>
        <v>0</v>
      </c>
      <c r="G67" s="566">
        <f ca="1">+'E1'!H616*1000</f>
        <v>0</v>
      </c>
      <c r="H67" s="566">
        <f ca="1">+'E1'!I616*1000</f>
        <v>0</v>
      </c>
      <c r="I67" s="567">
        <f ca="1">SUM(D67:H67)</f>
        <v>0</v>
      </c>
      <c r="J67" s="566">
        <f ca="1">+'E1'!J616*1000</f>
        <v>0</v>
      </c>
      <c r="K67" s="566">
        <f ca="1">+'E1'!K616*1000</f>
        <v>0</v>
      </c>
      <c r="L67" s="566">
        <f ca="1">+'E1'!L616*1000</f>
        <v>0</v>
      </c>
      <c r="M67" s="566">
        <f ca="1">+'E1'!M616*1000</f>
        <v>0</v>
      </c>
      <c r="N67" s="566">
        <f ca="1">+'E1'!N616*1000</f>
        <v>107852.39225600107</v>
      </c>
      <c r="O67" s="567">
        <f ca="1">SUM(J67:N67)</f>
        <v>107852.39225600107</v>
      </c>
      <c r="P67" s="566">
        <f ca="1">+'E1'!O616*1000</f>
        <v>113734.20884672414</v>
      </c>
      <c r="Q67" s="566">
        <f ca="1">+'E1'!P616*1000</f>
        <v>119392.70701568379</v>
      </c>
      <c r="R67" s="566">
        <f ca="1">+'E1'!Q616*1000</f>
        <v>125396.25880290188</v>
      </c>
      <c r="S67" s="566">
        <f ca="1">+'E1'!R616*1000</f>
        <v>129167.95337714348</v>
      </c>
      <c r="T67" s="566">
        <f ca="1">+'E1'!S616*1000</f>
        <v>133308.58096706393</v>
      </c>
      <c r="U67" s="567">
        <f ca="1">SUM(P67:T67)</f>
        <v>620999.70900951722</v>
      </c>
    </row>
    <row r="68" spans="1:21" ht="15" customHeight="1">
      <c r="C68" s="563" t="s">
        <v>69</v>
      </c>
      <c r="D68" s="566">
        <f ca="1">+'E1'!E617*1000</f>
        <v>0</v>
      </c>
      <c r="E68" s="566">
        <f ca="1">+'E1'!F617*1000</f>
        <v>0</v>
      </c>
      <c r="F68" s="566">
        <f ca="1">+'E1'!G617*1000</f>
        <v>0</v>
      </c>
      <c r="G68" s="566">
        <f ca="1">+'E1'!H617*1000</f>
        <v>0</v>
      </c>
      <c r="H68" s="566">
        <f ca="1">+'E1'!I617*1000</f>
        <v>0</v>
      </c>
      <c r="I68" s="567">
        <f ca="1">SUM(D68:H68)</f>
        <v>0</v>
      </c>
      <c r="J68" s="566">
        <f ca="1">+'E1'!J617*1000</f>
        <v>0</v>
      </c>
      <c r="K68" s="566">
        <f ca="1">+'E1'!K617*1000</f>
        <v>0</v>
      </c>
      <c r="L68" s="566">
        <f ca="1">+'E1'!L617*1000</f>
        <v>0</v>
      </c>
      <c r="M68" s="566">
        <f ca="1">+'E1'!M617*1000</f>
        <v>0</v>
      </c>
      <c r="N68" s="566">
        <f ca="1">+'E1'!N617*1000</f>
        <v>1491.2061862675832</v>
      </c>
      <c r="O68" s="567">
        <f ca="1">SUM(J68:N68)</f>
        <v>1491.2061862675832</v>
      </c>
      <c r="P68" s="566">
        <f ca="1">+'E1'!O617*1000</f>
        <v>1632.1092447695248</v>
      </c>
      <c r="Q68" s="566">
        <f ca="1">+'E1'!P617*1000</f>
        <v>1847.3131169570711</v>
      </c>
      <c r="R68" s="566">
        <f ca="1">+'E1'!Q617*1000</f>
        <v>1878.3441582483908</v>
      </c>
      <c r="S68" s="566">
        <f ca="1">+'E1'!R617*1000</f>
        <v>1923.0105695539387</v>
      </c>
      <c r="T68" s="566">
        <f ca="1">+'E1'!S617*1000</f>
        <v>1933.2770701272425</v>
      </c>
      <c r="U68" s="567">
        <f ca="1">SUM(P68:T68)</f>
        <v>9214.0541596561688</v>
      </c>
    </row>
    <row r="69" spans="1:21" s="759" customFormat="1" ht="15" customHeight="1">
      <c r="C69" s="563" t="s">
        <v>646</v>
      </c>
      <c r="D69" s="566">
        <f ca="1">+'E1'!E618*1000</f>
        <v>0</v>
      </c>
      <c r="E69" s="566">
        <f ca="1">+'E1'!F618*1000</f>
        <v>0</v>
      </c>
      <c r="F69" s="566">
        <f ca="1">+'E1'!G618*1000</f>
        <v>0</v>
      </c>
      <c r="G69" s="566">
        <f ca="1">+'E1'!H618*1000</f>
        <v>0</v>
      </c>
      <c r="H69" s="566">
        <f ca="1">+'E1'!I618*1000</f>
        <v>0</v>
      </c>
      <c r="I69" s="567">
        <f t="shared" ref="I69:I71" ca="1" si="16">SUM(D69:H69)</f>
        <v>0</v>
      </c>
      <c r="J69" s="566">
        <f ca="1">+'E1'!J618*1000</f>
        <v>0</v>
      </c>
      <c r="K69" s="566">
        <f ca="1">+'E1'!K618*1000</f>
        <v>0</v>
      </c>
      <c r="L69" s="566">
        <f ca="1">+'E1'!L618*1000</f>
        <v>0</v>
      </c>
      <c r="M69" s="566">
        <f ca="1">+'E1'!M618*1000</f>
        <v>0</v>
      </c>
      <c r="N69" s="566">
        <f ca="1">+'E1'!N618*1000</f>
        <v>61422.950980481088</v>
      </c>
      <c r="O69" s="567">
        <f t="shared" ref="O69:O71" ca="1" si="17">SUM(J69:N69)</f>
        <v>61422.950980481088</v>
      </c>
      <c r="P69" s="566">
        <f ca="1">+'E1'!O618*1000</f>
        <v>71937.180394112933</v>
      </c>
      <c r="Q69" s="566">
        <f ca="1">+'E1'!P618*1000</f>
        <v>71107.489920203938</v>
      </c>
      <c r="R69" s="566">
        <f ca="1">+'E1'!Q618*1000</f>
        <v>72238.543162071321</v>
      </c>
      <c r="S69" s="566">
        <f ca="1">+'E1'!R618*1000</f>
        <v>73386.630211090087</v>
      </c>
      <c r="T69" s="566">
        <f ca="1">+'E1'!S618*1000</f>
        <v>72624.969718141219</v>
      </c>
      <c r="U69" s="567">
        <f t="shared" ref="U69:U71" ca="1" si="18">SUM(P69:T69)</f>
        <v>361294.81340561947</v>
      </c>
    </row>
    <row r="70" spans="1:21" ht="15" customHeight="1">
      <c r="C70" s="563" t="s">
        <v>647</v>
      </c>
      <c r="D70" s="566">
        <f ca="1">+'E1'!E619*1000</f>
        <v>0</v>
      </c>
      <c r="E70" s="566">
        <f ca="1">+'E1'!F619*1000</f>
        <v>0</v>
      </c>
      <c r="F70" s="566">
        <f ca="1">+'E1'!G619*1000</f>
        <v>0</v>
      </c>
      <c r="G70" s="566">
        <f ca="1">+'E1'!H619*1000</f>
        <v>0</v>
      </c>
      <c r="H70" s="566">
        <f ca="1">+'E1'!I619*1000</f>
        <v>0</v>
      </c>
      <c r="I70" s="567">
        <f t="shared" ca="1" si="16"/>
        <v>0</v>
      </c>
      <c r="J70" s="566">
        <f ca="1">+'E1'!J619*1000</f>
        <v>0</v>
      </c>
      <c r="K70" s="566">
        <f ca="1">+'E1'!K619*1000</f>
        <v>0</v>
      </c>
      <c r="L70" s="566">
        <f ca="1">+'E1'!L619*1000</f>
        <v>0</v>
      </c>
      <c r="M70" s="566">
        <f ca="1">+'E1'!M619*1000</f>
        <v>0</v>
      </c>
      <c r="N70" s="566">
        <f ca="1">+'E1'!N619*1000</f>
        <v>48750.262504882805</v>
      </c>
      <c r="O70" s="567">
        <f t="shared" ca="1" si="17"/>
        <v>48750.262504882805</v>
      </c>
      <c r="P70" s="566">
        <f ca="1">+'E1'!O619*1000</f>
        <v>55333.567047572818</v>
      </c>
      <c r="Q70" s="566">
        <f ca="1">+'E1'!P619*1000</f>
        <v>61241.992472570368</v>
      </c>
      <c r="R70" s="566">
        <f ca="1">+'E1'!Q619*1000</f>
        <v>57505.397391997802</v>
      </c>
      <c r="S70" s="566">
        <f ca="1">+'E1'!R619*1000</f>
        <v>58131.275129678259</v>
      </c>
      <c r="T70" s="566">
        <f ca="1">+'E1'!S619*1000</f>
        <v>59088.835422700737</v>
      </c>
      <c r="U70" s="567">
        <f t="shared" ca="1" si="18"/>
        <v>291301.06746451999</v>
      </c>
    </row>
    <row r="71" spans="1:21" s="759" customFormat="1" ht="15" customHeight="1">
      <c r="C71" s="563" t="s">
        <v>575</v>
      </c>
      <c r="D71" s="566">
        <f ca="1">+'E1'!E620*1000</f>
        <v>0</v>
      </c>
      <c r="E71" s="566">
        <f ca="1">+'E1'!F620*1000</f>
        <v>0</v>
      </c>
      <c r="F71" s="566">
        <f ca="1">+'E1'!G620*1000</f>
        <v>0</v>
      </c>
      <c r="G71" s="566">
        <f ca="1">+'E1'!H620*1000</f>
        <v>0</v>
      </c>
      <c r="H71" s="566">
        <f ca="1">+'E1'!I620*1000</f>
        <v>0</v>
      </c>
      <c r="I71" s="567">
        <f t="shared" ca="1" si="16"/>
        <v>0</v>
      </c>
      <c r="J71" s="566">
        <f ca="1">+'E1'!J620*1000</f>
        <v>0</v>
      </c>
      <c r="K71" s="566">
        <f ca="1">+'E1'!K620*1000</f>
        <v>0</v>
      </c>
      <c r="L71" s="566">
        <f ca="1">+'E1'!L620*1000</f>
        <v>0</v>
      </c>
      <c r="M71" s="566">
        <f ca="1">+'E1'!M620*1000</f>
        <v>0</v>
      </c>
      <c r="N71" s="566">
        <f ca="1">+'E1'!N620*1000</f>
        <v>3359.6250000000014</v>
      </c>
      <c r="O71" s="567">
        <f t="shared" ca="1" si="17"/>
        <v>3359.6250000000014</v>
      </c>
      <c r="P71" s="566">
        <f ca="1">+'E1'!O620*1000</f>
        <v>3468.1260793032961</v>
      </c>
      <c r="Q71" s="566">
        <f ca="1">+'E1'!P620*1000</f>
        <v>3577.0062684621003</v>
      </c>
      <c r="R71" s="566">
        <f ca="1">+'E1'!Q620*1000</f>
        <v>3692.8028953674852</v>
      </c>
      <c r="S71" s="566">
        <f ca="1">+'E1'!R620*1000</f>
        <v>3815.0340753811251</v>
      </c>
      <c r="T71" s="566">
        <f ca="1">+'E1'!S620*1000</f>
        <v>3937.5868613133694</v>
      </c>
      <c r="U71" s="567">
        <f t="shared" ca="1" si="18"/>
        <v>18490.556179827377</v>
      </c>
    </row>
    <row r="72" spans="1:21" ht="15">
      <c r="C72" s="563" t="s">
        <v>70</v>
      </c>
      <c r="D72" s="566">
        <f ca="1">+'E1'!E621*1000</f>
        <v>0</v>
      </c>
      <c r="E72" s="566">
        <f ca="1">+'E1'!F621*1000</f>
        <v>0</v>
      </c>
      <c r="F72" s="566">
        <f ca="1">+'E1'!G621*1000</f>
        <v>0</v>
      </c>
      <c r="G72" s="566">
        <f ca="1">+'E1'!H621*1000</f>
        <v>0</v>
      </c>
      <c r="H72" s="566">
        <f ca="1">+'E1'!I621*1000</f>
        <v>0</v>
      </c>
      <c r="I72" s="567">
        <f ca="1">SUM(D72:H72)</f>
        <v>0</v>
      </c>
      <c r="J72" s="566">
        <f ca="1">+'E1'!J621*1000</f>
        <v>0</v>
      </c>
      <c r="K72" s="566">
        <f ca="1">+'E1'!K621*1000</f>
        <v>0</v>
      </c>
      <c r="L72" s="566">
        <f ca="1">+'E1'!L621*1000</f>
        <v>0</v>
      </c>
      <c r="M72" s="566">
        <f ca="1">+'E1'!M621*1000</f>
        <v>0</v>
      </c>
      <c r="N72" s="566">
        <f ca="1">+'E1'!N621*1000</f>
        <v>25504.364384678258</v>
      </c>
      <c r="O72" s="567">
        <f ca="1">SUM(J72:N72)</f>
        <v>25504.364384678258</v>
      </c>
      <c r="P72" s="566">
        <f ca="1">+'E1'!O621*1000</f>
        <v>23667.228835816291</v>
      </c>
      <c r="Q72" s="566">
        <f ca="1">+'E1'!P621*1000</f>
        <v>23897.459496750584</v>
      </c>
      <c r="R72" s="566">
        <f ca="1">+'E1'!Q621*1000</f>
        <v>24125.039948550064</v>
      </c>
      <c r="S72" s="566">
        <f ca="1">+'E1'!R621*1000</f>
        <v>24371.946460511419</v>
      </c>
      <c r="T72" s="566">
        <f ca="1">+'E1'!S621*1000</f>
        <v>24598.114673324268</v>
      </c>
      <c r="U72" s="567">
        <f ca="1">SUM(P72:T72)</f>
        <v>120659.78941495263</v>
      </c>
    </row>
    <row r="73" spans="1:21" ht="15.75" thickBot="1">
      <c r="C73" s="564" t="s">
        <v>75</v>
      </c>
      <c r="D73" s="567">
        <f ca="1">SUM(D67:D72)</f>
        <v>0</v>
      </c>
      <c r="E73" s="567">
        <f ca="1">SUM(E67:E72)</f>
        <v>0</v>
      </c>
      <c r="F73" s="567">
        <f ca="1">SUM(F67:F72)</f>
        <v>0</v>
      </c>
      <c r="G73" s="567">
        <f ca="1">SUM(G67:G72)</f>
        <v>0</v>
      </c>
      <c r="H73" s="567">
        <f ca="1">SUM(H67:H72)</f>
        <v>0</v>
      </c>
      <c r="I73" s="567">
        <f ca="1">SUM(D73:H73)</f>
        <v>0</v>
      </c>
      <c r="J73" s="567">
        <f ca="1">SUM(J67:J72)</f>
        <v>0</v>
      </c>
      <c r="K73" s="567">
        <f ca="1">SUM(K67:K72)</f>
        <v>0</v>
      </c>
      <c r="L73" s="567">
        <f ca="1">SUM(L67:L72)</f>
        <v>0</v>
      </c>
      <c r="M73" s="567">
        <f ca="1">SUM(M67:M72)</f>
        <v>0</v>
      </c>
      <c r="N73" s="567">
        <f ca="1">SUM(N67:N72)</f>
        <v>248380.8013123108</v>
      </c>
      <c r="O73" s="567">
        <f ca="1">SUM(J73:N73)</f>
        <v>248380.8013123108</v>
      </c>
      <c r="P73" s="567">
        <f ca="1">SUM(P67:P72)</f>
        <v>269772.42044829903</v>
      </c>
      <c r="Q73" s="567">
        <f ca="1">SUM(Q67:Q72)</f>
        <v>281063.96829062782</v>
      </c>
      <c r="R73" s="567">
        <f ca="1">SUM(R67:R72)</f>
        <v>284836.38635913696</v>
      </c>
      <c r="S73" s="567">
        <f ca="1">SUM(S67:S72)</f>
        <v>290795.84982335829</v>
      </c>
      <c r="T73" s="567">
        <f ca="1">SUM(T67:T72)</f>
        <v>295491.36471267079</v>
      </c>
      <c r="U73" s="567">
        <f ca="1">SUM(P73:T73)</f>
        <v>1421959.9896340929</v>
      </c>
    </row>
    <row r="74" spans="1:21" ht="15">
      <c r="A74" s="553"/>
      <c r="B74" s="553"/>
      <c r="C74" s="326" t="s">
        <v>288</v>
      </c>
      <c r="D74" s="317"/>
      <c r="E74" s="317"/>
      <c r="F74" s="575"/>
      <c r="G74" s="575"/>
      <c r="H74" s="575"/>
      <c r="I74" s="575"/>
      <c r="J74" s="575"/>
      <c r="K74" s="575"/>
      <c r="L74" s="575"/>
      <c r="M74" s="575"/>
      <c r="N74" s="575"/>
      <c r="O74" s="575"/>
      <c r="P74" s="575"/>
      <c r="Q74" s="576"/>
      <c r="R74" s="577"/>
      <c r="S74" s="577"/>
      <c r="T74" s="578"/>
      <c r="U74" s="579"/>
    </row>
    <row r="75" spans="1:21" s="532" customFormat="1" ht="15">
      <c r="A75" s="538"/>
      <c r="B75" s="538"/>
      <c r="C75" s="319" t="s">
        <v>497</v>
      </c>
      <c r="D75" s="572">
        <f ca="1">+D73-'E1'!E622*1000</f>
        <v>0</v>
      </c>
      <c r="E75" s="572">
        <f ca="1">+E73-'E1'!F622*1000</f>
        <v>0</v>
      </c>
      <c r="F75" s="572">
        <f ca="1">+F73-'E1'!G622*1000</f>
        <v>0</v>
      </c>
      <c r="G75" s="572">
        <f ca="1">+G73-'E1'!H622*1000</f>
        <v>0</v>
      </c>
      <c r="H75" s="572">
        <f ca="1">+H73-'E1'!I622*1000</f>
        <v>0</v>
      </c>
      <c r="I75" s="580"/>
      <c r="J75" s="572">
        <f ca="1">+J73-'E1'!J622*1000</f>
        <v>0</v>
      </c>
      <c r="K75" s="572">
        <f ca="1">+K73-'E1'!K622*1000</f>
        <v>0</v>
      </c>
      <c r="L75" s="572">
        <f ca="1">+L73-'E1'!L622*1000</f>
        <v>0</v>
      </c>
      <c r="M75" s="572">
        <f ca="1">+M73-'E1'!M622*1000</f>
        <v>0</v>
      </c>
      <c r="N75" s="572">
        <f ca="1">+N73-'E1'!N622*1000</f>
        <v>0</v>
      </c>
      <c r="O75" s="580"/>
      <c r="P75" s="572">
        <f ca="1">+P73-'E1'!O622*1000</f>
        <v>0</v>
      </c>
      <c r="Q75" s="572">
        <f ca="1">+Q73-'E1'!P622*1000</f>
        <v>0</v>
      </c>
      <c r="R75" s="572">
        <f ca="1">+R73-'E1'!Q622*1000</f>
        <v>0</v>
      </c>
      <c r="S75" s="572">
        <f ca="1">+S73-'E1'!R622*1000</f>
        <v>0</v>
      </c>
      <c r="T75" s="572">
        <f ca="1">+T73-'E1'!S622*1000</f>
        <v>0</v>
      </c>
      <c r="U75" s="581"/>
    </row>
    <row r="76" spans="1:21" s="532" customFormat="1" ht="15.75" thickBot="1">
      <c r="A76" s="538"/>
      <c r="B76" s="538"/>
      <c r="C76" s="582"/>
      <c r="D76" s="583"/>
      <c r="E76" s="584"/>
      <c r="F76" s="584"/>
      <c r="G76" s="584"/>
      <c r="H76" s="584"/>
      <c r="I76" s="584"/>
      <c r="J76" s="584"/>
      <c r="K76" s="584"/>
      <c r="L76" s="584"/>
      <c r="M76" s="584"/>
      <c r="N76" s="584"/>
      <c r="O76" s="584"/>
      <c r="P76" s="584"/>
      <c r="Q76" s="585"/>
      <c r="R76" s="586"/>
      <c r="S76" s="586"/>
      <c r="T76" s="587"/>
      <c r="U76" s="588"/>
    </row>
    <row r="77" spans="1:21" s="532" customFormat="1" ht="15">
      <c r="A77" s="538"/>
      <c r="B77" s="538"/>
      <c r="C77" s="558"/>
      <c r="D77" s="554"/>
      <c r="E77" s="554"/>
      <c r="F77" s="554"/>
      <c r="G77" s="554"/>
      <c r="H77" s="554"/>
      <c r="I77" s="554"/>
      <c r="J77" s="555"/>
      <c r="K77" s="555"/>
      <c r="L77" s="555"/>
      <c r="M77" s="555"/>
      <c r="N77" s="555"/>
      <c r="O77" s="556"/>
      <c r="P77" s="557"/>
      <c r="Q77" s="557"/>
      <c r="R77" s="557"/>
      <c r="S77" s="557"/>
      <c r="T77" s="557"/>
      <c r="U77" s="557"/>
    </row>
    <row r="78" spans="1:21" s="532" customFormat="1" ht="15" customHeight="1">
      <c r="A78" s="538"/>
      <c r="B78" s="538"/>
      <c r="C78" s="559"/>
      <c r="D78" s="560"/>
      <c r="E78" s="560"/>
      <c r="F78" s="560"/>
      <c r="G78" s="560"/>
      <c r="H78" s="560"/>
      <c r="I78" s="560"/>
      <c r="J78" s="560"/>
      <c r="K78" s="560"/>
      <c r="L78" s="560"/>
      <c r="M78" s="560"/>
      <c r="N78" s="560"/>
      <c r="O78" s="560"/>
      <c r="P78" s="534"/>
      <c r="Q78" s="535"/>
      <c r="R78" s="536"/>
      <c r="S78" s="536"/>
    </row>
    <row r="79" spans="1:21" s="561" customFormat="1">
      <c r="C79" s="543"/>
      <c r="D79" s="560"/>
      <c r="E79" s="560"/>
      <c r="F79" s="560"/>
      <c r="G79" s="560"/>
      <c r="H79" s="560"/>
      <c r="I79" s="560"/>
      <c r="J79" s="560"/>
      <c r="K79" s="560"/>
      <c r="L79" s="560"/>
      <c r="M79" s="560"/>
      <c r="N79" s="560"/>
      <c r="O79" s="560"/>
      <c r="P79" s="534"/>
      <c r="Q79" s="535"/>
      <c r="R79" s="536"/>
      <c r="S79" s="536"/>
      <c r="T79" s="532"/>
      <c r="U79" s="532"/>
    </row>
    <row r="80" spans="1:21" s="561" customFormat="1"/>
    <row r="81" spans="3:21" s="561" customFormat="1"/>
    <row r="82" spans="3:21" s="561" customFormat="1"/>
    <row r="83" spans="3:21" s="561" customFormat="1"/>
    <row r="84" spans="3:21">
      <c r="C84" s="561"/>
      <c r="D84" s="561"/>
      <c r="E84" s="561"/>
      <c r="F84" s="561"/>
      <c r="G84" s="561"/>
      <c r="H84" s="561"/>
      <c r="I84" s="561"/>
      <c r="J84" s="561"/>
      <c r="K84" s="561"/>
      <c r="L84" s="561"/>
      <c r="M84" s="561"/>
      <c r="N84" s="561"/>
      <c r="O84" s="561"/>
      <c r="P84" s="561"/>
      <c r="Q84" s="561"/>
      <c r="R84" s="561"/>
      <c r="S84" s="561"/>
      <c r="T84" s="561"/>
      <c r="U84" s="561"/>
    </row>
    <row r="85" spans="3:21">
      <c r="C85" s="561"/>
      <c r="D85" s="561"/>
      <c r="E85" s="561"/>
      <c r="F85" s="561"/>
      <c r="G85" s="561"/>
      <c r="H85" s="561"/>
      <c r="I85" s="561"/>
      <c r="J85" s="561"/>
      <c r="K85" s="561"/>
      <c r="L85" s="561"/>
      <c r="M85" s="561"/>
      <c r="N85" s="561"/>
      <c r="O85" s="561"/>
      <c r="P85" s="561"/>
      <c r="Q85" s="561"/>
      <c r="R85" s="561"/>
      <c r="S85" s="561"/>
      <c r="T85" s="561"/>
      <c r="U85" s="561"/>
    </row>
    <row r="86" spans="3:21">
      <c r="C86" s="561"/>
      <c r="D86" s="561"/>
      <c r="E86" s="561"/>
      <c r="F86" s="561"/>
      <c r="G86" s="561"/>
      <c r="H86" s="561"/>
      <c r="I86" s="561"/>
      <c r="J86" s="561"/>
      <c r="K86" s="561"/>
      <c r="L86" s="561"/>
      <c r="M86" s="561"/>
      <c r="N86" s="561"/>
      <c r="O86" s="561"/>
      <c r="P86" s="561"/>
      <c r="Q86" s="561"/>
      <c r="R86" s="561"/>
      <c r="S86" s="561"/>
      <c r="T86" s="561"/>
      <c r="U86" s="561"/>
    </row>
  </sheetData>
  <sheetProtection formatColumns="0" formatRows="0"/>
  <mergeCells count="21">
    <mergeCell ref="P64:U64"/>
    <mergeCell ref="O65:O66"/>
    <mergeCell ref="P65:T65"/>
    <mergeCell ref="J64:O64"/>
    <mergeCell ref="M65:N65"/>
    <mergeCell ref="J65:L65"/>
    <mergeCell ref="U65:U66"/>
    <mergeCell ref="C8:C10"/>
    <mergeCell ref="C64:C66"/>
    <mergeCell ref="D64:I64"/>
    <mergeCell ref="D65:H65"/>
    <mergeCell ref="I65:I66"/>
    <mergeCell ref="P8:U8"/>
    <mergeCell ref="D9:H9"/>
    <mergeCell ref="I9:I10"/>
    <mergeCell ref="J9:L9"/>
    <mergeCell ref="U9:U10"/>
    <mergeCell ref="M9:N9"/>
    <mergeCell ref="D8:I8"/>
    <mergeCell ref="O9:O10"/>
    <mergeCell ref="P9:T9"/>
  </mergeCells>
  <phoneticPr fontId="10" type="noConversion"/>
  <conditionalFormatting sqref="J75:N75 D75:H75 P75:T75 D56:H58 J56:N58 P56:T58">
    <cfRule type="cellIs" dxfId="9" priority="1" stopIfTrue="1" operator="equal">
      <formula>0</formula>
    </cfRule>
    <cfRule type="cellIs" dxfId="8" priority="2" stopIfTrue="1" operator="notEqual">
      <formula>0</formula>
    </cfRule>
  </conditionalFormatting>
  <pageMargins left="0.27559055118110237" right="0.27559055118110237" top="0.31496062992125984" bottom="0.51181102362204722" header="0.23622047244094491" footer="0.23622047244094491"/>
  <pageSetup paperSize="9" scale="43" orientation="landscape" r:id="rId1"/>
  <headerFooter alignWithMargins="0">
    <oddFooter>&amp;L&amp;D&amp;C&amp; Template: &amp;A
&amp;F&amp;R&amp;P of &amp;N</oddFooter>
  </headerFooter>
  <rowBreaks count="1" manualBreakCount="1">
    <brk id="58" max="16383" man="1"/>
  </rowBreaks>
</worksheet>
</file>

<file path=xl/worksheets/sheet96.xml><?xml version="1.0" encoding="utf-8"?>
<worksheet xmlns="http://schemas.openxmlformats.org/spreadsheetml/2006/main" xmlns:r="http://schemas.openxmlformats.org/officeDocument/2006/relationships">
  <sheetPr codeName="Sheet28" enableFormatConditionsCalculation="0">
    <tabColor indexed="58"/>
  </sheetPr>
  <dimension ref="C9:F19"/>
  <sheetViews>
    <sheetView showGridLines="0" workbookViewId="0">
      <selection activeCell="D11" sqref="D11"/>
    </sheetView>
  </sheetViews>
  <sheetFormatPr defaultRowHeight="12.75"/>
  <sheetData>
    <row r="9" spans="3:6" ht="18">
      <c r="C9" s="144" t="s">
        <v>334</v>
      </c>
    </row>
    <row r="10" spans="3:6" ht="16.5">
      <c r="C10" s="176" t="s">
        <v>4</v>
      </c>
      <c r="D10" s="730">
        <v>8</v>
      </c>
    </row>
    <row r="11" spans="3:6" ht="15.75">
      <c r="C11" s="177"/>
    </row>
    <row r="12" spans="3:6">
      <c r="C12" s="882"/>
      <c r="D12" s="882"/>
      <c r="E12" s="882"/>
      <c r="F12" s="882"/>
    </row>
    <row r="13" spans="3:6">
      <c r="C13" s="182"/>
      <c r="D13" s="182"/>
    </row>
    <row r="17" spans="3:3">
      <c r="C17" s="147" t="s">
        <v>22</v>
      </c>
    </row>
    <row r="18" spans="3:3">
      <c r="C18" s="148" t="s">
        <v>335</v>
      </c>
    </row>
    <row r="19" spans="3:3">
      <c r="C19" s="148"/>
    </row>
  </sheetData>
  <sheetProtection formatColumns="0" formatRows="0"/>
  <mergeCells count="1">
    <mergeCell ref="C12:F12"/>
  </mergeCells>
  <phoneticPr fontId="10" type="noConversion"/>
  <pageMargins left="0.75" right="0.75" top="1" bottom="1" header="0.5" footer="0.5"/>
  <pageSetup paperSize="9" orientation="landscape" r:id="rId1"/>
  <headerFooter alignWithMargins="0">
    <oddFooter>&amp;L&amp;8File: &amp;F
&amp;D&amp;C&amp;8Worksheet: &amp;A&amp;R&amp;8Page &amp;P of &amp;N</oddFooter>
  </headerFooter>
</worksheet>
</file>

<file path=xl/worksheets/sheet97.xml><?xml version="1.0" encoding="utf-8"?>
<worksheet xmlns="http://schemas.openxmlformats.org/spreadsheetml/2006/main" xmlns:r="http://schemas.openxmlformats.org/officeDocument/2006/relationships">
  <sheetPr codeName="Sheet7">
    <pageSetUpPr fitToPage="1"/>
  </sheetPr>
  <dimension ref="A1:AD50"/>
  <sheetViews>
    <sheetView showGridLines="0" workbookViewId="0">
      <selection activeCell="J19" sqref="J19"/>
    </sheetView>
  </sheetViews>
  <sheetFormatPr defaultRowHeight="12.75" outlineLevelRow="1"/>
  <cols>
    <col min="1" max="1" width="32.85546875" customWidth="1"/>
  </cols>
  <sheetData>
    <row r="1" spans="1:9" ht="18" outlineLevel="1">
      <c r="A1" s="407" t="s">
        <v>346</v>
      </c>
      <c r="B1" s="144" t="s">
        <v>347</v>
      </c>
      <c r="C1" s="70"/>
      <c r="D1" s="70"/>
      <c r="E1" s="70"/>
      <c r="F1" s="70"/>
      <c r="G1" s="70"/>
      <c r="H1" s="70"/>
      <c r="I1" s="70"/>
    </row>
    <row r="2" spans="1:9" outlineLevel="1">
      <c r="A2" s="70"/>
      <c r="B2" s="70"/>
      <c r="C2" s="70"/>
      <c r="D2" s="70"/>
      <c r="E2" s="70"/>
      <c r="F2" s="70"/>
      <c r="G2" s="70"/>
      <c r="H2" s="70"/>
      <c r="I2" s="70"/>
    </row>
    <row r="3" spans="1:9" outlineLevel="1">
      <c r="A3" s="70"/>
      <c r="B3" s="70"/>
      <c r="C3" s="70"/>
      <c r="D3" s="70"/>
      <c r="E3" s="70"/>
      <c r="F3" s="70"/>
      <c r="G3" s="70"/>
      <c r="H3" s="70"/>
      <c r="I3" s="70"/>
    </row>
    <row r="4" spans="1:9" outlineLevel="1">
      <c r="A4" s="2" t="s">
        <v>159</v>
      </c>
      <c r="B4" s="70"/>
      <c r="C4" s="70"/>
      <c r="D4" s="70"/>
      <c r="E4" s="70"/>
      <c r="F4" s="70"/>
      <c r="G4" s="70"/>
      <c r="H4" s="70"/>
      <c r="I4" s="70"/>
    </row>
    <row r="5" spans="1:9" outlineLevel="1">
      <c r="A5" t="s">
        <v>160</v>
      </c>
      <c r="B5" s="70"/>
      <c r="C5" s="70"/>
      <c r="D5" s="70"/>
      <c r="E5" s="70"/>
      <c r="F5" s="70"/>
      <c r="G5" s="70"/>
      <c r="H5" s="70"/>
      <c r="I5" s="70"/>
    </row>
    <row r="6" spans="1:9" outlineLevel="1">
      <c r="A6" t="s">
        <v>119</v>
      </c>
      <c r="B6" s="70"/>
      <c r="C6" s="70"/>
      <c r="D6" s="70"/>
      <c r="E6" s="70"/>
      <c r="F6" s="70"/>
      <c r="G6" s="70"/>
      <c r="H6" s="70"/>
      <c r="I6" s="70"/>
    </row>
    <row r="7" spans="1:9" outlineLevel="1">
      <c r="A7" t="s">
        <v>120</v>
      </c>
      <c r="B7" s="70"/>
      <c r="C7" s="70"/>
      <c r="D7" s="70"/>
      <c r="E7" s="70"/>
      <c r="F7" s="70"/>
      <c r="G7" s="70"/>
      <c r="H7" s="70"/>
      <c r="I7" s="70"/>
    </row>
    <row r="8" spans="1:9" outlineLevel="1">
      <c r="A8" s="70"/>
      <c r="B8" s="70"/>
      <c r="C8" s="70"/>
      <c r="D8" s="70"/>
      <c r="E8" s="70"/>
      <c r="F8" s="70"/>
      <c r="G8" s="70"/>
      <c r="H8" s="70"/>
      <c r="I8" s="70"/>
    </row>
    <row r="9" spans="1:9" outlineLevel="1">
      <c r="A9" s="70"/>
      <c r="B9" s="70"/>
      <c r="C9" s="70"/>
      <c r="D9" s="70"/>
      <c r="E9" s="70"/>
      <c r="F9" s="70"/>
      <c r="G9" s="70"/>
      <c r="H9" s="70"/>
      <c r="I9" s="70"/>
    </row>
    <row r="10" spans="1:9" outlineLevel="1">
      <c r="A10" s="70"/>
      <c r="B10" s="70"/>
      <c r="C10" s="70"/>
      <c r="D10" s="70"/>
      <c r="E10" s="70"/>
      <c r="F10" s="70"/>
      <c r="G10" s="70"/>
      <c r="H10" s="70"/>
      <c r="I10" s="70"/>
    </row>
    <row r="11" spans="1:9" outlineLevel="1"/>
    <row r="12" spans="1:9" s="816" customFormat="1" outlineLevel="1"/>
    <row r="13" spans="1:9" s="816" customFormat="1" outlineLevel="1"/>
    <row r="14" spans="1:9" outlineLevel="1"/>
    <row r="15" spans="1:9" outlineLevel="1"/>
    <row r="16" spans="1:9" outlineLevel="1"/>
    <row r="17" spans="1:30" outlineLevel="1">
      <c r="M17" s="650" t="s">
        <v>541</v>
      </c>
    </row>
    <row r="18" spans="1:30" ht="5.25" customHeight="1">
      <c r="A18" s="43"/>
      <c r="B18" s="44"/>
      <c r="C18" s="44"/>
      <c r="D18" s="44"/>
      <c r="E18" s="44"/>
      <c r="F18" s="44"/>
      <c r="G18" s="44"/>
      <c r="H18" s="44"/>
      <c r="I18" s="45"/>
      <c r="J18" s="379" t="s">
        <v>328</v>
      </c>
      <c r="P18" s="21"/>
      <c r="Q18" s="21"/>
      <c r="R18" s="21"/>
      <c r="S18" s="21"/>
      <c r="T18" s="21"/>
      <c r="U18" s="21"/>
      <c r="V18" s="21"/>
      <c r="W18" s="21"/>
      <c r="X18" s="21"/>
      <c r="Y18" s="21"/>
      <c r="Z18" s="21"/>
      <c r="AA18" s="21"/>
      <c r="AB18" s="21"/>
      <c r="AC18" s="21"/>
      <c r="AD18" s="21"/>
    </row>
    <row r="19" spans="1:30" outlineLevel="1">
      <c r="A19" s="46" t="s">
        <v>153</v>
      </c>
      <c r="B19" s="133"/>
      <c r="D19" s="48"/>
      <c r="E19" s="49"/>
      <c r="F19" s="42"/>
      <c r="G19" s="42"/>
      <c r="J19" s="377">
        <f>+J1+1</f>
        <v>1</v>
      </c>
      <c r="M19" s="648" t="s">
        <v>301</v>
      </c>
    </row>
    <row r="20" spans="1:30" outlineLevel="1">
      <c r="A20" s="46" t="s">
        <v>117</v>
      </c>
      <c r="B20" s="47"/>
      <c r="D20" s="48"/>
      <c r="E20" s="49"/>
      <c r="F20" s="42"/>
      <c r="G20" s="42"/>
      <c r="H20" s="42"/>
    </row>
    <row r="21" spans="1:30" outlineLevel="1">
      <c r="A21" s="50" t="s">
        <v>259</v>
      </c>
      <c r="C21" s="51"/>
      <c r="D21" s="51"/>
      <c r="E21" s="49"/>
      <c r="F21" s="42"/>
      <c r="G21" s="42"/>
      <c r="H21" s="42"/>
      <c r="I21" s="52"/>
    </row>
    <row r="22" spans="1:30" outlineLevel="1">
      <c r="A22" s="54" t="s">
        <v>111</v>
      </c>
      <c r="B22" s="131"/>
      <c r="D22" s="42"/>
      <c r="E22" s="49"/>
      <c r="F22" s="55"/>
      <c r="G22" s="55"/>
      <c r="H22" s="42"/>
      <c r="I22" s="52"/>
    </row>
    <row r="23" spans="1:30" ht="13.5" outlineLevel="1" thickBot="1">
      <c r="A23" s="220"/>
      <c r="B23" s="221"/>
      <c r="C23" s="221"/>
      <c r="D23" s="221"/>
      <c r="E23" s="221"/>
      <c r="F23" s="221"/>
      <c r="G23" s="221"/>
      <c r="H23" s="221"/>
      <c r="I23" s="222"/>
    </row>
    <row r="24" spans="1:30" outlineLevel="1">
      <c r="A24" s="56"/>
      <c r="B24" s="57"/>
      <c r="C24" s="75" t="str">
        <f>+O39</f>
        <v>2013/14</v>
      </c>
      <c r="D24" s="75" t="str">
        <f t="shared" ref="D24:I24" si="0">+P39</f>
        <v>2014/15</v>
      </c>
      <c r="E24" s="75" t="str">
        <f t="shared" si="0"/>
        <v>2015/16</v>
      </c>
      <c r="F24" s="75" t="str">
        <f t="shared" si="0"/>
        <v>2016/17</v>
      </c>
      <c r="G24" s="75" t="str">
        <f t="shared" si="0"/>
        <v>2017/18</v>
      </c>
      <c r="H24" s="75" t="str">
        <f t="shared" si="0"/>
        <v>2018/19</v>
      </c>
      <c r="I24" s="75" t="str">
        <f t="shared" si="0"/>
        <v>2019/20</v>
      </c>
    </row>
    <row r="25" spans="1:30" outlineLevel="1">
      <c r="A25" s="58" t="s">
        <v>126</v>
      </c>
      <c r="B25" s="136"/>
      <c r="C25" s="136"/>
      <c r="D25" s="136"/>
      <c r="E25" s="136"/>
      <c r="F25" s="136"/>
      <c r="G25" s="136"/>
      <c r="H25" s="136"/>
      <c r="I25" s="136"/>
    </row>
    <row r="26" spans="1:30" ht="14.25" outlineLevel="1">
      <c r="A26" s="61" t="s">
        <v>68</v>
      </c>
      <c r="B26" s="137"/>
      <c r="C26" s="138"/>
      <c r="D26" s="138"/>
      <c r="E26" s="138"/>
      <c r="F26" s="138"/>
      <c r="G26" s="138"/>
      <c r="H26" s="138"/>
      <c r="I26" s="138"/>
      <c r="M26" s="648" t="s">
        <v>650</v>
      </c>
    </row>
    <row r="27" spans="1:30" outlineLevel="1">
      <c r="A27" s="61" t="s">
        <v>69</v>
      </c>
      <c r="B27" s="139"/>
      <c r="C27" s="138"/>
      <c r="D27" s="138"/>
      <c r="E27" s="138"/>
      <c r="F27" s="138"/>
      <c r="G27" s="138"/>
      <c r="H27" s="138"/>
      <c r="I27" s="138"/>
    </row>
    <row r="28" spans="1:30" s="759" customFormat="1" outlineLevel="1">
      <c r="A28" s="61" t="s">
        <v>646</v>
      </c>
      <c r="B28" s="139"/>
      <c r="C28" s="138"/>
      <c r="D28" s="138"/>
      <c r="E28" s="138"/>
      <c r="F28" s="138"/>
      <c r="G28" s="138"/>
      <c r="H28" s="138"/>
      <c r="I28" s="138"/>
    </row>
    <row r="29" spans="1:30" outlineLevel="1">
      <c r="A29" s="61" t="s">
        <v>647</v>
      </c>
      <c r="B29" s="140"/>
      <c r="C29" s="138"/>
      <c r="D29" s="138"/>
      <c r="E29" s="138"/>
      <c r="F29" s="138"/>
      <c r="G29" s="138"/>
      <c r="H29" s="138"/>
      <c r="I29" s="138"/>
    </row>
    <row r="30" spans="1:30" s="759" customFormat="1" outlineLevel="1">
      <c r="A30" s="61" t="s">
        <v>575</v>
      </c>
      <c r="B30" s="140"/>
      <c r="C30" s="138"/>
      <c r="D30" s="138"/>
      <c r="E30" s="138"/>
      <c r="F30" s="138"/>
      <c r="G30" s="138"/>
      <c r="H30" s="138"/>
      <c r="I30" s="138"/>
    </row>
    <row r="31" spans="1:30" outlineLevel="1">
      <c r="A31" s="83" t="s">
        <v>70</v>
      </c>
      <c r="B31" s="140"/>
      <c r="C31" s="138"/>
      <c r="D31" s="138"/>
      <c r="E31" s="138"/>
      <c r="F31" s="138"/>
      <c r="G31" s="138"/>
      <c r="H31" s="138"/>
      <c r="I31" s="138"/>
    </row>
    <row r="32" spans="1:30">
      <c r="A32" s="129" t="s">
        <v>154</v>
      </c>
      <c r="B32" s="141"/>
      <c r="C32" s="142">
        <f t="shared" ref="C32:I32" si="1">SUM(C26:C31)</f>
        <v>0</v>
      </c>
      <c r="D32" s="142">
        <f t="shared" si="1"/>
        <v>0</v>
      </c>
      <c r="E32" s="142">
        <f t="shared" si="1"/>
        <v>0</v>
      </c>
      <c r="F32" s="142">
        <f t="shared" si="1"/>
        <v>0</v>
      </c>
      <c r="G32" s="142">
        <f t="shared" si="1"/>
        <v>0</v>
      </c>
      <c r="H32" s="142">
        <f t="shared" si="1"/>
        <v>0</v>
      </c>
      <c r="I32" s="142">
        <f t="shared" si="1"/>
        <v>0</v>
      </c>
    </row>
    <row r="35" spans="1:21">
      <c r="M35" s="648"/>
      <c r="N35" s="634"/>
      <c r="O35" s="634"/>
      <c r="P35" s="634"/>
      <c r="Q35" s="650" t="s">
        <v>536</v>
      </c>
      <c r="R35" s="634"/>
      <c r="S35" s="634"/>
      <c r="T35" s="634"/>
      <c r="U35" s="634"/>
    </row>
    <row r="36" spans="1:21">
      <c r="N36" s="648" t="s">
        <v>537</v>
      </c>
      <c r="O36" s="634"/>
      <c r="P36" s="634"/>
      <c r="Q36" s="648" t="s">
        <v>534</v>
      </c>
      <c r="R36" s="634"/>
      <c r="S36" s="634"/>
      <c r="T36" s="634"/>
      <c r="U36" s="649" t="s">
        <v>544</v>
      </c>
    </row>
    <row r="37" spans="1:21">
      <c r="A37" s="2" t="s">
        <v>262</v>
      </c>
      <c r="G37" s="648" t="s">
        <v>537</v>
      </c>
      <c r="H37" s="706"/>
      <c r="I37" s="648" t="s">
        <v>542</v>
      </c>
      <c r="J37" s="706"/>
      <c r="K37" s="706"/>
      <c r="L37" s="706"/>
      <c r="M37" s="649" t="s">
        <v>543</v>
      </c>
      <c r="N37" s="634"/>
      <c r="O37" s="648" t="s">
        <v>537</v>
      </c>
      <c r="P37" s="634"/>
      <c r="Q37" s="648" t="s">
        <v>535</v>
      </c>
      <c r="R37" s="634"/>
      <c r="S37" s="634"/>
      <c r="T37" s="634"/>
      <c r="U37" s="649" t="s">
        <v>543</v>
      </c>
    </row>
    <row r="38" spans="1:21" ht="13.5" thickBot="1">
      <c r="G38" s="648"/>
      <c r="H38" s="648"/>
      <c r="I38" s="634"/>
      <c r="J38" s="634"/>
      <c r="K38" s="649"/>
      <c r="L38" s="648"/>
      <c r="M38" s="648"/>
      <c r="N38" s="634"/>
      <c r="O38" s="634"/>
      <c r="P38" s="649"/>
    </row>
    <row r="39" spans="1:21">
      <c r="B39" s="75" t="s">
        <v>86</v>
      </c>
      <c r="C39" s="75" t="s">
        <v>87</v>
      </c>
      <c r="D39" s="75" t="s">
        <v>88</v>
      </c>
      <c r="E39" s="75" t="s">
        <v>89</v>
      </c>
      <c r="F39" s="75" t="s">
        <v>90</v>
      </c>
      <c r="G39" s="75" t="s">
        <v>91</v>
      </c>
      <c r="H39" s="75" t="s">
        <v>92</v>
      </c>
      <c r="I39" s="75" t="s">
        <v>77</v>
      </c>
      <c r="J39" s="75" t="s">
        <v>78</v>
      </c>
      <c r="K39" s="75" t="s">
        <v>79</v>
      </c>
      <c r="L39" s="75" t="s">
        <v>80</v>
      </c>
      <c r="M39" s="75" t="s">
        <v>81</v>
      </c>
      <c r="N39" s="75" t="s">
        <v>82</v>
      </c>
      <c r="O39" s="75" t="s">
        <v>83</v>
      </c>
      <c r="P39" s="75" t="s">
        <v>84</v>
      </c>
      <c r="Q39" s="75" t="s">
        <v>526</v>
      </c>
      <c r="R39" s="75" t="s">
        <v>527</v>
      </c>
      <c r="S39" s="75" t="s">
        <v>528</v>
      </c>
      <c r="T39" s="75" t="s">
        <v>529</v>
      </c>
      <c r="U39" s="75" t="s">
        <v>530</v>
      </c>
    </row>
    <row r="44" spans="1:21" ht="13.5" thickBot="1">
      <c r="A44" s="2" t="s">
        <v>531</v>
      </c>
      <c r="E44" s="650" t="s">
        <v>536</v>
      </c>
    </row>
    <row r="45" spans="1:21">
      <c r="A45" s="633"/>
      <c r="B45" s="636" t="s">
        <v>603</v>
      </c>
      <c r="C45" s="637"/>
      <c r="E45" s="648" t="s">
        <v>538</v>
      </c>
    </row>
    <row r="46" spans="1:21">
      <c r="A46" s="633"/>
      <c r="B46" s="638" t="s">
        <v>604</v>
      </c>
      <c r="C46" s="639"/>
      <c r="E46" s="648" t="s">
        <v>539</v>
      </c>
    </row>
    <row r="47" spans="1:21" ht="13.5" thickBot="1">
      <c r="A47" s="633"/>
      <c r="B47" s="640" t="s">
        <v>532</v>
      </c>
      <c r="C47" s="641"/>
      <c r="E47" s="648" t="s">
        <v>540</v>
      </c>
    </row>
    <row r="48" spans="1:21">
      <c r="A48" s="633"/>
      <c r="B48" s="633"/>
      <c r="C48" s="633"/>
    </row>
    <row r="49" spans="1:3">
      <c r="A49" s="633"/>
      <c r="B49" s="633"/>
      <c r="C49" s="633"/>
    </row>
    <row r="50" spans="1:3">
      <c r="A50" s="633"/>
      <c r="B50" s="633"/>
      <c r="C50" s="633"/>
    </row>
  </sheetData>
  <sheetProtection formatColumns="0" formatRows="0"/>
  <phoneticPr fontId="10" type="noConversion"/>
  <dataValidations disablePrompts="1" count="2">
    <dataValidation type="list" allowBlank="1" showInputMessage="1" showErrorMessage="1" sqref="E20:E22">
      <formula1>"Labour, Materials, Services"</formula1>
    </dataValidation>
    <dataValidation type="list" allowBlank="1" showInputMessage="1" showErrorMessage="1" sqref="I21:I22">
      <formula1>"0-Initial Guess, 1-First Draft, 2-Second Draft, 3- Final"</formula1>
    </dataValidation>
  </dataValidations>
  <pageMargins left="0.75" right="0.75" top="1" bottom="1" header="0.5" footer="0.5"/>
  <pageSetup paperSize="9" scale="61" orientation="landscape" r:id="rId1"/>
  <headerFooter alignWithMargins="0">
    <oddFooter>&amp;L&amp;8&amp;F
&amp;A
Printed: &amp;T on &amp;D&amp;CPage &amp;P of &amp;N</oddFooter>
  </headerFooter>
</worksheet>
</file>

<file path=xl/worksheets/sheet98.xml><?xml version="1.0" encoding="utf-8"?>
<worksheet xmlns="http://schemas.openxmlformats.org/spreadsheetml/2006/main" xmlns:r="http://schemas.openxmlformats.org/officeDocument/2006/relationships">
  <sheetPr codeName="Sheet8">
    <pageSetUpPr fitToPage="1"/>
  </sheetPr>
  <dimension ref="A1:H67"/>
  <sheetViews>
    <sheetView showGridLines="0" topLeftCell="A31" workbookViewId="0">
      <selection activeCell="F60" sqref="F60"/>
    </sheetView>
  </sheetViews>
  <sheetFormatPr defaultRowHeight="12.75"/>
  <cols>
    <col min="1" max="1" width="8" bestFit="1" customWidth="1"/>
    <col min="2" max="2" width="13.140625" customWidth="1"/>
    <col min="5" max="5" width="23.140625" customWidth="1"/>
    <col min="6" max="6" width="57.42578125" bestFit="1" customWidth="1"/>
  </cols>
  <sheetData>
    <row r="1" spans="1:6" ht="18">
      <c r="A1" s="407" t="s">
        <v>348</v>
      </c>
      <c r="B1" s="183" t="s">
        <v>280</v>
      </c>
    </row>
    <row r="3" spans="1:6">
      <c r="B3" s="2" t="s">
        <v>281</v>
      </c>
      <c r="C3" s="2"/>
      <c r="D3" s="2"/>
      <c r="E3" s="2" t="s">
        <v>279</v>
      </c>
      <c r="F3" s="2" t="s">
        <v>117</v>
      </c>
    </row>
    <row r="5" spans="1:6">
      <c r="B5" t="s">
        <v>277</v>
      </c>
      <c r="E5" t="s">
        <v>431</v>
      </c>
      <c r="F5" t="s">
        <v>278</v>
      </c>
    </row>
    <row r="6" spans="1:6">
      <c r="E6" s="647" t="s">
        <v>594</v>
      </c>
      <c r="F6" t="s">
        <v>284</v>
      </c>
    </row>
    <row r="7" spans="1:6">
      <c r="F7" t="s">
        <v>282</v>
      </c>
    </row>
    <row r="9" spans="1:6">
      <c r="B9" t="s">
        <v>433</v>
      </c>
      <c r="E9" t="s">
        <v>432</v>
      </c>
      <c r="F9" t="s">
        <v>278</v>
      </c>
    </row>
    <row r="10" spans="1:6">
      <c r="F10" t="s">
        <v>284</v>
      </c>
    </row>
    <row r="11" spans="1:6">
      <c r="F11" t="s">
        <v>282</v>
      </c>
    </row>
    <row r="13" spans="1:6">
      <c r="B13" s="172" t="s">
        <v>283</v>
      </c>
      <c r="E13" t="s">
        <v>285</v>
      </c>
      <c r="F13" t="s">
        <v>286</v>
      </c>
    </row>
    <row r="14" spans="1:6">
      <c r="F14" t="s">
        <v>282</v>
      </c>
    </row>
    <row r="16" spans="1:6">
      <c r="B16" t="s">
        <v>418</v>
      </c>
      <c r="E16" t="s">
        <v>426</v>
      </c>
      <c r="F16" t="s">
        <v>419</v>
      </c>
    </row>
    <row r="17" spans="2:6">
      <c r="B17" t="s">
        <v>420</v>
      </c>
      <c r="E17" t="s">
        <v>426</v>
      </c>
      <c r="F17" t="s">
        <v>421</v>
      </c>
    </row>
    <row r="19" spans="2:6">
      <c r="B19" t="s">
        <v>422</v>
      </c>
      <c r="E19" t="s">
        <v>426</v>
      </c>
      <c r="F19" t="s">
        <v>423</v>
      </c>
    </row>
    <row r="20" spans="2:6">
      <c r="F20" t="s">
        <v>424</v>
      </c>
    </row>
    <row r="22" spans="2:6">
      <c r="B22" t="s">
        <v>425</v>
      </c>
      <c r="E22" t="s">
        <v>426</v>
      </c>
      <c r="F22" t="s">
        <v>423</v>
      </c>
    </row>
    <row r="23" spans="2:6">
      <c r="F23" t="s">
        <v>424</v>
      </c>
    </row>
    <row r="25" spans="2:6">
      <c r="B25" t="s">
        <v>434</v>
      </c>
      <c r="E25" t="s">
        <v>435</v>
      </c>
      <c r="F25" t="s">
        <v>299</v>
      </c>
    </row>
    <row r="26" spans="2:6">
      <c r="F26" t="s">
        <v>300</v>
      </c>
    </row>
    <row r="27" spans="2:6">
      <c r="B27" t="s">
        <v>436</v>
      </c>
      <c r="E27" t="s">
        <v>432</v>
      </c>
      <c r="F27" t="s">
        <v>298</v>
      </c>
    </row>
    <row r="28" spans="2:6">
      <c r="F28" t="s">
        <v>300</v>
      </c>
    </row>
    <row r="30" spans="2:6">
      <c r="B30" t="s">
        <v>439</v>
      </c>
      <c r="E30" t="s">
        <v>304</v>
      </c>
      <c r="F30" t="s">
        <v>438</v>
      </c>
    </row>
    <row r="31" spans="2:6">
      <c r="F31" t="s">
        <v>306</v>
      </c>
    </row>
    <row r="33" spans="2:6">
      <c r="B33" t="s">
        <v>303</v>
      </c>
      <c r="E33" t="s">
        <v>304</v>
      </c>
      <c r="F33" t="s">
        <v>305</v>
      </c>
    </row>
    <row r="34" spans="2:6">
      <c r="F34" t="s">
        <v>306</v>
      </c>
    </row>
    <row r="36" spans="2:6">
      <c r="B36" t="s">
        <v>295</v>
      </c>
      <c r="E36" t="s">
        <v>297</v>
      </c>
      <c r="F36" t="s">
        <v>299</v>
      </c>
    </row>
    <row r="37" spans="2:6">
      <c r="F37" t="s">
        <v>300</v>
      </c>
    </row>
    <row r="39" spans="2:6">
      <c r="B39" t="s">
        <v>322</v>
      </c>
      <c r="E39" t="s">
        <v>321</v>
      </c>
      <c r="F39" t="s">
        <v>323</v>
      </c>
    </row>
    <row r="40" spans="2:6">
      <c r="F40" t="s">
        <v>306</v>
      </c>
    </row>
    <row r="42" spans="2:6">
      <c r="B42" t="s">
        <v>437</v>
      </c>
      <c r="E42" t="s">
        <v>321</v>
      </c>
      <c r="F42" t="s">
        <v>438</v>
      </c>
    </row>
    <row r="43" spans="2:6">
      <c r="F43" t="s">
        <v>306</v>
      </c>
    </row>
    <row r="45" spans="2:6">
      <c r="B45" t="s">
        <v>296</v>
      </c>
      <c r="E45" t="s">
        <v>297</v>
      </c>
      <c r="F45" t="s">
        <v>298</v>
      </c>
    </row>
    <row r="46" spans="2:6">
      <c r="F46" t="s">
        <v>300</v>
      </c>
    </row>
    <row r="48" spans="2:6">
      <c r="B48" t="s">
        <v>427</v>
      </c>
      <c r="E48" t="s">
        <v>0</v>
      </c>
      <c r="F48" t="s">
        <v>428</v>
      </c>
    </row>
    <row r="49" spans="2:8">
      <c r="B49" s="674" t="s">
        <v>595</v>
      </c>
      <c r="E49" s="674" t="s">
        <v>0</v>
      </c>
      <c r="F49" s="647" t="s">
        <v>596</v>
      </c>
      <c r="H49" s="675"/>
    </row>
    <row r="51" spans="2:8">
      <c r="B51" t="s">
        <v>301</v>
      </c>
      <c r="E51" t="s">
        <v>346</v>
      </c>
      <c r="F51" t="s">
        <v>429</v>
      </c>
    </row>
    <row r="52" spans="2:8">
      <c r="F52" t="s">
        <v>430</v>
      </c>
    </row>
    <row r="54" spans="2:8" ht="14.25">
      <c r="B54" s="674" t="s">
        <v>591</v>
      </c>
      <c r="C54" s="704" t="s">
        <v>592</v>
      </c>
      <c r="F54" s="647" t="s">
        <v>593</v>
      </c>
    </row>
    <row r="56" spans="2:8">
      <c r="B56" s="674" t="s">
        <v>538</v>
      </c>
      <c r="E56" s="674" t="s">
        <v>346</v>
      </c>
      <c r="F56" s="647" t="s">
        <v>597</v>
      </c>
      <c r="G56" s="674"/>
      <c r="H56" s="675"/>
    </row>
    <row r="57" spans="2:8">
      <c r="B57" s="674" t="s">
        <v>540</v>
      </c>
      <c r="E57" s="674" t="s">
        <v>346</v>
      </c>
      <c r="F57" s="647" t="s">
        <v>598</v>
      </c>
      <c r="G57" s="674"/>
      <c r="H57" s="675"/>
    </row>
    <row r="58" spans="2:8">
      <c r="B58" s="674" t="s">
        <v>539</v>
      </c>
      <c r="E58" s="674" t="s">
        <v>346</v>
      </c>
      <c r="F58" s="647" t="s">
        <v>599</v>
      </c>
      <c r="G58" s="674"/>
      <c r="H58" s="675"/>
    </row>
    <row r="59" spans="2:8">
      <c r="B59" s="674" t="s">
        <v>534</v>
      </c>
      <c r="E59" s="674" t="s">
        <v>346</v>
      </c>
      <c r="F59" s="647" t="s">
        <v>600</v>
      </c>
      <c r="G59" s="674"/>
      <c r="H59" s="675"/>
    </row>
    <row r="60" spans="2:8">
      <c r="B60" s="674" t="s">
        <v>535</v>
      </c>
      <c r="E60" s="674" t="s">
        <v>346</v>
      </c>
      <c r="F60" s="647" t="s">
        <v>600</v>
      </c>
      <c r="H60" s="675"/>
    </row>
    <row r="61" spans="2:8">
      <c r="B61" s="674" t="s">
        <v>542</v>
      </c>
      <c r="E61" s="674" t="s">
        <v>346</v>
      </c>
      <c r="F61" s="647" t="s">
        <v>600</v>
      </c>
      <c r="H61" s="675"/>
    </row>
    <row r="62" spans="2:8">
      <c r="B62" s="674" t="s">
        <v>545</v>
      </c>
      <c r="E62" s="674" t="s">
        <v>346</v>
      </c>
      <c r="F62" s="647" t="s">
        <v>600</v>
      </c>
      <c r="H62" s="675"/>
    </row>
    <row r="63" spans="2:8">
      <c r="B63" s="674" t="s">
        <v>548</v>
      </c>
      <c r="E63" s="674" t="s">
        <v>346</v>
      </c>
      <c r="F63" s="647" t="s">
        <v>600</v>
      </c>
      <c r="H63" s="675"/>
    </row>
    <row r="64" spans="2:8">
      <c r="B64" s="674" t="s">
        <v>549</v>
      </c>
      <c r="E64" s="674" t="s">
        <v>346</v>
      </c>
      <c r="F64" s="647" t="s">
        <v>600</v>
      </c>
      <c r="H64" s="675"/>
    </row>
    <row r="65" spans="2:8">
      <c r="B65" s="674" t="s">
        <v>550</v>
      </c>
      <c r="E65" s="674" t="s">
        <v>346</v>
      </c>
      <c r="F65" s="647" t="s">
        <v>600</v>
      </c>
      <c r="H65" s="675"/>
    </row>
    <row r="67" spans="2:8">
      <c r="B67" t="s">
        <v>650</v>
      </c>
      <c r="E67" s="767" t="s">
        <v>346</v>
      </c>
      <c r="F67" s="647" t="s">
        <v>651</v>
      </c>
    </row>
  </sheetData>
  <sheetProtection formatColumns="0" formatRows="0"/>
  <phoneticPr fontId="10" type="noConversion"/>
  <pageMargins left="0.5" right="0.38" top="1" bottom="1" header="0.5" footer="0.5"/>
  <pageSetup paperSize="9" scale="80" orientation="portrait" r:id="rId1"/>
  <headerFooter alignWithMargins="0">
    <oddFooter>&amp;L&amp;8&amp;F
&amp;A
Printed: &amp;T on &amp;D&amp;C&amp;8Page &amp;P of &amp;N</oddFooter>
  </headerFooter>
</worksheet>
</file>

<file path=xl/worksheets/sheet99.xml><?xml version="1.0" encoding="utf-8"?>
<worksheet xmlns="http://schemas.openxmlformats.org/spreadsheetml/2006/main" xmlns:r="http://schemas.openxmlformats.org/officeDocument/2006/relationships">
  <sheetPr codeName="Sheet10"/>
  <dimension ref="A1:L201"/>
  <sheetViews>
    <sheetView showGridLines="0" topLeftCell="A91" workbookViewId="0">
      <selection activeCell="A103" sqref="A103:B103"/>
    </sheetView>
  </sheetViews>
  <sheetFormatPr defaultRowHeight="12.75"/>
  <cols>
    <col min="1" max="1" width="14.5703125" style="735" customWidth="1"/>
    <col min="2" max="3" width="9.140625" style="735"/>
    <col min="4" max="4" width="9" style="735" customWidth="1"/>
    <col min="5" max="16384" width="9.140625" style="735"/>
  </cols>
  <sheetData>
    <row r="1" spans="1:12">
      <c r="A1" s="734" t="str">
        <f ca="1">RIGHT(CELL("filename",A1),LEN(CELL("filename",A1))-FIND("]",CELL("filename",A1)))</f>
        <v>HelpText</v>
      </c>
    </row>
    <row r="3" spans="1:12">
      <c r="A3" s="736" t="s">
        <v>629</v>
      </c>
      <c r="B3" s="736"/>
      <c r="C3" s="736"/>
      <c r="D3" s="736"/>
      <c r="E3" s="736"/>
      <c r="F3" s="736"/>
      <c r="G3" s="736"/>
      <c r="H3" s="736"/>
      <c r="I3" s="736"/>
      <c r="J3" s="736"/>
      <c r="K3" s="736"/>
      <c r="L3" s="736"/>
    </row>
    <row r="6" spans="1:12">
      <c r="A6" s="749" t="s">
        <v>639</v>
      </c>
      <c r="B6" s="748"/>
      <c r="C6" s="748"/>
    </row>
    <row r="8" spans="1:12" ht="20.25" customHeight="1">
      <c r="A8" s="737"/>
      <c r="B8" s="747"/>
    </row>
    <row r="9" spans="1:12" ht="16.5" customHeight="1">
      <c r="A9" s="738"/>
    </row>
    <row r="10" spans="1:12" ht="15.75" customHeight="1">
      <c r="A10" s="738"/>
      <c r="C10" s="739"/>
    </row>
    <row r="11" spans="1:12" ht="20.25" customHeight="1">
      <c r="A11" s="738"/>
      <c r="B11" s="739"/>
      <c r="C11" s="739"/>
    </row>
    <row r="12" spans="1:12">
      <c r="A12" s="737"/>
      <c r="B12" s="739"/>
      <c r="C12" s="739"/>
    </row>
    <row r="13" spans="1:12">
      <c r="A13" s="737"/>
    </row>
    <row r="14" spans="1:12">
      <c r="A14" s="737"/>
    </row>
    <row r="18" spans="1:5">
      <c r="B18" s="738"/>
    </row>
    <row r="19" spans="1:5">
      <c r="B19" s="738"/>
    </row>
    <row r="20" spans="1:5">
      <c r="B20" s="738"/>
    </row>
    <row r="21" spans="1:5">
      <c r="B21" s="738"/>
    </row>
    <row r="22" spans="1:5">
      <c r="B22" s="738"/>
    </row>
    <row r="23" spans="1:5">
      <c r="A23" s="738"/>
    </row>
    <row r="24" spans="1:5">
      <c r="B24" s="739"/>
    </row>
    <row r="25" spans="1:5">
      <c r="B25" s="739"/>
    </row>
    <row r="27" spans="1:5">
      <c r="A27" s="740"/>
    </row>
    <row r="29" spans="1:5">
      <c r="B29" s="740"/>
      <c r="D29" s="740"/>
    </row>
    <row r="30" spans="1:5">
      <c r="D30" s="741"/>
    </row>
    <row r="31" spans="1:5" s="742" customFormat="1">
      <c r="B31" s="735"/>
      <c r="D31"/>
      <c r="E31" s="743"/>
    </row>
    <row r="32" spans="1:5">
      <c r="D32"/>
    </row>
    <row r="33" spans="1:4">
      <c r="A33" s="740"/>
      <c r="D33"/>
    </row>
    <row r="34" spans="1:4">
      <c r="D34"/>
    </row>
    <row r="35" spans="1:4">
      <c r="D35" s="744"/>
    </row>
    <row r="36" spans="1:4">
      <c r="A36" s="740"/>
    </row>
    <row r="49" spans="1:8">
      <c r="A49" s="742"/>
      <c r="E49" s="743"/>
      <c r="F49" s="742"/>
      <c r="G49" s="742"/>
      <c r="H49" s="742"/>
    </row>
    <row r="100" spans="1:12">
      <c r="A100" s="736" t="s">
        <v>630</v>
      </c>
      <c r="B100" s="736"/>
      <c r="C100" s="736"/>
      <c r="D100" s="736"/>
      <c r="E100" s="736"/>
      <c r="F100" s="736"/>
      <c r="G100" s="736"/>
      <c r="H100" s="736"/>
      <c r="I100" s="736"/>
      <c r="J100" s="736"/>
      <c r="K100" s="736"/>
      <c r="L100" s="736"/>
    </row>
    <row r="102" spans="1:12">
      <c r="A102" s="739" t="s">
        <v>637</v>
      </c>
      <c r="B102" s="739" t="s">
        <v>638</v>
      </c>
    </row>
    <row r="103" spans="1:12">
      <c r="A103" s="739" t="s">
        <v>640</v>
      </c>
      <c r="B103" s="735" t="s">
        <v>641</v>
      </c>
    </row>
    <row r="150" spans="1:12">
      <c r="A150" s="736" t="s">
        <v>631</v>
      </c>
      <c r="B150" s="736"/>
      <c r="C150" s="736"/>
      <c r="D150" s="745" t="s">
        <v>632</v>
      </c>
      <c r="E150" s="736"/>
      <c r="F150" s="736"/>
      <c r="G150" s="736"/>
      <c r="H150" s="736"/>
      <c r="I150" s="736"/>
      <c r="J150" s="736"/>
      <c r="K150" s="736"/>
      <c r="L150" s="736"/>
    </row>
    <row r="151" spans="1:12">
      <c r="A151" s="746" t="s">
        <v>633</v>
      </c>
      <c r="B151" s="746" t="s">
        <v>634</v>
      </c>
      <c r="C151" s="746"/>
      <c r="D151" s="746"/>
      <c r="E151" s="746"/>
      <c r="F151" s="746"/>
      <c r="G151" s="746"/>
      <c r="H151" s="746"/>
      <c r="I151" s="746"/>
      <c r="J151" s="746"/>
      <c r="K151" s="746"/>
      <c r="L151" s="746"/>
    </row>
    <row r="200" spans="1:12">
      <c r="A200" s="736" t="s">
        <v>635</v>
      </c>
      <c r="B200" s="736"/>
      <c r="C200" s="736"/>
      <c r="D200" s="745" t="s">
        <v>636</v>
      </c>
      <c r="E200" s="736"/>
      <c r="F200" s="736"/>
      <c r="G200" s="736"/>
      <c r="H200" s="736"/>
      <c r="I200" s="736"/>
      <c r="J200" s="736"/>
      <c r="K200" s="736"/>
      <c r="L200" s="736"/>
    </row>
    <row r="201" spans="1:12">
      <c r="A201" s="746" t="s">
        <v>633</v>
      </c>
      <c r="B201" s="746" t="s">
        <v>634</v>
      </c>
      <c r="C201" s="746"/>
      <c r="D201" s="746"/>
      <c r="E201" s="746"/>
      <c r="F201" s="746"/>
      <c r="G201" s="746"/>
      <c r="H201" s="746"/>
      <c r="I201" s="746"/>
      <c r="J201" s="746"/>
      <c r="K201" s="746"/>
      <c r="L201" s="746"/>
    </row>
  </sheetData>
  <sheetProtection formatColumns="0" formatRows="0"/>
  <pageMargins left="0.51181102362204722" right="0.70866141732283472" top="0.47244094488188981" bottom="0.51181102362204722" header="0.31496062992125984" footer="0.23622047244094491"/>
  <pageSetup paperSize="9" orientation="landscape" r:id="rId1"/>
  <headerFooter>
    <oddFooter>&amp;L&amp;8File: &amp;F
&amp;D&amp;C&amp;8Worksheet:  &amp;A&amp;R&amp;8Page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276</vt:i4>
      </vt:variant>
    </vt:vector>
  </HeadingPairs>
  <TitlesOfParts>
    <vt:vector size="377" baseType="lpstr">
      <vt:lpstr>GC</vt:lpstr>
      <vt:lpstr>C1</vt:lpstr>
      <vt:lpstr>Gen_Ass_SC</vt:lpstr>
      <vt:lpstr>I-1</vt:lpstr>
      <vt:lpstr>I-2 DA</vt:lpstr>
      <vt:lpstr>I-3 Allocated</vt:lpstr>
      <vt:lpstr>Data_SC</vt:lpstr>
      <vt:lpstr>I-4 History</vt:lpstr>
      <vt:lpstr>I-5 Future DA</vt:lpstr>
      <vt:lpstr>I-6 Future A</vt:lpstr>
      <vt:lpstr>Scen_Ass_SC</vt:lpstr>
      <vt:lpstr>I-7 Escalations</vt:lpstr>
      <vt:lpstr>Workings_SC</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lpstr>A-32</vt:lpstr>
      <vt:lpstr>A-33</vt:lpstr>
      <vt:lpstr>A-34</vt:lpstr>
      <vt:lpstr>A-35</vt:lpstr>
      <vt:lpstr>A-36</vt:lpstr>
      <vt:lpstr>A-37</vt:lpstr>
      <vt:lpstr>A-38</vt:lpstr>
      <vt:lpstr>A-39</vt:lpstr>
      <vt:lpstr>A-40</vt:lpstr>
      <vt:lpstr>A-41</vt:lpstr>
      <vt:lpstr>DA-1</vt:lpstr>
      <vt:lpstr>DA-2</vt:lpstr>
      <vt:lpstr>DA-3</vt:lpstr>
      <vt:lpstr>DA-4</vt:lpstr>
      <vt:lpstr>DA-5</vt:lpstr>
      <vt:lpstr>DA-6</vt:lpstr>
      <vt:lpstr>DA-7</vt:lpstr>
      <vt:lpstr>DA-8</vt:lpstr>
      <vt:lpstr>DA-9</vt:lpstr>
      <vt:lpstr>DA-10</vt:lpstr>
      <vt:lpstr>DA-11</vt:lpstr>
      <vt:lpstr>DA-12</vt:lpstr>
      <vt:lpstr>DA-13</vt:lpstr>
      <vt:lpstr>DA-14</vt:lpstr>
      <vt:lpstr>DA-15</vt:lpstr>
      <vt:lpstr>DA-16</vt:lpstr>
      <vt:lpstr>DA-17</vt:lpstr>
      <vt:lpstr>DA-18</vt:lpstr>
      <vt:lpstr>DA-19</vt:lpstr>
      <vt:lpstr>DA-20</vt:lpstr>
      <vt:lpstr>DA-21</vt:lpstr>
      <vt:lpstr>DA-22</vt:lpstr>
      <vt:lpstr>DA-23</vt:lpstr>
      <vt:lpstr>DA-24</vt:lpstr>
      <vt:lpstr>Reports_SC</vt:lpstr>
      <vt:lpstr>R1 Opex Detail</vt:lpstr>
      <vt:lpstr>R2</vt:lpstr>
      <vt:lpstr>R3</vt:lpstr>
      <vt:lpstr>R4 Variations</vt:lpstr>
      <vt:lpstr>R5 Escalations</vt:lpstr>
      <vt:lpstr>R6 Escalations</vt:lpstr>
      <vt:lpstr>R7</vt:lpstr>
      <vt:lpstr>Reports $2015_SC</vt:lpstr>
      <vt:lpstr>R2 ($2015)</vt:lpstr>
      <vt:lpstr>R3 ($2015)</vt:lpstr>
      <vt:lpstr>R4 Variations ($2015)</vt:lpstr>
      <vt:lpstr>R6 Escalations ($2015)</vt:lpstr>
      <vt:lpstr>R7 ($2015)</vt:lpstr>
      <vt:lpstr>Export</vt:lpstr>
      <vt:lpstr>E1</vt:lpstr>
      <vt:lpstr>E2</vt:lpstr>
      <vt:lpstr>Reference</vt:lpstr>
      <vt:lpstr>Ref-1</vt:lpstr>
      <vt:lpstr>Ref-2</vt:lpstr>
      <vt:lpstr>HelpText</vt:lpstr>
      <vt:lpstr>Crosschecks</vt:lpstr>
      <vt:lpstr>CK1</vt:lpstr>
      <vt:lpstr>_LU_DataVersion</vt:lpstr>
      <vt:lpstr>_LU_Version</vt:lpstr>
      <vt:lpstr>EscalationDescription_General</vt:lpstr>
      <vt:lpstr>EscalationDescription_Input_Cost</vt:lpstr>
      <vt:lpstr>Escalations_General_Costs</vt:lpstr>
      <vt:lpstr>Escalations_Specific_Costs</vt:lpstr>
      <vt:lpstr>Future_AOpexStart</vt:lpstr>
      <vt:lpstr>Future_DAOpexStart</vt:lpstr>
      <vt:lpstr>InfoClassification</vt:lpstr>
      <vt:lpstr>List_AllocatedCosts</vt:lpstr>
      <vt:lpstr>List_AllocOpexListStart</vt:lpstr>
      <vt:lpstr>List_AllocOpexStart</vt:lpstr>
      <vt:lpstr>List_DAOpexStart</vt:lpstr>
      <vt:lpstr>List_DirectlyAttributedServices</vt:lpstr>
      <vt:lpstr>List_NWOpexStart</vt:lpstr>
      <vt:lpstr>LU_BaseYearDollars</vt:lpstr>
      <vt:lpstr>LU_CostCategory</vt:lpstr>
      <vt:lpstr>LU_Escalation</vt:lpstr>
      <vt:lpstr>LU_Guide</vt:lpstr>
      <vt:lpstr>LU_PTRMDollarDenomination</vt:lpstr>
      <vt:lpstr>LU_TemplateDollarDenomination</vt:lpstr>
      <vt:lpstr>LU_TemplateYearHeader</vt:lpstr>
      <vt:lpstr>LU_TemplateYearHeader2</vt:lpstr>
      <vt:lpstr>LU_TemplateYearHeader3</vt:lpstr>
      <vt:lpstr>Model_Name</vt:lpstr>
      <vt:lpstr>OrganisationName</vt:lpstr>
      <vt:lpstr>'A-1'!Print_Area</vt:lpstr>
      <vt:lpstr>'A-10'!Print_Area</vt:lpstr>
      <vt:lpstr>'A-11'!Print_Area</vt:lpstr>
      <vt:lpstr>'A-12'!Print_Area</vt:lpstr>
      <vt:lpstr>'A-13'!Print_Area</vt:lpstr>
      <vt:lpstr>'A-14'!Print_Area</vt:lpstr>
      <vt:lpstr>'A-15'!Print_Area</vt:lpstr>
      <vt:lpstr>'A-16'!Print_Area</vt:lpstr>
      <vt:lpstr>'A-17'!Print_Area</vt:lpstr>
      <vt:lpstr>'A-18'!Print_Area</vt:lpstr>
      <vt:lpstr>'A-19'!Print_Area</vt:lpstr>
      <vt:lpstr>'A-2'!Print_Area</vt:lpstr>
      <vt:lpstr>'A-20'!Print_Area</vt:lpstr>
      <vt:lpstr>'A-21'!Print_Area</vt:lpstr>
      <vt:lpstr>'A-22'!Print_Area</vt:lpstr>
      <vt:lpstr>'A-23'!Print_Area</vt:lpstr>
      <vt:lpstr>'A-24'!Print_Area</vt:lpstr>
      <vt:lpstr>'A-25'!Print_Area</vt:lpstr>
      <vt:lpstr>'A-26'!Print_Area</vt:lpstr>
      <vt:lpstr>'A-27'!Print_Area</vt:lpstr>
      <vt:lpstr>'A-28'!Print_Area</vt:lpstr>
      <vt:lpstr>'A-29'!Print_Area</vt:lpstr>
      <vt:lpstr>'A-3'!Print_Area</vt:lpstr>
      <vt:lpstr>'A-30'!Print_Area</vt:lpstr>
      <vt:lpstr>'A-31'!Print_Area</vt:lpstr>
      <vt:lpstr>'A-32'!Print_Area</vt:lpstr>
      <vt:lpstr>'A-33'!Print_Area</vt:lpstr>
      <vt:lpstr>'A-34'!Print_Area</vt:lpstr>
      <vt:lpstr>'A-35'!Print_Area</vt:lpstr>
      <vt:lpstr>'A-36'!Print_Area</vt:lpstr>
      <vt:lpstr>'A-37'!Print_Area</vt:lpstr>
      <vt:lpstr>'A-38'!Print_Area</vt:lpstr>
      <vt:lpstr>'A-39'!Print_Area</vt:lpstr>
      <vt:lpstr>'A-4'!Print_Area</vt:lpstr>
      <vt:lpstr>'A-40'!Print_Area</vt:lpstr>
      <vt:lpstr>'A-41'!Print_Area</vt:lpstr>
      <vt:lpstr>'A-5'!Print_Area</vt:lpstr>
      <vt:lpstr>'A-6'!Print_Area</vt:lpstr>
      <vt:lpstr>'A-7'!Print_Area</vt:lpstr>
      <vt:lpstr>'A-8'!Print_Area</vt:lpstr>
      <vt:lpstr>'A-9'!Print_Area</vt:lpstr>
      <vt:lpstr>'C1'!Print_Area</vt:lpstr>
      <vt:lpstr>'CK1'!Print_Area</vt:lpstr>
      <vt:lpstr>'DA-1'!Print_Area</vt:lpstr>
      <vt:lpstr>'DA-10'!Print_Area</vt:lpstr>
      <vt:lpstr>'DA-11'!Print_Area</vt:lpstr>
      <vt:lpstr>'DA-12'!Print_Area</vt:lpstr>
      <vt:lpstr>'DA-13'!Print_Area</vt:lpstr>
      <vt:lpstr>'DA-14'!Print_Area</vt:lpstr>
      <vt:lpstr>'DA-15'!Print_Area</vt:lpstr>
      <vt:lpstr>'DA-16'!Print_Area</vt:lpstr>
      <vt:lpstr>'DA-17'!Print_Area</vt:lpstr>
      <vt:lpstr>'DA-18'!Print_Area</vt:lpstr>
      <vt:lpstr>'DA-19'!Print_Area</vt:lpstr>
      <vt:lpstr>'DA-2'!Print_Area</vt:lpstr>
      <vt:lpstr>'DA-20'!Print_Area</vt:lpstr>
      <vt:lpstr>'DA-21'!Print_Area</vt:lpstr>
      <vt:lpstr>'DA-22'!Print_Area</vt:lpstr>
      <vt:lpstr>'DA-23'!Print_Area</vt:lpstr>
      <vt:lpstr>'DA-24'!Print_Area</vt:lpstr>
      <vt:lpstr>'DA-3'!Print_Area</vt:lpstr>
      <vt:lpstr>'DA-4'!Print_Area</vt:lpstr>
      <vt:lpstr>'DA-5'!Print_Area</vt:lpstr>
      <vt:lpstr>'DA-6'!Print_Area</vt:lpstr>
      <vt:lpstr>'DA-7'!Print_Area</vt:lpstr>
      <vt:lpstr>'DA-8'!Print_Area</vt:lpstr>
      <vt:lpstr>'DA-9'!Print_Area</vt:lpstr>
      <vt:lpstr>Data_SC!Print_Area</vt:lpstr>
      <vt:lpstr>'E2'!Print_Area</vt:lpstr>
      <vt:lpstr>Export!Print_Area</vt:lpstr>
      <vt:lpstr>GC!Print_Area</vt:lpstr>
      <vt:lpstr>Gen_Ass_SC!Print_Area</vt:lpstr>
      <vt:lpstr>'I-1'!Print_Area</vt:lpstr>
      <vt:lpstr>'I-2 DA'!Print_Area</vt:lpstr>
      <vt:lpstr>'I-3 Allocated'!Print_Area</vt:lpstr>
      <vt:lpstr>'I-4 History'!Print_Area</vt:lpstr>
      <vt:lpstr>'I-5 Future DA'!Print_Area</vt:lpstr>
      <vt:lpstr>'I-6 Future A'!Print_Area</vt:lpstr>
      <vt:lpstr>'I-7 Escalations'!Print_Area</vt:lpstr>
      <vt:lpstr>'R2'!Print_Area</vt:lpstr>
      <vt:lpstr>'R2 ($2015)'!Print_Area</vt:lpstr>
      <vt:lpstr>'R3'!Print_Area</vt:lpstr>
      <vt:lpstr>'R3 ($2015)'!Print_Area</vt:lpstr>
      <vt:lpstr>'R4 Variations'!Print_Area</vt:lpstr>
      <vt:lpstr>'R4 Variations ($2015)'!Print_Area</vt:lpstr>
      <vt:lpstr>'R5 Escalations'!Print_Area</vt:lpstr>
      <vt:lpstr>'R6 Escalations'!Print_Area</vt:lpstr>
      <vt:lpstr>'R6 Escalations ($2015)'!Print_Area</vt:lpstr>
      <vt:lpstr>'R7'!Print_Area</vt:lpstr>
      <vt:lpstr>'R7 ($2015)'!Print_Area</vt:lpstr>
      <vt:lpstr>'Ref-1'!Print_Area</vt:lpstr>
      <vt:lpstr>'Ref-2'!Print_Area</vt:lpstr>
      <vt:lpstr>'Reports $2015_SC'!Print_Area</vt:lpstr>
      <vt:lpstr>Reports_SC!Print_Area</vt:lpstr>
      <vt:lpstr>Scen_Ass_SC!Print_Area</vt:lpstr>
      <vt:lpstr>Workings_SC!Print_Area</vt:lpstr>
      <vt:lpstr>'A-1'!Print_Titles</vt:lpstr>
      <vt:lpstr>'A-10'!Print_Titles</vt:lpstr>
      <vt:lpstr>'A-11'!Print_Titles</vt:lpstr>
      <vt:lpstr>'A-12'!Print_Titles</vt:lpstr>
      <vt:lpstr>'A-13'!Print_Titles</vt:lpstr>
      <vt:lpstr>'A-14'!Print_Titles</vt:lpstr>
      <vt:lpstr>'A-15'!Print_Titles</vt:lpstr>
      <vt:lpstr>'A-16'!Print_Titles</vt:lpstr>
      <vt:lpstr>'A-17'!Print_Titles</vt:lpstr>
      <vt:lpstr>'A-18'!Print_Titles</vt:lpstr>
      <vt:lpstr>'A-19'!Print_Titles</vt:lpstr>
      <vt:lpstr>'A-2'!Print_Titles</vt:lpstr>
      <vt:lpstr>'A-20'!Print_Titles</vt:lpstr>
      <vt:lpstr>'A-21'!Print_Titles</vt:lpstr>
      <vt:lpstr>'A-22'!Print_Titles</vt:lpstr>
      <vt:lpstr>'A-23'!Print_Titles</vt:lpstr>
      <vt:lpstr>'A-24'!Print_Titles</vt:lpstr>
      <vt:lpstr>'A-25'!Print_Titles</vt:lpstr>
      <vt:lpstr>'A-26'!Print_Titles</vt:lpstr>
      <vt:lpstr>'A-27'!Print_Titles</vt:lpstr>
      <vt:lpstr>'A-28'!Print_Titles</vt:lpstr>
      <vt:lpstr>'A-29'!Print_Titles</vt:lpstr>
      <vt:lpstr>'A-3'!Print_Titles</vt:lpstr>
      <vt:lpstr>'A-30'!Print_Titles</vt:lpstr>
      <vt:lpstr>'A-31'!Print_Titles</vt:lpstr>
      <vt:lpstr>'A-32'!Print_Titles</vt:lpstr>
      <vt:lpstr>'A-33'!Print_Titles</vt:lpstr>
      <vt:lpstr>'A-34'!Print_Titles</vt:lpstr>
      <vt:lpstr>'A-35'!Print_Titles</vt:lpstr>
      <vt:lpstr>'A-36'!Print_Titles</vt:lpstr>
      <vt:lpstr>'A-37'!Print_Titles</vt:lpstr>
      <vt:lpstr>'A-38'!Print_Titles</vt:lpstr>
      <vt:lpstr>'A-39'!Print_Titles</vt:lpstr>
      <vt:lpstr>'A-4'!Print_Titles</vt:lpstr>
      <vt:lpstr>'A-40'!Print_Titles</vt:lpstr>
      <vt:lpstr>'A-41'!Print_Titles</vt:lpstr>
      <vt:lpstr>'A-5'!Print_Titles</vt:lpstr>
      <vt:lpstr>'A-6'!Print_Titles</vt:lpstr>
      <vt:lpstr>'A-7'!Print_Titles</vt:lpstr>
      <vt:lpstr>'A-8'!Print_Titles</vt:lpstr>
      <vt:lpstr>'A-9'!Print_Titles</vt:lpstr>
      <vt:lpstr>'C1'!Print_Titles</vt:lpstr>
      <vt:lpstr>'CK1'!Print_Titles</vt:lpstr>
      <vt:lpstr>'DA-1'!Print_Titles</vt:lpstr>
      <vt:lpstr>'DA-10'!Print_Titles</vt:lpstr>
      <vt:lpstr>'DA-11'!Print_Titles</vt:lpstr>
      <vt:lpstr>'DA-12'!Print_Titles</vt:lpstr>
      <vt:lpstr>'DA-13'!Print_Titles</vt:lpstr>
      <vt:lpstr>'DA-14'!Print_Titles</vt:lpstr>
      <vt:lpstr>'DA-15'!Print_Titles</vt:lpstr>
      <vt:lpstr>'DA-16'!Print_Titles</vt:lpstr>
      <vt:lpstr>'DA-17'!Print_Titles</vt:lpstr>
      <vt:lpstr>'DA-18'!Print_Titles</vt:lpstr>
      <vt:lpstr>'DA-19'!Print_Titles</vt:lpstr>
      <vt:lpstr>'DA-2'!Print_Titles</vt:lpstr>
      <vt:lpstr>'DA-20'!Print_Titles</vt:lpstr>
      <vt:lpstr>'DA-21'!Print_Titles</vt:lpstr>
      <vt:lpstr>'DA-22'!Print_Titles</vt:lpstr>
      <vt:lpstr>'DA-23'!Print_Titles</vt:lpstr>
      <vt:lpstr>'DA-24'!Print_Titles</vt:lpstr>
      <vt:lpstr>'DA-3'!Print_Titles</vt:lpstr>
      <vt:lpstr>'DA-4'!Print_Titles</vt:lpstr>
      <vt:lpstr>'DA-5'!Print_Titles</vt:lpstr>
      <vt:lpstr>'DA-6'!Print_Titles</vt:lpstr>
      <vt:lpstr>'DA-7'!Print_Titles</vt:lpstr>
      <vt:lpstr>'DA-8'!Print_Titles</vt:lpstr>
      <vt:lpstr>'DA-9'!Print_Titles</vt:lpstr>
      <vt:lpstr>'E1'!Print_Titles</vt:lpstr>
      <vt:lpstr>'I-4 History'!Print_Titles</vt:lpstr>
      <vt:lpstr>'I-5 Future DA'!Print_Titles</vt:lpstr>
      <vt:lpstr>'I-6 Future A'!Print_Titles</vt:lpstr>
      <vt:lpstr>'I-7 Escalations'!Print_Titles</vt:lpstr>
      <vt:lpstr>'R1 Opex Detail'!Print_Titles</vt:lpstr>
      <vt:lpstr>'R2'!Print_Titles</vt:lpstr>
      <vt:lpstr>'R2 ($2015)'!Print_Titles</vt:lpstr>
      <vt:lpstr>'R3'!Print_Titles</vt:lpstr>
      <vt:lpstr>'R3 ($2015)'!Print_Titles</vt:lpstr>
      <vt:lpstr>'R4 Variations'!Print_Titles</vt:lpstr>
      <vt:lpstr>'R4 Variations ($2015)'!Print_Titles</vt:lpstr>
      <vt:lpstr>'R5 Escalations'!Print_Titles</vt:lpstr>
      <vt:lpstr>'R6 Escalations'!Print_Titles</vt:lpstr>
      <vt:lpstr>'R6 Escalations ($2015)'!Print_Titles</vt:lpstr>
      <vt:lpstr>'R7'!Print_Titles</vt:lpstr>
      <vt:lpstr>'R7 ($2015)'!Print_Titles</vt:lpstr>
      <vt:lpstr>scrHelpMain</vt:lpstr>
      <vt:lpstr>scrHelpVersionNotes</vt:lpstr>
      <vt:lpstr>scrToDo</vt:lpstr>
      <vt:lpstr>scrToDoDeveloper</vt:lpstr>
      <vt:lpstr>Variation_BlankNew</vt:lpstr>
      <vt:lpstr>'A-1'!Variation_Insert</vt:lpstr>
      <vt:lpstr>'A-10'!Variation_Insert</vt:lpstr>
      <vt:lpstr>'A-11'!Variation_Insert</vt:lpstr>
      <vt:lpstr>'A-12'!Variation_Insert</vt:lpstr>
      <vt:lpstr>'A-13'!Variation_Insert</vt:lpstr>
      <vt:lpstr>'A-14'!Variation_Insert</vt:lpstr>
      <vt:lpstr>'A-15'!Variation_Insert</vt:lpstr>
      <vt:lpstr>'A-16'!Variation_Insert</vt:lpstr>
      <vt:lpstr>'A-17'!Variation_Insert</vt:lpstr>
      <vt:lpstr>'A-18'!Variation_Insert</vt:lpstr>
      <vt:lpstr>'A-19'!Variation_Insert</vt:lpstr>
      <vt:lpstr>'A-2'!Variation_Insert</vt:lpstr>
      <vt:lpstr>'A-20'!Variation_Insert</vt:lpstr>
      <vt:lpstr>'A-21'!Variation_Insert</vt:lpstr>
      <vt:lpstr>'A-22'!Variation_Insert</vt:lpstr>
      <vt:lpstr>'A-23'!Variation_Insert</vt:lpstr>
      <vt:lpstr>'A-24'!Variation_Insert</vt:lpstr>
      <vt:lpstr>'A-25'!Variation_Insert</vt:lpstr>
      <vt:lpstr>'A-26'!Variation_Insert</vt:lpstr>
      <vt:lpstr>'A-27'!Variation_Insert</vt:lpstr>
      <vt:lpstr>'A-28'!Variation_Insert</vt:lpstr>
      <vt:lpstr>'A-29'!Variation_Insert</vt:lpstr>
      <vt:lpstr>'A-3'!Variation_Insert</vt:lpstr>
      <vt:lpstr>'A-30'!Variation_Insert</vt:lpstr>
      <vt:lpstr>'A-31'!Variation_Insert</vt:lpstr>
      <vt:lpstr>'A-32'!Variation_Insert</vt:lpstr>
      <vt:lpstr>'A-33'!Variation_Insert</vt:lpstr>
      <vt:lpstr>'A-34'!Variation_Insert</vt:lpstr>
      <vt:lpstr>'A-35'!Variation_Insert</vt:lpstr>
      <vt:lpstr>'A-36'!Variation_Insert</vt:lpstr>
      <vt:lpstr>'A-37'!Variation_Insert</vt:lpstr>
      <vt:lpstr>'A-38'!Variation_Insert</vt:lpstr>
      <vt:lpstr>'A-39'!Variation_Insert</vt:lpstr>
      <vt:lpstr>'A-4'!Variation_Insert</vt:lpstr>
      <vt:lpstr>'A-40'!Variation_Insert</vt:lpstr>
      <vt:lpstr>'A-41'!Variation_Insert</vt:lpstr>
      <vt:lpstr>'A-5'!Variation_Insert</vt:lpstr>
      <vt:lpstr>'A-6'!Variation_Insert</vt:lpstr>
      <vt:lpstr>'A-7'!Variation_Insert</vt:lpstr>
      <vt:lpstr>'A-8'!Variation_Insert</vt:lpstr>
      <vt:lpstr>'A-9'!Variation_Insert</vt:lpstr>
      <vt:lpstr>'DA-1'!Variation_Insert</vt:lpstr>
      <vt:lpstr>'DA-10'!Variation_Insert</vt:lpstr>
      <vt:lpstr>'DA-11'!Variation_Insert</vt:lpstr>
      <vt:lpstr>'DA-12'!Variation_Insert</vt:lpstr>
      <vt:lpstr>'DA-13'!Variation_Insert</vt:lpstr>
      <vt:lpstr>'DA-14'!Variation_Insert</vt:lpstr>
      <vt:lpstr>'DA-15'!Variation_Insert</vt:lpstr>
      <vt:lpstr>'DA-16'!Variation_Insert</vt:lpstr>
      <vt:lpstr>'DA-17'!Variation_Insert</vt:lpstr>
      <vt:lpstr>'DA-18'!Variation_Insert</vt:lpstr>
      <vt:lpstr>'DA-19'!Variation_Insert</vt:lpstr>
      <vt:lpstr>'DA-2'!Variation_Insert</vt:lpstr>
      <vt:lpstr>'DA-20'!Variation_Insert</vt:lpstr>
      <vt:lpstr>'DA-21'!Variation_Insert</vt:lpstr>
      <vt:lpstr>'DA-22'!Variation_Insert</vt:lpstr>
      <vt:lpstr>'DA-23'!Variation_Insert</vt:lpstr>
      <vt:lpstr>'DA-24'!Variation_Insert</vt:lpstr>
      <vt:lpstr>'DA-3'!Variation_Insert</vt:lpstr>
      <vt:lpstr>'DA-4'!Variation_Insert</vt:lpstr>
      <vt:lpstr>'DA-5'!Variation_Insert</vt:lpstr>
      <vt:lpstr>'DA-6'!Variation_Insert</vt:lpstr>
      <vt:lpstr>'DA-7'!Variation_Insert</vt:lpstr>
      <vt:lpstr>'DA-8'!Variation_Insert</vt:lpstr>
      <vt:lpstr>'DA-9'!Variation_Insert</vt:lpstr>
    </vt:vector>
  </TitlesOfParts>
  <Company>ETSA Utilities Pty Ltd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craidi</dc:creator>
  <cp:lastModifiedBy>bernk0</cp:lastModifiedBy>
  <cp:lastPrinted>2015-05-13T07:00:06Z</cp:lastPrinted>
  <dcterms:created xsi:type="dcterms:W3CDTF">2008-09-30T06:54:28Z</dcterms:created>
  <dcterms:modified xsi:type="dcterms:W3CDTF">2015-07-01T04:14:45Z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SEM-Opex Model-2015 V17.1.xlsm</vt:lpwstr>
  </property>
</Properties>
</file>